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8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8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9.xml" ContentType="application/vnd.openxmlformats-officedocument.drawing+xml"/>
  <Override PartName="/xl/ctrlProps/ctrlProp63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64.xml" ContentType="application/vnd.ms-excel.controlproperties+xml"/>
  <Override PartName="/xl/drawings/drawing11.xml" ContentType="application/vnd.openxmlformats-officedocument.drawing+xml"/>
  <Override PartName="/xl/ctrlProps/ctrlProp65.xml" ContentType="application/vnd.ms-excel.controlproperties+xml"/>
  <Override PartName="/xl/drawings/drawing12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15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6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7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8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19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0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y_Excel\File_Code\excel\"/>
    </mc:Choice>
  </mc:AlternateContent>
  <workbookProtection workbookAlgorithmName="SHA-512" workbookHashValue="ArlQbqYsjAR68UOVGRVVCmE+2jGk0+xu8O5ZIO41A8JKXJeqw1lu0KXEkeLh6zRAlR9ehAI57IdKN1OC6XtvLA==" workbookSaltValue="a6csOkDcDl6OEnH4e1ZSjQ==" workbookSpinCount="100000" lockStructure="1"/>
  <bookViews>
    <workbookView xWindow="-120" yWindow="-120" windowWidth="29040" windowHeight="15840" tabRatio="963" activeTab="3"/>
  </bookViews>
  <sheets>
    <sheet name="Huong dan" sheetId="3" r:id="rId1"/>
    <sheet name="DiemHKI" sheetId="1" r:id="rId2"/>
    <sheet name="InPDBM" sheetId="2" r:id="rId3"/>
    <sheet name="THHKI" sheetId="4" r:id="rId4"/>
    <sheet name="TkeM2" sheetId="16" r:id="rId5"/>
    <sheet name="InPD1" sheetId="8" r:id="rId6"/>
    <sheet name="PDHKI" sheetId="17" r:id="rId7"/>
    <sheet name="DiemHKII" sheetId="9" r:id="rId8"/>
    <sheet name="InPDBMHKII" sheetId="10" r:id="rId9"/>
    <sheet name="THHKII" sheetId="11" r:id="rId10"/>
    <sheet name="THCN" sheetId="18" r:id="rId11"/>
    <sheet name="TH CANAM" sheetId="13" r:id="rId12"/>
    <sheet name="M2-CN" sheetId="19" r:id="rId13"/>
    <sheet name="InPD2" sheetId="15" r:id="rId14"/>
    <sheet name="PDNam" sheetId="20" r:id="rId15"/>
    <sheet name="Hocba" sheetId="21" r:id="rId16"/>
    <sheet name="NXetHKI" sheetId="27" r:id="rId17"/>
    <sheet name="NxGvHKI" sheetId="30" r:id="rId18"/>
    <sheet name="InNXKI" sheetId="29" r:id="rId19"/>
    <sheet name="NXchung" sheetId="24" r:id="rId20"/>
    <sheet name="NxGvHK2" sheetId="31" r:id="rId21"/>
    <sheet name="InNXhs" sheetId="25" r:id="rId22"/>
    <sheet name="Ghi chu" sheetId="23" r:id="rId23"/>
  </sheets>
  <definedNames>
    <definedName name="BDHK2">DiemHKII!$B$4:$EK$58</definedName>
    <definedName name="BDHKI">DiemHKI!$B$4:$DH$58</definedName>
    <definedName name="_xlnm.Print_Area" localSheetId="15">Hocba!$A$1:$S$513</definedName>
    <definedName name="_xlnm.Print_Area" localSheetId="21">InNXhs!$A$2:$G$1596</definedName>
    <definedName name="_xlnm.Print_Area" localSheetId="18">InNXKI!$A$2:$F$1596</definedName>
    <definedName name="_xlnm.Print_Area" localSheetId="5">InPD1!$A$1:$K$39</definedName>
    <definedName name="_xlnm.Print_Area" localSheetId="13">InPD2!$A$1:$M$39</definedName>
    <definedName name="_xlnm.Print_Area" localSheetId="2">InPDBM!$A$1:$L$68</definedName>
    <definedName name="_xlnm.Print_Area" localSheetId="8">InPDBMHKII!$A$1:$N$68</definedName>
    <definedName name="_xlnm.Print_Area" localSheetId="20">NxGvHK2!$A$1:$I$69</definedName>
    <definedName name="_xlnm.Print_Area" localSheetId="17">NxGvHKI!$A$1:$G$69</definedName>
    <definedName name="_xlnm.Print_Area" localSheetId="6">PDHKI!$A$3:$E$2587</definedName>
    <definedName name="_xlnm.Print_Area" localSheetId="14">PDNam!$A$2:$F$2476</definedName>
    <definedName name="_xlnm.Print_Area" localSheetId="11">'TH CANAM'!$A$1:$BC$67</definedName>
    <definedName name="_xlnm.Print_Area" localSheetId="10">THCN!$A$1:$Y$66</definedName>
    <definedName name="_xlnm.Print_Area" localSheetId="3">THHKI!$A$1:$Y$66</definedName>
    <definedName name="_xlnm.Print_Area" localSheetId="9">THHKII!$A$1:$Y$66</definedName>
    <definedName name="_xlnm.Print_Area" localSheetId="4">TkeM2!$A$1:$U$58</definedName>
    <definedName name="_xlnm.Print_Titles" localSheetId="1">DiemHKI!$D:$E</definedName>
    <definedName name="_xlnm.Print_Titles" localSheetId="7">DiemHKII!$E:$F</definedName>
    <definedName name="_xlnm.Print_Titles" localSheetId="20">NxGvHK2!$9:$10</definedName>
    <definedName name="_xlnm.Print_Titles" localSheetId="17">NxGvHKI!$9:$10</definedName>
  </definedNames>
  <calcPr calcId="162913" concurrentCalc="0"/>
</workbook>
</file>

<file path=xl/calcChain.xml><?xml version="1.0" encoding="utf-8"?>
<calcChain xmlns="http://schemas.openxmlformats.org/spreadsheetml/2006/main">
  <c r="CZ69" i="1" l="1"/>
  <c r="CZ78" i="1"/>
  <c r="CZ77" i="1"/>
  <c r="CZ76" i="1"/>
  <c r="CT76" i="1"/>
  <c r="CS76" i="1"/>
  <c r="CT69" i="1"/>
  <c r="CS69" i="1"/>
  <c r="CG76" i="1"/>
  <c r="CF76" i="1"/>
  <c r="CE76" i="1"/>
  <c r="CG69" i="1"/>
  <c r="CF69" i="1"/>
  <c r="CE69" i="1"/>
  <c r="CA76" i="1"/>
  <c r="BZ76" i="1"/>
  <c r="BY76" i="1"/>
  <c r="BX76" i="1"/>
  <c r="CA69" i="1"/>
  <c r="BZ69" i="1"/>
  <c r="BY69" i="1"/>
  <c r="BX69" i="1"/>
  <c r="BS76" i="1"/>
  <c r="BR76" i="1"/>
  <c r="BQ76" i="1"/>
  <c r="BT69" i="1"/>
  <c r="BS69" i="1"/>
  <c r="BR69" i="1"/>
  <c r="BQ69" i="1"/>
  <c r="BL76" i="1"/>
  <c r="BK76" i="1"/>
  <c r="BJ76" i="1"/>
  <c r="BL69" i="1"/>
  <c r="BK69" i="1"/>
  <c r="BJ69" i="1"/>
  <c r="BE76" i="1"/>
  <c r="BD76" i="1"/>
  <c r="BC76" i="1"/>
  <c r="BE69" i="1"/>
  <c r="BD69" i="1"/>
  <c r="BC69" i="1"/>
  <c r="AX76" i="1"/>
  <c r="AW76" i="1"/>
  <c r="AV76" i="1"/>
  <c r="AX69" i="1"/>
  <c r="AW69" i="1"/>
  <c r="AV69" i="1"/>
  <c r="AQ76" i="1"/>
  <c r="AP76" i="1"/>
  <c r="AO76" i="1"/>
  <c r="AS69" i="1"/>
  <c r="AR69" i="1"/>
  <c r="AQ69" i="1"/>
  <c r="AP69" i="1"/>
  <c r="AO69" i="1"/>
  <c r="AL76" i="1"/>
  <c r="AK76" i="1"/>
  <c r="AJ76" i="1"/>
  <c r="AI76" i="1"/>
  <c r="AH76" i="1"/>
  <c r="AL69" i="1"/>
  <c r="AK69" i="1"/>
  <c r="AJ69" i="1"/>
  <c r="AI69" i="1"/>
  <c r="AH69" i="1"/>
  <c r="AE69" i="1"/>
  <c r="AD69" i="1"/>
  <c r="AC69" i="1"/>
  <c r="AB69" i="1"/>
  <c r="AA69" i="1"/>
  <c r="X76" i="1"/>
  <c r="W76" i="1"/>
  <c r="V76" i="1"/>
  <c r="U76" i="1"/>
  <c r="T76" i="1"/>
  <c r="X69" i="1"/>
  <c r="W69" i="1"/>
  <c r="V69" i="1"/>
  <c r="U69" i="1"/>
  <c r="T69" i="1"/>
  <c r="Q76" i="1"/>
  <c r="P76" i="1"/>
  <c r="O76" i="1"/>
  <c r="N76" i="1"/>
  <c r="M76" i="1"/>
  <c r="Q69" i="1"/>
  <c r="P69" i="1"/>
  <c r="O69" i="1"/>
  <c r="N69" i="1"/>
  <c r="M69" i="1"/>
  <c r="AZ76" i="1"/>
  <c r="AY76" i="1"/>
  <c r="C24" i="16"/>
  <c r="K42" i="16"/>
  <c r="I42" i="16"/>
  <c r="G42" i="16"/>
  <c r="E42" i="16"/>
  <c r="C42" i="16"/>
  <c r="C19" i="16"/>
  <c r="AZ66" i="1"/>
  <c r="AZ65" i="1"/>
  <c r="AZ64" i="1"/>
  <c r="AZ63" i="1"/>
  <c r="AZ62" i="1"/>
  <c r="AW66" i="1"/>
  <c r="AW65" i="1"/>
  <c r="AW64" i="1"/>
  <c r="AW63" i="1"/>
  <c r="AW62" i="1"/>
  <c r="AX66" i="1"/>
  <c r="AX65" i="1"/>
  <c r="AX64" i="1"/>
  <c r="AX63" i="1"/>
  <c r="AX62" i="1"/>
  <c r="AY66" i="1"/>
  <c r="AY65" i="1"/>
  <c r="AY64" i="1"/>
  <c r="AY63" i="1"/>
  <c r="AY62" i="1"/>
  <c r="C20" i="16"/>
  <c r="C31" i="16"/>
  <c r="I6" i="10"/>
  <c r="B13" i="16"/>
  <c r="B4" i="9"/>
  <c r="B5" i="9"/>
  <c r="B6" i="9"/>
  <c r="B40" i="9"/>
  <c r="B41" i="9"/>
  <c r="B42" i="9"/>
  <c r="B43" i="9"/>
  <c r="B44" i="9"/>
  <c r="B45" i="9"/>
  <c r="B46" i="9"/>
  <c r="B47" i="9"/>
  <c r="B48" i="9"/>
  <c r="B49" i="9"/>
  <c r="B50" i="9"/>
  <c r="AS50" i="9"/>
  <c r="B51" i="9"/>
  <c r="EE51" i="9"/>
  <c r="B52" i="9"/>
  <c r="B53" i="9"/>
  <c r="B54" i="9"/>
  <c r="B55" i="9"/>
  <c r="B56" i="9"/>
  <c r="B57" i="9"/>
  <c r="B58" i="9"/>
  <c r="B4" i="1"/>
  <c r="B5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C3" i="3"/>
  <c r="A1" i="24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BU7" i="9"/>
  <c r="D1595" i="25"/>
  <c r="D1593" i="25"/>
  <c r="DI4" i="1"/>
  <c r="DI5" i="1"/>
  <c r="DI6" i="1"/>
  <c r="DI7" i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Q4" i="1"/>
  <c r="R4" i="9"/>
  <c r="S4" i="9"/>
  <c r="T4" i="9"/>
  <c r="X4" i="1"/>
  <c r="AA4" i="9"/>
  <c r="AB4" i="9"/>
  <c r="AC4" i="9"/>
  <c r="AE4" i="1"/>
  <c r="AJ4" i="9"/>
  <c r="AK4" i="9"/>
  <c r="AL4" i="9"/>
  <c r="AL4" i="1"/>
  <c r="AS4" i="9"/>
  <c r="AT4" i="9"/>
  <c r="AU4" i="9"/>
  <c r="AS4" i="1"/>
  <c r="BB4" i="9"/>
  <c r="BC4" i="9"/>
  <c r="BD4" i="9"/>
  <c r="AZ4" i="1"/>
  <c r="BK4" i="9"/>
  <c r="BL4" i="9"/>
  <c r="BM4" i="9"/>
  <c r="BG4" i="1"/>
  <c r="BT4" i="9"/>
  <c r="BU4" i="9"/>
  <c r="BV4" i="9"/>
  <c r="BN4" i="1"/>
  <c r="CC4" i="9"/>
  <c r="CD4" i="9"/>
  <c r="CE4" i="9"/>
  <c r="BU4" i="1"/>
  <c r="CL4" i="9"/>
  <c r="CM4" i="9"/>
  <c r="CN4" i="9"/>
  <c r="CB4" i="1"/>
  <c r="CU4" i="9"/>
  <c r="CV4" i="9"/>
  <c r="CW4" i="9"/>
  <c r="CI4" i="1"/>
  <c r="DD4" i="9"/>
  <c r="DE4" i="9"/>
  <c r="DF4" i="9"/>
  <c r="CP4" i="1"/>
  <c r="DM4" i="9"/>
  <c r="DN4" i="9"/>
  <c r="CW4" i="1"/>
  <c r="DV4" i="9"/>
  <c r="DW4" i="9"/>
  <c r="DX4" i="9"/>
  <c r="DX64" i="9"/>
  <c r="DD4" i="1"/>
  <c r="EE4" i="9"/>
  <c r="EF4" i="9"/>
  <c r="EG4" i="9"/>
  <c r="EG63" i="9"/>
  <c r="Q5" i="1"/>
  <c r="S5" i="9"/>
  <c r="T5" i="9"/>
  <c r="X5" i="1"/>
  <c r="AB5" i="9"/>
  <c r="AC5" i="9"/>
  <c r="AE5" i="1"/>
  <c r="AK5" i="9"/>
  <c r="AL5" i="9"/>
  <c r="AL5" i="1"/>
  <c r="AT5" i="9"/>
  <c r="AU5" i="9"/>
  <c r="AS5" i="1"/>
  <c r="AO78" i="1"/>
  <c r="BC5" i="9"/>
  <c r="BD5" i="9"/>
  <c r="AZ5" i="1"/>
  <c r="BL5" i="9"/>
  <c r="BM5" i="9"/>
  <c r="BG5" i="1"/>
  <c r="BU5" i="9"/>
  <c r="BV5" i="9"/>
  <c r="BN5" i="1"/>
  <c r="CD5" i="9"/>
  <c r="CE5" i="9"/>
  <c r="BU5" i="1"/>
  <c r="CM5" i="9"/>
  <c r="CN5" i="9"/>
  <c r="CB5" i="1"/>
  <c r="CV5" i="9"/>
  <c r="CW5" i="9"/>
  <c r="CI5" i="1"/>
  <c r="DE5" i="9"/>
  <c r="DF5" i="9"/>
  <c r="CP5" i="1"/>
  <c r="DN5" i="9"/>
  <c r="CW5" i="1"/>
  <c r="DW5" i="9"/>
  <c r="DX5" i="9"/>
  <c r="DD5" i="1"/>
  <c r="EF5" i="9"/>
  <c r="EG5" i="9"/>
  <c r="Q6" i="1"/>
  <c r="R6" i="9"/>
  <c r="S6" i="9"/>
  <c r="T6" i="9"/>
  <c r="X6" i="1"/>
  <c r="AA6" i="9"/>
  <c r="AB6" i="9"/>
  <c r="AC6" i="9"/>
  <c r="AE6" i="1"/>
  <c r="AJ6" i="9"/>
  <c r="AK6" i="9"/>
  <c r="AL6" i="9"/>
  <c r="AL6" i="1"/>
  <c r="AS6" i="9"/>
  <c r="AT6" i="9"/>
  <c r="AU6" i="9"/>
  <c r="AS6" i="1"/>
  <c r="BB6" i="9"/>
  <c r="BC6" i="9"/>
  <c r="BD6" i="9"/>
  <c r="AZ6" i="1"/>
  <c r="BK6" i="9"/>
  <c r="BL6" i="9"/>
  <c r="BM6" i="9"/>
  <c r="BG6" i="1"/>
  <c r="BT6" i="9"/>
  <c r="BU6" i="9"/>
  <c r="BV6" i="9"/>
  <c r="BN6" i="1"/>
  <c r="CC6" i="9"/>
  <c r="CD6" i="9"/>
  <c r="CE6" i="9"/>
  <c r="BU6" i="1"/>
  <c r="CL6" i="9"/>
  <c r="CM6" i="9"/>
  <c r="CN6" i="9"/>
  <c r="CB6" i="1"/>
  <c r="CU6" i="9"/>
  <c r="CV6" i="9"/>
  <c r="CW6" i="9"/>
  <c r="CI6" i="1"/>
  <c r="DD6" i="9"/>
  <c r="DE6" i="9"/>
  <c r="DF6" i="9"/>
  <c r="CP6" i="1"/>
  <c r="DM6" i="9"/>
  <c r="DN6" i="9"/>
  <c r="CW6" i="1"/>
  <c r="DW6" i="9"/>
  <c r="DX6" i="9"/>
  <c r="DD6" i="1"/>
  <c r="EF6" i="9"/>
  <c r="EG6" i="9"/>
  <c r="Q7" i="1"/>
  <c r="S7" i="9"/>
  <c r="T7" i="9"/>
  <c r="X7" i="1"/>
  <c r="AB7" i="9"/>
  <c r="AC7" i="9"/>
  <c r="AE7" i="1"/>
  <c r="AK7" i="9"/>
  <c r="AL7" i="9"/>
  <c r="AL7" i="1"/>
  <c r="AT7" i="9"/>
  <c r="AU7" i="9"/>
  <c r="AS7" i="1"/>
  <c r="BC7" i="9"/>
  <c r="BD7" i="9"/>
  <c r="AZ7" i="1"/>
  <c r="BL7" i="9"/>
  <c r="BM7" i="9"/>
  <c r="BK83" i="9"/>
  <c r="L20" i="19"/>
  <c r="BG7" i="1"/>
  <c r="BV7" i="9"/>
  <c r="BN7" i="1"/>
  <c r="CD7" i="9"/>
  <c r="CE7" i="9"/>
  <c r="BU7" i="1"/>
  <c r="CM7" i="9"/>
  <c r="CN7" i="9"/>
  <c r="CB7" i="1"/>
  <c r="CV7" i="9"/>
  <c r="CW7" i="9"/>
  <c r="CI7" i="1"/>
  <c r="DE7" i="9"/>
  <c r="DF7" i="9"/>
  <c r="CP7" i="1"/>
  <c r="DN7" i="9"/>
  <c r="CW7" i="1"/>
  <c r="DW7" i="9"/>
  <c r="DX7" i="9"/>
  <c r="DD7" i="1"/>
  <c r="EF7" i="9"/>
  <c r="EG7" i="9"/>
  <c r="Q8" i="1"/>
  <c r="S8" i="9"/>
  <c r="T8" i="9"/>
  <c r="X8" i="1"/>
  <c r="AB8" i="9"/>
  <c r="AC8" i="9"/>
  <c r="AE8" i="1"/>
  <c r="AK8" i="9"/>
  <c r="AL8" i="9"/>
  <c r="AL8" i="1"/>
  <c r="AT8" i="9"/>
  <c r="AU8" i="9"/>
  <c r="AS8" i="1"/>
  <c r="BC8" i="9"/>
  <c r="BD8" i="9"/>
  <c r="AZ8" i="1"/>
  <c r="BL8" i="9"/>
  <c r="BM8" i="9"/>
  <c r="BG8" i="1"/>
  <c r="BU8" i="9"/>
  <c r="BV8" i="9"/>
  <c r="BN8" i="1"/>
  <c r="CD8" i="9"/>
  <c r="CE8" i="9"/>
  <c r="BU8" i="1"/>
  <c r="CM8" i="9"/>
  <c r="CN8" i="9"/>
  <c r="CB8" i="1"/>
  <c r="CV8" i="9"/>
  <c r="CW8" i="9"/>
  <c r="CI8" i="1"/>
  <c r="DE8" i="9"/>
  <c r="DF8" i="9"/>
  <c r="CP8" i="1"/>
  <c r="DN8" i="9"/>
  <c r="CW8" i="1"/>
  <c r="DW8" i="9"/>
  <c r="DX8" i="9"/>
  <c r="DD8" i="1"/>
  <c r="EF8" i="9"/>
  <c r="EG8" i="9"/>
  <c r="Q9" i="1"/>
  <c r="S9" i="9"/>
  <c r="T9" i="9"/>
  <c r="X9" i="1"/>
  <c r="AB9" i="9"/>
  <c r="AC9" i="9"/>
  <c r="AE9" i="1"/>
  <c r="AK9" i="9"/>
  <c r="AL9" i="9"/>
  <c r="AL9" i="1"/>
  <c r="AT9" i="9"/>
  <c r="AU9" i="9"/>
  <c r="AS9" i="1"/>
  <c r="BC9" i="9"/>
  <c r="BD9" i="9"/>
  <c r="AZ9" i="1"/>
  <c r="BL9" i="9"/>
  <c r="BM9" i="9"/>
  <c r="BG9" i="1"/>
  <c r="BU9" i="9"/>
  <c r="BV9" i="9"/>
  <c r="BN9" i="1"/>
  <c r="CD9" i="9"/>
  <c r="CE9" i="9"/>
  <c r="BU9" i="1"/>
  <c r="CM9" i="9"/>
  <c r="CN9" i="9"/>
  <c r="CB9" i="1"/>
  <c r="CV9" i="9"/>
  <c r="CW9" i="9"/>
  <c r="CI9" i="1"/>
  <c r="DE9" i="9"/>
  <c r="DF9" i="9"/>
  <c r="CP9" i="1"/>
  <c r="DN9" i="9"/>
  <c r="CW9" i="1"/>
  <c r="DW9" i="9"/>
  <c r="DX9" i="9"/>
  <c r="DD9" i="1"/>
  <c r="EF9" i="9"/>
  <c r="EG9" i="9"/>
  <c r="Q10" i="1"/>
  <c r="S10" i="9"/>
  <c r="T10" i="9"/>
  <c r="X10" i="1"/>
  <c r="AB10" i="9"/>
  <c r="AC10" i="9"/>
  <c r="AE10" i="1"/>
  <c r="AK10" i="9"/>
  <c r="AL10" i="9"/>
  <c r="AL10" i="1"/>
  <c r="AT10" i="9"/>
  <c r="AU10" i="9"/>
  <c r="AS10" i="1"/>
  <c r="BC10" i="9"/>
  <c r="BD10" i="9"/>
  <c r="AZ10" i="1"/>
  <c r="BL10" i="9"/>
  <c r="BM10" i="9"/>
  <c r="BG10" i="1"/>
  <c r="BU10" i="9"/>
  <c r="BV10" i="9"/>
  <c r="BN10" i="1"/>
  <c r="CD10" i="9"/>
  <c r="CE10" i="9"/>
  <c r="BU10" i="1"/>
  <c r="CM10" i="9"/>
  <c r="CN10" i="9"/>
  <c r="CB10" i="1"/>
  <c r="CV10" i="9"/>
  <c r="CW10" i="9"/>
  <c r="CI10" i="1"/>
  <c r="DE10" i="9"/>
  <c r="DF10" i="9"/>
  <c r="CP10" i="1"/>
  <c r="DN10" i="9"/>
  <c r="CW10" i="1"/>
  <c r="DW10" i="9"/>
  <c r="DX10" i="9"/>
  <c r="DD10" i="1"/>
  <c r="EF10" i="9"/>
  <c r="EG10" i="9"/>
  <c r="Q11" i="1"/>
  <c r="S11" i="9"/>
  <c r="T11" i="9"/>
  <c r="Q83" i="9"/>
  <c r="J15" i="19"/>
  <c r="X11" i="1"/>
  <c r="AB11" i="9"/>
  <c r="AC11" i="9"/>
  <c r="AE11" i="1"/>
  <c r="AK11" i="9"/>
  <c r="AL11" i="9"/>
  <c r="AL11" i="1"/>
  <c r="AT11" i="9"/>
  <c r="AU11" i="9"/>
  <c r="AS11" i="1"/>
  <c r="BC11" i="9"/>
  <c r="BD11" i="9"/>
  <c r="AZ11" i="1"/>
  <c r="BL11" i="9"/>
  <c r="BM11" i="9"/>
  <c r="BG11" i="1"/>
  <c r="BU11" i="9"/>
  <c r="BV11" i="9"/>
  <c r="BN11" i="1"/>
  <c r="CD11" i="9"/>
  <c r="CE11" i="9"/>
  <c r="BU11" i="1"/>
  <c r="CM11" i="9"/>
  <c r="CN11" i="9"/>
  <c r="CB11" i="1"/>
  <c r="CV11" i="9"/>
  <c r="CW11" i="9"/>
  <c r="CI11" i="1"/>
  <c r="DE11" i="9"/>
  <c r="DF11" i="9"/>
  <c r="CP11" i="1"/>
  <c r="DN11" i="9"/>
  <c r="CW11" i="1"/>
  <c r="DW11" i="9"/>
  <c r="DX11" i="9"/>
  <c r="DD11" i="1"/>
  <c r="EF11" i="9"/>
  <c r="EG11" i="9"/>
  <c r="Q12" i="1"/>
  <c r="S12" i="9"/>
  <c r="T12" i="9"/>
  <c r="X12" i="1"/>
  <c r="AB12" i="9"/>
  <c r="AC12" i="9"/>
  <c r="AE12" i="1"/>
  <c r="AK12" i="9"/>
  <c r="AL12" i="9"/>
  <c r="AL12" i="1"/>
  <c r="AT12" i="9"/>
  <c r="AU12" i="9"/>
  <c r="AS12" i="1"/>
  <c r="BC12" i="9"/>
  <c r="BD12" i="9"/>
  <c r="AZ12" i="1"/>
  <c r="BL12" i="9"/>
  <c r="BM12" i="9"/>
  <c r="BG12" i="1"/>
  <c r="BU12" i="9"/>
  <c r="BV12" i="9"/>
  <c r="BN12" i="1"/>
  <c r="CD12" i="9"/>
  <c r="CE12" i="9"/>
  <c r="BU12" i="1"/>
  <c r="CM12" i="9"/>
  <c r="CN12" i="9"/>
  <c r="CB12" i="1"/>
  <c r="CV12" i="9"/>
  <c r="CW12" i="9"/>
  <c r="CI12" i="1"/>
  <c r="DE12" i="9"/>
  <c r="DF12" i="9"/>
  <c r="CP12" i="1"/>
  <c r="DN12" i="9"/>
  <c r="CW12" i="1"/>
  <c r="DW12" i="9"/>
  <c r="DX12" i="9"/>
  <c r="DD12" i="1"/>
  <c r="EF12" i="9"/>
  <c r="EG12" i="9"/>
  <c r="Q13" i="1"/>
  <c r="S13" i="9"/>
  <c r="T13" i="9"/>
  <c r="X13" i="1"/>
  <c r="AB13" i="9"/>
  <c r="AC13" i="9"/>
  <c r="AE13" i="1"/>
  <c r="AK13" i="9"/>
  <c r="AL13" i="9"/>
  <c r="AL13" i="1"/>
  <c r="AT13" i="9"/>
  <c r="AU13" i="9"/>
  <c r="AS13" i="1"/>
  <c r="BC13" i="9"/>
  <c r="BD13" i="9"/>
  <c r="AZ13" i="1"/>
  <c r="BL13" i="9"/>
  <c r="BM13" i="9"/>
  <c r="BG13" i="1"/>
  <c r="BU13" i="9"/>
  <c r="BV13" i="9"/>
  <c r="BN13" i="1"/>
  <c r="CD13" i="9"/>
  <c r="CE13" i="9"/>
  <c r="BU13" i="1"/>
  <c r="CM13" i="9"/>
  <c r="CN13" i="9"/>
  <c r="CB13" i="1"/>
  <c r="CV13" i="9"/>
  <c r="CW13" i="9"/>
  <c r="CI13" i="1"/>
  <c r="DE13" i="9"/>
  <c r="DF13" i="9"/>
  <c r="CP13" i="1"/>
  <c r="DN13" i="9"/>
  <c r="CW13" i="1"/>
  <c r="DW13" i="9"/>
  <c r="DX13" i="9"/>
  <c r="DD13" i="1"/>
  <c r="EF13" i="9"/>
  <c r="EG13" i="9"/>
  <c r="Q14" i="1"/>
  <c r="S14" i="9"/>
  <c r="T14" i="9"/>
  <c r="X14" i="1"/>
  <c r="AB14" i="9"/>
  <c r="AC14" i="9"/>
  <c r="AE14" i="1"/>
  <c r="AK14" i="9"/>
  <c r="AL14" i="9"/>
  <c r="AL14" i="1"/>
  <c r="AT14" i="9"/>
  <c r="AU14" i="9"/>
  <c r="AS14" i="1"/>
  <c r="BC14" i="9"/>
  <c r="BD14" i="9"/>
  <c r="AZ14" i="1"/>
  <c r="BL14" i="9"/>
  <c r="BM14" i="9"/>
  <c r="BG14" i="1"/>
  <c r="BU14" i="9"/>
  <c r="BV14" i="9"/>
  <c r="BN14" i="1"/>
  <c r="CD14" i="9"/>
  <c r="CE14" i="9"/>
  <c r="BU14" i="1"/>
  <c r="CM14" i="9"/>
  <c r="CN14" i="9"/>
  <c r="CB14" i="1"/>
  <c r="CV14" i="9"/>
  <c r="CW14" i="9"/>
  <c r="CI14" i="1"/>
  <c r="DE14" i="9"/>
  <c r="DF14" i="9"/>
  <c r="CP14" i="1"/>
  <c r="DN14" i="9"/>
  <c r="CW14" i="1"/>
  <c r="DW14" i="9"/>
  <c r="DX14" i="9"/>
  <c r="DD14" i="1"/>
  <c r="EF14" i="9"/>
  <c r="EG14" i="9"/>
  <c r="Q15" i="1"/>
  <c r="S15" i="9"/>
  <c r="T15" i="9"/>
  <c r="X15" i="1"/>
  <c r="AB15" i="9"/>
  <c r="AC15" i="9"/>
  <c r="AE15" i="1"/>
  <c r="AK15" i="9"/>
  <c r="AL15" i="9"/>
  <c r="AL15" i="1"/>
  <c r="AT15" i="9"/>
  <c r="AU15" i="9"/>
  <c r="AS15" i="1"/>
  <c r="BC15" i="9"/>
  <c r="BD15" i="9"/>
  <c r="AZ15" i="1"/>
  <c r="BL15" i="9"/>
  <c r="BM15" i="9"/>
  <c r="BG15" i="1"/>
  <c r="BU15" i="9"/>
  <c r="BV15" i="9"/>
  <c r="BN15" i="1"/>
  <c r="CD15" i="9"/>
  <c r="CE15" i="9"/>
  <c r="BU15" i="1"/>
  <c r="CM15" i="9"/>
  <c r="CN15" i="9"/>
  <c r="CB15" i="1"/>
  <c r="CV15" i="9"/>
  <c r="CW15" i="9"/>
  <c r="CI15" i="1"/>
  <c r="DE15" i="9"/>
  <c r="DF15" i="9"/>
  <c r="CP15" i="1"/>
  <c r="DN15" i="9"/>
  <c r="CW15" i="1"/>
  <c r="DW15" i="9"/>
  <c r="DX15" i="9"/>
  <c r="DD15" i="1"/>
  <c r="EF15" i="9"/>
  <c r="EG15" i="9"/>
  <c r="Q16" i="1"/>
  <c r="S16" i="9"/>
  <c r="T16" i="9"/>
  <c r="X16" i="1"/>
  <c r="AB16" i="9"/>
  <c r="AC16" i="9"/>
  <c r="AE16" i="1"/>
  <c r="AK16" i="9"/>
  <c r="AL16" i="9"/>
  <c r="AL16" i="1"/>
  <c r="AT16" i="9"/>
  <c r="AU16" i="9"/>
  <c r="AS16" i="1"/>
  <c r="BC16" i="9"/>
  <c r="BD16" i="9"/>
  <c r="AZ16" i="1"/>
  <c r="BL16" i="9"/>
  <c r="BM16" i="9"/>
  <c r="BG16" i="1"/>
  <c r="BU16" i="9"/>
  <c r="BV16" i="9"/>
  <c r="BN16" i="1"/>
  <c r="CD16" i="9"/>
  <c r="CE16" i="9"/>
  <c r="BU16" i="1"/>
  <c r="CM16" i="9"/>
  <c r="CN16" i="9"/>
  <c r="CB16" i="1"/>
  <c r="CV16" i="9"/>
  <c r="CW16" i="9"/>
  <c r="CI16" i="1"/>
  <c r="DE16" i="9"/>
  <c r="DF16" i="9"/>
  <c r="CP16" i="1"/>
  <c r="DN16" i="9"/>
  <c r="CW16" i="1"/>
  <c r="DW16" i="9"/>
  <c r="DX16" i="9"/>
  <c r="DD16" i="1"/>
  <c r="EF16" i="9"/>
  <c r="EG16" i="9"/>
  <c r="Q17" i="1"/>
  <c r="S17" i="9"/>
  <c r="T17" i="9"/>
  <c r="X17" i="1"/>
  <c r="AB17" i="9"/>
  <c r="AC17" i="9"/>
  <c r="AE17" i="1"/>
  <c r="AK17" i="9"/>
  <c r="AL17" i="9"/>
  <c r="AL17" i="1"/>
  <c r="AT17" i="9"/>
  <c r="AU17" i="9"/>
  <c r="AS17" i="1"/>
  <c r="BC17" i="9"/>
  <c r="BD17" i="9"/>
  <c r="AZ17" i="1"/>
  <c r="BL17" i="9"/>
  <c r="BM17" i="9"/>
  <c r="BG17" i="1"/>
  <c r="BU17" i="9"/>
  <c r="BV17" i="9"/>
  <c r="BN17" i="1"/>
  <c r="CD17" i="9"/>
  <c r="CE17" i="9"/>
  <c r="BU17" i="1"/>
  <c r="CM17" i="9"/>
  <c r="CN17" i="9"/>
  <c r="CB17" i="1"/>
  <c r="CV17" i="9"/>
  <c r="CW17" i="9"/>
  <c r="CI17" i="1"/>
  <c r="DE17" i="9"/>
  <c r="DF17" i="9"/>
  <c r="CP17" i="1"/>
  <c r="DN17" i="9"/>
  <c r="CW17" i="1"/>
  <c r="DW17" i="9"/>
  <c r="DX17" i="9"/>
  <c r="DD17" i="1"/>
  <c r="EF17" i="9"/>
  <c r="EG17" i="9"/>
  <c r="Q18" i="1"/>
  <c r="S18" i="9"/>
  <c r="T18" i="9"/>
  <c r="X18" i="1"/>
  <c r="AB18" i="9"/>
  <c r="AC18" i="9"/>
  <c r="AE18" i="1"/>
  <c r="AK18" i="9"/>
  <c r="AL18" i="9"/>
  <c r="AL18" i="1"/>
  <c r="AT18" i="9"/>
  <c r="AU18" i="9"/>
  <c r="AS18" i="1"/>
  <c r="BC18" i="9"/>
  <c r="BD18" i="9"/>
  <c r="AZ18" i="1"/>
  <c r="BL18" i="9"/>
  <c r="BM18" i="9"/>
  <c r="BG18" i="1"/>
  <c r="BU18" i="9"/>
  <c r="BV18" i="9"/>
  <c r="BN18" i="1"/>
  <c r="CD18" i="9"/>
  <c r="CE18" i="9"/>
  <c r="BU18" i="1"/>
  <c r="CM18" i="9"/>
  <c r="CN18" i="9"/>
  <c r="CB18" i="1"/>
  <c r="CV18" i="9"/>
  <c r="CW18" i="9"/>
  <c r="CI18" i="1"/>
  <c r="DE18" i="9"/>
  <c r="DF18" i="9"/>
  <c r="CP18" i="1"/>
  <c r="DN18" i="9"/>
  <c r="CW18" i="1"/>
  <c r="DW18" i="9"/>
  <c r="DX18" i="9"/>
  <c r="DD18" i="1"/>
  <c r="EF18" i="9"/>
  <c r="EG18" i="9"/>
  <c r="Q19" i="1"/>
  <c r="S19" i="9"/>
  <c r="T19" i="9"/>
  <c r="X19" i="1"/>
  <c r="AB19" i="9"/>
  <c r="AC19" i="9"/>
  <c r="AE19" i="1"/>
  <c r="AK19" i="9"/>
  <c r="AL19" i="9"/>
  <c r="AL19" i="1"/>
  <c r="AT19" i="9"/>
  <c r="AU19" i="9"/>
  <c r="AS19" i="1"/>
  <c r="BC19" i="9"/>
  <c r="BD19" i="9"/>
  <c r="AZ19" i="1"/>
  <c r="BL19" i="9"/>
  <c r="BM19" i="9"/>
  <c r="BG19" i="1"/>
  <c r="BU19" i="9"/>
  <c r="BV19" i="9"/>
  <c r="BN19" i="1"/>
  <c r="CD19" i="9"/>
  <c r="CE19" i="9"/>
  <c r="BU19" i="1"/>
  <c r="CM19" i="9"/>
  <c r="CN19" i="9"/>
  <c r="CB19" i="1"/>
  <c r="CV19" i="9"/>
  <c r="CW19" i="9"/>
  <c r="CI19" i="1"/>
  <c r="DE19" i="9"/>
  <c r="DF19" i="9"/>
  <c r="CP19" i="1"/>
  <c r="DN19" i="9"/>
  <c r="CW19" i="1"/>
  <c r="DW19" i="9"/>
  <c r="DX19" i="9"/>
  <c r="DD19" i="1"/>
  <c r="EF19" i="9"/>
  <c r="EG19" i="9"/>
  <c r="Q20" i="1"/>
  <c r="S20" i="9"/>
  <c r="T20" i="9"/>
  <c r="X20" i="1"/>
  <c r="AB20" i="9"/>
  <c r="AC20" i="9"/>
  <c r="AE20" i="1"/>
  <c r="AK20" i="9"/>
  <c r="AL20" i="9"/>
  <c r="AL20" i="1"/>
  <c r="AT20" i="9"/>
  <c r="AU20" i="9"/>
  <c r="AS20" i="1"/>
  <c r="BC20" i="9"/>
  <c r="BD20" i="9"/>
  <c r="AZ20" i="1"/>
  <c r="BL20" i="9"/>
  <c r="BM20" i="9"/>
  <c r="BG20" i="1"/>
  <c r="BU20" i="9"/>
  <c r="BV20" i="9"/>
  <c r="BN20" i="1"/>
  <c r="CD20" i="9"/>
  <c r="CE20" i="9"/>
  <c r="BU20" i="1"/>
  <c r="CM20" i="9"/>
  <c r="CN20" i="9"/>
  <c r="CB20" i="1"/>
  <c r="CV20" i="9"/>
  <c r="CW20" i="9"/>
  <c r="CI20" i="1"/>
  <c r="DE20" i="9"/>
  <c r="DF20" i="9"/>
  <c r="CP20" i="1"/>
  <c r="DN20" i="9"/>
  <c r="CW20" i="1"/>
  <c r="DW20" i="9"/>
  <c r="DX20" i="9"/>
  <c r="DD20" i="1"/>
  <c r="EF20" i="9"/>
  <c r="EG20" i="9"/>
  <c r="Q21" i="1"/>
  <c r="S21" i="9"/>
  <c r="T21" i="9"/>
  <c r="X21" i="1"/>
  <c r="AB21" i="9"/>
  <c r="AC21" i="9"/>
  <c r="AE21" i="1"/>
  <c r="AK21" i="9"/>
  <c r="AL21" i="9"/>
  <c r="AL21" i="1"/>
  <c r="AT21" i="9"/>
  <c r="AU21" i="9"/>
  <c r="AS21" i="1"/>
  <c r="BC21" i="9"/>
  <c r="BD21" i="9"/>
  <c r="AZ21" i="1"/>
  <c r="BL21" i="9"/>
  <c r="BM21" i="9"/>
  <c r="BG21" i="1"/>
  <c r="BU21" i="9"/>
  <c r="BV21" i="9"/>
  <c r="BN21" i="1"/>
  <c r="CD21" i="9"/>
  <c r="CE21" i="9"/>
  <c r="BU21" i="1"/>
  <c r="CM21" i="9"/>
  <c r="CN21" i="9"/>
  <c r="CB21" i="1"/>
  <c r="CV21" i="9"/>
  <c r="CW21" i="9"/>
  <c r="CI21" i="1"/>
  <c r="DE21" i="9"/>
  <c r="DF21" i="9"/>
  <c r="CP21" i="1"/>
  <c r="DN21" i="9"/>
  <c r="CW21" i="1"/>
  <c r="DW21" i="9"/>
  <c r="DX21" i="9"/>
  <c r="DD21" i="1"/>
  <c r="EF21" i="9"/>
  <c r="EG21" i="9"/>
  <c r="Q22" i="1"/>
  <c r="S22" i="9"/>
  <c r="T22" i="9"/>
  <c r="X22" i="1"/>
  <c r="AB22" i="9"/>
  <c r="AC22" i="9"/>
  <c r="AE22" i="1"/>
  <c r="AK22" i="9"/>
  <c r="AL22" i="9"/>
  <c r="AL22" i="1"/>
  <c r="AT22" i="9"/>
  <c r="AU22" i="9"/>
  <c r="AS22" i="1"/>
  <c r="BC22" i="9"/>
  <c r="BD22" i="9"/>
  <c r="AZ22" i="1"/>
  <c r="BL22" i="9"/>
  <c r="BM22" i="9"/>
  <c r="BG22" i="1"/>
  <c r="BU22" i="9"/>
  <c r="BV22" i="9"/>
  <c r="BN22" i="1"/>
  <c r="CD22" i="9"/>
  <c r="CE22" i="9"/>
  <c r="BU22" i="1"/>
  <c r="CM22" i="9"/>
  <c r="CN22" i="9"/>
  <c r="CB22" i="1"/>
  <c r="CV22" i="9"/>
  <c r="CW22" i="9"/>
  <c r="CI22" i="1"/>
  <c r="DE22" i="9"/>
  <c r="DF22" i="9"/>
  <c r="CP22" i="1"/>
  <c r="DN22" i="9"/>
  <c r="CW22" i="1"/>
  <c r="DW22" i="9"/>
  <c r="DX22" i="9"/>
  <c r="DD22" i="1"/>
  <c r="EF22" i="9"/>
  <c r="EG22" i="9"/>
  <c r="Q23" i="1"/>
  <c r="S23" i="9"/>
  <c r="T23" i="9"/>
  <c r="X23" i="1"/>
  <c r="AB23" i="9"/>
  <c r="AC23" i="9"/>
  <c r="AE23" i="1"/>
  <c r="AK23" i="9"/>
  <c r="AL23" i="9"/>
  <c r="AL23" i="1"/>
  <c r="AT23" i="9"/>
  <c r="AU23" i="9"/>
  <c r="AS23" i="1"/>
  <c r="BC23" i="9"/>
  <c r="BD23" i="9"/>
  <c r="AZ23" i="1"/>
  <c r="BL23" i="9"/>
  <c r="BM23" i="9"/>
  <c r="BG23" i="1"/>
  <c r="BU23" i="9"/>
  <c r="BV23" i="9"/>
  <c r="BN23" i="1"/>
  <c r="CD23" i="9"/>
  <c r="CE23" i="9"/>
  <c r="BU23" i="1"/>
  <c r="CM23" i="9"/>
  <c r="CN23" i="9"/>
  <c r="CB23" i="1"/>
  <c r="CV23" i="9"/>
  <c r="CW23" i="9"/>
  <c r="CI23" i="1"/>
  <c r="DE23" i="9"/>
  <c r="DF23" i="9"/>
  <c r="CP23" i="1"/>
  <c r="DN23" i="9"/>
  <c r="CW23" i="1"/>
  <c r="DW23" i="9"/>
  <c r="DX23" i="9"/>
  <c r="DD23" i="1"/>
  <c r="EF23" i="9"/>
  <c r="EG23" i="9"/>
  <c r="Q24" i="1"/>
  <c r="S24" i="9"/>
  <c r="T24" i="9"/>
  <c r="X24" i="1"/>
  <c r="AB24" i="9"/>
  <c r="AC24" i="9"/>
  <c r="AE24" i="1"/>
  <c r="AK24" i="9"/>
  <c r="AL24" i="9"/>
  <c r="AL24" i="1"/>
  <c r="AT24" i="9"/>
  <c r="AU24" i="9"/>
  <c r="AS24" i="1"/>
  <c r="BC24" i="9"/>
  <c r="BD24" i="9"/>
  <c r="AZ24" i="1"/>
  <c r="BL24" i="9"/>
  <c r="BM24" i="9"/>
  <c r="BG24" i="1"/>
  <c r="BU24" i="9"/>
  <c r="BV24" i="9"/>
  <c r="BN24" i="1"/>
  <c r="CD24" i="9"/>
  <c r="CE24" i="9"/>
  <c r="BU24" i="1"/>
  <c r="CM24" i="9"/>
  <c r="CN24" i="9"/>
  <c r="CB24" i="1"/>
  <c r="CV24" i="9"/>
  <c r="CW24" i="9"/>
  <c r="CI24" i="1"/>
  <c r="DE24" i="9"/>
  <c r="DF24" i="9"/>
  <c r="CP24" i="1"/>
  <c r="DN24" i="9"/>
  <c r="CW24" i="1"/>
  <c r="DW24" i="9"/>
  <c r="DX24" i="9"/>
  <c r="DD24" i="1"/>
  <c r="EF24" i="9"/>
  <c r="EG24" i="9"/>
  <c r="Q25" i="1"/>
  <c r="S25" i="9"/>
  <c r="T25" i="9"/>
  <c r="X25" i="1"/>
  <c r="AB25" i="9"/>
  <c r="AC25" i="9"/>
  <c r="AE25" i="1"/>
  <c r="AK25" i="9"/>
  <c r="AL25" i="9"/>
  <c r="AL25" i="1"/>
  <c r="AT25" i="9"/>
  <c r="AU25" i="9"/>
  <c r="AS25" i="1"/>
  <c r="BC25" i="9"/>
  <c r="BD25" i="9"/>
  <c r="AZ25" i="1"/>
  <c r="BL25" i="9"/>
  <c r="BM25" i="9"/>
  <c r="BG25" i="1"/>
  <c r="BU25" i="9"/>
  <c r="BV25" i="9"/>
  <c r="BN25" i="1"/>
  <c r="CD25" i="9"/>
  <c r="CE25" i="9"/>
  <c r="BU25" i="1"/>
  <c r="CM25" i="9"/>
  <c r="CN25" i="9"/>
  <c r="CB25" i="1"/>
  <c r="CV25" i="9"/>
  <c r="CW25" i="9"/>
  <c r="CI25" i="1"/>
  <c r="DE25" i="9"/>
  <c r="DF25" i="9"/>
  <c r="CP25" i="1"/>
  <c r="DN25" i="9"/>
  <c r="CW25" i="1"/>
  <c r="DW25" i="9"/>
  <c r="DX25" i="9"/>
  <c r="DD25" i="1"/>
  <c r="EF25" i="9"/>
  <c r="EG25" i="9"/>
  <c r="Q26" i="1"/>
  <c r="S26" i="9"/>
  <c r="T26" i="9"/>
  <c r="X26" i="1"/>
  <c r="AB26" i="9"/>
  <c r="AC26" i="9"/>
  <c r="AE26" i="1"/>
  <c r="AK26" i="9"/>
  <c r="AL26" i="9"/>
  <c r="AL26" i="1"/>
  <c r="AT26" i="9"/>
  <c r="AU26" i="9"/>
  <c r="AS26" i="1"/>
  <c r="BC26" i="9"/>
  <c r="BD26" i="9"/>
  <c r="AZ26" i="1"/>
  <c r="BL26" i="9"/>
  <c r="BM26" i="9"/>
  <c r="BG26" i="1"/>
  <c r="BU26" i="9"/>
  <c r="BV26" i="9"/>
  <c r="BN26" i="1"/>
  <c r="CD26" i="9"/>
  <c r="CE26" i="9"/>
  <c r="BU26" i="1"/>
  <c r="CM26" i="9"/>
  <c r="CN26" i="9"/>
  <c r="CB26" i="1"/>
  <c r="CV26" i="9"/>
  <c r="CW26" i="9"/>
  <c r="CI26" i="1"/>
  <c r="DE26" i="9"/>
  <c r="DF26" i="9"/>
  <c r="CP26" i="1"/>
  <c r="DN26" i="9"/>
  <c r="CW26" i="1"/>
  <c r="DW26" i="9"/>
  <c r="DX26" i="9"/>
  <c r="DD26" i="1"/>
  <c r="EF26" i="9"/>
  <c r="EG26" i="9"/>
  <c r="Q27" i="1"/>
  <c r="S27" i="9"/>
  <c r="T27" i="9"/>
  <c r="X27" i="1"/>
  <c r="AB27" i="9"/>
  <c r="AC27" i="9"/>
  <c r="AE27" i="1"/>
  <c r="AK27" i="9"/>
  <c r="AL27" i="9"/>
  <c r="AL27" i="1"/>
  <c r="AT27" i="9"/>
  <c r="AU27" i="9"/>
  <c r="AS27" i="1"/>
  <c r="BC27" i="9"/>
  <c r="BD27" i="9"/>
  <c r="AZ27" i="1"/>
  <c r="BL27" i="9"/>
  <c r="BM27" i="9"/>
  <c r="BG27" i="1"/>
  <c r="BU27" i="9"/>
  <c r="BV27" i="9"/>
  <c r="BN27" i="1"/>
  <c r="CD27" i="9"/>
  <c r="CE27" i="9"/>
  <c r="BU27" i="1"/>
  <c r="CM27" i="9"/>
  <c r="CN27" i="9"/>
  <c r="CB27" i="1"/>
  <c r="CV27" i="9"/>
  <c r="CW27" i="9"/>
  <c r="CI27" i="1"/>
  <c r="DE27" i="9"/>
  <c r="DF27" i="9"/>
  <c r="CP27" i="1"/>
  <c r="DN27" i="9"/>
  <c r="CW27" i="1"/>
  <c r="DW27" i="9"/>
  <c r="DX27" i="9"/>
  <c r="DD27" i="1"/>
  <c r="EF27" i="9"/>
  <c r="EG27" i="9"/>
  <c r="Q28" i="1"/>
  <c r="S28" i="9"/>
  <c r="T28" i="9"/>
  <c r="X28" i="1"/>
  <c r="AB28" i="9"/>
  <c r="AC28" i="9"/>
  <c r="AE28" i="1"/>
  <c r="AK28" i="9"/>
  <c r="AL28" i="9"/>
  <c r="AL28" i="1"/>
  <c r="AT28" i="9"/>
  <c r="AU28" i="9"/>
  <c r="AS28" i="1"/>
  <c r="BC28" i="9"/>
  <c r="BD28" i="9"/>
  <c r="AZ28" i="1"/>
  <c r="BL28" i="9"/>
  <c r="BM28" i="9"/>
  <c r="BG28" i="1"/>
  <c r="BU28" i="9"/>
  <c r="BV28" i="9"/>
  <c r="BN28" i="1"/>
  <c r="CD28" i="9"/>
  <c r="CE28" i="9"/>
  <c r="BU28" i="1"/>
  <c r="CM28" i="9"/>
  <c r="CN28" i="9"/>
  <c r="CB28" i="1"/>
  <c r="CV28" i="9"/>
  <c r="CW28" i="9"/>
  <c r="CI28" i="1"/>
  <c r="DE28" i="9"/>
  <c r="DF28" i="9"/>
  <c r="CP28" i="1"/>
  <c r="DN28" i="9"/>
  <c r="CW28" i="1"/>
  <c r="DW28" i="9"/>
  <c r="DX28" i="9"/>
  <c r="DD28" i="1"/>
  <c r="EF28" i="9"/>
  <c r="EG28" i="9"/>
  <c r="Q29" i="1"/>
  <c r="S29" i="9"/>
  <c r="T29" i="9"/>
  <c r="X29" i="1"/>
  <c r="AB29" i="9"/>
  <c r="AC29" i="9"/>
  <c r="AE29" i="1"/>
  <c r="AK29" i="9"/>
  <c r="AL29" i="9"/>
  <c r="AL29" i="1"/>
  <c r="AT29" i="9"/>
  <c r="AU29" i="9"/>
  <c r="AS29" i="1"/>
  <c r="BC29" i="9"/>
  <c r="BD29" i="9"/>
  <c r="AZ29" i="1"/>
  <c r="BL29" i="9"/>
  <c r="BM29" i="9"/>
  <c r="BG29" i="1"/>
  <c r="BU29" i="9"/>
  <c r="BV29" i="9"/>
  <c r="BN29" i="1"/>
  <c r="CD29" i="9"/>
  <c r="CE29" i="9"/>
  <c r="BU29" i="1"/>
  <c r="CM29" i="9"/>
  <c r="CN29" i="9"/>
  <c r="CB29" i="1"/>
  <c r="CV29" i="9"/>
  <c r="CW29" i="9"/>
  <c r="CI29" i="1"/>
  <c r="DE29" i="9"/>
  <c r="DF29" i="9"/>
  <c r="CP29" i="1"/>
  <c r="DN29" i="9"/>
  <c r="CW29" i="1"/>
  <c r="DW29" i="9"/>
  <c r="DX29" i="9"/>
  <c r="DD29" i="1"/>
  <c r="EF29" i="9"/>
  <c r="EG29" i="9"/>
  <c r="Q30" i="1"/>
  <c r="S30" i="9"/>
  <c r="T30" i="9"/>
  <c r="X30" i="1"/>
  <c r="AB30" i="9"/>
  <c r="AC30" i="9"/>
  <c r="AE30" i="1"/>
  <c r="AK30" i="9"/>
  <c r="AL30" i="9"/>
  <c r="AL30" i="1"/>
  <c r="AT30" i="9"/>
  <c r="AU30" i="9"/>
  <c r="AS30" i="1"/>
  <c r="BC30" i="9"/>
  <c r="BD30" i="9"/>
  <c r="AZ30" i="1"/>
  <c r="BL30" i="9"/>
  <c r="BM30" i="9"/>
  <c r="BG30" i="1"/>
  <c r="BU30" i="9"/>
  <c r="BV30" i="9"/>
  <c r="BN30" i="1"/>
  <c r="CD30" i="9"/>
  <c r="CE30" i="9"/>
  <c r="BU30" i="1"/>
  <c r="CM30" i="9"/>
  <c r="CN30" i="9"/>
  <c r="CB30" i="1"/>
  <c r="CV30" i="9"/>
  <c r="CW30" i="9"/>
  <c r="CI30" i="1"/>
  <c r="DE30" i="9"/>
  <c r="DF30" i="9"/>
  <c r="CP30" i="1"/>
  <c r="DN30" i="9"/>
  <c r="CW30" i="1"/>
  <c r="DW30" i="9"/>
  <c r="DX30" i="9"/>
  <c r="DD30" i="1"/>
  <c r="EF30" i="9"/>
  <c r="EG30" i="9"/>
  <c r="Q31" i="1"/>
  <c r="S31" i="9"/>
  <c r="T31" i="9"/>
  <c r="X31" i="1"/>
  <c r="AB31" i="9"/>
  <c r="AC31" i="9"/>
  <c r="AE31" i="1"/>
  <c r="AK31" i="9"/>
  <c r="AL31" i="9"/>
  <c r="AL31" i="1"/>
  <c r="AT31" i="9"/>
  <c r="AU31" i="9"/>
  <c r="AS31" i="1"/>
  <c r="BC31" i="9"/>
  <c r="BD31" i="9"/>
  <c r="AZ31" i="1"/>
  <c r="BL31" i="9"/>
  <c r="BM31" i="9"/>
  <c r="BG31" i="1"/>
  <c r="BU31" i="9"/>
  <c r="BV31" i="9"/>
  <c r="BN31" i="1"/>
  <c r="CD31" i="9"/>
  <c r="CE31" i="9"/>
  <c r="BU31" i="1"/>
  <c r="CM31" i="9"/>
  <c r="CN31" i="9"/>
  <c r="CB31" i="1"/>
  <c r="CV31" i="9"/>
  <c r="CW31" i="9"/>
  <c r="CI31" i="1"/>
  <c r="DE31" i="9"/>
  <c r="DF31" i="9"/>
  <c r="CP31" i="1"/>
  <c r="DN31" i="9"/>
  <c r="CW31" i="1"/>
  <c r="DW31" i="9"/>
  <c r="DX31" i="9"/>
  <c r="DD31" i="1"/>
  <c r="EF31" i="9"/>
  <c r="EG31" i="9"/>
  <c r="Q32" i="1"/>
  <c r="S32" i="9"/>
  <c r="T32" i="9"/>
  <c r="X32" i="1"/>
  <c r="AB32" i="9"/>
  <c r="AC32" i="9"/>
  <c r="AE32" i="1"/>
  <c r="AK32" i="9"/>
  <c r="AL32" i="9"/>
  <c r="AL32" i="1"/>
  <c r="AT32" i="9"/>
  <c r="AU32" i="9"/>
  <c r="AS32" i="1"/>
  <c r="BC32" i="9"/>
  <c r="BD32" i="9"/>
  <c r="AZ32" i="1"/>
  <c r="BL32" i="9"/>
  <c r="BM32" i="9"/>
  <c r="BG32" i="1"/>
  <c r="BU32" i="9"/>
  <c r="BV32" i="9"/>
  <c r="BN32" i="1"/>
  <c r="CD32" i="9"/>
  <c r="CE32" i="9"/>
  <c r="BU32" i="1"/>
  <c r="CM32" i="9"/>
  <c r="CN32" i="9"/>
  <c r="CB32" i="1"/>
  <c r="CV32" i="9"/>
  <c r="CW32" i="9"/>
  <c r="CI32" i="1"/>
  <c r="DE32" i="9"/>
  <c r="DF32" i="9"/>
  <c r="CP32" i="1"/>
  <c r="DN32" i="9"/>
  <c r="CW32" i="1"/>
  <c r="DW32" i="9"/>
  <c r="DX32" i="9"/>
  <c r="DD32" i="1"/>
  <c r="EF32" i="9"/>
  <c r="EG32" i="9"/>
  <c r="Q33" i="1"/>
  <c r="S33" i="9"/>
  <c r="T33" i="9"/>
  <c r="X33" i="1"/>
  <c r="AB33" i="9"/>
  <c r="AC33" i="9"/>
  <c r="AE33" i="1"/>
  <c r="AK33" i="9"/>
  <c r="AL33" i="9"/>
  <c r="AL33" i="1"/>
  <c r="AT33" i="9"/>
  <c r="AU33" i="9"/>
  <c r="AS33" i="1"/>
  <c r="BC33" i="9"/>
  <c r="BD33" i="9"/>
  <c r="AZ33" i="1"/>
  <c r="BL33" i="9"/>
  <c r="BM33" i="9"/>
  <c r="BG33" i="1"/>
  <c r="BU33" i="9"/>
  <c r="BV33" i="9"/>
  <c r="BN33" i="1"/>
  <c r="CD33" i="9"/>
  <c r="CE33" i="9"/>
  <c r="BU33" i="1"/>
  <c r="CM33" i="9"/>
  <c r="CN33" i="9"/>
  <c r="CB33" i="1"/>
  <c r="CV33" i="9"/>
  <c r="CW33" i="9"/>
  <c r="CI33" i="1"/>
  <c r="DE33" i="9"/>
  <c r="DF33" i="9"/>
  <c r="CP33" i="1"/>
  <c r="DN33" i="9"/>
  <c r="CW33" i="1"/>
  <c r="DW33" i="9"/>
  <c r="DX33" i="9"/>
  <c r="DD33" i="1"/>
  <c r="EF33" i="9"/>
  <c r="EG33" i="9"/>
  <c r="Q34" i="1"/>
  <c r="S34" i="9"/>
  <c r="T34" i="9"/>
  <c r="X34" i="1"/>
  <c r="AB34" i="9"/>
  <c r="AC34" i="9"/>
  <c r="AE34" i="1"/>
  <c r="AK34" i="9"/>
  <c r="AL34" i="9"/>
  <c r="AL34" i="1"/>
  <c r="AT34" i="9"/>
  <c r="AU34" i="9"/>
  <c r="AS34" i="1"/>
  <c r="BC34" i="9"/>
  <c r="BD34" i="9"/>
  <c r="AZ34" i="1"/>
  <c r="BL34" i="9"/>
  <c r="BM34" i="9"/>
  <c r="BG34" i="1"/>
  <c r="BU34" i="9"/>
  <c r="BV34" i="9"/>
  <c r="BN34" i="1"/>
  <c r="CD34" i="9"/>
  <c r="CE34" i="9"/>
  <c r="BU34" i="1"/>
  <c r="CM34" i="9"/>
  <c r="CN34" i="9"/>
  <c r="CB34" i="1"/>
  <c r="CV34" i="9"/>
  <c r="CW34" i="9"/>
  <c r="CI34" i="1"/>
  <c r="DE34" i="9"/>
  <c r="DF34" i="9"/>
  <c r="CP34" i="1"/>
  <c r="DN34" i="9"/>
  <c r="CW34" i="1"/>
  <c r="DW34" i="9"/>
  <c r="DX34" i="9"/>
  <c r="DD34" i="1"/>
  <c r="EF34" i="9"/>
  <c r="EG34" i="9"/>
  <c r="Q35" i="1"/>
  <c r="S35" i="9"/>
  <c r="T35" i="9"/>
  <c r="X35" i="1"/>
  <c r="AB35" i="9"/>
  <c r="AC35" i="9"/>
  <c r="AE35" i="1"/>
  <c r="AK35" i="9"/>
  <c r="AL35" i="9"/>
  <c r="AL35" i="1"/>
  <c r="AT35" i="9"/>
  <c r="AU35" i="9"/>
  <c r="AS35" i="1"/>
  <c r="BC35" i="9"/>
  <c r="BD35" i="9"/>
  <c r="AZ35" i="1"/>
  <c r="BL35" i="9"/>
  <c r="BM35" i="9"/>
  <c r="BG35" i="1"/>
  <c r="BU35" i="9"/>
  <c r="BV35" i="9"/>
  <c r="BN35" i="1"/>
  <c r="CD35" i="9"/>
  <c r="CE35" i="9"/>
  <c r="BU35" i="1"/>
  <c r="CM35" i="9"/>
  <c r="CN35" i="9"/>
  <c r="CB35" i="1"/>
  <c r="CV35" i="9"/>
  <c r="CW35" i="9"/>
  <c r="CI35" i="1"/>
  <c r="DE35" i="9"/>
  <c r="DF35" i="9"/>
  <c r="CP35" i="1"/>
  <c r="DN35" i="9"/>
  <c r="CW35" i="1"/>
  <c r="DW35" i="9"/>
  <c r="DX35" i="9"/>
  <c r="DD35" i="1"/>
  <c r="EF35" i="9"/>
  <c r="EG35" i="9"/>
  <c r="Q36" i="1"/>
  <c r="S36" i="9"/>
  <c r="T36" i="9"/>
  <c r="X36" i="1"/>
  <c r="AB36" i="9"/>
  <c r="AC36" i="9"/>
  <c r="AE36" i="1"/>
  <c r="AK36" i="9"/>
  <c r="AL36" i="9"/>
  <c r="AL36" i="1"/>
  <c r="AT36" i="9"/>
  <c r="AU36" i="9"/>
  <c r="AS36" i="1"/>
  <c r="BC36" i="9"/>
  <c r="BD36" i="9"/>
  <c r="AZ36" i="1"/>
  <c r="BL36" i="9"/>
  <c r="BM36" i="9"/>
  <c r="BG36" i="1"/>
  <c r="BU36" i="9"/>
  <c r="BV36" i="9"/>
  <c r="BN36" i="1"/>
  <c r="CD36" i="9"/>
  <c r="CE36" i="9"/>
  <c r="BU36" i="1"/>
  <c r="CM36" i="9"/>
  <c r="CN36" i="9"/>
  <c r="CB36" i="1"/>
  <c r="CV36" i="9"/>
  <c r="CW36" i="9"/>
  <c r="CI36" i="1"/>
  <c r="DE36" i="9"/>
  <c r="DF36" i="9"/>
  <c r="CP36" i="1"/>
  <c r="DN36" i="9"/>
  <c r="CW36" i="1"/>
  <c r="DW36" i="9"/>
  <c r="DX36" i="9"/>
  <c r="DD36" i="1"/>
  <c r="EF36" i="9"/>
  <c r="EG36" i="9"/>
  <c r="Q37" i="1"/>
  <c r="S37" i="9"/>
  <c r="T37" i="9"/>
  <c r="X37" i="1"/>
  <c r="AB37" i="9"/>
  <c r="AC37" i="9"/>
  <c r="AE37" i="1"/>
  <c r="AK37" i="9"/>
  <c r="AL37" i="9"/>
  <c r="AL37" i="1"/>
  <c r="AT37" i="9"/>
  <c r="AU37" i="9"/>
  <c r="AS37" i="1"/>
  <c r="BC37" i="9"/>
  <c r="BD37" i="9"/>
  <c r="AZ37" i="1"/>
  <c r="BL37" i="9"/>
  <c r="BM37" i="9"/>
  <c r="BG37" i="1"/>
  <c r="BU37" i="9"/>
  <c r="BV37" i="9"/>
  <c r="BN37" i="1"/>
  <c r="CD37" i="9"/>
  <c r="CE37" i="9"/>
  <c r="BU37" i="1"/>
  <c r="BQ78" i="1"/>
  <c r="CM37" i="9"/>
  <c r="CN37" i="9"/>
  <c r="CB37" i="1"/>
  <c r="CV37" i="9"/>
  <c r="CW37" i="9"/>
  <c r="CI37" i="1"/>
  <c r="DE37" i="9"/>
  <c r="DF37" i="9"/>
  <c r="CP37" i="1"/>
  <c r="DN37" i="9"/>
  <c r="CW37" i="1"/>
  <c r="DW37" i="9"/>
  <c r="DX37" i="9"/>
  <c r="DD37" i="1"/>
  <c r="EF37" i="9"/>
  <c r="EG37" i="9"/>
  <c r="Q38" i="1"/>
  <c r="S38" i="9"/>
  <c r="T38" i="9"/>
  <c r="X38" i="1"/>
  <c r="AB38" i="9"/>
  <c r="AC38" i="9"/>
  <c r="AE38" i="1"/>
  <c r="AK38" i="9"/>
  <c r="AL38" i="9"/>
  <c r="AL38" i="1"/>
  <c r="AT38" i="9"/>
  <c r="AU38" i="9"/>
  <c r="AS38" i="1"/>
  <c r="AP77" i="1"/>
  <c r="BC38" i="9"/>
  <c r="BD38" i="9"/>
  <c r="AZ38" i="1"/>
  <c r="BL38" i="9"/>
  <c r="BM38" i="9"/>
  <c r="BG38" i="1"/>
  <c r="BU38" i="9"/>
  <c r="BV38" i="9"/>
  <c r="BN38" i="1"/>
  <c r="CD38" i="9"/>
  <c r="CE38" i="9"/>
  <c r="BU38" i="1"/>
  <c r="CM38" i="9"/>
  <c r="CN38" i="9"/>
  <c r="CB38" i="1"/>
  <c r="CV38" i="9"/>
  <c r="CW38" i="9"/>
  <c r="CI38" i="1"/>
  <c r="DE38" i="9"/>
  <c r="DF38" i="9"/>
  <c r="CP38" i="1"/>
  <c r="DN38" i="9"/>
  <c r="CW38" i="1"/>
  <c r="DW38" i="9"/>
  <c r="DX38" i="9"/>
  <c r="DD38" i="1"/>
  <c r="EF38" i="9"/>
  <c r="EG38" i="9"/>
  <c r="Q39" i="1"/>
  <c r="S39" i="9"/>
  <c r="T39" i="9"/>
  <c r="X39" i="1"/>
  <c r="AB39" i="9"/>
  <c r="AC39" i="9"/>
  <c r="AE39" i="1"/>
  <c r="AK39" i="9"/>
  <c r="AL39" i="9"/>
  <c r="AL39" i="1"/>
  <c r="AT39" i="9"/>
  <c r="AU39" i="9"/>
  <c r="AS39" i="1"/>
  <c r="BC39" i="9"/>
  <c r="BD39" i="9"/>
  <c r="AZ39" i="1"/>
  <c r="BL39" i="9"/>
  <c r="BM39" i="9"/>
  <c r="BG39" i="1"/>
  <c r="BU39" i="9"/>
  <c r="BV39" i="9"/>
  <c r="BN39" i="1"/>
  <c r="CD39" i="9"/>
  <c r="CE39" i="9"/>
  <c r="BU39" i="1"/>
  <c r="CM39" i="9"/>
  <c r="CN39" i="9"/>
  <c r="CB39" i="1"/>
  <c r="CV39" i="9"/>
  <c r="CW39" i="9"/>
  <c r="CI39" i="1"/>
  <c r="DE39" i="9"/>
  <c r="DF39" i="9"/>
  <c r="CP39" i="1"/>
  <c r="DN39" i="9"/>
  <c r="CW39" i="1"/>
  <c r="DW39" i="9"/>
  <c r="DX39" i="9"/>
  <c r="DD39" i="1"/>
  <c r="EF39" i="9"/>
  <c r="EG39" i="9"/>
  <c r="Q40" i="1"/>
  <c r="R40" i="9"/>
  <c r="S40" i="9"/>
  <c r="T40" i="9"/>
  <c r="X40" i="1"/>
  <c r="AA40" i="9"/>
  <c r="AB40" i="9"/>
  <c r="AC40" i="9"/>
  <c r="AE40" i="1"/>
  <c r="AJ40" i="9"/>
  <c r="AK40" i="9"/>
  <c r="AL40" i="9"/>
  <c r="AL40" i="1"/>
  <c r="AS40" i="9"/>
  <c r="AT40" i="9"/>
  <c r="AU40" i="9"/>
  <c r="AS40" i="1"/>
  <c r="BB40" i="9"/>
  <c r="BC40" i="9"/>
  <c r="BD40" i="9"/>
  <c r="AZ40" i="1"/>
  <c r="BK40" i="9"/>
  <c r="BL40" i="9"/>
  <c r="BM40" i="9"/>
  <c r="BG40" i="1"/>
  <c r="BT40" i="9"/>
  <c r="BU40" i="9"/>
  <c r="BV40" i="9"/>
  <c r="BN40" i="1"/>
  <c r="CC40" i="9"/>
  <c r="CD40" i="9"/>
  <c r="CE40" i="9"/>
  <c r="BU40" i="1"/>
  <c r="CL40" i="9"/>
  <c r="CM40" i="9"/>
  <c r="CN40" i="9"/>
  <c r="CB40" i="1"/>
  <c r="CU40" i="9"/>
  <c r="CV40" i="9"/>
  <c r="CW40" i="9"/>
  <c r="CI40" i="1"/>
  <c r="DD40" i="9"/>
  <c r="DE40" i="9"/>
  <c r="DF40" i="9"/>
  <c r="CP40" i="1"/>
  <c r="DM40" i="9"/>
  <c r="DN40" i="9"/>
  <c r="CW40" i="1"/>
  <c r="DV40" i="9"/>
  <c r="DW40" i="9"/>
  <c r="DX40" i="9"/>
  <c r="DD40" i="1"/>
  <c r="EE40" i="9"/>
  <c r="EF40" i="9"/>
  <c r="EG40" i="9"/>
  <c r="Q41" i="1"/>
  <c r="S41" i="9"/>
  <c r="T41" i="9"/>
  <c r="X41" i="1"/>
  <c r="AB41" i="9"/>
  <c r="AC41" i="9"/>
  <c r="AE41" i="1"/>
  <c r="AK41" i="9"/>
  <c r="AL41" i="9"/>
  <c r="AL41" i="1"/>
  <c r="AT41" i="9"/>
  <c r="AU41" i="9"/>
  <c r="AS41" i="1"/>
  <c r="BC41" i="9"/>
  <c r="BD41" i="9"/>
  <c r="AZ41" i="1"/>
  <c r="BL41" i="9"/>
  <c r="BM41" i="9"/>
  <c r="BG41" i="1"/>
  <c r="BU41" i="9"/>
  <c r="BV41" i="9"/>
  <c r="BN41" i="1"/>
  <c r="CD41" i="9"/>
  <c r="CE41" i="9"/>
  <c r="BU41" i="1"/>
  <c r="CM41" i="9"/>
  <c r="CN41" i="9"/>
  <c r="CB41" i="1"/>
  <c r="CV41" i="9"/>
  <c r="CW41" i="9"/>
  <c r="CI41" i="1"/>
  <c r="DE41" i="9"/>
  <c r="DF41" i="9"/>
  <c r="CP41" i="1"/>
  <c r="DN41" i="9"/>
  <c r="CW41" i="1"/>
  <c r="DW41" i="9"/>
  <c r="DX41" i="9"/>
  <c r="DD41" i="1"/>
  <c r="EF41" i="9"/>
  <c r="EG41" i="9"/>
  <c r="Q42" i="1"/>
  <c r="R42" i="9"/>
  <c r="S42" i="9"/>
  <c r="T42" i="9"/>
  <c r="X42" i="1"/>
  <c r="AA42" i="9"/>
  <c r="AB42" i="9"/>
  <c r="AC42" i="9"/>
  <c r="AE42" i="1"/>
  <c r="AJ42" i="9"/>
  <c r="AK42" i="9"/>
  <c r="AL42" i="9"/>
  <c r="AL42" i="1"/>
  <c r="AS42" i="9"/>
  <c r="AT42" i="9"/>
  <c r="AU42" i="9"/>
  <c r="AS42" i="1"/>
  <c r="BB42" i="9"/>
  <c r="BC42" i="9"/>
  <c r="BD42" i="9"/>
  <c r="AZ42" i="1"/>
  <c r="BK42" i="9"/>
  <c r="BL42" i="9"/>
  <c r="BM42" i="9"/>
  <c r="BG42" i="1"/>
  <c r="BT42" i="9"/>
  <c r="BU42" i="9"/>
  <c r="BV42" i="9"/>
  <c r="BN42" i="1"/>
  <c r="CC42" i="9"/>
  <c r="CD42" i="9"/>
  <c r="CE42" i="9"/>
  <c r="BU42" i="1"/>
  <c r="CL42" i="9"/>
  <c r="CM42" i="9"/>
  <c r="CN42" i="9"/>
  <c r="CB42" i="1"/>
  <c r="CU42" i="9"/>
  <c r="CV42" i="9"/>
  <c r="CW42" i="9"/>
  <c r="CI42" i="1"/>
  <c r="DD42" i="9"/>
  <c r="DE42" i="9"/>
  <c r="DF42" i="9"/>
  <c r="CP42" i="1"/>
  <c r="DM42" i="9"/>
  <c r="DN42" i="9"/>
  <c r="CW42" i="1"/>
  <c r="DV42" i="9"/>
  <c r="DW42" i="9"/>
  <c r="DX42" i="9"/>
  <c r="DD42" i="1"/>
  <c r="EE42" i="9"/>
  <c r="EF42" i="9"/>
  <c r="EG42" i="9"/>
  <c r="Q43" i="1"/>
  <c r="R43" i="9"/>
  <c r="S43" i="9"/>
  <c r="T43" i="9"/>
  <c r="X43" i="1"/>
  <c r="AA43" i="9"/>
  <c r="AB43" i="9"/>
  <c r="AC43" i="9"/>
  <c r="AE43" i="1"/>
  <c r="AJ43" i="9"/>
  <c r="AK43" i="9"/>
  <c r="AL43" i="9"/>
  <c r="AL43" i="1"/>
  <c r="AS43" i="9"/>
  <c r="AT43" i="9"/>
  <c r="AU43" i="9"/>
  <c r="AS43" i="1"/>
  <c r="BB43" i="9"/>
  <c r="BC43" i="9"/>
  <c r="BD43" i="9"/>
  <c r="AZ43" i="1"/>
  <c r="BK43" i="9"/>
  <c r="BL43" i="9"/>
  <c r="BM43" i="9"/>
  <c r="BG43" i="1"/>
  <c r="BT43" i="9"/>
  <c r="BU43" i="9"/>
  <c r="BV43" i="9"/>
  <c r="BN43" i="1"/>
  <c r="CC43" i="9"/>
  <c r="CD43" i="9"/>
  <c r="CE43" i="9"/>
  <c r="BU43" i="1"/>
  <c r="CL43" i="9"/>
  <c r="CM43" i="9"/>
  <c r="CN43" i="9"/>
  <c r="CB43" i="1"/>
  <c r="CU43" i="9"/>
  <c r="CV43" i="9"/>
  <c r="CW43" i="9"/>
  <c r="CI43" i="1"/>
  <c r="DD43" i="9"/>
  <c r="DE43" i="9"/>
  <c r="DF43" i="9"/>
  <c r="CP43" i="1"/>
  <c r="DM43" i="9"/>
  <c r="DN43" i="9"/>
  <c r="CW43" i="1"/>
  <c r="DV43" i="9"/>
  <c r="DW43" i="9"/>
  <c r="DX43" i="9"/>
  <c r="DD43" i="1"/>
  <c r="EE43" i="9"/>
  <c r="EF43" i="9"/>
  <c r="EG43" i="9"/>
  <c r="Q44" i="1"/>
  <c r="R44" i="9"/>
  <c r="S44" i="9"/>
  <c r="T44" i="9"/>
  <c r="X44" i="1"/>
  <c r="AA44" i="9"/>
  <c r="AB44" i="9"/>
  <c r="AC44" i="9"/>
  <c r="AE44" i="1"/>
  <c r="AJ44" i="9"/>
  <c r="AK44" i="9"/>
  <c r="AL44" i="9"/>
  <c r="AL44" i="1"/>
  <c r="AS44" i="9"/>
  <c r="AT44" i="9"/>
  <c r="AU44" i="9"/>
  <c r="AS44" i="1"/>
  <c r="BB44" i="9"/>
  <c r="BC44" i="9"/>
  <c r="BD44" i="9"/>
  <c r="AZ44" i="1"/>
  <c r="BK44" i="9"/>
  <c r="BL44" i="9"/>
  <c r="BM44" i="9"/>
  <c r="BG44" i="1"/>
  <c r="BT44" i="9"/>
  <c r="BU44" i="9"/>
  <c r="BV44" i="9"/>
  <c r="BN44" i="1"/>
  <c r="CC44" i="9"/>
  <c r="CD44" i="9"/>
  <c r="CE44" i="9"/>
  <c r="BU44" i="1"/>
  <c r="CL44" i="9"/>
  <c r="CM44" i="9"/>
  <c r="CN44" i="9"/>
  <c r="CB44" i="1"/>
  <c r="CU44" i="9"/>
  <c r="CV44" i="9"/>
  <c r="CW44" i="9"/>
  <c r="CI44" i="1"/>
  <c r="DD44" i="9"/>
  <c r="DE44" i="9"/>
  <c r="DF44" i="9"/>
  <c r="CP44" i="1"/>
  <c r="DM44" i="9"/>
  <c r="DO44" i="9"/>
  <c r="DN44" i="9"/>
  <c r="CW44" i="1"/>
  <c r="DV44" i="9"/>
  <c r="DW44" i="9"/>
  <c r="DX44" i="9"/>
  <c r="DD44" i="1"/>
  <c r="EE44" i="9"/>
  <c r="EF44" i="9"/>
  <c r="EG44" i="9"/>
  <c r="Q45" i="1"/>
  <c r="S45" i="9"/>
  <c r="T45" i="9"/>
  <c r="X45" i="1"/>
  <c r="AB45" i="9"/>
  <c r="AC45" i="9"/>
  <c r="AE45" i="1"/>
  <c r="AK45" i="9"/>
  <c r="AL45" i="9"/>
  <c r="AL45" i="1"/>
  <c r="AT45" i="9"/>
  <c r="AU45" i="9"/>
  <c r="AS45" i="1"/>
  <c r="BC45" i="9"/>
  <c r="BD45" i="9"/>
  <c r="AZ45" i="1"/>
  <c r="BL45" i="9"/>
  <c r="BM45" i="9"/>
  <c r="BG45" i="1"/>
  <c r="BU45" i="9"/>
  <c r="BV45" i="9"/>
  <c r="BN45" i="1"/>
  <c r="CD45" i="9"/>
  <c r="CE45" i="9"/>
  <c r="BU45" i="1"/>
  <c r="CM45" i="9"/>
  <c r="CN45" i="9"/>
  <c r="CB45" i="1"/>
  <c r="CV45" i="9"/>
  <c r="CW45" i="9"/>
  <c r="CI45" i="1"/>
  <c r="DE45" i="9"/>
  <c r="DF45" i="9"/>
  <c r="CP45" i="1"/>
  <c r="DN45" i="9"/>
  <c r="CW45" i="1"/>
  <c r="DW45" i="9"/>
  <c r="DX45" i="9"/>
  <c r="DD45" i="1"/>
  <c r="EF45" i="9"/>
  <c r="EG45" i="9"/>
  <c r="Q46" i="1"/>
  <c r="R46" i="9"/>
  <c r="S46" i="9"/>
  <c r="T46" i="9"/>
  <c r="X46" i="1"/>
  <c r="AA46" i="9"/>
  <c r="AB46" i="9"/>
  <c r="AC46" i="9"/>
  <c r="AE46" i="1"/>
  <c r="AJ46" i="9"/>
  <c r="AK46" i="9"/>
  <c r="AL46" i="9"/>
  <c r="AL46" i="1"/>
  <c r="AS46" i="9"/>
  <c r="AT46" i="9"/>
  <c r="AU46" i="9"/>
  <c r="AS46" i="1"/>
  <c r="BB46" i="9"/>
  <c r="BC46" i="9"/>
  <c r="BD46" i="9"/>
  <c r="AZ46" i="1"/>
  <c r="BK46" i="9"/>
  <c r="BL46" i="9"/>
  <c r="BM46" i="9"/>
  <c r="BG46" i="1"/>
  <c r="BT46" i="9"/>
  <c r="BU46" i="9"/>
  <c r="BV46" i="9"/>
  <c r="BN46" i="1"/>
  <c r="CC46" i="9"/>
  <c r="CD46" i="9"/>
  <c r="CE46" i="9"/>
  <c r="BU46" i="1"/>
  <c r="CL46" i="9"/>
  <c r="CM46" i="9"/>
  <c r="CN46" i="9"/>
  <c r="CB46" i="1"/>
  <c r="CU46" i="9"/>
  <c r="CV46" i="9"/>
  <c r="CW46" i="9"/>
  <c r="CI46" i="1"/>
  <c r="DD46" i="9"/>
  <c r="DE46" i="9"/>
  <c r="DF46" i="9"/>
  <c r="CP46" i="1"/>
  <c r="DM46" i="9"/>
  <c r="DN46" i="9"/>
  <c r="CW46" i="1"/>
  <c r="DV46" i="9"/>
  <c r="DW46" i="9"/>
  <c r="DX46" i="9"/>
  <c r="DD46" i="1"/>
  <c r="EE46" i="9"/>
  <c r="EF46" i="9"/>
  <c r="EG46" i="9"/>
  <c r="Q47" i="1"/>
  <c r="R47" i="9"/>
  <c r="S47" i="9"/>
  <c r="T47" i="9"/>
  <c r="X47" i="1"/>
  <c r="AA47" i="9"/>
  <c r="AB47" i="9"/>
  <c r="AC47" i="9"/>
  <c r="AE47" i="1"/>
  <c r="AJ47" i="9"/>
  <c r="AK47" i="9"/>
  <c r="AL47" i="9"/>
  <c r="AL47" i="1"/>
  <c r="AS47" i="9"/>
  <c r="AT47" i="9"/>
  <c r="AU47" i="9"/>
  <c r="AS47" i="1"/>
  <c r="BB47" i="9"/>
  <c r="BC47" i="9"/>
  <c r="BD47" i="9"/>
  <c r="AZ47" i="1"/>
  <c r="BK47" i="9"/>
  <c r="BL47" i="9"/>
  <c r="BM47" i="9"/>
  <c r="BG47" i="1"/>
  <c r="BT47" i="9"/>
  <c r="BU47" i="9"/>
  <c r="BV47" i="9"/>
  <c r="BN47" i="1"/>
  <c r="CC47" i="9"/>
  <c r="CD47" i="9"/>
  <c r="CE47" i="9"/>
  <c r="BU47" i="1"/>
  <c r="CL47" i="9"/>
  <c r="CM47" i="9"/>
  <c r="CN47" i="9"/>
  <c r="CB47" i="1"/>
  <c r="CU47" i="9"/>
  <c r="CV47" i="9"/>
  <c r="CW47" i="9"/>
  <c r="CI47" i="1"/>
  <c r="DD47" i="9"/>
  <c r="DE47" i="9"/>
  <c r="DF47" i="9"/>
  <c r="CP47" i="1"/>
  <c r="DM47" i="9"/>
  <c r="DN47" i="9"/>
  <c r="CW47" i="1"/>
  <c r="DV47" i="9"/>
  <c r="DW47" i="9"/>
  <c r="DX47" i="9"/>
  <c r="DD47" i="1"/>
  <c r="EE47" i="9"/>
  <c r="EF47" i="9"/>
  <c r="EG47" i="9"/>
  <c r="Q48" i="1"/>
  <c r="R48" i="9"/>
  <c r="S48" i="9"/>
  <c r="T48" i="9"/>
  <c r="X48" i="1"/>
  <c r="AA48" i="9"/>
  <c r="AB48" i="9"/>
  <c r="AC48" i="9"/>
  <c r="AE48" i="1"/>
  <c r="AJ48" i="9"/>
  <c r="AK48" i="9"/>
  <c r="AL48" i="9"/>
  <c r="AL48" i="1"/>
  <c r="AS48" i="9"/>
  <c r="AT48" i="9"/>
  <c r="AU48" i="9"/>
  <c r="AS48" i="1"/>
  <c r="BB48" i="9"/>
  <c r="BC48" i="9"/>
  <c r="BD48" i="9"/>
  <c r="AZ48" i="1"/>
  <c r="BK48" i="9"/>
  <c r="BL48" i="9"/>
  <c r="BM48" i="9"/>
  <c r="BG48" i="1"/>
  <c r="BT48" i="9"/>
  <c r="BU48" i="9"/>
  <c r="BV48" i="9"/>
  <c r="BN48" i="1"/>
  <c r="CC48" i="9"/>
  <c r="CD48" i="9"/>
  <c r="CE48" i="9"/>
  <c r="BU48" i="1"/>
  <c r="CL48" i="9"/>
  <c r="CM48" i="9"/>
  <c r="CN48" i="9"/>
  <c r="CB48" i="1"/>
  <c r="CU48" i="9"/>
  <c r="CV48" i="9"/>
  <c r="CW48" i="9"/>
  <c r="CI48" i="1"/>
  <c r="DD48" i="9"/>
  <c r="DE48" i="9"/>
  <c r="DF48" i="9"/>
  <c r="CP48" i="1"/>
  <c r="DM48" i="9"/>
  <c r="DN48" i="9"/>
  <c r="CW48" i="1"/>
  <c r="DV48" i="9"/>
  <c r="DW48" i="9"/>
  <c r="DX48" i="9"/>
  <c r="DD48" i="1"/>
  <c r="EE48" i="9"/>
  <c r="EF48" i="9"/>
  <c r="EG48" i="9"/>
  <c r="Q49" i="1"/>
  <c r="S49" i="9"/>
  <c r="T49" i="9"/>
  <c r="X49" i="1"/>
  <c r="AB49" i="9"/>
  <c r="AC49" i="9"/>
  <c r="AE49" i="1"/>
  <c r="AK49" i="9"/>
  <c r="AL49" i="9"/>
  <c r="AL49" i="1"/>
  <c r="AT49" i="9"/>
  <c r="AU49" i="9"/>
  <c r="AS49" i="1"/>
  <c r="BC49" i="9"/>
  <c r="BD49" i="9"/>
  <c r="AZ49" i="1"/>
  <c r="BL49" i="9"/>
  <c r="BM49" i="9"/>
  <c r="BG49" i="1"/>
  <c r="BU49" i="9"/>
  <c r="BV49" i="9"/>
  <c r="BN49" i="1"/>
  <c r="CD49" i="9"/>
  <c r="CE49" i="9"/>
  <c r="BU49" i="1"/>
  <c r="CM49" i="9"/>
  <c r="CN49" i="9"/>
  <c r="CB49" i="1"/>
  <c r="CV49" i="9"/>
  <c r="CW49" i="9"/>
  <c r="CI49" i="1"/>
  <c r="DE49" i="9"/>
  <c r="DF49" i="9"/>
  <c r="CP49" i="1"/>
  <c r="DN49" i="9"/>
  <c r="CW49" i="1"/>
  <c r="DW49" i="9"/>
  <c r="DX49" i="9"/>
  <c r="DD49" i="1"/>
  <c r="EF49" i="9"/>
  <c r="EG49" i="9"/>
  <c r="Q50" i="1"/>
  <c r="R50" i="9"/>
  <c r="S50" i="9"/>
  <c r="T50" i="9"/>
  <c r="X50" i="1"/>
  <c r="AB50" i="9"/>
  <c r="AC50" i="9"/>
  <c r="AE50" i="1"/>
  <c r="AJ50" i="9"/>
  <c r="AK50" i="9"/>
  <c r="AL50" i="9"/>
  <c r="AL50" i="1"/>
  <c r="AT50" i="9"/>
  <c r="AU50" i="9"/>
  <c r="AS50" i="1"/>
  <c r="BB50" i="9"/>
  <c r="BC50" i="9"/>
  <c r="BD50" i="9"/>
  <c r="AZ50" i="1"/>
  <c r="BL50" i="9"/>
  <c r="BM50" i="9"/>
  <c r="BG50" i="1"/>
  <c r="BT50" i="9"/>
  <c r="BU50" i="9"/>
  <c r="BV50" i="9"/>
  <c r="BN50" i="1"/>
  <c r="CD50" i="9"/>
  <c r="CE50" i="9"/>
  <c r="BU50" i="1"/>
  <c r="CL50" i="9"/>
  <c r="CM50" i="9"/>
  <c r="CN50" i="9"/>
  <c r="CB50" i="1"/>
  <c r="CV50" i="9"/>
  <c r="CW50" i="9"/>
  <c r="CI50" i="1"/>
  <c r="DD50" i="9"/>
  <c r="DE50" i="9"/>
  <c r="DF50" i="9"/>
  <c r="CP50" i="1"/>
  <c r="DN50" i="9"/>
  <c r="CW50" i="1"/>
  <c r="DW50" i="9"/>
  <c r="DX50" i="9"/>
  <c r="DD50" i="1"/>
  <c r="EF50" i="9"/>
  <c r="EG50" i="9"/>
  <c r="Q51" i="1"/>
  <c r="S51" i="9"/>
  <c r="T51" i="9"/>
  <c r="X51" i="1"/>
  <c r="AB51" i="9"/>
  <c r="AC51" i="9"/>
  <c r="AE51" i="1"/>
  <c r="AK51" i="9"/>
  <c r="AL51" i="9"/>
  <c r="AL51" i="1"/>
  <c r="AT51" i="9"/>
  <c r="AU51" i="9"/>
  <c r="AS51" i="1"/>
  <c r="BC51" i="9"/>
  <c r="BD51" i="9"/>
  <c r="AZ51" i="1"/>
  <c r="BL51" i="9"/>
  <c r="BM51" i="9"/>
  <c r="BG51" i="1"/>
  <c r="BU51" i="9"/>
  <c r="BV51" i="9"/>
  <c r="BN51" i="1"/>
  <c r="CD51" i="9"/>
  <c r="CE51" i="9"/>
  <c r="BU51" i="1"/>
  <c r="CM51" i="9"/>
  <c r="CN51" i="9"/>
  <c r="CB51" i="1"/>
  <c r="CV51" i="9"/>
  <c r="CW51" i="9"/>
  <c r="CI51" i="1"/>
  <c r="DE51" i="9"/>
  <c r="DF51" i="9"/>
  <c r="CP51" i="1"/>
  <c r="DN51" i="9"/>
  <c r="CW51" i="1"/>
  <c r="DW51" i="9"/>
  <c r="DX51" i="9"/>
  <c r="DD51" i="1"/>
  <c r="EF51" i="9"/>
  <c r="EG51" i="9"/>
  <c r="Q52" i="1"/>
  <c r="R52" i="9"/>
  <c r="S52" i="9"/>
  <c r="T52" i="9"/>
  <c r="X52" i="1"/>
  <c r="AA52" i="9"/>
  <c r="AB52" i="9"/>
  <c r="AC52" i="9"/>
  <c r="AE52" i="1"/>
  <c r="AJ52" i="9"/>
  <c r="AK52" i="9"/>
  <c r="AL52" i="9"/>
  <c r="AL52" i="1"/>
  <c r="AS52" i="9"/>
  <c r="AT52" i="9"/>
  <c r="AU52" i="9"/>
  <c r="AS52" i="1"/>
  <c r="BB52" i="9"/>
  <c r="BC52" i="9"/>
  <c r="BD52" i="9"/>
  <c r="AZ52" i="1"/>
  <c r="BK52" i="9"/>
  <c r="BL52" i="9"/>
  <c r="BM52" i="9"/>
  <c r="BG52" i="1"/>
  <c r="BT52" i="9"/>
  <c r="BU52" i="9"/>
  <c r="BV52" i="9"/>
  <c r="BN52" i="1"/>
  <c r="CC52" i="9"/>
  <c r="CD52" i="9"/>
  <c r="CE52" i="9"/>
  <c r="BU52" i="1"/>
  <c r="CL52" i="9"/>
  <c r="CM52" i="9"/>
  <c r="CN52" i="9"/>
  <c r="CB52" i="1"/>
  <c r="CU52" i="9"/>
  <c r="CV52" i="9"/>
  <c r="CW52" i="9"/>
  <c r="CI52" i="1"/>
  <c r="DD52" i="9"/>
  <c r="DE52" i="9"/>
  <c r="DF52" i="9"/>
  <c r="CP52" i="1"/>
  <c r="DM52" i="9"/>
  <c r="DN52" i="9"/>
  <c r="CW52" i="1"/>
  <c r="DV52" i="9"/>
  <c r="DW52" i="9"/>
  <c r="DX52" i="9"/>
  <c r="DD52" i="1"/>
  <c r="EE52" i="9"/>
  <c r="EF52" i="9"/>
  <c r="EG52" i="9"/>
  <c r="A1572" i="25"/>
  <c r="A1569" i="25"/>
  <c r="A1568" i="25"/>
  <c r="D1566" i="25"/>
  <c r="D1564" i="25"/>
  <c r="A1543" i="25"/>
  <c r="A1540" i="25"/>
  <c r="A1539" i="25"/>
  <c r="D1537" i="25"/>
  <c r="D1535" i="25"/>
  <c r="F1516" i="25"/>
  <c r="A1514" i="25"/>
  <c r="A1511" i="25"/>
  <c r="A1510" i="25"/>
  <c r="D1508" i="25"/>
  <c r="D1506" i="25"/>
  <c r="F1487" i="25"/>
  <c r="A1485" i="25"/>
  <c r="A1482" i="25"/>
  <c r="A1481" i="25"/>
  <c r="D1479" i="25"/>
  <c r="D1477" i="25"/>
  <c r="A1456" i="25"/>
  <c r="A1453" i="25"/>
  <c r="A1452" i="25"/>
  <c r="D1450" i="25"/>
  <c r="D1448" i="25"/>
  <c r="A1427" i="25"/>
  <c r="A1424" i="25"/>
  <c r="A1423" i="25"/>
  <c r="D1421" i="25"/>
  <c r="D1419" i="25"/>
  <c r="F1400" i="25"/>
  <c r="A1398" i="25"/>
  <c r="A1395" i="25"/>
  <c r="A1394" i="25"/>
  <c r="D1392" i="25"/>
  <c r="D1390" i="25"/>
  <c r="A1369" i="25"/>
  <c r="A1366" i="25"/>
  <c r="A1365" i="25"/>
  <c r="D1363" i="25"/>
  <c r="D1361" i="25"/>
  <c r="A1340" i="25"/>
  <c r="A1337" i="25"/>
  <c r="A1336" i="25"/>
  <c r="D1334" i="25"/>
  <c r="D1332" i="25"/>
  <c r="A1311" i="25"/>
  <c r="A1308" i="25"/>
  <c r="A1307" i="25"/>
  <c r="D1305" i="25"/>
  <c r="D1303" i="25"/>
  <c r="F1284" i="25"/>
  <c r="A1282" i="25"/>
  <c r="A1279" i="25"/>
  <c r="A1278" i="25"/>
  <c r="D1276" i="25"/>
  <c r="D1274" i="25"/>
  <c r="F1255" i="25"/>
  <c r="A1253" i="25"/>
  <c r="A1250" i="25"/>
  <c r="A1249" i="25"/>
  <c r="D1247" i="25"/>
  <c r="D1245" i="25"/>
  <c r="A1224" i="25"/>
  <c r="A1221" i="25"/>
  <c r="A1220" i="25"/>
  <c r="D1218" i="25"/>
  <c r="D1216" i="25"/>
  <c r="A1195" i="25"/>
  <c r="A1192" i="25"/>
  <c r="A1191" i="25"/>
  <c r="D1189" i="25"/>
  <c r="D1187" i="25"/>
  <c r="F1168" i="25"/>
  <c r="A1166" i="25"/>
  <c r="A1163" i="25"/>
  <c r="A1162" i="25"/>
  <c r="D1160" i="25"/>
  <c r="D1158" i="25"/>
  <c r="A1137" i="25"/>
  <c r="A1134" i="25"/>
  <c r="A1133" i="25"/>
  <c r="D1131" i="25"/>
  <c r="D1129" i="25"/>
  <c r="A1108" i="25"/>
  <c r="A1105" i="25"/>
  <c r="A1104" i="25"/>
  <c r="D1102" i="25"/>
  <c r="D1100" i="25"/>
  <c r="A1079" i="25"/>
  <c r="A1076" i="25"/>
  <c r="A1075" i="25"/>
  <c r="D1073" i="25"/>
  <c r="D1071" i="25"/>
  <c r="F1052" i="25"/>
  <c r="A1050" i="25"/>
  <c r="A1047" i="25"/>
  <c r="A1046" i="25"/>
  <c r="D1044" i="25"/>
  <c r="D1042" i="25"/>
  <c r="F1023" i="25"/>
  <c r="A1021" i="25"/>
  <c r="A1018" i="25"/>
  <c r="A1017" i="25"/>
  <c r="D1015" i="25"/>
  <c r="D1013" i="25"/>
  <c r="A992" i="25"/>
  <c r="A989" i="25"/>
  <c r="A988" i="25"/>
  <c r="D986" i="25"/>
  <c r="D984" i="25"/>
  <c r="A963" i="25"/>
  <c r="A960" i="25"/>
  <c r="A959" i="25"/>
  <c r="D957" i="25"/>
  <c r="D955" i="25"/>
  <c r="F936" i="25"/>
  <c r="A934" i="25"/>
  <c r="A931" i="25"/>
  <c r="A930" i="25"/>
  <c r="D928" i="25"/>
  <c r="D926" i="25"/>
  <c r="A905" i="25"/>
  <c r="A902" i="25"/>
  <c r="A901" i="25"/>
  <c r="D899" i="25"/>
  <c r="D897" i="25"/>
  <c r="A876" i="25"/>
  <c r="A873" i="25"/>
  <c r="A872" i="25"/>
  <c r="D870" i="25"/>
  <c r="D868" i="25"/>
  <c r="A847" i="25"/>
  <c r="A844" i="25"/>
  <c r="A843" i="25"/>
  <c r="D841" i="25"/>
  <c r="D839" i="25"/>
  <c r="F820" i="25"/>
  <c r="A818" i="25"/>
  <c r="A815" i="25"/>
  <c r="A814" i="25"/>
  <c r="D812" i="25"/>
  <c r="D810" i="25"/>
  <c r="F791" i="25"/>
  <c r="A789" i="25"/>
  <c r="A786" i="25"/>
  <c r="A785" i="25"/>
  <c r="D783" i="25"/>
  <c r="D781" i="25"/>
  <c r="A760" i="25"/>
  <c r="A757" i="25"/>
  <c r="A756" i="25"/>
  <c r="D754" i="25"/>
  <c r="D752" i="25"/>
  <c r="A731" i="25"/>
  <c r="A728" i="25"/>
  <c r="A727" i="25"/>
  <c r="D725" i="25"/>
  <c r="D723" i="25"/>
  <c r="F704" i="25"/>
  <c r="A702" i="25"/>
  <c r="A699" i="25"/>
  <c r="A698" i="25"/>
  <c r="D696" i="25"/>
  <c r="D694" i="25"/>
  <c r="A673" i="25"/>
  <c r="A670" i="25"/>
  <c r="A669" i="25"/>
  <c r="D667" i="25"/>
  <c r="D665" i="25"/>
  <c r="A644" i="25"/>
  <c r="A641" i="25"/>
  <c r="A640" i="25"/>
  <c r="D638" i="25"/>
  <c r="D636" i="25"/>
  <c r="A615" i="25"/>
  <c r="A612" i="25"/>
  <c r="A611" i="25"/>
  <c r="D609" i="25"/>
  <c r="D607" i="25"/>
  <c r="F588" i="25"/>
  <c r="A586" i="25"/>
  <c r="A583" i="25"/>
  <c r="A582" i="25"/>
  <c r="D580" i="25"/>
  <c r="D578" i="25"/>
  <c r="F559" i="25"/>
  <c r="A557" i="25"/>
  <c r="A554" i="25"/>
  <c r="A553" i="25"/>
  <c r="D551" i="25"/>
  <c r="D549" i="25"/>
  <c r="A528" i="25"/>
  <c r="A525" i="25"/>
  <c r="A524" i="25"/>
  <c r="D522" i="25"/>
  <c r="D520" i="25"/>
  <c r="A499" i="25"/>
  <c r="A496" i="25"/>
  <c r="A495" i="25"/>
  <c r="D493" i="25"/>
  <c r="D491" i="25"/>
  <c r="F472" i="25"/>
  <c r="A470" i="25"/>
  <c r="A467" i="25"/>
  <c r="A466" i="25"/>
  <c r="D464" i="25"/>
  <c r="D462" i="25"/>
  <c r="A441" i="25"/>
  <c r="A438" i="25"/>
  <c r="A437" i="25"/>
  <c r="D435" i="25"/>
  <c r="D433" i="25"/>
  <c r="A412" i="25"/>
  <c r="A409" i="25"/>
  <c r="A408" i="25"/>
  <c r="D406" i="25"/>
  <c r="D404" i="25"/>
  <c r="A383" i="25"/>
  <c r="A380" i="25"/>
  <c r="A379" i="25"/>
  <c r="D377" i="25"/>
  <c r="D375" i="25"/>
  <c r="F356" i="25"/>
  <c r="A354" i="25"/>
  <c r="A351" i="25"/>
  <c r="A350" i="25"/>
  <c r="D348" i="25"/>
  <c r="D346" i="25"/>
  <c r="F327" i="25"/>
  <c r="A325" i="25"/>
  <c r="A322" i="25"/>
  <c r="A321" i="25"/>
  <c r="D319" i="25"/>
  <c r="D317" i="25"/>
  <c r="A296" i="25"/>
  <c r="A293" i="25"/>
  <c r="A292" i="25"/>
  <c r="D290" i="25"/>
  <c r="D288" i="25"/>
  <c r="A267" i="25"/>
  <c r="A264" i="25"/>
  <c r="A263" i="25"/>
  <c r="D261" i="25"/>
  <c r="D259" i="25"/>
  <c r="F240" i="25"/>
  <c r="A238" i="25"/>
  <c r="A235" i="25"/>
  <c r="A234" i="25"/>
  <c r="D232" i="25"/>
  <c r="D230" i="25"/>
  <c r="A209" i="25"/>
  <c r="A206" i="25"/>
  <c r="A205" i="25"/>
  <c r="D203" i="25"/>
  <c r="D201" i="25"/>
  <c r="A180" i="25"/>
  <c r="A177" i="25"/>
  <c r="A176" i="25"/>
  <c r="D174" i="25"/>
  <c r="D172" i="25"/>
  <c r="A151" i="25"/>
  <c r="A148" i="25"/>
  <c r="A147" i="25"/>
  <c r="D145" i="25"/>
  <c r="D143" i="25"/>
  <c r="F124" i="25"/>
  <c r="A122" i="25"/>
  <c r="A119" i="25"/>
  <c r="A118" i="25"/>
  <c r="D116" i="25"/>
  <c r="D114" i="25"/>
  <c r="F95" i="25"/>
  <c r="A93" i="25"/>
  <c r="A90" i="25"/>
  <c r="A89" i="25"/>
  <c r="D87" i="25"/>
  <c r="D85" i="25"/>
  <c r="A64" i="25"/>
  <c r="A61" i="25"/>
  <c r="A60" i="25"/>
  <c r="D58" i="25"/>
  <c r="D56" i="25"/>
  <c r="A35" i="25"/>
  <c r="A32" i="25"/>
  <c r="A31" i="25"/>
  <c r="D317" i="29"/>
  <c r="D1595" i="29"/>
  <c r="D1593" i="29"/>
  <c r="F1574" i="29"/>
  <c r="A1572" i="29"/>
  <c r="A1569" i="29"/>
  <c r="A1568" i="29"/>
  <c r="D1566" i="29"/>
  <c r="D1564" i="29"/>
  <c r="F1545" i="29"/>
  <c r="A1543" i="29"/>
  <c r="A1540" i="29"/>
  <c r="A1539" i="29"/>
  <c r="D1537" i="29"/>
  <c r="D1535" i="29"/>
  <c r="F1516" i="29"/>
  <c r="A1514" i="29"/>
  <c r="A1511" i="29"/>
  <c r="A1510" i="29"/>
  <c r="D1508" i="29"/>
  <c r="D1506" i="29"/>
  <c r="F1487" i="29"/>
  <c r="A1485" i="29"/>
  <c r="A1482" i="29"/>
  <c r="A1481" i="29"/>
  <c r="D1479" i="29"/>
  <c r="D1477" i="29"/>
  <c r="F1458" i="29"/>
  <c r="A1456" i="29"/>
  <c r="A1453" i="29"/>
  <c r="A1452" i="29"/>
  <c r="D1450" i="29"/>
  <c r="D1448" i="29"/>
  <c r="F1429" i="29"/>
  <c r="A1427" i="29"/>
  <c r="A1424" i="29"/>
  <c r="A1423" i="29"/>
  <c r="D1421" i="29"/>
  <c r="D1419" i="29"/>
  <c r="F1400" i="29"/>
  <c r="A1398" i="29"/>
  <c r="A1395" i="29"/>
  <c r="A1394" i="29"/>
  <c r="D1392" i="29"/>
  <c r="D1390" i="29"/>
  <c r="F1371" i="29"/>
  <c r="A1369" i="29"/>
  <c r="A1366" i="29"/>
  <c r="A1365" i="29"/>
  <c r="D1363" i="29"/>
  <c r="D1361" i="29"/>
  <c r="F1342" i="29"/>
  <c r="A1340" i="29"/>
  <c r="A1337" i="29"/>
  <c r="A1336" i="29"/>
  <c r="D1334" i="29"/>
  <c r="D1332" i="29"/>
  <c r="F1313" i="29"/>
  <c r="A1311" i="29"/>
  <c r="A1308" i="29"/>
  <c r="A1307" i="29"/>
  <c r="D1305" i="29"/>
  <c r="D1303" i="29"/>
  <c r="F1284" i="29"/>
  <c r="A1282" i="29"/>
  <c r="A1279" i="29"/>
  <c r="A1278" i="29"/>
  <c r="D1276" i="29"/>
  <c r="D1274" i="29"/>
  <c r="F1255" i="29"/>
  <c r="A1253" i="29"/>
  <c r="A1250" i="29"/>
  <c r="A1249" i="29"/>
  <c r="D1247" i="29"/>
  <c r="D1245" i="29"/>
  <c r="F1226" i="29"/>
  <c r="A1224" i="29"/>
  <c r="A1221" i="29"/>
  <c r="A1220" i="29"/>
  <c r="D1218" i="29"/>
  <c r="D1216" i="29"/>
  <c r="F1197" i="29"/>
  <c r="A1195" i="29"/>
  <c r="A1192" i="29"/>
  <c r="A1191" i="29"/>
  <c r="D1189" i="29"/>
  <c r="D1187" i="29"/>
  <c r="F1168" i="29"/>
  <c r="A1166" i="29"/>
  <c r="A1163" i="29"/>
  <c r="A1162" i="29"/>
  <c r="D1160" i="29"/>
  <c r="D1158" i="29"/>
  <c r="F1139" i="29"/>
  <c r="A1137" i="29"/>
  <c r="A1134" i="29"/>
  <c r="A1133" i="29"/>
  <c r="D1131" i="29"/>
  <c r="D1129" i="29"/>
  <c r="F1110" i="29"/>
  <c r="A1108" i="29"/>
  <c r="A1105" i="29"/>
  <c r="A1104" i="29"/>
  <c r="D1102" i="29"/>
  <c r="D1100" i="29"/>
  <c r="F1081" i="29"/>
  <c r="A1079" i="29"/>
  <c r="A1076" i="29"/>
  <c r="A1075" i="29"/>
  <c r="D1073" i="29"/>
  <c r="D1071" i="29"/>
  <c r="F1052" i="29"/>
  <c r="A1050" i="29"/>
  <c r="A1047" i="29"/>
  <c r="A1046" i="29"/>
  <c r="D1044" i="29"/>
  <c r="D1042" i="29"/>
  <c r="F1023" i="29"/>
  <c r="A1021" i="29"/>
  <c r="A1018" i="29"/>
  <c r="A1017" i="29"/>
  <c r="D1015" i="29"/>
  <c r="D1013" i="29"/>
  <c r="F994" i="29"/>
  <c r="A992" i="29"/>
  <c r="A989" i="29"/>
  <c r="A988" i="29"/>
  <c r="D986" i="29"/>
  <c r="D984" i="29"/>
  <c r="F965" i="29"/>
  <c r="A963" i="29"/>
  <c r="A960" i="29"/>
  <c r="A959" i="29"/>
  <c r="D957" i="29"/>
  <c r="D955" i="29"/>
  <c r="F936" i="29"/>
  <c r="A934" i="29"/>
  <c r="A931" i="29"/>
  <c r="A930" i="29"/>
  <c r="D928" i="29"/>
  <c r="D926" i="29"/>
  <c r="F907" i="29"/>
  <c r="A905" i="29"/>
  <c r="A902" i="29"/>
  <c r="A901" i="29"/>
  <c r="D899" i="29"/>
  <c r="D897" i="29"/>
  <c r="F878" i="29"/>
  <c r="A876" i="29"/>
  <c r="A873" i="29"/>
  <c r="A872" i="29"/>
  <c r="D870" i="29"/>
  <c r="D868" i="29"/>
  <c r="F849" i="29"/>
  <c r="A847" i="29"/>
  <c r="A844" i="29"/>
  <c r="A843" i="29"/>
  <c r="D841" i="29"/>
  <c r="D839" i="29"/>
  <c r="F820" i="29"/>
  <c r="A818" i="29"/>
  <c r="A815" i="29"/>
  <c r="A814" i="29"/>
  <c r="D812" i="29"/>
  <c r="D810" i="29"/>
  <c r="F791" i="29"/>
  <c r="A789" i="29"/>
  <c r="A786" i="29"/>
  <c r="A785" i="29"/>
  <c r="D783" i="29"/>
  <c r="D781" i="29"/>
  <c r="F762" i="29"/>
  <c r="A760" i="29"/>
  <c r="A757" i="29"/>
  <c r="A756" i="29"/>
  <c r="D754" i="29"/>
  <c r="D752" i="29"/>
  <c r="F733" i="29"/>
  <c r="A731" i="29"/>
  <c r="A728" i="29"/>
  <c r="A727" i="29"/>
  <c r="D725" i="29"/>
  <c r="D723" i="29"/>
  <c r="F704" i="29"/>
  <c r="A702" i="29"/>
  <c r="A699" i="29"/>
  <c r="A698" i="29"/>
  <c r="D696" i="29"/>
  <c r="D694" i="29"/>
  <c r="F675" i="29"/>
  <c r="A673" i="29"/>
  <c r="A670" i="29"/>
  <c r="A669" i="29"/>
  <c r="D667" i="29"/>
  <c r="D665" i="29"/>
  <c r="F646" i="29"/>
  <c r="A644" i="29"/>
  <c r="A641" i="29"/>
  <c r="A640" i="29"/>
  <c r="D638" i="29"/>
  <c r="D636" i="29"/>
  <c r="F617" i="29"/>
  <c r="A615" i="29"/>
  <c r="A612" i="29"/>
  <c r="A611" i="29"/>
  <c r="D609" i="29"/>
  <c r="D607" i="29"/>
  <c r="F588" i="29"/>
  <c r="A586" i="29"/>
  <c r="A583" i="29"/>
  <c r="A582" i="29"/>
  <c r="D580" i="29"/>
  <c r="D578" i="29"/>
  <c r="F559" i="29"/>
  <c r="A557" i="29"/>
  <c r="A554" i="29"/>
  <c r="A553" i="29"/>
  <c r="D551" i="29"/>
  <c r="D549" i="29"/>
  <c r="F530" i="29"/>
  <c r="A528" i="29"/>
  <c r="A525" i="29"/>
  <c r="A524" i="29"/>
  <c r="D522" i="29"/>
  <c r="D520" i="29"/>
  <c r="F501" i="29"/>
  <c r="A499" i="29"/>
  <c r="A496" i="29"/>
  <c r="A495" i="29"/>
  <c r="D493" i="29"/>
  <c r="D491" i="29"/>
  <c r="F472" i="29"/>
  <c r="A470" i="29"/>
  <c r="A467" i="29"/>
  <c r="A466" i="29"/>
  <c r="D464" i="29"/>
  <c r="D462" i="29"/>
  <c r="F443" i="29"/>
  <c r="A441" i="29"/>
  <c r="A438" i="29"/>
  <c r="A437" i="29"/>
  <c r="D435" i="29"/>
  <c r="D433" i="29"/>
  <c r="F414" i="29"/>
  <c r="A412" i="29"/>
  <c r="A409" i="29"/>
  <c r="A408" i="29"/>
  <c r="D406" i="29"/>
  <c r="D404" i="29"/>
  <c r="F385" i="29"/>
  <c r="A383" i="29"/>
  <c r="A380" i="29"/>
  <c r="A379" i="29"/>
  <c r="D377" i="29"/>
  <c r="D375" i="29"/>
  <c r="F356" i="29"/>
  <c r="A354" i="29"/>
  <c r="A351" i="29"/>
  <c r="A350" i="29"/>
  <c r="D348" i="29"/>
  <c r="D346" i="29"/>
  <c r="F327" i="29"/>
  <c r="A325" i="29"/>
  <c r="A322" i="29"/>
  <c r="A321" i="29"/>
  <c r="D319" i="29"/>
  <c r="F298" i="29"/>
  <c r="A296" i="29"/>
  <c r="A293" i="29"/>
  <c r="A292" i="29"/>
  <c r="D290" i="29"/>
  <c r="D288" i="29"/>
  <c r="F269" i="29"/>
  <c r="A267" i="29"/>
  <c r="A264" i="29"/>
  <c r="A263" i="29"/>
  <c r="D261" i="29"/>
  <c r="D259" i="29"/>
  <c r="F240" i="29"/>
  <c r="A238" i="29"/>
  <c r="A235" i="29"/>
  <c r="A234" i="29"/>
  <c r="D232" i="29"/>
  <c r="D230" i="29"/>
  <c r="F211" i="29"/>
  <c r="A209" i="29"/>
  <c r="A206" i="29"/>
  <c r="A205" i="29"/>
  <c r="D203" i="29"/>
  <c r="D201" i="29"/>
  <c r="F182" i="29"/>
  <c r="A180" i="29"/>
  <c r="A177" i="29"/>
  <c r="A176" i="29"/>
  <c r="D174" i="29"/>
  <c r="D172" i="29"/>
  <c r="F153" i="29"/>
  <c r="A151" i="29"/>
  <c r="A148" i="29"/>
  <c r="A147" i="29"/>
  <c r="D145" i="29"/>
  <c r="D143" i="29"/>
  <c r="F124" i="29"/>
  <c r="A122" i="29"/>
  <c r="A119" i="29"/>
  <c r="A118" i="29"/>
  <c r="D116" i="29"/>
  <c r="D114" i="29"/>
  <c r="F95" i="29"/>
  <c r="A93" i="29"/>
  <c r="A90" i="29"/>
  <c r="A89" i="29"/>
  <c r="D87" i="29"/>
  <c r="D85" i="29"/>
  <c r="F66" i="29"/>
  <c r="A64" i="29"/>
  <c r="A61" i="29"/>
  <c r="A60" i="29"/>
  <c r="F37" i="29"/>
  <c r="D58" i="29"/>
  <c r="D56" i="29"/>
  <c r="A35" i="29"/>
  <c r="A32" i="29"/>
  <c r="A31" i="29"/>
  <c r="D27" i="25"/>
  <c r="D27" i="29"/>
  <c r="C2468" i="20"/>
  <c r="C2423" i="20"/>
  <c r="C2378" i="20"/>
  <c r="C2333" i="20"/>
  <c r="C2288" i="20"/>
  <c r="C2243" i="20"/>
  <c r="C2198" i="20"/>
  <c r="C2153" i="20"/>
  <c r="C2108" i="20"/>
  <c r="C2063" i="20"/>
  <c r="C2018" i="20"/>
  <c r="C1973" i="20"/>
  <c r="C1928" i="20"/>
  <c r="C1883" i="20"/>
  <c r="C1838" i="20"/>
  <c r="C1793" i="20"/>
  <c r="C1748" i="20"/>
  <c r="C1703" i="20"/>
  <c r="C1658" i="20"/>
  <c r="C1613" i="20"/>
  <c r="C1568" i="20"/>
  <c r="C1523" i="20"/>
  <c r="C1478" i="20"/>
  <c r="C1433" i="20"/>
  <c r="C1388" i="20"/>
  <c r="C1343" i="20"/>
  <c r="C1298" i="20"/>
  <c r="C1253" i="20"/>
  <c r="C1208" i="20"/>
  <c r="C1163" i="20"/>
  <c r="C1118" i="20"/>
  <c r="C1073" i="20"/>
  <c r="C1028" i="20"/>
  <c r="C983" i="20"/>
  <c r="C938" i="20"/>
  <c r="C893" i="20"/>
  <c r="C848" i="20"/>
  <c r="C803" i="20"/>
  <c r="C758" i="20"/>
  <c r="C713" i="20"/>
  <c r="C668" i="20"/>
  <c r="C623" i="20"/>
  <c r="C578" i="20"/>
  <c r="C533" i="20"/>
  <c r="C488" i="20"/>
  <c r="C443" i="20"/>
  <c r="C398" i="20"/>
  <c r="C353" i="20"/>
  <c r="C308" i="20"/>
  <c r="C263" i="20"/>
  <c r="C218" i="20"/>
  <c r="C173" i="20"/>
  <c r="C128" i="20"/>
  <c r="C83" i="20"/>
  <c r="C38" i="20"/>
  <c r="G32" i="15"/>
  <c r="E33" i="8"/>
  <c r="C2578" i="17"/>
  <c r="C2531" i="17"/>
  <c r="C2484" i="17"/>
  <c r="C2437" i="17"/>
  <c r="C2390" i="17"/>
  <c r="C2343" i="17"/>
  <c r="C2296" i="17"/>
  <c r="C2249" i="17"/>
  <c r="C2202" i="17"/>
  <c r="C2155" i="17"/>
  <c r="C2108" i="17"/>
  <c r="C2061" i="17"/>
  <c r="C2014" i="17"/>
  <c r="C1967" i="17"/>
  <c r="C1920" i="17"/>
  <c r="C1873" i="17"/>
  <c r="C1826" i="17"/>
  <c r="C1779" i="17"/>
  <c r="C1732" i="17"/>
  <c r="C1685" i="17"/>
  <c r="C1638" i="17"/>
  <c r="C1591" i="17"/>
  <c r="C1544" i="17"/>
  <c r="C1497" i="17"/>
  <c r="C1450" i="17"/>
  <c r="C1403" i="17"/>
  <c r="C1356" i="17"/>
  <c r="C1309" i="17"/>
  <c r="C1262" i="17"/>
  <c r="C1215" i="17"/>
  <c r="C1168" i="17"/>
  <c r="C1121" i="17"/>
  <c r="C1074" i="17"/>
  <c r="C1027" i="17"/>
  <c r="C980" i="17"/>
  <c r="C933" i="17"/>
  <c r="C886" i="17"/>
  <c r="C839" i="17"/>
  <c r="C792" i="17"/>
  <c r="C745" i="17"/>
  <c r="C698" i="17"/>
  <c r="C651" i="17"/>
  <c r="C604" i="17"/>
  <c r="C557" i="17"/>
  <c r="C510" i="17"/>
  <c r="C463" i="17"/>
  <c r="C416" i="17"/>
  <c r="C369" i="17"/>
  <c r="C322" i="17"/>
  <c r="C275" i="17"/>
  <c r="C228" i="17"/>
  <c r="C181" i="17"/>
  <c r="C134" i="17"/>
  <c r="C87" i="17"/>
  <c r="C40" i="17"/>
  <c r="P13" i="31"/>
  <c r="P14" i="31"/>
  <c r="P15" i="31"/>
  <c r="P16" i="31"/>
  <c r="P17" i="31"/>
  <c r="P18" i="31"/>
  <c r="P19" i="31"/>
  <c r="P20" i="31"/>
  <c r="P21" i="31"/>
  <c r="P22" i="31"/>
  <c r="P23" i="31"/>
  <c r="P24" i="31"/>
  <c r="O13" i="31"/>
  <c r="O14" i="31"/>
  <c r="O15" i="31"/>
  <c r="O16" i="31"/>
  <c r="O17" i="31"/>
  <c r="O18" i="31"/>
  <c r="O19" i="31"/>
  <c r="O20" i="31"/>
  <c r="O21" i="31"/>
  <c r="O22" i="31"/>
  <c r="O23" i="31"/>
  <c r="O24" i="31"/>
  <c r="N13" i="31"/>
  <c r="N14" i="31"/>
  <c r="N15" i="31"/>
  <c r="N16" i="31"/>
  <c r="N17" i="31"/>
  <c r="N18" i="31"/>
  <c r="N19" i="31"/>
  <c r="N20" i="31"/>
  <c r="N21" i="31"/>
  <c r="N22" i="31"/>
  <c r="N23" i="31"/>
  <c r="N24" i="31"/>
  <c r="M13" i="31"/>
  <c r="M14" i="31"/>
  <c r="M15" i="31"/>
  <c r="M16" i="31"/>
  <c r="M17" i="31"/>
  <c r="M18" i="31"/>
  <c r="M19" i="31"/>
  <c r="M20" i="31"/>
  <c r="M21" i="31"/>
  <c r="M22" i="31"/>
  <c r="M23" i="31"/>
  <c r="M24" i="31"/>
  <c r="G7" i="31"/>
  <c r="A5" i="31"/>
  <c r="B3" i="31"/>
  <c r="A2" i="31"/>
  <c r="A1" i="31"/>
  <c r="D2469" i="20"/>
  <c r="D2424" i="20"/>
  <c r="D2379" i="20"/>
  <c r="D2334" i="20"/>
  <c r="D2289" i="20"/>
  <c r="D2244" i="20"/>
  <c r="D2199" i="20"/>
  <c r="D2154" i="20"/>
  <c r="D2109" i="20"/>
  <c r="D2064" i="20"/>
  <c r="D2019" i="20"/>
  <c r="D1974" i="20"/>
  <c r="D1929" i="20"/>
  <c r="D1884" i="20"/>
  <c r="D1839" i="20"/>
  <c r="D1794" i="20"/>
  <c r="D1749" i="20"/>
  <c r="D1704" i="20"/>
  <c r="D1659" i="20"/>
  <c r="D1614" i="20"/>
  <c r="D1569" i="20"/>
  <c r="D1524" i="20"/>
  <c r="D1479" i="20"/>
  <c r="D1434" i="20"/>
  <c r="D1389" i="20"/>
  <c r="D1344" i="20"/>
  <c r="D1299" i="20"/>
  <c r="D1254" i="20"/>
  <c r="D1209" i="20"/>
  <c r="D1164" i="20"/>
  <c r="D1119" i="20"/>
  <c r="D1074" i="20"/>
  <c r="D1029" i="20"/>
  <c r="D984" i="20"/>
  <c r="D939" i="20"/>
  <c r="D894" i="20"/>
  <c r="D849" i="20"/>
  <c r="D804" i="20"/>
  <c r="D759" i="20"/>
  <c r="D714" i="20"/>
  <c r="D669" i="20"/>
  <c r="D624" i="20"/>
  <c r="D579" i="20"/>
  <c r="D534" i="20"/>
  <c r="D489" i="20"/>
  <c r="D444" i="20"/>
  <c r="D399" i="20"/>
  <c r="D354" i="20"/>
  <c r="D309" i="20"/>
  <c r="D264" i="20"/>
  <c r="D219" i="20"/>
  <c r="D174" i="20"/>
  <c r="D129" i="20"/>
  <c r="D84" i="20"/>
  <c r="D41" i="17"/>
  <c r="D2584" i="17"/>
  <c r="D2579" i="17"/>
  <c r="D2532" i="17"/>
  <c r="D2485" i="17"/>
  <c r="D2438" i="17"/>
  <c r="D2391" i="17"/>
  <c r="D2344" i="17"/>
  <c r="D2297" i="17"/>
  <c r="D2250" i="17"/>
  <c r="D2203" i="17"/>
  <c r="D2156" i="17"/>
  <c r="D2109" i="17"/>
  <c r="D2062" i="17"/>
  <c r="D2015" i="17"/>
  <c r="D1968" i="17"/>
  <c r="D1921" i="17"/>
  <c r="D1874" i="17"/>
  <c r="D1827" i="17"/>
  <c r="D1780" i="17"/>
  <c r="D1733" i="17"/>
  <c r="D1686" i="17"/>
  <c r="D1639" i="17"/>
  <c r="D1592" i="17"/>
  <c r="D1545" i="17"/>
  <c r="D1498" i="17"/>
  <c r="D1451" i="17"/>
  <c r="D1404" i="17"/>
  <c r="D1357" i="17"/>
  <c r="D1310" i="17"/>
  <c r="D1263" i="17"/>
  <c r="D1216" i="17"/>
  <c r="D1169" i="17"/>
  <c r="D1122" i="17"/>
  <c r="D1075" i="17"/>
  <c r="D1028" i="17"/>
  <c r="D981" i="17"/>
  <c r="D934" i="17"/>
  <c r="D887" i="17"/>
  <c r="D840" i="17"/>
  <c r="D793" i="17"/>
  <c r="D746" i="17"/>
  <c r="D699" i="17"/>
  <c r="D652" i="17"/>
  <c r="D605" i="17"/>
  <c r="D558" i="17"/>
  <c r="D511" i="17"/>
  <c r="D464" i="17"/>
  <c r="D417" i="17"/>
  <c r="D370" i="17"/>
  <c r="D323" i="17"/>
  <c r="D276" i="17"/>
  <c r="D229" i="17"/>
  <c r="D182" i="17"/>
  <c r="D135" i="17"/>
  <c r="D88" i="17"/>
  <c r="E34" i="8"/>
  <c r="B34" i="8"/>
  <c r="B38" i="8"/>
  <c r="E38" i="8"/>
  <c r="F7" i="30"/>
  <c r="B3" i="30"/>
  <c r="A5" i="30"/>
  <c r="A2" i="30"/>
  <c r="A1" i="30"/>
  <c r="D29" i="25"/>
  <c r="D29" i="29"/>
  <c r="A6" i="25"/>
  <c r="A6" i="29"/>
  <c r="A3" i="29"/>
  <c r="A2" i="29"/>
  <c r="A3" i="25"/>
  <c r="A2" i="25"/>
  <c r="CI70" i="1"/>
  <c r="CH70" i="1"/>
  <c r="CG70" i="1"/>
  <c r="DL90" i="9"/>
  <c r="AD19" i="3"/>
  <c r="DK90" i="9"/>
  <c r="AB19" i="3"/>
  <c r="DH90" i="9"/>
  <c r="DI90" i="9"/>
  <c r="DJ90" i="9"/>
  <c r="DG90" i="9"/>
  <c r="U90" i="9"/>
  <c r="V90" i="9"/>
  <c r="W90" i="9"/>
  <c r="X90" i="9"/>
  <c r="Y90" i="9"/>
  <c r="AB9" i="3"/>
  <c r="Z90" i="9"/>
  <c r="AD9" i="3"/>
  <c r="AD90" i="9"/>
  <c r="AE90" i="9"/>
  <c r="AF90" i="9"/>
  <c r="AG90" i="9"/>
  <c r="AH90" i="9"/>
  <c r="AB10" i="3"/>
  <c r="AI90" i="9"/>
  <c r="AD10" i="3"/>
  <c r="AM90" i="9"/>
  <c r="AN90" i="9"/>
  <c r="AO90" i="9"/>
  <c r="AP90" i="9"/>
  <c r="AQ90" i="9"/>
  <c r="AB11" i="3"/>
  <c r="AR90" i="9"/>
  <c r="AD11" i="3"/>
  <c r="AV90" i="9"/>
  <c r="AW90" i="9"/>
  <c r="AX90" i="9"/>
  <c r="AY90" i="9"/>
  <c r="AZ90" i="9"/>
  <c r="AB12" i="3"/>
  <c r="BA90" i="9"/>
  <c r="AD12" i="3"/>
  <c r="BE90" i="9"/>
  <c r="BF90" i="9"/>
  <c r="BG90" i="9"/>
  <c r="BH90" i="9"/>
  <c r="BI90" i="9"/>
  <c r="AB13" i="3"/>
  <c r="BJ90" i="9"/>
  <c r="AD13" i="3"/>
  <c r="BN90" i="9"/>
  <c r="BO90" i="9"/>
  <c r="BP90" i="9"/>
  <c r="BQ90" i="9"/>
  <c r="BR90" i="9"/>
  <c r="AB14" i="3"/>
  <c r="BS90" i="9"/>
  <c r="AD14" i="3"/>
  <c r="BW90" i="9"/>
  <c r="BX90" i="9"/>
  <c r="BY90" i="9"/>
  <c r="BZ90" i="9"/>
  <c r="CA90" i="9"/>
  <c r="AB15" i="3"/>
  <c r="CB90" i="9"/>
  <c r="AD15" i="3"/>
  <c r="CF90" i="9"/>
  <c r="CG90" i="9"/>
  <c r="CH90" i="9"/>
  <c r="CI90" i="9"/>
  <c r="CJ90" i="9"/>
  <c r="AB16" i="3"/>
  <c r="CK90" i="9"/>
  <c r="AD16" i="3"/>
  <c r="CO90" i="9"/>
  <c r="CP90" i="9"/>
  <c r="CQ90" i="9"/>
  <c r="CR90" i="9"/>
  <c r="CS90" i="9"/>
  <c r="AB17" i="3"/>
  <c r="CT90" i="9"/>
  <c r="AD17" i="3"/>
  <c r="CX90" i="9"/>
  <c r="CY90" i="9"/>
  <c r="CZ90" i="9"/>
  <c r="DA90" i="9"/>
  <c r="DB90" i="9"/>
  <c r="AB18" i="3"/>
  <c r="DC90" i="9"/>
  <c r="AD18" i="3"/>
  <c r="DP90" i="9"/>
  <c r="DQ90" i="9"/>
  <c r="DR90" i="9"/>
  <c r="DS90" i="9"/>
  <c r="DT90" i="9"/>
  <c r="AB20" i="3"/>
  <c r="DU90" i="9"/>
  <c r="AD20" i="3"/>
  <c r="DY90" i="9"/>
  <c r="DZ90" i="9"/>
  <c r="EA90" i="9"/>
  <c r="EB90" i="9"/>
  <c r="EC90" i="9"/>
  <c r="ED90" i="9"/>
  <c r="AD21" i="3"/>
  <c r="M90" i="9"/>
  <c r="N90" i="9"/>
  <c r="O90" i="9"/>
  <c r="P90" i="9"/>
  <c r="AB8" i="3"/>
  <c r="Q90" i="9"/>
  <c r="AD8" i="3"/>
  <c r="L90" i="9"/>
  <c r="C6" i="3"/>
  <c r="E6" i="3"/>
  <c r="AA8" i="3"/>
  <c r="CK83" i="1"/>
  <c r="CL83" i="1"/>
  <c r="CM83" i="1"/>
  <c r="CN83" i="1"/>
  <c r="V19" i="3"/>
  <c r="CO83" i="1"/>
  <c r="X19" i="3"/>
  <c r="CJ83" i="1"/>
  <c r="R83" i="1"/>
  <c r="S83" i="1"/>
  <c r="T83" i="1"/>
  <c r="U83" i="1"/>
  <c r="V83" i="1"/>
  <c r="V9" i="3"/>
  <c r="W83" i="1"/>
  <c r="X9" i="3"/>
  <c r="Y83" i="1"/>
  <c r="Z83" i="1"/>
  <c r="AA83" i="1"/>
  <c r="AB83" i="1"/>
  <c r="AC83" i="1"/>
  <c r="V10" i="3"/>
  <c r="AD83" i="1"/>
  <c r="X10" i="3"/>
  <c r="AF83" i="1"/>
  <c r="AG83" i="1"/>
  <c r="AH83" i="1"/>
  <c r="AI83" i="1"/>
  <c r="AJ83" i="1"/>
  <c r="V11" i="3"/>
  <c r="AK83" i="1"/>
  <c r="X11" i="3"/>
  <c r="AM83" i="1"/>
  <c r="AN83" i="1"/>
  <c r="AO83" i="1"/>
  <c r="AP83" i="1"/>
  <c r="AQ83" i="1"/>
  <c r="V12" i="3"/>
  <c r="U12" i="3"/>
  <c r="AR83" i="1"/>
  <c r="X12" i="3"/>
  <c r="AT83" i="1"/>
  <c r="AU83" i="1"/>
  <c r="AV83" i="1"/>
  <c r="AW83" i="1"/>
  <c r="AX83" i="1"/>
  <c r="V13" i="3"/>
  <c r="AY83" i="1"/>
  <c r="X13" i="3"/>
  <c r="W13" i="3"/>
  <c r="BA83" i="1"/>
  <c r="BB83" i="1"/>
  <c r="BC83" i="1"/>
  <c r="BD83" i="1"/>
  <c r="BE83" i="1"/>
  <c r="V14" i="3"/>
  <c r="BF83" i="1"/>
  <c r="X14" i="3"/>
  <c r="BH83" i="1"/>
  <c r="BI83" i="1"/>
  <c r="BJ83" i="1"/>
  <c r="BK83" i="1"/>
  <c r="BL83" i="1"/>
  <c r="V15" i="3"/>
  <c r="BM83" i="1"/>
  <c r="X15" i="3"/>
  <c r="BO83" i="1"/>
  <c r="BP83" i="1"/>
  <c r="BQ83" i="1"/>
  <c r="BR83" i="1"/>
  <c r="BS83" i="1"/>
  <c r="V16" i="3"/>
  <c r="BT83" i="1"/>
  <c r="X16" i="3"/>
  <c r="BV83" i="1"/>
  <c r="BW83" i="1"/>
  <c r="BX83" i="1"/>
  <c r="BY83" i="1"/>
  <c r="BZ83" i="1"/>
  <c r="V17" i="3"/>
  <c r="CA83" i="1"/>
  <c r="X17" i="3"/>
  <c r="CC83" i="1"/>
  <c r="CD83" i="1"/>
  <c r="CE83" i="1"/>
  <c r="CF83" i="1"/>
  <c r="CG83" i="1"/>
  <c r="V18" i="3"/>
  <c r="CH83" i="1"/>
  <c r="X18" i="3"/>
  <c r="CQ83" i="1"/>
  <c r="CR83" i="1"/>
  <c r="CS83" i="1"/>
  <c r="CT83" i="1"/>
  <c r="CU83" i="1"/>
  <c r="V20" i="3"/>
  <c r="CV83" i="1"/>
  <c r="X20" i="3"/>
  <c r="CX83" i="1"/>
  <c r="CY83" i="1"/>
  <c r="CZ83" i="1"/>
  <c r="DA83" i="1"/>
  <c r="DB83" i="1"/>
  <c r="DC83" i="1"/>
  <c r="X21" i="3"/>
  <c r="L83" i="1"/>
  <c r="M83" i="1"/>
  <c r="N83" i="1"/>
  <c r="O83" i="1"/>
  <c r="V8" i="3"/>
  <c r="P83" i="1"/>
  <c r="X8" i="3"/>
  <c r="K83" i="1"/>
  <c r="J8" i="10"/>
  <c r="I8" i="10"/>
  <c r="E8" i="10"/>
  <c r="J8" i="2"/>
  <c r="I8" i="2"/>
  <c r="E8" i="2"/>
  <c r="DC69" i="1"/>
  <c r="I49" i="16"/>
  <c r="CV69" i="1"/>
  <c r="CH69" i="1"/>
  <c r="I47" i="16"/>
  <c r="I46" i="16"/>
  <c r="I45" i="16"/>
  <c r="BM69" i="1"/>
  <c r="BF69" i="1"/>
  <c r="I43" i="16"/>
  <c r="AY69" i="1"/>
  <c r="I41" i="16"/>
  <c r="I40" i="16"/>
  <c r="I39" i="16"/>
  <c r="I38" i="16"/>
  <c r="C37" i="16"/>
  <c r="L14" i="20"/>
  <c r="M14" i="20"/>
  <c r="K15" i="20"/>
  <c r="L15" i="20"/>
  <c r="M15" i="20"/>
  <c r="K16" i="20"/>
  <c r="L16" i="20"/>
  <c r="M16" i="20"/>
  <c r="K17" i="20"/>
  <c r="L17" i="20"/>
  <c r="M17" i="20"/>
  <c r="K18" i="20"/>
  <c r="L18" i="20"/>
  <c r="M18" i="20"/>
  <c r="K19" i="20"/>
  <c r="L19" i="20"/>
  <c r="M19" i="20"/>
  <c r="K20" i="20"/>
  <c r="L20" i="20"/>
  <c r="M20" i="20"/>
  <c r="K21" i="20"/>
  <c r="L21" i="20"/>
  <c r="M21" i="20"/>
  <c r="K22" i="20"/>
  <c r="L22" i="20"/>
  <c r="M22" i="20"/>
  <c r="K23" i="20"/>
  <c r="L23" i="20"/>
  <c r="M23" i="20"/>
  <c r="K24" i="20"/>
  <c r="L24" i="20"/>
  <c r="M24" i="20"/>
  <c r="K25" i="20"/>
  <c r="L25" i="20"/>
  <c r="M25" i="20"/>
  <c r="K26" i="20"/>
  <c r="L26" i="20"/>
  <c r="M26" i="20"/>
  <c r="K14" i="20"/>
  <c r="DP62" i="9"/>
  <c r="DR69" i="9"/>
  <c r="C42" i="19"/>
  <c r="DJ73" i="9"/>
  <c r="DI73" i="9"/>
  <c r="DJ72" i="9"/>
  <c r="DI72" i="9"/>
  <c r="DJ71" i="9"/>
  <c r="DI71" i="9"/>
  <c r="DJ70" i="9"/>
  <c r="DI70" i="9"/>
  <c r="DJ69" i="9"/>
  <c r="R31" i="19"/>
  <c r="DI69" i="9"/>
  <c r="P31" i="19"/>
  <c r="DN58" i="9"/>
  <c r="DN57" i="9"/>
  <c r="DN56" i="9"/>
  <c r="DN55" i="9"/>
  <c r="DN54" i="9"/>
  <c r="DN53" i="9"/>
  <c r="EE73" i="9"/>
  <c r="ED73" i="9"/>
  <c r="EC73" i="9"/>
  <c r="EB73" i="9"/>
  <c r="EA73" i="9"/>
  <c r="DV73" i="9"/>
  <c r="DU73" i="9"/>
  <c r="DT73" i="9"/>
  <c r="DS73" i="9"/>
  <c r="DR73" i="9"/>
  <c r="EE72" i="9"/>
  <c r="ED72" i="9"/>
  <c r="EC72" i="9"/>
  <c r="EB72" i="9"/>
  <c r="EA72" i="9"/>
  <c r="DV72" i="9"/>
  <c r="DU72" i="9"/>
  <c r="DT72" i="9"/>
  <c r="DS72" i="9"/>
  <c r="DR72" i="9"/>
  <c r="EE71" i="9"/>
  <c r="ED71" i="9"/>
  <c r="EC71" i="9"/>
  <c r="EB71" i="9"/>
  <c r="EA71" i="9"/>
  <c r="DV71" i="9"/>
  <c r="DU71" i="9"/>
  <c r="DT71" i="9"/>
  <c r="DS71" i="9"/>
  <c r="DR71" i="9"/>
  <c r="EE70" i="9"/>
  <c r="ED70" i="9"/>
  <c r="EC70" i="9"/>
  <c r="EB70" i="9"/>
  <c r="EA70" i="9"/>
  <c r="DV70" i="9"/>
  <c r="DU70" i="9"/>
  <c r="DT70" i="9"/>
  <c r="DS70" i="9"/>
  <c r="DR70" i="9"/>
  <c r="EE69" i="9"/>
  <c r="K43" i="19"/>
  <c r="ED69" i="9"/>
  <c r="I43" i="19"/>
  <c r="EC69" i="9"/>
  <c r="G43" i="19"/>
  <c r="EB69" i="9"/>
  <c r="E43" i="19"/>
  <c r="EA69" i="9"/>
  <c r="C43" i="19"/>
  <c r="DV69" i="9"/>
  <c r="K42" i="19"/>
  <c r="DU69" i="9"/>
  <c r="I42" i="19"/>
  <c r="DT69" i="9"/>
  <c r="G42" i="19"/>
  <c r="DS69" i="9"/>
  <c r="E42" i="19"/>
  <c r="ED66" i="9"/>
  <c r="EC66" i="9"/>
  <c r="EB66" i="9"/>
  <c r="EA66" i="9"/>
  <c r="DZ66" i="9"/>
  <c r="DY66" i="9"/>
  <c r="DU66" i="9"/>
  <c r="DT66" i="9"/>
  <c r="DS66" i="9"/>
  <c r="DR66" i="9"/>
  <c r="DQ66" i="9"/>
  <c r="DP66" i="9"/>
  <c r="ED65" i="9"/>
  <c r="EC65" i="9"/>
  <c r="EB65" i="9"/>
  <c r="EA65" i="9"/>
  <c r="DZ65" i="9"/>
  <c r="DY65" i="9"/>
  <c r="DU65" i="9"/>
  <c r="DT65" i="9"/>
  <c r="DS65" i="9"/>
  <c r="DR65" i="9"/>
  <c r="DQ65" i="9"/>
  <c r="DP65" i="9"/>
  <c r="ED64" i="9"/>
  <c r="EC64" i="9"/>
  <c r="EB64" i="9"/>
  <c r="EA64" i="9"/>
  <c r="DZ64" i="9"/>
  <c r="DY64" i="9"/>
  <c r="DU64" i="9"/>
  <c r="DT64" i="9"/>
  <c r="DS64" i="9"/>
  <c r="DR64" i="9"/>
  <c r="DQ64" i="9"/>
  <c r="DP64" i="9"/>
  <c r="ED63" i="9"/>
  <c r="EC63" i="9"/>
  <c r="EB63" i="9"/>
  <c r="EA63" i="9"/>
  <c r="DZ63" i="9"/>
  <c r="DY63" i="9"/>
  <c r="DU63" i="9"/>
  <c r="DT63" i="9"/>
  <c r="DS63" i="9"/>
  <c r="DR63" i="9"/>
  <c r="DQ63" i="9"/>
  <c r="DP63" i="9"/>
  <c r="ED62" i="9"/>
  <c r="EC62" i="9"/>
  <c r="EB62" i="9"/>
  <c r="EA62" i="9"/>
  <c r="DZ62" i="9"/>
  <c r="DY62" i="9"/>
  <c r="DU62" i="9"/>
  <c r="DT62" i="9"/>
  <c r="DS62" i="9"/>
  <c r="DR62" i="9"/>
  <c r="DQ62" i="9"/>
  <c r="DY61" i="9"/>
  <c r="DP61" i="9"/>
  <c r="ED59" i="9"/>
  <c r="EC59" i="9"/>
  <c r="EB59" i="9"/>
  <c r="EA59" i="9"/>
  <c r="DZ59" i="9"/>
  <c r="DY59" i="9"/>
  <c r="DU59" i="9"/>
  <c r="DT59" i="9"/>
  <c r="DS59" i="9"/>
  <c r="DR59" i="9"/>
  <c r="DQ59" i="9"/>
  <c r="DP59" i="9"/>
  <c r="EF58" i="9"/>
  <c r="DW58" i="9"/>
  <c r="EF57" i="9"/>
  <c r="DW57" i="9"/>
  <c r="EF56" i="9"/>
  <c r="DW56" i="9"/>
  <c r="EF55" i="9"/>
  <c r="DW55" i="9"/>
  <c r="EF54" i="9"/>
  <c r="DW54" i="9"/>
  <c r="EF53" i="9"/>
  <c r="DW53" i="9"/>
  <c r="EE80" i="9"/>
  <c r="DT80" i="9"/>
  <c r="ED78" i="9"/>
  <c r="DS79" i="9"/>
  <c r="EF90" i="9"/>
  <c r="DU77" i="9"/>
  <c r="DD73" i="9"/>
  <c r="DC73" i="9"/>
  <c r="DB73" i="9"/>
  <c r="DA73" i="9"/>
  <c r="CZ73" i="9"/>
  <c r="CU73" i="9"/>
  <c r="CT73" i="9"/>
  <c r="CS73" i="9"/>
  <c r="CR73" i="9"/>
  <c r="CQ73" i="9"/>
  <c r="CL73" i="9"/>
  <c r="CK73" i="9"/>
  <c r="CJ73" i="9"/>
  <c r="CI73" i="9"/>
  <c r="CH73" i="9"/>
  <c r="CC73" i="9"/>
  <c r="CB73" i="9"/>
  <c r="CA73" i="9"/>
  <c r="BZ73" i="9"/>
  <c r="BY73" i="9"/>
  <c r="DD72" i="9"/>
  <c r="DC72" i="9"/>
  <c r="DB72" i="9"/>
  <c r="DA72" i="9"/>
  <c r="CZ72" i="9"/>
  <c r="CU72" i="9"/>
  <c r="CT72" i="9"/>
  <c r="CS72" i="9"/>
  <c r="CR72" i="9"/>
  <c r="CQ72" i="9"/>
  <c r="CL72" i="9"/>
  <c r="CK72" i="9"/>
  <c r="CJ72" i="9"/>
  <c r="CI72" i="9"/>
  <c r="CH72" i="9"/>
  <c r="CC72" i="9"/>
  <c r="CB72" i="9"/>
  <c r="CA72" i="9"/>
  <c r="BZ72" i="9"/>
  <c r="BY72" i="9"/>
  <c r="DD71" i="9"/>
  <c r="DC71" i="9"/>
  <c r="DB71" i="9"/>
  <c r="DA71" i="9"/>
  <c r="CZ71" i="9"/>
  <c r="CU71" i="9"/>
  <c r="CT71" i="9"/>
  <c r="CS71" i="9"/>
  <c r="CR71" i="9"/>
  <c r="CQ71" i="9"/>
  <c r="CL71" i="9"/>
  <c r="CK71" i="9"/>
  <c r="CJ71" i="9"/>
  <c r="CI71" i="9"/>
  <c r="CH71" i="9"/>
  <c r="CC71" i="9"/>
  <c r="CB71" i="9"/>
  <c r="CA71" i="9"/>
  <c r="BZ71" i="9"/>
  <c r="BY71" i="9"/>
  <c r="DD70" i="9"/>
  <c r="DC70" i="9"/>
  <c r="DB70" i="9"/>
  <c r="DA70" i="9"/>
  <c r="CZ70" i="9"/>
  <c r="CU70" i="9"/>
  <c r="CT70" i="9"/>
  <c r="CS70" i="9"/>
  <c r="CR70" i="9"/>
  <c r="CQ70" i="9"/>
  <c r="CL70" i="9"/>
  <c r="CK70" i="9"/>
  <c r="CJ70" i="9"/>
  <c r="CI70" i="9"/>
  <c r="CH70" i="9"/>
  <c r="CC70" i="9"/>
  <c r="CB70" i="9"/>
  <c r="CA70" i="9"/>
  <c r="BZ70" i="9"/>
  <c r="BY70" i="9"/>
  <c r="DD69" i="9"/>
  <c r="K41" i="19"/>
  <c r="DC69" i="9"/>
  <c r="I41" i="19"/>
  <c r="DB69" i="9"/>
  <c r="G41" i="19"/>
  <c r="DA69" i="9"/>
  <c r="E41" i="19"/>
  <c r="CZ69" i="9"/>
  <c r="C41" i="19"/>
  <c r="CU69" i="9"/>
  <c r="K40" i="19"/>
  <c r="CT69" i="9"/>
  <c r="I40" i="19"/>
  <c r="CS69" i="9"/>
  <c r="G40" i="19"/>
  <c r="CR69" i="9"/>
  <c r="E40" i="19"/>
  <c r="CQ69" i="9"/>
  <c r="C40" i="19"/>
  <c r="CL69" i="9"/>
  <c r="K39" i="19"/>
  <c r="CK69" i="9"/>
  <c r="I39" i="19"/>
  <c r="CJ69" i="9"/>
  <c r="G39" i="19"/>
  <c r="CI69" i="9"/>
  <c r="E39" i="19"/>
  <c r="CH69" i="9"/>
  <c r="C39" i="19"/>
  <c r="CC69" i="9"/>
  <c r="K38" i="19"/>
  <c r="CB69" i="9"/>
  <c r="I38" i="19"/>
  <c r="CA69" i="9"/>
  <c r="G38" i="19"/>
  <c r="BZ69" i="9"/>
  <c r="E38" i="19"/>
  <c r="BY69" i="9"/>
  <c r="C38" i="19"/>
  <c r="DC66" i="9"/>
  <c r="DB66" i="9"/>
  <c r="DA66" i="9"/>
  <c r="CZ66" i="9"/>
  <c r="CY66" i="9"/>
  <c r="CX66" i="9"/>
  <c r="CT66" i="9"/>
  <c r="CS66" i="9"/>
  <c r="CR66" i="9"/>
  <c r="CQ66" i="9"/>
  <c r="CP66" i="9"/>
  <c r="CO66" i="9"/>
  <c r="CK66" i="9"/>
  <c r="CJ66" i="9"/>
  <c r="CI66" i="9"/>
  <c r="CH66" i="9"/>
  <c r="CG66" i="9"/>
  <c r="CF66" i="9"/>
  <c r="CB66" i="9"/>
  <c r="CA66" i="9"/>
  <c r="BZ66" i="9"/>
  <c r="BY66" i="9"/>
  <c r="BX66" i="9"/>
  <c r="BW66" i="9"/>
  <c r="DC65" i="9"/>
  <c r="DB65" i="9"/>
  <c r="DA65" i="9"/>
  <c r="CZ65" i="9"/>
  <c r="CY65" i="9"/>
  <c r="CX65" i="9"/>
  <c r="CT65" i="9"/>
  <c r="CS65" i="9"/>
  <c r="CR65" i="9"/>
  <c r="CQ65" i="9"/>
  <c r="CP65" i="9"/>
  <c r="CO65" i="9"/>
  <c r="CK65" i="9"/>
  <c r="CJ65" i="9"/>
  <c r="CI65" i="9"/>
  <c r="CH65" i="9"/>
  <c r="CG65" i="9"/>
  <c r="CF65" i="9"/>
  <c r="CB65" i="9"/>
  <c r="CA65" i="9"/>
  <c r="BZ65" i="9"/>
  <c r="BY65" i="9"/>
  <c r="BX65" i="9"/>
  <c r="BW65" i="9"/>
  <c r="DC64" i="9"/>
  <c r="DB64" i="9"/>
  <c r="DA64" i="9"/>
  <c r="CZ64" i="9"/>
  <c r="CY64" i="9"/>
  <c r="CX64" i="9"/>
  <c r="CT64" i="9"/>
  <c r="CS64" i="9"/>
  <c r="CR64" i="9"/>
  <c r="CQ64" i="9"/>
  <c r="CP64" i="9"/>
  <c r="CO64" i="9"/>
  <c r="CK64" i="9"/>
  <c r="CJ64" i="9"/>
  <c r="CI64" i="9"/>
  <c r="CH64" i="9"/>
  <c r="CG64" i="9"/>
  <c r="CF64" i="9"/>
  <c r="CB64" i="9"/>
  <c r="CA64" i="9"/>
  <c r="BZ64" i="9"/>
  <c r="BY64" i="9"/>
  <c r="BX64" i="9"/>
  <c r="BW64" i="9"/>
  <c r="DC63" i="9"/>
  <c r="DB63" i="9"/>
  <c r="DA63" i="9"/>
  <c r="CZ63" i="9"/>
  <c r="CY63" i="9"/>
  <c r="CX63" i="9"/>
  <c r="CT63" i="9"/>
  <c r="CS63" i="9"/>
  <c r="CR63" i="9"/>
  <c r="CQ63" i="9"/>
  <c r="CP63" i="9"/>
  <c r="CO63" i="9"/>
  <c r="CK63" i="9"/>
  <c r="CJ63" i="9"/>
  <c r="CI63" i="9"/>
  <c r="CH63" i="9"/>
  <c r="CG63" i="9"/>
  <c r="CF63" i="9"/>
  <c r="CB63" i="9"/>
  <c r="CA63" i="9"/>
  <c r="BZ63" i="9"/>
  <c r="BY63" i="9"/>
  <c r="BX63" i="9"/>
  <c r="BW63" i="9"/>
  <c r="DC62" i="9"/>
  <c r="DB62" i="9"/>
  <c r="DA62" i="9"/>
  <c r="CZ62" i="9"/>
  <c r="CY62" i="9"/>
  <c r="CX62" i="9"/>
  <c r="CT62" i="9"/>
  <c r="CS62" i="9"/>
  <c r="CR62" i="9"/>
  <c r="CQ62" i="9"/>
  <c r="CP62" i="9"/>
  <c r="CO62" i="9"/>
  <c r="CK62" i="9"/>
  <c r="CJ62" i="9"/>
  <c r="CI62" i="9"/>
  <c r="CH62" i="9"/>
  <c r="CG62" i="9"/>
  <c r="CF62" i="9"/>
  <c r="CB62" i="9"/>
  <c r="CA62" i="9"/>
  <c r="BZ62" i="9"/>
  <c r="BY62" i="9"/>
  <c r="BX62" i="9"/>
  <c r="BW62" i="9"/>
  <c r="CX61" i="9"/>
  <c r="CO61" i="9"/>
  <c r="CF61" i="9"/>
  <c r="BW61" i="9"/>
  <c r="DC59" i="9"/>
  <c r="DB59" i="9"/>
  <c r="DA59" i="9"/>
  <c r="CZ59" i="9"/>
  <c r="CY59" i="9"/>
  <c r="CX59" i="9"/>
  <c r="CT59" i="9"/>
  <c r="CS59" i="9"/>
  <c r="CR59" i="9"/>
  <c r="CQ59" i="9"/>
  <c r="CP59" i="9"/>
  <c r="CO59" i="9"/>
  <c r="CK59" i="9"/>
  <c r="CJ59" i="9"/>
  <c r="CI59" i="9"/>
  <c r="CH59" i="9"/>
  <c r="CG59" i="9"/>
  <c r="CF59" i="9"/>
  <c r="CB59" i="9"/>
  <c r="CA59" i="9"/>
  <c r="BZ59" i="9"/>
  <c r="BY59" i="9"/>
  <c r="BX59" i="9"/>
  <c r="BW59" i="9"/>
  <c r="DE58" i="9"/>
  <c r="CV58" i="9"/>
  <c r="CM58" i="9"/>
  <c r="CD58" i="9"/>
  <c r="DE57" i="9"/>
  <c r="CV57" i="9"/>
  <c r="CM57" i="9"/>
  <c r="CD57" i="9"/>
  <c r="DE56" i="9"/>
  <c r="CV56" i="9"/>
  <c r="CM56" i="9"/>
  <c r="CD56" i="9"/>
  <c r="DE55" i="9"/>
  <c r="CV55" i="9"/>
  <c r="CM55" i="9"/>
  <c r="CD55" i="9"/>
  <c r="DE54" i="9"/>
  <c r="CV54" i="9"/>
  <c r="CM54" i="9"/>
  <c r="CD54" i="9"/>
  <c r="DE53" i="9"/>
  <c r="CV53" i="9"/>
  <c r="CM53" i="9"/>
  <c r="CD53" i="9"/>
  <c r="CV64" i="9"/>
  <c r="CM64" i="9"/>
  <c r="DC78" i="9"/>
  <c r="DA79" i="9"/>
  <c r="CU79" i="9"/>
  <c r="CJ79" i="9"/>
  <c r="DB80" i="9"/>
  <c r="CT80" i="9"/>
  <c r="CI80" i="9"/>
  <c r="CA80" i="9"/>
  <c r="DB79" i="9"/>
  <c r="CT79" i="9"/>
  <c r="CI79" i="9"/>
  <c r="CC79" i="9"/>
  <c r="DA78" i="9"/>
  <c r="CS79" i="9"/>
  <c r="CL78" i="9"/>
  <c r="BY78" i="9"/>
  <c r="DD76" i="9"/>
  <c r="K25" i="19"/>
  <c r="CT77" i="9"/>
  <c r="CJ77" i="9"/>
  <c r="CD65" i="9"/>
  <c r="BT73" i="9"/>
  <c r="BS73" i="9"/>
  <c r="BR73" i="9"/>
  <c r="BQ73" i="9"/>
  <c r="BP73" i="9"/>
  <c r="BK73" i="9"/>
  <c r="BJ73" i="9"/>
  <c r="BI73" i="9"/>
  <c r="BH73" i="9"/>
  <c r="BG73" i="9"/>
  <c r="BB73" i="9"/>
  <c r="BA73" i="9"/>
  <c r="AZ73" i="9"/>
  <c r="AY73" i="9"/>
  <c r="AX73" i="9"/>
  <c r="BT72" i="9"/>
  <c r="BS72" i="9"/>
  <c r="BR72" i="9"/>
  <c r="BQ72" i="9"/>
  <c r="BP72" i="9"/>
  <c r="BK72" i="9"/>
  <c r="BJ72" i="9"/>
  <c r="BI72" i="9"/>
  <c r="BH72" i="9"/>
  <c r="BG72" i="9"/>
  <c r="BB72" i="9"/>
  <c r="BA72" i="9"/>
  <c r="AZ72" i="9"/>
  <c r="AY72" i="9"/>
  <c r="AX72" i="9"/>
  <c r="BT71" i="9"/>
  <c r="BS71" i="9"/>
  <c r="BR71" i="9"/>
  <c r="BQ71" i="9"/>
  <c r="BP71" i="9"/>
  <c r="BK71" i="9"/>
  <c r="BJ71" i="9"/>
  <c r="BI71" i="9"/>
  <c r="BH71" i="9"/>
  <c r="BG71" i="9"/>
  <c r="BB71" i="9"/>
  <c r="BA71" i="9"/>
  <c r="AZ71" i="9"/>
  <c r="AY71" i="9"/>
  <c r="AX71" i="9"/>
  <c r="BT70" i="9"/>
  <c r="BS70" i="9"/>
  <c r="BR70" i="9"/>
  <c r="BQ70" i="9"/>
  <c r="BP70" i="9"/>
  <c r="BK70" i="9"/>
  <c r="BJ70" i="9"/>
  <c r="BI70" i="9"/>
  <c r="BH70" i="9"/>
  <c r="BG70" i="9"/>
  <c r="BB70" i="9"/>
  <c r="BA70" i="9"/>
  <c r="AZ70" i="9"/>
  <c r="AY70" i="9"/>
  <c r="AX70" i="9"/>
  <c r="BT69" i="9"/>
  <c r="K37" i="19"/>
  <c r="BS69" i="9"/>
  <c r="I37" i="19"/>
  <c r="BR69" i="9"/>
  <c r="G37" i="19"/>
  <c r="BQ69" i="9"/>
  <c r="E37" i="19"/>
  <c r="BP69" i="9"/>
  <c r="C37" i="19"/>
  <c r="BK69" i="9"/>
  <c r="K36" i="19"/>
  <c r="BJ69" i="9"/>
  <c r="I36" i="19"/>
  <c r="BI69" i="9"/>
  <c r="G36" i="19"/>
  <c r="BH69" i="9"/>
  <c r="E36" i="19"/>
  <c r="BG69" i="9"/>
  <c r="C36" i="19"/>
  <c r="BB69" i="9"/>
  <c r="K35" i="19"/>
  <c r="BA69" i="9"/>
  <c r="I35" i="19"/>
  <c r="AZ69" i="9"/>
  <c r="G35" i="19"/>
  <c r="AY69" i="9"/>
  <c r="E35" i="19"/>
  <c r="AX69" i="9"/>
  <c r="C35" i="19"/>
  <c r="BS66" i="9"/>
  <c r="BR66" i="9"/>
  <c r="BQ66" i="9"/>
  <c r="BP66" i="9"/>
  <c r="BO66" i="9"/>
  <c r="BN66" i="9"/>
  <c r="BJ66" i="9"/>
  <c r="BI66" i="9"/>
  <c r="BH66" i="9"/>
  <c r="BG66" i="9"/>
  <c r="BF66" i="9"/>
  <c r="BE66" i="9"/>
  <c r="BA66" i="9"/>
  <c r="AZ66" i="9"/>
  <c r="AY66" i="9"/>
  <c r="AX66" i="9"/>
  <c r="AW66" i="9"/>
  <c r="AV66" i="9"/>
  <c r="BS65" i="9"/>
  <c r="BR65" i="9"/>
  <c r="BQ65" i="9"/>
  <c r="BP65" i="9"/>
  <c r="BO65" i="9"/>
  <c r="BN65" i="9"/>
  <c r="BJ65" i="9"/>
  <c r="BI65" i="9"/>
  <c r="BH65" i="9"/>
  <c r="BG65" i="9"/>
  <c r="BF65" i="9"/>
  <c r="BE65" i="9"/>
  <c r="BA65" i="9"/>
  <c r="AZ65" i="9"/>
  <c r="AY65" i="9"/>
  <c r="AX65" i="9"/>
  <c r="AW65" i="9"/>
  <c r="AV65" i="9"/>
  <c r="BS64" i="9"/>
  <c r="BR64" i="9"/>
  <c r="BQ64" i="9"/>
  <c r="BP64" i="9"/>
  <c r="BO64" i="9"/>
  <c r="BN64" i="9"/>
  <c r="BJ64" i="9"/>
  <c r="BI64" i="9"/>
  <c r="BH64" i="9"/>
  <c r="BG64" i="9"/>
  <c r="BF64" i="9"/>
  <c r="BE64" i="9"/>
  <c r="BA64" i="9"/>
  <c r="AZ64" i="9"/>
  <c r="AY64" i="9"/>
  <c r="AX64" i="9"/>
  <c r="AW64" i="9"/>
  <c r="AV64" i="9"/>
  <c r="BS63" i="9"/>
  <c r="BR63" i="9"/>
  <c r="BQ63" i="9"/>
  <c r="BP63" i="9"/>
  <c r="BO63" i="9"/>
  <c r="BN63" i="9"/>
  <c r="BJ63" i="9"/>
  <c r="BI63" i="9"/>
  <c r="BH63" i="9"/>
  <c r="BG63" i="9"/>
  <c r="BF63" i="9"/>
  <c r="BE63" i="9"/>
  <c r="BA63" i="9"/>
  <c r="AZ63" i="9"/>
  <c r="AY63" i="9"/>
  <c r="AX63" i="9"/>
  <c r="AW63" i="9"/>
  <c r="AV63" i="9"/>
  <c r="BS62" i="9"/>
  <c r="BR62" i="9"/>
  <c r="BQ62" i="9"/>
  <c r="BP62" i="9"/>
  <c r="BO62" i="9"/>
  <c r="BN62" i="9"/>
  <c r="BJ62" i="9"/>
  <c r="BI62" i="9"/>
  <c r="BH62" i="9"/>
  <c r="BG62" i="9"/>
  <c r="BF62" i="9"/>
  <c r="BE62" i="9"/>
  <c r="BA62" i="9"/>
  <c r="AZ62" i="9"/>
  <c r="AY62" i="9"/>
  <c r="AX62" i="9"/>
  <c r="AW62" i="9"/>
  <c r="AV62" i="9"/>
  <c r="BN61" i="9"/>
  <c r="BE61" i="9"/>
  <c r="AV61" i="9"/>
  <c r="BS59" i="9"/>
  <c r="BR59" i="9"/>
  <c r="BQ59" i="9"/>
  <c r="BP59" i="9"/>
  <c r="BO59" i="9"/>
  <c r="BN59" i="9"/>
  <c r="BJ59" i="9"/>
  <c r="BI59" i="9"/>
  <c r="BH59" i="9"/>
  <c r="BG59" i="9"/>
  <c r="BF59" i="9"/>
  <c r="BE59" i="9"/>
  <c r="BA59" i="9"/>
  <c r="AZ59" i="9"/>
  <c r="AY59" i="9"/>
  <c r="AX59" i="9"/>
  <c r="AW59" i="9"/>
  <c r="AV59" i="9"/>
  <c r="BU58" i="9"/>
  <c r="BL58" i="9"/>
  <c r="BC58" i="9"/>
  <c r="BU57" i="9"/>
  <c r="BL57" i="9"/>
  <c r="BC57" i="9"/>
  <c r="BU56" i="9"/>
  <c r="BL56" i="9"/>
  <c r="BC56" i="9"/>
  <c r="BU55" i="9"/>
  <c r="BL55" i="9"/>
  <c r="BC55" i="9"/>
  <c r="BU54" i="9"/>
  <c r="BL54" i="9"/>
  <c r="BC54" i="9"/>
  <c r="BU53" i="9"/>
  <c r="BL53" i="9"/>
  <c r="BC53" i="9"/>
  <c r="AY79" i="9"/>
  <c r="AZ80" i="9"/>
  <c r="BI80" i="9"/>
  <c r="AS73" i="9"/>
  <c r="AR73" i="9"/>
  <c r="AQ73" i="9"/>
  <c r="AP73" i="9"/>
  <c r="AO73" i="9"/>
  <c r="AJ73" i="9"/>
  <c r="AI73" i="9"/>
  <c r="AH73" i="9"/>
  <c r="AG73" i="9"/>
  <c r="AF73" i="9"/>
  <c r="AS72" i="9"/>
  <c r="AR72" i="9"/>
  <c r="AQ72" i="9"/>
  <c r="AP72" i="9"/>
  <c r="AO72" i="9"/>
  <c r="AJ72" i="9"/>
  <c r="AI72" i="9"/>
  <c r="AH72" i="9"/>
  <c r="AG72" i="9"/>
  <c r="AF72" i="9"/>
  <c r="AS71" i="9"/>
  <c r="AR71" i="9"/>
  <c r="AQ71" i="9"/>
  <c r="AP71" i="9"/>
  <c r="AO71" i="9"/>
  <c r="AJ71" i="9"/>
  <c r="AI71" i="9"/>
  <c r="AH71" i="9"/>
  <c r="AG71" i="9"/>
  <c r="AF71" i="9"/>
  <c r="AS70" i="9"/>
  <c r="AR70" i="9"/>
  <c r="AQ70" i="9"/>
  <c r="AP70" i="9"/>
  <c r="AO70" i="9"/>
  <c r="AJ70" i="9"/>
  <c r="AI70" i="9"/>
  <c r="AH70" i="9"/>
  <c r="AG70" i="9"/>
  <c r="AF70" i="9"/>
  <c r="AS69" i="9"/>
  <c r="K34" i="19"/>
  <c r="AR69" i="9"/>
  <c r="I34" i="19"/>
  <c r="AQ69" i="9"/>
  <c r="G34" i="19"/>
  <c r="AP69" i="9"/>
  <c r="E34" i="19"/>
  <c r="AO69" i="9"/>
  <c r="C34" i="19"/>
  <c r="AJ69" i="9"/>
  <c r="K33" i="19"/>
  <c r="AI69" i="9"/>
  <c r="I33" i="19"/>
  <c r="AH69" i="9"/>
  <c r="G33" i="19"/>
  <c r="AG69" i="9"/>
  <c r="E33" i="19"/>
  <c r="AF69" i="9"/>
  <c r="C33" i="19"/>
  <c r="AR66" i="9"/>
  <c r="AQ66" i="9"/>
  <c r="AP66" i="9"/>
  <c r="AO66" i="9"/>
  <c r="AN66" i="9"/>
  <c r="AM66" i="9"/>
  <c r="AI66" i="9"/>
  <c r="AH66" i="9"/>
  <c r="AG66" i="9"/>
  <c r="AF66" i="9"/>
  <c r="AE66" i="9"/>
  <c r="AD66" i="9"/>
  <c r="AR65" i="9"/>
  <c r="AQ65" i="9"/>
  <c r="AP65" i="9"/>
  <c r="AO65" i="9"/>
  <c r="AN65" i="9"/>
  <c r="AM65" i="9"/>
  <c r="AI65" i="9"/>
  <c r="AH65" i="9"/>
  <c r="AG65" i="9"/>
  <c r="AF65" i="9"/>
  <c r="AE65" i="9"/>
  <c r="AD65" i="9"/>
  <c r="AR64" i="9"/>
  <c r="AQ64" i="9"/>
  <c r="AP64" i="9"/>
  <c r="AO64" i="9"/>
  <c r="AN64" i="9"/>
  <c r="AM64" i="9"/>
  <c r="AI64" i="9"/>
  <c r="AH64" i="9"/>
  <c r="AG64" i="9"/>
  <c r="AF64" i="9"/>
  <c r="AE64" i="9"/>
  <c r="AD64" i="9"/>
  <c r="AR63" i="9"/>
  <c r="AQ63" i="9"/>
  <c r="AP63" i="9"/>
  <c r="AO63" i="9"/>
  <c r="AN63" i="9"/>
  <c r="AM63" i="9"/>
  <c r="AI63" i="9"/>
  <c r="AH63" i="9"/>
  <c r="AG63" i="9"/>
  <c r="AF63" i="9"/>
  <c r="AE63" i="9"/>
  <c r="AD63" i="9"/>
  <c r="AR62" i="9"/>
  <c r="AQ62" i="9"/>
  <c r="AP62" i="9"/>
  <c r="AO62" i="9"/>
  <c r="AN62" i="9"/>
  <c r="AM62" i="9"/>
  <c r="AI62" i="9"/>
  <c r="AH62" i="9"/>
  <c r="AG62" i="9"/>
  <c r="AF62" i="9"/>
  <c r="AE62" i="9"/>
  <c r="AD62" i="9"/>
  <c r="AM61" i="9"/>
  <c r="AD61" i="9"/>
  <c r="AR59" i="9"/>
  <c r="AQ59" i="9"/>
  <c r="AP59" i="9"/>
  <c r="AO59" i="9"/>
  <c r="AN59" i="9"/>
  <c r="AM59" i="9"/>
  <c r="AI59" i="9"/>
  <c r="AH59" i="9"/>
  <c r="AG59" i="9"/>
  <c r="AF59" i="9"/>
  <c r="AE59" i="9"/>
  <c r="AD59" i="9"/>
  <c r="AT58" i="9"/>
  <c r="AK58" i="9"/>
  <c r="AT57" i="9"/>
  <c r="AK57" i="9"/>
  <c r="AT56" i="9"/>
  <c r="AK56" i="9"/>
  <c r="AT55" i="9"/>
  <c r="AK55" i="9"/>
  <c r="AT54" i="9"/>
  <c r="AT59" i="9"/>
  <c r="AK54" i="9"/>
  <c r="AT53" i="9"/>
  <c r="AK53" i="9"/>
  <c r="AP80" i="9"/>
  <c r="AF80" i="9"/>
  <c r="AQ80" i="9"/>
  <c r="AH79" i="9"/>
  <c r="AS80" i="9"/>
  <c r="AI80" i="9"/>
  <c r="AG77" i="9"/>
  <c r="AA73" i="9"/>
  <c r="Z73" i="9"/>
  <c r="Y73" i="9"/>
  <c r="X73" i="9"/>
  <c r="W73" i="9"/>
  <c r="AA72" i="9"/>
  <c r="Z72" i="9"/>
  <c r="Y72" i="9"/>
  <c r="X72" i="9"/>
  <c r="W72" i="9"/>
  <c r="AA71" i="9"/>
  <c r="Z71" i="9"/>
  <c r="Y71" i="9"/>
  <c r="X71" i="9"/>
  <c r="W71" i="9"/>
  <c r="AA70" i="9"/>
  <c r="Z70" i="9"/>
  <c r="Y70" i="9"/>
  <c r="X70" i="9"/>
  <c r="W70" i="9"/>
  <c r="AA69" i="9"/>
  <c r="K32" i="19"/>
  <c r="Z69" i="9"/>
  <c r="I32" i="19"/>
  <c r="Y69" i="9"/>
  <c r="G32" i="19"/>
  <c r="X69" i="9"/>
  <c r="E32" i="19"/>
  <c r="W69" i="9"/>
  <c r="C32" i="19"/>
  <c r="Z66" i="9"/>
  <c r="Y66" i="9"/>
  <c r="X66" i="9"/>
  <c r="W66" i="9"/>
  <c r="V66" i="9"/>
  <c r="U66" i="9"/>
  <c r="Z65" i="9"/>
  <c r="Y65" i="9"/>
  <c r="X65" i="9"/>
  <c r="W65" i="9"/>
  <c r="V65" i="9"/>
  <c r="U65" i="9"/>
  <c r="Z64" i="9"/>
  <c r="Y64" i="9"/>
  <c r="X64" i="9"/>
  <c r="W64" i="9"/>
  <c r="V64" i="9"/>
  <c r="U64" i="9"/>
  <c r="Z63" i="9"/>
  <c r="Y63" i="9"/>
  <c r="X63" i="9"/>
  <c r="W63" i="9"/>
  <c r="V63" i="9"/>
  <c r="U63" i="9"/>
  <c r="Z62" i="9"/>
  <c r="Y62" i="9"/>
  <c r="X62" i="9"/>
  <c r="W62" i="9"/>
  <c r="V62" i="9"/>
  <c r="U62" i="9"/>
  <c r="U61" i="9"/>
  <c r="Z59" i="9"/>
  <c r="Y59" i="9"/>
  <c r="X59" i="9"/>
  <c r="W59" i="9"/>
  <c r="V59" i="9"/>
  <c r="U59" i="9"/>
  <c r="AB58" i="9"/>
  <c r="AB57" i="9"/>
  <c r="AB56" i="9"/>
  <c r="AB55" i="9"/>
  <c r="AB54" i="9"/>
  <c r="AB53" i="9"/>
  <c r="Z80" i="9"/>
  <c r="Y77" i="9"/>
  <c r="L61" i="9"/>
  <c r="R73" i="9"/>
  <c r="Q73" i="9"/>
  <c r="P73" i="9"/>
  <c r="O73" i="9"/>
  <c r="N73" i="9"/>
  <c r="R72" i="9"/>
  <c r="Q72" i="9"/>
  <c r="P72" i="9"/>
  <c r="O72" i="9"/>
  <c r="N72" i="9"/>
  <c r="R71" i="9"/>
  <c r="Q71" i="9"/>
  <c r="P71" i="9"/>
  <c r="O71" i="9"/>
  <c r="N71" i="9"/>
  <c r="N70" i="9"/>
  <c r="R70" i="9"/>
  <c r="Q70" i="9"/>
  <c r="P70" i="9"/>
  <c r="O70" i="9"/>
  <c r="R69" i="9"/>
  <c r="K31" i="19"/>
  <c r="Q69" i="9"/>
  <c r="I31" i="19"/>
  <c r="P69" i="9"/>
  <c r="G31" i="19"/>
  <c r="O69" i="9"/>
  <c r="E31" i="19"/>
  <c r="N69" i="9"/>
  <c r="C31" i="19"/>
  <c r="R59" i="1"/>
  <c r="T70" i="1"/>
  <c r="S59" i="1"/>
  <c r="L59" i="9"/>
  <c r="L66" i="9"/>
  <c r="L65" i="9"/>
  <c r="L64" i="9"/>
  <c r="L63" i="9"/>
  <c r="L62" i="9"/>
  <c r="S58" i="9"/>
  <c r="S57" i="9"/>
  <c r="S56" i="9"/>
  <c r="S55" i="9"/>
  <c r="S54" i="9"/>
  <c r="S53" i="9"/>
  <c r="S66" i="9"/>
  <c r="R80" i="9"/>
  <c r="AK90" i="9"/>
  <c r="BY80" i="9"/>
  <c r="AG80" i="9"/>
  <c r="N80" i="9"/>
  <c r="P80" i="9"/>
  <c r="Q80" i="9"/>
  <c r="AI78" i="9"/>
  <c r="AF78" i="9"/>
  <c r="O80" i="9"/>
  <c r="AJ80" i="9"/>
  <c r="AO80" i="9"/>
  <c r="AG79" i="9"/>
  <c r="BR80" i="9"/>
  <c r="ED80" i="9"/>
  <c r="EA80" i="9"/>
  <c r="DR79" i="9"/>
  <c r="EB80" i="9"/>
  <c r="DD80" i="9"/>
  <c r="DC79" i="9"/>
  <c r="CV59" i="9"/>
  <c r="CU78" i="9"/>
  <c r="CU77" i="9"/>
  <c r="CQ77" i="9"/>
  <c r="CU80" i="9"/>
  <c r="CQ80" i="9"/>
  <c r="CS80" i="9"/>
  <c r="CJ80" i="9"/>
  <c r="BZ79" i="9"/>
  <c r="CB80" i="9"/>
  <c r="BG79" i="9"/>
  <c r="BG80" i="9"/>
  <c r="BA80" i="9"/>
  <c r="AY80" i="9"/>
  <c r="BQ80" i="9"/>
  <c r="BT80" i="9"/>
  <c r="BP80" i="9"/>
  <c r="BS80" i="9"/>
  <c r="BB80" i="9"/>
  <c r="AI77" i="9"/>
  <c r="AF77" i="9"/>
  <c r="AF79" i="9"/>
  <c r="AH80" i="9"/>
  <c r="AK65" i="9"/>
  <c r="AI76" i="9"/>
  <c r="I17" i="19"/>
  <c r="Y80" i="9"/>
  <c r="W80" i="9"/>
  <c r="AA80" i="9"/>
  <c r="C49" i="16"/>
  <c r="CY62" i="1"/>
  <c r="CX62" i="1"/>
  <c r="C38" i="16"/>
  <c r="DD73" i="1"/>
  <c r="DC73" i="1"/>
  <c r="DB73" i="1"/>
  <c r="DA73" i="1"/>
  <c r="CZ73" i="1"/>
  <c r="CW73" i="1"/>
  <c r="CV73" i="1"/>
  <c r="CU73" i="1"/>
  <c r="CT73" i="1"/>
  <c r="CS73" i="1"/>
  <c r="DD72" i="1"/>
  <c r="DC72" i="1"/>
  <c r="DB72" i="1"/>
  <c r="DA72" i="1"/>
  <c r="CZ72" i="1"/>
  <c r="CW72" i="1"/>
  <c r="CV72" i="1"/>
  <c r="CU72" i="1"/>
  <c r="CT72" i="1"/>
  <c r="CS72" i="1"/>
  <c r="DD71" i="1"/>
  <c r="DC71" i="1"/>
  <c r="DB71" i="1"/>
  <c r="DA71" i="1"/>
  <c r="CZ71" i="1"/>
  <c r="CW71" i="1"/>
  <c r="CV71" i="1"/>
  <c r="CU71" i="1"/>
  <c r="CT71" i="1"/>
  <c r="CS71" i="1"/>
  <c r="DD70" i="1"/>
  <c r="DC70" i="1"/>
  <c r="DB70" i="1"/>
  <c r="DA70" i="1"/>
  <c r="CZ70" i="1"/>
  <c r="CW70" i="1"/>
  <c r="CV70" i="1"/>
  <c r="CU70" i="1"/>
  <c r="CT70" i="1"/>
  <c r="CS70" i="1"/>
  <c r="DD69" i="1"/>
  <c r="K49" i="16"/>
  <c r="DB69" i="1"/>
  <c r="G49" i="16"/>
  <c r="DA69" i="1"/>
  <c r="E49" i="16"/>
  <c r="CW69" i="1"/>
  <c r="K48" i="16"/>
  <c r="I48" i="16"/>
  <c r="CU69" i="1"/>
  <c r="G48" i="16"/>
  <c r="E48" i="16"/>
  <c r="C48" i="16"/>
  <c r="DC66" i="1"/>
  <c r="DB66" i="1"/>
  <c r="DA66" i="1"/>
  <c r="CZ66" i="1"/>
  <c r="CY66" i="1"/>
  <c r="CX66" i="1"/>
  <c r="CV66" i="1"/>
  <c r="CU66" i="1"/>
  <c r="CT66" i="1"/>
  <c r="CS66" i="1"/>
  <c r="CR66" i="1"/>
  <c r="CQ66" i="1"/>
  <c r="DC65" i="1"/>
  <c r="DB65" i="1"/>
  <c r="DA65" i="1"/>
  <c r="CZ65" i="1"/>
  <c r="CY65" i="1"/>
  <c r="CX65" i="1"/>
  <c r="CV65" i="1"/>
  <c r="CU65" i="1"/>
  <c r="CT65" i="1"/>
  <c r="CS65" i="1"/>
  <c r="CR65" i="1"/>
  <c r="CQ65" i="1"/>
  <c r="DC64" i="1"/>
  <c r="DB64" i="1"/>
  <c r="DA64" i="1"/>
  <c r="CZ64" i="1"/>
  <c r="CY64" i="1"/>
  <c r="CX64" i="1"/>
  <c r="CV64" i="1"/>
  <c r="CU64" i="1"/>
  <c r="CT64" i="1"/>
  <c r="CS64" i="1"/>
  <c r="CR64" i="1"/>
  <c r="CQ64" i="1"/>
  <c r="DC63" i="1"/>
  <c r="DB63" i="1"/>
  <c r="DA63" i="1"/>
  <c r="CZ63" i="1"/>
  <c r="CY63" i="1"/>
  <c r="CX63" i="1"/>
  <c r="CV63" i="1"/>
  <c r="CU63" i="1"/>
  <c r="CT63" i="1"/>
  <c r="CS63" i="1"/>
  <c r="CR63" i="1"/>
  <c r="CQ63" i="1"/>
  <c r="DC62" i="1"/>
  <c r="DB62" i="1"/>
  <c r="DA62" i="1"/>
  <c r="CZ62" i="1"/>
  <c r="CV62" i="1"/>
  <c r="CU62" i="1"/>
  <c r="CT62" i="1"/>
  <c r="CS62" i="1"/>
  <c r="CR62" i="1"/>
  <c r="CQ62" i="1"/>
  <c r="CX61" i="1"/>
  <c r="CQ61" i="1"/>
  <c r="DC59" i="1"/>
  <c r="DB59" i="1"/>
  <c r="DA59" i="1"/>
  <c r="CZ59" i="1"/>
  <c r="CY59" i="1"/>
  <c r="CX59" i="1"/>
  <c r="CV59" i="1"/>
  <c r="CU59" i="1"/>
  <c r="CT59" i="1"/>
  <c r="CS59" i="1"/>
  <c r="CR59" i="1"/>
  <c r="CQ59" i="1"/>
  <c r="DD58" i="1"/>
  <c r="CW58" i="1"/>
  <c r="DD57" i="1"/>
  <c r="CW57" i="1"/>
  <c r="DD56" i="1"/>
  <c r="CW56" i="1"/>
  <c r="DD55" i="1"/>
  <c r="CW55" i="1"/>
  <c r="DD54" i="1"/>
  <c r="CW54" i="1"/>
  <c r="DD53" i="1"/>
  <c r="CW53" i="1"/>
  <c r="CT80" i="1"/>
  <c r="CU80" i="1"/>
  <c r="CJ61" i="1"/>
  <c r="CI73" i="1"/>
  <c r="CH73" i="1"/>
  <c r="CG73" i="1"/>
  <c r="CF73" i="1"/>
  <c r="CE73" i="1"/>
  <c r="CB73" i="1"/>
  <c r="CA73" i="1"/>
  <c r="BZ73" i="1"/>
  <c r="BY73" i="1"/>
  <c r="BX73" i="1"/>
  <c r="BU73" i="1"/>
  <c r="BT73" i="1"/>
  <c r="BS73" i="1"/>
  <c r="BR73" i="1"/>
  <c r="BQ73" i="1"/>
  <c r="CI72" i="1"/>
  <c r="CH72" i="1"/>
  <c r="CG72" i="1"/>
  <c r="CF72" i="1"/>
  <c r="CE72" i="1"/>
  <c r="CB72" i="1"/>
  <c r="CA72" i="1"/>
  <c r="BZ72" i="1"/>
  <c r="BY72" i="1"/>
  <c r="BX72" i="1"/>
  <c r="BU72" i="1"/>
  <c r="BT72" i="1"/>
  <c r="BS72" i="1"/>
  <c r="BR72" i="1"/>
  <c r="BQ72" i="1"/>
  <c r="CI71" i="1"/>
  <c r="CH71" i="1"/>
  <c r="CG71" i="1"/>
  <c r="CF71" i="1"/>
  <c r="CE71" i="1"/>
  <c r="CB71" i="1"/>
  <c r="CA71" i="1"/>
  <c r="BZ71" i="1"/>
  <c r="BY71" i="1"/>
  <c r="BX71" i="1"/>
  <c r="BU71" i="1"/>
  <c r="BT71" i="1"/>
  <c r="BS71" i="1"/>
  <c r="BR71" i="1"/>
  <c r="BQ71" i="1"/>
  <c r="CF70" i="1"/>
  <c r="CE70" i="1"/>
  <c r="CB70" i="1"/>
  <c r="CA70" i="1"/>
  <c r="BZ70" i="1"/>
  <c r="BY70" i="1"/>
  <c r="BX70" i="1"/>
  <c r="BU70" i="1"/>
  <c r="BT70" i="1"/>
  <c r="BS70" i="1"/>
  <c r="BR70" i="1"/>
  <c r="BQ70" i="1"/>
  <c r="CI69" i="1"/>
  <c r="K47" i="16"/>
  <c r="G47" i="16"/>
  <c r="E47" i="16"/>
  <c r="C47" i="16"/>
  <c r="CB69" i="1"/>
  <c r="K46" i="16"/>
  <c r="G46" i="16"/>
  <c r="E46" i="16"/>
  <c r="C46" i="16"/>
  <c r="BU69" i="1"/>
  <c r="K45" i="16"/>
  <c r="G45" i="16"/>
  <c r="E45" i="16"/>
  <c r="C45" i="16"/>
  <c r="CH66" i="1"/>
  <c r="CG66" i="1"/>
  <c r="CF66" i="1"/>
  <c r="CE66" i="1"/>
  <c r="CD66" i="1"/>
  <c r="CC66" i="1"/>
  <c r="CA66" i="1"/>
  <c r="BZ66" i="1"/>
  <c r="BY66" i="1"/>
  <c r="BX66" i="1"/>
  <c r="BW66" i="1"/>
  <c r="BV66" i="1"/>
  <c r="BT66" i="1"/>
  <c r="BS66" i="1"/>
  <c r="BR66" i="1"/>
  <c r="BQ66" i="1"/>
  <c r="BP66" i="1"/>
  <c r="BO66" i="1"/>
  <c r="CH65" i="1"/>
  <c r="CG65" i="1"/>
  <c r="CF65" i="1"/>
  <c r="CE65" i="1"/>
  <c r="CD65" i="1"/>
  <c r="CC65" i="1"/>
  <c r="CA65" i="1"/>
  <c r="BZ65" i="1"/>
  <c r="BY65" i="1"/>
  <c r="BX65" i="1"/>
  <c r="BW65" i="1"/>
  <c r="BV65" i="1"/>
  <c r="BT65" i="1"/>
  <c r="BS65" i="1"/>
  <c r="BR65" i="1"/>
  <c r="BQ65" i="1"/>
  <c r="BP65" i="1"/>
  <c r="BO65" i="1"/>
  <c r="CH64" i="1"/>
  <c r="CG64" i="1"/>
  <c r="CF64" i="1"/>
  <c r="CE64" i="1"/>
  <c r="CD64" i="1"/>
  <c r="CC64" i="1"/>
  <c r="CA64" i="1"/>
  <c r="BZ64" i="1"/>
  <c r="BY64" i="1"/>
  <c r="BX64" i="1"/>
  <c r="BW64" i="1"/>
  <c r="BV64" i="1"/>
  <c r="BT64" i="1"/>
  <c r="BS64" i="1"/>
  <c r="BR64" i="1"/>
  <c r="BQ64" i="1"/>
  <c r="BP64" i="1"/>
  <c r="BO64" i="1"/>
  <c r="CH63" i="1"/>
  <c r="CG63" i="1"/>
  <c r="CF63" i="1"/>
  <c r="CE63" i="1"/>
  <c r="CD63" i="1"/>
  <c r="CC63" i="1"/>
  <c r="CA63" i="1"/>
  <c r="BZ63" i="1"/>
  <c r="BY63" i="1"/>
  <c r="BX63" i="1"/>
  <c r="BW63" i="1"/>
  <c r="BV63" i="1"/>
  <c r="BT63" i="1"/>
  <c r="BS63" i="1"/>
  <c r="BR63" i="1"/>
  <c r="BQ63" i="1"/>
  <c r="BP63" i="1"/>
  <c r="BO63" i="1"/>
  <c r="CH62" i="1"/>
  <c r="CG62" i="1"/>
  <c r="CF62" i="1"/>
  <c r="CE62" i="1"/>
  <c r="CD62" i="1"/>
  <c r="CC62" i="1"/>
  <c r="CA62" i="1"/>
  <c r="BZ62" i="1"/>
  <c r="BY62" i="1"/>
  <c r="BX62" i="1"/>
  <c r="BW62" i="1"/>
  <c r="BV62" i="1"/>
  <c r="BT62" i="1"/>
  <c r="BS62" i="1"/>
  <c r="BR62" i="1"/>
  <c r="BQ62" i="1"/>
  <c r="BP62" i="1"/>
  <c r="BO62" i="1"/>
  <c r="CC61" i="1"/>
  <c r="BV61" i="1"/>
  <c r="BO61" i="1"/>
  <c r="CH59" i="1"/>
  <c r="CG59" i="1"/>
  <c r="CF59" i="1"/>
  <c r="CE59" i="1"/>
  <c r="CD59" i="1"/>
  <c r="CC59" i="1"/>
  <c r="CA59" i="1"/>
  <c r="BZ59" i="1"/>
  <c r="BY59" i="1"/>
  <c r="BX59" i="1"/>
  <c r="BW59" i="1"/>
  <c r="BV59" i="1"/>
  <c r="BT59" i="1"/>
  <c r="BS59" i="1"/>
  <c r="BR59" i="1"/>
  <c r="BQ59" i="1"/>
  <c r="BP59" i="1"/>
  <c r="BO59" i="1"/>
  <c r="CI58" i="1"/>
  <c r="CB58" i="1"/>
  <c r="BU58" i="1"/>
  <c r="CI57" i="1"/>
  <c r="CB57" i="1"/>
  <c r="BU57" i="1"/>
  <c r="CI56" i="1"/>
  <c r="CB56" i="1"/>
  <c r="BU56" i="1"/>
  <c r="CI55" i="1"/>
  <c r="CB55" i="1"/>
  <c r="BU55" i="1"/>
  <c r="CI54" i="1"/>
  <c r="CB54" i="1"/>
  <c r="BU54" i="1"/>
  <c r="CI53" i="1"/>
  <c r="CB53" i="1"/>
  <c r="BU53" i="1"/>
  <c r="BZ80" i="1"/>
  <c r="CI80" i="1"/>
  <c r="BY77" i="1"/>
  <c r="C28" i="16"/>
  <c r="BN73" i="1"/>
  <c r="BM73" i="1"/>
  <c r="BL73" i="1"/>
  <c r="BK73" i="1"/>
  <c r="BJ73" i="1"/>
  <c r="BG73" i="1"/>
  <c r="BF73" i="1"/>
  <c r="BE73" i="1"/>
  <c r="BD73" i="1"/>
  <c r="BC73" i="1"/>
  <c r="AZ73" i="1"/>
  <c r="AY73" i="1"/>
  <c r="AX73" i="1"/>
  <c r="AW73" i="1"/>
  <c r="AV73" i="1"/>
  <c r="AS73" i="1"/>
  <c r="AR73" i="1"/>
  <c r="AQ73" i="1"/>
  <c r="AP73" i="1"/>
  <c r="AO73" i="1"/>
  <c r="BN72" i="1"/>
  <c r="BM72" i="1"/>
  <c r="BL72" i="1"/>
  <c r="BK72" i="1"/>
  <c r="BJ72" i="1"/>
  <c r="BG72" i="1"/>
  <c r="BF72" i="1"/>
  <c r="BE72" i="1"/>
  <c r="BD72" i="1"/>
  <c r="BC72" i="1"/>
  <c r="AZ72" i="1"/>
  <c r="AY72" i="1"/>
  <c r="AX72" i="1"/>
  <c r="AW72" i="1"/>
  <c r="AV72" i="1"/>
  <c r="AS72" i="1"/>
  <c r="AR72" i="1"/>
  <c r="AQ72" i="1"/>
  <c r="AP72" i="1"/>
  <c r="AO72" i="1"/>
  <c r="BN71" i="1"/>
  <c r="BM71" i="1"/>
  <c r="BL71" i="1"/>
  <c r="BK71" i="1"/>
  <c r="BJ71" i="1"/>
  <c r="BG71" i="1"/>
  <c r="BF71" i="1"/>
  <c r="BE71" i="1"/>
  <c r="BD71" i="1"/>
  <c r="BC71" i="1"/>
  <c r="AZ71" i="1"/>
  <c r="AY71" i="1"/>
  <c r="AX71" i="1"/>
  <c r="AW71" i="1"/>
  <c r="AV71" i="1"/>
  <c r="AS71" i="1"/>
  <c r="AR71" i="1"/>
  <c r="AQ71" i="1"/>
  <c r="AP71" i="1"/>
  <c r="AO71" i="1"/>
  <c r="BN70" i="1"/>
  <c r="BM70" i="1"/>
  <c r="BL70" i="1"/>
  <c r="BK70" i="1"/>
  <c r="BJ70" i="1"/>
  <c r="BG70" i="1"/>
  <c r="BF70" i="1"/>
  <c r="BE70" i="1"/>
  <c r="BD70" i="1"/>
  <c r="BC70" i="1"/>
  <c r="AZ70" i="1"/>
  <c r="AY70" i="1"/>
  <c r="AX70" i="1"/>
  <c r="AW70" i="1"/>
  <c r="AV70" i="1"/>
  <c r="AS70" i="1"/>
  <c r="AR70" i="1"/>
  <c r="AQ70" i="1"/>
  <c r="AP70" i="1"/>
  <c r="AO70" i="1"/>
  <c r="BN69" i="1"/>
  <c r="K44" i="16"/>
  <c r="I44" i="16"/>
  <c r="G44" i="16"/>
  <c r="E44" i="16"/>
  <c r="C44" i="16"/>
  <c r="BG69" i="1"/>
  <c r="K43" i="16"/>
  <c r="G43" i="16"/>
  <c r="E43" i="16"/>
  <c r="C43" i="16"/>
  <c r="AZ69" i="1"/>
  <c r="K41" i="16"/>
  <c r="G41" i="16"/>
  <c r="E41" i="16"/>
  <c r="C41" i="16"/>
  <c r="BM66" i="1"/>
  <c r="BL66" i="1"/>
  <c r="BK66" i="1"/>
  <c r="BJ66" i="1"/>
  <c r="BI66" i="1"/>
  <c r="BH66" i="1"/>
  <c r="BF66" i="1"/>
  <c r="BE66" i="1"/>
  <c r="BD66" i="1"/>
  <c r="BC66" i="1"/>
  <c r="BB66" i="1"/>
  <c r="BA66" i="1"/>
  <c r="AV66" i="1"/>
  <c r="AU66" i="1"/>
  <c r="AT66" i="1"/>
  <c r="AR66" i="1"/>
  <c r="AQ66" i="1"/>
  <c r="AP66" i="1"/>
  <c r="AO66" i="1"/>
  <c r="AN66" i="1"/>
  <c r="AM66" i="1"/>
  <c r="BM65" i="1"/>
  <c r="BL65" i="1"/>
  <c r="BK65" i="1"/>
  <c r="BJ65" i="1"/>
  <c r="BI65" i="1"/>
  <c r="BH65" i="1"/>
  <c r="BF65" i="1"/>
  <c r="BE65" i="1"/>
  <c r="BD65" i="1"/>
  <c r="BC65" i="1"/>
  <c r="BB65" i="1"/>
  <c r="BA65" i="1"/>
  <c r="AV65" i="1"/>
  <c r="AU65" i="1"/>
  <c r="AT65" i="1"/>
  <c r="AR65" i="1"/>
  <c r="AQ65" i="1"/>
  <c r="AP65" i="1"/>
  <c r="AO65" i="1"/>
  <c r="AN65" i="1"/>
  <c r="AM65" i="1"/>
  <c r="BM64" i="1"/>
  <c r="BL64" i="1"/>
  <c r="BK64" i="1"/>
  <c r="BJ64" i="1"/>
  <c r="BI64" i="1"/>
  <c r="BH64" i="1"/>
  <c r="BF64" i="1"/>
  <c r="BE64" i="1"/>
  <c r="BD64" i="1"/>
  <c r="BC64" i="1"/>
  <c r="BB64" i="1"/>
  <c r="BA64" i="1"/>
  <c r="AV64" i="1"/>
  <c r="AU64" i="1"/>
  <c r="AT64" i="1"/>
  <c r="AR64" i="1"/>
  <c r="AQ64" i="1"/>
  <c r="AP64" i="1"/>
  <c r="AO64" i="1"/>
  <c r="AN64" i="1"/>
  <c r="AM64" i="1"/>
  <c r="BM63" i="1"/>
  <c r="BL63" i="1"/>
  <c r="BK63" i="1"/>
  <c r="BJ63" i="1"/>
  <c r="BI63" i="1"/>
  <c r="BH63" i="1"/>
  <c r="BF63" i="1"/>
  <c r="BE63" i="1"/>
  <c r="BD63" i="1"/>
  <c r="BC63" i="1"/>
  <c r="BB63" i="1"/>
  <c r="BA63" i="1"/>
  <c r="AV63" i="1"/>
  <c r="AU63" i="1"/>
  <c r="AT63" i="1"/>
  <c r="AR63" i="1"/>
  <c r="AQ63" i="1"/>
  <c r="AP63" i="1"/>
  <c r="AO63" i="1"/>
  <c r="AN63" i="1"/>
  <c r="AM63" i="1"/>
  <c r="BM62" i="1"/>
  <c r="BL62" i="1"/>
  <c r="BK62" i="1"/>
  <c r="BJ62" i="1"/>
  <c r="BI62" i="1"/>
  <c r="BH62" i="1"/>
  <c r="BF62" i="1"/>
  <c r="BE62" i="1"/>
  <c r="BD62" i="1"/>
  <c r="BC62" i="1"/>
  <c r="BB62" i="1"/>
  <c r="BA62" i="1"/>
  <c r="AV62" i="1"/>
  <c r="AU62" i="1"/>
  <c r="AT62" i="1"/>
  <c r="AR62" i="1"/>
  <c r="AQ62" i="1"/>
  <c r="AP62" i="1"/>
  <c r="AO62" i="1"/>
  <c r="AN62" i="1"/>
  <c r="AM62" i="1"/>
  <c r="BH61" i="1"/>
  <c r="BA61" i="1"/>
  <c r="AT61" i="1"/>
  <c r="AM61" i="1"/>
  <c r="BM59" i="1"/>
  <c r="BL59" i="1"/>
  <c r="BK59" i="1"/>
  <c r="BJ59" i="1"/>
  <c r="BI59" i="1"/>
  <c r="BH59" i="1"/>
  <c r="BF59" i="1"/>
  <c r="BE59" i="1"/>
  <c r="BD59" i="1"/>
  <c r="BC59" i="1"/>
  <c r="BB59" i="1"/>
  <c r="BA59" i="1"/>
  <c r="AY59" i="1"/>
  <c r="AX59" i="1"/>
  <c r="AW59" i="1"/>
  <c r="AV59" i="1"/>
  <c r="AU59" i="1"/>
  <c r="AT59" i="1"/>
  <c r="AR59" i="1"/>
  <c r="AQ59" i="1"/>
  <c r="AP59" i="1"/>
  <c r="AO59" i="1"/>
  <c r="AN59" i="1"/>
  <c r="AM59" i="1"/>
  <c r="BN58" i="1"/>
  <c r="BG58" i="1"/>
  <c r="AZ58" i="1"/>
  <c r="AS58" i="1"/>
  <c r="BN57" i="1"/>
  <c r="BG57" i="1"/>
  <c r="AZ57" i="1"/>
  <c r="AS57" i="1"/>
  <c r="BN56" i="1"/>
  <c r="BG56" i="1"/>
  <c r="AZ56" i="1"/>
  <c r="AS56" i="1"/>
  <c r="BN55" i="1"/>
  <c r="BG55" i="1"/>
  <c r="AZ55" i="1"/>
  <c r="AS55" i="1"/>
  <c r="BN54" i="1"/>
  <c r="BG54" i="1"/>
  <c r="AZ54" i="1"/>
  <c r="AS54" i="1"/>
  <c r="BN53" i="1"/>
  <c r="BG53" i="1"/>
  <c r="AZ53" i="1"/>
  <c r="AS53" i="1"/>
  <c r="BN80" i="1"/>
  <c r="BC79" i="1"/>
  <c r="BM80" i="1"/>
  <c r="BE80" i="1"/>
  <c r="AX80" i="1"/>
  <c r="BM79" i="1"/>
  <c r="BE79" i="1"/>
  <c r="AY79" i="1"/>
  <c r="AS79" i="1"/>
  <c r="BM78" i="1"/>
  <c r="BC78" i="1"/>
  <c r="BN78" i="1"/>
  <c r="AX79" i="1"/>
  <c r="AL73" i="1"/>
  <c r="AK73" i="1"/>
  <c r="AJ73" i="1"/>
  <c r="AI73" i="1"/>
  <c r="AH73" i="1"/>
  <c r="AE73" i="1"/>
  <c r="AD73" i="1"/>
  <c r="AC73" i="1"/>
  <c r="AB73" i="1"/>
  <c r="AA73" i="1"/>
  <c r="AL72" i="1"/>
  <c r="AK72" i="1"/>
  <c r="AJ72" i="1"/>
  <c r="AI72" i="1"/>
  <c r="AH72" i="1"/>
  <c r="AE72" i="1"/>
  <c r="AD72" i="1"/>
  <c r="AC72" i="1"/>
  <c r="AB72" i="1"/>
  <c r="AA72" i="1"/>
  <c r="AL71" i="1"/>
  <c r="AK71" i="1"/>
  <c r="AJ71" i="1"/>
  <c r="AI71" i="1"/>
  <c r="AH71" i="1"/>
  <c r="AE71" i="1"/>
  <c r="AD71" i="1"/>
  <c r="AC71" i="1"/>
  <c r="AB71" i="1"/>
  <c r="AA71" i="1"/>
  <c r="AL70" i="1"/>
  <c r="AK70" i="1"/>
  <c r="AJ70" i="1"/>
  <c r="AI70" i="1"/>
  <c r="AH70" i="1"/>
  <c r="AE70" i="1"/>
  <c r="AD70" i="1"/>
  <c r="AC70" i="1"/>
  <c r="AB70" i="1"/>
  <c r="AA70" i="1"/>
  <c r="K40" i="16"/>
  <c r="G40" i="16"/>
  <c r="E40" i="16"/>
  <c r="C40" i="16"/>
  <c r="K39" i="16"/>
  <c r="G39" i="16"/>
  <c r="E39" i="16"/>
  <c r="C39" i="16"/>
  <c r="AK66" i="1"/>
  <c r="AJ66" i="1"/>
  <c r="AI66" i="1"/>
  <c r="AH66" i="1"/>
  <c r="AG66" i="1"/>
  <c r="AF66" i="1"/>
  <c r="AD66" i="1"/>
  <c r="AC66" i="1"/>
  <c r="AB66" i="1"/>
  <c r="AA66" i="1"/>
  <c r="Z66" i="1"/>
  <c r="Y66" i="1"/>
  <c r="AK65" i="1"/>
  <c r="AJ65" i="1"/>
  <c r="AI65" i="1"/>
  <c r="AH65" i="1"/>
  <c r="AG65" i="1"/>
  <c r="AF65" i="1"/>
  <c r="AD65" i="1"/>
  <c r="AC65" i="1"/>
  <c r="AB65" i="1"/>
  <c r="AA65" i="1"/>
  <c r="Z65" i="1"/>
  <c r="Y65" i="1"/>
  <c r="AK64" i="1"/>
  <c r="AJ64" i="1"/>
  <c r="AI64" i="1"/>
  <c r="AH64" i="1"/>
  <c r="AG64" i="1"/>
  <c r="AF64" i="1"/>
  <c r="AD64" i="1"/>
  <c r="AC64" i="1"/>
  <c r="AB64" i="1"/>
  <c r="AA64" i="1"/>
  <c r="Z64" i="1"/>
  <c r="Y64" i="1"/>
  <c r="AK63" i="1"/>
  <c r="AJ63" i="1"/>
  <c r="AI63" i="1"/>
  <c r="AH63" i="1"/>
  <c r="AG63" i="1"/>
  <c r="AF63" i="1"/>
  <c r="AD63" i="1"/>
  <c r="AC63" i="1"/>
  <c r="AB63" i="1"/>
  <c r="AA63" i="1"/>
  <c r="Z63" i="1"/>
  <c r="Y63" i="1"/>
  <c r="AK62" i="1"/>
  <c r="AJ62" i="1"/>
  <c r="AI62" i="1"/>
  <c r="AH62" i="1"/>
  <c r="AG62" i="1"/>
  <c r="AF62" i="1"/>
  <c r="AD62" i="1"/>
  <c r="AC62" i="1"/>
  <c r="AB62" i="1"/>
  <c r="AA62" i="1"/>
  <c r="Z62" i="1"/>
  <c r="Y62" i="1"/>
  <c r="AF61" i="1"/>
  <c r="Y61" i="1"/>
  <c r="AK59" i="1"/>
  <c r="AJ59" i="1"/>
  <c r="AI59" i="1"/>
  <c r="AH59" i="1"/>
  <c r="AG59" i="1"/>
  <c r="AF59" i="1"/>
  <c r="AD59" i="1"/>
  <c r="AC59" i="1"/>
  <c r="AB59" i="1"/>
  <c r="AA59" i="1"/>
  <c r="Z59" i="1"/>
  <c r="Y59" i="1"/>
  <c r="AL58" i="1"/>
  <c r="AE58" i="1"/>
  <c r="AL57" i="1"/>
  <c r="AE57" i="1"/>
  <c r="AL56" i="1"/>
  <c r="AE56" i="1"/>
  <c r="AL55" i="1"/>
  <c r="AE55" i="1"/>
  <c r="AL54" i="1"/>
  <c r="AE54" i="1"/>
  <c r="AL53" i="1"/>
  <c r="AE53" i="1"/>
  <c r="AJ80" i="1"/>
  <c r="AL80" i="1"/>
  <c r="AC80" i="1"/>
  <c r="T73" i="1"/>
  <c r="T72" i="1"/>
  <c r="T71" i="1"/>
  <c r="X73" i="1"/>
  <c r="W73" i="1"/>
  <c r="V73" i="1"/>
  <c r="U73" i="1"/>
  <c r="X72" i="1"/>
  <c r="W72" i="1"/>
  <c r="V72" i="1"/>
  <c r="U72" i="1"/>
  <c r="X71" i="1"/>
  <c r="W71" i="1"/>
  <c r="V71" i="1"/>
  <c r="U71" i="1"/>
  <c r="X70" i="1"/>
  <c r="W70" i="1"/>
  <c r="V70" i="1"/>
  <c r="U70" i="1"/>
  <c r="K38" i="16"/>
  <c r="G38" i="16"/>
  <c r="E38" i="16"/>
  <c r="W66" i="1"/>
  <c r="V66" i="1"/>
  <c r="U66" i="1"/>
  <c r="T66" i="1"/>
  <c r="S66" i="1"/>
  <c r="R66" i="1"/>
  <c r="W65" i="1"/>
  <c r="V65" i="1"/>
  <c r="U65" i="1"/>
  <c r="T65" i="1"/>
  <c r="S65" i="1"/>
  <c r="R65" i="1"/>
  <c r="W64" i="1"/>
  <c r="V64" i="1"/>
  <c r="U64" i="1"/>
  <c r="T64" i="1"/>
  <c r="S64" i="1"/>
  <c r="R64" i="1"/>
  <c r="W63" i="1"/>
  <c r="V63" i="1"/>
  <c r="U63" i="1"/>
  <c r="T63" i="1"/>
  <c r="S63" i="1"/>
  <c r="R63" i="1"/>
  <c r="W62" i="1"/>
  <c r="V62" i="1"/>
  <c r="U62" i="1"/>
  <c r="T62" i="1"/>
  <c r="S62" i="1"/>
  <c r="R62" i="1"/>
  <c r="R61" i="1"/>
  <c r="W59" i="1"/>
  <c r="V59" i="1"/>
  <c r="U59" i="1"/>
  <c r="T59" i="1"/>
  <c r="X58" i="1"/>
  <c r="X57" i="1"/>
  <c r="X56" i="1"/>
  <c r="X55" i="1"/>
  <c r="X54" i="1"/>
  <c r="X53" i="1"/>
  <c r="U80" i="1"/>
  <c r="Q73" i="1"/>
  <c r="P73" i="1"/>
  <c r="O73" i="1"/>
  <c r="Q72" i="1"/>
  <c r="P72" i="1"/>
  <c r="O72" i="1"/>
  <c r="Q71" i="1"/>
  <c r="P71" i="1"/>
  <c r="O71" i="1"/>
  <c r="N71" i="1"/>
  <c r="M71" i="1"/>
  <c r="Q70" i="1"/>
  <c r="P70" i="1"/>
  <c r="O70" i="1"/>
  <c r="N70" i="1"/>
  <c r="M70" i="1"/>
  <c r="K37" i="16"/>
  <c r="I37" i="16"/>
  <c r="E37" i="16"/>
  <c r="G37" i="16"/>
  <c r="M73" i="1"/>
  <c r="M72" i="1"/>
  <c r="P62" i="1"/>
  <c r="O62" i="1"/>
  <c r="N62" i="1"/>
  <c r="M62" i="1"/>
  <c r="L62" i="1"/>
  <c r="K62" i="1"/>
  <c r="K61" i="1"/>
  <c r="DD78" i="1"/>
  <c r="DD80" i="1"/>
  <c r="DA80" i="1"/>
  <c r="DD77" i="1"/>
  <c r="DB80" i="1"/>
  <c r="DC80" i="1"/>
  <c r="DD62" i="1"/>
  <c r="DD66" i="1"/>
  <c r="CZ80" i="1"/>
  <c r="AY80" i="1"/>
  <c r="BX80" i="1"/>
  <c r="CB80" i="1"/>
  <c r="BS80" i="1"/>
  <c r="BY80" i="1"/>
  <c r="AV79" i="1"/>
  <c r="AZ80" i="1"/>
  <c r="BG80" i="1"/>
  <c r="B4" i="4"/>
  <c r="H6" i="2"/>
  <c r="Q58" i="1"/>
  <c r="Q57" i="1"/>
  <c r="Q56" i="1"/>
  <c r="Q55" i="1"/>
  <c r="Q54" i="1"/>
  <c r="Q53" i="1"/>
  <c r="P80" i="1"/>
  <c r="A2436" i="20"/>
  <c r="A2433" i="20"/>
  <c r="A2432" i="20"/>
  <c r="A2391" i="20"/>
  <c r="A2388" i="20"/>
  <c r="A2387" i="20"/>
  <c r="A2346" i="20"/>
  <c r="A2343" i="20"/>
  <c r="A2342" i="20"/>
  <c r="A2301" i="20"/>
  <c r="A2298" i="20"/>
  <c r="A2297" i="20"/>
  <c r="A2256" i="20"/>
  <c r="A2253" i="20"/>
  <c r="A2252" i="20"/>
  <c r="A2211" i="20"/>
  <c r="A2208" i="20"/>
  <c r="A2207" i="20"/>
  <c r="A2166" i="20"/>
  <c r="A2163" i="20"/>
  <c r="A2162" i="20"/>
  <c r="A2121" i="20"/>
  <c r="A2118" i="20"/>
  <c r="A2117" i="20"/>
  <c r="A2076" i="20"/>
  <c r="A2073" i="20"/>
  <c r="A2072" i="20"/>
  <c r="A2031" i="20"/>
  <c r="A2028" i="20"/>
  <c r="A2027" i="20"/>
  <c r="A1986" i="20"/>
  <c r="A1983" i="20"/>
  <c r="A1982" i="20"/>
  <c r="A1941" i="20"/>
  <c r="A1938" i="20"/>
  <c r="A1937" i="20"/>
  <c r="A1896" i="20"/>
  <c r="A1893" i="20"/>
  <c r="A1892" i="20"/>
  <c r="A1851" i="20"/>
  <c r="A1848" i="20"/>
  <c r="A1847" i="20"/>
  <c r="A1806" i="20"/>
  <c r="A1803" i="20"/>
  <c r="A1802" i="20"/>
  <c r="A1761" i="20"/>
  <c r="A1758" i="20"/>
  <c r="A1757" i="20"/>
  <c r="A1716" i="20"/>
  <c r="A1713" i="20"/>
  <c r="A1712" i="20"/>
  <c r="A1671" i="20"/>
  <c r="A1668" i="20"/>
  <c r="A1667" i="20"/>
  <c r="A1626" i="20"/>
  <c r="A1623" i="20"/>
  <c r="A1622" i="20"/>
  <c r="A1581" i="20"/>
  <c r="A1578" i="20"/>
  <c r="A1577" i="20"/>
  <c r="A1536" i="20"/>
  <c r="A1533" i="20"/>
  <c r="A1532" i="20"/>
  <c r="A1491" i="20"/>
  <c r="A1488" i="20"/>
  <c r="A1487" i="20"/>
  <c r="A1446" i="20"/>
  <c r="A1443" i="20"/>
  <c r="A1442" i="20"/>
  <c r="A1401" i="20"/>
  <c r="A1398" i="20"/>
  <c r="A1397" i="20"/>
  <c r="A1356" i="20"/>
  <c r="A1353" i="20"/>
  <c r="A1352" i="20"/>
  <c r="A1311" i="20"/>
  <c r="A1308" i="20"/>
  <c r="A1307" i="20"/>
  <c r="A1266" i="20"/>
  <c r="A1263" i="20"/>
  <c r="A1262" i="20"/>
  <c r="A1221" i="20"/>
  <c r="A1218" i="20"/>
  <c r="A1217" i="20"/>
  <c r="A1176" i="20"/>
  <c r="A1173" i="20"/>
  <c r="A1172" i="20"/>
  <c r="A1131" i="20"/>
  <c r="A1128" i="20"/>
  <c r="A1127" i="20"/>
  <c r="A1086" i="20"/>
  <c r="A1083" i="20"/>
  <c r="A1082" i="20"/>
  <c r="A1041" i="20"/>
  <c r="A1038" i="20"/>
  <c r="A1037" i="20"/>
  <c r="A996" i="20"/>
  <c r="A993" i="20"/>
  <c r="A992" i="20"/>
  <c r="A951" i="20"/>
  <c r="A948" i="20"/>
  <c r="A947" i="20"/>
  <c r="A906" i="20"/>
  <c r="A903" i="20"/>
  <c r="A902" i="20"/>
  <c r="A861" i="20"/>
  <c r="A858" i="20"/>
  <c r="A857" i="20"/>
  <c r="A816" i="20"/>
  <c r="A813" i="20"/>
  <c r="A812" i="20"/>
  <c r="A771" i="20"/>
  <c r="A768" i="20"/>
  <c r="A767" i="20"/>
  <c r="A726" i="20"/>
  <c r="A723" i="20"/>
  <c r="A722" i="20"/>
  <c r="A681" i="20"/>
  <c r="A678" i="20"/>
  <c r="A677" i="20"/>
  <c r="A636" i="20"/>
  <c r="A633" i="20"/>
  <c r="A632" i="20"/>
  <c r="A591" i="20"/>
  <c r="A588" i="20"/>
  <c r="A587" i="20"/>
  <c r="A546" i="20"/>
  <c r="A543" i="20"/>
  <c r="A542" i="20"/>
  <c r="A501" i="20"/>
  <c r="A498" i="20"/>
  <c r="A497" i="20"/>
  <c r="A456" i="20"/>
  <c r="A453" i="20"/>
  <c r="A452" i="20"/>
  <c r="A411" i="20"/>
  <c r="A408" i="20"/>
  <c r="A407" i="20"/>
  <c r="A366" i="20"/>
  <c r="A363" i="20"/>
  <c r="A362" i="20"/>
  <c r="A321" i="20"/>
  <c r="A318" i="20"/>
  <c r="A317" i="20"/>
  <c r="A276" i="20"/>
  <c r="A273" i="20"/>
  <c r="A272" i="20"/>
  <c r="A231" i="20"/>
  <c r="A228" i="20"/>
  <c r="A227" i="20"/>
  <c r="A186" i="20"/>
  <c r="A183" i="20"/>
  <c r="A182" i="20"/>
  <c r="A141" i="20"/>
  <c r="A138" i="20"/>
  <c r="A137" i="20"/>
  <c r="A96" i="20"/>
  <c r="A93" i="20"/>
  <c r="A92" i="20"/>
  <c r="A51" i="20"/>
  <c r="A48" i="20"/>
  <c r="A47" i="20"/>
  <c r="D39" i="20"/>
  <c r="A6" i="20"/>
  <c r="A3" i="20"/>
  <c r="A2" i="20"/>
  <c r="A39" i="20"/>
  <c r="B10" i="19"/>
  <c r="B9" i="19"/>
  <c r="A20" i="19"/>
  <c r="A4" i="19"/>
  <c r="A2" i="19"/>
  <c r="A1" i="19"/>
  <c r="A6" i="16"/>
  <c r="A2545" i="17"/>
  <c r="A2543" i="17"/>
  <c r="A2542" i="17"/>
  <c r="A2498" i="17"/>
  <c r="A2496" i="17"/>
  <c r="A2495" i="17"/>
  <c r="A2451" i="17"/>
  <c r="A2449" i="17"/>
  <c r="A2448" i="17"/>
  <c r="A2404" i="17"/>
  <c r="A2402" i="17"/>
  <c r="A2401" i="17"/>
  <c r="A2357" i="17"/>
  <c r="A2355" i="17"/>
  <c r="A2354" i="17"/>
  <c r="A2310" i="17"/>
  <c r="A2308" i="17"/>
  <c r="A2307" i="17"/>
  <c r="A2263" i="17"/>
  <c r="A2261" i="17"/>
  <c r="A2260" i="17"/>
  <c r="A2216" i="17"/>
  <c r="A2214" i="17"/>
  <c r="A2213" i="17"/>
  <c r="A2169" i="17"/>
  <c r="A2167" i="17"/>
  <c r="A2166" i="17"/>
  <c r="A2122" i="17"/>
  <c r="A2120" i="17"/>
  <c r="A2119" i="17"/>
  <c r="A2075" i="17"/>
  <c r="A2073" i="17"/>
  <c r="A2072" i="17"/>
  <c r="A2028" i="17"/>
  <c r="A2026" i="17"/>
  <c r="A2025" i="17"/>
  <c r="A1981" i="17"/>
  <c r="A1979" i="17"/>
  <c r="A1978" i="17"/>
  <c r="A1934" i="17"/>
  <c r="A1932" i="17"/>
  <c r="A1931" i="17"/>
  <c r="A1887" i="17"/>
  <c r="A1885" i="17"/>
  <c r="A1884" i="17"/>
  <c r="A1840" i="17"/>
  <c r="A1838" i="17"/>
  <c r="A1837" i="17"/>
  <c r="A1793" i="17"/>
  <c r="A1791" i="17"/>
  <c r="A1790" i="17"/>
  <c r="A1746" i="17"/>
  <c r="A1744" i="17"/>
  <c r="A1743" i="17"/>
  <c r="A1699" i="17"/>
  <c r="A1697" i="17"/>
  <c r="A1696" i="17"/>
  <c r="A1652" i="17"/>
  <c r="A1650" i="17"/>
  <c r="A1649" i="17"/>
  <c r="A1605" i="17"/>
  <c r="A1603" i="17"/>
  <c r="A1602" i="17"/>
  <c r="A1558" i="17"/>
  <c r="A1556" i="17"/>
  <c r="A1555" i="17"/>
  <c r="A1511" i="17"/>
  <c r="A1509" i="17"/>
  <c r="A1508" i="17"/>
  <c r="A1464" i="17"/>
  <c r="A1462" i="17"/>
  <c r="A1461" i="17"/>
  <c r="A1417" i="17"/>
  <c r="A1415" i="17"/>
  <c r="A1414" i="17"/>
  <c r="A1370" i="17"/>
  <c r="A1368" i="17"/>
  <c r="A1367" i="17"/>
  <c r="A1323" i="17"/>
  <c r="A1321" i="17"/>
  <c r="A1320" i="17"/>
  <c r="A1276" i="17"/>
  <c r="A1274" i="17"/>
  <c r="A1273" i="17"/>
  <c r="A1229" i="17"/>
  <c r="A1227" i="17"/>
  <c r="A1226" i="17"/>
  <c r="A1182" i="17"/>
  <c r="A1180" i="17"/>
  <c r="A1179" i="17"/>
  <c r="A1135" i="17"/>
  <c r="A1133" i="17"/>
  <c r="A1132" i="17"/>
  <c r="A1088" i="17"/>
  <c r="A1086" i="17"/>
  <c r="A1085" i="17"/>
  <c r="A1041" i="17"/>
  <c r="A1039" i="17"/>
  <c r="A1038" i="17"/>
  <c r="A994" i="17"/>
  <c r="A992" i="17"/>
  <c r="A991" i="17"/>
  <c r="A947" i="17"/>
  <c r="A945" i="17"/>
  <c r="A944" i="17"/>
  <c r="A900" i="17"/>
  <c r="A898" i="17"/>
  <c r="A897" i="17"/>
  <c r="A853" i="17"/>
  <c r="A851" i="17"/>
  <c r="A850" i="17"/>
  <c r="A806" i="17"/>
  <c r="A804" i="17"/>
  <c r="A803" i="17"/>
  <c r="A759" i="17"/>
  <c r="A757" i="17"/>
  <c r="A756" i="17"/>
  <c r="A712" i="17"/>
  <c r="A710" i="17"/>
  <c r="A709" i="17"/>
  <c r="A665" i="17"/>
  <c r="A663" i="17"/>
  <c r="A662" i="17"/>
  <c r="A618" i="17"/>
  <c r="A616" i="17"/>
  <c r="A615" i="17"/>
  <c r="A571" i="17"/>
  <c r="A569" i="17"/>
  <c r="A568" i="17"/>
  <c r="A524" i="17"/>
  <c r="A522" i="17"/>
  <c r="A521" i="17"/>
  <c r="A477" i="17"/>
  <c r="A475" i="17"/>
  <c r="A474" i="17"/>
  <c r="A430" i="17"/>
  <c r="A428" i="17"/>
  <c r="A427" i="17"/>
  <c r="A383" i="17"/>
  <c r="A381" i="17"/>
  <c r="A380" i="17"/>
  <c r="A336" i="17"/>
  <c r="A334" i="17"/>
  <c r="A333" i="17"/>
  <c r="A289" i="17"/>
  <c r="A287" i="17"/>
  <c r="A286" i="17"/>
  <c r="A242" i="17"/>
  <c r="A240" i="17"/>
  <c r="A239" i="17"/>
  <c r="A195" i="17"/>
  <c r="A193" i="17"/>
  <c r="A192" i="17"/>
  <c r="A148" i="17"/>
  <c r="A146" i="17"/>
  <c r="A145" i="17"/>
  <c r="A101" i="17"/>
  <c r="A99" i="17"/>
  <c r="A98" i="17"/>
  <c r="A54" i="17"/>
  <c r="A52" i="17"/>
  <c r="A51" i="17"/>
  <c r="A7" i="17"/>
  <c r="A5" i="17"/>
  <c r="A4" i="17"/>
  <c r="A5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C34" i="15"/>
  <c r="AC35" i="15"/>
  <c r="AC36" i="15"/>
  <c r="AC37" i="15"/>
  <c r="AC38" i="15"/>
  <c r="AC39" i="15"/>
  <c r="AC40" i="15"/>
  <c r="AC41" i="15"/>
  <c r="AC42" i="15"/>
  <c r="AC43" i="15"/>
  <c r="AC44" i="15"/>
  <c r="AC45" i="15"/>
  <c r="AC46" i="15"/>
  <c r="AC47" i="15"/>
  <c r="AC48" i="15"/>
  <c r="AC49" i="15"/>
  <c r="AC50" i="15"/>
  <c r="AC51" i="15"/>
  <c r="AC52" i="15"/>
  <c r="AC53" i="15"/>
  <c r="AC54" i="15"/>
  <c r="AC55" i="15"/>
  <c r="AC56" i="15"/>
  <c r="AC57" i="15"/>
  <c r="AC58" i="15"/>
  <c r="AC59" i="15"/>
  <c r="AC60" i="15"/>
  <c r="AC61" i="15"/>
  <c r="AC62" i="15"/>
  <c r="AC63" i="15"/>
  <c r="AC64" i="15"/>
  <c r="AC10" i="15"/>
  <c r="B4" i="18"/>
  <c r="A2" i="18"/>
  <c r="A1" i="18"/>
  <c r="B4" i="11"/>
  <c r="M62" i="9"/>
  <c r="A41" i="16"/>
  <c r="A3" i="16"/>
  <c r="A2" i="16"/>
  <c r="CM70" i="1"/>
  <c r="J59" i="1"/>
  <c r="I59" i="1"/>
  <c r="H59" i="1"/>
  <c r="G33" i="15"/>
  <c r="B33" i="15"/>
  <c r="B38" i="15"/>
  <c r="A3" i="15"/>
  <c r="A2" i="15"/>
  <c r="A1" i="13"/>
  <c r="A1" i="11"/>
  <c r="A1" i="10"/>
  <c r="A2" i="8"/>
  <c r="A1" i="4"/>
  <c r="A1" i="2"/>
  <c r="H2" i="13"/>
  <c r="A2" i="13"/>
  <c r="A2" i="11"/>
  <c r="A4" i="10"/>
  <c r="A2" i="10"/>
  <c r="Q66" i="9"/>
  <c r="P66" i="9"/>
  <c r="O66" i="9"/>
  <c r="Q65" i="9"/>
  <c r="P65" i="9"/>
  <c r="O65" i="9"/>
  <c r="Q64" i="9"/>
  <c r="P64" i="9"/>
  <c r="O64" i="9"/>
  <c r="Q63" i="9"/>
  <c r="P63" i="9"/>
  <c r="O63" i="9"/>
  <c r="Q62" i="9"/>
  <c r="P62" i="9"/>
  <c r="O62" i="9"/>
  <c r="N65" i="9"/>
  <c r="Q59" i="9"/>
  <c r="O59" i="9"/>
  <c r="K59" i="9"/>
  <c r="M64" i="9"/>
  <c r="D59" i="9"/>
  <c r="P59" i="9"/>
  <c r="N64" i="9"/>
  <c r="I59" i="9"/>
  <c r="M59" i="9"/>
  <c r="N63" i="9"/>
  <c r="M66" i="9"/>
  <c r="M63" i="9"/>
  <c r="J59" i="9"/>
  <c r="N59" i="9"/>
  <c r="N62" i="9"/>
  <c r="M65" i="9"/>
  <c r="N66" i="9"/>
  <c r="A3" i="8"/>
  <c r="A5" i="8"/>
  <c r="N72" i="1"/>
  <c r="N73" i="1"/>
  <c r="A2" i="4"/>
  <c r="A2" i="2"/>
  <c r="A4" i="2"/>
  <c r="CM73" i="1"/>
  <c r="CL73" i="1"/>
  <c r="CM72" i="1"/>
  <c r="CL72" i="1"/>
  <c r="CM71" i="1"/>
  <c r="CL71" i="1"/>
  <c r="CL70" i="1"/>
  <c r="CM69" i="1"/>
  <c r="U37" i="16"/>
  <c r="CL69" i="1"/>
  <c r="S37" i="16"/>
  <c r="CO63" i="1"/>
  <c r="CN63" i="1"/>
  <c r="CM63" i="1"/>
  <c r="CL63" i="1"/>
  <c r="CK63" i="1"/>
  <c r="CJ63" i="1"/>
  <c r="CO62" i="1"/>
  <c r="CN62" i="1"/>
  <c r="CM62" i="1"/>
  <c r="CL62" i="1"/>
  <c r="CK62" i="1"/>
  <c r="CJ62" i="1"/>
  <c r="CP58" i="1"/>
  <c r="CP56" i="1"/>
  <c r="CP54" i="1"/>
  <c r="CP57" i="1"/>
  <c r="CP55" i="1"/>
  <c r="CP53" i="1"/>
  <c r="P59" i="1"/>
  <c r="O59" i="1"/>
  <c r="N59" i="1"/>
  <c r="M59" i="1"/>
  <c r="L59" i="1"/>
  <c r="K59" i="1"/>
  <c r="C59" i="1"/>
  <c r="P66" i="1"/>
  <c r="O66" i="1"/>
  <c r="N66" i="1"/>
  <c r="M66" i="1"/>
  <c r="L66" i="1"/>
  <c r="K66" i="1"/>
  <c r="P65" i="1"/>
  <c r="O65" i="1"/>
  <c r="N65" i="1"/>
  <c r="M65" i="1"/>
  <c r="L65" i="1"/>
  <c r="K65" i="1"/>
  <c r="P64" i="1"/>
  <c r="O64" i="1"/>
  <c r="N64" i="1"/>
  <c r="M64" i="1"/>
  <c r="L64" i="1"/>
  <c r="K64" i="1"/>
  <c r="P63" i="1"/>
  <c r="O63" i="1"/>
  <c r="N63" i="1"/>
  <c r="M63" i="1"/>
  <c r="L63" i="1"/>
  <c r="K63" i="1"/>
  <c r="CL55" i="9"/>
  <c r="EG55" i="9"/>
  <c r="CN55" i="9"/>
  <c r="BM55" i="9"/>
  <c r="DF55" i="9"/>
  <c r="DX55" i="9"/>
  <c r="CW55" i="9"/>
  <c r="CE55" i="9"/>
  <c r="BD55" i="9"/>
  <c r="AL55" i="9"/>
  <c r="AU55" i="9"/>
  <c r="BV55" i="9"/>
  <c r="AC55" i="9"/>
  <c r="T55" i="9"/>
  <c r="CN56" i="9"/>
  <c r="BV56" i="9"/>
  <c r="EG56" i="9"/>
  <c r="DF56" i="9"/>
  <c r="BD56" i="9"/>
  <c r="BM56" i="9"/>
  <c r="CW56" i="9"/>
  <c r="CC56" i="9"/>
  <c r="CE56" i="9"/>
  <c r="AL56" i="9"/>
  <c r="AC56" i="9"/>
  <c r="AU56" i="9"/>
  <c r="T56" i="9"/>
  <c r="DX56" i="9"/>
  <c r="DM57" i="9"/>
  <c r="DO57" i="9"/>
  <c r="EG57" i="9"/>
  <c r="CN57" i="9"/>
  <c r="DF57" i="9"/>
  <c r="DX57" i="9"/>
  <c r="CW57" i="9"/>
  <c r="BV57" i="9"/>
  <c r="BD57" i="9"/>
  <c r="CE57" i="9"/>
  <c r="BM57" i="9"/>
  <c r="AL57" i="9"/>
  <c r="AU57" i="9"/>
  <c r="AC57" i="9"/>
  <c r="T57" i="9"/>
  <c r="AA58" i="9"/>
  <c r="CW58" i="9"/>
  <c r="T58" i="9"/>
  <c r="BV58" i="9"/>
  <c r="CN58" i="9"/>
  <c r="DX58" i="9"/>
  <c r="EG58" i="9"/>
  <c r="AL58" i="9"/>
  <c r="BD58" i="9"/>
  <c r="AU58" i="9"/>
  <c r="BM58" i="9"/>
  <c r="DF58" i="9"/>
  <c r="AC58" i="9"/>
  <c r="CE58" i="9"/>
  <c r="BU80" i="1"/>
  <c r="AH80" i="1"/>
  <c r="X80" i="1"/>
  <c r="V80" i="1"/>
  <c r="T80" i="1"/>
  <c r="O80" i="1"/>
  <c r="BL80" i="1"/>
  <c r="BK80" i="1"/>
  <c r="AI80" i="1"/>
  <c r="M80" i="1"/>
  <c r="EE79" i="9"/>
  <c r="EC79" i="9"/>
  <c r="EF65" i="9"/>
  <c r="EE76" i="9"/>
  <c r="K27" i="19"/>
  <c r="EC80" i="9"/>
  <c r="EB77" i="9"/>
  <c r="DW66" i="9"/>
  <c r="DR80" i="9"/>
  <c r="DV76" i="9"/>
  <c r="K26" i="19"/>
  <c r="DA80" i="9"/>
  <c r="DC80" i="9"/>
  <c r="DB76" i="9"/>
  <c r="G25" i="19"/>
  <c r="DA77" i="9"/>
  <c r="CZ80" i="9"/>
  <c r="DE65" i="9"/>
  <c r="DC77" i="9"/>
  <c r="DD78" i="9"/>
  <c r="CV62" i="9"/>
  <c r="CS78" i="9"/>
  <c r="CR80" i="9"/>
  <c r="CQ79" i="9"/>
  <c r="CV66" i="9"/>
  <c r="CS77" i="9"/>
  <c r="CQ78" i="9"/>
  <c r="CH80" i="9"/>
  <c r="CK80" i="9"/>
  <c r="CL80" i="9"/>
  <c r="CJ76" i="9"/>
  <c r="G23" i="19"/>
  <c r="BZ80" i="9"/>
  <c r="CC80" i="9"/>
  <c r="CA77" i="9"/>
  <c r="BT77" i="9"/>
  <c r="BT79" i="9"/>
  <c r="BH76" i="9"/>
  <c r="E20" i="19"/>
  <c r="BJ80" i="9"/>
  <c r="AX80" i="9"/>
  <c r="BC63" i="9"/>
  <c r="AR80" i="9"/>
  <c r="AT64" i="9"/>
  <c r="AS78" i="9"/>
  <c r="AP77" i="9"/>
  <c r="AJ77" i="9"/>
  <c r="X80" i="9"/>
  <c r="AJ78" i="9"/>
  <c r="Z77" i="9"/>
  <c r="Y78" i="9"/>
  <c r="S62" i="9"/>
  <c r="S63" i="9"/>
  <c r="S64" i="9"/>
  <c r="S65" i="9"/>
  <c r="Z12" i="3"/>
  <c r="AA57" i="9"/>
  <c r="CL57" i="9"/>
  <c r="CC57" i="9"/>
  <c r="BK55" i="9"/>
  <c r="CW80" i="1"/>
  <c r="CV80" i="1"/>
  <c r="CS80" i="1"/>
  <c r="CT79" i="1"/>
  <c r="CO73" i="1"/>
  <c r="CP73" i="1"/>
  <c r="CF80" i="1"/>
  <c r="CI77" i="1"/>
  <c r="BD80" i="1"/>
  <c r="BG78" i="1"/>
  <c r="BC80" i="1"/>
  <c r="BF80" i="1"/>
  <c r="AW80" i="1"/>
  <c r="AV80" i="1"/>
  <c r="AP80" i="1"/>
  <c r="AK80" i="1"/>
  <c r="AH79" i="1"/>
  <c r="AE80" i="1"/>
  <c r="AD80" i="1"/>
  <c r="AA80" i="1"/>
  <c r="AB80" i="1"/>
  <c r="W80" i="1"/>
  <c r="AC17" i="3"/>
  <c r="Z14" i="3"/>
  <c r="Z9" i="3"/>
  <c r="EF63" i="9"/>
  <c r="ED76" i="9"/>
  <c r="I27" i="19"/>
  <c r="EC76" i="9"/>
  <c r="G27" i="19"/>
  <c r="ED79" i="9"/>
  <c r="EB76" i="9"/>
  <c r="E27" i="19"/>
  <c r="EC77" i="9"/>
  <c r="EB79" i="9"/>
  <c r="EA79" i="9"/>
  <c r="EB78" i="9"/>
  <c r="EE78" i="9"/>
  <c r="EF59" i="9"/>
  <c r="EA77" i="9"/>
  <c r="ED77" i="9"/>
  <c r="EA78" i="9"/>
  <c r="EF62" i="9"/>
  <c r="EC78" i="9"/>
  <c r="EE77" i="9"/>
  <c r="DR77" i="9"/>
  <c r="CZ79" i="9"/>
  <c r="DB78" i="9"/>
  <c r="DE59" i="9"/>
  <c r="DB77" i="9"/>
  <c r="DE64" i="9"/>
  <c r="CZ78" i="9"/>
  <c r="DE90" i="9"/>
  <c r="CR76" i="9"/>
  <c r="E24" i="19"/>
  <c r="CT76" i="9"/>
  <c r="I24" i="19"/>
  <c r="CR78" i="9"/>
  <c r="CM65" i="9"/>
  <c r="CI77" i="9"/>
  <c r="BZ78" i="9"/>
  <c r="BZ76" i="9"/>
  <c r="E22" i="19"/>
  <c r="BY77" i="9"/>
  <c r="CB77" i="9"/>
  <c r="CD59" i="9"/>
  <c r="BY76" i="9"/>
  <c r="C22" i="19"/>
  <c r="Z15" i="3"/>
  <c r="BT76" i="9"/>
  <c r="K21" i="19"/>
  <c r="BQ79" i="9"/>
  <c r="BI79" i="9"/>
  <c r="BJ79" i="9"/>
  <c r="BH77" i="9"/>
  <c r="Z13" i="3"/>
  <c r="AO77" i="9"/>
  <c r="AR78" i="9"/>
  <c r="AO76" i="9"/>
  <c r="C18" i="19"/>
  <c r="AQ77" i="9"/>
  <c r="AR79" i="9"/>
  <c r="AK66" i="9"/>
  <c r="AJ76" i="9"/>
  <c r="K17" i="19"/>
  <c r="X78" i="9"/>
  <c r="W76" i="9"/>
  <c r="C16" i="19"/>
  <c r="Y76" i="9"/>
  <c r="G16" i="19"/>
  <c r="N79" i="9"/>
  <c r="O76" i="9"/>
  <c r="E15" i="19"/>
  <c r="Q77" i="9"/>
  <c r="DD83" i="1"/>
  <c r="DC79" i="1"/>
  <c r="CS79" i="1"/>
  <c r="CV79" i="1"/>
  <c r="CW79" i="1"/>
  <c r="CF79" i="1"/>
  <c r="CB78" i="1"/>
  <c r="BJ78" i="1"/>
  <c r="BL77" i="1"/>
  <c r="BN63" i="1"/>
  <c r="AC79" i="1"/>
  <c r="AB79" i="1"/>
  <c r="Z19" i="3"/>
  <c r="DN90" i="9"/>
  <c r="EF66" i="9"/>
  <c r="EA76" i="9"/>
  <c r="C27" i="19"/>
  <c r="EF64" i="9"/>
  <c r="DT76" i="9"/>
  <c r="G26" i="19"/>
  <c r="DW63" i="9"/>
  <c r="DU76" i="9"/>
  <c r="I26" i="19"/>
  <c r="DV77" i="9"/>
  <c r="Z18" i="3"/>
  <c r="DA76" i="9"/>
  <c r="E25" i="19"/>
  <c r="DD79" i="9"/>
  <c r="CZ77" i="9"/>
  <c r="DE62" i="9"/>
  <c r="DE66" i="9"/>
  <c r="CZ76" i="9"/>
  <c r="C25" i="19"/>
  <c r="DD77" i="9"/>
  <c r="DE63" i="9"/>
  <c r="DC76" i="9"/>
  <c r="I25" i="19"/>
  <c r="CR77" i="9"/>
  <c r="CS76" i="9"/>
  <c r="G24" i="19"/>
  <c r="CV63" i="9"/>
  <c r="CQ76" i="9"/>
  <c r="C24" i="19"/>
  <c r="Z17" i="3"/>
  <c r="Y17" i="3"/>
  <c r="CD62" i="9"/>
  <c r="CD66" i="9"/>
  <c r="CC76" i="9"/>
  <c r="K22" i="19"/>
  <c r="BZ77" i="9"/>
  <c r="CA79" i="9"/>
  <c r="CA76" i="9"/>
  <c r="G22" i="19"/>
  <c r="CD63" i="9"/>
  <c r="CB76" i="9"/>
  <c r="I22" i="19"/>
  <c r="BY79" i="9"/>
  <c r="CC77" i="9"/>
  <c r="CB79" i="9"/>
  <c r="CA78" i="9"/>
  <c r="CD64" i="9"/>
  <c r="CB78" i="9"/>
  <c r="CC78" i="9"/>
  <c r="CD90" i="9"/>
  <c r="BU64" i="9"/>
  <c r="BP78" i="9"/>
  <c r="BU65" i="9"/>
  <c r="BR76" i="9"/>
  <c r="G21" i="19"/>
  <c r="BP77" i="9"/>
  <c r="BS77" i="9"/>
  <c r="BR78" i="9"/>
  <c r="BQ76" i="9"/>
  <c r="E21" i="19"/>
  <c r="BU63" i="9"/>
  <c r="BS78" i="9"/>
  <c r="BC64" i="9"/>
  <c r="BC90" i="9"/>
  <c r="BB77" i="9"/>
  <c r="AX76" i="9"/>
  <c r="C19" i="19"/>
  <c r="AZ76" i="9"/>
  <c r="G19" i="19"/>
  <c r="BA76" i="9"/>
  <c r="I19" i="19"/>
  <c r="AX77" i="9"/>
  <c r="BA77" i="9"/>
  <c r="AZ78" i="9"/>
  <c r="BB78" i="9"/>
  <c r="BB79" i="9"/>
  <c r="AY76" i="9"/>
  <c r="E19" i="19"/>
  <c r="CK79" i="9"/>
  <c r="CK78" i="9"/>
  <c r="CH77" i="9"/>
  <c r="CH79" i="9"/>
  <c r="CH76" i="9"/>
  <c r="C23" i="19"/>
  <c r="CI76" i="9"/>
  <c r="E23" i="19"/>
  <c r="CJ78" i="9"/>
  <c r="CM66" i="9"/>
  <c r="CK77" i="9"/>
  <c r="Z16" i="3"/>
  <c r="Y16" i="3"/>
  <c r="CM63" i="9"/>
  <c r="CL77" i="9"/>
  <c r="CL79" i="9"/>
  <c r="CL76" i="9"/>
  <c r="K23" i="19"/>
  <c r="CI78" i="9"/>
  <c r="CM62" i="9"/>
  <c r="CK76" i="9"/>
  <c r="I23" i="19"/>
  <c r="CM90" i="9"/>
  <c r="CH78" i="9"/>
  <c r="CM59" i="9"/>
  <c r="BH78" i="9"/>
  <c r="BL65" i="9"/>
  <c r="BJ78" i="9"/>
  <c r="BG77" i="9"/>
  <c r="BK76" i="9"/>
  <c r="K20" i="19"/>
  <c r="BI76" i="9"/>
  <c r="G20" i="19"/>
  <c r="BL63" i="9"/>
  <c r="BL62" i="9"/>
  <c r="BI77" i="9"/>
  <c r="BG78" i="9"/>
  <c r="BI78" i="9"/>
  <c r="AS76" i="9"/>
  <c r="K18" i="19"/>
  <c r="AP78" i="9"/>
  <c r="AP76" i="9"/>
  <c r="E18" i="19"/>
  <c r="AO78" i="9"/>
  <c r="AT62" i="9"/>
  <c r="AR76" i="9"/>
  <c r="I18" i="19"/>
  <c r="AQ76" i="9"/>
  <c r="G18" i="19"/>
  <c r="AR77" i="9"/>
  <c r="AT65" i="9"/>
  <c r="AQ79" i="9"/>
  <c r="AT66" i="9"/>
  <c r="AS77" i="9"/>
  <c r="AA11" i="3"/>
  <c r="AO79" i="9"/>
  <c r="AT63" i="9"/>
  <c r="AK64" i="9"/>
  <c r="AH78" i="9"/>
  <c r="AK63" i="9"/>
  <c r="AG76" i="9"/>
  <c r="E17" i="19"/>
  <c r="AH77" i="9"/>
  <c r="AF76" i="9"/>
  <c r="C17" i="19"/>
  <c r="AI79" i="9"/>
  <c r="AK62" i="9"/>
  <c r="AJ79" i="9"/>
  <c r="AH76" i="9"/>
  <c r="G17" i="19"/>
  <c r="AK59" i="9"/>
  <c r="AG78" i="9"/>
  <c r="W77" i="9"/>
  <c r="AB63" i="9"/>
  <c r="AB64" i="9"/>
  <c r="AB90" i="9"/>
  <c r="AB62" i="9"/>
  <c r="P79" i="9"/>
  <c r="CP72" i="1"/>
  <c r="CO72" i="1"/>
  <c r="CO71" i="1"/>
  <c r="CP71" i="1"/>
  <c r="DD65" i="1"/>
  <c r="DC78" i="1"/>
  <c r="CZ79" i="1"/>
  <c r="DB76" i="1"/>
  <c r="G31" i="16"/>
  <c r="DB79" i="1"/>
  <c r="DA77" i="1"/>
  <c r="CI79" i="1"/>
  <c r="I28" i="16"/>
  <c r="CB77" i="1"/>
  <c r="BX77" i="1"/>
  <c r="BJ79" i="1"/>
  <c r="BN64" i="1"/>
  <c r="BN77" i="1"/>
  <c r="BN76" i="1"/>
  <c r="K26" i="16"/>
  <c r="BM77" i="1"/>
  <c r="G26" i="16"/>
  <c r="C26" i="16"/>
  <c r="BM76" i="1"/>
  <c r="I26" i="16"/>
  <c r="BK77" i="1"/>
  <c r="BG79" i="1"/>
  <c r="BF79" i="1"/>
  <c r="AW79" i="1"/>
  <c r="AE79" i="1"/>
  <c r="Q79" i="1"/>
  <c r="O78" i="1"/>
  <c r="Q78" i="1"/>
  <c r="AB61" i="15"/>
  <c r="AD61" i="15"/>
  <c r="AA55" i="9"/>
  <c r="AS55" i="9"/>
  <c r="BB55" i="9"/>
  <c r="CU55" i="9"/>
  <c r="EE55" i="9"/>
  <c r="DV58" i="9"/>
  <c r="R55" i="9"/>
  <c r="BT55" i="9"/>
  <c r="AJ55" i="9"/>
  <c r="CC55" i="9"/>
  <c r="DV55" i="9"/>
  <c r="AC12" i="3"/>
  <c r="Z11" i="3"/>
  <c r="AB64" i="15"/>
  <c r="AD64" i="15"/>
  <c r="AJ57" i="9"/>
  <c r="DV57" i="9"/>
  <c r="DM55" i="9"/>
  <c r="DO55" i="9"/>
  <c r="Z21" i="3"/>
  <c r="DD55" i="9"/>
  <c r="Z8" i="3"/>
  <c r="Z20" i="3"/>
  <c r="Z10" i="3"/>
  <c r="CU78" i="1"/>
  <c r="CU79" i="1"/>
  <c r="T19" i="3"/>
  <c r="S19" i="3"/>
  <c r="CE80" i="1"/>
  <c r="CE79" i="1"/>
  <c r="CH79" i="1"/>
  <c r="CG80" i="1"/>
  <c r="CH80" i="1"/>
  <c r="CG79" i="1"/>
  <c r="E28" i="16"/>
  <c r="CB79" i="1"/>
  <c r="BX78" i="1"/>
  <c r="CB66" i="1"/>
  <c r="CA78" i="1"/>
  <c r="BY78" i="1"/>
  <c r="BX79" i="1"/>
  <c r="CB65" i="1"/>
  <c r="CA80" i="1"/>
  <c r="BZ79" i="1"/>
  <c r="BY79" i="1"/>
  <c r="CB62" i="1"/>
  <c r="CB64" i="1"/>
  <c r="T17" i="3"/>
  <c r="S17" i="3"/>
  <c r="BR80" i="1"/>
  <c r="BT80" i="1"/>
  <c r="BT79" i="1"/>
  <c r="BQ80" i="1"/>
  <c r="BJ77" i="1"/>
  <c r="BN66" i="1"/>
  <c r="BN62" i="1"/>
  <c r="BL78" i="1"/>
  <c r="BK78" i="1"/>
  <c r="BK79" i="1"/>
  <c r="BN83" i="1"/>
  <c r="BJ80" i="1"/>
  <c r="BN65" i="1"/>
  <c r="BL79" i="1"/>
  <c r="E26" i="16"/>
  <c r="BN79" i="1"/>
  <c r="AS80" i="1"/>
  <c r="AQ80" i="1"/>
  <c r="AP79" i="1"/>
  <c r="AO79" i="1"/>
  <c r="AI79" i="1"/>
  <c r="AL79" i="1"/>
  <c r="AA79" i="1"/>
  <c r="T9" i="3"/>
  <c r="S9" i="3"/>
  <c r="W79" i="1"/>
  <c r="X79" i="1"/>
  <c r="O79" i="1"/>
  <c r="P78" i="1"/>
  <c r="N78" i="1"/>
  <c r="P79" i="1"/>
  <c r="N79" i="1"/>
  <c r="CL56" i="9"/>
  <c r="EE56" i="9"/>
  <c r="BB56" i="9"/>
  <c r="CU56" i="9"/>
  <c r="AJ56" i="9"/>
  <c r="AS56" i="9"/>
  <c r="DV56" i="9"/>
  <c r="DM56" i="9"/>
  <c r="DO56" i="9"/>
  <c r="BK56" i="9"/>
  <c r="AB62" i="15"/>
  <c r="AD62" i="15"/>
  <c r="DD56" i="9"/>
  <c r="R56" i="9"/>
  <c r="BT56" i="9"/>
  <c r="AA56" i="9"/>
  <c r="DM58" i="9"/>
  <c r="DO58" i="9"/>
  <c r="DD58" i="9"/>
  <c r="BK58" i="9"/>
  <c r="AS58" i="9"/>
  <c r="CL58" i="9"/>
  <c r="BT58" i="9"/>
  <c r="R58" i="9"/>
  <c r="CU58" i="9"/>
  <c r="BB58" i="9"/>
  <c r="CC58" i="9"/>
  <c r="AJ58" i="9"/>
  <c r="EE58" i="9"/>
  <c r="AB63" i="15"/>
  <c r="AD63" i="15"/>
  <c r="BT57" i="9"/>
  <c r="EE57" i="9"/>
  <c r="DD57" i="9"/>
  <c r="CU57" i="9"/>
  <c r="BB57" i="9"/>
  <c r="BK57" i="9"/>
  <c r="AS57" i="9"/>
  <c r="R57" i="9"/>
  <c r="AB10" i="15"/>
  <c r="M79" i="1"/>
  <c r="M78" i="1"/>
  <c r="Q80" i="1"/>
  <c r="N80" i="1"/>
  <c r="AR79" i="1"/>
  <c r="BD79" i="1"/>
  <c r="BD78" i="1"/>
  <c r="BE78" i="1"/>
  <c r="BF78" i="1"/>
  <c r="AD79" i="1"/>
  <c r="CT78" i="1"/>
  <c r="CV78" i="1"/>
  <c r="CS78" i="1"/>
  <c r="CW78" i="1"/>
  <c r="T79" i="1"/>
  <c r="U79" i="1"/>
  <c r="AJ79" i="1"/>
  <c r="AR78" i="1"/>
  <c r="AQ79" i="1"/>
  <c r="AR80" i="1"/>
  <c r="AO80" i="1"/>
  <c r="BR79" i="1"/>
  <c r="BU79" i="1"/>
  <c r="BS78" i="1"/>
  <c r="BS79" i="1"/>
  <c r="BQ79" i="1"/>
  <c r="CA77" i="1"/>
  <c r="BZ77" i="1"/>
  <c r="DA78" i="1"/>
  <c r="DA76" i="1"/>
  <c r="E31" i="16"/>
  <c r="DD79" i="1"/>
  <c r="DC76" i="1"/>
  <c r="I31" i="16"/>
  <c r="DA79" i="1"/>
  <c r="DB78" i="1"/>
  <c r="DD63" i="1"/>
  <c r="DD64" i="1"/>
  <c r="DD76" i="1"/>
  <c r="K31" i="16"/>
  <c r="DB77" i="1"/>
  <c r="DC77" i="1"/>
  <c r="V79" i="1"/>
  <c r="AK79" i="1"/>
  <c r="AZ79" i="1"/>
  <c r="CB83" i="1"/>
  <c r="CA79" i="1"/>
  <c r="BZ78" i="1"/>
  <c r="CB63" i="1"/>
  <c r="CB76" i="1"/>
  <c r="K28" i="16"/>
  <c r="G28" i="16"/>
  <c r="BU66" i="9"/>
  <c r="BU90" i="9"/>
  <c r="Z78" i="9"/>
  <c r="Y79" i="9"/>
  <c r="AA77" i="9"/>
  <c r="X77" i="9"/>
  <c r="BL90" i="9"/>
  <c r="DW65" i="9"/>
  <c r="DU79" i="9"/>
  <c r="DW90" i="9"/>
  <c r="DR76" i="9"/>
  <c r="C26" i="19"/>
  <c r="DR78" i="9"/>
  <c r="DV78" i="9"/>
  <c r="DT79" i="9"/>
  <c r="DW59" i="9"/>
  <c r="DS76" i="9"/>
  <c r="E26" i="19"/>
  <c r="DS78" i="9"/>
  <c r="DV79" i="9"/>
  <c r="DW62" i="9"/>
  <c r="DU78" i="9"/>
  <c r="DT78" i="9"/>
  <c r="DW64" i="9"/>
  <c r="DS77" i="9"/>
  <c r="DT77" i="9"/>
  <c r="DV80" i="9"/>
  <c r="DU80" i="9"/>
  <c r="DS80" i="9"/>
  <c r="X76" i="9"/>
  <c r="E16" i="19"/>
  <c r="AB65" i="9"/>
  <c r="AA79" i="9"/>
  <c r="AA78" i="9"/>
  <c r="BP76" i="9"/>
  <c r="C21" i="19"/>
  <c r="BT78" i="9"/>
  <c r="BQ78" i="9"/>
  <c r="BR77" i="9"/>
  <c r="BU62" i="9"/>
  <c r="AY77" i="9"/>
  <c r="AZ79" i="9"/>
  <c r="AY78" i="9"/>
  <c r="BC59" i="9"/>
  <c r="BC65" i="9"/>
  <c r="BA78" i="9"/>
  <c r="BQ77" i="9"/>
  <c r="BL66" i="9"/>
  <c r="BK80" i="9"/>
  <c r="BK77" i="9"/>
  <c r="BK79" i="9"/>
  <c r="BG76" i="9"/>
  <c r="C20" i="19"/>
  <c r="BK78" i="9"/>
  <c r="BL59" i="9"/>
  <c r="BR79" i="9"/>
  <c r="BS79" i="9"/>
  <c r="P78" i="9"/>
  <c r="Z79" i="9"/>
  <c r="O77" i="9"/>
  <c r="Q78" i="9"/>
  <c r="AT90" i="9"/>
  <c r="AS79" i="9"/>
  <c r="AP79" i="9"/>
  <c r="AQ78" i="9"/>
  <c r="CV90" i="9"/>
  <c r="AA10" i="3"/>
  <c r="AC13" i="3"/>
  <c r="AA9" i="3"/>
  <c r="AC8" i="3"/>
  <c r="AC19" i="3"/>
  <c r="AA16" i="3"/>
  <c r="AC10" i="3"/>
  <c r="AA20" i="3"/>
  <c r="AC9" i="3"/>
  <c r="AC20" i="3"/>
  <c r="AA17" i="3"/>
  <c r="AC15" i="3"/>
  <c r="AA12" i="3"/>
  <c r="AA19" i="3"/>
  <c r="AA18" i="3"/>
  <c r="AC16" i="3"/>
  <c r="AA13" i="3"/>
  <c r="AC11" i="3"/>
  <c r="AC18" i="3"/>
  <c r="AA15" i="3"/>
  <c r="AB66" i="9"/>
  <c r="X79" i="9"/>
  <c r="AA76" i="9"/>
  <c r="K16" i="19"/>
  <c r="AB59" i="9"/>
  <c r="W79" i="9"/>
  <c r="Z76" i="9"/>
  <c r="I16" i="19"/>
  <c r="W78" i="9"/>
  <c r="BB76" i="9"/>
  <c r="K19" i="19"/>
  <c r="BS76" i="9"/>
  <c r="I21" i="19"/>
  <c r="BU59" i="9"/>
  <c r="AZ77" i="9"/>
  <c r="BA79" i="9"/>
  <c r="BC62" i="9"/>
  <c r="BC66" i="9"/>
  <c r="BJ77" i="9"/>
  <c r="BL64" i="9"/>
  <c r="BH80" i="9"/>
  <c r="BH79" i="9"/>
  <c r="AX78" i="9"/>
  <c r="BP79" i="9"/>
  <c r="BJ76" i="9"/>
  <c r="I20" i="19"/>
  <c r="AX79" i="9"/>
  <c r="P76" i="9"/>
  <c r="G15" i="19"/>
  <c r="R76" i="9"/>
  <c r="K15" i="19"/>
  <c r="O78" i="9"/>
  <c r="R77" i="9"/>
  <c r="N77" i="9"/>
  <c r="CU76" i="9"/>
  <c r="K24" i="19"/>
  <c r="CT78" i="9"/>
  <c r="CV65" i="9"/>
  <c r="CR79" i="9"/>
  <c r="AC14" i="3"/>
  <c r="AA14" i="3"/>
  <c r="P77" i="9"/>
  <c r="N76" i="9"/>
  <c r="C15" i="19"/>
  <c r="Q76" i="9"/>
  <c r="I15" i="19"/>
  <c r="R78" i="9"/>
  <c r="O79" i="9"/>
  <c r="R79" i="9"/>
  <c r="Q79" i="9"/>
  <c r="S90" i="9"/>
  <c r="N78" i="9"/>
  <c r="AB12" i="15"/>
  <c r="AD12" i="15"/>
  <c r="AB11" i="15"/>
  <c r="AD11" i="15"/>
  <c r="Y20" i="3"/>
  <c r="Y12" i="3"/>
  <c r="Y15" i="3"/>
  <c r="Y9" i="3"/>
  <c r="Y19" i="3"/>
  <c r="Y10" i="3"/>
  <c r="Y13" i="3"/>
  <c r="Y8" i="3"/>
  <c r="Y18" i="3"/>
  <c r="Y14" i="3"/>
  <c r="Y11" i="3"/>
  <c r="R429" i="21"/>
  <c r="R144" i="21"/>
  <c r="F2213" i="20"/>
  <c r="E150" i="17"/>
  <c r="F1268" i="20"/>
  <c r="L372" i="21"/>
  <c r="F1763" i="20"/>
  <c r="B1" i="24"/>
  <c r="B1" i="27"/>
  <c r="E855" i="17"/>
  <c r="F458" i="20"/>
  <c r="L87" i="21"/>
  <c r="R287" i="21"/>
  <c r="E338" i="17"/>
  <c r="F1988" i="20"/>
  <c r="F458" i="21"/>
  <c r="E1983" i="17"/>
  <c r="F401" i="21"/>
  <c r="E9" i="17"/>
  <c r="E432" i="17"/>
  <c r="F638" i="20"/>
  <c r="F1043" i="20"/>
  <c r="F173" i="21"/>
  <c r="L2" i="21"/>
  <c r="L116" i="21"/>
  <c r="A13" i="16"/>
  <c r="E1748" i="17"/>
  <c r="F2303" i="20"/>
  <c r="A4" i="16"/>
  <c r="E1419" i="17"/>
  <c r="F2393" i="20"/>
  <c r="E2359" i="17"/>
  <c r="L401" i="21"/>
  <c r="E197" i="17"/>
  <c r="E620" i="17"/>
  <c r="F818" i="20"/>
  <c r="F1223" i="20"/>
  <c r="L144" i="21"/>
  <c r="E1231" i="17"/>
  <c r="L486" i="21"/>
  <c r="E291" i="17"/>
  <c r="E714" i="17"/>
  <c r="F908" i="20"/>
  <c r="F1313" i="20"/>
  <c r="R230" i="21"/>
  <c r="E902" i="17"/>
  <c r="L315" i="21"/>
  <c r="E385" i="17"/>
  <c r="E808" i="17"/>
  <c r="F998" i="20"/>
  <c r="F1403" i="20"/>
  <c r="R116" i="21"/>
  <c r="M6" i="10"/>
  <c r="R201" i="21"/>
  <c r="A3" i="11"/>
  <c r="E2453" i="17"/>
  <c r="F98" i="20"/>
  <c r="F503" i="20"/>
  <c r="R258" i="21"/>
  <c r="E1654" i="17"/>
  <c r="F344" i="21"/>
  <c r="E1043" i="17"/>
  <c r="E1466" i="17"/>
  <c r="F1628" i="20"/>
  <c r="F2033" i="20"/>
  <c r="F287" i="21"/>
  <c r="F1088" i="20"/>
  <c r="F230" i="21"/>
  <c r="E1137" i="17"/>
  <c r="E1560" i="17"/>
  <c r="F1718" i="20"/>
  <c r="F2123" i="20"/>
  <c r="E526" i="17"/>
  <c r="F315" i="21"/>
  <c r="F728" i="20"/>
  <c r="L458" i="21"/>
  <c r="F53" i="20"/>
  <c r="L429" i="21"/>
  <c r="E1278" i="17"/>
  <c r="R87" i="21"/>
  <c r="E1607" i="17"/>
  <c r="E103" i="17"/>
  <c r="F683" i="20"/>
  <c r="E56" i="17"/>
  <c r="R458" i="21"/>
  <c r="R315" i="21"/>
  <c r="F188" i="20"/>
  <c r="A3" i="13"/>
  <c r="L173" i="21"/>
  <c r="F1538" i="20"/>
  <c r="E949" i="17"/>
  <c r="F8" i="20"/>
  <c r="F1493" i="20"/>
  <c r="F2438" i="20"/>
  <c r="E1889" i="17"/>
  <c r="F1133" i="20"/>
  <c r="R2" i="21"/>
  <c r="E2218" i="17"/>
  <c r="F201" i="21"/>
  <c r="L201" i="21"/>
  <c r="F2258" i="20"/>
  <c r="E1701" i="17"/>
  <c r="F413" i="20"/>
  <c r="E1842" i="17"/>
  <c r="R59" i="21"/>
  <c r="E244" i="17"/>
  <c r="F1448" i="20"/>
  <c r="L30" i="21"/>
  <c r="E1936" i="17"/>
  <c r="L344" i="21"/>
  <c r="F144" i="21"/>
  <c r="F548" i="20"/>
  <c r="F368" i="20"/>
  <c r="E1325" i="17"/>
  <c r="F8" i="29"/>
  <c r="F116" i="21"/>
  <c r="I7" i="8"/>
  <c r="F2" i="21"/>
  <c r="F1583" i="20"/>
  <c r="A9" i="19"/>
  <c r="F233" i="20"/>
  <c r="F1178" i="20"/>
  <c r="E2500" i="17"/>
  <c r="F323" i="20"/>
  <c r="A3" i="19"/>
  <c r="E996" i="17"/>
  <c r="B1" i="1"/>
  <c r="E2171" i="17"/>
  <c r="E573" i="17"/>
  <c r="F486" i="21"/>
  <c r="R372" i="21"/>
  <c r="R401" i="21"/>
  <c r="R344" i="21"/>
  <c r="F278" i="20"/>
  <c r="K7" i="15"/>
  <c r="E479" i="17"/>
  <c r="F593" i="20"/>
  <c r="E2547" i="17"/>
  <c r="L6" i="2"/>
  <c r="F1943" i="20"/>
  <c r="E1372" i="17"/>
  <c r="R486" i="21"/>
  <c r="F30" i="21"/>
  <c r="E2312" i="17"/>
  <c r="L287" i="21"/>
  <c r="R173" i="21"/>
  <c r="F2348" i="20"/>
  <c r="E1795" i="17"/>
  <c r="F1808" i="20"/>
  <c r="R30" i="21"/>
  <c r="E2124" i="17"/>
  <c r="F258" i="21"/>
  <c r="F87" i="21"/>
  <c r="L59" i="21"/>
  <c r="F1898" i="20"/>
  <c r="F372" i="21"/>
  <c r="E2030" i="17"/>
  <c r="F2078" i="20"/>
  <c r="E1513" i="17"/>
  <c r="F2168" i="20"/>
  <c r="F953" i="20"/>
  <c r="A3" i="18"/>
  <c r="F863" i="20"/>
  <c r="F8" i="25"/>
  <c r="E1184" i="17"/>
  <c r="E667" i="17"/>
  <c r="A3" i="4"/>
  <c r="E2265" i="17"/>
  <c r="B1" i="9"/>
  <c r="F59" i="21"/>
  <c r="L230" i="21"/>
  <c r="F773" i="20"/>
  <c r="F1673" i="20"/>
  <c r="F143" i="20"/>
  <c r="E1090" i="17"/>
  <c r="L258" i="21"/>
  <c r="E2077" i="17"/>
  <c r="F1358" i="20"/>
  <c r="F1853" i="20"/>
  <c r="E761" i="17"/>
  <c r="E2406" i="17"/>
  <c r="F429" i="21"/>
  <c r="AB46" i="15"/>
  <c r="AD46" i="15"/>
  <c r="AB47" i="15"/>
  <c r="AD47" i="15"/>
  <c r="AB48" i="15"/>
  <c r="AD48" i="15"/>
  <c r="AB49" i="15"/>
  <c r="AD49" i="15"/>
  <c r="AB50" i="15"/>
  <c r="AD50" i="15"/>
  <c r="AB51" i="15"/>
  <c r="AD51" i="15"/>
  <c r="AB52" i="15"/>
  <c r="AD52" i="15"/>
  <c r="AB53" i="15"/>
  <c r="AD53" i="15"/>
  <c r="AB54" i="15"/>
  <c r="AD54" i="15"/>
  <c r="AB55" i="15"/>
  <c r="AD55" i="15"/>
  <c r="AB56" i="15"/>
  <c r="AD56" i="15"/>
  <c r="AB58" i="15"/>
  <c r="AD58" i="15"/>
  <c r="AB57" i="15"/>
  <c r="AD57" i="15"/>
  <c r="CQ87" i="9"/>
  <c r="CT87" i="9"/>
  <c r="CS87" i="9"/>
  <c r="CU87" i="9"/>
  <c r="CR87" i="9"/>
  <c r="DB87" i="9"/>
  <c r="DC87" i="9"/>
  <c r="DD87" i="9"/>
  <c r="CZ87" i="9"/>
  <c r="DA87" i="9"/>
  <c r="CJ87" i="9"/>
  <c r="CH87" i="9"/>
  <c r="CK87" i="9"/>
  <c r="CL87" i="9"/>
  <c r="CI87" i="9"/>
  <c r="AO87" i="9"/>
  <c r="AQ87" i="9"/>
  <c r="AP87" i="9"/>
  <c r="AS87" i="9"/>
  <c r="AR87" i="9"/>
  <c r="DT87" i="9"/>
  <c r="DU87" i="9"/>
  <c r="DR87" i="9"/>
  <c r="DS87" i="9"/>
  <c r="DV87" i="9"/>
  <c r="AJ87" i="9"/>
  <c r="AI87" i="9"/>
  <c r="AH87" i="9"/>
  <c r="AF87" i="9"/>
  <c r="AG87" i="9"/>
  <c r="R87" i="9"/>
  <c r="P87" i="9"/>
  <c r="N87" i="9"/>
  <c r="Q87" i="9"/>
  <c r="O87" i="9"/>
  <c r="BY87" i="9"/>
  <c r="CB87" i="9"/>
  <c r="BZ87" i="9"/>
  <c r="CA87" i="9"/>
  <c r="CC87" i="9"/>
  <c r="DM73" i="9"/>
  <c r="DL73" i="9"/>
  <c r="EA87" i="9"/>
  <c r="EC87" i="9"/>
  <c r="EE87" i="9"/>
  <c r="ED87" i="9"/>
  <c r="EB87" i="9"/>
  <c r="BR87" i="9"/>
  <c r="BT87" i="9"/>
  <c r="BP87" i="9"/>
  <c r="BS87" i="9"/>
  <c r="BQ87" i="9"/>
  <c r="AX87" i="9"/>
  <c r="AY87" i="9"/>
  <c r="AZ87" i="9"/>
  <c r="BB87" i="9"/>
  <c r="BA87" i="9"/>
  <c r="BH87" i="9"/>
  <c r="BG87" i="9"/>
  <c r="BK87" i="9"/>
  <c r="BI87" i="9"/>
  <c r="BJ87" i="9"/>
  <c r="X87" i="9"/>
  <c r="Y87" i="9"/>
  <c r="W87" i="9"/>
  <c r="AA87" i="9"/>
  <c r="Z87" i="9"/>
  <c r="DM53" i="9"/>
  <c r="DO53" i="9"/>
  <c r="EE53" i="9"/>
  <c r="BK53" i="9"/>
  <c r="AJ53" i="9"/>
  <c r="AA53" i="9"/>
  <c r="BB53" i="9"/>
  <c r="AB59" i="15"/>
  <c r="AD59" i="15"/>
  <c r="DD53" i="9"/>
  <c r="CU53" i="9"/>
  <c r="BT53" i="9"/>
  <c r="CC53" i="9"/>
  <c r="R53" i="9"/>
  <c r="AS53" i="9"/>
  <c r="DV53" i="9"/>
  <c r="CL53" i="9"/>
  <c r="DF53" i="9"/>
  <c r="AL53" i="9"/>
  <c r="CN53" i="9"/>
  <c r="CE53" i="9"/>
  <c r="BM53" i="9"/>
  <c r="DX53" i="9"/>
  <c r="BV53" i="9"/>
  <c r="BD53" i="9"/>
  <c r="EG53" i="9"/>
  <c r="AU53" i="9"/>
  <c r="CW53" i="9"/>
  <c r="AC53" i="9"/>
  <c r="T53" i="9"/>
  <c r="CL54" i="9"/>
  <c r="CC54" i="9"/>
  <c r="BK54" i="9"/>
  <c r="AB60" i="15"/>
  <c r="AD60" i="15"/>
  <c r="DD54" i="9"/>
  <c r="AJ54" i="9"/>
  <c r="AS54" i="9"/>
  <c r="R54" i="9"/>
  <c r="DM54" i="9"/>
  <c r="DO54" i="9"/>
  <c r="BT54" i="9"/>
  <c r="CU54" i="9"/>
  <c r="DV54" i="9"/>
  <c r="BB54" i="9"/>
  <c r="EE54" i="9"/>
  <c r="AA54" i="9"/>
  <c r="DM72" i="9"/>
  <c r="DL72" i="9"/>
  <c r="DL71" i="9"/>
  <c r="DM71" i="9"/>
  <c r="DX54" i="9"/>
  <c r="AC54" i="9"/>
  <c r="CW54" i="9"/>
  <c r="AU54" i="9"/>
  <c r="BM54" i="9"/>
  <c r="EG54" i="9"/>
  <c r="BV54" i="9"/>
  <c r="AL54" i="9"/>
  <c r="CE54" i="9"/>
  <c r="BD54" i="9"/>
  <c r="DF54" i="9"/>
  <c r="CN54" i="9"/>
  <c r="EE85" i="9"/>
  <c r="ED85" i="9"/>
  <c r="EB85" i="9"/>
  <c r="EA85" i="9"/>
  <c r="EC85" i="9"/>
  <c r="EA84" i="9"/>
  <c r="EE86" i="9"/>
  <c r="EB86" i="9"/>
  <c r="EA86" i="9"/>
  <c r="ED86" i="9"/>
  <c r="EC86" i="9"/>
  <c r="BQ85" i="9"/>
  <c r="BP85" i="9"/>
  <c r="BS85" i="9"/>
  <c r="BT85" i="9"/>
  <c r="BR85" i="9"/>
  <c r="BQ86" i="9"/>
  <c r="BR86" i="9"/>
  <c r="BP86" i="9"/>
  <c r="BS86" i="9"/>
  <c r="BT86" i="9"/>
  <c r="AF85" i="9"/>
  <c r="AI85" i="9"/>
  <c r="AG85" i="9"/>
  <c r="AH85" i="9"/>
  <c r="AJ85" i="9"/>
  <c r="AF86" i="9"/>
  <c r="AI86" i="9"/>
  <c r="AG86" i="9"/>
  <c r="AH86" i="9"/>
  <c r="AJ86" i="9"/>
  <c r="BY85" i="9"/>
  <c r="CA85" i="9"/>
  <c r="CB85" i="9"/>
  <c r="CC85" i="9"/>
  <c r="BZ85" i="9"/>
  <c r="CA84" i="9"/>
  <c r="CA86" i="9"/>
  <c r="CB86" i="9"/>
  <c r="BZ86" i="9"/>
  <c r="BY86" i="9"/>
  <c r="CC86" i="9"/>
  <c r="AX85" i="9"/>
  <c r="BD62" i="9"/>
  <c r="BB85" i="9"/>
  <c r="AY85" i="9"/>
  <c r="AZ85" i="9"/>
  <c r="BA85" i="9"/>
  <c r="AZ86" i="9"/>
  <c r="BA86" i="9"/>
  <c r="BB86" i="9"/>
  <c r="AY86" i="9"/>
  <c r="AX86" i="9"/>
  <c r="DD85" i="9"/>
  <c r="DA85" i="9"/>
  <c r="DB85" i="9"/>
  <c r="CZ85" i="9"/>
  <c r="DC85" i="9"/>
  <c r="DD86" i="9"/>
  <c r="DC86" i="9"/>
  <c r="CZ86" i="9"/>
  <c r="DB86" i="9"/>
  <c r="DA86" i="9"/>
  <c r="CK85" i="9"/>
  <c r="CJ85" i="9"/>
  <c r="CH85" i="9"/>
  <c r="CL85" i="9"/>
  <c r="CI85" i="9"/>
  <c r="CN64" i="9"/>
  <c r="CI86" i="9"/>
  <c r="CL86" i="9"/>
  <c r="CJ86" i="9"/>
  <c r="CK86" i="9"/>
  <c r="CH86" i="9"/>
  <c r="DR85" i="9"/>
  <c r="DT85" i="9"/>
  <c r="DV85" i="9"/>
  <c r="DU85" i="9"/>
  <c r="DS85" i="9"/>
  <c r="DU86" i="9"/>
  <c r="DV86" i="9"/>
  <c r="DT86" i="9"/>
  <c r="DS86" i="9"/>
  <c r="DR86" i="9"/>
  <c r="T54" i="9"/>
  <c r="Z85" i="9"/>
  <c r="AC62" i="9"/>
  <c r="X85" i="9"/>
  <c r="W85" i="9"/>
  <c r="Y85" i="9"/>
  <c r="AA85" i="9"/>
  <c r="W86" i="9"/>
  <c r="AA86" i="9"/>
  <c r="Y86" i="9"/>
  <c r="X86" i="9"/>
  <c r="Z86" i="9"/>
  <c r="CR85" i="9"/>
  <c r="CT85" i="9"/>
  <c r="CS85" i="9"/>
  <c r="CQ85" i="9"/>
  <c r="CU85" i="9"/>
  <c r="CT86" i="9"/>
  <c r="CS86" i="9"/>
  <c r="CU86" i="9"/>
  <c r="CQ86" i="9"/>
  <c r="CR86" i="9"/>
  <c r="AO85" i="9"/>
  <c r="AR85" i="9"/>
  <c r="AP85" i="9"/>
  <c r="AQ85" i="9"/>
  <c r="AS85" i="9"/>
  <c r="AP86" i="9"/>
  <c r="AS86" i="9"/>
  <c r="AQ86" i="9"/>
  <c r="AR86" i="9"/>
  <c r="AO86" i="9"/>
  <c r="BI85" i="9"/>
  <c r="BG85" i="9"/>
  <c r="BH85" i="9"/>
  <c r="BJ85" i="9"/>
  <c r="BK85" i="9"/>
  <c r="BG84" i="9"/>
  <c r="BH86" i="9"/>
  <c r="BG86" i="9"/>
  <c r="BJ86" i="9"/>
  <c r="BI86" i="9"/>
  <c r="BK86" i="9"/>
  <c r="R85" i="9"/>
  <c r="O85" i="9"/>
  <c r="P85" i="9"/>
  <c r="Q85" i="9"/>
  <c r="N85" i="9"/>
  <c r="R86" i="9"/>
  <c r="O86" i="9"/>
  <c r="P86" i="9"/>
  <c r="N86" i="9"/>
  <c r="Q86" i="9"/>
  <c r="DC83" i="9"/>
  <c r="J25" i="19"/>
  <c r="AF83" i="9"/>
  <c r="D17" i="19"/>
  <c r="CW90" i="9"/>
  <c r="X83" i="9"/>
  <c r="F16" i="19"/>
  <c r="AU64" i="9"/>
  <c r="CU84" i="9"/>
  <c r="N83" i="9"/>
  <c r="D15" i="19"/>
  <c r="BP83" i="9"/>
  <c r="D21" i="19"/>
  <c r="CN90" i="9"/>
  <c r="CE63" i="9"/>
  <c r="EG64" i="9"/>
  <c r="DU83" i="9"/>
  <c r="J26" i="19"/>
  <c r="AU63" i="9"/>
  <c r="DT83" i="9"/>
  <c r="H26" i="19"/>
  <c r="CZ84" i="9"/>
  <c r="AG84" i="9"/>
  <c r="AH83" i="9"/>
  <c r="H17" i="19"/>
  <c r="BV64" i="9"/>
  <c r="EG62" i="9"/>
  <c r="EA83" i="9"/>
  <c r="D27" i="19"/>
  <c r="AZ83" i="9"/>
  <c r="H19" i="19"/>
  <c r="CS83" i="9"/>
  <c r="H24" i="19"/>
  <c r="Y83" i="9"/>
  <c r="H16" i="19"/>
  <c r="O83" i="9"/>
  <c r="F15" i="19"/>
  <c r="AP84" i="9"/>
  <c r="CW63" i="9"/>
  <c r="AA84" i="9"/>
  <c r="DS84" i="9"/>
  <c r="CH83" i="9"/>
  <c r="D23" i="19"/>
  <c r="DF63" i="9"/>
  <c r="AY84" i="9"/>
  <c r="BD64" i="9"/>
  <c r="CE64" i="9"/>
  <c r="BV66" i="9"/>
  <c r="DF64" i="9"/>
  <c r="AL64" i="9"/>
  <c r="BM90" i="9"/>
  <c r="AU65" i="9"/>
  <c r="BM64" i="9"/>
  <c r="P83" i="9"/>
  <c r="H15" i="19"/>
  <c r="P84" i="9"/>
  <c r="BJ83" i="9"/>
  <c r="J20" i="19"/>
  <c r="AO83" i="9"/>
  <c r="D18" i="19"/>
  <c r="CW66" i="9"/>
  <c r="Y84" i="9"/>
  <c r="AA83" i="9"/>
  <c r="L16" i="19"/>
  <c r="CL84" i="9"/>
  <c r="CI83" i="9"/>
  <c r="F23" i="19"/>
  <c r="BD63" i="9"/>
  <c r="CA83" i="9"/>
  <c r="H22" i="19"/>
  <c r="AL65" i="9"/>
  <c r="BR84" i="9"/>
  <c r="EG65" i="9"/>
  <c r="T64" i="9"/>
  <c r="T90" i="9"/>
  <c r="BH83" i="9"/>
  <c r="F20" i="19"/>
  <c r="BM65" i="9"/>
  <c r="AR84" i="9"/>
  <c r="AP83" i="9"/>
  <c r="F18" i="19"/>
  <c r="DR84" i="9"/>
  <c r="DR83" i="9"/>
  <c r="D26" i="19"/>
  <c r="CK83" i="9"/>
  <c r="J23" i="19"/>
  <c r="CN66" i="9"/>
  <c r="DB84" i="9"/>
  <c r="DF65" i="9"/>
  <c r="DF66" i="9"/>
  <c r="BB83" i="9"/>
  <c r="L19" i="19"/>
  <c r="BD65" i="9"/>
  <c r="BS84" i="9"/>
  <c r="BV90" i="9"/>
  <c r="EE83" i="9"/>
  <c r="L27" i="19"/>
  <c r="O84" i="9"/>
  <c r="AQ84" i="9"/>
  <c r="CR84" i="9"/>
  <c r="CT83" i="9"/>
  <c r="J24" i="19"/>
  <c r="Z84" i="9"/>
  <c r="Z83" i="9"/>
  <c r="J16" i="19"/>
  <c r="DX66" i="9"/>
  <c r="DX65" i="9"/>
  <c r="CK84" i="9"/>
  <c r="CJ84" i="9"/>
  <c r="AX84" i="9"/>
  <c r="AY83" i="9"/>
  <c r="F19" i="19"/>
  <c r="CC84" i="9"/>
  <c r="CB83" i="9"/>
  <c r="J22" i="19"/>
  <c r="AL63" i="9"/>
  <c r="AI83" i="9"/>
  <c r="J17" i="19"/>
  <c r="Q84" i="9"/>
  <c r="T66" i="9"/>
  <c r="T63" i="9"/>
  <c r="T65" i="9"/>
  <c r="BK84" i="9"/>
  <c r="BI84" i="9"/>
  <c r="BI83" i="9"/>
  <c r="H20" i="19"/>
  <c r="BM62" i="9"/>
  <c r="BG83" i="9"/>
  <c r="D20" i="19"/>
  <c r="AO84" i="9"/>
  <c r="AU62" i="9"/>
  <c r="AQ83" i="9"/>
  <c r="H18" i="19"/>
  <c r="AR83" i="9"/>
  <c r="J18" i="19"/>
  <c r="CS84" i="9"/>
  <c r="CQ84" i="9"/>
  <c r="CU83" i="9"/>
  <c r="L24" i="19"/>
  <c r="CW64" i="9"/>
  <c r="CW65" i="9"/>
  <c r="W84" i="9"/>
  <c r="AC64" i="9"/>
  <c r="W83" i="9"/>
  <c r="D16" i="19"/>
  <c r="AC90" i="9"/>
  <c r="DU84" i="9"/>
  <c r="DX63" i="9"/>
  <c r="DS83" i="9"/>
  <c r="F26" i="19"/>
  <c r="DX62" i="9"/>
  <c r="CH84" i="9"/>
  <c r="CN63" i="9"/>
  <c r="CN62" i="9"/>
  <c r="CN65" i="9"/>
  <c r="DA84" i="9"/>
  <c r="DD83" i="9"/>
  <c r="L25" i="19"/>
  <c r="CZ83" i="9"/>
  <c r="D25" i="19"/>
  <c r="DB83" i="9"/>
  <c r="H25" i="19"/>
  <c r="BA84" i="9"/>
  <c r="BB84" i="9"/>
  <c r="BD90" i="9"/>
  <c r="BD66" i="9"/>
  <c r="BA83" i="9"/>
  <c r="J19" i="19"/>
  <c r="BZ84" i="9"/>
  <c r="CC83" i="9"/>
  <c r="L22" i="19"/>
  <c r="CE65" i="9"/>
  <c r="CE62" i="9"/>
  <c r="AJ84" i="9"/>
  <c r="AL90" i="9"/>
  <c r="AL66" i="9"/>
  <c r="BT84" i="9"/>
  <c r="BT83" i="9"/>
  <c r="L21" i="19"/>
  <c r="BS83" i="9"/>
  <c r="J21" i="19"/>
  <c r="BQ83" i="9"/>
  <c r="F21" i="19"/>
  <c r="EE84" i="9"/>
  <c r="ED83" i="9"/>
  <c r="J27" i="19"/>
  <c r="EG66" i="9"/>
  <c r="AB76" i="1"/>
  <c r="AE76" i="1"/>
  <c r="AA76" i="1"/>
  <c r="AD76" i="1"/>
  <c r="I21" i="16"/>
  <c r="AC76" i="1"/>
  <c r="R84" i="9"/>
  <c r="BJ84" i="9"/>
  <c r="BM63" i="9"/>
  <c r="AU66" i="9"/>
  <c r="CQ83" i="9"/>
  <c r="D24" i="19"/>
  <c r="AC65" i="9"/>
  <c r="AC66" i="9"/>
  <c r="DA83" i="9"/>
  <c r="F25" i="19"/>
  <c r="BY83" i="9"/>
  <c r="D22" i="19"/>
  <c r="CE66" i="9"/>
  <c r="AI84" i="9"/>
  <c r="AH84" i="9"/>
  <c r="AJ83" i="9"/>
  <c r="L17" i="19"/>
  <c r="BV63" i="9"/>
  <c r="BV62" i="9"/>
  <c r="EC84" i="9"/>
  <c r="ED84" i="9"/>
  <c r="EB83" i="9"/>
  <c r="F27" i="19"/>
  <c r="N84" i="9"/>
  <c r="R83" i="9"/>
  <c r="L15" i="19"/>
  <c r="T62" i="9"/>
  <c r="BH84" i="9"/>
  <c r="BM66" i="9"/>
  <c r="AS84" i="9"/>
  <c r="AU90" i="9"/>
  <c r="AS83" i="9"/>
  <c r="L18" i="19"/>
  <c r="CT84" i="9"/>
  <c r="CR83" i="9"/>
  <c r="F24" i="19"/>
  <c r="CW62" i="9"/>
  <c r="X84" i="9"/>
  <c r="AC63" i="9"/>
  <c r="DV84" i="9"/>
  <c r="DT84" i="9"/>
  <c r="DV83" i="9"/>
  <c r="L26" i="19"/>
  <c r="DX90" i="9"/>
  <c r="CI84" i="9"/>
  <c r="CJ83" i="9"/>
  <c r="H23" i="19"/>
  <c r="CL83" i="9"/>
  <c r="L23" i="19"/>
  <c r="DC84" i="9"/>
  <c r="DD84" i="9"/>
  <c r="DF90" i="9"/>
  <c r="DF62" i="9"/>
  <c r="AZ84" i="9"/>
  <c r="AX83" i="9"/>
  <c r="D19" i="19"/>
  <c r="BY84" i="9"/>
  <c r="CB84" i="9"/>
  <c r="CE90" i="9"/>
  <c r="BZ83" i="9"/>
  <c r="F22" i="19"/>
  <c r="AF84" i="9"/>
  <c r="AG83" i="9"/>
  <c r="F17" i="19"/>
  <c r="M17" i="19"/>
  <c r="AL62" i="9"/>
  <c r="BP84" i="9"/>
  <c r="BQ84" i="9"/>
  <c r="BR83" i="9"/>
  <c r="H21" i="19"/>
  <c r="BV65" i="9"/>
  <c r="EB84" i="9"/>
  <c r="EC83" i="9"/>
  <c r="H27" i="19"/>
  <c r="EG90" i="9"/>
  <c r="AD10" i="15"/>
  <c r="EE6" i="9"/>
  <c r="DV6" i="9"/>
  <c r="B7" i="9"/>
  <c r="CW77" i="1"/>
  <c r="CW63" i="1"/>
  <c r="CT77" i="1"/>
  <c r="E30" i="16"/>
  <c r="CW76" i="1"/>
  <c r="K30" i="16"/>
  <c r="CW66" i="1"/>
  <c r="CU77" i="1"/>
  <c r="CV76" i="1"/>
  <c r="I30" i="16"/>
  <c r="CV77" i="1"/>
  <c r="CW83" i="1"/>
  <c r="CW62" i="1"/>
  <c r="CW64" i="1"/>
  <c r="CW65" i="1"/>
  <c r="CS77" i="1"/>
  <c r="C30" i="16"/>
  <c r="CU76" i="1"/>
  <c r="G30" i="16"/>
  <c r="CP62" i="1"/>
  <c r="BU78" i="1"/>
  <c r="BT78" i="1"/>
  <c r="BR78" i="1"/>
  <c r="T18" i="3"/>
  <c r="S18" i="3"/>
  <c r="CH77" i="1"/>
  <c r="CF77" i="1"/>
  <c r="CI63" i="1"/>
  <c r="CE77" i="1"/>
  <c r="CG77" i="1"/>
  <c r="AY78" i="1"/>
  <c r="T15" i="3"/>
  <c r="S15" i="3"/>
  <c r="C25" i="16"/>
  <c r="BG66" i="1"/>
  <c r="BF77" i="1"/>
  <c r="BG65" i="1"/>
  <c r="BG63" i="1"/>
  <c r="BC77" i="1"/>
  <c r="AK77" i="1"/>
  <c r="AO77" i="1"/>
  <c r="AS77" i="1"/>
  <c r="AQ77" i="1"/>
  <c r="AR77" i="1"/>
  <c r="AS63" i="1"/>
  <c r="AS78" i="1"/>
  <c r="AS62" i="1"/>
  <c r="AS64" i="1"/>
  <c r="AQ78" i="1"/>
  <c r="AR76" i="1"/>
  <c r="I23" i="16"/>
  <c r="AS65" i="1"/>
  <c r="G23" i="16"/>
  <c r="AS66" i="1"/>
  <c r="E23" i="16"/>
  <c r="AS76" i="1"/>
  <c r="K23" i="16"/>
  <c r="AS83" i="1"/>
  <c r="C23" i="16"/>
  <c r="AP78" i="1"/>
  <c r="AC77" i="1"/>
  <c r="G25" i="16"/>
  <c r="BG76" i="1"/>
  <c r="K25" i="16"/>
  <c r="BD77" i="1"/>
  <c r="E25" i="16"/>
  <c r="BF76" i="1"/>
  <c r="I25" i="16"/>
  <c r="BG62" i="1"/>
  <c r="BG64" i="1"/>
  <c r="BE77" i="1"/>
  <c r="BG77" i="1"/>
  <c r="BG83" i="1"/>
  <c r="AW78" i="1"/>
  <c r="CI78" i="1"/>
  <c r="E29" i="16"/>
  <c r="CI83" i="1"/>
  <c r="C29" i="16"/>
  <c r="G29" i="16"/>
  <c r="CI64" i="1"/>
  <c r="CF78" i="1"/>
  <c r="CI65" i="1"/>
  <c r="CH76" i="1"/>
  <c r="I29" i="16"/>
  <c r="CI76" i="1"/>
  <c r="K29" i="16"/>
  <c r="CE78" i="1"/>
  <c r="CG78" i="1"/>
  <c r="CH78" i="1"/>
  <c r="CI62" i="1"/>
  <c r="CI66" i="1"/>
  <c r="CO69" i="1"/>
  <c r="S19" i="16"/>
  <c r="CP63" i="1"/>
  <c r="CP83" i="1"/>
  <c r="CP69" i="1"/>
  <c r="U19" i="16"/>
  <c r="CP70" i="1"/>
  <c r="CO70" i="1"/>
  <c r="BU65" i="1"/>
  <c r="BQ77" i="1"/>
  <c r="E27" i="16"/>
  <c r="BU77" i="1"/>
  <c r="BU66" i="1"/>
  <c r="BT77" i="1"/>
  <c r="BU83" i="1"/>
  <c r="C27" i="16"/>
  <c r="BS77" i="1"/>
  <c r="BR77" i="1"/>
  <c r="G27" i="16"/>
  <c r="BU62" i="1"/>
  <c r="BU63" i="1"/>
  <c r="BT76" i="1"/>
  <c r="I27" i="16"/>
  <c r="BU64" i="1"/>
  <c r="BU76" i="1"/>
  <c r="K27" i="16"/>
  <c r="T11" i="3"/>
  <c r="S11" i="3"/>
  <c r="AI77" i="1"/>
  <c r="AL66" i="1"/>
  <c r="AL65" i="1"/>
  <c r="AL62" i="1"/>
  <c r="C22" i="16"/>
  <c r="AH78" i="1"/>
  <c r="AI78" i="1"/>
  <c r="AL83" i="1"/>
  <c r="AL78" i="1"/>
  <c r="I22" i="16"/>
  <c r="AK78" i="1"/>
  <c r="AL77" i="1"/>
  <c r="AL64" i="1"/>
  <c r="E22" i="16"/>
  <c r="K22" i="16"/>
  <c r="AH77" i="1"/>
  <c r="AJ77" i="1"/>
  <c r="G22" i="16"/>
  <c r="AJ78" i="1"/>
  <c r="AL63" i="1"/>
  <c r="AD77" i="1"/>
  <c r="K21" i="16"/>
  <c r="C21" i="16"/>
  <c r="AA78" i="1"/>
  <c r="AE62" i="1"/>
  <c r="AE63" i="1"/>
  <c r="E21" i="16"/>
  <c r="AA77" i="1"/>
  <c r="AB77" i="1"/>
  <c r="AE78" i="1"/>
  <c r="AE64" i="1"/>
  <c r="G21" i="16"/>
  <c r="AE77" i="1"/>
  <c r="AB78" i="1"/>
  <c r="AE65" i="1"/>
  <c r="AD78" i="1"/>
  <c r="AE66" i="1"/>
  <c r="AE83" i="1"/>
  <c r="AC78" i="1"/>
  <c r="W78" i="1"/>
  <c r="V77" i="1"/>
  <c r="X83" i="1"/>
  <c r="U78" i="1"/>
  <c r="X78" i="1"/>
  <c r="X64" i="1"/>
  <c r="T78" i="1"/>
  <c r="V78" i="1"/>
  <c r="X63" i="1"/>
  <c r="K20" i="16"/>
  <c r="U77" i="1"/>
  <c r="X77" i="1"/>
  <c r="G20" i="16"/>
  <c r="E20" i="16"/>
  <c r="W77" i="1"/>
  <c r="X66" i="1"/>
  <c r="T77" i="1"/>
  <c r="X65" i="1"/>
  <c r="X62" i="1"/>
  <c r="I20" i="16"/>
  <c r="Q77" i="1"/>
  <c r="Q63" i="1"/>
  <c r="O77" i="1"/>
  <c r="K19" i="16"/>
  <c r="T8" i="3"/>
  <c r="S8" i="3"/>
  <c r="Q62" i="1"/>
  <c r="M77" i="1"/>
  <c r="Q83" i="1"/>
  <c r="Q65" i="1"/>
  <c r="E19" i="16"/>
  <c r="G19" i="16"/>
  <c r="Q64" i="1"/>
  <c r="I19" i="16"/>
  <c r="N77" i="1"/>
  <c r="P77" i="1"/>
  <c r="Q66" i="1"/>
  <c r="AY77" i="1"/>
  <c r="AW77" i="1"/>
  <c r="AX77" i="1"/>
  <c r="AV77" i="1"/>
  <c r="AZ77" i="1"/>
  <c r="I24" i="16"/>
  <c r="K24" i="16"/>
  <c r="G24" i="16"/>
  <c r="AX78" i="1"/>
  <c r="E24" i="16"/>
  <c r="AZ83" i="1"/>
  <c r="AZ78" i="1"/>
  <c r="AV78" i="1"/>
  <c r="CL51" i="9"/>
  <c r="BB51" i="9"/>
  <c r="R51" i="9"/>
  <c r="DO4" i="9"/>
  <c r="W8" i="3"/>
  <c r="DV51" i="9"/>
  <c r="DO47" i="9"/>
  <c r="U18" i="3"/>
  <c r="U10" i="3"/>
  <c r="F182" i="25"/>
  <c r="F414" i="25"/>
  <c r="F646" i="25"/>
  <c r="F878" i="25"/>
  <c r="F1110" i="25"/>
  <c r="F1342" i="25"/>
  <c r="F1574" i="25"/>
  <c r="CU50" i="9"/>
  <c r="BK50" i="9"/>
  <c r="AA50" i="9"/>
  <c r="DM51" i="9"/>
  <c r="DO51" i="9"/>
  <c r="CC51" i="9"/>
  <c r="AS51" i="9"/>
  <c r="EE50" i="9"/>
  <c r="U15" i="3"/>
  <c r="F37" i="25"/>
  <c r="F269" i="25"/>
  <c r="F501" i="25"/>
  <c r="F733" i="25"/>
  <c r="F965" i="25"/>
  <c r="F1197" i="25"/>
  <c r="F1429" i="25"/>
  <c r="W17" i="3"/>
  <c r="DD51" i="9"/>
  <c r="BT51" i="9"/>
  <c r="AJ51" i="9"/>
  <c r="DV50" i="9"/>
  <c r="F211" i="25"/>
  <c r="F443" i="25"/>
  <c r="F675" i="25"/>
  <c r="F907" i="25"/>
  <c r="F1139" i="25"/>
  <c r="F1371" i="25"/>
  <c r="W14" i="3"/>
  <c r="F66" i="25"/>
  <c r="F298" i="25"/>
  <c r="F530" i="25"/>
  <c r="F762" i="25"/>
  <c r="F994" i="25"/>
  <c r="F1226" i="25"/>
  <c r="F1458" i="25"/>
  <c r="DM50" i="9"/>
  <c r="DO50" i="9"/>
  <c r="CC50" i="9"/>
  <c r="W20" i="3"/>
  <c r="CU51" i="9"/>
  <c r="BK51" i="9"/>
  <c r="AA51" i="9"/>
  <c r="U20" i="3"/>
  <c r="F153" i="25"/>
  <c r="F385" i="25"/>
  <c r="F617" i="25"/>
  <c r="F849" i="25"/>
  <c r="F1081" i="25"/>
  <c r="F1313" i="25"/>
  <c r="F1545" i="25"/>
  <c r="W16" i="3"/>
  <c r="W19" i="3"/>
  <c r="B6" i="1"/>
  <c r="B7" i="1"/>
  <c r="T20" i="3"/>
  <c r="S20" i="3"/>
  <c r="G38" i="15"/>
  <c r="DV49" i="9"/>
  <c r="EE49" i="9"/>
  <c r="R49" i="9"/>
  <c r="AA49" i="9"/>
  <c r="AJ49" i="9"/>
  <c r="AS49" i="9"/>
  <c r="BB49" i="9"/>
  <c r="BK49" i="9"/>
  <c r="BT49" i="9"/>
  <c r="CC49" i="9"/>
  <c r="CL49" i="9"/>
  <c r="CU49" i="9"/>
  <c r="DD49" i="9"/>
  <c r="DM49" i="9"/>
  <c r="DO49" i="9"/>
  <c r="DV45" i="9"/>
  <c r="EE45" i="9"/>
  <c r="R45" i="9"/>
  <c r="AA45" i="9"/>
  <c r="AJ45" i="9"/>
  <c r="AS45" i="9"/>
  <c r="BB45" i="9"/>
  <c r="BK45" i="9"/>
  <c r="BT45" i="9"/>
  <c r="CC45" i="9"/>
  <c r="CL45" i="9"/>
  <c r="CU45" i="9"/>
  <c r="DD45" i="9"/>
  <c r="DM45" i="9"/>
  <c r="DO45" i="9"/>
  <c r="DV41" i="9"/>
  <c r="EE41" i="9"/>
  <c r="R41" i="9"/>
  <c r="AA41" i="9"/>
  <c r="AJ41" i="9"/>
  <c r="AS41" i="9"/>
  <c r="BB41" i="9"/>
  <c r="BK41" i="9"/>
  <c r="BT41" i="9"/>
  <c r="CC41" i="9"/>
  <c r="CL41" i="9"/>
  <c r="CU41" i="9"/>
  <c r="DD41" i="9"/>
  <c r="DM41" i="9"/>
  <c r="DO41" i="9"/>
  <c r="R5" i="9"/>
  <c r="AA5" i="9"/>
  <c r="AJ5" i="9"/>
  <c r="BK5" i="9"/>
  <c r="BT5" i="9"/>
  <c r="CC5" i="9"/>
  <c r="AS5" i="9"/>
  <c r="BB5" i="9"/>
  <c r="DM5" i="9"/>
  <c r="DV5" i="9"/>
  <c r="EE5" i="9"/>
  <c r="DD5" i="9"/>
  <c r="CL5" i="9"/>
  <c r="CU5" i="9"/>
  <c r="A2474" i="20"/>
  <c r="A2429" i="20"/>
  <c r="A2384" i="20"/>
  <c r="A2339" i="20"/>
  <c r="A2294" i="20"/>
  <c r="A2249" i="20"/>
  <c r="A2204" i="20"/>
  <c r="A2159" i="20"/>
  <c r="A2114" i="20"/>
  <c r="A2069" i="20"/>
  <c r="A2024" i="20"/>
  <c r="A1979" i="20"/>
  <c r="A1934" i="20"/>
  <c r="A1889" i="20"/>
  <c r="A1844" i="20"/>
  <c r="A1799" i="20"/>
  <c r="A1754" i="20"/>
  <c r="A1709" i="20"/>
  <c r="A1664" i="20"/>
  <c r="A1619" i="20"/>
  <c r="A1574" i="20"/>
  <c r="A1529" i="20"/>
  <c r="A1484" i="20"/>
  <c r="A1439" i="20"/>
  <c r="A1394" i="20"/>
  <c r="A1349" i="20"/>
  <c r="A1304" i="20"/>
  <c r="A1259" i="20"/>
  <c r="A1214" i="20"/>
  <c r="A1169" i="20"/>
  <c r="A1124" i="20"/>
  <c r="A1079" i="20"/>
  <c r="A1034" i="20"/>
  <c r="A989" i="20"/>
  <c r="A944" i="20"/>
  <c r="A899" i="20"/>
  <c r="A854" i="20"/>
  <c r="A809" i="20"/>
  <c r="A764" i="20"/>
  <c r="A719" i="20"/>
  <c r="A674" i="20"/>
  <c r="A629" i="20"/>
  <c r="A584" i="20"/>
  <c r="A539" i="20"/>
  <c r="A494" i="20"/>
  <c r="A449" i="20"/>
  <c r="A404" i="20"/>
  <c r="A359" i="20"/>
  <c r="A314" i="20"/>
  <c r="A269" i="20"/>
  <c r="A224" i="20"/>
  <c r="A179" i="20"/>
  <c r="A134" i="20"/>
  <c r="A89" i="20"/>
  <c r="A44" i="20"/>
  <c r="A2469" i="20"/>
  <c r="D2384" i="20"/>
  <c r="A2289" i="20"/>
  <c r="D2204" i="20"/>
  <c r="A2109" i="20"/>
  <c r="D2024" i="20"/>
  <c r="D1979" i="20"/>
  <c r="D1934" i="20"/>
  <c r="D1889" i="20"/>
  <c r="D1844" i="20"/>
  <c r="D1799" i="20"/>
  <c r="D1754" i="20"/>
  <c r="D1709" i="20"/>
  <c r="D1664" i="20"/>
  <c r="D1619" i="20"/>
  <c r="D1574" i="20"/>
  <c r="D1529" i="20"/>
  <c r="D1484" i="20"/>
  <c r="D1439" i="20"/>
  <c r="D1394" i="20"/>
  <c r="D1349" i="20"/>
  <c r="D1304" i="20"/>
  <c r="D1259" i="20"/>
  <c r="D1214" i="20"/>
  <c r="D1169" i="20"/>
  <c r="D1124" i="20"/>
  <c r="D1079" i="20"/>
  <c r="D1034" i="20"/>
  <c r="D989" i="20"/>
  <c r="D944" i="20"/>
  <c r="D899" i="20"/>
  <c r="D854" i="20"/>
  <c r="D809" i="20"/>
  <c r="D764" i="20"/>
  <c r="D719" i="20"/>
  <c r="D674" i="20"/>
  <c r="D629" i="20"/>
  <c r="D584" i="20"/>
  <c r="D539" i="20"/>
  <c r="D494" i="20"/>
  <c r="D449" i="20"/>
  <c r="D404" i="20"/>
  <c r="D359" i="20"/>
  <c r="D314" i="20"/>
  <c r="D269" i="20"/>
  <c r="D224" i="20"/>
  <c r="D179" i="20"/>
  <c r="D134" i="20"/>
  <c r="D89" i="20"/>
  <c r="D44" i="20"/>
  <c r="D2429" i="20"/>
  <c r="A2334" i="20"/>
  <c r="D2249" i="20"/>
  <c r="A2154" i="20"/>
  <c r="D2069" i="20"/>
  <c r="D2474" i="20"/>
  <c r="A2379" i="20"/>
  <c r="D2294" i="20"/>
  <c r="A2199" i="20"/>
  <c r="D2114" i="20"/>
  <c r="A84" i="20"/>
  <c r="A174" i="20"/>
  <c r="A264" i="20"/>
  <c r="A354" i="20"/>
  <c r="A444" i="20"/>
  <c r="A534" i="20"/>
  <c r="A624" i="20"/>
  <c r="A714" i="20"/>
  <c r="A804" i="20"/>
  <c r="A894" i="20"/>
  <c r="A984" i="20"/>
  <c r="A1074" i="20"/>
  <c r="A1164" i="20"/>
  <c r="A1254" i="20"/>
  <c r="A1344" i="20"/>
  <c r="A1434" i="20"/>
  <c r="A1524" i="20"/>
  <c r="A1614" i="20"/>
  <c r="A1704" i="20"/>
  <c r="A1794" i="20"/>
  <c r="A1884" i="20"/>
  <c r="A1974" i="20"/>
  <c r="A2064" i="20"/>
  <c r="D2159" i="20"/>
  <c r="A2424" i="20"/>
  <c r="A36" i="19"/>
  <c r="S59" i="9"/>
  <c r="A129" i="20"/>
  <c r="A219" i="20"/>
  <c r="A309" i="20"/>
  <c r="A399" i="20"/>
  <c r="A489" i="20"/>
  <c r="A579" i="20"/>
  <c r="A669" i="20"/>
  <c r="A759" i="20"/>
  <c r="A849" i="20"/>
  <c r="A939" i="20"/>
  <c r="A1029" i="20"/>
  <c r="A1119" i="20"/>
  <c r="A1209" i="20"/>
  <c r="A1299" i="20"/>
  <c r="A1389" i="20"/>
  <c r="A1479" i="20"/>
  <c r="A1569" i="20"/>
  <c r="A1659" i="20"/>
  <c r="A1749" i="20"/>
  <c r="A1839" i="20"/>
  <c r="A1929" i="20"/>
  <c r="A2019" i="20"/>
  <c r="A2244" i="20"/>
  <c r="D2339" i="20"/>
  <c r="U8" i="3"/>
  <c r="T21" i="3"/>
  <c r="W18" i="3"/>
  <c r="U16" i="3"/>
  <c r="T16" i="3"/>
  <c r="S16" i="3"/>
  <c r="U13" i="3"/>
  <c r="U11" i="3"/>
  <c r="U19" i="3"/>
  <c r="D46" i="17"/>
  <c r="D93" i="17"/>
  <c r="D140" i="17"/>
  <c r="D187" i="17"/>
  <c r="D234" i="17"/>
  <c r="D281" i="17"/>
  <c r="D328" i="17"/>
  <c r="D375" i="17"/>
  <c r="D422" i="17"/>
  <c r="D469" i="17"/>
  <c r="D516" i="17"/>
  <c r="D563" i="17"/>
  <c r="D610" i="17"/>
  <c r="D657" i="17"/>
  <c r="D704" i="17"/>
  <c r="D751" i="17"/>
  <c r="D798" i="17"/>
  <c r="D845" i="17"/>
  <c r="D892" i="17"/>
  <c r="D939" i="17"/>
  <c r="D986" i="17"/>
  <c r="D1033" i="17"/>
  <c r="D1080" i="17"/>
  <c r="D1127" i="17"/>
  <c r="D1174" i="17"/>
  <c r="D1221" i="17"/>
  <c r="D1268" i="17"/>
  <c r="D1315" i="17"/>
  <c r="D1362" i="17"/>
  <c r="D1409" i="17"/>
  <c r="D1456" i="17"/>
  <c r="D1503" i="17"/>
  <c r="D1550" i="17"/>
  <c r="D1597" i="17"/>
  <c r="D1644" i="17"/>
  <c r="D1691" i="17"/>
  <c r="D1738" i="17"/>
  <c r="D1785" i="17"/>
  <c r="D1832" i="17"/>
  <c r="D1879" i="17"/>
  <c r="D1926" i="17"/>
  <c r="D1973" i="17"/>
  <c r="D2020" i="17"/>
  <c r="D2067" i="17"/>
  <c r="D2114" i="17"/>
  <c r="D2161" i="17"/>
  <c r="D2208" i="17"/>
  <c r="D2255" i="17"/>
  <c r="D2302" i="17"/>
  <c r="D2349" i="17"/>
  <c r="D2396" i="17"/>
  <c r="D2443" i="17"/>
  <c r="D2490" i="17"/>
  <c r="D2537" i="17"/>
  <c r="A41" i="17"/>
  <c r="U17" i="3"/>
  <c r="W15" i="3"/>
  <c r="U14" i="3"/>
  <c r="W12" i="3"/>
  <c r="T12" i="3"/>
  <c r="S12" i="3"/>
  <c r="W10" i="3"/>
  <c r="U9" i="3"/>
  <c r="A88" i="17"/>
  <c r="A135" i="17"/>
  <c r="A182" i="17"/>
  <c r="A229" i="17"/>
  <c r="A276" i="17"/>
  <c r="A323" i="17"/>
  <c r="A370" i="17"/>
  <c r="A417" i="17"/>
  <c r="A464" i="17"/>
  <c r="A511" i="17"/>
  <c r="A558" i="17"/>
  <c r="A605" i="17"/>
  <c r="A652" i="17"/>
  <c r="A699" i="17"/>
  <c r="A746" i="17"/>
  <c r="A793" i="17"/>
  <c r="A840" i="17"/>
  <c r="A887" i="17"/>
  <c r="A934" i="17"/>
  <c r="A981" i="17"/>
  <c r="A1028" i="17"/>
  <c r="A1075" i="17"/>
  <c r="A1122" i="17"/>
  <c r="A1169" i="17"/>
  <c r="A1216" i="17"/>
  <c r="A1263" i="17"/>
  <c r="A1310" i="17"/>
  <c r="A1357" i="17"/>
  <c r="A1404" i="17"/>
  <c r="A1451" i="17"/>
  <c r="A1498" i="17"/>
  <c r="A1545" i="17"/>
  <c r="A1592" i="17"/>
  <c r="A1639" i="17"/>
  <c r="A1686" i="17"/>
  <c r="A1733" i="17"/>
  <c r="A1780" i="17"/>
  <c r="A1827" i="17"/>
  <c r="A1874" i="17"/>
  <c r="A1921" i="17"/>
  <c r="A1968" i="17"/>
  <c r="A2015" i="17"/>
  <c r="A2062" i="17"/>
  <c r="A2109" i="17"/>
  <c r="A2156" i="17"/>
  <c r="A2203" i="17"/>
  <c r="A2250" i="17"/>
  <c r="A2297" i="17"/>
  <c r="A2344" i="17"/>
  <c r="A2391" i="17"/>
  <c r="A2438" i="17"/>
  <c r="A2485" i="17"/>
  <c r="A2532" i="17"/>
  <c r="A2579" i="17"/>
  <c r="T14" i="3"/>
  <c r="S14" i="3"/>
  <c r="T13" i="3"/>
  <c r="S13" i="3"/>
  <c r="T10" i="3"/>
  <c r="S10" i="3"/>
  <c r="M48" i="16"/>
  <c r="M45" i="16"/>
  <c r="M46" i="16"/>
  <c r="M47" i="16"/>
  <c r="DO42" i="9"/>
  <c r="M37" i="16"/>
  <c r="M49" i="16"/>
  <c r="M39" i="16"/>
  <c r="M44" i="16"/>
  <c r="W9" i="3"/>
  <c r="DO52" i="9"/>
  <c r="DO48" i="9"/>
  <c r="M40" i="16"/>
  <c r="M18" i="19"/>
  <c r="M19" i="19"/>
  <c r="M23" i="19"/>
  <c r="M41" i="16"/>
  <c r="M42" i="16"/>
  <c r="M43" i="16"/>
  <c r="M38" i="16"/>
  <c r="M26" i="16"/>
  <c r="M28" i="16"/>
  <c r="M31" i="16"/>
  <c r="M15" i="19"/>
  <c r="M36" i="19"/>
  <c r="W11" i="3"/>
  <c r="DO43" i="9"/>
  <c r="DO40" i="9"/>
  <c r="DO46" i="9"/>
  <c r="A1" i="27"/>
  <c r="B8" i="1"/>
  <c r="DO6" i="9"/>
  <c r="A23" i="16"/>
  <c r="M20" i="19"/>
  <c r="M16" i="19"/>
  <c r="M26" i="19"/>
  <c r="M24" i="19"/>
  <c r="M25" i="19"/>
  <c r="M37" i="19"/>
  <c r="M21" i="19"/>
  <c r="M35" i="19"/>
  <c r="M41" i="19"/>
  <c r="M42" i="19"/>
  <c r="M38" i="19"/>
  <c r="M32" i="19"/>
  <c r="M34" i="19"/>
  <c r="M33" i="19"/>
  <c r="M39" i="19"/>
  <c r="M31" i="19"/>
  <c r="M40" i="19"/>
  <c r="M22" i="19"/>
  <c r="B8" i="9"/>
  <c r="DV7" i="9"/>
  <c r="EE7" i="9"/>
  <c r="CC7" i="9"/>
  <c r="CL7" i="9"/>
  <c r="CU7" i="9"/>
  <c r="DD7" i="9"/>
  <c r="DM7" i="9"/>
  <c r="DO7" i="9"/>
  <c r="R7" i="9"/>
  <c r="AA7" i="9"/>
  <c r="AJ7" i="9"/>
  <c r="AS7" i="9"/>
  <c r="BB7" i="9"/>
  <c r="BK7" i="9"/>
  <c r="BT7" i="9"/>
  <c r="AB13" i="15"/>
  <c r="AD13" i="15"/>
  <c r="B9" i="9"/>
  <c r="DO5" i="9"/>
  <c r="M30" i="16"/>
  <c r="M23" i="16"/>
  <c r="M25" i="16"/>
  <c r="M29" i="16"/>
  <c r="M27" i="16"/>
  <c r="M22" i="16"/>
  <c r="M21" i="16"/>
  <c r="M20" i="16"/>
  <c r="M19" i="16"/>
  <c r="M24" i="16"/>
  <c r="A2584" i="17"/>
  <c r="A2490" i="17"/>
  <c r="A2396" i="17"/>
  <c r="A2302" i="17"/>
  <c r="A2208" i="17"/>
  <c r="A2114" i="17"/>
  <c r="A2020" i="17"/>
  <c r="A1926" i="17"/>
  <c r="A1832" i="17"/>
  <c r="A1738" i="17"/>
  <c r="A1644" i="17"/>
  <c r="A1550" i="17"/>
  <c r="A1456" i="17"/>
  <c r="A1362" i="17"/>
  <c r="A1268" i="17"/>
  <c r="A1174" i="17"/>
  <c r="A1080" i="17"/>
  <c r="A986" i="17"/>
  <c r="A892" i="17"/>
  <c r="A798" i="17"/>
  <c r="A704" i="17"/>
  <c r="A610" i="17"/>
  <c r="A516" i="17"/>
  <c r="A422" i="17"/>
  <c r="A328" i="17"/>
  <c r="A234" i="17"/>
  <c r="A140" i="17"/>
  <c r="A46" i="17"/>
  <c r="A2537" i="17"/>
  <c r="A2443" i="17"/>
  <c r="A2349" i="17"/>
  <c r="A2255" i="17"/>
  <c r="A2161" i="17"/>
  <c r="A2067" i="17"/>
  <c r="A1973" i="17"/>
  <c r="A1879" i="17"/>
  <c r="A1785" i="17"/>
  <c r="A1691" i="17"/>
  <c r="A1597" i="17"/>
  <c r="A1503" i="17"/>
  <c r="A1409" i="17"/>
  <c r="A1315" i="17"/>
  <c r="A1221" i="17"/>
  <c r="A1127" i="17"/>
  <c r="A1033" i="17"/>
  <c r="A939" i="17"/>
  <c r="A845" i="17"/>
  <c r="A751" i="17"/>
  <c r="A657" i="17"/>
  <c r="A563" i="17"/>
  <c r="A469" i="17"/>
  <c r="A375" i="17"/>
  <c r="A281" i="17"/>
  <c r="A187" i="17"/>
  <c r="A93" i="17"/>
  <c r="B9" i="1"/>
  <c r="AB15" i="15"/>
  <c r="AD15" i="15"/>
  <c r="AA9" i="9"/>
  <c r="BK9" i="9"/>
  <c r="CU9" i="9"/>
  <c r="DV9" i="9"/>
  <c r="AJ9" i="9"/>
  <c r="BT9" i="9"/>
  <c r="DD9" i="9"/>
  <c r="EE9" i="9"/>
  <c r="AS9" i="9"/>
  <c r="CC9" i="9"/>
  <c r="DM9" i="9"/>
  <c r="DO9" i="9"/>
  <c r="R9" i="9"/>
  <c r="BB9" i="9"/>
  <c r="CL9" i="9"/>
  <c r="R8" i="9"/>
  <c r="AA8" i="9"/>
  <c r="AJ8" i="9"/>
  <c r="AS8" i="9"/>
  <c r="BB8" i="9"/>
  <c r="BK8" i="9"/>
  <c r="BT8" i="9"/>
  <c r="CC8" i="9"/>
  <c r="CL8" i="9"/>
  <c r="CU8" i="9"/>
  <c r="DD8" i="9"/>
  <c r="DM8" i="9"/>
  <c r="DV8" i="9"/>
  <c r="EE8" i="9"/>
  <c r="AB14" i="15"/>
  <c r="AD14" i="15"/>
  <c r="B10" i="9"/>
  <c r="B10" i="1"/>
  <c r="B11" i="1"/>
  <c r="R10" i="9"/>
  <c r="AA10" i="9"/>
  <c r="AJ10" i="9"/>
  <c r="AS10" i="9"/>
  <c r="BB10" i="9"/>
  <c r="BK10" i="9"/>
  <c r="BT10" i="9"/>
  <c r="CC10" i="9"/>
  <c r="CL10" i="9"/>
  <c r="CU10" i="9"/>
  <c r="DD10" i="9"/>
  <c r="DM10" i="9"/>
  <c r="DO10" i="9"/>
  <c r="DV10" i="9"/>
  <c r="EE10" i="9"/>
  <c r="AB16" i="15"/>
  <c r="AD16" i="15"/>
  <c r="B11" i="9"/>
  <c r="DO8" i="9"/>
  <c r="B12" i="9"/>
  <c r="B12" i="1"/>
  <c r="DV11" i="9"/>
  <c r="EE11" i="9"/>
  <c r="R11" i="9"/>
  <c r="AA11" i="9"/>
  <c r="AJ11" i="9"/>
  <c r="AS11" i="9"/>
  <c r="BB11" i="9"/>
  <c r="BK11" i="9"/>
  <c r="BT11" i="9"/>
  <c r="CC11" i="9"/>
  <c r="CL11" i="9"/>
  <c r="CU11" i="9"/>
  <c r="DD11" i="9"/>
  <c r="DM11" i="9"/>
  <c r="AB17" i="15"/>
  <c r="AD17" i="15"/>
  <c r="R12" i="9"/>
  <c r="AA12" i="9"/>
  <c r="AJ12" i="9"/>
  <c r="AS12" i="9"/>
  <c r="BB12" i="9"/>
  <c r="BK12" i="9"/>
  <c r="BT12" i="9"/>
  <c r="CC12" i="9"/>
  <c r="CL12" i="9"/>
  <c r="CU12" i="9"/>
  <c r="DD12" i="9"/>
  <c r="DM12" i="9"/>
  <c r="DO12" i="9"/>
  <c r="DV12" i="9"/>
  <c r="EE12" i="9"/>
  <c r="AB18" i="15"/>
  <c r="AD18" i="15"/>
  <c r="B13" i="9"/>
  <c r="B14" i="9"/>
  <c r="B13" i="1"/>
  <c r="R14" i="9"/>
  <c r="AA14" i="9"/>
  <c r="AJ14" i="9"/>
  <c r="AS14" i="9"/>
  <c r="BB14" i="9"/>
  <c r="BK14" i="9"/>
  <c r="BT14" i="9"/>
  <c r="CC14" i="9"/>
  <c r="CL14" i="9"/>
  <c r="CU14" i="9"/>
  <c r="DD14" i="9"/>
  <c r="DM14" i="9"/>
  <c r="DO14" i="9"/>
  <c r="DV14" i="9"/>
  <c r="EE14" i="9"/>
  <c r="AB20" i="15"/>
  <c r="AD20" i="15"/>
  <c r="B15" i="9"/>
  <c r="AB19" i="15"/>
  <c r="AD19" i="15"/>
  <c r="EE13" i="9"/>
  <c r="AS13" i="9"/>
  <c r="CC13" i="9"/>
  <c r="DM13" i="9"/>
  <c r="DO13" i="9"/>
  <c r="R13" i="9"/>
  <c r="BB13" i="9"/>
  <c r="CL13" i="9"/>
  <c r="AA13" i="9"/>
  <c r="BK13" i="9"/>
  <c r="CU13" i="9"/>
  <c r="DV13" i="9"/>
  <c r="AJ13" i="9"/>
  <c r="BT13" i="9"/>
  <c r="DD13" i="9"/>
  <c r="B16" i="9"/>
  <c r="B17" i="9"/>
  <c r="B18" i="9"/>
  <c r="DO11" i="9"/>
  <c r="B14" i="1"/>
  <c r="AS18" i="9"/>
  <c r="R18" i="9"/>
  <c r="CL18" i="9"/>
  <c r="BT18" i="9"/>
  <c r="BB18" i="9"/>
  <c r="DD18" i="9"/>
  <c r="AJ18" i="9"/>
  <c r="AB24" i="15"/>
  <c r="AD24" i="15"/>
  <c r="AA18" i="9"/>
  <c r="EE18" i="9"/>
  <c r="DM18" i="9"/>
  <c r="DO18" i="9"/>
  <c r="CC18" i="9"/>
  <c r="CU18" i="9"/>
  <c r="DV18" i="9"/>
  <c r="BK18" i="9"/>
  <c r="B19" i="9"/>
  <c r="DV15" i="9"/>
  <c r="EE15" i="9"/>
  <c r="R15" i="9"/>
  <c r="AA15" i="9"/>
  <c r="AJ15" i="9"/>
  <c r="AS15" i="9"/>
  <c r="BB15" i="9"/>
  <c r="BK15" i="9"/>
  <c r="BT15" i="9"/>
  <c r="CC15" i="9"/>
  <c r="CL15" i="9"/>
  <c r="CU15" i="9"/>
  <c r="DD15" i="9"/>
  <c r="DM15" i="9"/>
  <c r="AB21" i="15"/>
  <c r="AD21" i="15"/>
  <c r="AB23" i="15"/>
  <c r="AD23" i="15"/>
  <c r="AA17" i="9"/>
  <c r="BK17" i="9"/>
  <c r="CU17" i="9"/>
  <c r="DV17" i="9"/>
  <c r="AJ17" i="9"/>
  <c r="BT17" i="9"/>
  <c r="DD17" i="9"/>
  <c r="EE17" i="9"/>
  <c r="AS17" i="9"/>
  <c r="CC17" i="9"/>
  <c r="DM17" i="9"/>
  <c r="DO17" i="9"/>
  <c r="R17" i="9"/>
  <c r="BB17" i="9"/>
  <c r="CL17" i="9"/>
  <c r="R16" i="9"/>
  <c r="AA16" i="9"/>
  <c r="AJ16" i="9"/>
  <c r="AS16" i="9"/>
  <c r="BB16" i="9"/>
  <c r="BK16" i="9"/>
  <c r="BT16" i="9"/>
  <c r="CC16" i="9"/>
  <c r="CL16" i="9"/>
  <c r="CU16" i="9"/>
  <c r="DD16" i="9"/>
  <c r="DM16" i="9"/>
  <c r="DO16" i="9"/>
  <c r="DV16" i="9"/>
  <c r="EE16" i="9"/>
  <c r="AB22" i="15"/>
  <c r="AD22" i="15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EE19" i="9"/>
  <c r="AB25" i="15"/>
  <c r="AD25" i="15"/>
  <c r="R19" i="9"/>
  <c r="DV19" i="9"/>
  <c r="BT19" i="9"/>
  <c r="BK19" i="9"/>
  <c r="DM19" i="9"/>
  <c r="DO19" i="9"/>
  <c r="AJ19" i="9"/>
  <c r="AA19" i="9"/>
  <c r="CL19" i="9"/>
  <c r="CC19" i="9"/>
  <c r="BB19" i="9"/>
  <c r="AS19" i="9"/>
  <c r="DD19" i="9"/>
  <c r="CU19" i="9"/>
  <c r="B20" i="9"/>
  <c r="DO15" i="9"/>
  <c r="B3" i="27"/>
  <c r="W10" i="8"/>
  <c r="A8" i="4"/>
  <c r="E48" i="17"/>
  <c r="A10" i="2"/>
  <c r="R20" i="9"/>
  <c r="AA20" i="9"/>
  <c r="AJ20" i="9"/>
  <c r="AS20" i="9"/>
  <c r="BB20" i="9"/>
  <c r="BK20" i="9"/>
  <c r="BT20" i="9"/>
  <c r="CC20" i="9"/>
  <c r="CL20" i="9"/>
  <c r="CU20" i="9"/>
  <c r="DD20" i="9"/>
  <c r="DM20" i="9"/>
  <c r="DV20" i="9"/>
  <c r="EE20" i="9"/>
  <c r="AB26" i="15"/>
  <c r="AD26" i="15"/>
  <c r="B21" i="9"/>
  <c r="A38" i="17"/>
  <c r="A35" i="17"/>
  <c r="D31" i="17"/>
  <c r="E95" i="17"/>
  <c r="C10" i="17"/>
  <c r="A36" i="17"/>
  <c r="D10" i="17"/>
  <c r="A37" i="17"/>
  <c r="C9" i="17"/>
  <c r="K10" i="2"/>
  <c r="A11" i="2"/>
  <c r="J10" i="2"/>
  <c r="B10" i="2"/>
  <c r="H10" i="2"/>
  <c r="C10" i="2"/>
  <c r="G10" i="2"/>
  <c r="I10" i="2"/>
  <c r="F10" i="2"/>
  <c r="E10" i="2"/>
  <c r="D10" i="2"/>
  <c r="B8" i="4"/>
  <c r="F8" i="4"/>
  <c r="Q8" i="4"/>
  <c r="D23" i="17"/>
  <c r="E8" i="4"/>
  <c r="R8" i="4"/>
  <c r="S8" i="4"/>
  <c r="T8" i="4"/>
  <c r="D25" i="17"/>
  <c r="O8" i="4"/>
  <c r="D21" i="17"/>
  <c r="C8" i="4"/>
  <c r="J8" i="4"/>
  <c r="D16" i="17"/>
  <c r="D8" i="4"/>
  <c r="K8" i="4"/>
  <c r="D17" i="17"/>
  <c r="M8" i="4"/>
  <c r="D19" i="17"/>
  <c r="I8" i="4"/>
  <c r="D15" i="17"/>
  <c r="AG8" i="4"/>
  <c r="A9" i="4"/>
  <c r="H8" i="4"/>
  <c r="D14" i="17"/>
  <c r="N8" i="4"/>
  <c r="D20" i="17"/>
  <c r="P8" i="4"/>
  <c r="D22" i="17"/>
  <c r="G8" i="4"/>
  <c r="D13" i="17"/>
  <c r="L8" i="4"/>
  <c r="D18" i="17"/>
  <c r="U8" i="4"/>
  <c r="D26" i="17"/>
  <c r="W11" i="8"/>
  <c r="X10" i="8"/>
  <c r="Y10" i="8"/>
  <c r="E3" i="27"/>
  <c r="F3" i="27"/>
  <c r="D3" i="27"/>
  <c r="B4" i="27"/>
  <c r="AB27" i="15"/>
  <c r="AD27" i="15"/>
  <c r="EE21" i="9"/>
  <c r="AS21" i="9"/>
  <c r="CC21" i="9"/>
  <c r="DM21" i="9"/>
  <c r="DO21" i="9"/>
  <c r="R21" i="9"/>
  <c r="BB21" i="9"/>
  <c r="CL21" i="9"/>
  <c r="AA21" i="9"/>
  <c r="BK21" i="9"/>
  <c r="CU21" i="9"/>
  <c r="DV21" i="9"/>
  <c r="AJ21" i="9"/>
  <c r="BT21" i="9"/>
  <c r="DD21" i="9"/>
  <c r="B22" i="9"/>
  <c r="DO20" i="9"/>
  <c r="C3" i="27"/>
  <c r="AW3" i="27"/>
  <c r="AX3" i="27"/>
  <c r="AY3" i="27"/>
  <c r="G9" i="4"/>
  <c r="D60" i="17"/>
  <c r="O9" i="4"/>
  <c r="D68" i="17"/>
  <c r="K9" i="4"/>
  <c r="D64" i="17"/>
  <c r="A10" i="4"/>
  <c r="E9" i="4"/>
  <c r="T9" i="4"/>
  <c r="D72" i="17"/>
  <c r="AG9" i="4"/>
  <c r="C9" i="4"/>
  <c r="H9" i="4"/>
  <c r="D61" i="17"/>
  <c r="P9" i="4"/>
  <c r="D69" i="17"/>
  <c r="N9" i="4"/>
  <c r="D67" i="17"/>
  <c r="D9" i="4"/>
  <c r="R9" i="4"/>
  <c r="S9" i="4"/>
  <c r="L9" i="4"/>
  <c r="D65" i="17"/>
  <c r="Q9" i="4"/>
  <c r="D70" i="17"/>
  <c r="B9" i="4"/>
  <c r="U9" i="4"/>
  <c r="D73" i="17"/>
  <c r="I9" i="4"/>
  <c r="D62" i="17"/>
  <c r="J9" i="4"/>
  <c r="D63" i="17"/>
  <c r="M9" i="4"/>
  <c r="D66" i="17"/>
  <c r="F9" i="4"/>
  <c r="J11" i="2"/>
  <c r="A12" i="2"/>
  <c r="G11" i="2"/>
  <c r="F11" i="2"/>
  <c r="C11" i="2"/>
  <c r="H11" i="2"/>
  <c r="E11" i="2"/>
  <c r="D11" i="2"/>
  <c r="B11" i="2"/>
  <c r="K11" i="2"/>
  <c r="I11" i="2"/>
  <c r="W12" i="8"/>
  <c r="X11" i="8"/>
  <c r="Y11" i="8"/>
  <c r="D4" i="27"/>
  <c r="B5" i="27"/>
  <c r="E4" i="27"/>
  <c r="F4" i="27"/>
  <c r="V8" i="4"/>
  <c r="D24" i="17"/>
  <c r="E142" i="17"/>
  <c r="A82" i="17"/>
  <c r="D78" i="17"/>
  <c r="A85" i="17"/>
  <c r="A83" i="17"/>
  <c r="C57" i="17"/>
  <c r="C56" i="17"/>
  <c r="D57" i="17"/>
  <c r="A84" i="17"/>
  <c r="R22" i="9"/>
  <c r="AA22" i="9"/>
  <c r="AJ22" i="9"/>
  <c r="AS22" i="9"/>
  <c r="BB22" i="9"/>
  <c r="DV22" i="9"/>
  <c r="EE22" i="9"/>
  <c r="BK22" i="9"/>
  <c r="BT22" i="9"/>
  <c r="CC22" i="9"/>
  <c r="CL22" i="9"/>
  <c r="CU22" i="9"/>
  <c r="DD22" i="9"/>
  <c r="DM22" i="9"/>
  <c r="DO22" i="9"/>
  <c r="AB28" i="15"/>
  <c r="AD28" i="15"/>
  <c r="B23" i="9"/>
  <c r="CG3" i="27"/>
  <c r="CH3" i="27"/>
  <c r="CI3" i="27"/>
  <c r="Y3" i="27"/>
  <c r="Z3" i="27"/>
  <c r="AA3" i="27"/>
  <c r="S3" i="27"/>
  <c r="T3" i="27"/>
  <c r="U3" i="27"/>
  <c r="G3" i="27"/>
  <c r="H3" i="27"/>
  <c r="I3" i="27"/>
  <c r="AE3" i="27"/>
  <c r="AF3" i="27"/>
  <c r="AG3" i="27"/>
  <c r="M3" i="27"/>
  <c r="N3" i="27"/>
  <c r="O3" i="27"/>
  <c r="BC3" i="27"/>
  <c r="BD3" i="27"/>
  <c r="BE3" i="27"/>
  <c r="CA3" i="27"/>
  <c r="CB3" i="27"/>
  <c r="CC3" i="27"/>
  <c r="BO3" i="27"/>
  <c r="BP3" i="27"/>
  <c r="BQ3" i="27"/>
  <c r="D71" i="17"/>
  <c r="BI3" i="27"/>
  <c r="BJ3" i="27"/>
  <c r="BK3" i="27"/>
  <c r="BU3" i="27"/>
  <c r="BV3" i="27"/>
  <c r="BW3" i="27"/>
  <c r="AQ3" i="27"/>
  <c r="AR3" i="27"/>
  <c r="AS3" i="27"/>
  <c r="AK3" i="27"/>
  <c r="AL3" i="27"/>
  <c r="AM3" i="27"/>
  <c r="C4" i="27"/>
  <c r="G4" i="27"/>
  <c r="H4" i="27"/>
  <c r="I4" i="27"/>
  <c r="D5" i="27"/>
  <c r="B6" i="27"/>
  <c r="F5" i="27"/>
  <c r="E5" i="27"/>
  <c r="L10" i="4"/>
  <c r="D112" i="17"/>
  <c r="B10" i="4"/>
  <c r="A11" i="4"/>
  <c r="R10" i="4"/>
  <c r="S10" i="4"/>
  <c r="C10" i="4"/>
  <c r="D10" i="4"/>
  <c r="M10" i="4"/>
  <c r="D113" i="17"/>
  <c r="J10" i="4"/>
  <c r="D110" i="17"/>
  <c r="AG10" i="4"/>
  <c r="U10" i="4"/>
  <c r="D120" i="17"/>
  <c r="P10" i="4"/>
  <c r="D116" i="17"/>
  <c r="K10" i="4"/>
  <c r="D111" i="17"/>
  <c r="H10" i="4"/>
  <c r="D108" i="17"/>
  <c r="F10" i="4"/>
  <c r="O10" i="4"/>
  <c r="D115" i="17"/>
  <c r="N10" i="4"/>
  <c r="D114" i="17"/>
  <c r="G10" i="4"/>
  <c r="D107" i="17"/>
  <c r="Q10" i="4"/>
  <c r="D117" i="17"/>
  <c r="E10" i="4"/>
  <c r="I10" i="4"/>
  <c r="D109" i="17"/>
  <c r="T10" i="4"/>
  <c r="D119" i="17"/>
  <c r="A131" i="17"/>
  <c r="D104" i="17"/>
  <c r="A129" i="17"/>
  <c r="A132" i="17"/>
  <c r="A130" i="17"/>
  <c r="C104" i="17"/>
  <c r="D125" i="17"/>
  <c r="E189" i="17"/>
  <c r="C103" i="17"/>
  <c r="X12" i="8"/>
  <c r="Y12" i="8"/>
  <c r="W13" i="8"/>
  <c r="W8" i="4"/>
  <c r="D27" i="17"/>
  <c r="J12" i="2"/>
  <c r="A13" i="2"/>
  <c r="K12" i="2"/>
  <c r="G12" i="2"/>
  <c r="I12" i="2"/>
  <c r="E12" i="2"/>
  <c r="F12" i="2"/>
  <c r="H12" i="2"/>
  <c r="C12" i="2"/>
  <c r="B12" i="2"/>
  <c r="D12" i="2"/>
  <c r="V9" i="4"/>
  <c r="R23" i="9"/>
  <c r="AA23" i="9"/>
  <c r="AJ23" i="9"/>
  <c r="AS23" i="9"/>
  <c r="BB23" i="9"/>
  <c r="BK23" i="9"/>
  <c r="BT23" i="9"/>
  <c r="CC23" i="9"/>
  <c r="CL23" i="9"/>
  <c r="CU23" i="9"/>
  <c r="DD23" i="9"/>
  <c r="DM23" i="9"/>
  <c r="DO23" i="9"/>
  <c r="DV23" i="9"/>
  <c r="EE23" i="9"/>
  <c r="AB29" i="15"/>
  <c r="AD29" i="15"/>
  <c r="B24" i="9"/>
  <c r="D118" i="17"/>
  <c r="AE4" i="27"/>
  <c r="AF4" i="27"/>
  <c r="AG4" i="27"/>
  <c r="S4" i="27"/>
  <c r="T4" i="27"/>
  <c r="U4" i="27"/>
  <c r="CA4" i="27"/>
  <c r="CB4" i="27"/>
  <c r="CC4" i="27"/>
  <c r="CG4" i="27"/>
  <c r="CH4" i="27"/>
  <c r="CI4" i="27"/>
  <c r="AK4" i="27"/>
  <c r="AL4" i="27"/>
  <c r="AM4" i="27"/>
  <c r="BC4" i="27"/>
  <c r="BD4" i="27"/>
  <c r="BE4" i="27"/>
  <c r="C5" i="27"/>
  <c r="AQ5" i="27"/>
  <c r="AR5" i="27"/>
  <c r="AS5" i="27"/>
  <c r="BU4" i="27"/>
  <c r="BV4" i="27"/>
  <c r="BW4" i="27"/>
  <c r="BO4" i="27"/>
  <c r="BP4" i="27"/>
  <c r="BQ4" i="27"/>
  <c r="BI4" i="27"/>
  <c r="BJ4" i="27"/>
  <c r="BK4" i="27"/>
  <c r="AQ4" i="27"/>
  <c r="AR4" i="27"/>
  <c r="AS4" i="27"/>
  <c r="Y4" i="27"/>
  <c r="Z4" i="27"/>
  <c r="AA4" i="27"/>
  <c r="M4" i="27"/>
  <c r="N4" i="27"/>
  <c r="O4" i="27"/>
  <c r="AW4" i="27"/>
  <c r="AX4" i="27"/>
  <c r="AY4" i="27"/>
  <c r="E236" i="17"/>
  <c r="C151" i="17"/>
  <c r="D172" i="17"/>
  <c r="C150" i="17"/>
  <c r="D151" i="17"/>
  <c r="A179" i="17"/>
  <c r="A177" i="17"/>
  <c r="A178" i="17"/>
  <c r="A176" i="17"/>
  <c r="V10" i="4"/>
  <c r="F13" i="2"/>
  <c r="E13" i="2"/>
  <c r="G13" i="2"/>
  <c r="I13" i="2"/>
  <c r="B13" i="2"/>
  <c r="D13" i="2"/>
  <c r="C13" i="2"/>
  <c r="A14" i="2"/>
  <c r="H13" i="2"/>
  <c r="J13" i="2"/>
  <c r="K13" i="2"/>
  <c r="D30" i="17"/>
  <c r="Y8" i="4"/>
  <c r="AI8" i="4"/>
  <c r="X13" i="8"/>
  <c r="Y13" i="8"/>
  <c r="W14" i="8"/>
  <c r="C11" i="4"/>
  <c r="Q11" i="4"/>
  <c r="D164" i="17"/>
  <c r="D11" i="4"/>
  <c r="J11" i="4"/>
  <c r="D157" i="17"/>
  <c r="R11" i="4"/>
  <c r="S11" i="4"/>
  <c r="B11" i="4"/>
  <c r="P11" i="4"/>
  <c r="D163" i="17"/>
  <c r="I11" i="4"/>
  <c r="D156" i="17"/>
  <c r="A12" i="4"/>
  <c r="N11" i="4"/>
  <c r="D161" i="17"/>
  <c r="U11" i="4"/>
  <c r="D167" i="17"/>
  <c r="H11" i="4"/>
  <c r="D155" i="17"/>
  <c r="G11" i="4"/>
  <c r="D154" i="17"/>
  <c r="L11" i="4"/>
  <c r="D159" i="17"/>
  <c r="T11" i="4"/>
  <c r="D166" i="17"/>
  <c r="F11" i="4"/>
  <c r="AG11" i="4"/>
  <c r="M11" i="4"/>
  <c r="D160" i="17"/>
  <c r="K11" i="4"/>
  <c r="D158" i="17"/>
  <c r="E11" i="4"/>
  <c r="O11" i="4"/>
  <c r="D162" i="17"/>
  <c r="F6" i="27"/>
  <c r="E6" i="27"/>
  <c r="D6" i="27"/>
  <c r="B7" i="27"/>
  <c r="W9" i="4"/>
  <c r="AI9" i="4"/>
  <c r="D74" i="17"/>
  <c r="AH8" i="4"/>
  <c r="DV24" i="9"/>
  <c r="EE24" i="9"/>
  <c r="R24" i="9"/>
  <c r="AA24" i="9"/>
  <c r="AJ24" i="9"/>
  <c r="AS24" i="9"/>
  <c r="BB24" i="9"/>
  <c r="BK24" i="9"/>
  <c r="BT24" i="9"/>
  <c r="CC24" i="9"/>
  <c r="CL24" i="9"/>
  <c r="CU24" i="9"/>
  <c r="DD24" i="9"/>
  <c r="DM24" i="9"/>
  <c r="DO24" i="9"/>
  <c r="AB30" i="15"/>
  <c r="AD30" i="15"/>
  <c r="B25" i="9"/>
  <c r="Y5" i="27"/>
  <c r="Z5" i="27"/>
  <c r="AA5" i="27"/>
  <c r="G5" i="27"/>
  <c r="H5" i="27"/>
  <c r="I5" i="27"/>
  <c r="M5" i="27"/>
  <c r="N5" i="27"/>
  <c r="O5" i="27"/>
  <c r="BI5" i="27"/>
  <c r="BJ5" i="27"/>
  <c r="BK5" i="27"/>
  <c r="S5" i="27"/>
  <c r="T5" i="27"/>
  <c r="U5" i="27"/>
  <c r="CG5" i="27"/>
  <c r="CH5" i="27"/>
  <c r="CI5" i="27"/>
  <c r="AK5" i="27"/>
  <c r="AL5" i="27"/>
  <c r="AM5" i="27"/>
  <c r="CA5" i="27"/>
  <c r="CB5" i="27"/>
  <c r="CC5" i="27"/>
  <c r="AE5" i="27"/>
  <c r="AF5" i="27"/>
  <c r="AG5" i="27"/>
  <c r="BO5" i="27"/>
  <c r="BP5" i="27"/>
  <c r="BQ5" i="27"/>
  <c r="BC5" i="27"/>
  <c r="BD5" i="27"/>
  <c r="BE5" i="27"/>
  <c r="AW5" i="27"/>
  <c r="AX5" i="27"/>
  <c r="AY5" i="27"/>
  <c r="BU5" i="27"/>
  <c r="BV5" i="27"/>
  <c r="BW5" i="27"/>
  <c r="C6" i="27"/>
  <c r="CA6" i="27"/>
  <c r="CB6" i="27"/>
  <c r="CC6" i="27"/>
  <c r="AH9" i="4"/>
  <c r="H14" i="2"/>
  <c r="B14" i="2"/>
  <c r="A15" i="2"/>
  <c r="C14" i="2"/>
  <c r="E14" i="2"/>
  <c r="J14" i="2"/>
  <c r="D14" i="2"/>
  <c r="F14" i="2"/>
  <c r="K14" i="2"/>
  <c r="I14" i="2"/>
  <c r="G14" i="2"/>
  <c r="W10" i="4"/>
  <c r="AI10" i="4"/>
  <c r="D121" i="17"/>
  <c r="W15" i="8"/>
  <c r="X14" i="8"/>
  <c r="Y14" i="8"/>
  <c r="D165" i="17"/>
  <c r="Y9" i="4"/>
  <c r="D79" i="17"/>
  <c r="D77" i="17"/>
  <c r="E7" i="27"/>
  <c r="F7" i="27"/>
  <c r="B8" i="27"/>
  <c r="D7" i="27"/>
  <c r="E283" i="17"/>
  <c r="A224" i="17"/>
  <c r="A225" i="17"/>
  <c r="A223" i="17"/>
  <c r="C197" i="17"/>
  <c r="D198" i="17"/>
  <c r="A226" i="17"/>
  <c r="D219" i="17"/>
  <c r="C198" i="17"/>
  <c r="V11" i="4"/>
  <c r="T12" i="4"/>
  <c r="D213" i="17"/>
  <c r="H12" i="4"/>
  <c r="D202" i="17"/>
  <c r="M12" i="4"/>
  <c r="D207" i="17"/>
  <c r="F12" i="4"/>
  <c r="P12" i="4"/>
  <c r="D210" i="17"/>
  <c r="L12" i="4"/>
  <c r="D206" i="17"/>
  <c r="E12" i="4"/>
  <c r="K12" i="4"/>
  <c r="D205" i="17"/>
  <c r="N12" i="4"/>
  <c r="D208" i="17"/>
  <c r="R12" i="4"/>
  <c r="S12" i="4"/>
  <c r="A13" i="4"/>
  <c r="C12" i="4"/>
  <c r="I12" i="4"/>
  <c r="D203" i="17"/>
  <c r="J12" i="4"/>
  <c r="D204" i="17"/>
  <c r="B12" i="4"/>
  <c r="Q12" i="4"/>
  <c r="D211" i="17"/>
  <c r="AG12" i="4"/>
  <c r="G12" i="4"/>
  <c r="O12" i="4"/>
  <c r="D209" i="17"/>
  <c r="U12" i="4"/>
  <c r="D214" i="17"/>
  <c r="D12" i="4"/>
  <c r="D32" i="17"/>
  <c r="AB31" i="15"/>
  <c r="AD31" i="15"/>
  <c r="AS25" i="9"/>
  <c r="CC25" i="9"/>
  <c r="DM25" i="9"/>
  <c r="DO25" i="9"/>
  <c r="R25" i="9"/>
  <c r="BB25" i="9"/>
  <c r="CL25" i="9"/>
  <c r="DV25" i="9"/>
  <c r="AA25" i="9"/>
  <c r="BK25" i="9"/>
  <c r="CU25" i="9"/>
  <c r="EE25" i="9"/>
  <c r="AJ25" i="9"/>
  <c r="BT25" i="9"/>
  <c r="DD25" i="9"/>
  <c r="B26" i="9"/>
  <c r="CG6" i="27"/>
  <c r="CH6" i="27"/>
  <c r="CI6" i="27"/>
  <c r="M6" i="27"/>
  <c r="N6" i="27"/>
  <c r="O6" i="27"/>
  <c r="AW6" i="27"/>
  <c r="AX6" i="27"/>
  <c r="AY6" i="27"/>
  <c r="BU6" i="27"/>
  <c r="BV6" i="27"/>
  <c r="BW6" i="27"/>
  <c r="AH10" i="4"/>
  <c r="BO6" i="27"/>
  <c r="BP6" i="27"/>
  <c r="BQ6" i="27"/>
  <c r="AQ6" i="27"/>
  <c r="AR6" i="27"/>
  <c r="AS6" i="27"/>
  <c r="AE6" i="27"/>
  <c r="AF6" i="27"/>
  <c r="AG6" i="27"/>
  <c r="G6" i="27"/>
  <c r="H6" i="27"/>
  <c r="I6" i="27"/>
  <c r="Y6" i="27"/>
  <c r="Z6" i="27"/>
  <c r="AA6" i="27"/>
  <c r="BC6" i="27"/>
  <c r="BD6" i="27"/>
  <c r="BE6" i="27"/>
  <c r="AK6" i="27"/>
  <c r="AL6" i="27"/>
  <c r="AM6" i="27"/>
  <c r="BI6" i="27"/>
  <c r="BJ6" i="27"/>
  <c r="BK6" i="27"/>
  <c r="S6" i="27"/>
  <c r="T6" i="27"/>
  <c r="U6" i="27"/>
  <c r="C7" i="27"/>
  <c r="BO7" i="27"/>
  <c r="BP7" i="27"/>
  <c r="BQ7" i="27"/>
  <c r="V12" i="4"/>
  <c r="D201" i="17"/>
  <c r="X15" i="8"/>
  <c r="Y15" i="8"/>
  <c r="W16" i="8"/>
  <c r="K15" i="2"/>
  <c r="D15" i="2"/>
  <c r="C15" i="2"/>
  <c r="I15" i="2"/>
  <c r="F15" i="2"/>
  <c r="J15" i="2"/>
  <c r="A16" i="2"/>
  <c r="B15" i="2"/>
  <c r="G15" i="2"/>
  <c r="H15" i="2"/>
  <c r="E15" i="2"/>
  <c r="C245" i="17"/>
  <c r="A272" i="17"/>
  <c r="D266" i="17"/>
  <c r="C244" i="17"/>
  <c r="A270" i="17"/>
  <c r="A271" i="17"/>
  <c r="E330" i="17"/>
  <c r="A273" i="17"/>
  <c r="D245" i="17"/>
  <c r="O13" i="4"/>
  <c r="D256" i="17"/>
  <c r="H13" i="4"/>
  <c r="D249" i="17"/>
  <c r="P13" i="4"/>
  <c r="D257" i="17"/>
  <c r="M13" i="4"/>
  <c r="D254" i="17"/>
  <c r="N13" i="4"/>
  <c r="D255" i="17"/>
  <c r="Q13" i="4"/>
  <c r="D258" i="17"/>
  <c r="E13" i="4"/>
  <c r="AG13" i="4"/>
  <c r="G13" i="4"/>
  <c r="C13" i="4"/>
  <c r="F13" i="4"/>
  <c r="D13" i="4"/>
  <c r="T13" i="4"/>
  <c r="D260" i="17"/>
  <c r="U13" i="4"/>
  <c r="D261" i="17"/>
  <c r="I13" i="4"/>
  <c r="D250" i="17"/>
  <c r="B13" i="4"/>
  <c r="L13" i="4"/>
  <c r="D253" i="17"/>
  <c r="R13" i="4"/>
  <c r="S13" i="4"/>
  <c r="A14" i="4"/>
  <c r="J13" i="4"/>
  <c r="D251" i="17"/>
  <c r="K13" i="4"/>
  <c r="D252" i="17"/>
  <c r="W11" i="4"/>
  <c r="AI11" i="4"/>
  <c r="D168" i="17"/>
  <c r="D212" i="17"/>
  <c r="D8" i="27"/>
  <c r="B9" i="27"/>
  <c r="E8" i="27"/>
  <c r="F8" i="27"/>
  <c r="Y10" i="4"/>
  <c r="D124" i="17"/>
  <c r="DV26" i="9"/>
  <c r="EE26" i="9"/>
  <c r="R26" i="9"/>
  <c r="AA26" i="9"/>
  <c r="AJ26" i="9"/>
  <c r="AS26" i="9"/>
  <c r="BB26" i="9"/>
  <c r="BK26" i="9"/>
  <c r="BT26" i="9"/>
  <c r="CC26" i="9"/>
  <c r="CL26" i="9"/>
  <c r="CU26" i="9"/>
  <c r="DD26" i="9"/>
  <c r="DM26" i="9"/>
  <c r="DO26" i="9"/>
  <c r="AB32" i="15"/>
  <c r="AD32" i="15"/>
  <c r="B27" i="9"/>
  <c r="CG7" i="27"/>
  <c r="CH7" i="27"/>
  <c r="CI7" i="27"/>
  <c r="AK7" i="27"/>
  <c r="AL7" i="27"/>
  <c r="AM7" i="27"/>
  <c r="Y7" i="27"/>
  <c r="Z7" i="27"/>
  <c r="AA7" i="27"/>
  <c r="BI7" i="27"/>
  <c r="BJ7" i="27"/>
  <c r="BK7" i="27"/>
  <c r="CA7" i="27"/>
  <c r="CB7" i="27"/>
  <c r="CC7" i="27"/>
  <c r="BC7" i="27"/>
  <c r="BD7" i="27"/>
  <c r="BE7" i="27"/>
  <c r="G7" i="27"/>
  <c r="H7" i="27"/>
  <c r="I7" i="27"/>
  <c r="AW7" i="27"/>
  <c r="AX7" i="27"/>
  <c r="AY7" i="27"/>
  <c r="AE7" i="27"/>
  <c r="AF7" i="27"/>
  <c r="AG7" i="27"/>
  <c r="M7" i="27"/>
  <c r="N7" i="27"/>
  <c r="O7" i="27"/>
  <c r="S7" i="27"/>
  <c r="T7" i="27"/>
  <c r="U7" i="27"/>
  <c r="AQ7" i="27"/>
  <c r="AR7" i="27"/>
  <c r="AS7" i="27"/>
  <c r="BU7" i="27"/>
  <c r="BV7" i="27"/>
  <c r="BW7" i="27"/>
  <c r="C8" i="27"/>
  <c r="BI8" i="27"/>
  <c r="BJ8" i="27"/>
  <c r="BK8" i="27"/>
  <c r="AH11" i="4"/>
  <c r="D9" i="27"/>
  <c r="B10" i="27"/>
  <c r="F9" i="27"/>
  <c r="E9" i="27"/>
  <c r="A319" i="17"/>
  <c r="A318" i="17"/>
  <c r="E377" i="17"/>
  <c r="C292" i="17"/>
  <c r="A317" i="17"/>
  <c r="C291" i="17"/>
  <c r="D292" i="17"/>
  <c r="A320" i="17"/>
  <c r="D313" i="17"/>
  <c r="K16" i="2"/>
  <c r="H16" i="2"/>
  <c r="B16" i="2"/>
  <c r="F16" i="2"/>
  <c r="A17" i="2"/>
  <c r="E16" i="2"/>
  <c r="I16" i="2"/>
  <c r="G16" i="2"/>
  <c r="C16" i="2"/>
  <c r="J16" i="2"/>
  <c r="D16" i="2"/>
  <c r="V13" i="4"/>
  <c r="D248" i="17"/>
  <c r="X16" i="8"/>
  <c r="Y16" i="8"/>
  <c r="W17" i="8"/>
  <c r="D126" i="17"/>
  <c r="D171" i="17"/>
  <c r="Y11" i="4"/>
  <c r="D173" i="17"/>
  <c r="M14" i="4"/>
  <c r="D301" i="17"/>
  <c r="J14" i="4"/>
  <c r="D298" i="17"/>
  <c r="G14" i="4"/>
  <c r="D295" i="17"/>
  <c r="U14" i="4"/>
  <c r="D308" i="17"/>
  <c r="H14" i="4"/>
  <c r="D296" i="17"/>
  <c r="K14" i="4"/>
  <c r="D299" i="17"/>
  <c r="L14" i="4"/>
  <c r="D300" i="17"/>
  <c r="AG14" i="4"/>
  <c r="D14" i="4"/>
  <c r="A15" i="4"/>
  <c r="Q14" i="4"/>
  <c r="D305" i="17"/>
  <c r="O14" i="4"/>
  <c r="D303" i="17"/>
  <c r="P14" i="4"/>
  <c r="D304" i="17"/>
  <c r="E14" i="4"/>
  <c r="C14" i="4"/>
  <c r="N14" i="4"/>
  <c r="D302" i="17"/>
  <c r="T14" i="4"/>
  <c r="D307" i="17"/>
  <c r="R14" i="4"/>
  <c r="S14" i="4"/>
  <c r="F14" i="4"/>
  <c r="B14" i="4"/>
  <c r="I14" i="4"/>
  <c r="D297" i="17"/>
  <c r="D259" i="17"/>
  <c r="W12" i="4"/>
  <c r="AH12" i="4"/>
  <c r="D215" i="17"/>
  <c r="DV27" i="9"/>
  <c r="EE27" i="9"/>
  <c r="R27" i="9"/>
  <c r="AA27" i="9"/>
  <c r="AJ27" i="9"/>
  <c r="AS27" i="9"/>
  <c r="BB27" i="9"/>
  <c r="BK27" i="9"/>
  <c r="BT27" i="9"/>
  <c r="CC27" i="9"/>
  <c r="CL27" i="9"/>
  <c r="CU27" i="9"/>
  <c r="DD27" i="9"/>
  <c r="DM27" i="9"/>
  <c r="DO27" i="9"/>
  <c r="AB33" i="15"/>
  <c r="AD33" i="15"/>
  <c r="B28" i="9"/>
  <c r="CA8" i="27"/>
  <c r="CB8" i="27"/>
  <c r="CC8" i="27"/>
  <c r="S8" i="27"/>
  <c r="T8" i="27"/>
  <c r="U8" i="27"/>
  <c r="BC8" i="27"/>
  <c r="BD8" i="27"/>
  <c r="BE8" i="27"/>
  <c r="BU8" i="27"/>
  <c r="BV8" i="27"/>
  <c r="BW8" i="27"/>
  <c r="AE8" i="27"/>
  <c r="AF8" i="27"/>
  <c r="AG8" i="27"/>
  <c r="G8" i="27"/>
  <c r="H8" i="27"/>
  <c r="I8" i="27"/>
  <c r="Y8" i="27"/>
  <c r="Z8" i="27"/>
  <c r="AA8" i="27"/>
  <c r="AK8" i="27"/>
  <c r="AL8" i="27"/>
  <c r="AM8" i="27"/>
  <c r="CG8" i="27"/>
  <c r="CH8" i="27"/>
  <c r="CI8" i="27"/>
  <c r="AW8" i="27"/>
  <c r="AX8" i="27"/>
  <c r="AY8" i="27"/>
  <c r="BO8" i="27"/>
  <c r="BP8" i="27"/>
  <c r="BQ8" i="27"/>
  <c r="AQ8" i="27"/>
  <c r="AR8" i="27"/>
  <c r="AS8" i="27"/>
  <c r="M8" i="27"/>
  <c r="N8" i="27"/>
  <c r="O8" i="27"/>
  <c r="C9" i="27"/>
  <c r="AQ9" i="27"/>
  <c r="AR9" i="27"/>
  <c r="AS9" i="27"/>
  <c r="D218" i="17"/>
  <c r="Y12" i="4"/>
  <c r="F10" i="27"/>
  <c r="D10" i="27"/>
  <c r="E10" i="27"/>
  <c r="B11" i="27"/>
  <c r="J15" i="4"/>
  <c r="D345" i="17"/>
  <c r="R15" i="4"/>
  <c r="S15" i="4"/>
  <c r="G15" i="4"/>
  <c r="D342" i="17"/>
  <c r="AG15" i="4"/>
  <c r="C15" i="4"/>
  <c r="K15" i="4"/>
  <c r="D346" i="17"/>
  <c r="Q15" i="4"/>
  <c r="D352" i="17"/>
  <c r="T15" i="4"/>
  <c r="D354" i="17"/>
  <c r="I15" i="4"/>
  <c r="D344" i="17"/>
  <c r="A16" i="4"/>
  <c r="P15" i="4"/>
  <c r="D351" i="17"/>
  <c r="M15" i="4"/>
  <c r="D348" i="17"/>
  <c r="F15" i="4"/>
  <c r="N15" i="4"/>
  <c r="D349" i="17"/>
  <c r="H15" i="4"/>
  <c r="D343" i="17"/>
  <c r="U15" i="4"/>
  <c r="D355" i="17"/>
  <c r="B15" i="4"/>
  <c r="E15" i="4"/>
  <c r="O15" i="4"/>
  <c r="D350" i="17"/>
  <c r="D15" i="4"/>
  <c r="L15" i="4"/>
  <c r="D347" i="17"/>
  <c r="V14" i="4"/>
  <c r="B17" i="2"/>
  <c r="J17" i="2"/>
  <c r="G17" i="2"/>
  <c r="K17" i="2"/>
  <c r="H17" i="2"/>
  <c r="D17" i="2"/>
  <c r="F17" i="2"/>
  <c r="E17" i="2"/>
  <c r="C17" i="2"/>
  <c r="I17" i="2"/>
  <c r="A18" i="2"/>
  <c r="D306" i="17"/>
  <c r="C338" i="17"/>
  <c r="A364" i="17"/>
  <c r="D339" i="17"/>
  <c r="C339" i="17"/>
  <c r="A366" i="17"/>
  <c r="A367" i="17"/>
  <c r="E424" i="17"/>
  <c r="A365" i="17"/>
  <c r="D360" i="17"/>
  <c r="AI12" i="4"/>
  <c r="X17" i="8"/>
  <c r="Y17" i="8"/>
  <c r="W18" i="8"/>
  <c r="W13" i="4"/>
  <c r="AI13" i="4"/>
  <c r="D262" i="17"/>
  <c r="DV28" i="9"/>
  <c r="EE28" i="9"/>
  <c r="R28" i="9"/>
  <c r="AA28" i="9"/>
  <c r="AJ28" i="9"/>
  <c r="AS28" i="9"/>
  <c r="BB28" i="9"/>
  <c r="BK28" i="9"/>
  <c r="BT28" i="9"/>
  <c r="CC28" i="9"/>
  <c r="CL28" i="9"/>
  <c r="CU28" i="9"/>
  <c r="DD28" i="9"/>
  <c r="DM28" i="9"/>
  <c r="DO28" i="9"/>
  <c r="AB34" i="15"/>
  <c r="AD34" i="15"/>
  <c r="B29" i="9"/>
  <c r="D353" i="17"/>
  <c r="CA9" i="27"/>
  <c r="CB9" i="27"/>
  <c r="CC9" i="27"/>
  <c r="M9" i="27"/>
  <c r="N9" i="27"/>
  <c r="O9" i="27"/>
  <c r="Y9" i="27"/>
  <c r="Z9" i="27"/>
  <c r="AA9" i="27"/>
  <c r="CG9" i="27"/>
  <c r="CH9" i="27"/>
  <c r="CI9" i="27"/>
  <c r="BU9" i="27"/>
  <c r="BV9" i="27"/>
  <c r="BW9" i="27"/>
  <c r="BC9" i="27"/>
  <c r="BD9" i="27"/>
  <c r="BE9" i="27"/>
  <c r="S9" i="27"/>
  <c r="T9" i="27"/>
  <c r="U9" i="27"/>
  <c r="BI9" i="27"/>
  <c r="BJ9" i="27"/>
  <c r="BK9" i="27"/>
  <c r="AH13" i="4"/>
  <c r="AK9" i="27"/>
  <c r="AL9" i="27"/>
  <c r="AM9" i="27"/>
  <c r="C10" i="27"/>
  <c r="AK10" i="27"/>
  <c r="AL10" i="27"/>
  <c r="AM10" i="27"/>
  <c r="AE9" i="27"/>
  <c r="AF9" i="27"/>
  <c r="AG9" i="27"/>
  <c r="BO9" i="27"/>
  <c r="BP9" i="27"/>
  <c r="BQ9" i="27"/>
  <c r="AW9" i="27"/>
  <c r="AX9" i="27"/>
  <c r="AY9" i="27"/>
  <c r="G9" i="27"/>
  <c r="H9" i="27"/>
  <c r="I9" i="27"/>
  <c r="Y13" i="4"/>
  <c r="D265" i="17"/>
  <c r="W19" i="8"/>
  <c r="X18" i="8"/>
  <c r="Y18" i="8"/>
  <c r="L16" i="4"/>
  <c r="D394" i="17"/>
  <c r="U16" i="4"/>
  <c r="D402" i="17"/>
  <c r="I16" i="4"/>
  <c r="D391" i="17"/>
  <c r="Q16" i="4"/>
  <c r="D399" i="17"/>
  <c r="N16" i="4"/>
  <c r="D396" i="17"/>
  <c r="G16" i="4"/>
  <c r="D389" i="17"/>
  <c r="D16" i="4"/>
  <c r="B16" i="4"/>
  <c r="H16" i="4"/>
  <c r="D390" i="17"/>
  <c r="J16" i="4"/>
  <c r="D392" i="17"/>
  <c r="AG16" i="4"/>
  <c r="A17" i="4"/>
  <c r="M16" i="4"/>
  <c r="D395" i="17"/>
  <c r="O16" i="4"/>
  <c r="D397" i="17"/>
  <c r="E16" i="4"/>
  <c r="K16" i="4"/>
  <c r="D393" i="17"/>
  <c r="C16" i="4"/>
  <c r="P16" i="4"/>
  <c r="D398" i="17"/>
  <c r="T16" i="4"/>
  <c r="D401" i="17"/>
  <c r="F16" i="4"/>
  <c r="R16" i="4"/>
  <c r="S16" i="4"/>
  <c r="C385" i="17"/>
  <c r="E471" i="17"/>
  <c r="C386" i="17"/>
  <c r="A412" i="17"/>
  <c r="D386" i="17"/>
  <c r="A414" i="17"/>
  <c r="A411" i="17"/>
  <c r="D407" i="17"/>
  <c r="A413" i="17"/>
  <c r="W14" i="4"/>
  <c r="AI14" i="4"/>
  <c r="D309" i="17"/>
  <c r="E11" i="27"/>
  <c r="F11" i="27"/>
  <c r="D11" i="27"/>
  <c r="B12" i="27"/>
  <c r="D220" i="17"/>
  <c r="H18" i="2"/>
  <c r="C18" i="2"/>
  <c r="G18" i="2"/>
  <c r="J18" i="2"/>
  <c r="I18" i="2"/>
  <c r="E18" i="2"/>
  <c r="K18" i="2"/>
  <c r="B18" i="2"/>
  <c r="F18" i="2"/>
  <c r="D18" i="2"/>
  <c r="A19" i="2"/>
  <c r="V15" i="4"/>
  <c r="AB35" i="15"/>
  <c r="AD35" i="15"/>
  <c r="AA29" i="9"/>
  <c r="BK29" i="9"/>
  <c r="CU29" i="9"/>
  <c r="DM29" i="9"/>
  <c r="DO29" i="9"/>
  <c r="AJ29" i="9"/>
  <c r="BT29" i="9"/>
  <c r="DD29" i="9"/>
  <c r="AS29" i="9"/>
  <c r="CC29" i="9"/>
  <c r="DV29" i="9"/>
  <c r="R29" i="9"/>
  <c r="BB29" i="9"/>
  <c r="CL29" i="9"/>
  <c r="EE29" i="9"/>
  <c r="B30" i="9"/>
  <c r="S10" i="27"/>
  <c r="T10" i="27"/>
  <c r="U10" i="27"/>
  <c r="BO10" i="27"/>
  <c r="BP10" i="27"/>
  <c r="BQ10" i="27"/>
  <c r="CG10" i="27"/>
  <c r="CH10" i="27"/>
  <c r="CI10" i="27"/>
  <c r="Y10" i="27"/>
  <c r="Z10" i="27"/>
  <c r="AA10" i="27"/>
  <c r="G10" i="27"/>
  <c r="H10" i="27"/>
  <c r="I10" i="27"/>
  <c r="AE10" i="27"/>
  <c r="AF10" i="27"/>
  <c r="AG10" i="27"/>
  <c r="CA10" i="27"/>
  <c r="CB10" i="27"/>
  <c r="CC10" i="27"/>
  <c r="M10" i="27"/>
  <c r="N10" i="27"/>
  <c r="O10" i="27"/>
  <c r="AW10" i="27"/>
  <c r="AX10" i="27"/>
  <c r="AY10" i="27"/>
  <c r="AQ10" i="27"/>
  <c r="AR10" i="27"/>
  <c r="AS10" i="27"/>
  <c r="BI10" i="27"/>
  <c r="BJ10" i="27"/>
  <c r="BK10" i="27"/>
  <c r="BC10" i="27"/>
  <c r="BD10" i="27"/>
  <c r="BE10" i="27"/>
  <c r="BU10" i="27"/>
  <c r="BV10" i="27"/>
  <c r="BW10" i="27"/>
  <c r="D400" i="17"/>
  <c r="AH14" i="4"/>
  <c r="C11" i="27"/>
  <c r="G11" i="27"/>
  <c r="H11" i="27"/>
  <c r="I11" i="27"/>
  <c r="F19" i="2"/>
  <c r="E19" i="2"/>
  <c r="H19" i="2"/>
  <c r="A20" i="2"/>
  <c r="D19" i="2"/>
  <c r="J19" i="2"/>
  <c r="K19" i="2"/>
  <c r="B19" i="2"/>
  <c r="C19" i="2"/>
  <c r="I19" i="2"/>
  <c r="G19" i="2"/>
  <c r="C17" i="4"/>
  <c r="A18" i="4"/>
  <c r="J17" i="4"/>
  <c r="D439" i="17"/>
  <c r="I17" i="4"/>
  <c r="D438" i="17"/>
  <c r="T17" i="4"/>
  <c r="D448" i="17"/>
  <c r="P17" i="4"/>
  <c r="D445" i="17"/>
  <c r="D17" i="4"/>
  <c r="N17" i="4"/>
  <c r="D443" i="17"/>
  <c r="K17" i="4"/>
  <c r="D440" i="17"/>
  <c r="H17" i="4"/>
  <c r="D437" i="17"/>
  <c r="B17" i="4"/>
  <c r="Q17" i="4"/>
  <c r="D446" i="17"/>
  <c r="O17" i="4"/>
  <c r="D444" i="17"/>
  <c r="U17" i="4"/>
  <c r="D449" i="17"/>
  <c r="AG17" i="4"/>
  <c r="L17" i="4"/>
  <c r="D441" i="17"/>
  <c r="F17" i="4"/>
  <c r="R17" i="4"/>
  <c r="S17" i="4"/>
  <c r="M17" i="4"/>
  <c r="D442" i="17"/>
  <c r="G17" i="4"/>
  <c r="D436" i="17"/>
  <c r="E17" i="4"/>
  <c r="D267" i="17"/>
  <c r="W20" i="8"/>
  <c r="X19" i="8"/>
  <c r="Y19" i="8"/>
  <c r="D312" i="17"/>
  <c r="Y14" i="4"/>
  <c r="C432" i="17"/>
  <c r="A458" i="17"/>
  <c r="E518" i="17"/>
  <c r="C433" i="17"/>
  <c r="A461" i="17"/>
  <c r="A459" i="17"/>
  <c r="D433" i="17"/>
  <c r="A460" i="17"/>
  <c r="D454" i="17"/>
  <c r="V16" i="4"/>
  <c r="W15" i="4"/>
  <c r="D356" i="17"/>
  <c r="D12" i="27"/>
  <c r="B13" i="27"/>
  <c r="E12" i="27"/>
  <c r="F12" i="27"/>
  <c r="DV30" i="9"/>
  <c r="EE30" i="9"/>
  <c r="R30" i="9"/>
  <c r="AA30" i="9"/>
  <c r="AJ30" i="9"/>
  <c r="AS30" i="9"/>
  <c r="BB30" i="9"/>
  <c r="BK30" i="9"/>
  <c r="BT30" i="9"/>
  <c r="CC30" i="9"/>
  <c r="CL30" i="9"/>
  <c r="CU30" i="9"/>
  <c r="DD30" i="9"/>
  <c r="DM30" i="9"/>
  <c r="DO30" i="9"/>
  <c r="AB36" i="15"/>
  <c r="AD36" i="15"/>
  <c r="B31" i="9"/>
  <c r="BU11" i="27"/>
  <c r="BV11" i="27"/>
  <c r="BW11" i="27"/>
  <c r="AW11" i="27"/>
  <c r="AX11" i="27"/>
  <c r="AY11" i="27"/>
  <c r="BO11" i="27"/>
  <c r="BP11" i="27"/>
  <c r="BQ11" i="27"/>
  <c r="Y11" i="27"/>
  <c r="Z11" i="27"/>
  <c r="AA11" i="27"/>
  <c r="AE11" i="27"/>
  <c r="AF11" i="27"/>
  <c r="AG11" i="27"/>
  <c r="CG11" i="27"/>
  <c r="CH11" i="27"/>
  <c r="CI11" i="27"/>
  <c r="BC11" i="27"/>
  <c r="BD11" i="27"/>
  <c r="BE11" i="27"/>
  <c r="M11" i="27"/>
  <c r="N11" i="27"/>
  <c r="O11" i="27"/>
  <c r="AK11" i="27"/>
  <c r="AL11" i="27"/>
  <c r="AM11" i="27"/>
  <c r="S11" i="27"/>
  <c r="T11" i="27"/>
  <c r="U11" i="27"/>
  <c r="BI11" i="27"/>
  <c r="BJ11" i="27"/>
  <c r="BK11" i="27"/>
  <c r="AQ11" i="27"/>
  <c r="AR11" i="27"/>
  <c r="AS11" i="27"/>
  <c r="D447" i="17"/>
  <c r="C12" i="27"/>
  <c r="AK12" i="27"/>
  <c r="AL12" i="27"/>
  <c r="AM12" i="27"/>
  <c r="V17" i="4"/>
  <c r="W17" i="4"/>
  <c r="AH17" i="4"/>
  <c r="CA11" i="27"/>
  <c r="CB11" i="27"/>
  <c r="CC11" i="27"/>
  <c r="D13" i="27"/>
  <c r="B14" i="27"/>
  <c r="E13" i="27"/>
  <c r="F13" i="27"/>
  <c r="Y15" i="4"/>
  <c r="D361" i="17"/>
  <c r="D359" i="17"/>
  <c r="AH15" i="4"/>
  <c r="L18" i="4"/>
  <c r="D488" i="17"/>
  <c r="U18" i="4"/>
  <c r="D496" i="17"/>
  <c r="B18" i="4"/>
  <c r="N18" i="4"/>
  <c r="D490" i="17"/>
  <c r="K18" i="4"/>
  <c r="D487" i="17"/>
  <c r="C18" i="4"/>
  <c r="D18" i="4"/>
  <c r="P18" i="4"/>
  <c r="D492" i="17"/>
  <c r="I18" i="4"/>
  <c r="D485" i="17"/>
  <c r="F18" i="4"/>
  <c r="R18" i="4"/>
  <c r="S18" i="4"/>
  <c r="H18" i="4"/>
  <c r="D484" i="17"/>
  <c r="M18" i="4"/>
  <c r="D489" i="17"/>
  <c r="J18" i="4"/>
  <c r="D486" i="17"/>
  <c r="T18" i="4"/>
  <c r="D495" i="17"/>
  <c r="A19" i="4"/>
  <c r="Q18" i="4"/>
  <c r="D493" i="17"/>
  <c r="G18" i="4"/>
  <c r="D483" i="17"/>
  <c r="E18" i="4"/>
  <c r="AG18" i="4"/>
  <c r="O18" i="4"/>
  <c r="D491" i="17"/>
  <c r="AI15" i="4"/>
  <c r="A506" i="17"/>
  <c r="A507" i="17"/>
  <c r="A508" i="17"/>
  <c r="D480" i="17"/>
  <c r="E565" i="17"/>
  <c r="C479" i="17"/>
  <c r="C480" i="17"/>
  <c r="D501" i="17"/>
  <c r="A505" i="17"/>
  <c r="D314" i="17"/>
  <c r="W21" i="8"/>
  <c r="X20" i="8"/>
  <c r="Y20" i="8"/>
  <c r="E20" i="2"/>
  <c r="J20" i="2"/>
  <c r="K20" i="2"/>
  <c r="G20" i="2"/>
  <c r="B20" i="2"/>
  <c r="D20" i="2"/>
  <c r="F20" i="2"/>
  <c r="H20" i="2"/>
  <c r="I20" i="2"/>
  <c r="A21" i="2"/>
  <c r="C20" i="2"/>
  <c r="W16" i="4"/>
  <c r="AI16" i="4"/>
  <c r="D403" i="17"/>
  <c r="R31" i="9"/>
  <c r="AA31" i="9"/>
  <c r="AJ31" i="9"/>
  <c r="AS31" i="9"/>
  <c r="BB31" i="9"/>
  <c r="BK31" i="9"/>
  <c r="BT31" i="9"/>
  <c r="CC31" i="9"/>
  <c r="CL31" i="9"/>
  <c r="CU31" i="9"/>
  <c r="DD31" i="9"/>
  <c r="DM31" i="9"/>
  <c r="DO31" i="9"/>
  <c r="DV31" i="9"/>
  <c r="EE31" i="9"/>
  <c r="AB37" i="15"/>
  <c r="AD37" i="15"/>
  <c r="B32" i="9"/>
  <c r="BC12" i="27"/>
  <c r="BD12" i="27"/>
  <c r="BE12" i="27"/>
  <c r="CA12" i="27"/>
  <c r="CB12" i="27"/>
  <c r="CC12" i="27"/>
  <c r="M12" i="27"/>
  <c r="N12" i="27"/>
  <c r="O12" i="27"/>
  <c r="CG12" i="27"/>
  <c r="CH12" i="27"/>
  <c r="CI12" i="27"/>
  <c r="AQ12" i="27"/>
  <c r="AR12" i="27"/>
  <c r="AS12" i="27"/>
  <c r="S12" i="27"/>
  <c r="T12" i="27"/>
  <c r="U12" i="27"/>
  <c r="BI12" i="27"/>
  <c r="BJ12" i="27"/>
  <c r="BK12" i="27"/>
  <c r="AE12" i="27"/>
  <c r="AF12" i="27"/>
  <c r="AG12" i="27"/>
  <c r="BU12" i="27"/>
  <c r="BV12" i="27"/>
  <c r="BW12" i="27"/>
  <c r="D494" i="17"/>
  <c r="AW12" i="27"/>
  <c r="AX12" i="27"/>
  <c r="AY12" i="27"/>
  <c r="Y12" i="27"/>
  <c r="Z12" i="27"/>
  <c r="AA12" i="27"/>
  <c r="BO12" i="27"/>
  <c r="BP12" i="27"/>
  <c r="BQ12" i="27"/>
  <c r="G12" i="27"/>
  <c r="H12" i="27"/>
  <c r="I12" i="27"/>
  <c r="AI17" i="4"/>
  <c r="C13" i="27"/>
  <c r="Y13" i="27"/>
  <c r="Z13" i="27"/>
  <c r="AA13" i="27"/>
  <c r="D450" i="17"/>
  <c r="AH16" i="4"/>
  <c r="W22" i="8"/>
  <c r="X21" i="8"/>
  <c r="Y21" i="8"/>
  <c r="D527" i="17"/>
  <c r="A553" i="17"/>
  <c r="C526" i="17"/>
  <c r="D548" i="17"/>
  <c r="C527" i="17"/>
  <c r="A552" i="17"/>
  <c r="E612" i="17"/>
  <c r="A555" i="17"/>
  <c r="A554" i="17"/>
  <c r="V18" i="4"/>
  <c r="F14" i="27"/>
  <c r="E14" i="27"/>
  <c r="D14" i="27"/>
  <c r="B15" i="27"/>
  <c r="Y16" i="4"/>
  <c r="D408" i="17"/>
  <c r="D406" i="17"/>
  <c r="H21" i="2"/>
  <c r="J21" i="2"/>
  <c r="F21" i="2"/>
  <c r="E21" i="2"/>
  <c r="A22" i="2"/>
  <c r="D21" i="2"/>
  <c r="B21" i="2"/>
  <c r="G21" i="2"/>
  <c r="K21" i="2"/>
  <c r="I21" i="2"/>
  <c r="C21" i="2"/>
  <c r="Y17" i="4"/>
  <c r="D455" i="17"/>
  <c r="D453" i="17"/>
  <c r="E19" i="4"/>
  <c r="J19" i="4"/>
  <c r="D533" i="17"/>
  <c r="R19" i="4"/>
  <c r="S19" i="4"/>
  <c r="AG19" i="4"/>
  <c r="M19" i="4"/>
  <c r="D536" i="17"/>
  <c r="C19" i="4"/>
  <c r="O19" i="4"/>
  <c r="D538" i="17"/>
  <c r="L19" i="4"/>
  <c r="D535" i="17"/>
  <c r="U19" i="4"/>
  <c r="D543" i="17"/>
  <c r="Q19" i="4"/>
  <c r="D540" i="17"/>
  <c r="N19" i="4"/>
  <c r="D537" i="17"/>
  <c r="G19" i="4"/>
  <c r="T19" i="4"/>
  <c r="D542" i="17"/>
  <c r="A20" i="4"/>
  <c r="I19" i="4"/>
  <c r="D532" i="17"/>
  <c r="H19" i="4"/>
  <c r="D531" i="17"/>
  <c r="B19" i="4"/>
  <c r="K19" i="4"/>
  <c r="D534" i="17"/>
  <c r="P19" i="4"/>
  <c r="D539" i="17"/>
  <c r="D19" i="4"/>
  <c r="F19" i="4"/>
  <c r="DV32" i="9"/>
  <c r="EE32" i="9"/>
  <c r="R32" i="9"/>
  <c r="AA32" i="9"/>
  <c r="AJ32" i="9"/>
  <c r="AS32" i="9"/>
  <c r="BB32" i="9"/>
  <c r="BK32" i="9"/>
  <c r="BT32" i="9"/>
  <c r="CC32" i="9"/>
  <c r="CL32" i="9"/>
  <c r="CU32" i="9"/>
  <c r="DD32" i="9"/>
  <c r="DM32" i="9"/>
  <c r="DO32" i="9"/>
  <c r="AB38" i="15"/>
  <c r="AD38" i="15"/>
  <c r="B33" i="9"/>
  <c r="BU13" i="27"/>
  <c r="BV13" i="27"/>
  <c r="BW13" i="27"/>
  <c r="BI13" i="27"/>
  <c r="BJ13" i="27"/>
  <c r="BK13" i="27"/>
  <c r="BC13" i="27"/>
  <c r="BD13" i="27"/>
  <c r="BE13" i="27"/>
  <c r="AW13" i="27"/>
  <c r="AX13" i="27"/>
  <c r="AY13" i="27"/>
  <c r="S13" i="27"/>
  <c r="T13" i="27"/>
  <c r="U13" i="27"/>
  <c r="G13" i="27"/>
  <c r="H13" i="27"/>
  <c r="I13" i="27"/>
  <c r="AQ13" i="27"/>
  <c r="AR13" i="27"/>
  <c r="AS13" i="27"/>
  <c r="AK13" i="27"/>
  <c r="AL13" i="27"/>
  <c r="AM13" i="27"/>
  <c r="M13" i="27"/>
  <c r="N13" i="27"/>
  <c r="O13" i="27"/>
  <c r="CG13" i="27"/>
  <c r="CH13" i="27"/>
  <c r="CI13" i="27"/>
  <c r="BO13" i="27"/>
  <c r="BP13" i="27"/>
  <c r="BQ13" i="27"/>
  <c r="C14" i="27"/>
  <c r="BI14" i="27"/>
  <c r="BJ14" i="27"/>
  <c r="BK14" i="27"/>
  <c r="AE13" i="27"/>
  <c r="AF13" i="27"/>
  <c r="AG13" i="27"/>
  <c r="CA13" i="27"/>
  <c r="CB13" i="27"/>
  <c r="CC13" i="27"/>
  <c r="V19" i="4"/>
  <c r="D541" i="17"/>
  <c r="M20" i="4"/>
  <c r="D583" i="17"/>
  <c r="U20" i="4"/>
  <c r="D590" i="17"/>
  <c r="J20" i="4"/>
  <c r="D580" i="17"/>
  <c r="T20" i="4"/>
  <c r="D589" i="17"/>
  <c r="L20" i="4"/>
  <c r="D582" i="17"/>
  <c r="I20" i="4"/>
  <c r="D579" i="17"/>
  <c r="N20" i="4"/>
  <c r="D584" i="17"/>
  <c r="K20" i="4"/>
  <c r="D581" i="17"/>
  <c r="AG20" i="4"/>
  <c r="A21" i="4"/>
  <c r="B20" i="4"/>
  <c r="R20" i="4"/>
  <c r="S20" i="4"/>
  <c r="O20" i="4"/>
  <c r="D585" i="17"/>
  <c r="H20" i="4"/>
  <c r="D578" i="17"/>
  <c r="P20" i="4"/>
  <c r="D586" i="17"/>
  <c r="E20" i="4"/>
  <c r="D20" i="4"/>
  <c r="Q20" i="4"/>
  <c r="D587" i="17"/>
  <c r="C20" i="4"/>
  <c r="G20" i="4"/>
  <c r="F20" i="4"/>
  <c r="W18" i="4"/>
  <c r="AH18" i="4"/>
  <c r="D497" i="17"/>
  <c r="A602" i="17"/>
  <c r="E659" i="17"/>
  <c r="D574" i="17"/>
  <c r="C574" i="17"/>
  <c r="C573" i="17"/>
  <c r="D595" i="17"/>
  <c r="A601" i="17"/>
  <c r="A599" i="17"/>
  <c r="A600" i="17"/>
  <c r="C22" i="2"/>
  <c r="G22" i="2"/>
  <c r="K22" i="2"/>
  <c r="D22" i="2"/>
  <c r="A23" i="2"/>
  <c r="J22" i="2"/>
  <c r="E22" i="2"/>
  <c r="F22" i="2"/>
  <c r="I22" i="2"/>
  <c r="H22" i="2"/>
  <c r="B22" i="2"/>
  <c r="E15" i="27"/>
  <c r="F15" i="27"/>
  <c r="B16" i="27"/>
  <c r="D15" i="27"/>
  <c r="D530" i="17"/>
  <c r="X22" i="8"/>
  <c r="Y22" i="8"/>
  <c r="W23" i="8"/>
  <c r="AB39" i="15"/>
  <c r="AD39" i="15"/>
  <c r="AA33" i="9"/>
  <c r="BK33" i="9"/>
  <c r="CU33" i="9"/>
  <c r="DV33" i="9"/>
  <c r="AJ33" i="9"/>
  <c r="BT33" i="9"/>
  <c r="DD33" i="9"/>
  <c r="EE33" i="9"/>
  <c r="AS33" i="9"/>
  <c r="CC33" i="9"/>
  <c r="DM33" i="9"/>
  <c r="DO33" i="9"/>
  <c r="R33" i="9"/>
  <c r="BB33" i="9"/>
  <c r="CL33" i="9"/>
  <c r="B34" i="9"/>
  <c r="AW14" i="27"/>
  <c r="AX14" i="27"/>
  <c r="AY14" i="27"/>
  <c r="D588" i="17"/>
  <c r="G14" i="27"/>
  <c r="H14" i="27"/>
  <c r="I14" i="27"/>
  <c r="CG14" i="27"/>
  <c r="CH14" i="27"/>
  <c r="CI14" i="27"/>
  <c r="BO14" i="27"/>
  <c r="BP14" i="27"/>
  <c r="BQ14" i="27"/>
  <c r="V20" i="4"/>
  <c r="BU14" i="27"/>
  <c r="BV14" i="27"/>
  <c r="BW14" i="27"/>
  <c r="CA14" i="27"/>
  <c r="CB14" i="27"/>
  <c r="CC14" i="27"/>
  <c r="Y14" i="27"/>
  <c r="Z14" i="27"/>
  <c r="AA14" i="27"/>
  <c r="BC14" i="27"/>
  <c r="BD14" i="27"/>
  <c r="BE14" i="27"/>
  <c r="C15" i="27"/>
  <c r="AW15" i="27"/>
  <c r="AX15" i="27"/>
  <c r="AY15" i="27"/>
  <c r="AK14" i="27"/>
  <c r="AL14" i="27"/>
  <c r="AM14" i="27"/>
  <c r="AE14" i="27"/>
  <c r="AF14" i="27"/>
  <c r="AG14" i="27"/>
  <c r="S14" i="27"/>
  <c r="T14" i="27"/>
  <c r="U14" i="27"/>
  <c r="AQ14" i="27"/>
  <c r="AR14" i="27"/>
  <c r="AS14" i="27"/>
  <c r="M14" i="27"/>
  <c r="N14" i="27"/>
  <c r="O14" i="27"/>
  <c r="AI18" i="4"/>
  <c r="D577" i="17"/>
  <c r="Y18" i="4"/>
  <c r="D502" i="17"/>
  <c r="D500" i="17"/>
  <c r="E21" i="4"/>
  <c r="N21" i="4"/>
  <c r="D631" i="17"/>
  <c r="C21" i="4"/>
  <c r="O21" i="4"/>
  <c r="D632" i="17"/>
  <c r="T21" i="4"/>
  <c r="D636" i="17"/>
  <c r="L21" i="4"/>
  <c r="D629" i="17"/>
  <c r="Q21" i="4"/>
  <c r="D634" i="17"/>
  <c r="F21" i="4"/>
  <c r="P21" i="4"/>
  <c r="D633" i="17"/>
  <c r="H21" i="4"/>
  <c r="D625" i="17"/>
  <c r="I21" i="4"/>
  <c r="D626" i="17"/>
  <c r="J21" i="4"/>
  <c r="D627" i="17"/>
  <c r="G21" i="4"/>
  <c r="D624" i="17"/>
  <c r="A22" i="4"/>
  <c r="B21" i="4"/>
  <c r="AG21" i="4"/>
  <c r="D21" i="4"/>
  <c r="M21" i="4"/>
  <c r="D630" i="17"/>
  <c r="R21" i="4"/>
  <c r="S21" i="4"/>
  <c r="U21" i="4"/>
  <c r="D637" i="17"/>
  <c r="K21" i="4"/>
  <c r="D628" i="17"/>
  <c r="W19" i="4"/>
  <c r="AI19" i="4"/>
  <c r="D544" i="17"/>
  <c r="W24" i="8"/>
  <c r="X23" i="8"/>
  <c r="Y23" i="8"/>
  <c r="D16" i="27"/>
  <c r="B17" i="27"/>
  <c r="E16" i="27"/>
  <c r="F16" i="27"/>
  <c r="C621" i="17"/>
  <c r="A649" i="17"/>
  <c r="A646" i="17"/>
  <c r="D621" i="17"/>
  <c r="C620" i="17"/>
  <c r="D642" i="17"/>
  <c r="E706" i="17"/>
  <c r="A648" i="17"/>
  <c r="A647" i="17"/>
  <c r="J23" i="2"/>
  <c r="C23" i="2"/>
  <c r="H23" i="2"/>
  <c r="E23" i="2"/>
  <c r="A24" i="2"/>
  <c r="K23" i="2"/>
  <c r="D23" i="2"/>
  <c r="I23" i="2"/>
  <c r="F23" i="2"/>
  <c r="B23" i="2"/>
  <c r="G23" i="2"/>
  <c r="EE34" i="9"/>
  <c r="BT34" i="9"/>
  <c r="BB34" i="9"/>
  <c r="AJ34" i="9"/>
  <c r="DD34" i="9"/>
  <c r="R34" i="9"/>
  <c r="CL34" i="9"/>
  <c r="AB40" i="15"/>
  <c r="AD40" i="15"/>
  <c r="CC34" i="9"/>
  <c r="DV34" i="9"/>
  <c r="AS34" i="9"/>
  <c r="CU34" i="9"/>
  <c r="BK34" i="9"/>
  <c r="DM34" i="9"/>
  <c r="DO34" i="9"/>
  <c r="AA34" i="9"/>
  <c r="B35" i="9"/>
  <c r="AQ15" i="27"/>
  <c r="AR15" i="27"/>
  <c r="AS15" i="27"/>
  <c r="AK15" i="27"/>
  <c r="AL15" i="27"/>
  <c r="AM15" i="27"/>
  <c r="G15" i="27"/>
  <c r="H15" i="27"/>
  <c r="I15" i="27"/>
  <c r="BU15" i="27"/>
  <c r="BV15" i="27"/>
  <c r="BW15" i="27"/>
  <c r="BI15" i="27"/>
  <c r="BJ15" i="27"/>
  <c r="BK15" i="27"/>
  <c r="BC15" i="27"/>
  <c r="BD15" i="27"/>
  <c r="BE15" i="27"/>
  <c r="M15" i="27"/>
  <c r="N15" i="27"/>
  <c r="O15" i="27"/>
  <c r="AE15" i="27"/>
  <c r="AF15" i="27"/>
  <c r="AG15" i="27"/>
  <c r="Y15" i="27"/>
  <c r="Z15" i="27"/>
  <c r="AA15" i="27"/>
  <c r="CG15" i="27"/>
  <c r="CH15" i="27"/>
  <c r="CI15" i="27"/>
  <c r="BO15" i="27"/>
  <c r="BP15" i="27"/>
  <c r="BQ15" i="27"/>
  <c r="S15" i="27"/>
  <c r="T15" i="27"/>
  <c r="U15" i="27"/>
  <c r="CA15" i="27"/>
  <c r="CB15" i="27"/>
  <c r="CC15" i="27"/>
  <c r="W20" i="4"/>
  <c r="AI20" i="4"/>
  <c r="D635" i="17"/>
  <c r="D591" i="17"/>
  <c r="C16" i="27"/>
  <c r="M16" i="27"/>
  <c r="N16" i="27"/>
  <c r="O16" i="27"/>
  <c r="AH19" i="4"/>
  <c r="M22" i="4"/>
  <c r="D677" i="17"/>
  <c r="B22" i="4"/>
  <c r="N22" i="4"/>
  <c r="D678" i="17"/>
  <c r="C22" i="4"/>
  <c r="O22" i="4"/>
  <c r="D679" i="17"/>
  <c r="L22" i="4"/>
  <c r="D676" i="17"/>
  <c r="D22" i="4"/>
  <c r="J22" i="4"/>
  <c r="D674" i="17"/>
  <c r="P22" i="4"/>
  <c r="D680" i="17"/>
  <c r="H22" i="4"/>
  <c r="D672" i="17"/>
  <c r="Q22" i="4"/>
  <c r="D681" i="17"/>
  <c r="G22" i="4"/>
  <c r="T22" i="4"/>
  <c r="D683" i="17"/>
  <c r="AG22" i="4"/>
  <c r="A23" i="4"/>
  <c r="E22" i="4"/>
  <c r="I22" i="4"/>
  <c r="D673" i="17"/>
  <c r="R22" i="4"/>
  <c r="S22" i="4"/>
  <c r="K22" i="4"/>
  <c r="D675" i="17"/>
  <c r="U22" i="4"/>
  <c r="D684" i="17"/>
  <c r="F22" i="4"/>
  <c r="J24" i="2"/>
  <c r="D24" i="2"/>
  <c r="G24" i="2"/>
  <c r="H24" i="2"/>
  <c r="E24" i="2"/>
  <c r="I24" i="2"/>
  <c r="K24" i="2"/>
  <c r="F24" i="2"/>
  <c r="B24" i="2"/>
  <c r="C24" i="2"/>
  <c r="A25" i="2"/>
  <c r="D17" i="27"/>
  <c r="B18" i="27"/>
  <c r="F17" i="27"/>
  <c r="E17" i="27"/>
  <c r="W25" i="8"/>
  <c r="X24" i="8"/>
  <c r="Y24" i="8"/>
  <c r="V21" i="4"/>
  <c r="Y19" i="4"/>
  <c r="D549" i="17"/>
  <c r="D547" i="17"/>
  <c r="C667" i="17"/>
  <c r="A693" i="17"/>
  <c r="E753" i="17"/>
  <c r="A694" i="17"/>
  <c r="D668" i="17"/>
  <c r="A695" i="17"/>
  <c r="D689" i="17"/>
  <c r="C668" i="17"/>
  <c r="A696" i="17"/>
  <c r="AS35" i="9"/>
  <c r="AB41" i="15"/>
  <c r="AD41" i="15"/>
  <c r="AJ35" i="9"/>
  <c r="AA35" i="9"/>
  <c r="BB35" i="9"/>
  <c r="EE35" i="9"/>
  <c r="R35" i="9"/>
  <c r="DV35" i="9"/>
  <c r="DM35" i="9"/>
  <c r="DO35" i="9"/>
  <c r="DD35" i="9"/>
  <c r="CU35" i="9"/>
  <c r="CC35" i="9"/>
  <c r="BT35" i="9"/>
  <c r="BK35" i="9"/>
  <c r="CL35" i="9"/>
  <c r="B36" i="9"/>
  <c r="AE16" i="27"/>
  <c r="AF16" i="27"/>
  <c r="AG16" i="27"/>
  <c r="AK16" i="27"/>
  <c r="AL16" i="27"/>
  <c r="AM16" i="27"/>
  <c r="Y20" i="4"/>
  <c r="D596" i="17"/>
  <c r="S16" i="27"/>
  <c r="T16" i="27"/>
  <c r="U16" i="27"/>
  <c r="D594" i="17"/>
  <c r="AW16" i="27"/>
  <c r="AX16" i="27"/>
  <c r="AY16" i="27"/>
  <c r="BO16" i="27"/>
  <c r="BP16" i="27"/>
  <c r="BQ16" i="27"/>
  <c r="BI16" i="27"/>
  <c r="BJ16" i="27"/>
  <c r="BK16" i="27"/>
  <c r="CA16" i="27"/>
  <c r="CB16" i="27"/>
  <c r="CC16" i="27"/>
  <c r="BU16" i="27"/>
  <c r="BV16" i="27"/>
  <c r="BW16" i="27"/>
  <c r="G16" i="27"/>
  <c r="H16" i="27"/>
  <c r="I16" i="27"/>
  <c r="AQ16" i="27"/>
  <c r="AR16" i="27"/>
  <c r="AS16" i="27"/>
  <c r="BC16" i="27"/>
  <c r="BD16" i="27"/>
  <c r="BE16" i="27"/>
  <c r="CG16" i="27"/>
  <c r="CH16" i="27"/>
  <c r="CI16" i="27"/>
  <c r="Y16" i="27"/>
  <c r="Z16" i="27"/>
  <c r="AA16" i="27"/>
  <c r="AH20" i="4"/>
  <c r="C17" i="27"/>
  <c r="Y17" i="27"/>
  <c r="Z17" i="27"/>
  <c r="AA17" i="27"/>
  <c r="D682" i="17"/>
  <c r="W26" i="8"/>
  <c r="X25" i="8"/>
  <c r="Y25" i="8"/>
  <c r="J23" i="4"/>
  <c r="D721" i="17"/>
  <c r="L23" i="4"/>
  <c r="D723" i="17"/>
  <c r="U23" i="4"/>
  <c r="D731" i="17"/>
  <c r="M23" i="4"/>
  <c r="D724" i="17"/>
  <c r="E23" i="4"/>
  <c r="A24" i="4"/>
  <c r="N23" i="4"/>
  <c r="D725" i="17"/>
  <c r="C23" i="4"/>
  <c r="O23" i="4"/>
  <c r="D726" i="17"/>
  <c r="D23" i="4"/>
  <c r="AG23" i="4"/>
  <c r="R23" i="4"/>
  <c r="S23" i="4"/>
  <c r="T23" i="4"/>
  <c r="D730" i="17"/>
  <c r="B23" i="4"/>
  <c r="G23" i="4"/>
  <c r="D718" i="17"/>
  <c r="H23" i="4"/>
  <c r="D719" i="17"/>
  <c r="I23" i="4"/>
  <c r="D720" i="17"/>
  <c r="F23" i="4"/>
  <c r="K23" i="4"/>
  <c r="D722" i="17"/>
  <c r="P23" i="4"/>
  <c r="D727" i="17"/>
  <c r="Q23" i="4"/>
  <c r="D728" i="17"/>
  <c r="V22" i="4"/>
  <c r="D671" i="17"/>
  <c r="A742" i="17"/>
  <c r="A741" i="17"/>
  <c r="E800" i="17"/>
  <c r="D715" i="17"/>
  <c r="A740" i="17"/>
  <c r="C714" i="17"/>
  <c r="C715" i="17"/>
  <c r="D736" i="17"/>
  <c r="A743" i="17"/>
  <c r="W21" i="4"/>
  <c r="AI21" i="4"/>
  <c r="D638" i="17"/>
  <c r="F18" i="27"/>
  <c r="E18" i="27"/>
  <c r="B19" i="27"/>
  <c r="D18" i="27"/>
  <c r="C25" i="2"/>
  <c r="F25" i="2"/>
  <c r="G25" i="2"/>
  <c r="J25" i="2"/>
  <c r="K25" i="2"/>
  <c r="A26" i="2"/>
  <c r="D25" i="2"/>
  <c r="I25" i="2"/>
  <c r="E25" i="2"/>
  <c r="B25" i="2"/>
  <c r="H25" i="2"/>
  <c r="DV36" i="9"/>
  <c r="EE36" i="9"/>
  <c r="R36" i="9"/>
  <c r="AA36" i="9"/>
  <c r="AJ36" i="9"/>
  <c r="AS36" i="9"/>
  <c r="BB36" i="9"/>
  <c r="BK36" i="9"/>
  <c r="BT36" i="9"/>
  <c r="CC36" i="9"/>
  <c r="CL36" i="9"/>
  <c r="CU36" i="9"/>
  <c r="DD36" i="9"/>
  <c r="DM36" i="9"/>
  <c r="DO36" i="9"/>
  <c r="AB42" i="15"/>
  <c r="AD42" i="15"/>
  <c r="B37" i="9"/>
  <c r="AK17" i="27"/>
  <c r="AL17" i="27"/>
  <c r="AM17" i="27"/>
  <c r="S17" i="27"/>
  <c r="T17" i="27"/>
  <c r="U17" i="27"/>
  <c r="BU17" i="27"/>
  <c r="BV17" i="27"/>
  <c r="BW17" i="27"/>
  <c r="AE17" i="27"/>
  <c r="AF17" i="27"/>
  <c r="AG17" i="27"/>
  <c r="G17" i="27"/>
  <c r="H17" i="27"/>
  <c r="I17" i="27"/>
  <c r="CA17" i="27"/>
  <c r="CB17" i="27"/>
  <c r="CC17" i="27"/>
  <c r="CG17" i="27"/>
  <c r="CH17" i="27"/>
  <c r="CI17" i="27"/>
  <c r="BC17" i="27"/>
  <c r="BD17" i="27"/>
  <c r="BE17" i="27"/>
  <c r="AW17" i="27"/>
  <c r="AX17" i="27"/>
  <c r="AY17" i="27"/>
  <c r="BI17" i="27"/>
  <c r="BJ17" i="27"/>
  <c r="BK17" i="27"/>
  <c r="M17" i="27"/>
  <c r="N17" i="27"/>
  <c r="O17" i="27"/>
  <c r="BO17" i="27"/>
  <c r="BP17" i="27"/>
  <c r="BQ17" i="27"/>
  <c r="AQ17" i="27"/>
  <c r="AR17" i="27"/>
  <c r="AS17" i="27"/>
  <c r="AH21" i="4"/>
  <c r="D729" i="17"/>
  <c r="C18" i="27"/>
  <c r="BU18" i="27"/>
  <c r="BV18" i="27"/>
  <c r="BW18" i="27"/>
  <c r="A787" i="17"/>
  <c r="A788" i="17"/>
  <c r="C761" i="17"/>
  <c r="E847" i="17"/>
  <c r="D783" i="17"/>
  <c r="A790" i="17"/>
  <c r="A789" i="17"/>
  <c r="C762" i="17"/>
  <c r="D762" i="17"/>
  <c r="B24" i="4"/>
  <c r="N24" i="4"/>
  <c r="D772" i="17"/>
  <c r="C24" i="4"/>
  <c r="H24" i="4"/>
  <c r="D766" i="17"/>
  <c r="P24" i="4"/>
  <c r="D774" i="17"/>
  <c r="E24" i="4"/>
  <c r="F24" i="4"/>
  <c r="G24" i="4"/>
  <c r="O24" i="4"/>
  <c r="D773" i="17"/>
  <c r="U24" i="4"/>
  <c r="D778" i="17"/>
  <c r="M24" i="4"/>
  <c r="D771" i="17"/>
  <c r="AG24" i="4"/>
  <c r="J24" i="4"/>
  <c r="D768" i="17"/>
  <c r="L24" i="4"/>
  <c r="D770" i="17"/>
  <c r="A25" i="4"/>
  <c r="K24" i="4"/>
  <c r="D769" i="17"/>
  <c r="I24" i="4"/>
  <c r="D767" i="17"/>
  <c r="R24" i="4"/>
  <c r="S24" i="4"/>
  <c r="T24" i="4"/>
  <c r="D777" i="17"/>
  <c r="Q24" i="4"/>
  <c r="D775" i="17"/>
  <c r="D24" i="4"/>
  <c r="E19" i="27"/>
  <c r="F19" i="27"/>
  <c r="D19" i="27"/>
  <c r="B20" i="27"/>
  <c r="Y21" i="4"/>
  <c r="D643" i="17"/>
  <c r="D641" i="17"/>
  <c r="W22" i="4"/>
  <c r="AI22" i="4"/>
  <c r="D685" i="17"/>
  <c r="V23" i="4"/>
  <c r="H26" i="2"/>
  <c r="K26" i="2"/>
  <c r="A27" i="2"/>
  <c r="D26" i="2"/>
  <c r="F26" i="2"/>
  <c r="G26" i="2"/>
  <c r="B26" i="2"/>
  <c r="E26" i="2"/>
  <c r="I26" i="2"/>
  <c r="J26" i="2"/>
  <c r="C26" i="2"/>
  <c r="W27" i="8"/>
  <c r="X26" i="8"/>
  <c r="Y26" i="8"/>
  <c r="AB43" i="15"/>
  <c r="AD43" i="15"/>
  <c r="EE37" i="9"/>
  <c r="AS37" i="9"/>
  <c r="CC37" i="9"/>
  <c r="DM37" i="9"/>
  <c r="DO37" i="9"/>
  <c r="R37" i="9"/>
  <c r="BB37" i="9"/>
  <c r="CL37" i="9"/>
  <c r="AA37" i="9"/>
  <c r="BK37" i="9"/>
  <c r="CU37" i="9"/>
  <c r="DV37" i="9"/>
  <c r="AJ37" i="9"/>
  <c r="BT37" i="9"/>
  <c r="DD37" i="9"/>
  <c r="B38" i="9"/>
  <c r="CG18" i="27"/>
  <c r="CH18" i="27"/>
  <c r="CI18" i="27"/>
  <c r="BC18" i="27"/>
  <c r="BD18" i="27"/>
  <c r="BE18" i="27"/>
  <c r="AE18" i="27"/>
  <c r="AF18" i="27"/>
  <c r="AG18" i="27"/>
  <c r="BI18" i="27"/>
  <c r="BJ18" i="27"/>
  <c r="BK18" i="27"/>
  <c r="BO18" i="27"/>
  <c r="BP18" i="27"/>
  <c r="BQ18" i="27"/>
  <c r="S18" i="27"/>
  <c r="T18" i="27"/>
  <c r="U18" i="27"/>
  <c r="G18" i="27"/>
  <c r="H18" i="27"/>
  <c r="I18" i="27"/>
  <c r="AK18" i="27"/>
  <c r="AL18" i="27"/>
  <c r="AM18" i="27"/>
  <c r="AQ18" i="27"/>
  <c r="AR18" i="27"/>
  <c r="AS18" i="27"/>
  <c r="CA18" i="27"/>
  <c r="CB18" i="27"/>
  <c r="CC18" i="27"/>
  <c r="M18" i="27"/>
  <c r="N18" i="27"/>
  <c r="O18" i="27"/>
  <c r="Y18" i="27"/>
  <c r="Z18" i="27"/>
  <c r="AA18" i="27"/>
  <c r="AW18" i="27"/>
  <c r="AX18" i="27"/>
  <c r="AY18" i="27"/>
  <c r="C19" i="27"/>
  <c r="AK19" i="27"/>
  <c r="AL19" i="27"/>
  <c r="AM19" i="27"/>
  <c r="D776" i="17"/>
  <c r="D20" i="27"/>
  <c r="B21" i="27"/>
  <c r="E20" i="27"/>
  <c r="F20" i="27"/>
  <c r="W28" i="8"/>
  <c r="X27" i="8"/>
  <c r="Y27" i="8"/>
  <c r="E27" i="2"/>
  <c r="B27" i="2"/>
  <c r="F27" i="2"/>
  <c r="C27" i="2"/>
  <c r="H27" i="2"/>
  <c r="G27" i="2"/>
  <c r="I27" i="2"/>
  <c r="J27" i="2"/>
  <c r="K27" i="2"/>
  <c r="A28" i="2"/>
  <c r="D27" i="2"/>
  <c r="V24" i="4"/>
  <c r="W23" i="4"/>
  <c r="AI23" i="4"/>
  <c r="D732" i="17"/>
  <c r="D688" i="17"/>
  <c r="Y22" i="4"/>
  <c r="D690" i="17"/>
  <c r="C25" i="4"/>
  <c r="D25" i="4"/>
  <c r="P25" i="4"/>
  <c r="D821" i="17"/>
  <c r="A26" i="4"/>
  <c r="B25" i="4"/>
  <c r="N25" i="4"/>
  <c r="D819" i="17"/>
  <c r="G25" i="4"/>
  <c r="D812" i="17"/>
  <c r="O25" i="4"/>
  <c r="D820" i="17"/>
  <c r="H25" i="4"/>
  <c r="D813" i="17"/>
  <c r="U25" i="4"/>
  <c r="D825" i="17"/>
  <c r="E25" i="4"/>
  <c r="AG25" i="4"/>
  <c r="R25" i="4"/>
  <c r="S25" i="4"/>
  <c r="T25" i="4"/>
  <c r="D824" i="17"/>
  <c r="Q25" i="4"/>
  <c r="D822" i="17"/>
  <c r="F25" i="4"/>
  <c r="I25" i="4"/>
  <c r="D814" i="17"/>
  <c r="L25" i="4"/>
  <c r="D817" i="17"/>
  <c r="M25" i="4"/>
  <c r="D818" i="17"/>
  <c r="J25" i="4"/>
  <c r="D815" i="17"/>
  <c r="K25" i="4"/>
  <c r="D816" i="17"/>
  <c r="A837" i="17"/>
  <c r="C808" i="17"/>
  <c r="D830" i="17"/>
  <c r="D809" i="17"/>
  <c r="A835" i="17"/>
  <c r="A834" i="17"/>
  <c r="A836" i="17"/>
  <c r="C809" i="17"/>
  <c r="E894" i="17"/>
  <c r="AH22" i="4"/>
  <c r="D765" i="17"/>
  <c r="DV38" i="9"/>
  <c r="EE38" i="9"/>
  <c r="R38" i="9"/>
  <c r="AA38" i="9"/>
  <c r="AJ38" i="9"/>
  <c r="AS38" i="9"/>
  <c r="BB38" i="9"/>
  <c r="BK38" i="9"/>
  <c r="BT38" i="9"/>
  <c r="CC38" i="9"/>
  <c r="CL38" i="9"/>
  <c r="CU38" i="9"/>
  <c r="DD38" i="9"/>
  <c r="DM38" i="9"/>
  <c r="DO38" i="9"/>
  <c r="AB44" i="15"/>
  <c r="AD44" i="15"/>
  <c r="B39" i="9"/>
  <c r="D823" i="17"/>
  <c r="G19" i="27"/>
  <c r="H19" i="27"/>
  <c r="I19" i="27"/>
  <c r="AQ19" i="27"/>
  <c r="AR19" i="27"/>
  <c r="AS19" i="27"/>
  <c r="M19" i="27"/>
  <c r="N19" i="27"/>
  <c r="O19" i="27"/>
  <c r="CG19" i="27"/>
  <c r="CH19" i="27"/>
  <c r="CI19" i="27"/>
  <c r="AW19" i="27"/>
  <c r="AX19" i="27"/>
  <c r="AY19" i="27"/>
  <c r="CA19" i="27"/>
  <c r="CB19" i="27"/>
  <c r="CC19" i="27"/>
  <c r="BI19" i="27"/>
  <c r="BJ19" i="27"/>
  <c r="BK19" i="27"/>
  <c r="BU19" i="27"/>
  <c r="BV19" i="27"/>
  <c r="BW19" i="27"/>
  <c r="BC19" i="27"/>
  <c r="BD19" i="27"/>
  <c r="BE19" i="27"/>
  <c r="Y19" i="27"/>
  <c r="Z19" i="27"/>
  <c r="AA19" i="27"/>
  <c r="S19" i="27"/>
  <c r="T19" i="27"/>
  <c r="U19" i="27"/>
  <c r="BO19" i="27"/>
  <c r="BP19" i="27"/>
  <c r="BQ19" i="27"/>
  <c r="AE19" i="27"/>
  <c r="AF19" i="27"/>
  <c r="AG19" i="27"/>
  <c r="C20" i="27"/>
  <c r="AK20" i="27"/>
  <c r="AL20" i="27"/>
  <c r="AM20" i="27"/>
  <c r="V25" i="4"/>
  <c r="AH23" i="4"/>
  <c r="D21" i="27"/>
  <c r="B22" i="27"/>
  <c r="E21" i="27"/>
  <c r="F21" i="27"/>
  <c r="W24" i="4"/>
  <c r="AH24" i="4"/>
  <c r="D779" i="17"/>
  <c r="E28" i="2"/>
  <c r="C28" i="2"/>
  <c r="I28" i="2"/>
  <c r="J28" i="2"/>
  <c r="D28" i="2"/>
  <c r="A29" i="2"/>
  <c r="B28" i="2"/>
  <c r="G28" i="2"/>
  <c r="F28" i="2"/>
  <c r="K28" i="2"/>
  <c r="H28" i="2"/>
  <c r="W29" i="8"/>
  <c r="X28" i="8"/>
  <c r="Y28" i="8"/>
  <c r="A882" i="17"/>
  <c r="C856" i="17"/>
  <c r="A884" i="17"/>
  <c r="D856" i="17"/>
  <c r="A881" i="17"/>
  <c r="A883" i="17"/>
  <c r="C855" i="17"/>
  <c r="E941" i="17"/>
  <c r="D877" i="17"/>
  <c r="H26" i="4"/>
  <c r="D860" i="17"/>
  <c r="I26" i="4"/>
  <c r="D861" i="17"/>
  <c r="Q26" i="4"/>
  <c r="D869" i="17"/>
  <c r="B26" i="4"/>
  <c r="J26" i="4"/>
  <c r="D862" i="17"/>
  <c r="A27" i="4"/>
  <c r="K26" i="4"/>
  <c r="D863" i="17"/>
  <c r="T26" i="4"/>
  <c r="D871" i="17"/>
  <c r="U26" i="4"/>
  <c r="D872" i="17"/>
  <c r="R26" i="4"/>
  <c r="S26" i="4"/>
  <c r="O26" i="4"/>
  <c r="D867" i="17"/>
  <c r="P26" i="4"/>
  <c r="D868" i="17"/>
  <c r="F26" i="4"/>
  <c r="C26" i="4"/>
  <c r="N26" i="4"/>
  <c r="D866" i="17"/>
  <c r="AG26" i="4"/>
  <c r="G26" i="4"/>
  <c r="D859" i="17"/>
  <c r="D26" i="4"/>
  <c r="E26" i="4"/>
  <c r="L26" i="4"/>
  <c r="D864" i="17"/>
  <c r="M26" i="4"/>
  <c r="D865" i="17"/>
  <c r="Y23" i="4"/>
  <c r="D737" i="17"/>
  <c r="D735" i="17"/>
  <c r="DV39" i="9"/>
  <c r="EE39" i="9"/>
  <c r="R39" i="9"/>
  <c r="AA39" i="9"/>
  <c r="AJ39" i="9"/>
  <c r="AS39" i="9"/>
  <c r="BB39" i="9"/>
  <c r="BK39" i="9"/>
  <c r="BT39" i="9"/>
  <c r="CC39" i="9"/>
  <c r="CL39" i="9"/>
  <c r="CU39" i="9"/>
  <c r="DD39" i="9"/>
  <c r="DM39" i="9"/>
  <c r="AB45" i="15"/>
  <c r="AD45" i="15"/>
  <c r="P7" i="15"/>
  <c r="A10" i="10"/>
  <c r="A9" i="13"/>
  <c r="B3" i="24"/>
  <c r="A8" i="18"/>
  <c r="B2" i="21"/>
  <c r="A8" i="11"/>
  <c r="F46" i="20"/>
  <c r="B30" i="25"/>
  <c r="AI24" i="4"/>
  <c r="M20" i="27"/>
  <c r="N20" i="27"/>
  <c r="O20" i="27"/>
  <c r="BO20" i="27"/>
  <c r="BP20" i="27"/>
  <c r="BQ20" i="27"/>
  <c r="Y20" i="27"/>
  <c r="Z20" i="27"/>
  <c r="AA20" i="27"/>
  <c r="BI20" i="27"/>
  <c r="BJ20" i="27"/>
  <c r="BK20" i="27"/>
  <c r="BU20" i="27"/>
  <c r="BV20" i="27"/>
  <c r="BW20" i="27"/>
  <c r="C21" i="27"/>
  <c r="CG21" i="27"/>
  <c r="CH21" i="27"/>
  <c r="CI21" i="27"/>
  <c r="G20" i="27"/>
  <c r="H20" i="27"/>
  <c r="I20" i="27"/>
  <c r="S20" i="27"/>
  <c r="T20" i="27"/>
  <c r="U20" i="27"/>
  <c r="BC20" i="27"/>
  <c r="BD20" i="27"/>
  <c r="BE20" i="27"/>
  <c r="AE20" i="27"/>
  <c r="AF20" i="27"/>
  <c r="AG20" i="27"/>
  <c r="CG20" i="27"/>
  <c r="CH20" i="27"/>
  <c r="CI20" i="27"/>
  <c r="AW20" i="27"/>
  <c r="AX20" i="27"/>
  <c r="AY20" i="27"/>
  <c r="CA20" i="27"/>
  <c r="CB20" i="27"/>
  <c r="CC20" i="27"/>
  <c r="AQ20" i="27"/>
  <c r="AR20" i="27"/>
  <c r="AS20" i="27"/>
  <c r="X29" i="8"/>
  <c r="Y29" i="8"/>
  <c r="W30" i="8"/>
  <c r="D870" i="17"/>
  <c r="D782" i="17"/>
  <c r="Y24" i="4"/>
  <c r="D784" i="17"/>
  <c r="V26" i="4"/>
  <c r="D27" i="4"/>
  <c r="M27" i="4"/>
  <c r="D912" i="17"/>
  <c r="B27" i="4"/>
  <c r="N27" i="4"/>
  <c r="D913" i="17"/>
  <c r="K27" i="4"/>
  <c r="D910" i="17"/>
  <c r="C27" i="4"/>
  <c r="G27" i="4"/>
  <c r="D906" i="17"/>
  <c r="A28" i="4"/>
  <c r="H27" i="4"/>
  <c r="D907" i="17"/>
  <c r="P27" i="4"/>
  <c r="D915" i="17"/>
  <c r="E27" i="4"/>
  <c r="F27" i="4"/>
  <c r="T27" i="4"/>
  <c r="D918" i="17"/>
  <c r="I27" i="4"/>
  <c r="D908" i="17"/>
  <c r="J27" i="4"/>
  <c r="D909" i="17"/>
  <c r="O27" i="4"/>
  <c r="D914" i="17"/>
  <c r="L27" i="4"/>
  <c r="D911" i="17"/>
  <c r="Q27" i="4"/>
  <c r="D916" i="17"/>
  <c r="R27" i="4"/>
  <c r="S27" i="4"/>
  <c r="AG27" i="4"/>
  <c r="U27" i="4"/>
  <c r="D919" i="17"/>
  <c r="D903" i="17"/>
  <c r="A928" i="17"/>
  <c r="E988" i="17"/>
  <c r="A931" i="17"/>
  <c r="A929" i="17"/>
  <c r="C902" i="17"/>
  <c r="C903" i="17"/>
  <c r="A930" i="17"/>
  <c r="D924" i="17"/>
  <c r="F29" i="2"/>
  <c r="K29" i="2"/>
  <c r="J29" i="2"/>
  <c r="G29" i="2"/>
  <c r="D29" i="2"/>
  <c r="E29" i="2"/>
  <c r="A30" i="2"/>
  <c r="B29" i="2"/>
  <c r="H29" i="2"/>
  <c r="I29" i="2"/>
  <c r="C29" i="2"/>
  <c r="W25" i="4"/>
  <c r="AI25" i="4"/>
  <c r="D826" i="17"/>
  <c r="F22" i="27"/>
  <c r="E22" i="27"/>
  <c r="B23" i="27"/>
  <c r="D22" i="27"/>
  <c r="E17" i="21"/>
  <c r="D6" i="21"/>
  <c r="D15" i="21"/>
  <c r="D18" i="21"/>
  <c r="D7" i="21"/>
  <c r="E5" i="21"/>
  <c r="F11" i="21"/>
  <c r="F16" i="21"/>
  <c r="F17" i="21"/>
  <c r="F6" i="21"/>
  <c r="C2" i="21"/>
  <c r="E12" i="21"/>
  <c r="D14" i="21"/>
  <c r="B25" i="21"/>
  <c r="E3" i="21"/>
  <c r="D9" i="21"/>
  <c r="E6" i="21"/>
  <c r="F14" i="21"/>
  <c r="B24" i="21"/>
  <c r="D13" i="21"/>
  <c r="E7" i="21"/>
  <c r="D10" i="21"/>
  <c r="E10" i="21"/>
  <c r="E18" i="21"/>
  <c r="E15" i="21"/>
  <c r="F13" i="21"/>
  <c r="D16" i="21"/>
  <c r="B26" i="21"/>
  <c r="E13" i="21"/>
  <c r="F15" i="21"/>
  <c r="F8" i="21"/>
  <c r="F7" i="21"/>
  <c r="H2" i="21"/>
  <c r="D11" i="21"/>
  <c r="B27" i="21"/>
  <c r="D12" i="21"/>
  <c r="E9" i="21"/>
  <c r="E14" i="21"/>
  <c r="F10" i="21"/>
  <c r="D17" i="21"/>
  <c r="F12" i="21"/>
  <c r="F18" i="21"/>
  <c r="D8" i="21"/>
  <c r="F5" i="21"/>
  <c r="D5" i="21"/>
  <c r="E8" i="21"/>
  <c r="F9" i="21"/>
  <c r="E16" i="21"/>
  <c r="B3" i="21"/>
  <c r="E11" i="21"/>
  <c r="B10" i="10"/>
  <c r="K10" i="10"/>
  <c r="L10" i="10"/>
  <c r="J10" i="10"/>
  <c r="H10" i="10"/>
  <c r="C10" i="10"/>
  <c r="G10" i="10"/>
  <c r="I10" i="10"/>
  <c r="A11" i="10"/>
  <c r="M10" i="10"/>
  <c r="P10" i="10"/>
  <c r="D10" i="10"/>
  <c r="F10" i="10"/>
  <c r="E10" i="10"/>
  <c r="CU63" i="9"/>
  <c r="CU66" i="9"/>
  <c r="CU59" i="9"/>
  <c r="CU62" i="9"/>
  <c r="CU65" i="9"/>
  <c r="CU64" i="9"/>
  <c r="CU90" i="9"/>
  <c r="BK64" i="9"/>
  <c r="BK66" i="9"/>
  <c r="BK59" i="9"/>
  <c r="BK90" i="9"/>
  <c r="BK65" i="9"/>
  <c r="BK63" i="9"/>
  <c r="BK62" i="9"/>
  <c r="AA66" i="9"/>
  <c r="AA65" i="9"/>
  <c r="AA59" i="9"/>
  <c r="AA64" i="9"/>
  <c r="AA90" i="9"/>
  <c r="AA62" i="9"/>
  <c r="AA63" i="9"/>
  <c r="B59" i="25"/>
  <c r="F9" i="25"/>
  <c r="AG8" i="18"/>
  <c r="I8" i="18"/>
  <c r="T8" i="18"/>
  <c r="K8" i="18"/>
  <c r="C8" i="18"/>
  <c r="Q8" i="18"/>
  <c r="J8" i="18"/>
  <c r="N8" i="18"/>
  <c r="P8" i="18"/>
  <c r="M8" i="18"/>
  <c r="B8" i="18"/>
  <c r="F8" i="18"/>
  <c r="G8" i="18"/>
  <c r="H8" i="18"/>
  <c r="D8" i="18"/>
  <c r="U8" i="18"/>
  <c r="L8" i="18"/>
  <c r="O8" i="18"/>
  <c r="E8" i="18"/>
  <c r="R8" i="18"/>
  <c r="S8" i="18"/>
  <c r="A9" i="18"/>
  <c r="K24" i="15"/>
  <c r="C16" i="15"/>
  <c r="D20" i="15"/>
  <c r="K22" i="15"/>
  <c r="C17" i="15"/>
  <c r="D7" i="15"/>
  <c r="I21" i="15"/>
  <c r="K16" i="15"/>
  <c r="C19" i="15"/>
  <c r="E24" i="15"/>
  <c r="I12" i="15"/>
  <c r="E15" i="15"/>
  <c r="K23" i="15"/>
  <c r="H21" i="15"/>
  <c r="F14" i="15"/>
  <c r="K17" i="15"/>
  <c r="J25" i="15"/>
  <c r="D22" i="15"/>
  <c r="H19" i="15"/>
  <c r="D24" i="15"/>
  <c r="F13" i="15"/>
  <c r="C14" i="15"/>
  <c r="I14" i="15"/>
  <c r="D11" i="15"/>
  <c r="I19" i="15"/>
  <c r="I13" i="15"/>
  <c r="G23" i="15"/>
  <c r="F20" i="15"/>
  <c r="G20" i="15"/>
  <c r="H16" i="15"/>
  <c r="D21" i="15"/>
  <c r="H22" i="15"/>
  <c r="C21" i="15"/>
  <c r="L21" i="15"/>
  <c r="E22" i="15"/>
  <c r="H15" i="15"/>
  <c r="D16" i="15"/>
  <c r="K20" i="15"/>
  <c r="G14" i="15"/>
  <c r="D19" i="15"/>
  <c r="F22" i="15"/>
  <c r="G15" i="15"/>
  <c r="E20" i="15"/>
  <c r="C12" i="15"/>
  <c r="K11" i="15"/>
  <c r="D12" i="15"/>
  <c r="G22" i="15"/>
  <c r="G24" i="15"/>
  <c r="J14" i="15"/>
  <c r="J18" i="15"/>
  <c r="I15" i="15"/>
  <c r="I20" i="15"/>
  <c r="D14" i="15"/>
  <c r="F12" i="15"/>
  <c r="H24" i="15"/>
  <c r="J19" i="15"/>
  <c r="G21" i="15"/>
  <c r="G31" i="15"/>
  <c r="C13" i="15"/>
  <c r="D13" i="15"/>
  <c r="H20" i="15"/>
  <c r="G11" i="15"/>
  <c r="K25" i="15"/>
  <c r="K13" i="15"/>
  <c r="F21" i="15"/>
  <c r="D15" i="15"/>
  <c r="J15" i="15"/>
  <c r="H13" i="15"/>
  <c r="I18" i="15"/>
  <c r="H18" i="15"/>
  <c r="G19" i="15"/>
  <c r="C22" i="15"/>
  <c r="I17" i="15"/>
  <c r="G13" i="15"/>
  <c r="I25" i="15"/>
  <c r="C18" i="15"/>
  <c r="H11" i="15"/>
  <c r="J23" i="15"/>
  <c r="G12" i="15"/>
  <c r="J13" i="15"/>
  <c r="E18" i="15"/>
  <c r="E17" i="15"/>
  <c r="I22" i="15"/>
  <c r="C15" i="15"/>
  <c r="D17" i="15"/>
  <c r="H14" i="15"/>
  <c r="E21" i="15"/>
  <c r="G28" i="15"/>
  <c r="E11" i="15"/>
  <c r="E14" i="15"/>
  <c r="F23" i="15"/>
  <c r="H12" i="15"/>
  <c r="G17" i="15"/>
  <c r="H23" i="15"/>
  <c r="K14" i="15"/>
  <c r="E16" i="15"/>
  <c r="E12" i="15"/>
  <c r="D27" i="15"/>
  <c r="E19" i="15"/>
  <c r="F18" i="15"/>
  <c r="C11" i="15"/>
  <c r="G18" i="15"/>
  <c r="I23" i="15"/>
  <c r="J22" i="15"/>
  <c r="J17" i="15"/>
  <c r="I16" i="15"/>
  <c r="G30" i="15"/>
  <c r="C24" i="15"/>
  <c r="J24" i="15"/>
  <c r="E13" i="15"/>
  <c r="G16" i="15"/>
  <c r="D18" i="15"/>
  <c r="G29" i="15"/>
  <c r="C23" i="15"/>
  <c r="J16" i="15"/>
  <c r="D23" i="15"/>
  <c r="K15" i="15"/>
  <c r="H17" i="15"/>
  <c r="K19" i="15"/>
  <c r="I11" i="15"/>
  <c r="J20" i="15"/>
  <c r="F16" i="15"/>
  <c r="J12" i="15"/>
  <c r="K21" i="15"/>
  <c r="K12" i="15"/>
  <c r="F24" i="15"/>
  <c r="K18" i="15"/>
  <c r="J21" i="15"/>
  <c r="C20" i="15"/>
  <c r="D28" i="15"/>
  <c r="F19" i="15"/>
  <c r="I24" i="15"/>
  <c r="J11" i="15"/>
  <c r="E23" i="15"/>
  <c r="F17" i="15"/>
  <c r="F15" i="15"/>
  <c r="F11" i="15"/>
  <c r="CL64" i="9"/>
  <c r="CL90" i="9"/>
  <c r="CL65" i="9"/>
  <c r="CL63" i="9"/>
  <c r="CL66" i="9"/>
  <c r="CL62" i="9"/>
  <c r="CL59" i="9"/>
  <c r="BB62" i="9"/>
  <c r="BB65" i="9"/>
  <c r="BB66" i="9"/>
  <c r="BB64" i="9"/>
  <c r="BB63" i="9"/>
  <c r="BB90" i="9"/>
  <c r="BB59" i="9"/>
  <c r="R63" i="9"/>
  <c r="R65" i="9"/>
  <c r="R90" i="9"/>
  <c r="R62" i="9"/>
  <c r="R64" i="9"/>
  <c r="R66" i="9"/>
  <c r="R59" i="9"/>
  <c r="A33" i="20"/>
  <c r="A34" i="20"/>
  <c r="A35" i="20"/>
  <c r="A36" i="20"/>
  <c r="E9" i="20"/>
  <c r="F91" i="20"/>
  <c r="C8" i="20"/>
  <c r="C9" i="20"/>
  <c r="F3" i="24"/>
  <c r="D9" i="25"/>
  <c r="D3" i="24"/>
  <c r="D8" i="25"/>
  <c r="E3" i="24"/>
  <c r="C3" i="24"/>
  <c r="B4" i="24"/>
  <c r="DO39" i="9"/>
  <c r="DM90" i="9"/>
  <c r="CC65" i="9"/>
  <c r="CC62" i="9"/>
  <c r="CC64" i="9"/>
  <c r="CC66" i="9"/>
  <c r="CC63" i="9"/>
  <c r="CC90" i="9"/>
  <c r="CC59" i="9"/>
  <c r="AS63" i="9"/>
  <c r="AS90" i="9"/>
  <c r="AS62" i="9"/>
  <c r="AS64" i="9"/>
  <c r="AS65" i="9"/>
  <c r="AS66" i="9"/>
  <c r="AS59" i="9"/>
  <c r="EE62" i="9"/>
  <c r="EE90" i="9"/>
  <c r="EE65" i="9"/>
  <c r="EE66" i="9"/>
  <c r="EE63" i="9"/>
  <c r="EE64" i="9"/>
  <c r="EE59" i="9"/>
  <c r="B8" i="11"/>
  <c r="T8" i="11"/>
  <c r="N8" i="11"/>
  <c r="U8" i="11"/>
  <c r="C8" i="11"/>
  <c r="P8" i="11"/>
  <c r="A9" i="11"/>
  <c r="F8" i="11"/>
  <c r="L8" i="11"/>
  <c r="D8" i="11"/>
  <c r="E8" i="11"/>
  <c r="H8" i="11"/>
  <c r="O8" i="11"/>
  <c r="K8" i="11"/>
  <c r="G8" i="11"/>
  <c r="Q8" i="11"/>
  <c r="AG8" i="11"/>
  <c r="J8" i="11"/>
  <c r="M8" i="11"/>
  <c r="R8" i="11"/>
  <c r="S8" i="11"/>
  <c r="I8" i="11"/>
  <c r="N9" i="13"/>
  <c r="D16" i="20"/>
  <c r="W9" i="13"/>
  <c r="D19" i="20"/>
  <c r="AK9" i="13"/>
  <c r="C24" i="20"/>
  <c r="AA9" i="13"/>
  <c r="E20" i="20"/>
  <c r="G9" i="13"/>
  <c r="C14" i="20"/>
  <c r="C9" i="13"/>
  <c r="F9" i="13"/>
  <c r="E13" i="20"/>
  <c r="L9" i="13"/>
  <c r="E15" i="20"/>
  <c r="AC9" i="13"/>
  <c r="D21" i="20"/>
  <c r="AR9" i="13"/>
  <c r="D26" i="20"/>
  <c r="AD9" i="13"/>
  <c r="E21" i="20"/>
  <c r="H9" i="13"/>
  <c r="D14" i="20"/>
  <c r="U9" i="13"/>
  <c r="E18" i="20"/>
  <c r="O9" i="13"/>
  <c r="E16" i="20"/>
  <c r="B9" i="13"/>
  <c r="K9" i="13"/>
  <c r="D15" i="20"/>
  <c r="R9" i="13"/>
  <c r="E17" i="20"/>
  <c r="AE9" i="13"/>
  <c r="C22" i="20"/>
  <c r="AS9" i="13"/>
  <c r="E26" i="20"/>
  <c r="J9" i="13"/>
  <c r="C15" i="20"/>
  <c r="T9" i="13"/>
  <c r="D18" i="20"/>
  <c r="AL9" i="13"/>
  <c r="D24" i="20"/>
  <c r="D9" i="13"/>
  <c r="C13" i="20"/>
  <c r="AG9" i="13"/>
  <c r="E22" i="20"/>
  <c r="P9" i="13"/>
  <c r="C17" i="20"/>
  <c r="AJ9" i="13"/>
  <c r="E23" i="20"/>
  <c r="Z9" i="13"/>
  <c r="D20" i="20"/>
  <c r="AO9" i="13"/>
  <c r="D25" i="20"/>
  <c r="M9" i="13"/>
  <c r="C16" i="20"/>
  <c r="S9" i="13"/>
  <c r="C18" i="20"/>
  <c r="AF9" i="13"/>
  <c r="D22" i="20"/>
  <c r="AB9" i="13"/>
  <c r="C21" i="20"/>
  <c r="AH9" i="13"/>
  <c r="C23" i="20"/>
  <c r="X9" i="13"/>
  <c r="E19" i="20"/>
  <c r="AN9" i="13"/>
  <c r="C25" i="20"/>
  <c r="Q9" i="13"/>
  <c r="D17" i="20"/>
  <c r="AP9" i="13"/>
  <c r="E25" i="20"/>
  <c r="V9" i="13"/>
  <c r="C19" i="20"/>
  <c r="AQ9" i="13"/>
  <c r="C26" i="20"/>
  <c r="Y9" i="13"/>
  <c r="C20" i="20"/>
  <c r="BL9" i="13"/>
  <c r="E9" i="13"/>
  <c r="D13" i="20"/>
  <c r="A10" i="13"/>
  <c r="AM9" i="13"/>
  <c r="E24" i="20"/>
  <c r="I9" i="13"/>
  <c r="E14" i="20"/>
  <c r="AI9" i="13"/>
  <c r="D23" i="20"/>
  <c r="BA9" i="13"/>
  <c r="D29" i="20"/>
  <c r="DD90" i="9"/>
  <c r="DD64" i="9"/>
  <c r="DD59" i="9"/>
  <c r="DD62" i="9"/>
  <c r="DD66" i="9"/>
  <c r="DD65" i="9"/>
  <c r="DD63" i="9"/>
  <c r="BT62" i="9"/>
  <c r="BT66" i="9"/>
  <c r="BT65" i="9"/>
  <c r="BT63" i="9"/>
  <c r="BT64" i="9"/>
  <c r="BT90" i="9"/>
  <c r="BT59" i="9"/>
  <c r="AJ65" i="9"/>
  <c r="AJ63" i="9"/>
  <c r="AJ66" i="9"/>
  <c r="AJ90" i="9"/>
  <c r="AJ64" i="9"/>
  <c r="AJ62" i="9"/>
  <c r="AJ59" i="9"/>
  <c r="DV63" i="9"/>
  <c r="DV66" i="9"/>
  <c r="DV64" i="9"/>
  <c r="DV90" i="9"/>
  <c r="DV59" i="9"/>
  <c r="DV65" i="9"/>
  <c r="DV62" i="9"/>
  <c r="BO21" i="27"/>
  <c r="BP21" i="27"/>
  <c r="BQ21" i="27"/>
  <c r="Y21" i="27"/>
  <c r="Z21" i="27"/>
  <c r="AA21" i="27"/>
  <c r="AW21" i="27"/>
  <c r="AX21" i="27"/>
  <c r="AY21" i="27"/>
  <c r="BC21" i="27"/>
  <c r="BD21" i="27"/>
  <c r="BE21" i="27"/>
  <c r="BU21" i="27"/>
  <c r="BV21" i="27"/>
  <c r="BW21" i="27"/>
  <c r="AK21" i="27"/>
  <c r="AL21" i="27"/>
  <c r="AM21" i="27"/>
  <c r="S21" i="27"/>
  <c r="T21" i="27"/>
  <c r="U21" i="27"/>
  <c r="AE21" i="27"/>
  <c r="AF21" i="27"/>
  <c r="AG21" i="27"/>
  <c r="G21" i="27"/>
  <c r="H21" i="27"/>
  <c r="I21" i="27"/>
  <c r="CA21" i="27"/>
  <c r="CB21" i="27"/>
  <c r="CC21" i="27"/>
  <c r="D917" i="17"/>
  <c r="BI21" i="27"/>
  <c r="BJ21" i="27"/>
  <c r="BK21" i="27"/>
  <c r="AQ21" i="27"/>
  <c r="AR21" i="27"/>
  <c r="AS21" i="27"/>
  <c r="M21" i="27"/>
  <c r="N21" i="27"/>
  <c r="O21" i="27"/>
  <c r="C22" i="27"/>
  <c r="BC22" i="27"/>
  <c r="BD22" i="27"/>
  <c r="BE22" i="27"/>
  <c r="E23" i="27"/>
  <c r="F23" i="27"/>
  <c r="B24" i="27"/>
  <c r="D23" i="27"/>
  <c r="Y25" i="4"/>
  <c r="D831" i="17"/>
  <c r="D829" i="17"/>
  <c r="W31" i="8"/>
  <c r="X30" i="8"/>
  <c r="Y30" i="8"/>
  <c r="D30" i="2"/>
  <c r="F30" i="2"/>
  <c r="I30" i="2"/>
  <c r="J30" i="2"/>
  <c r="A31" i="2"/>
  <c r="K30" i="2"/>
  <c r="H30" i="2"/>
  <c r="G30" i="2"/>
  <c r="C30" i="2"/>
  <c r="E30" i="2"/>
  <c r="B30" i="2"/>
  <c r="D950" i="17"/>
  <c r="A978" i="17"/>
  <c r="E1035" i="17"/>
  <c r="C949" i="17"/>
  <c r="D971" i="17"/>
  <c r="A976" i="17"/>
  <c r="A975" i="17"/>
  <c r="C950" i="17"/>
  <c r="A977" i="17"/>
  <c r="I28" i="4"/>
  <c r="D955" i="17"/>
  <c r="Q28" i="4"/>
  <c r="D963" i="17"/>
  <c r="F28" i="4"/>
  <c r="K28" i="4"/>
  <c r="D957" i="17"/>
  <c r="C28" i="4"/>
  <c r="A29" i="4"/>
  <c r="L28" i="4"/>
  <c r="D958" i="17"/>
  <c r="T28" i="4"/>
  <c r="D965" i="17"/>
  <c r="U28" i="4"/>
  <c r="D966" i="17"/>
  <c r="J28" i="4"/>
  <c r="D956" i="17"/>
  <c r="R28" i="4"/>
  <c r="S28" i="4"/>
  <c r="AG28" i="4"/>
  <c r="M28" i="4"/>
  <c r="D959" i="17"/>
  <c r="O28" i="4"/>
  <c r="D961" i="17"/>
  <c r="P28" i="4"/>
  <c r="D962" i="17"/>
  <c r="N28" i="4"/>
  <c r="D960" i="17"/>
  <c r="D28" i="4"/>
  <c r="E28" i="4"/>
  <c r="B28" i="4"/>
  <c r="G28" i="4"/>
  <c r="H28" i="4"/>
  <c r="D954" i="17"/>
  <c r="W26" i="4"/>
  <c r="AI26" i="4"/>
  <c r="D873" i="17"/>
  <c r="AH25" i="4"/>
  <c r="V27" i="4"/>
  <c r="L20" i="15"/>
  <c r="J3" i="24"/>
  <c r="AX3" i="24"/>
  <c r="CL3" i="24"/>
  <c r="AK3" i="24"/>
  <c r="AL3" i="24"/>
  <c r="BY3" i="24"/>
  <c r="BZ3" i="24"/>
  <c r="DM3" i="24"/>
  <c r="DN3" i="24"/>
  <c r="EI3" i="24"/>
  <c r="M3" i="24"/>
  <c r="AG3" i="24"/>
  <c r="BA3" i="24"/>
  <c r="BU3" i="24"/>
  <c r="CO3" i="24"/>
  <c r="DI3" i="24"/>
  <c r="T3" i="24"/>
  <c r="BH3" i="24"/>
  <c r="CV3" i="24"/>
  <c r="G3" i="24"/>
  <c r="H3" i="24"/>
  <c r="AU3" i="24"/>
  <c r="AV3" i="24"/>
  <c r="CI3" i="24"/>
  <c r="CJ3" i="24"/>
  <c r="DS3" i="24"/>
  <c r="EM3" i="24"/>
  <c r="S3" i="24"/>
  <c r="AM3" i="24"/>
  <c r="BG3" i="24"/>
  <c r="CA3" i="24"/>
  <c r="CU3" i="24"/>
  <c r="DO3" i="24"/>
  <c r="DW3" i="24"/>
  <c r="DX3" i="24"/>
  <c r="AD3" i="24"/>
  <c r="BR3" i="24"/>
  <c r="DF3" i="24"/>
  <c r="Q3" i="24"/>
  <c r="R3" i="24"/>
  <c r="BE3" i="24"/>
  <c r="BF3" i="24"/>
  <c r="CS3" i="24"/>
  <c r="CT3" i="24"/>
  <c r="DY3" i="24"/>
  <c r="W3" i="24"/>
  <c r="AQ3" i="24"/>
  <c r="BK3" i="24"/>
  <c r="CE3" i="24"/>
  <c r="CY3" i="24"/>
  <c r="DZ3" i="24"/>
  <c r="EJ3" i="24"/>
  <c r="AN3" i="24"/>
  <c r="CB3" i="24"/>
  <c r="DP3" i="24"/>
  <c r="AA3" i="24"/>
  <c r="AB3" i="24"/>
  <c r="BO3" i="24"/>
  <c r="BP3" i="24"/>
  <c r="DC3" i="24"/>
  <c r="DD3" i="24"/>
  <c r="EC3" i="24"/>
  <c r="I3" i="24"/>
  <c r="AC3" i="24"/>
  <c r="AW3" i="24"/>
  <c r="BQ3" i="24"/>
  <c r="CK3" i="24"/>
  <c r="DE3" i="24"/>
  <c r="EG3" i="24"/>
  <c r="EH3" i="24"/>
  <c r="V8" i="11"/>
  <c r="E4" i="24"/>
  <c r="B5" i="24"/>
  <c r="D4" i="24"/>
  <c r="C4" i="24"/>
  <c r="F4" i="24"/>
  <c r="L23" i="15"/>
  <c r="L19" i="15"/>
  <c r="L17" i="15"/>
  <c r="E21" i="21"/>
  <c r="AG9" i="11"/>
  <c r="M9" i="11"/>
  <c r="G9" i="11"/>
  <c r="O9" i="11"/>
  <c r="J9" i="11"/>
  <c r="Q9" i="11"/>
  <c r="T9" i="11"/>
  <c r="R9" i="11"/>
  <c r="S9" i="11"/>
  <c r="A10" i="11"/>
  <c r="U9" i="11"/>
  <c r="K9" i="11"/>
  <c r="I9" i="11"/>
  <c r="L9" i="11"/>
  <c r="D9" i="11"/>
  <c r="P9" i="11"/>
  <c r="N9" i="11"/>
  <c r="B9" i="11"/>
  <c r="E9" i="11"/>
  <c r="F9" i="11"/>
  <c r="H9" i="11"/>
  <c r="C9" i="11"/>
  <c r="A81" i="20"/>
  <c r="F136" i="20"/>
  <c r="E54" i="20"/>
  <c r="C54" i="20"/>
  <c r="A80" i="20"/>
  <c r="A78" i="20"/>
  <c r="A79" i="20"/>
  <c r="C53" i="20"/>
  <c r="L11" i="15"/>
  <c r="E9" i="18"/>
  <c r="H9" i="18"/>
  <c r="I9" i="18"/>
  <c r="P9" i="18"/>
  <c r="K9" i="18"/>
  <c r="M9" i="18"/>
  <c r="C9" i="18"/>
  <c r="J9" i="18"/>
  <c r="B9" i="18"/>
  <c r="D9" i="18"/>
  <c r="T9" i="18"/>
  <c r="A10" i="18"/>
  <c r="U9" i="18"/>
  <c r="O9" i="18"/>
  <c r="AG9" i="18"/>
  <c r="L9" i="18"/>
  <c r="F9" i="18"/>
  <c r="R9" i="18"/>
  <c r="S9" i="18"/>
  <c r="G9" i="18"/>
  <c r="N9" i="18"/>
  <c r="Q9" i="18"/>
  <c r="V8" i="18"/>
  <c r="D11" i="10"/>
  <c r="H11" i="10"/>
  <c r="E11" i="10"/>
  <c r="A12" i="10"/>
  <c r="G11" i="10"/>
  <c r="B11" i="10"/>
  <c r="F11" i="10"/>
  <c r="M11" i="10"/>
  <c r="P11" i="10"/>
  <c r="I11" i="10"/>
  <c r="C11" i="10"/>
  <c r="K11" i="10"/>
  <c r="L11" i="10"/>
  <c r="J11" i="10"/>
  <c r="AU9" i="13"/>
  <c r="BB9" i="13"/>
  <c r="L24" i="15"/>
  <c r="L15" i="15"/>
  <c r="L18" i="15"/>
  <c r="L22" i="15"/>
  <c r="L12" i="15"/>
  <c r="K5" i="21"/>
  <c r="L17" i="21"/>
  <c r="H26" i="21"/>
  <c r="K11" i="21"/>
  <c r="J14" i="21"/>
  <c r="J13" i="21"/>
  <c r="L11" i="21"/>
  <c r="I2" i="21"/>
  <c r="H27" i="21"/>
  <c r="J12" i="21"/>
  <c r="J10" i="21"/>
  <c r="L16" i="21"/>
  <c r="J11" i="21"/>
  <c r="L6" i="21"/>
  <c r="J7" i="21"/>
  <c r="L12" i="21"/>
  <c r="J5" i="21"/>
  <c r="J16" i="21"/>
  <c r="H3" i="21"/>
  <c r="K17" i="21"/>
  <c r="J18" i="21"/>
  <c r="N2" i="21"/>
  <c r="L18" i="21"/>
  <c r="J17" i="21"/>
  <c r="H24" i="21"/>
  <c r="L13" i="21"/>
  <c r="K9" i="21"/>
  <c r="K18" i="21"/>
  <c r="J8" i="21"/>
  <c r="K15" i="21"/>
  <c r="L14" i="21"/>
  <c r="J6" i="21"/>
  <c r="J9" i="21"/>
  <c r="L8" i="21"/>
  <c r="L15" i="21"/>
  <c r="K6" i="21"/>
  <c r="K12" i="21"/>
  <c r="K14" i="21"/>
  <c r="K16" i="21"/>
  <c r="L9" i="21"/>
  <c r="K7" i="21"/>
  <c r="K3" i="21"/>
  <c r="K13" i="21"/>
  <c r="L5" i="21"/>
  <c r="L7" i="21"/>
  <c r="K10" i="21"/>
  <c r="K8" i="21"/>
  <c r="J15" i="21"/>
  <c r="L10" i="21"/>
  <c r="H25" i="21"/>
  <c r="R10" i="13"/>
  <c r="E62" i="20"/>
  <c r="AD10" i="13"/>
  <c r="E66" i="20"/>
  <c r="AN10" i="13"/>
  <c r="C70" i="20"/>
  <c r="AC10" i="13"/>
  <c r="D66" i="20"/>
  <c r="AQ10" i="13"/>
  <c r="C71" i="20"/>
  <c r="E10" i="13"/>
  <c r="D58" i="20"/>
  <c r="F10" i="13"/>
  <c r="E58" i="20"/>
  <c r="AK10" i="13"/>
  <c r="C69" i="20"/>
  <c r="AB10" i="13"/>
  <c r="C66" i="20"/>
  <c r="B10" i="13"/>
  <c r="M10" i="13"/>
  <c r="C61" i="20"/>
  <c r="H10" i="13"/>
  <c r="D59" i="20"/>
  <c r="A11" i="13"/>
  <c r="AG10" i="13"/>
  <c r="E67" i="20"/>
  <c r="AF10" i="13"/>
  <c r="D67" i="20"/>
  <c r="BL10" i="13"/>
  <c r="Q10" i="13"/>
  <c r="D62" i="20"/>
  <c r="Z10" i="13"/>
  <c r="D65" i="20"/>
  <c r="Y10" i="13"/>
  <c r="C65" i="20"/>
  <c r="AJ10" i="13"/>
  <c r="E68" i="20"/>
  <c r="AS10" i="13"/>
  <c r="E71" i="20"/>
  <c r="AP10" i="13"/>
  <c r="E70" i="20"/>
  <c r="U10" i="13"/>
  <c r="E63" i="20"/>
  <c r="AA10" i="13"/>
  <c r="E65" i="20"/>
  <c r="T10" i="13"/>
  <c r="D63" i="20"/>
  <c r="G10" i="13"/>
  <c r="C59" i="20"/>
  <c r="P10" i="13"/>
  <c r="C62" i="20"/>
  <c r="D10" i="13"/>
  <c r="C58" i="20"/>
  <c r="S10" i="13"/>
  <c r="C63" i="20"/>
  <c r="N10" i="13"/>
  <c r="D61" i="20"/>
  <c r="V10" i="13"/>
  <c r="C64" i="20"/>
  <c r="AM10" i="13"/>
  <c r="E69" i="20"/>
  <c r="AE10" i="13"/>
  <c r="C67" i="20"/>
  <c r="AI10" i="13"/>
  <c r="D68" i="20"/>
  <c r="I10" i="13"/>
  <c r="E59" i="20"/>
  <c r="AO10" i="13"/>
  <c r="D70" i="20"/>
  <c r="J10" i="13"/>
  <c r="C60" i="20"/>
  <c r="L10" i="13"/>
  <c r="E60" i="20"/>
  <c r="X10" i="13"/>
  <c r="E64" i="20"/>
  <c r="BA10" i="13"/>
  <c r="D74" i="20"/>
  <c r="O10" i="13"/>
  <c r="E61" i="20"/>
  <c r="W10" i="13"/>
  <c r="D64" i="20"/>
  <c r="K10" i="13"/>
  <c r="D60" i="20"/>
  <c r="BB10" i="13"/>
  <c r="L21" i="21"/>
  <c r="AL10" i="13"/>
  <c r="D69" i="20"/>
  <c r="C10" i="13"/>
  <c r="AH10" i="13"/>
  <c r="C68" i="20"/>
  <c r="AR10" i="13"/>
  <c r="D71" i="20"/>
  <c r="DL69" i="9"/>
  <c r="DO90" i="9"/>
  <c r="DM70" i="9"/>
  <c r="DL70" i="9"/>
  <c r="DM69" i="9"/>
  <c r="L25" i="15"/>
  <c r="L13" i="15"/>
  <c r="L14" i="15"/>
  <c r="L16" i="15"/>
  <c r="D38" i="25"/>
  <c r="F38" i="25"/>
  <c r="D37" i="25"/>
  <c r="B88" i="25"/>
  <c r="G22" i="27"/>
  <c r="H22" i="27"/>
  <c r="I22" i="27"/>
  <c r="CG22" i="27"/>
  <c r="CH22" i="27"/>
  <c r="CI22" i="27"/>
  <c r="AK22" i="27"/>
  <c r="AL22" i="27"/>
  <c r="AM22" i="27"/>
  <c r="BU22" i="27"/>
  <c r="BV22" i="27"/>
  <c r="BW22" i="27"/>
  <c r="AE22" i="27"/>
  <c r="AF22" i="27"/>
  <c r="AG22" i="27"/>
  <c r="BO22" i="27"/>
  <c r="BP22" i="27"/>
  <c r="BQ22" i="27"/>
  <c r="M22" i="27"/>
  <c r="N22" i="27"/>
  <c r="O22" i="27"/>
  <c r="AW22" i="27"/>
  <c r="AX22" i="27"/>
  <c r="AY22" i="27"/>
  <c r="AQ22" i="27"/>
  <c r="AR22" i="27"/>
  <c r="AS22" i="27"/>
  <c r="Y22" i="27"/>
  <c r="Z22" i="27"/>
  <c r="AA22" i="27"/>
  <c r="BI22" i="27"/>
  <c r="BJ22" i="27"/>
  <c r="BK22" i="27"/>
  <c r="CA22" i="27"/>
  <c r="CB22" i="27"/>
  <c r="CC22" i="27"/>
  <c r="S22" i="27"/>
  <c r="T22" i="27"/>
  <c r="U22" i="27"/>
  <c r="C23" i="27"/>
  <c r="CG23" i="27"/>
  <c r="CH23" i="27"/>
  <c r="CI23" i="27"/>
  <c r="AH26" i="4"/>
  <c r="D964" i="17"/>
  <c r="A32" i="2"/>
  <c r="F31" i="2"/>
  <c r="B31" i="2"/>
  <c r="D31" i="2"/>
  <c r="C31" i="2"/>
  <c r="K31" i="2"/>
  <c r="J31" i="2"/>
  <c r="I31" i="2"/>
  <c r="E31" i="2"/>
  <c r="G31" i="2"/>
  <c r="H31" i="2"/>
  <c r="W27" i="4"/>
  <c r="AI27" i="4"/>
  <c r="D920" i="17"/>
  <c r="Y26" i="4"/>
  <c r="D878" i="17"/>
  <c r="D876" i="17"/>
  <c r="V28" i="4"/>
  <c r="H29" i="4"/>
  <c r="D1001" i="17"/>
  <c r="T29" i="4"/>
  <c r="D1012" i="17"/>
  <c r="F29" i="4"/>
  <c r="G29" i="4"/>
  <c r="D1000" i="17"/>
  <c r="O29" i="4"/>
  <c r="D1008" i="17"/>
  <c r="L29" i="4"/>
  <c r="D1005" i="17"/>
  <c r="M29" i="4"/>
  <c r="D1006" i="17"/>
  <c r="U29" i="4"/>
  <c r="D1013" i="17"/>
  <c r="J29" i="4"/>
  <c r="D1003" i="17"/>
  <c r="R29" i="4"/>
  <c r="S29" i="4"/>
  <c r="D29" i="4"/>
  <c r="I29" i="4"/>
  <c r="D1002" i="17"/>
  <c r="B29" i="4"/>
  <c r="C29" i="4"/>
  <c r="A30" i="4"/>
  <c r="K29" i="4"/>
  <c r="D1004" i="17"/>
  <c r="P29" i="4"/>
  <c r="D1009" i="17"/>
  <c r="Q29" i="4"/>
  <c r="D1010" i="17"/>
  <c r="N29" i="4"/>
  <c r="D1007" i="17"/>
  <c r="AG29" i="4"/>
  <c r="E29" i="4"/>
  <c r="W32" i="8"/>
  <c r="X31" i="8"/>
  <c r="Y31" i="8"/>
  <c r="D24" i="27"/>
  <c r="B25" i="27"/>
  <c r="E24" i="27"/>
  <c r="F24" i="27"/>
  <c r="D953" i="17"/>
  <c r="C996" i="17"/>
  <c r="E1082" i="17"/>
  <c r="D997" i="17"/>
  <c r="A1022" i="17"/>
  <c r="D1018" i="17"/>
  <c r="C997" i="17"/>
  <c r="A1023" i="17"/>
  <c r="A1024" i="17"/>
  <c r="A1025" i="17"/>
  <c r="EC4" i="24"/>
  <c r="AU4" i="24"/>
  <c r="AV4" i="24"/>
  <c r="CK4" i="24"/>
  <c r="AD4" i="24"/>
  <c r="DO4" i="24"/>
  <c r="DY4" i="24"/>
  <c r="DC4" i="24"/>
  <c r="DD4" i="24"/>
  <c r="CS4" i="24"/>
  <c r="CT4" i="24"/>
  <c r="AK4" i="24"/>
  <c r="AL4" i="24"/>
  <c r="J4" i="24"/>
  <c r="EG4" i="24"/>
  <c r="EH4" i="24"/>
  <c r="CE4" i="24"/>
  <c r="CB4" i="24"/>
  <c r="AN4" i="24"/>
  <c r="BR4" i="24"/>
  <c r="DZ4" i="24"/>
  <c r="CL4" i="24"/>
  <c r="DP4" i="24"/>
  <c r="BY4" i="24"/>
  <c r="BZ4" i="24"/>
  <c r="Q4" i="24"/>
  <c r="R4" i="24"/>
  <c r="W4" i="24"/>
  <c r="BU4" i="24"/>
  <c r="DE4" i="24"/>
  <c r="AW4" i="24"/>
  <c r="AX4" i="24"/>
  <c r="I4" i="24"/>
  <c r="M4" i="24"/>
  <c r="DW4" i="24"/>
  <c r="DX4" i="24"/>
  <c r="CI4" i="24"/>
  <c r="CJ4" i="24"/>
  <c r="BK4" i="24"/>
  <c r="S4" i="24"/>
  <c r="BE4" i="24"/>
  <c r="BF4" i="24"/>
  <c r="DS4" i="24"/>
  <c r="AC4" i="24"/>
  <c r="BO4" i="24"/>
  <c r="BP4" i="24"/>
  <c r="EJ4" i="24"/>
  <c r="G4" i="24"/>
  <c r="H4" i="24"/>
  <c r="DF4" i="24"/>
  <c r="EI4" i="24"/>
  <c r="BA4" i="24"/>
  <c r="EM4" i="24"/>
  <c r="CU4" i="24"/>
  <c r="AG4" i="24"/>
  <c r="BH4" i="24"/>
  <c r="BG4" i="24"/>
  <c r="CO4" i="24"/>
  <c r="T4" i="24"/>
  <c r="DI4" i="24"/>
  <c r="CY4" i="24"/>
  <c r="CV4" i="24"/>
  <c r="CA4" i="24"/>
  <c r="AQ4" i="24"/>
  <c r="AA4" i="24"/>
  <c r="AB4" i="24"/>
  <c r="DM4" i="24"/>
  <c r="DN4" i="24"/>
  <c r="BQ4" i="24"/>
  <c r="AM4" i="24"/>
  <c r="K21" i="21"/>
  <c r="V9" i="18"/>
  <c r="K10" i="18"/>
  <c r="N10" i="18"/>
  <c r="F10" i="18"/>
  <c r="Q10" i="18"/>
  <c r="C10" i="18"/>
  <c r="I10" i="18"/>
  <c r="L10" i="18"/>
  <c r="A11" i="18"/>
  <c r="M10" i="18"/>
  <c r="H10" i="18"/>
  <c r="G10" i="18"/>
  <c r="O10" i="18"/>
  <c r="B10" i="18"/>
  <c r="D10" i="18"/>
  <c r="U10" i="18"/>
  <c r="E10" i="18"/>
  <c r="AG10" i="18"/>
  <c r="P10" i="18"/>
  <c r="T10" i="18"/>
  <c r="R10" i="18"/>
  <c r="S10" i="18"/>
  <c r="J10" i="18"/>
  <c r="E74" i="20"/>
  <c r="R10" i="11"/>
  <c r="S10" i="11"/>
  <c r="C10" i="11"/>
  <c r="E10" i="11"/>
  <c r="T10" i="11"/>
  <c r="U10" i="11"/>
  <c r="K10" i="11"/>
  <c r="D10" i="11"/>
  <c r="J10" i="11"/>
  <c r="B10" i="11"/>
  <c r="N10" i="11"/>
  <c r="G10" i="11"/>
  <c r="Q10" i="11"/>
  <c r="A11" i="11"/>
  <c r="F10" i="11"/>
  <c r="P10" i="11"/>
  <c r="L10" i="11"/>
  <c r="I10" i="11"/>
  <c r="H10" i="11"/>
  <c r="AG10" i="11"/>
  <c r="O10" i="11"/>
  <c r="M10" i="11"/>
  <c r="V9" i="11"/>
  <c r="W8" i="11"/>
  <c r="AI8" i="11"/>
  <c r="AA8" i="11"/>
  <c r="CC3" i="24"/>
  <c r="CD3" i="24"/>
  <c r="D19" i="25"/>
  <c r="C19" i="25"/>
  <c r="CZ3" i="24"/>
  <c r="DA3" i="24"/>
  <c r="F21" i="25"/>
  <c r="E21" i="25"/>
  <c r="X3" i="24"/>
  <c r="Y3" i="24"/>
  <c r="F13" i="25"/>
  <c r="E13" i="25"/>
  <c r="DT3" i="24"/>
  <c r="DU3" i="24"/>
  <c r="F23" i="25"/>
  <c r="E23" i="25"/>
  <c r="CW3" i="24"/>
  <c r="CX3" i="24"/>
  <c r="D21" i="25"/>
  <c r="C21" i="25"/>
  <c r="CP3" i="24"/>
  <c r="CQ3" i="24"/>
  <c r="F20" i="25"/>
  <c r="E20" i="25"/>
  <c r="N3" i="24"/>
  <c r="O3" i="24"/>
  <c r="F12" i="25"/>
  <c r="E12" i="25"/>
  <c r="H11" i="13"/>
  <c r="P11" i="13"/>
  <c r="Q11" i="13"/>
  <c r="AI11" i="13"/>
  <c r="AE11" i="13"/>
  <c r="M11" i="13"/>
  <c r="U11" i="13"/>
  <c r="AP11" i="13"/>
  <c r="AK11" i="13"/>
  <c r="D11" i="13"/>
  <c r="BL11" i="13"/>
  <c r="T11" i="13"/>
  <c r="AG11" i="13"/>
  <c r="Y11" i="13"/>
  <c r="B11" i="13"/>
  <c r="Z11" i="13"/>
  <c r="AJ11" i="13"/>
  <c r="F11" i="13"/>
  <c r="E11" i="13"/>
  <c r="AA11" i="13"/>
  <c r="AQ11" i="13"/>
  <c r="AS11" i="13"/>
  <c r="S11" i="13"/>
  <c r="AM11" i="13"/>
  <c r="AN11" i="13"/>
  <c r="AH11" i="13"/>
  <c r="AF11" i="13"/>
  <c r="J11" i="13"/>
  <c r="I11" i="13"/>
  <c r="AL11" i="13"/>
  <c r="X11" i="13"/>
  <c r="AO11" i="13"/>
  <c r="W11" i="13"/>
  <c r="K11" i="13"/>
  <c r="A12" i="13"/>
  <c r="V11" i="13"/>
  <c r="AD11" i="13"/>
  <c r="G11" i="13"/>
  <c r="L11" i="13"/>
  <c r="R11" i="13"/>
  <c r="O11" i="13"/>
  <c r="AB11" i="13"/>
  <c r="C11" i="13"/>
  <c r="N11" i="13"/>
  <c r="AC11" i="13"/>
  <c r="AR11" i="13"/>
  <c r="BB11" i="13"/>
  <c r="BA11" i="13"/>
  <c r="L12" i="10"/>
  <c r="C12" i="10"/>
  <c r="G12" i="10"/>
  <c r="A13" i="10"/>
  <c r="J12" i="10"/>
  <c r="D12" i="10"/>
  <c r="K12" i="10"/>
  <c r="M12" i="10"/>
  <c r="P12" i="10"/>
  <c r="B12" i="10"/>
  <c r="I12" i="10"/>
  <c r="H12" i="10"/>
  <c r="E12" i="10"/>
  <c r="F12" i="10"/>
  <c r="W8" i="18"/>
  <c r="AI8" i="18"/>
  <c r="AB8" i="18"/>
  <c r="AV9" i="13"/>
  <c r="L26" i="15"/>
  <c r="AO3" i="24"/>
  <c r="AP3" i="24"/>
  <c r="D15" i="25"/>
  <c r="C15" i="25"/>
  <c r="CF3" i="24"/>
  <c r="CG3" i="24"/>
  <c r="F19" i="25"/>
  <c r="E19" i="25"/>
  <c r="DG3" i="24"/>
  <c r="DH3" i="24"/>
  <c r="D22" i="25"/>
  <c r="C22" i="25"/>
  <c r="BI3" i="24"/>
  <c r="BJ3" i="24"/>
  <c r="D17" i="25"/>
  <c r="C17" i="25"/>
  <c r="BV3" i="24"/>
  <c r="BW3" i="24"/>
  <c r="F18" i="25"/>
  <c r="E18" i="25"/>
  <c r="CM3" i="24"/>
  <c r="CN3" i="24"/>
  <c r="D20" i="25"/>
  <c r="C20" i="25"/>
  <c r="P5" i="21"/>
  <c r="R15" i="21"/>
  <c r="Q18" i="21"/>
  <c r="P18" i="21"/>
  <c r="R5" i="21"/>
  <c r="R18" i="21"/>
  <c r="Q8" i="21"/>
  <c r="N25" i="21"/>
  <c r="Q13" i="21"/>
  <c r="R14" i="21"/>
  <c r="R17" i="21"/>
  <c r="P13" i="21"/>
  <c r="P16" i="21"/>
  <c r="R12" i="21"/>
  <c r="Q11" i="21"/>
  <c r="R16" i="21"/>
  <c r="N3" i="21"/>
  <c r="P12" i="21"/>
  <c r="Q5" i="21"/>
  <c r="R8" i="21"/>
  <c r="O2" i="21"/>
  <c r="Q21" i="21"/>
  <c r="Q9" i="21"/>
  <c r="Q16" i="21"/>
  <c r="R9" i="21"/>
  <c r="R6" i="21"/>
  <c r="Q6" i="21"/>
  <c r="R10" i="21"/>
  <c r="P10" i="21"/>
  <c r="Q17" i="21"/>
  <c r="N26" i="21"/>
  <c r="P6" i="21"/>
  <c r="R11" i="21"/>
  <c r="Q7" i="21"/>
  <c r="P11" i="21"/>
  <c r="P9" i="21"/>
  <c r="N27" i="21"/>
  <c r="N24" i="21"/>
  <c r="R21" i="21"/>
  <c r="Q10" i="21"/>
  <c r="Q12" i="21"/>
  <c r="P15" i="21"/>
  <c r="Q3" i="21"/>
  <c r="B30" i="21"/>
  <c r="Q15" i="21"/>
  <c r="R7" i="21"/>
  <c r="P17" i="21"/>
  <c r="P14" i="21"/>
  <c r="P7" i="21"/>
  <c r="P8" i="21"/>
  <c r="Q14" i="21"/>
  <c r="R13" i="21"/>
  <c r="E29" i="20"/>
  <c r="F21" i="21"/>
  <c r="A124" i="20"/>
  <c r="C99" i="20"/>
  <c r="D110" i="20"/>
  <c r="D113" i="20"/>
  <c r="E110" i="20"/>
  <c r="D108" i="20"/>
  <c r="C113" i="20"/>
  <c r="C109" i="20"/>
  <c r="E112" i="20"/>
  <c r="A123" i="20"/>
  <c r="E111" i="20"/>
  <c r="C115" i="20"/>
  <c r="E107" i="20"/>
  <c r="E109" i="20"/>
  <c r="D111" i="20"/>
  <c r="D105" i="20"/>
  <c r="E113" i="20"/>
  <c r="D106" i="20"/>
  <c r="E108" i="20"/>
  <c r="D116" i="20"/>
  <c r="E106" i="20"/>
  <c r="E99" i="20"/>
  <c r="C112" i="20"/>
  <c r="C104" i="20"/>
  <c r="A126" i="20"/>
  <c r="E105" i="20"/>
  <c r="D112" i="20"/>
  <c r="C110" i="20"/>
  <c r="D109" i="20"/>
  <c r="D115" i="20"/>
  <c r="C108" i="20"/>
  <c r="E115" i="20"/>
  <c r="C105" i="20"/>
  <c r="D119" i="20"/>
  <c r="D107" i="20"/>
  <c r="D114" i="20"/>
  <c r="D103" i="20"/>
  <c r="A125" i="20"/>
  <c r="C106" i="20"/>
  <c r="C103" i="20"/>
  <c r="C111" i="20"/>
  <c r="C107" i="20"/>
  <c r="C98" i="20"/>
  <c r="E116" i="20"/>
  <c r="E104" i="20"/>
  <c r="D104" i="20"/>
  <c r="E114" i="20"/>
  <c r="E119" i="20"/>
  <c r="C116" i="20"/>
  <c r="E103" i="20"/>
  <c r="C114" i="20"/>
  <c r="F181" i="20"/>
  <c r="D5" i="24"/>
  <c r="B6" i="24"/>
  <c r="C5" i="24"/>
  <c r="BQ5" i="24"/>
  <c r="F5" i="24"/>
  <c r="E5" i="24"/>
  <c r="EK3" i="24"/>
  <c r="EL3" i="24"/>
  <c r="D25" i="25"/>
  <c r="C25" i="25"/>
  <c r="BL3" i="24"/>
  <c r="BM3" i="24"/>
  <c r="F17" i="25"/>
  <c r="E17" i="25"/>
  <c r="BS3" i="24"/>
  <c r="BT3" i="24"/>
  <c r="D18" i="25"/>
  <c r="C18" i="25"/>
  <c r="U3" i="24"/>
  <c r="V3" i="24"/>
  <c r="D13" i="25"/>
  <c r="C13" i="25"/>
  <c r="BB3" i="24"/>
  <c r="BC3" i="24"/>
  <c r="F16" i="25"/>
  <c r="E16" i="25"/>
  <c r="AY3" i="24"/>
  <c r="AZ3" i="24"/>
  <c r="D16" i="25"/>
  <c r="C16" i="25"/>
  <c r="B117" i="25"/>
  <c r="D66" i="25"/>
  <c r="F67" i="25"/>
  <c r="D67" i="25"/>
  <c r="R15" i="19"/>
  <c r="S15" i="19"/>
  <c r="Q15" i="19"/>
  <c r="P15" i="19"/>
  <c r="D27" i="20"/>
  <c r="E19" i="21"/>
  <c r="ED3" i="24"/>
  <c r="EE3" i="24"/>
  <c r="F24" i="25"/>
  <c r="E24" i="25"/>
  <c r="DQ3" i="24"/>
  <c r="DR3" i="24"/>
  <c r="D23" i="25"/>
  <c r="C23" i="25"/>
  <c r="EA3" i="24"/>
  <c r="EB3" i="24"/>
  <c r="D24" i="25"/>
  <c r="C24" i="25"/>
  <c r="AR3" i="24"/>
  <c r="AS3" i="24"/>
  <c r="F15" i="25"/>
  <c r="E15" i="25"/>
  <c r="AE3" i="24"/>
  <c r="AF3" i="24"/>
  <c r="D14" i="25"/>
  <c r="C14" i="25"/>
  <c r="EN3" i="24"/>
  <c r="EO3" i="24"/>
  <c r="F25" i="25"/>
  <c r="E25" i="25"/>
  <c r="DJ3" i="24"/>
  <c r="DK3" i="24"/>
  <c r="F22" i="25"/>
  <c r="E22" i="25"/>
  <c r="AH3" i="24"/>
  <c r="AI3" i="24"/>
  <c r="F14" i="25"/>
  <c r="E14" i="25"/>
  <c r="K3" i="24"/>
  <c r="L3" i="24"/>
  <c r="D12" i="25"/>
  <c r="C12" i="25"/>
  <c r="AQ23" i="27"/>
  <c r="AR23" i="27"/>
  <c r="AS23" i="27"/>
  <c r="G23" i="27"/>
  <c r="H23" i="27"/>
  <c r="I23" i="27"/>
  <c r="CA23" i="27"/>
  <c r="CB23" i="27"/>
  <c r="CC23" i="27"/>
  <c r="BO23" i="27"/>
  <c r="BP23" i="27"/>
  <c r="BQ23" i="27"/>
  <c r="AW23" i="27"/>
  <c r="AX23" i="27"/>
  <c r="AY23" i="27"/>
  <c r="M23" i="27"/>
  <c r="N23" i="27"/>
  <c r="O23" i="27"/>
  <c r="BU23" i="27"/>
  <c r="BV23" i="27"/>
  <c r="BW23" i="27"/>
  <c r="S23" i="27"/>
  <c r="T23" i="27"/>
  <c r="U23" i="27"/>
  <c r="C24" i="27"/>
  <c r="CA24" i="27"/>
  <c r="CB24" i="27"/>
  <c r="CC24" i="27"/>
  <c r="BI23" i="27"/>
  <c r="BJ23" i="27"/>
  <c r="BK23" i="27"/>
  <c r="AH27" i="4"/>
  <c r="AE23" i="27"/>
  <c r="AF23" i="27"/>
  <c r="AG23" i="27"/>
  <c r="D1011" i="17"/>
  <c r="AK23" i="27"/>
  <c r="AL23" i="27"/>
  <c r="AM23" i="27"/>
  <c r="BC23" i="27"/>
  <c r="BD23" i="27"/>
  <c r="BE23" i="27"/>
  <c r="Y23" i="27"/>
  <c r="Z23" i="27"/>
  <c r="AA23" i="27"/>
  <c r="V29" i="4"/>
  <c r="W28" i="4"/>
  <c r="AI28" i="4"/>
  <c r="D967" i="17"/>
  <c r="I32" i="2"/>
  <c r="F32" i="2"/>
  <c r="H32" i="2"/>
  <c r="G32" i="2"/>
  <c r="D32" i="2"/>
  <c r="B32" i="2"/>
  <c r="A33" i="2"/>
  <c r="J32" i="2"/>
  <c r="E32" i="2"/>
  <c r="K32" i="2"/>
  <c r="C32" i="2"/>
  <c r="I30" i="4"/>
  <c r="D1049" i="17"/>
  <c r="Q30" i="4"/>
  <c r="D1057" i="17"/>
  <c r="J30" i="4"/>
  <c r="D1050" i="17"/>
  <c r="R30" i="4"/>
  <c r="S30" i="4"/>
  <c r="C30" i="4"/>
  <c r="L30" i="4"/>
  <c r="D1052" i="17"/>
  <c r="U30" i="4"/>
  <c r="D1060" i="17"/>
  <c r="T30" i="4"/>
  <c r="D1059" i="17"/>
  <c r="AG30" i="4"/>
  <c r="M30" i="4"/>
  <c r="D1053" i="17"/>
  <c r="N30" i="4"/>
  <c r="D1054" i="17"/>
  <c r="P30" i="4"/>
  <c r="D1056" i="17"/>
  <c r="G30" i="4"/>
  <c r="D1047" i="17"/>
  <c r="A31" i="4"/>
  <c r="D30" i="4"/>
  <c r="B30" i="4"/>
  <c r="O30" i="4"/>
  <c r="D1055" i="17"/>
  <c r="K30" i="4"/>
  <c r="D1051" i="17"/>
  <c r="E30" i="4"/>
  <c r="F30" i="4"/>
  <c r="H30" i="4"/>
  <c r="D1048" i="17"/>
  <c r="C1044" i="17"/>
  <c r="A1071" i="17"/>
  <c r="D1065" i="17"/>
  <c r="A1070" i="17"/>
  <c r="A1072" i="17"/>
  <c r="E1129" i="17"/>
  <c r="D1044" i="17"/>
  <c r="C1043" i="17"/>
  <c r="A1069" i="17"/>
  <c r="Y27" i="4"/>
  <c r="D925" i="17"/>
  <c r="D923" i="17"/>
  <c r="D25" i="27"/>
  <c r="B26" i="27"/>
  <c r="F25" i="27"/>
  <c r="E25" i="27"/>
  <c r="X32" i="8"/>
  <c r="Y32" i="8"/>
  <c r="W33" i="8"/>
  <c r="AH8" i="18"/>
  <c r="CI5" i="24"/>
  <c r="CJ5" i="24"/>
  <c r="AG5" i="24"/>
  <c r="DY5" i="24"/>
  <c r="BO5" i="24"/>
  <c r="BP5" i="24"/>
  <c r="J5" i="24"/>
  <c r="W5" i="24"/>
  <c r="G13" i="10"/>
  <c r="C13" i="10"/>
  <c r="L13" i="10"/>
  <c r="M13" i="10"/>
  <c r="P13" i="10"/>
  <c r="I13" i="10"/>
  <c r="K13" i="10"/>
  <c r="H13" i="10"/>
  <c r="D13" i="10"/>
  <c r="E13" i="10"/>
  <c r="J13" i="10"/>
  <c r="F13" i="10"/>
  <c r="B13" i="10"/>
  <c r="A14" i="10"/>
  <c r="AR4" i="24"/>
  <c r="AS4" i="24"/>
  <c r="F44" i="25"/>
  <c r="E44" i="25"/>
  <c r="DJ4" i="24"/>
  <c r="DK4" i="24"/>
  <c r="F51" i="25"/>
  <c r="E51" i="25"/>
  <c r="BI4" i="24"/>
  <c r="BJ4" i="24"/>
  <c r="D46" i="25"/>
  <c r="C46" i="25"/>
  <c r="BB4" i="24"/>
  <c r="BC4" i="24"/>
  <c r="F45" i="25"/>
  <c r="E45" i="25"/>
  <c r="EK4" i="24"/>
  <c r="EL4" i="24"/>
  <c r="D54" i="25"/>
  <c r="C54" i="25"/>
  <c r="EA4" i="24"/>
  <c r="EB4" i="24"/>
  <c r="D53" i="25"/>
  <c r="C53" i="25"/>
  <c r="CF4" i="24"/>
  <c r="CG4" i="24"/>
  <c r="F48" i="25"/>
  <c r="E48" i="25"/>
  <c r="AE4" i="24"/>
  <c r="AF4" i="24"/>
  <c r="D43" i="25"/>
  <c r="C43" i="25"/>
  <c r="D6" i="24"/>
  <c r="F6" i="24"/>
  <c r="C6" i="24"/>
  <c r="B7" i="24"/>
  <c r="E6" i="24"/>
  <c r="DE5" i="24"/>
  <c r="M5" i="24"/>
  <c r="BE5" i="24"/>
  <c r="BF5" i="24"/>
  <c r="BG5" i="24"/>
  <c r="CK5" i="24"/>
  <c r="CL5" i="24"/>
  <c r="CE5" i="24"/>
  <c r="CU5" i="24"/>
  <c r="EG5" i="24"/>
  <c r="EH5" i="24"/>
  <c r="BA5" i="24"/>
  <c r="AQ5" i="24"/>
  <c r="CS5" i="24"/>
  <c r="CT5" i="24"/>
  <c r="EC5" i="24"/>
  <c r="AM5" i="24"/>
  <c r="EM5" i="24"/>
  <c r="T5" i="24"/>
  <c r="AH8" i="11"/>
  <c r="Y8" i="11"/>
  <c r="BF9" i="13"/>
  <c r="AX9" i="13"/>
  <c r="Q11" i="11"/>
  <c r="T11" i="11"/>
  <c r="AG11" i="11"/>
  <c r="R11" i="11"/>
  <c r="S11" i="11"/>
  <c r="F11" i="11"/>
  <c r="U11" i="11"/>
  <c r="E11" i="11"/>
  <c r="C11" i="11"/>
  <c r="J11" i="11"/>
  <c r="D11" i="11"/>
  <c r="G11" i="11"/>
  <c r="P11" i="11"/>
  <c r="B11" i="11"/>
  <c r="N11" i="11"/>
  <c r="O11" i="11"/>
  <c r="M11" i="11"/>
  <c r="K11" i="11"/>
  <c r="H11" i="11"/>
  <c r="I11" i="11"/>
  <c r="A12" i="11"/>
  <c r="L11" i="11"/>
  <c r="V10" i="18"/>
  <c r="H11" i="18"/>
  <c r="E11" i="18"/>
  <c r="Q11" i="18"/>
  <c r="R11" i="18"/>
  <c r="S11" i="18"/>
  <c r="A12" i="18"/>
  <c r="U11" i="18"/>
  <c r="L11" i="18"/>
  <c r="F11" i="18"/>
  <c r="O11" i="18"/>
  <c r="N11" i="18"/>
  <c r="G11" i="18"/>
  <c r="AG11" i="18"/>
  <c r="T11" i="18"/>
  <c r="K11" i="18"/>
  <c r="P11" i="18"/>
  <c r="B11" i="18"/>
  <c r="J11" i="18"/>
  <c r="M11" i="18"/>
  <c r="D11" i="18"/>
  <c r="I11" i="18"/>
  <c r="C11" i="18"/>
  <c r="U4" i="24"/>
  <c r="V4" i="24"/>
  <c r="D42" i="25"/>
  <c r="C42" i="25"/>
  <c r="AH4" i="24"/>
  <c r="AI4" i="24"/>
  <c r="F43" i="25"/>
  <c r="E43" i="25"/>
  <c r="N4" i="24"/>
  <c r="O4" i="24"/>
  <c r="F41" i="25"/>
  <c r="E41" i="25"/>
  <c r="BS4" i="24"/>
  <c r="BT4" i="24"/>
  <c r="D47" i="25"/>
  <c r="C47" i="25"/>
  <c r="DM5" i="24"/>
  <c r="DN5" i="24"/>
  <c r="AA5" i="24"/>
  <c r="AB5" i="24"/>
  <c r="DZ5" i="24"/>
  <c r="DC5" i="24"/>
  <c r="DD5" i="24"/>
  <c r="EI5" i="24"/>
  <c r="AN5" i="24"/>
  <c r="AX5" i="24"/>
  <c r="BH5" i="24"/>
  <c r="EJ5" i="24"/>
  <c r="CA5" i="24"/>
  <c r="BR5" i="24"/>
  <c r="I5" i="24"/>
  <c r="DF5" i="24"/>
  <c r="CV5" i="24"/>
  <c r="DO5" i="24"/>
  <c r="AU5" i="24"/>
  <c r="AV5" i="24"/>
  <c r="G5" i="24"/>
  <c r="H5" i="24"/>
  <c r="D44" i="21"/>
  <c r="F43" i="21"/>
  <c r="D45" i="21"/>
  <c r="C30" i="21"/>
  <c r="E38" i="21"/>
  <c r="E35" i="21"/>
  <c r="D40" i="21"/>
  <c r="E43" i="21"/>
  <c r="F42" i="21"/>
  <c r="E39" i="21"/>
  <c r="E46" i="21"/>
  <c r="D38" i="21"/>
  <c r="F35" i="21"/>
  <c r="D34" i="21"/>
  <c r="F37" i="21"/>
  <c r="E45" i="21"/>
  <c r="H30" i="21"/>
  <c r="D39" i="21"/>
  <c r="D35" i="21"/>
  <c r="E44" i="21"/>
  <c r="D46" i="21"/>
  <c r="B55" i="21"/>
  <c r="D37" i="21"/>
  <c r="D41" i="21"/>
  <c r="F45" i="21"/>
  <c r="B31" i="21"/>
  <c r="F44" i="21"/>
  <c r="B52" i="21"/>
  <c r="D33" i="21"/>
  <c r="E36" i="21"/>
  <c r="D43" i="21"/>
  <c r="E42" i="21"/>
  <c r="E34" i="21"/>
  <c r="F41" i="21"/>
  <c r="F38" i="21"/>
  <c r="F40" i="21"/>
  <c r="E40" i="21"/>
  <c r="E37" i="21"/>
  <c r="D36" i="21"/>
  <c r="B53" i="21"/>
  <c r="E33" i="21"/>
  <c r="E31" i="21"/>
  <c r="F33" i="21"/>
  <c r="F39" i="21"/>
  <c r="F34" i="21"/>
  <c r="F46" i="21"/>
  <c r="B54" i="21"/>
  <c r="D42" i="21"/>
  <c r="E41" i="21"/>
  <c r="F36" i="21"/>
  <c r="E27" i="20"/>
  <c r="F19" i="21"/>
  <c r="Y8" i="18"/>
  <c r="BC9" i="13"/>
  <c r="AY9" i="13"/>
  <c r="AN12" i="13"/>
  <c r="AG12" i="13"/>
  <c r="P12" i="13"/>
  <c r="AS12" i="13"/>
  <c r="D12" i="13"/>
  <c r="R12" i="13"/>
  <c r="W12" i="13"/>
  <c r="Q12" i="13"/>
  <c r="E12" i="13"/>
  <c r="AL12" i="13"/>
  <c r="I12" i="13"/>
  <c r="BL12" i="13"/>
  <c r="BB12" i="13"/>
  <c r="F49" i="21"/>
  <c r="AO12" i="13"/>
  <c r="K12" i="13"/>
  <c r="Y12" i="13"/>
  <c r="AC12" i="13"/>
  <c r="D156" i="20"/>
  <c r="G12" i="13"/>
  <c r="AH12" i="13"/>
  <c r="M12" i="13"/>
  <c r="U12" i="13"/>
  <c r="F12" i="13"/>
  <c r="AK12" i="13"/>
  <c r="AE12" i="13"/>
  <c r="C12" i="13"/>
  <c r="B12" i="13"/>
  <c r="T12" i="13"/>
  <c r="J12" i="13"/>
  <c r="O12" i="13"/>
  <c r="AP12" i="13"/>
  <c r="A13" i="13"/>
  <c r="L12" i="13"/>
  <c r="AA12" i="13"/>
  <c r="E155" i="20"/>
  <c r="X12" i="13"/>
  <c r="V12" i="13"/>
  <c r="C154" i="20"/>
  <c r="AF12" i="13"/>
  <c r="H12" i="13"/>
  <c r="AJ12" i="13"/>
  <c r="N12" i="13"/>
  <c r="AD12" i="13"/>
  <c r="AR12" i="13"/>
  <c r="AI12" i="13"/>
  <c r="AM12" i="13"/>
  <c r="E159" i="20"/>
  <c r="Z12" i="13"/>
  <c r="AQ12" i="13"/>
  <c r="AB12" i="13"/>
  <c r="S12" i="13"/>
  <c r="C153" i="20"/>
  <c r="BA12" i="13"/>
  <c r="E49" i="21"/>
  <c r="W9" i="11"/>
  <c r="AI9" i="11"/>
  <c r="AA9" i="11"/>
  <c r="AU10" i="13"/>
  <c r="W9" i="18"/>
  <c r="AH9" i="18"/>
  <c r="AB9" i="18"/>
  <c r="AV10" i="13"/>
  <c r="CW4" i="24"/>
  <c r="CX4" i="24"/>
  <c r="D50" i="25"/>
  <c r="C50" i="25"/>
  <c r="CP4" i="24"/>
  <c r="CQ4" i="24"/>
  <c r="F49" i="25"/>
  <c r="E49" i="25"/>
  <c r="DG4" i="24"/>
  <c r="DH4" i="24"/>
  <c r="D51" i="25"/>
  <c r="C51" i="25"/>
  <c r="BL4" i="24"/>
  <c r="BM4" i="24"/>
  <c r="F46" i="25"/>
  <c r="E46" i="25"/>
  <c r="BV4" i="24"/>
  <c r="BW4" i="24"/>
  <c r="F47" i="25"/>
  <c r="E47" i="25"/>
  <c r="DQ4" i="24"/>
  <c r="DR4" i="24"/>
  <c r="D52" i="25"/>
  <c r="C52" i="25"/>
  <c r="AO4" i="24"/>
  <c r="AP4" i="24"/>
  <c r="D44" i="25"/>
  <c r="C44" i="25"/>
  <c r="K4" i="24"/>
  <c r="L4" i="24"/>
  <c r="D41" i="25"/>
  <c r="C41" i="25"/>
  <c r="DS5" i="24"/>
  <c r="DW5" i="24"/>
  <c r="DX5" i="24"/>
  <c r="AW5" i="24"/>
  <c r="F96" i="25"/>
  <c r="D96" i="25"/>
  <c r="B146" i="25"/>
  <c r="D95" i="25"/>
  <c r="CB5" i="24"/>
  <c r="CY5" i="24"/>
  <c r="AC5" i="24"/>
  <c r="BY5" i="24"/>
  <c r="BZ5" i="24"/>
  <c r="Q5" i="24"/>
  <c r="R5" i="24"/>
  <c r="DP5" i="24"/>
  <c r="S5" i="24"/>
  <c r="AK5" i="24"/>
  <c r="AL5" i="24"/>
  <c r="CO5" i="24"/>
  <c r="AD5" i="24"/>
  <c r="BK5" i="24"/>
  <c r="BU5" i="24"/>
  <c r="DI5" i="24"/>
  <c r="C150" i="20"/>
  <c r="E150" i="20"/>
  <c r="E154" i="20"/>
  <c r="D164" i="20"/>
  <c r="D148" i="20"/>
  <c r="D152" i="20"/>
  <c r="E151" i="20"/>
  <c r="D158" i="20"/>
  <c r="E156" i="20"/>
  <c r="C151" i="20"/>
  <c r="D150" i="20"/>
  <c r="D149" i="20"/>
  <c r="C160" i="20"/>
  <c r="E149" i="20"/>
  <c r="D154" i="20"/>
  <c r="E157" i="20"/>
  <c r="E164" i="20"/>
  <c r="E148" i="20"/>
  <c r="E152" i="20"/>
  <c r="C149" i="20"/>
  <c r="C158" i="20"/>
  <c r="C161" i="20"/>
  <c r="F226" i="20"/>
  <c r="E161" i="20"/>
  <c r="C148" i="20"/>
  <c r="C159" i="20"/>
  <c r="C144" i="20"/>
  <c r="A170" i="20"/>
  <c r="D153" i="20"/>
  <c r="C156" i="20"/>
  <c r="E153" i="20"/>
  <c r="E160" i="20"/>
  <c r="D157" i="20"/>
  <c r="A171" i="20"/>
  <c r="D155" i="20"/>
  <c r="D159" i="20"/>
  <c r="C143" i="20"/>
  <c r="D151" i="20"/>
  <c r="A169" i="20"/>
  <c r="C152" i="20"/>
  <c r="E144" i="20"/>
  <c r="C155" i="20"/>
  <c r="D161" i="20"/>
  <c r="E158" i="20"/>
  <c r="D160" i="20"/>
  <c r="C157" i="20"/>
  <c r="A168" i="20"/>
  <c r="V10" i="11"/>
  <c r="AU11" i="13"/>
  <c r="CZ4" i="24"/>
  <c r="DA4" i="24"/>
  <c r="F50" i="25"/>
  <c r="E50" i="25"/>
  <c r="EN4" i="24"/>
  <c r="EO4" i="24"/>
  <c r="F54" i="25"/>
  <c r="E54" i="25"/>
  <c r="DT4" i="24"/>
  <c r="DU4" i="24"/>
  <c r="F52" i="25"/>
  <c r="E52" i="25"/>
  <c r="AY4" i="24"/>
  <c r="AZ4" i="24"/>
  <c r="D45" i="25"/>
  <c r="C45" i="25"/>
  <c r="X4" i="24"/>
  <c r="Y4" i="24"/>
  <c r="F42" i="25"/>
  <c r="E42" i="25"/>
  <c r="CM4" i="24"/>
  <c r="CN4" i="24"/>
  <c r="D49" i="25"/>
  <c r="C49" i="25"/>
  <c r="CC4" i="24"/>
  <c r="CD4" i="24"/>
  <c r="D48" i="25"/>
  <c r="C48" i="25"/>
  <c r="ED4" i="24"/>
  <c r="EE4" i="24"/>
  <c r="F53" i="25"/>
  <c r="E53" i="25"/>
  <c r="Y24" i="27"/>
  <c r="Z24" i="27"/>
  <c r="AA24" i="27"/>
  <c r="M24" i="27"/>
  <c r="N24" i="27"/>
  <c r="O24" i="27"/>
  <c r="AQ24" i="27"/>
  <c r="AR24" i="27"/>
  <c r="AS24" i="27"/>
  <c r="BI24" i="27"/>
  <c r="BJ24" i="27"/>
  <c r="BK24" i="27"/>
  <c r="AE24" i="27"/>
  <c r="AF24" i="27"/>
  <c r="AG24" i="27"/>
  <c r="AW24" i="27"/>
  <c r="AX24" i="27"/>
  <c r="AY24" i="27"/>
  <c r="S24" i="27"/>
  <c r="T24" i="27"/>
  <c r="U24" i="27"/>
  <c r="D1058" i="17"/>
  <c r="BC24" i="27"/>
  <c r="BD24" i="27"/>
  <c r="BE24" i="27"/>
  <c r="BU24" i="27"/>
  <c r="BV24" i="27"/>
  <c r="BW24" i="27"/>
  <c r="BO24" i="27"/>
  <c r="BP24" i="27"/>
  <c r="BQ24" i="27"/>
  <c r="G24" i="27"/>
  <c r="H24" i="27"/>
  <c r="I24" i="27"/>
  <c r="AK24" i="27"/>
  <c r="AL24" i="27"/>
  <c r="AM24" i="27"/>
  <c r="CG24" i="27"/>
  <c r="CH24" i="27"/>
  <c r="CI24" i="27"/>
  <c r="C25" i="27"/>
  <c r="BC25" i="27"/>
  <c r="BD25" i="27"/>
  <c r="BE25" i="27"/>
  <c r="AH28" i="4"/>
  <c r="F26" i="27"/>
  <c r="B27" i="27"/>
  <c r="E26" i="27"/>
  <c r="D26" i="27"/>
  <c r="V30" i="4"/>
  <c r="X33" i="8"/>
  <c r="Y33" i="8"/>
  <c r="W34" i="8"/>
  <c r="D970" i="17"/>
  <c r="Y28" i="4"/>
  <c r="D972" i="17"/>
  <c r="D1091" i="17"/>
  <c r="A1118" i="17"/>
  <c r="D1112" i="17"/>
  <c r="A1119" i="17"/>
  <c r="A1117" i="17"/>
  <c r="E1176" i="17"/>
  <c r="C1091" i="17"/>
  <c r="A1116" i="17"/>
  <c r="C1090" i="17"/>
  <c r="J33" i="2"/>
  <c r="B33" i="2"/>
  <c r="F33" i="2"/>
  <c r="K33" i="2"/>
  <c r="A34" i="2"/>
  <c r="I33" i="2"/>
  <c r="E33" i="2"/>
  <c r="G33" i="2"/>
  <c r="H33" i="2"/>
  <c r="C33" i="2"/>
  <c r="D33" i="2"/>
  <c r="W29" i="4"/>
  <c r="AI29" i="4"/>
  <c r="D1014" i="17"/>
  <c r="I31" i="4"/>
  <c r="D1096" i="17"/>
  <c r="Q31" i="4"/>
  <c r="D1104" i="17"/>
  <c r="N31" i="4"/>
  <c r="D1101" i="17"/>
  <c r="P31" i="4"/>
  <c r="D1103" i="17"/>
  <c r="L31" i="4"/>
  <c r="D1099" i="17"/>
  <c r="AG31" i="4"/>
  <c r="K31" i="4"/>
  <c r="D1098" i="17"/>
  <c r="T31" i="4"/>
  <c r="D1106" i="17"/>
  <c r="R31" i="4"/>
  <c r="S31" i="4"/>
  <c r="M31" i="4"/>
  <c r="D1100" i="17"/>
  <c r="H31" i="4"/>
  <c r="D1095" i="17"/>
  <c r="A32" i="4"/>
  <c r="O31" i="4"/>
  <c r="D1102" i="17"/>
  <c r="D31" i="4"/>
  <c r="C31" i="4"/>
  <c r="B31" i="4"/>
  <c r="U31" i="4"/>
  <c r="D1107" i="17"/>
  <c r="G31" i="4"/>
  <c r="F31" i="4"/>
  <c r="J31" i="4"/>
  <c r="D1097" i="17"/>
  <c r="E31" i="4"/>
  <c r="D117" i="20"/>
  <c r="Q19" i="21"/>
  <c r="BU6" i="24"/>
  <c r="S6" i="24"/>
  <c r="CV6" i="24"/>
  <c r="DZ6" i="24"/>
  <c r="AX6" i="24"/>
  <c r="BR6" i="24"/>
  <c r="CE6" i="24"/>
  <c r="AD6" i="24"/>
  <c r="I6" i="24"/>
  <c r="AK6" i="24"/>
  <c r="AL6" i="24"/>
  <c r="DI6" i="24"/>
  <c r="EM6" i="24"/>
  <c r="CL6" i="24"/>
  <c r="DW6" i="24"/>
  <c r="DX6" i="24"/>
  <c r="BA6" i="24"/>
  <c r="AG6" i="24"/>
  <c r="DO6" i="24"/>
  <c r="AQ6" i="24"/>
  <c r="DY6" i="24"/>
  <c r="BY6" i="24"/>
  <c r="BZ6" i="24"/>
  <c r="CA6" i="24"/>
  <c r="DE6" i="24"/>
  <c r="BE6" i="24"/>
  <c r="BF6" i="24"/>
  <c r="G6" i="24"/>
  <c r="H6" i="24"/>
  <c r="M6" i="24"/>
  <c r="CU6" i="24"/>
  <c r="CY6" i="24"/>
  <c r="DP6" i="24"/>
  <c r="CO6" i="24"/>
  <c r="AM6" i="24"/>
  <c r="AA6" i="24"/>
  <c r="AB6" i="24"/>
  <c r="AN6" i="24"/>
  <c r="EG6" i="24"/>
  <c r="EH6" i="24"/>
  <c r="BQ6" i="24"/>
  <c r="EC6" i="24"/>
  <c r="AU6" i="24"/>
  <c r="AV6" i="24"/>
  <c r="BG6" i="24"/>
  <c r="CI6" i="24"/>
  <c r="CJ6" i="24"/>
  <c r="AW6" i="24"/>
  <c r="BK6" i="24"/>
  <c r="AC6" i="24"/>
  <c r="T6" i="24"/>
  <c r="J6" i="24"/>
  <c r="DM6" i="24"/>
  <c r="DN6" i="24"/>
  <c r="CS6" i="24"/>
  <c r="CT6" i="24"/>
  <c r="BO6" i="24"/>
  <c r="BP6" i="24"/>
  <c r="CB6" i="24"/>
  <c r="BH6" i="24"/>
  <c r="DC6" i="24"/>
  <c r="DD6" i="24"/>
  <c r="W6" i="24"/>
  <c r="EI6" i="24"/>
  <c r="CK6" i="24"/>
  <c r="DS6" i="24"/>
  <c r="DF6" i="24"/>
  <c r="Q6" i="24"/>
  <c r="R6" i="24"/>
  <c r="EJ6" i="24"/>
  <c r="DJ5" i="24"/>
  <c r="DK5" i="24"/>
  <c r="F80" i="25"/>
  <c r="E80" i="25"/>
  <c r="CP5" i="24"/>
  <c r="CQ5" i="24"/>
  <c r="F78" i="25"/>
  <c r="E78" i="25"/>
  <c r="CC5" i="24"/>
  <c r="CD5" i="24"/>
  <c r="D77" i="25"/>
  <c r="C77" i="25"/>
  <c r="F125" i="25"/>
  <c r="B175" i="25"/>
  <c r="L19" i="21"/>
  <c r="E72" i="20"/>
  <c r="D72" i="20"/>
  <c r="K19" i="21"/>
  <c r="CW5" i="24"/>
  <c r="CX5" i="24"/>
  <c r="D79" i="25"/>
  <c r="C79" i="25"/>
  <c r="AO5" i="24"/>
  <c r="AP5" i="24"/>
  <c r="D73" i="25"/>
  <c r="C73" i="25"/>
  <c r="T12" i="18"/>
  <c r="M12" i="18"/>
  <c r="O12" i="18"/>
  <c r="N12" i="18"/>
  <c r="Q12" i="18"/>
  <c r="F12" i="18"/>
  <c r="D12" i="18"/>
  <c r="G12" i="18"/>
  <c r="J12" i="18"/>
  <c r="K12" i="18"/>
  <c r="C12" i="18"/>
  <c r="I12" i="18"/>
  <c r="A13" i="18"/>
  <c r="L12" i="18"/>
  <c r="H12" i="18"/>
  <c r="U12" i="18"/>
  <c r="E12" i="18"/>
  <c r="B12" i="18"/>
  <c r="R12" i="18"/>
  <c r="S12" i="18"/>
  <c r="AG12" i="18"/>
  <c r="P12" i="18"/>
  <c r="U5" i="24"/>
  <c r="V5" i="24"/>
  <c r="D71" i="25"/>
  <c r="C71" i="25"/>
  <c r="D7" i="24"/>
  <c r="D124" i="25"/>
  <c r="B8" i="24"/>
  <c r="E7" i="24"/>
  <c r="F7" i="24"/>
  <c r="D125" i="25"/>
  <c r="BV5" i="24"/>
  <c r="BW5" i="24"/>
  <c r="F76" i="25"/>
  <c r="E76" i="25"/>
  <c r="J42" i="21"/>
  <c r="L37" i="21"/>
  <c r="L44" i="21"/>
  <c r="K42" i="21"/>
  <c r="K43" i="21"/>
  <c r="L41" i="21"/>
  <c r="J34" i="21"/>
  <c r="L33" i="21"/>
  <c r="L45" i="21"/>
  <c r="J33" i="21"/>
  <c r="L42" i="21"/>
  <c r="K35" i="21"/>
  <c r="L46" i="21"/>
  <c r="J36" i="21"/>
  <c r="J37" i="21"/>
  <c r="J40" i="21"/>
  <c r="J43" i="21"/>
  <c r="N30" i="21"/>
  <c r="L35" i="21"/>
  <c r="L43" i="21"/>
  <c r="J45" i="21"/>
  <c r="J38" i="21"/>
  <c r="K40" i="21"/>
  <c r="K38" i="21"/>
  <c r="K46" i="21"/>
  <c r="J46" i="21"/>
  <c r="K37" i="21"/>
  <c r="K45" i="21"/>
  <c r="K39" i="21"/>
  <c r="L40" i="21"/>
  <c r="J35" i="21"/>
  <c r="J41" i="21"/>
  <c r="L38" i="21"/>
  <c r="H52" i="21"/>
  <c r="K44" i="21"/>
  <c r="I30" i="21"/>
  <c r="K36" i="21"/>
  <c r="K41" i="21"/>
  <c r="K34" i="21"/>
  <c r="L39" i="21"/>
  <c r="J44" i="21"/>
  <c r="H31" i="21"/>
  <c r="L34" i="21"/>
  <c r="K33" i="21"/>
  <c r="L36" i="21"/>
  <c r="H54" i="21"/>
  <c r="H53" i="21"/>
  <c r="H55" i="21"/>
  <c r="K31" i="21"/>
  <c r="J39" i="21"/>
  <c r="DG5" i="24"/>
  <c r="DH5" i="24"/>
  <c r="D80" i="25"/>
  <c r="C80" i="25"/>
  <c r="EK5" i="24"/>
  <c r="EL5" i="24"/>
  <c r="D83" i="25"/>
  <c r="C83" i="25"/>
  <c r="W10" i="18"/>
  <c r="AI10" i="18"/>
  <c r="AB10" i="18"/>
  <c r="AV11" i="13"/>
  <c r="V11" i="11"/>
  <c r="E20" i="21"/>
  <c r="D28" i="20"/>
  <c r="EN5" i="24"/>
  <c r="EO5" i="24"/>
  <c r="F83" i="25"/>
  <c r="E83" i="25"/>
  <c r="AR5" i="24"/>
  <c r="AS5" i="24"/>
  <c r="F73" i="25"/>
  <c r="E73" i="25"/>
  <c r="CF5" i="24"/>
  <c r="CG5" i="24"/>
  <c r="F77" i="25"/>
  <c r="E77" i="25"/>
  <c r="F14" i="10"/>
  <c r="L14" i="10"/>
  <c r="D14" i="10"/>
  <c r="M14" i="10"/>
  <c r="P14" i="10"/>
  <c r="I14" i="10"/>
  <c r="A15" i="10"/>
  <c r="C14" i="10"/>
  <c r="K14" i="10"/>
  <c r="E14" i="10"/>
  <c r="J14" i="10"/>
  <c r="B14" i="10"/>
  <c r="H14" i="10"/>
  <c r="G14" i="10"/>
  <c r="W10" i="11"/>
  <c r="AH10" i="11"/>
  <c r="AA10" i="11"/>
  <c r="C189" i="20"/>
  <c r="C188" i="20"/>
  <c r="A213" i="20"/>
  <c r="E189" i="20"/>
  <c r="A216" i="20"/>
  <c r="A215" i="20"/>
  <c r="F271" i="20"/>
  <c r="A214" i="20"/>
  <c r="BL5" i="24"/>
  <c r="BM5" i="24"/>
  <c r="F75" i="25"/>
  <c r="E75" i="25"/>
  <c r="F20" i="21"/>
  <c r="E28" i="20"/>
  <c r="BI5" i="24"/>
  <c r="BJ5" i="24"/>
  <c r="D75" i="25"/>
  <c r="C75" i="25"/>
  <c r="V11" i="18"/>
  <c r="D30" i="20"/>
  <c r="E22" i="21"/>
  <c r="BB5" i="24"/>
  <c r="BC5" i="24"/>
  <c r="F74" i="25"/>
  <c r="E74" i="25"/>
  <c r="CM5" i="24"/>
  <c r="CN5" i="24"/>
  <c r="D78" i="25"/>
  <c r="C78" i="25"/>
  <c r="N5" i="24"/>
  <c r="O5" i="24"/>
  <c r="F70" i="25"/>
  <c r="E70" i="25"/>
  <c r="X5" i="24"/>
  <c r="Y5" i="24"/>
  <c r="F71" i="25"/>
  <c r="E71" i="25"/>
  <c r="AH5" i="24"/>
  <c r="AI5" i="24"/>
  <c r="F72" i="25"/>
  <c r="E72" i="25"/>
  <c r="AE5" i="24"/>
  <c r="AF5" i="24"/>
  <c r="D72" i="25"/>
  <c r="C72" i="25"/>
  <c r="DQ5" i="24"/>
  <c r="DR5" i="24"/>
  <c r="D81" i="25"/>
  <c r="C81" i="25"/>
  <c r="CZ5" i="24"/>
  <c r="DA5" i="24"/>
  <c r="F79" i="25"/>
  <c r="E79" i="25"/>
  <c r="DT5" i="24"/>
  <c r="DU5" i="24"/>
  <c r="F81" i="25"/>
  <c r="E81" i="25"/>
  <c r="AI9" i="18"/>
  <c r="Y9" i="18"/>
  <c r="BC10" i="13"/>
  <c r="AY10" i="13"/>
  <c r="AH9" i="11"/>
  <c r="Y9" i="11"/>
  <c r="BF10" i="13"/>
  <c r="AX10" i="13"/>
  <c r="AB13" i="13"/>
  <c r="C201" i="20"/>
  <c r="AR13" i="13"/>
  <c r="D206" i="20"/>
  <c r="AL13" i="13"/>
  <c r="D204" i="20"/>
  <c r="L13" i="13"/>
  <c r="E195" i="20"/>
  <c r="AG13" i="13"/>
  <c r="E202" i="20"/>
  <c r="AD13" i="13"/>
  <c r="E201" i="20"/>
  <c r="C13" i="13"/>
  <c r="N13" i="13"/>
  <c r="D196" i="20"/>
  <c r="P13" i="13"/>
  <c r="C197" i="20"/>
  <c r="V13" i="13"/>
  <c r="C199" i="20"/>
  <c r="AE13" i="13"/>
  <c r="C202" i="20"/>
  <c r="D13" i="13"/>
  <c r="C193" i="20"/>
  <c r="AP13" i="13"/>
  <c r="E205" i="20"/>
  <c r="AK13" i="13"/>
  <c r="C204" i="20"/>
  <c r="AI13" i="13"/>
  <c r="D203" i="20"/>
  <c r="K13" i="13"/>
  <c r="D195" i="20"/>
  <c r="T13" i="13"/>
  <c r="D198" i="20"/>
  <c r="U13" i="13"/>
  <c r="E198" i="20"/>
  <c r="AH13" i="13"/>
  <c r="C203" i="20"/>
  <c r="AJ13" i="13"/>
  <c r="E203" i="20"/>
  <c r="AS13" i="13"/>
  <c r="E206" i="20"/>
  <c r="B13" i="13"/>
  <c r="AO13" i="13"/>
  <c r="D205" i="20"/>
  <c r="AQ13" i="13"/>
  <c r="C206" i="20"/>
  <c r="H13" i="13"/>
  <c r="D194" i="20"/>
  <c r="Z13" i="13"/>
  <c r="D200" i="20"/>
  <c r="AA13" i="13"/>
  <c r="E200" i="20"/>
  <c r="X13" i="13"/>
  <c r="E199" i="20"/>
  <c r="M13" i="13"/>
  <c r="C196" i="20"/>
  <c r="AM13" i="13"/>
  <c r="E204" i="20"/>
  <c r="R13" i="13"/>
  <c r="E197" i="20"/>
  <c r="AN13" i="13"/>
  <c r="C205" i="20"/>
  <c r="O13" i="13"/>
  <c r="E196" i="20"/>
  <c r="Q13" i="13"/>
  <c r="D197" i="20"/>
  <c r="I13" i="13"/>
  <c r="E194" i="20"/>
  <c r="E13" i="13"/>
  <c r="D193" i="20"/>
  <c r="W13" i="13"/>
  <c r="D199" i="20"/>
  <c r="F13" i="13"/>
  <c r="E193" i="20"/>
  <c r="A14" i="13"/>
  <c r="G13" i="13"/>
  <c r="C194" i="20"/>
  <c r="BL13" i="13"/>
  <c r="AF13" i="13"/>
  <c r="D202" i="20"/>
  <c r="AC13" i="13"/>
  <c r="D201" i="20"/>
  <c r="J13" i="13"/>
  <c r="C195" i="20"/>
  <c r="S13" i="13"/>
  <c r="C198" i="20"/>
  <c r="Y13" i="13"/>
  <c r="C200" i="20"/>
  <c r="BB13" i="13"/>
  <c r="L49" i="21"/>
  <c r="E30" i="20"/>
  <c r="F22" i="21"/>
  <c r="BS5" i="24"/>
  <c r="BT5" i="24"/>
  <c r="D76" i="25"/>
  <c r="C76" i="25"/>
  <c r="AY5" i="24"/>
  <c r="AZ5" i="24"/>
  <c r="D74" i="25"/>
  <c r="C74" i="25"/>
  <c r="EA5" i="24"/>
  <c r="EB5" i="24"/>
  <c r="D82" i="25"/>
  <c r="C82" i="25"/>
  <c r="Q12" i="11"/>
  <c r="I12" i="11"/>
  <c r="P12" i="11"/>
  <c r="A13" i="11"/>
  <c r="F12" i="11"/>
  <c r="J12" i="11"/>
  <c r="D12" i="11"/>
  <c r="T12" i="11"/>
  <c r="L12" i="11"/>
  <c r="O12" i="11"/>
  <c r="H12" i="11"/>
  <c r="AG12" i="11"/>
  <c r="BA13" i="13"/>
  <c r="G12" i="11"/>
  <c r="U12" i="11"/>
  <c r="C12" i="11"/>
  <c r="N12" i="11"/>
  <c r="B12" i="11"/>
  <c r="M12" i="11"/>
  <c r="R12" i="11"/>
  <c r="S12" i="11"/>
  <c r="E12" i="11"/>
  <c r="K12" i="11"/>
  <c r="ED5" i="24"/>
  <c r="EE5" i="24"/>
  <c r="F82" i="25"/>
  <c r="E82" i="25"/>
  <c r="K5" i="24"/>
  <c r="L5" i="24"/>
  <c r="D70" i="25"/>
  <c r="C70" i="25"/>
  <c r="Y25" i="27"/>
  <c r="Z25" i="27"/>
  <c r="AA25" i="27"/>
  <c r="M25" i="27"/>
  <c r="N25" i="27"/>
  <c r="O25" i="27"/>
  <c r="AW25" i="27"/>
  <c r="AX25" i="27"/>
  <c r="AY25" i="27"/>
  <c r="CA25" i="27"/>
  <c r="CB25" i="27"/>
  <c r="CC25" i="27"/>
  <c r="BU25" i="27"/>
  <c r="BV25" i="27"/>
  <c r="BW25" i="27"/>
  <c r="BO25" i="27"/>
  <c r="BP25" i="27"/>
  <c r="BQ25" i="27"/>
  <c r="AE25" i="27"/>
  <c r="AF25" i="27"/>
  <c r="AG25" i="27"/>
  <c r="G25" i="27"/>
  <c r="H25" i="27"/>
  <c r="I25" i="27"/>
  <c r="S25" i="27"/>
  <c r="T25" i="27"/>
  <c r="U25" i="27"/>
  <c r="AQ25" i="27"/>
  <c r="AR25" i="27"/>
  <c r="AS25" i="27"/>
  <c r="AK25" i="27"/>
  <c r="AL25" i="27"/>
  <c r="AM25" i="27"/>
  <c r="AH29" i="4"/>
  <c r="C26" i="27"/>
  <c r="CA26" i="27"/>
  <c r="CB26" i="27"/>
  <c r="CC26" i="27"/>
  <c r="CG25" i="27"/>
  <c r="CH25" i="27"/>
  <c r="CI25" i="27"/>
  <c r="BI25" i="27"/>
  <c r="BJ25" i="27"/>
  <c r="BK25" i="27"/>
  <c r="I34" i="2"/>
  <c r="B34" i="2"/>
  <c r="F34" i="2"/>
  <c r="C34" i="2"/>
  <c r="D34" i="2"/>
  <c r="K34" i="2"/>
  <c r="J34" i="2"/>
  <c r="G34" i="2"/>
  <c r="A35" i="2"/>
  <c r="E34" i="2"/>
  <c r="H34" i="2"/>
  <c r="D1105" i="17"/>
  <c r="V31" i="4"/>
  <c r="Y29" i="4"/>
  <c r="D1019" i="17"/>
  <c r="D1017" i="17"/>
  <c r="A1164" i="17"/>
  <c r="D1138" i="17"/>
  <c r="E1223" i="17"/>
  <c r="A1163" i="17"/>
  <c r="D1159" i="17"/>
  <c r="C1137" i="17"/>
  <c r="A1165" i="17"/>
  <c r="A1166" i="17"/>
  <c r="C1138" i="17"/>
  <c r="W30" i="4"/>
  <c r="AI30" i="4"/>
  <c r="D1061" i="17"/>
  <c r="F32" i="4"/>
  <c r="H32" i="4"/>
  <c r="D1142" i="17"/>
  <c r="P32" i="4"/>
  <c r="D1150" i="17"/>
  <c r="C32" i="4"/>
  <c r="M32" i="4"/>
  <c r="D1147" i="17"/>
  <c r="G32" i="4"/>
  <c r="Q32" i="4"/>
  <c r="D1151" i="17"/>
  <c r="AG32" i="4"/>
  <c r="J32" i="4"/>
  <c r="D1144" i="17"/>
  <c r="R32" i="4"/>
  <c r="S32" i="4"/>
  <c r="K32" i="4"/>
  <c r="D1145" i="17"/>
  <c r="L32" i="4"/>
  <c r="D1146" i="17"/>
  <c r="O32" i="4"/>
  <c r="D1149" i="17"/>
  <c r="N32" i="4"/>
  <c r="D1148" i="17"/>
  <c r="E32" i="4"/>
  <c r="T32" i="4"/>
  <c r="D1153" i="17"/>
  <c r="U32" i="4"/>
  <c r="D1154" i="17"/>
  <c r="I32" i="4"/>
  <c r="D1143" i="17"/>
  <c r="A33" i="4"/>
  <c r="B32" i="4"/>
  <c r="D32" i="4"/>
  <c r="D1094" i="17"/>
  <c r="W35" i="8"/>
  <c r="X34" i="8"/>
  <c r="Y34" i="8"/>
  <c r="E27" i="27"/>
  <c r="F27" i="27"/>
  <c r="D27" i="27"/>
  <c r="B28" i="27"/>
  <c r="D209" i="20"/>
  <c r="K49" i="21"/>
  <c r="V12" i="11"/>
  <c r="AU13" i="13"/>
  <c r="D73" i="20"/>
  <c r="K20" i="21"/>
  <c r="E75" i="20"/>
  <c r="L22" i="21"/>
  <c r="A258" i="20"/>
  <c r="E234" i="20"/>
  <c r="A261" i="20"/>
  <c r="A259" i="20"/>
  <c r="C234" i="20"/>
  <c r="F316" i="20"/>
  <c r="A260" i="20"/>
  <c r="C233" i="20"/>
  <c r="E8" i="24"/>
  <c r="C8" i="24"/>
  <c r="D8" i="24"/>
  <c r="B9" i="24"/>
  <c r="F8" i="24"/>
  <c r="DG6" i="24"/>
  <c r="DH6" i="24"/>
  <c r="D109" i="25"/>
  <c r="C109" i="25"/>
  <c r="X6" i="24"/>
  <c r="Y6" i="24"/>
  <c r="F100" i="25"/>
  <c r="E100" i="25"/>
  <c r="U6" i="24"/>
  <c r="V6" i="24"/>
  <c r="D100" i="25"/>
  <c r="C100" i="25"/>
  <c r="AR6" i="24"/>
  <c r="AS6" i="24"/>
  <c r="F102" i="25"/>
  <c r="E102" i="25"/>
  <c r="BS6" i="24"/>
  <c r="BT6" i="24"/>
  <c r="D105" i="25"/>
  <c r="C105" i="25"/>
  <c r="AL14" i="13"/>
  <c r="D249" i="20"/>
  <c r="AE14" i="13"/>
  <c r="C247" i="20"/>
  <c r="T14" i="13"/>
  <c r="D243" i="20"/>
  <c r="AD14" i="13"/>
  <c r="E246" i="20"/>
  <c r="AR14" i="13"/>
  <c r="D251" i="20"/>
  <c r="AC14" i="13"/>
  <c r="D246" i="20"/>
  <c r="AS14" i="13"/>
  <c r="E251" i="20"/>
  <c r="Z14" i="13"/>
  <c r="D245" i="20"/>
  <c r="AF14" i="13"/>
  <c r="D247" i="20"/>
  <c r="AM14" i="13"/>
  <c r="E249" i="20"/>
  <c r="F14" i="13"/>
  <c r="E238" i="20"/>
  <c r="A15" i="13"/>
  <c r="C14" i="13"/>
  <c r="E14" i="13"/>
  <c r="D238" i="20"/>
  <c r="D14" i="13"/>
  <c r="C238" i="20"/>
  <c r="AQ14" i="13"/>
  <c r="C251" i="20"/>
  <c r="I14" i="13"/>
  <c r="E239" i="20"/>
  <c r="AH14" i="13"/>
  <c r="C248" i="20"/>
  <c r="AA14" i="13"/>
  <c r="E245" i="20"/>
  <c r="J14" i="13"/>
  <c r="C240" i="20"/>
  <c r="N14" i="13"/>
  <c r="D241" i="20"/>
  <c r="AI14" i="13"/>
  <c r="D248" i="20"/>
  <c r="S14" i="13"/>
  <c r="C243" i="20"/>
  <c r="X14" i="13"/>
  <c r="E244" i="20"/>
  <c r="L14" i="13"/>
  <c r="E240" i="20"/>
  <c r="BL14" i="13"/>
  <c r="G14" i="13"/>
  <c r="C239" i="20"/>
  <c r="AK14" i="13"/>
  <c r="C249" i="20"/>
  <c r="V14" i="13"/>
  <c r="C244" i="20"/>
  <c r="K14" i="13"/>
  <c r="D240" i="20"/>
  <c r="U14" i="13"/>
  <c r="E243" i="20"/>
  <c r="AB14" i="13"/>
  <c r="C246" i="20"/>
  <c r="AG14" i="13"/>
  <c r="E247" i="20"/>
  <c r="P14" i="13"/>
  <c r="C242" i="20"/>
  <c r="Y14" i="13"/>
  <c r="C245" i="20"/>
  <c r="M14" i="13"/>
  <c r="C241" i="20"/>
  <c r="R14" i="13"/>
  <c r="E242" i="20"/>
  <c r="W14" i="13"/>
  <c r="D244" i="20"/>
  <c r="AJ14" i="13"/>
  <c r="E248" i="20"/>
  <c r="AO14" i="13"/>
  <c r="D250" i="20"/>
  <c r="AN14" i="13"/>
  <c r="C250" i="20"/>
  <c r="AP14" i="13"/>
  <c r="E250" i="20"/>
  <c r="B14" i="13"/>
  <c r="H14" i="13"/>
  <c r="D239" i="20"/>
  <c r="O14" i="13"/>
  <c r="E241" i="20"/>
  <c r="Q14" i="13"/>
  <c r="D242" i="20"/>
  <c r="D75" i="20"/>
  <c r="K22" i="21"/>
  <c r="W11" i="11"/>
  <c r="AH11" i="11"/>
  <c r="AA11" i="11"/>
  <c r="AH10" i="18"/>
  <c r="Y10" i="18"/>
  <c r="BC11" i="13"/>
  <c r="AY11" i="13"/>
  <c r="R44" i="21"/>
  <c r="R41" i="21"/>
  <c r="N55" i="21"/>
  <c r="Q37" i="21"/>
  <c r="P41" i="21"/>
  <c r="Q35" i="21"/>
  <c r="N54" i="21"/>
  <c r="P44" i="21"/>
  <c r="R36" i="21"/>
  <c r="Q34" i="21"/>
  <c r="R38" i="21"/>
  <c r="P33" i="21"/>
  <c r="P38" i="21"/>
  <c r="P34" i="21"/>
  <c r="Q42" i="21"/>
  <c r="B59" i="21"/>
  <c r="R34" i="21"/>
  <c r="R37" i="21"/>
  <c r="P46" i="21"/>
  <c r="R39" i="21"/>
  <c r="Q43" i="21"/>
  <c r="P42" i="21"/>
  <c r="P40" i="21"/>
  <c r="N52" i="21"/>
  <c r="P45" i="21"/>
  <c r="Q40" i="21"/>
  <c r="R33" i="21"/>
  <c r="P35" i="21"/>
  <c r="R42" i="21"/>
  <c r="R46" i="21"/>
  <c r="N53" i="21"/>
  <c r="P36" i="21"/>
  <c r="P43" i="21"/>
  <c r="Q36" i="21"/>
  <c r="Q46" i="21"/>
  <c r="Q33" i="21"/>
  <c r="Q44" i="21"/>
  <c r="R43" i="21"/>
  <c r="O30" i="21"/>
  <c r="Q38" i="21"/>
  <c r="Q41" i="21"/>
  <c r="N31" i="21"/>
  <c r="P39" i="21"/>
  <c r="R35" i="21"/>
  <c r="R40" i="21"/>
  <c r="Q31" i="21"/>
  <c r="P37" i="21"/>
  <c r="Q39" i="21"/>
  <c r="R45" i="21"/>
  <c r="Q45" i="21"/>
  <c r="DT6" i="24"/>
  <c r="DU6" i="24"/>
  <c r="F110" i="25"/>
  <c r="E110" i="25"/>
  <c r="CP6" i="24"/>
  <c r="CQ6" i="24"/>
  <c r="F107" i="25"/>
  <c r="E107" i="25"/>
  <c r="N6" i="24"/>
  <c r="O6" i="24"/>
  <c r="F99" i="25"/>
  <c r="E99" i="25"/>
  <c r="CM6" i="24"/>
  <c r="CN6" i="24"/>
  <c r="D107" i="25"/>
  <c r="C107" i="25"/>
  <c r="AY6" i="24"/>
  <c r="AZ6" i="24"/>
  <c r="D103" i="25"/>
  <c r="C103" i="25"/>
  <c r="BV6" i="24"/>
  <c r="BW6" i="24"/>
  <c r="F105" i="25"/>
  <c r="E105" i="25"/>
  <c r="W11" i="18"/>
  <c r="AH11" i="18"/>
  <c r="AB11" i="18"/>
  <c r="AI10" i="11"/>
  <c r="Y10" i="11"/>
  <c r="BF11" i="13"/>
  <c r="AX11" i="13"/>
  <c r="C15" i="10"/>
  <c r="G15" i="10"/>
  <c r="L15" i="10"/>
  <c r="E15" i="10"/>
  <c r="H15" i="10"/>
  <c r="K15" i="10"/>
  <c r="M15" i="10"/>
  <c r="P15" i="10"/>
  <c r="B15" i="10"/>
  <c r="D15" i="10"/>
  <c r="I15" i="10"/>
  <c r="F15" i="10"/>
  <c r="J15" i="10"/>
  <c r="A16" i="10"/>
  <c r="R19" i="21"/>
  <c r="E117" i="20"/>
  <c r="AU12" i="13"/>
  <c r="C7" i="24"/>
  <c r="U13" i="18"/>
  <c r="I13" i="18"/>
  <c r="B13" i="18"/>
  <c r="H13" i="18"/>
  <c r="Q13" i="18"/>
  <c r="M13" i="18"/>
  <c r="A14" i="18"/>
  <c r="R13" i="18"/>
  <c r="S13" i="18"/>
  <c r="K13" i="18"/>
  <c r="L13" i="18"/>
  <c r="F13" i="18"/>
  <c r="G13" i="18"/>
  <c r="D13" i="18"/>
  <c r="P13" i="18"/>
  <c r="T13" i="18"/>
  <c r="O13" i="18"/>
  <c r="E13" i="18"/>
  <c r="J13" i="18"/>
  <c r="AG13" i="18"/>
  <c r="BB14" i="13"/>
  <c r="C13" i="18"/>
  <c r="N13" i="18"/>
  <c r="EK6" i="24"/>
  <c r="EL6" i="24"/>
  <c r="D112" i="25"/>
  <c r="C112" i="25"/>
  <c r="BI6" i="24"/>
  <c r="BJ6" i="24"/>
  <c r="D104" i="25"/>
  <c r="C104" i="25"/>
  <c r="BL6" i="24"/>
  <c r="BM6" i="24"/>
  <c r="F104" i="25"/>
  <c r="E104" i="25"/>
  <c r="AO6" i="24"/>
  <c r="AP6" i="24"/>
  <c r="D102" i="25"/>
  <c r="C102" i="25"/>
  <c r="DQ6" i="24"/>
  <c r="DR6" i="24"/>
  <c r="D110" i="25"/>
  <c r="C110" i="25"/>
  <c r="AH6" i="24"/>
  <c r="AI6" i="24"/>
  <c r="F101" i="25"/>
  <c r="E101" i="25"/>
  <c r="EN6" i="24"/>
  <c r="EO6" i="24"/>
  <c r="F112" i="25"/>
  <c r="E112" i="25"/>
  <c r="AE6" i="24"/>
  <c r="AF6" i="24"/>
  <c r="D101" i="25"/>
  <c r="C101" i="25"/>
  <c r="EA6" i="24"/>
  <c r="EB6" i="24"/>
  <c r="D111" i="25"/>
  <c r="C111" i="25"/>
  <c r="M13" i="11"/>
  <c r="N13" i="11"/>
  <c r="I13" i="11"/>
  <c r="D13" i="11"/>
  <c r="E13" i="11"/>
  <c r="O13" i="11"/>
  <c r="AG13" i="11"/>
  <c r="K13" i="11"/>
  <c r="C13" i="11"/>
  <c r="A14" i="11"/>
  <c r="H13" i="11"/>
  <c r="U13" i="11"/>
  <c r="T13" i="11"/>
  <c r="F13" i="11"/>
  <c r="J13" i="11"/>
  <c r="P13" i="11"/>
  <c r="B13" i="11"/>
  <c r="Q13" i="11"/>
  <c r="L13" i="11"/>
  <c r="R13" i="11"/>
  <c r="S13" i="11"/>
  <c r="G13" i="11"/>
  <c r="E73" i="20"/>
  <c r="L20" i="21"/>
  <c r="E209" i="20"/>
  <c r="AV12" i="13"/>
  <c r="V12" i="18"/>
  <c r="B204" i="25"/>
  <c r="D153" i="25"/>
  <c r="D154" i="25"/>
  <c r="F154" i="25"/>
  <c r="CC6" i="24"/>
  <c r="CD6" i="24"/>
  <c r="D106" i="25"/>
  <c r="C106" i="25"/>
  <c r="K6" i="24"/>
  <c r="L6" i="24"/>
  <c r="D99" i="25"/>
  <c r="C99" i="25"/>
  <c r="ED6" i="24"/>
  <c r="EE6" i="24"/>
  <c r="F111" i="25"/>
  <c r="E111" i="25"/>
  <c r="CZ6" i="24"/>
  <c r="DA6" i="24"/>
  <c r="F108" i="25"/>
  <c r="E108" i="25"/>
  <c r="BB6" i="24"/>
  <c r="BC6" i="24"/>
  <c r="F103" i="25"/>
  <c r="E103" i="25"/>
  <c r="DJ6" i="24"/>
  <c r="DK6" i="24"/>
  <c r="F109" i="25"/>
  <c r="E109" i="25"/>
  <c r="CF6" i="24"/>
  <c r="CG6" i="24"/>
  <c r="F106" i="25"/>
  <c r="E106" i="25"/>
  <c r="CW6" i="24"/>
  <c r="CX6" i="24"/>
  <c r="D108" i="25"/>
  <c r="C108" i="25"/>
  <c r="CG26" i="27"/>
  <c r="CH26" i="27"/>
  <c r="CI26" i="27"/>
  <c r="AW26" i="27"/>
  <c r="AX26" i="27"/>
  <c r="AY26" i="27"/>
  <c r="M26" i="27"/>
  <c r="N26" i="27"/>
  <c r="O26" i="27"/>
  <c r="C27" i="27"/>
  <c r="AE27" i="27"/>
  <c r="AF27" i="27"/>
  <c r="AG27" i="27"/>
  <c r="S26" i="27"/>
  <c r="T26" i="27"/>
  <c r="U26" i="27"/>
  <c r="BC26" i="27"/>
  <c r="BD26" i="27"/>
  <c r="BE26" i="27"/>
  <c r="AE26" i="27"/>
  <c r="AF26" i="27"/>
  <c r="AG26" i="27"/>
  <c r="Y26" i="27"/>
  <c r="Z26" i="27"/>
  <c r="AA26" i="27"/>
  <c r="BI26" i="27"/>
  <c r="BJ26" i="27"/>
  <c r="BK26" i="27"/>
  <c r="AK26" i="27"/>
  <c r="AL26" i="27"/>
  <c r="AM26" i="27"/>
  <c r="BO26" i="27"/>
  <c r="BP26" i="27"/>
  <c r="BQ26" i="27"/>
  <c r="AQ26" i="27"/>
  <c r="AR26" i="27"/>
  <c r="AS26" i="27"/>
  <c r="BU26" i="27"/>
  <c r="BV26" i="27"/>
  <c r="BW26" i="27"/>
  <c r="G26" i="27"/>
  <c r="H26" i="27"/>
  <c r="I26" i="27"/>
  <c r="D1064" i="17"/>
  <c r="Y30" i="4"/>
  <c r="D1066" i="17"/>
  <c r="D28" i="27"/>
  <c r="B29" i="27"/>
  <c r="E28" i="27"/>
  <c r="F28" i="27"/>
  <c r="L33" i="4"/>
  <c r="D1193" i="17"/>
  <c r="T33" i="4"/>
  <c r="D1200" i="17"/>
  <c r="O33" i="4"/>
  <c r="D1196" i="17"/>
  <c r="Q33" i="4"/>
  <c r="D1198" i="17"/>
  <c r="U33" i="4"/>
  <c r="D1201" i="17"/>
  <c r="B33" i="4"/>
  <c r="N33" i="4"/>
  <c r="D1195" i="17"/>
  <c r="D33" i="4"/>
  <c r="E33" i="4"/>
  <c r="F33" i="4"/>
  <c r="H33" i="4"/>
  <c r="D1189" i="17"/>
  <c r="G33" i="4"/>
  <c r="D1188" i="17"/>
  <c r="C33" i="4"/>
  <c r="AG33" i="4"/>
  <c r="J33" i="4"/>
  <c r="D1191" i="17"/>
  <c r="K33" i="4"/>
  <c r="D1192" i="17"/>
  <c r="A34" i="4"/>
  <c r="P33" i="4"/>
  <c r="D1197" i="17"/>
  <c r="I33" i="4"/>
  <c r="D1190" i="17"/>
  <c r="M33" i="4"/>
  <c r="D1194" i="17"/>
  <c r="R33" i="4"/>
  <c r="S33" i="4"/>
  <c r="E1270" i="17"/>
  <c r="C1185" i="17"/>
  <c r="D1206" i="17"/>
  <c r="A1211" i="17"/>
  <c r="D1185" i="17"/>
  <c r="A1213" i="17"/>
  <c r="C1184" i="17"/>
  <c r="A1210" i="17"/>
  <c r="A1212" i="17"/>
  <c r="W31" i="4"/>
  <c r="AI31" i="4"/>
  <c r="D1108" i="17"/>
  <c r="V32" i="4"/>
  <c r="D1152" i="17"/>
  <c r="X35" i="8"/>
  <c r="Y35" i="8"/>
  <c r="W36" i="8"/>
  <c r="AH30" i="4"/>
  <c r="D1141" i="17"/>
  <c r="C35" i="2"/>
  <c r="F35" i="2"/>
  <c r="K35" i="2"/>
  <c r="H35" i="2"/>
  <c r="I35" i="2"/>
  <c r="G35" i="2"/>
  <c r="E35" i="2"/>
  <c r="J35" i="2"/>
  <c r="B35" i="2"/>
  <c r="D35" i="2"/>
  <c r="A36" i="2"/>
  <c r="V13" i="11"/>
  <c r="AA13" i="11"/>
  <c r="E254" i="20"/>
  <c r="R49" i="21"/>
  <c r="G8" i="24"/>
  <c r="H8" i="24"/>
  <c r="AU8" i="24"/>
  <c r="AV8" i="24"/>
  <c r="CA8" i="24"/>
  <c r="BQ8" i="24"/>
  <c r="AM8" i="24"/>
  <c r="EG8" i="24"/>
  <c r="EH8" i="24"/>
  <c r="Q8" i="24"/>
  <c r="R8" i="24"/>
  <c r="CV8" i="24"/>
  <c r="DW8" i="24"/>
  <c r="DX8" i="24"/>
  <c r="CK8" i="24"/>
  <c r="CY8" i="24"/>
  <c r="DI8" i="24"/>
  <c r="DZ8" i="24"/>
  <c r="DM8" i="24"/>
  <c r="DN8" i="24"/>
  <c r="DE8" i="24"/>
  <c r="BH8" i="24"/>
  <c r="AD8" i="24"/>
  <c r="DO8" i="24"/>
  <c r="EJ8" i="24"/>
  <c r="CS8" i="24"/>
  <c r="CT8" i="24"/>
  <c r="DF8" i="24"/>
  <c r="CE8" i="24"/>
  <c r="BY8" i="24"/>
  <c r="BZ8" i="24"/>
  <c r="EM8" i="24"/>
  <c r="AC8" i="24"/>
  <c r="AK8" i="24"/>
  <c r="AL8" i="24"/>
  <c r="AQ8" i="24"/>
  <c r="AN8" i="24"/>
  <c r="CO8" i="24"/>
  <c r="DC8" i="24"/>
  <c r="DD8" i="24"/>
  <c r="BG8" i="24"/>
  <c r="BR8" i="24"/>
  <c r="EI8" i="24"/>
  <c r="M8" i="24"/>
  <c r="T8" i="24"/>
  <c r="AW8" i="24"/>
  <c r="S8" i="24"/>
  <c r="BO8" i="24"/>
  <c r="BP8" i="24"/>
  <c r="DY8" i="24"/>
  <c r="BA8" i="24"/>
  <c r="W8" i="24"/>
  <c r="CU8" i="24"/>
  <c r="AG8" i="24"/>
  <c r="DP8" i="24"/>
  <c r="EC8" i="24"/>
  <c r="AA8" i="24"/>
  <c r="AB8" i="24"/>
  <c r="J8" i="24"/>
  <c r="BK8" i="24"/>
  <c r="DS8" i="24"/>
  <c r="BU8" i="24"/>
  <c r="CI8" i="24"/>
  <c r="CJ8" i="24"/>
  <c r="AX8" i="24"/>
  <c r="CB8" i="24"/>
  <c r="CL8" i="24"/>
  <c r="I8" i="24"/>
  <c r="BE8" i="24"/>
  <c r="BF8" i="24"/>
  <c r="F183" i="25"/>
  <c r="B233" i="25"/>
  <c r="D162" i="20"/>
  <c r="E47" i="21"/>
  <c r="Q20" i="21"/>
  <c r="D118" i="20"/>
  <c r="R20" i="21"/>
  <c r="E118" i="20"/>
  <c r="AM15" i="13"/>
  <c r="AQ15" i="13"/>
  <c r="AE15" i="13"/>
  <c r="AC15" i="13"/>
  <c r="AN15" i="13"/>
  <c r="BL15" i="13"/>
  <c r="P15" i="13"/>
  <c r="O15" i="13"/>
  <c r="D15" i="13"/>
  <c r="AI15" i="13"/>
  <c r="Z15" i="13"/>
  <c r="T15" i="13"/>
  <c r="AG15" i="13"/>
  <c r="A16" i="13"/>
  <c r="S15" i="13"/>
  <c r="E15" i="13"/>
  <c r="AH15" i="13"/>
  <c r="AF15" i="13"/>
  <c r="J15" i="13"/>
  <c r="N15" i="13"/>
  <c r="U15" i="13"/>
  <c r="X15" i="13"/>
  <c r="G15" i="13"/>
  <c r="AJ15" i="13"/>
  <c r="AB15" i="13"/>
  <c r="AL15" i="13"/>
  <c r="K15" i="13"/>
  <c r="Q15" i="13"/>
  <c r="AO15" i="13"/>
  <c r="AS15" i="13"/>
  <c r="AK15" i="13"/>
  <c r="AR15" i="13"/>
  <c r="AA15" i="13"/>
  <c r="AP15" i="13"/>
  <c r="R15" i="13"/>
  <c r="I15" i="13"/>
  <c r="L15" i="13"/>
  <c r="V15" i="13"/>
  <c r="Y15" i="13"/>
  <c r="AD15" i="13"/>
  <c r="B15" i="13"/>
  <c r="C15" i="13"/>
  <c r="F15" i="13"/>
  <c r="W15" i="13"/>
  <c r="M15" i="13"/>
  <c r="H15" i="13"/>
  <c r="W12" i="11"/>
  <c r="AH12" i="11"/>
  <c r="AA12" i="11"/>
  <c r="W12" i="18"/>
  <c r="AI12" i="18"/>
  <c r="AB12" i="18"/>
  <c r="AV13" i="13"/>
  <c r="D120" i="20"/>
  <c r="Q22" i="21"/>
  <c r="AI11" i="18"/>
  <c r="Y11" i="18"/>
  <c r="BC12" i="13"/>
  <c r="AY12" i="13"/>
  <c r="R22" i="21"/>
  <c r="E120" i="20"/>
  <c r="AI11" i="11"/>
  <c r="AX12" i="13"/>
  <c r="Y11" i="11"/>
  <c r="BF12" i="13"/>
  <c r="E162" i="20"/>
  <c r="F47" i="21"/>
  <c r="V13" i="18"/>
  <c r="AV14" i="13"/>
  <c r="F63" i="21"/>
  <c r="F62" i="21"/>
  <c r="D62" i="21"/>
  <c r="F65" i="21"/>
  <c r="E72" i="21"/>
  <c r="E69" i="21"/>
  <c r="D64" i="21"/>
  <c r="E66" i="21"/>
  <c r="B84" i="21"/>
  <c r="E65" i="21"/>
  <c r="D69" i="21"/>
  <c r="D66" i="21"/>
  <c r="E68" i="21"/>
  <c r="D65" i="21"/>
  <c r="E64" i="21"/>
  <c r="F74" i="21"/>
  <c r="F75" i="21"/>
  <c r="E62" i="21"/>
  <c r="F70" i="21"/>
  <c r="F69" i="21"/>
  <c r="C59" i="21"/>
  <c r="D70" i="21"/>
  <c r="E67" i="21"/>
  <c r="D73" i="21"/>
  <c r="B60" i="21"/>
  <c r="E73" i="21"/>
  <c r="D63" i="21"/>
  <c r="E71" i="21"/>
  <c r="F66" i="21"/>
  <c r="E70" i="21"/>
  <c r="F72" i="21"/>
  <c r="E60" i="21"/>
  <c r="F64" i="21"/>
  <c r="D71" i="21"/>
  <c r="E75" i="21"/>
  <c r="F73" i="21"/>
  <c r="E63" i="21"/>
  <c r="E74" i="21"/>
  <c r="H59" i="21"/>
  <c r="D67" i="21"/>
  <c r="F71" i="21"/>
  <c r="B82" i="21"/>
  <c r="F68" i="21"/>
  <c r="F67" i="21"/>
  <c r="D68" i="21"/>
  <c r="B81" i="21"/>
  <c r="D72" i="21"/>
  <c r="D74" i="21"/>
  <c r="D75" i="21"/>
  <c r="B83" i="21"/>
  <c r="BA14" i="13"/>
  <c r="B10" i="24"/>
  <c r="D9" i="24"/>
  <c r="D182" i="25"/>
  <c r="F9" i="24"/>
  <c r="D183" i="25"/>
  <c r="E9" i="24"/>
  <c r="C9" i="24"/>
  <c r="D289" i="20"/>
  <c r="C290" i="20"/>
  <c r="E283" i="20"/>
  <c r="D290" i="20"/>
  <c r="E295" i="20"/>
  <c r="D283" i="20"/>
  <c r="A304" i="20"/>
  <c r="D292" i="20"/>
  <c r="C292" i="20"/>
  <c r="E279" i="20"/>
  <c r="E284" i="20"/>
  <c r="C295" i="20"/>
  <c r="C291" i="20"/>
  <c r="E294" i="20"/>
  <c r="C284" i="20"/>
  <c r="A303" i="20"/>
  <c r="D296" i="20"/>
  <c r="C289" i="20"/>
  <c r="E285" i="20"/>
  <c r="D284" i="20"/>
  <c r="A305" i="20"/>
  <c r="C286" i="20"/>
  <c r="D291" i="20"/>
  <c r="C278" i="20"/>
  <c r="C288" i="20"/>
  <c r="A306" i="20"/>
  <c r="E291" i="20"/>
  <c r="C294" i="20"/>
  <c r="C296" i="20"/>
  <c r="E293" i="20"/>
  <c r="F361" i="20"/>
  <c r="E296" i="20"/>
  <c r="E289" i="20"/>
  <c r="D286" i="20"/>
  <c r="D288" i="20"/>
  <c r="E288" i="20"/>
  <c r="E292" i="20"/>
  <c r="D295" i="20"/>
  <c r="D285" i="20"/>
  <c r="C287" i="20"/>
  <c r="C283" i="20"/>
  <c r="E286" i="20"/>
  <c r="C285" i="20"/>
  <c r="C279" i="20"/>
  <c r="D293" i="20"/>
  <c r="E287" i="20"/>
  <c r="C293" i="20"/>
  <c r="D287" i="20"/>
  <c r="D294" i="20"/>
  <c r="E290" i="20"/>
  <c r="W13" i="11"/>
  <c r="AH13" i="11"/>
  <c r="U14" i="11"/>
  <c r="J14" i="11"/>
  <c r="N14" i="11"/>
  <c r="R14" i="11"/>
  <c r="S14" i="11"/>
  <c r="B14" i="11"/>
  <c r="D14" i="11"/>
  <c r="M14" i="11"/>
  <c r="E14" i="11"/>
  <c r="K14" i="11"/>
  <c r="P14" i="11"/>
  <c r="A15" i="11"/>
  <c r="I14" i="11"/>
  <c r="AG14" i="11"/>
  <c r="H14" i="11"/>
  <c r="O14" i="11"/>
  <c r="G14" i="11"/>
  <c r="C14" i="11"/>
  <c r="F14" i="11"/>
  <c r="L14" i="11"/>
  <c r="Q14" i="11"/>
  <c r="T14" i="11"/>
  <c r="K14" i="18"/>
  <c r="G14" i="18"/>
  <c r="H14" i="18"/>
  <c r="R14" i="18"/>
  <c r="S14" i="18"/>
  <c r="E14" i="18"/>
  <c r="I14" i="18"/>
  <c r="A15" i="18"/>
  <c r="L14" i="18"/>
  <c r="AG14" i="18"/>
  <c r="BB15" i="13"/>
  <c r="D14" i="18"/>
  <c r="T14" i="18"/>
  <c r="M14" i="18"/>
  <c r="Q14" i="18"/>
  <c r="J14" i="18"/>
  <c r="F14" i="18"/>
  <c r="B14" i="18"/>
  <c r="U14" i="18"/>
  <c r="O14" i="18"/>
  <c r="P14" i="18"/>
  <c r="N14" i="18"/>
  <c r="C14" i="18"/>
  <c r="EC7" i="24"/>
  <c r="AC7" i="24"/>
  <c r="AG7" i="24"/>
  <c r="DF7" i="24"/>
  <c r="BO7" i="24"/>
  <c r="BP7" i="24"/>
  <c r="CS7" i="24"/>
  <c r="CT7" i="24"/>
  <c r="DM7" i="24"/>
  <c r="DN7" i="24"/>
  <c r="AW7" i="24"/>
  <c r="AX7" i="24"/>
  <c r="BA7" i="24"/>
  <c r="AN7" i="24"/>
  <c r="DW7" i="24"/>
  <c r="DX7" i="24"/>
  <c r="DO7" i="24"/>
  <c r="BH7" i="24"/>
  <c r="DS7" i="24"/>
  <c r="Q7" i="24"/>
  <c r="R7" i="24"/>
  <c r="BR7" i="24"/>
  <c r="BU7" i="24"/>
  <c r="CA7" i="24"/>
  <c r="AD7" i="24"/>
  <c r="AQ7" i="24"/>
  <c r="I7" i="24"/>
  <c r="CL7" i="24"/>
  <c r="EG7" i="24"/>
  <c r="EH7" i="24"/>
  <c r="J7" i="24"/>
  <c r="DE7" i="24"/>
  <c r="CI7" i="24"/>
  <c r="CJ7" i="24"/>
  <c r="BE7" i="24"/>
  <c r="BF7" i="24"/>
  <c r="EM7" i="24"/>
  <c r="CK7" i="24"/>
  <c r="DI7" i="24"/>
  <c r="AU7" i="24"/>
  <c r="AV7" i="24"/>
  <c r="DP7" i="24"/>
  <c r="CO7" i="24"/>
  <c r="BY7" i="24"/>
  <c r="BZ7" i="24"/>
  <c r="CU7" i="24"/>
  <c r="AK7" i="24"/>
  <c r="AL7" i="24"/>
  <c r="CY7" i="24"/>
  <c r="CE7" i="24"/>
  <c r="BK7" i="24"/>
  <c r="EJ7" i="24"/>
  <c r="DY7" i="24"/>
  <c r="DC7" i="24"/>
  <c r="DD7" i="24"/>
  <c r="BQ7" i="24"/>
  <c r="CB7" i="24"/>
  <c r="T7" i="24"/>
  <c r="W7" i="24"/>
  <c r="G7" i="24"/>
  <c r="H7" i="24"/>
  <c r="S7" i="24"/>
  <c r="CV7" i="24"/>
  <c r="DZ7" i="24"/>
  <c r="AM7" i="24"/>
  <c r="M7" i="24"/>
  <c r="BG7" i="24"/>
  <c r="AA7" i="24"/>
  <c r="AB7" i="24"/>
  <c r="EI7" i="24"/>
  <c r="J16" i="10"/>
  <c r="A17" i="10"/>
  <c r="M16" i="10"/>
  <c r="P16" i="10"/>
  <c r="H16" i="10"/>
  <c r="B16" i="10"/>
  <c r="D16" i="10"/>
  <c r="K16" i="10"/>
  <c r="L16" i="10"/>
  <c r="C16" i="10"/>
  <c r="I16" i="10"/>
  <c r="F16" i="10"/>
  <c r="G16" i="10"/>
  <c r="E16" i="10"/>
  <c r="AU14" i="13"/>
  <c r="K47" i="21"/>
  <c r="D207" i="20"/>
  <c r="D1199" i="17"/>
  <c r="G27" i="27"/>
  <c r="H27" i="27"/>
  <c r="I27" i="27"/>
  <c r="AK27" i="27"/>
  <c r="AL27" i="27"/>
  <c r="AM27" i="27"/>
  <c r="M27" i="27"/>
  <c r="N27" i="27"/>
  <c r="O27" i="27"/>
  <c r="BO27" i="27"/>
  <c r="BP27" i="27"/>
  <c r="BQ27" i="27"/>
  <c r="CA27" i="27"/>
  <c r="CB27" i="27"/>
  <c r="CC27" i="27"/>
  <c r="BI27" i="27"/>
  <c r="BJ27" i="27"/>
  <c r="BK27" i="27"/>
  <c r="BU27" i="27"/>
  <c r="BV27" i="27"/>
  <c r="BW27" i="27"/>
  <c r="AW27" i="27"/>
  <c r="AX27" i="27"/>
  <c r="AY27" i="27"/>
  <c r="AQ27" i="27"/>
  <c r="AR27" i="27"/>
  <c r="AS27" i="27"/>
  <c r="S27" i="27"/>
  <c r="T27" i="27"/>
  <c r="U27" i="27"/>
  <c r="BC27" i="27"/>
  <c r="BD27" i="27"/>
  <c r="BE27" i="27"/>
  <c r="Y27" i="27"/>
  <c r="Z27" i="27"/>
  <c r="AA27" i="27"/>
  <c r="CG27" i="27"/>
  <c r="CH27" i="27"/>
  <c r="CI27" i="27"/>
  <c r="C28" i="27"/>
  <c r="M28" i="27"/>
  <c r="N28" i="27"/>
  <c r="O28" i="27"/>
  <c r="K36" i="2"/>
  <c r="B36" i="2"/>
  <c r="H36" i="2"/>
  <c r="C36" i="2"/>
  <c r="G36" i="2"/>
  <c r="D36" i="2"/>
  <c r="E36" i="2"/>
  <c r="F36" i="2"/>
  <c r="I36" i="2"/>
  <c r="J36" i="2"/>
  <c r="A37" i="2"/>
  <c r="Y31" i="4"/>
  <c r="D1113" i="17"/>
  <c r="D1111" i="17"/>
  <c r="E1317" i="17"/>
  <c r="C1231" i="17"/>
  <c r="D1232" i="17"/>
  <c r="A1260" i="17"/>
  <c r="A1258" i="17"/>
  <c r="A1257" i="17"/>
  <c r="C1232" i="17"/>
  <c r="A1259" i="17"/>
  <c r="D1253" i="17"/>
  <c r="V33" i="4"/>
  <c r="W37" i="8"/>
  <c r="X36" i="8"/>
  <c r="Y36" i="8"/>
  <c r="W32" i="4"/>
  <c r="AI32" i="4"/>
  <c r="D1155" i="17"/>
  <c r="D29" i="27"/>
  <c r="B30" i="27"/>
  <c r="E29" i="27"/>
  <c r="F29" i="27"/>
  <c r="AH31" i="4"/>
  <c r="J34" i="4"/>
  <c r="D1238" i="17"/>
  <c r="D34" i="4"/>
  <c r="K34" i="4"/>
  <c r="D1239" i="17"/>
  <c r="E34" i="4"/>
  <c r="U34" i="4"/>
  <c r="D1248" i="17"/>
  <c r="Q34" i="4"/>
  <c r="D1245" i="17"/>
  <c r="H34" i="4"/>
  <c r="D1236" i="17"/>
  <c r="P34" i="4"/>
  <c r="D1244" i="17"/>
  <c r="M34" i="4"/>
  <c r="D1241" i="17"/>
  <c r="G34" i="4"/>
  <c r="C34" i="4"/>
  <c r="T34" i="4"/>
  <c r="D1247" i="17"/>
  <c r="A35" i="4"/>
  <c r="B34" i="4"/>
  <c r="R34" i="4"/>
  <c r="S34" i="4"/>
  <c r="O34" i="4"/>
  <c r="D1243" i="17"/>
  <c r="AG34" i="4"/>
  <c r="F34" i="4"/>
  <c r="L34" i="4"/>
  <c r="D1240" i="17"/>
  <c r="N34" i="4"/>
  <c r="D1242" i="17"/>
  <c r="I34" i="4"/>
  <c r="D1237" i="17"/>
  <c r="F78" i="21"/>
  <c r="E299" i="20"/>
  <c r="AC9" i="24"/>
  <c r="AX9" i="24"/>
  <c r="BQ9" i="24"/>
  <c r="CU9" i="24"/>
  <c r="DC9" i="24"/>
  <c r="DD9" i="24"/>
  <c r="I9" i="24"/>
  <c r="AW9" i="24"/>
  <c r="CA9" i="24"/>
  <c r="M9" i="24"/>
  <c r="DY9" i="24"/>
  <c r="DW9" i="24"/>
  <c r="DX9" i="24"/>
  <c r="CK9" i="24"/>
  <c r="DZ9" i="24"/>
  <c r="BH9" i="24"/>
  <c r="CI9" i="24"/>
  <c r="CJ9" i="24"/>
  <c r="AD9" i="24"/>
  <c r="W9" i="24"/>
  <c r="DM9" i="24"/>
  <c r="DN9" i="24"/>
  <c r="DE9" i="24"/>
  <c r="AU9" i="24"/>
  <c r="AV9" i="24"/>
  <c r="BK9" i="24"/>
  <c r="BY9" i="24"/>
  <c r="BZ9" i="24"/>
  <c r="BR9" i="24"/>
  <c r="AN9" i="24"/>
  <c r="DF9" i="24"/>
  <c r="Q9" i="24"/>
  <c r="R9" i="24"/>
  <c r="AA9" i="24"/>
  <c r="AB9" i="24"/>
  <c r="S9" i="24"/>
  <c r="DO9" i="24"/>
  <c r="EI9" i="24"/>
  <c r="EG9" i="24"/>
  <c r="EH9" i="24"/>
  <c r="EC9" i="24"/>
  <c r="AQ9" i="24"/>
  <c r="EM9" i="24"/>
  <c r="AG9" i="24"/>
  <c r="DI9" i="24"/>
  <c r="CY9" i="24"/>
  <c r="J9" i="24"/>
  <c r="BE9" i="24"/>
  <c r="BF9" i="24"/>
  <c r="BU9" i="24"/>
  <c r="CB9" i="24"/>
  <c r="CL9" i="24"/>
  <c r="CO9" i="24"/>
  <c r="CV9" i="24"/>
  <c r="AK9" i="24"/>
  <c r="AL9" i="24"/>
  <c r="BA9" i="24"/>
  <c r="BO9" i="24"/>
  <c r="BP9" i="24"/>
  <c r="DP9" i="24"/>
  <c r="BG9" i="24"/>
  <c r="AM9" i="24"/>
  <c r="CE9" i="24"/>
  <c r="CS9" i="24"/>
  <c r="CT9" i="24"/>
  <c r="G9" i="24"/>
  <c r="H9" i="24"/>
  <c r="EJ9" i="24"/>
  <c r="T9" i="24"/>
  <c r="DS9" i="24"/>
  <c r="E252" i="20"/>
  <c r="R47" i="21"/>
  <c r="BL7" i="24"/>
  <c r="BM7" i="24"/>
  <c r="F133" i="25"/>
  <c r="E133" i="25"/>
  <c r="AE7" i="24"/>
  <c r="AF7" i="24"/>
  <c r="D130" i="25"/>
  <c r="C130" i="25"/>
  <c r="DG7" i="24"/>
  <c r="DH7" i="24"/>
  <c r="D138" i="25"/>
  <c r="C138" i="25"/>
  <c r="B11" i="24"/>
  <c r="D10" i="24"/>
  <c r="C10" i="24"/>
  <c r="F10" i="24"/>
  <c r="E10" i="24"/>
  <c r="D254" i="20"/>
  <c r="Q49" i="21"/>
  <c r="K74" i="21"/>
  <c r="K71" i="21"/>
  <c r="K65" i="21"/>
  <c r="J64" i="21"/>
  <c r="H84" i="21"/>
  <c r="L63" i="21"/>
  <c r="K68" i="21"/>
  <c r="K73" i="21"/>
  <c r="L74" i="21"/>
  <c r="J68" i="21"/>
  <c r="J74" i="21"/>
  <c r="I59" i="21"/>
  <c r="J75" i="21"/>
  <c r="L68" i="21"/>
  <c r="K60" i="21"/>
  <c r="L70" i="21"/>
  <c r="L69" i="21"/>
  <c r="L65" i="21"/>
  <c r="K63" i="21"/>
  <c r="J72" i="21"/>
  <c r="J70" i="21"/>
  <c r="L66" i="21"/>
  <c r="K67" i="21"/>
  <c r="L71" i="21"/>
  <c r="J71" i="21"/>
  <c r="J66" i="21"/>
  <c r="H81" i="21"/>
  <c r="K70" i="21"/>
  <c r="J67" i="21"/>
  <c r="H82" i="21"/>
  <c r="L72" i="21"/>
  <c r="J65" i="21"/>
  <c r="L67" i="21"/>
  <c r="J73" i="21"/>
  <c r="K64" i="21"/>
  <c r="K72" i="21"/>
  <c r="J63" i="21"/>
  <c r="L62" i="21"/>
  <c r="L73" i="21"/>
  <c r="H60" i="21"/>
  <c r="H83" i="21"/>
  <c r="N59" i="21"/>
  <c r="L64" i="21"/>
  <c r="K66" i="21"/>
  <c r="K75" i="21"/>
  <c r="K69" i="21"/>
  <c r="J69" i="21"/>
  <c r="J62" i="21"/>
  <c r="L75" i="21"/>
  <c r="K62" i="21"/>
  <c r="F50" i="21"/>
  <c r="E165" i="20"/>
  <c r="L47" i="21"/>
  <c r="E207" i="20"/>
  <c r="CC8" i="24"/>
  <c r="CD8" i="24"/>
  <c r="D164" i="25"/>
  <c r="C164" i="25"/>
  <c r="DT8" i="24"/>
  <c r="DU8" i="24"/>
  <c r="F168" i="25"/>
  <c r="E168" i="25"/>
  <c r="ED8" i="24"/>
  <c r="EE8" i="24"/>
  <c r="F169" i="25"/>
  <c r="E169" i="25"/>
  <c r="X8" i="24"/>
  <c r="Y8" i="24"/>
  <c r="F158" i="25"/>
  <c r="E158" i="25"/>
  <c r="CP8" i="24"/>
  <c r="CQ8" i="24"/>
  <c r="F165" i="25"/>
  <c r="E165" i="25"/>
  <c r="DG8" i="24"/>
  <c r="DH8" i="24"/>
  <c r="D167" i="25"/>
  <c r="C167" i="25"/>
  <c r="AE8" i="24"/>
  <c r="AF8" i="24"/>
  <c r="D159" i="25"/>
  <c r="C159" i="25"/>
  <c r="EA8" i="24"/>
  <c r="EB8" i="24"/>
  <c r="D169" i="25"/>
  <c r="C169" i="25"/>
  <c r="EA7" i="24"/>
  <c r="EB7" i="24"/>
  <c r="D140" i="25"/>
  <c r="C140" i="25"/>
  <c r="X7" i="24"/>
  <c r="Y7" i="24"/>
  <c r="F129" i="25"/>
  <c r="E129" i="25"/>
  <c r="CF7" i="24"/>
  <c r="CG7" i="24"/>
  <c r="F135" i="25"/>
  <c r="E135" i="25"/>
  <c r="DJ7" i="24"/>
  <c r="DK7" i="24"/>
  <c r="F138" i="25"/>
  <c r="E138" i="25"/>
  <c r="CM7" i="24"/>
  <c r="CN7" i="24"/>
  <c r="D136" i="25"/>
  <c r="C136" i="25"/>
  <c r="DT7" i="24"/>
  <c r="DU7" i="24"/>
  <c r="F139" i="25"/>
  <c r="E139" i="25"/>
  <c r="AO7" i="24"/>
  <c r="AP7" i="24"/>
  <c r="D131" i="25"/>
  <c r="C131" i="25"/>
  <c r="AH7" i="24"/>
  <c r="AI7" i="24"/>
  <c r="F130" i="25"/>
  <c r="E130" i="25"/>
  <c r="V14" i="18"/>
  <c r="V14" i="11"/>
  <c r="BA15" i="13"/>
  <c r="AY8" i="24"/>
  <c r="AZ8" i="24"/>
  <c r="D161" i="25"/>
  <c r="C161" i="25"/>
  <c r="BL8" i="24"/>
  <c r="BM8" i="24"/>
  <c r="F162" i="25"/>
  <c r="E162" i="25"/>
  <c r="DQ8" i="24"/>
  <c r="DR8" i="24"/>
  <c r="D168" i="25"/>
  <c r="C168" i="25"/>
  <c r="BB8" i="24"/>
  <c r="BC8" i="24"/>
  <c r="F161" i="25"/>
  <c r="E161" i="25"/>
  <c r="BS8" i="24"/>
  <c r="BT8" i="24"/>
  <c r="D163" i="25"/>
  <c r="C163" i="25"/>
  <c r="AO8" i="24"/>
  <c r="AP8" i="24"/>
  <c r="D160" i="25"/>
  <c r="C160" i="25"/>
  <c r="EN8" i="24"/>
  <c r="EO8" i="24"/>
  <c r="F170" i="25"/>
  <c r="E170" i="25"/>
  <c r="BI8" i="24"/>
  <c r="BJ8" i="24"/>
  <c r="D162" i="25"/>
  <c r="C162" i="25"/>
  <c r="DJ8" i="24"/>
  <c r="DK8" i="24"/>
  <c r="F167" i="25"/>
  <c r="E167" i="25"/>
  <c r="CW8" i="24"/>
  <c r="CX8" i="24"/>
  <c r="D166" i="25"/>
  <c r="C166" i="25"/>
  <c r="D252" i="20"/>
  <c r="Q47" i="21"/>
  <c r="G17" i="10"/>
  <c r="E17" i="10"/>
  <c r="F17" i="10"/>
  <c r="J17" i="10"/>
  <c r="D17" i="10"/>
  <c r="B17" i="10"/>
  <c r="L17" i="10"/>
  <c r="A18" i="10"/>
  <c r="M17" i="10"/>
  <c r="P17" i="10"/>
  <c r="I17" i="10"/>
  <c r="C17" i="10"/>
  <c r="H17" i="10"/>
  <c r="K17" i="10"/>
  <c r="CW7" i="24"/>
  <c r="CX7" i="24"/>
  <c r="D137" i="25"/>
  <c r="C137" i="25"/>
  <c r="U7" i="24"/>
  <c r="V7" i="24"/>
  <c r="D129" i="25"/>
  <c r="C129" i="25"/>
  <c r="CZ7" i="24"/>
  <c r="DA7" i="24"/>
  <c r="F137" i="25"/>
  <c r="E137" i="25"/>
  <c r="CP7" i="24"/>
  <c r="CQ7" i="24"/>
  <c r="F136" i="25"/>
  <c r="E136" i="25"/>
  <c r="BV7" i="24"/>
  <c r="BW7" i="24"/>
  <c r="F134" i="25"/>
  <c r="E134" i="25"/>
  <c r="BI7" i="24"/>
  <c r="BJ7" i="24"/>
  <c r="D133" i="25"/>
  <c r="C133" i="25"/>
  <c r="BB7" i="24"/>
  <c r="BC7" i="24"/>
  <c r="F132" i="25"/>
  <c r="E132" i="25"/>
  <c r="G15" i="11"/>
  <c r="Q15" i="11"/>
  <c r="F15" i="11"/>
  <c r="O15" i="11"/>
  <c r="D15" i="11"/>
  <c r="AG15" i="11"/>
  <c r="K15" i="11"/>
  <c r="R15" i="11"/>
  <c r="S15" i="11"/>
  <c r="L15" i="11"/>
  <c r="C15" i="11"/>
  <c r="A16" i="11"/>
  <c r="M15" i="11"/>
  <c r="H15" i="11"/>
  <c r="B15" i="11"/>
  <c r="I15" i="11"/>
  <c r="J15" i="11"/>
  <c r="T15" i="11"/>
  <c r="P15" i="11"/>
  <c r="E15" i="11"/>
  <c r="N15" i="11"/>
  <c r="U15" i="11"/>
  <c r="D165" i="20"/>
  <c r="E50" i="21"/>
  <c r="AI12" i="11"/>
  <c r="Y12" i="11"/>
  <c r="BF13" i="13"/>
  <c r="AX13" i="13"/>
  <c r="F16" i="13"/>
  <c r="AJ16" i="13"/>
  <c r="AP16" i="13"/>
  <c r="G16" i="13"/>
  <c r="Q16" i="13"/>
  <c r="AA16" i="13"/>
  <c r="AD16" i="13"/>
  <c r="M16" i="13"/>
  <c r="AQ16" i="13"/>
  <c r="AH16" i="13"/>
  <c r="U16" i="13"/>
  <c r="E16" i="13"/>
  <c r="AB16" i="13"/>
  <c r="V16" i="13"/>
  <c r="Y16" i="13"/>
  <c r="AO16" i="13"/>
  <c r="C16" i="13"/>
  <c r="S16" i="13"/>
  <c r="AS16" i="13"/>
  <c r="N16" i="13"/>
  <c r="T16" i="13"/>
  <c r="BL16" i="13"/>
  <c r="BA16" i="13"/>
  <c r="K78" i="21"/>
  <c r="AG16" i="13"/>
  <c r="I16" i="13"/>
  <c r="AF16" i="13"/>
  <c r="P16" i="13"/>
  <c r="B16" i="13"/>
  <c r="L16" i="13"/>
  <c r="AC16" i="13"/>
  <c r="D16" i="13"/>
  <c r="AL16" i="13"/>
  <c r="W16" i="13"/>
  <c r="H16" i="13"/>
  <c r="J16" i="13"/>
  <c r="K16" i="13"/>
  <c r="AM16" i="13"/>
  <c r="AI16" i="13"/>
  <c r="AE16" i="13"/>
  <c r="Z16" i="13"/>
  <c r="O16" i="13"/>
  <c r="A17" i="13"/>
  <c r="X16" i="13"/>
  <c r="R16" i="13"/>
  <c r="AK16" i="13"/>
  <c r="AR16" i="13"/>
  <c r="AN16" i="13"/>
  <c r="K8" i="24"/>
  <c r="L8" i="24"/>
  <c r="D157" i="25"/>
  <c r="C157" i="25"/>
  <c r="AH8" i="24"/>
  <c r="AI8" i="24"/>
  <c r="F159" i="25"/>
  <c r="E159" i="25"/>
  <c r="U8" i="24"/>
  <c r="V8" i="24"/>
  <c r="D158" i="25"/>
  <c r="C158" i="25"/>
  <c r="AR8" i="24"/>
  <c r="AS8" i="24"/>
  <c r="F160" i="25"/>
  <c r="E160" i="25"/>
  <c r="EK8" i="24"/>
  <c r="EL8" i="24"/>
  <c r="D170" i="25"/>
  <c r="C170" i="25"/>
  <c r="CZ8" i="24"/>
  <c r="DA8" i="24"/>
  <c r="F166" i="25"/>
  <c r="E166" i="25"/>
  <c r="N7" i="24"/>
  <c r="O7" i="24"/>
  <c r="F128" i="25"/>
  <c r="E128" i="25"/>
  <c r="CC7" i="24"/>
  <c r="CD7" i="24"/>
  <c r="D135" i="25"/>
  <c r="C135" i="25"/>
  <c r="EK7" i="24"/>
  <c r="EL7" i="24"/>
  <c r="D141" i="25"/>
  <c r="C141" i="25"/>
  <c r="DQ7" i="24"/>
  <c r="DR7" i="24"/>
  <c r="D139" i="25"/>
  <c r="C139" i="25"/>
  <c r="EN7" i="24"/>
  <c r="EO7" i="24"/>
  <c r="F141" i="25"/>
  <c r="E141" i="25"/>
  <c r="K7" i="24"/>
  <c r="L7" i="24"/>
  <c r="D128" i="25"/>
  <c r="C128" i="25"/>
  <c r="AR7" i="24"/>
  <c r="AS7" i="24"/>
  <c r="F131" i="25"/>
  <c r="E131" i="25"/>
  <c r="BS7" i="24"/>
  <c r="BT7" i="24"/>
  <c r="D134" i="25"/>
  <c r="C134" i="25"/>
  <c r="AY7" i="24"/>
  <c r="AZ7" i="24"/>
  <c r="D132" i="25"/>
  <c r="C132" i="25"/>
  <c r="ED7" i="24"/>
  <c r="EE7" i="24"/>
  <c r="F140" i="25"/>
  <c r="E140" i="25"/>
  <c r="U15" i="18"/>
  <c r="P15" i="18"/>
  <c r="R15" i="18"/>
  <c r="S15" i="18"/>
  <c r="K15" i="18"/>
  <c r="T15" i="18"/>
  <c r="H15" i="18"/>
  <c r="F15" i="18"/>
  <c r="A16" i="18"/>
  <c r="E15" i="18"/>
  <c r="B15" i="18"/>
  <c r="Q15" i="18"/>
  <c r="N15" i="18"/>
  <c r="J15" i="18"/>
  <c r="D15" i="18"/>
  <c r="M15" i="18"/>
  <c r="O15" i="18"/>
  <c r="AG15" i="18"/>
  <c r="L15" i="18"/>
  <c r="C15" i="18"/>
  <c r="G15" i="18"/>
  <c r="I15" i="18"/>
  <c r="AI13" i="11"/>
  <c r="Y13" i="11"/>
  <c r="BF14" i="13"/>
  <c r="C323" i="20"/>
  <c r="E338" i="20"/>
  <c r="E324" i="20"/>
  <c r="D340" i="20"/>
  <c r="D337" i="20"/>
  <c r="C328" i="20"/>
  <c r="E334" i="20"/>
  <c r="C339" i="20"/>
  <c r="C334" i="20"/>
  <c r="D335" i="20"/>
  <c r="F406" i="20"/>
  <c r="D336" i="20"/>
  <c r="E339" i="20"/>
  <c r="C329" i="20"/>
  <c r="D338" i="20"/>
  <c r="C338" i="20"/>
  <c r="E328" i="20"/>
  <c r="E337" i="20"/>
  <c r="D329" i="20"/>
  <c r="E331" i="20"/>
  <c r="D339" i="20"/>
  <c r="D330" i="20"/>
  <c r="C341" i="20"/>
  <c r="E332" i="20"/>
  <c r="D341" i="20"/>
  <c r="D344" i="20"/>
  <c r="D334" i="20"/>
  <c r="D331" i="20"/>
  <c r="E330" i="20"/>
  <c r="C324" i="20"/>
  <c r="E329" i="20"/>
  <c r="E333" i="20"/>
  <c r="A349" i="20"/>
  <c r="C335" i="20"/>
  <c r="C333" i="20"/>
  <c r="D332" i="20"/>
  <c r="C337" i="20"/>
  <c r="E335" i="20"/>
  <c r="A350" i="20"/>
  <c r="C336" i="20"/>
  <c r="A348" i="20"/>
  <c r="E340" i="20"/>
  <c r="D333" i="20"/>
  <c r="D328" i="20"/>
  <c r="A351" i="20"/>
  <c r="E336" i="20"/>
  <c r="C331" i="20"/>
  <c r="E341" i="20"/>
  <c r="C330" i="20"/>
  <c r="C340" i="20"/>
  <c r="C332" i="20"/>
  <c r="AX14" i="13"/>
  <c r="W13" i="18"/>
  <c r="AH13" i="18"/>
  <c r="AB13" i="18"/>
  <c r="E48" i="21"/>
  <c r="D163" i="20"/>
  <c r="F48" i="21"/>
  <c r="E163" i="20"/>
  <c r="AH12" i="18"/>
  <c r="Y12" i="18"/>
  <c r="BC13" i="13"/>
  <c r="AY13" i="13"/>
  <c r="F212" i="25"/>
  <c r="D211" i="25"/>
  <c r="B262" i="25"/>
  <c r="D212" i="25"/>
  <c r="CM8" i="24"/>
  <c r="CN8" i="24"/>
  <c r="D165" i="25"/>
  <c r="C165" i="25"/>
  <c r="BV8" i="24"/>
  <c r="BW8" i="24"/>
  <c r="F163" i="25"/>
  <c r="E163" i="25"/>
  <c r="N8" i="24"/>
  <c r="O8" i="24"/>
  <c r="F157" i="25"/>
  <c r="E157" i="25"/>
  <c r="CF8" i="24"/>
  <c r="CG8" i="24"/>
  <c r="F164" i="25"/>
  <c r="E164" i="25"/>
  <c r="BO28" i="27"/>
  <c r="BP28" i="27"/>
  <c r="BQ28" i="27"/>
  <c r="CG28" i="27"/>
  <c r="CH28" i="27"/>
  <c r="CI28" i="27"/>
  <c r="CA28" i="27"/>
  <c r="CB28" i="27"/>
  <c r="CC28" i="27"/>
  <c r="BI28" i="27"/>
  <c r="BJ28" i="27"/>
  <c r="BK28" i="27"/>
  <c r="AH32" i="4"/>
  <c r="AK28" i="27"/>
  <c r="AL28" i="27"/>
  <c r="AM28" i="27"/>
  <c r="S28" i="27"/>
  <c r="T28" i="27"/>
  <c r="U28" i="27"/>
  <c r="Y28" i="27"/>
  <c r="Z28" i="27"/>
  <c r="AA28" i="27"/>
  <c r="BU28" i="27"/>
  <c r="BV28" i="27"/>
  <c r="BW28" i="27"/>
  <c r="C29" i="27"/>
  <c r="M29" i="27"/>
  <c r="N29" i="27"/>
  <c r="O29" i="27"/>
  <c r="AW28" i="27"/>
  <c r="AX28" i="27"/>
  <c r="AY28" i="27"/>
  <c r="AQ28" i="27"/>
  <c r="AR28" i="27"/>
  <c r="AS28" i="27"/>
  <c r="BC28" i="27"/>
  <c r="BD28" i="27"/>
  <c r="BE28" i="27"/>
  <c r="AE28" i="27"/>
  <c r="AF28" i="27"/>
  <c r="AG28" i="27"/>
  <c r="G28" i="27"/>
  <c r="H28" i="27"/>
  <c r="I28" i="27"/>
  <c r="V34" i="4"/>
  <c r="F30" i="27"/>
  <c r="E30" i="27"/>
  <c r="D30" i="27"/>
  <c r="B31" i="27"/>
  <c r="O35" i="4"/>
  <c r="D1290" i="17"/>
  <c r="D35" i="4"/>
  <c r="P35" i="4"/>
  <c r="D1291" i="17"/>
  <c r="E35" i="4"/>
  <c r="N35" i="4"/>
  <c r="D1289" i="17"/>
  <c r="C35" i="4"/>
  <c r="H35" i="4"/>
  <c r="D1283" i="17"/>
  <c r="I35" i="4"/>
  <c r="D1284" i="17"/>
  <c r="Q35" i="4"/>
  <c r="D1292" i="17"/>
  <c r="AG35" i="4"/>
  <c r="G35" i="4"/>
  <c r="D1282" i="17"/>
  <c r="T35" i="4"/>
  <c r="D1294" i="17"/>
  <c r="L35" i="4"/>
  <c r="D1287" i="17"/>
  <c r="U35" i="4"/>
  <c r="D1295" i="17"/>
  <c r="B35" i="4"/>
  <c r="F35" i="4"/>
  <c r="A36" i="4"/>
  <c r="K35" i="4"/>
  <c r="D1286" i="17"/>
  <c r="M35" i="4"/>
  <c r="D1288" i="17"/>
  <c r="J35" i="4"/>
  <c r="D1285" i="17"/>
  <c r="R35" i="4"/>
  <c r="S35" i="4"/>
  <c r="W33" i="4"/>
  <c r="AI33" i="4"/>
  <c r="D1202" i="17"/>
  <c r="A1305" i="17"/>
  <c r="D1279" i="17"/>
  <c r="A1304" i="17"/>
  <c r="C1279" i="17"/>
  <c r="E1364" i="17"/>
  <c r="A1307" i="17"/>
  <c r="D1300" i="17"/>
  <c r="C1278" i="17"/>
  <c r="A1306" i="17"/>
  <c r="X37" i="8"/>
  <c r="Y37" i="8"/>
  <c r="W38" i="8"/>
  <c r="D1246" i="17"/>
  <c r="B37" i="2"/>
  <c r="H37" i="2"/>
  <c r="D37" i="2"/>
  <c r="F37" i="2"/>
  <c r="G37" i="2"/>
  <c r="J37" i="2"/>
  <c r="K37" i="2"/>
  <c r="I37" i="2"/>
  <c r="E37" i="2"/>
  <c r="A38" i="2"/>
  <c r="C37" i="2"/>
  <c r="D1158" i="17"/>
  <c r="Y32" i="4"/>
  <c r="D1160" i="17"/>
  <c r="D1235" i="17"/>
  <c r="BY10" i="24"/>
  <c r="BZ10" i="24"/>
  <c r="CO10" i="24"/>
  <c r="CB10" i="24"/>
  <c r="W10" i="24"/>
  <c r="AG10" i="24"/>
  <c r="AW10" i="24"/>
  <c r="DF10" i="24"/>
  <c r="CK10" i="24"/>
  <c r="BU10" i="24"/>
  <c r="J10" i="24"/>
  <c r="AN10" i="24"/>
  <c r="DO10" i="24"/>
  <c r="EJ10" i="24"/>
  <c r="DM10" i="24"/>
  <c r="DN10" i="24"/>
  <c r="AC10" i="24"/>
  <c r="EG10" i="24"/>
  <c r="EH10" i="24"/>
  <c r="DP10" i="24"/>
  <c r="BQ10" i="24"/>
  <c r="DC10" i="24"/>
  <c r="DD10" i="24"/>
  <c r="AD10" i="24"/>
  <c r="CI10" i="24"/>
  <c r="CJ10" i="24"/>
  <c r="DY10" i="24"/>
  <c r="M10" i="24"/>
  <c r="AX10" i="24"/>
  <c r="Q10" i="24"/>
  <c r="R10" i="24"/>
  <c r="DZ10" i="24"/>
  <c r="AU10" i="24"/>
  <c r="AV10" i="24"/>
  <c r="I10" i="24"/>
  <c r="BH10" i="24"/>
  <c r="G10" i="24"/>
  <c r="H10" i="24"/>
  <c r="DE10" i="24"/>
  <c r="BG10" i="24"/>
  <c r="DI10" i="24"/>
  <c r="DS10" i="24"/>
  <c r="BK10" i="24"/>
  <c r="CS10" i="24"/>
  <c r="CT10" i="24"/>
  <c r="BE10" i="24"/>
  <c r="BF10" i="24"/>
  <c r="BO10" i="24"/>
  <c r="BP10" i="24"/>
  <c r="CL10" i="24"/>
  <c r="S10" i="24"/>
  <c r="T10" i="24"/>
  <c r="EI10" i="24"/>
  <c r="AM10" i="24"/>
  <c r="CE10" i="24"/>
  <c r="EM10" i="24"/>
  <c r="BR10" i="24"/>
  <c r="BA10" i="24"/>
  <c r="AQ10" i="24"/>
  <c r="AK10" i="24"/>
  <c r="AL10" i="24"/>
  <c r="DW10" i="24"/>
  <c r="DX10" i="24"/>
  <c r="EC10" i="24"/>
  <c r="CA10" i="24"/>
  <c r="CU10" i="24"/>
  <c r="AA10" i="24"/>
  <c r="AB10" i="24"/>
  <c r="CV10" i="24"/>
  <c r="CY10" i="24"/>
  <c r="E208" i="20"/>
  <c r="L48" i="21"/>
  <c r="C369" i="20"/>
  <c r="F451" i="20"/>
  <c r="A395" i="20"/>
  <c r="E369" i="20"/>
  <c r="A393" i="20"/>
  <c r="A394" i="20"/>
  <c r="A396" i="20"/>
  <c r="C368" i="20"/>
  <c r="V15" i="18"/>
  <c r="AV16" i="13"/>
  <c r="W14" i="11"/>
  <c r="AH14" i="11"/>
  <c r="AA14" i="11"/>
  <c r="P72" i="21"/>
  <c r="N60" i="21"/>
  <c r="R67" i="21"/>
  <c r="P68" i="21"/>
  <c r="P75" i="21"/>
  <c r="N84" i="21"/>
  <c r="R68" i="21"/>
  <c r="P66" i="21"/>
  <c r="R62" i="21"/>
  <c r="Q71" i="21"/>
  <c r="Q68" i="21"/>
  <c r="P64" i="21"/>
  <c r="R72" i="21"/>
  <c r="P69" i="21"/>
  <c r="N81" i="21"/>
  <c r="Q73" i="21"/>
  <c r="Q62" i="21"/>
  <c r="N82" i="21"/>
  <c r="P74" i="21"/>
  <c r="R70" i="21"/>
  <c r="Q66" i="21"/>
  <c r="Q64" i="21"/>
  <c r="P73" i="21"/>
  <c r="P67" i="21"/>
  <c r="Q72" i="21"/>
  <c r="R73" i="21"/>
  <c r="Q65" i="21"/>
  <c r="Q74" i="21"/>
  <c r="R74" i="21"/>
  <c r="Q69" i="21"/>
  <c r="P70" i="21"/>
  <c r="R63" i="21"/>
  <c r="R65" i="21"/>
  <c r="R75" i="21"/>
  <c r="B87" i="21"/>
  <c r="Q75" i="21"/>
  <c r="P71" i="21"/>
  <c r="Q60" i="21"/>
  <c r="R71" i="21"/>
  <c r="P63" i="21"/>
  <c r="R64" i="21"/>
  <c r="P62" i="21"/>
  <c r="P65" i="21"/>
  <c r="N83" i="21"/>
  <c r="Q67" i="21"/>
  <c r="O59" i="21"/>
  <c r="R69" i="21"/>
  <c r="Q63" i="21"/>
  <c r="R66" i="21"/>
  <c r="Q70" i="21"/>
  <c r="F11" i="24"/>
  <c r="B12" i="24"/>
  <c r="D11" i="24"/>
  <c r="C11" i="24"/>
  <c r="E11" i="24"/>
  <c r="CC9" i="24"/>
  <c r="CD9" i="24"/>
  <c r="D193" i="25"/>
  <c r="C193" i="25"/>
  <c r="CZ9" i="24"/>
  <c r="DA9" i="24"/>
  <c r="F195" i="25"/>
  <c r="E195" i="25"/>
  <c r="AR9" i="24"/>
  <c r="AS9" i="24"/>
  <c r="F189" i="25"/>
  <c r="E189" i="25"/>
  <c r="DG9" i="24"/>
  <c r="DH9" i="24"/>
  <c r="D196" i="25"/>
  <c r="C196" i="25"/>
  <c r="BL9" i="24"/>
  <c r="BM9" i="24"/>
  <c r="F191" i="25"/>
  <c r="E191" i="25"/>
  <c r="X9" i="24"/>
  <c r="Y9" i="24"/>
  <c r="F187" i="25"/>
  <c r="E187" i="25"/>
  <c r="EA9" i="24"/>
  <c r="EB9" i="24"/>
  <c r="D198" i="25"/>
  <c r="C198" i="25"/>
  <c r="N9" i="24"/>
  <c r="O9" i="24"/>
  <c r="F186" i="25"/>
  <c r="E186" i="25"/>
  <c r="F241" i="25"/>
  <c r="D240" i="25"/>
  <c r="B291" i="25"/>
  <c r="D241" i="25"/>
  <c r="E210" i="20"/>
  <c r="L50" i="21"/>
  <c r="AI13" i="18"/>
  <c r="Y13" i="18"/>
  <c r="BC14" i="13"/>
  <c r="AY14" i="13"/>
  <c r="Q50" i="21"/>
  <c r="D255" i="20"/>
  <c r="J16" i="18"/>
  <c r="L16" i="18"/>
  <c r="I16" i="18"/>
  <c r="G16" i="18"/>
  <c r="AG16" i="18"/>
  <c r="T16" i="18"/>
  <c r="B16" i="18"/>
  <c r="U16" i="18"/>
  <c r="O16" i="18"/>
  <c r="E16" i="18"/>
  <c r="M16" i="18"/>
  <c r="F16" i="18"/>
  <c r="Q16" i="18"/>
  <c r="R16" i="18"/>
  <c r="S16" i="18"/>
  <c r="P16" i="18"/>
  <c r="A17" i="18"/>
  <c r="N16" i="18"/>
  <c r="K16" i="18"/>
  <c r="H16" i="18"/>
  <c r="D16" i="18"/>
  <c r="C16" i="18"/>
  <c r="L16" i="11"/>
  <c r="A17" i="11"/>
  <c r="B16" i="11"/>
  <c r="Q16" i="11"/>
  <c r="T16" i="11"/>
  <c r="D16" i="11"/>
  <c r="U16" i="11"/>
  <c r="AG16" i="11"/>
  <c r="I16" i="11"/>
  <c r="F16" i="11"/>
  <c r="O16" i="11"/>
  <c r="N16" i="11"/>
  <c r="P16" i="11"/>
  <c r="H16" i="11"/>
  <c r="R16" i="11"/>
  <c r="S16" i="11"/>
  <c r="M16" i="11"/>
  <c r="K16" i="11"/>
  <c r="G16" i="11"/>
  <c r="J16" i="11"/>
  <c r="E16" i="11"/>
  <c r="C16" i="11"/>
  <c r="V15" i="11"/>
  <c r="AU16" i="13"/>
  <c r="C18" i="10"/>
  <c r="L18" i="10"/>
  <c r="M18" i="10"/>
  <c r="P18" i="10"/>
  <c r="G18" i="10"/>
  <c r="K18" i="10"/>
  <c r="D18" i="10"/>
  <c r="J18" i="10"/>
  <c r="B18" i="10"/>
  <c r="A19" i="10"/>
  <c r="I18" i="10"/>
  <c r="E18" i="10"/>
  <c r="H18" i="10"/>
  <c r="F18" i="10"/>
  <c r="W14" i="18"/>
  <c r="AI14" i="18"/>
  <c r="AB14" i="18"/>
  <c r="DT9" i="24"/>
  <c r="DU9" i="24"/>
  <c r="F197" i="25"/>
  <c r="E197" i="25"/>
  <c r="DQ9" i="24"/>
  <c r="DR9" i="24"/>
  <c r="D197" i="25"/>
  <c r="C197" i="25"/>
  <c r="CW9" i="24"/>
  <c r="CX9" i="24"/>
  <c r="D195" i="25"/>
  <c r="C195" i="25"/>
  <c r="BV9" i="24"/>
  <c r="BW9" i="24"/>
  <c r="F192" i="25"/>
  <c r="E192" i="25"/>
  <c r="DJ9" i="24"/>
  <c r="DK9" i="24"/>
  <c r="F196" i="25"/>
  <c r="E196" i="25"/>
  <c r="ED9" i="24"/>
  <c r="EE9" i="24"/>
  <c r="F198" i="25"/>
  <c r="E198" i="25"/>
  <c r="AO9" i="24"/>
  <c r="AP9" i="24"/>
  <c r="D189" i="25"/>
  <c r="C189" i="25"/>
  <c r="AE9" i="24"/>
  <c r="AF9" i="24"/>
  <c r="D188" i="25"/>
  <c r="C188" i="25"/>
  <c r="AU15" i="13"/>
  <c r="Q48" i="21"/>
  <c r="D253" i="20"/>
  <c r="AB17" i="13"/>
  <c r="C381" i="20"/>
  <c r="S17" i="13"/>
  <c r="C378" i="20"/>
  <c r="I17" i="13"/>
  <c r="E374" i="20"/>
  <c r="AG17" i="13"/>
  <c r="E382" i="20"/>
  <c r="AI17" i="13"/>
  <c r="D383" i="20"/>
  <c r="AP17" i="13"/>
  <c r="E385" i="20"/>
  <c r="AA17" i="13"/>
  <c r="E380" i="20"/>
  <c r="T17" i="13"/>
  <c r="D378" i="20"/>
  <c r="Y17" i="13"/>
  <c r="C380" i="20"/>
  <c r="B17" i="13"/>
  <c r="AN17" i="13"/>
  <c r="C385" i="20"/>
  <c r="Z17" i="13"/>
  <c r="D380" i="20"/>
  <c r="J17" i="13"/>
  <c r="C375" i="20"/>
  <c r="R17" i="13"/>
  <c r="E377" i="20"/>
  <c r="A18" i="13"/>
  <c r="AE17" i="13"/>
  <c r="C382" i="20"/>
  <c r="AJ17" i="13"/>
  <c r="E383" i="20"/>
  <c r="AH17" i="13"/>
  <c r="C383" i="20"/>
  <c r="AM17" i="13"/>
  <c r="E384" i="20"/>
  <c r="AO17" i="13"/>
  <c r="D385" i="20"/>
  <c r="AQ17" i="13"/>
  <c r="C386" i="20"/>
  <c r="BL17" i="13"/>
  <c r="AF17" i="13"/>
  <c r="D382" i="20"/>
  <c r="K17" i="13"/>
  <c r="D375" i="20"/>
  <c r="M17" i="13"/>
  <c r="C376" i="20"/>
  <c r="AS17" i="13"/>
  <c r="E386" i="20"/>
  <c r="L17" i="13"/>
  <c r="E375" i="20"/>
  <c r="E17" i="13"/>
  <c r="D373" i="20"/>
  <c r="C17" i="13"/>
  <c r="N17" i="13"/>
  <c r="D376" i="20"/>
  <c r="V17" i="13"/>
  <c r="C379" i="20"/>
  <c r="AL17" i="13"/>
  <c r="D384" i="20"/>
  <c r="AC17" i="13"/>
  <c r="D381" i="20"/>
  <c r="X17" i="13"/>
  <c r="E379" i="20"/>
  <c r="P17" i="13"/>
  <c r="C377" i="20"/>
  <c r="D17" i="13"/>
  <c r="C373" i="20"/>
  <c r="AD17" i="13"/>
  <c r="E381" i="20"/>
  <c r="O17" i="13"/>
  <c r="E376" i="20"/>
  <c r="W17" i="13"/>
  <c r="D379" i="20"/>
  <c r="AR17" i="13"/>
  <c r="D386" i="20"/>
  <c r="U17" i="13"/>
  <c r="E378" i="20"/>
  <c r="F17" i="13"/>
  <c r="E373" i="20"/>
  <c r="G17" i="13"/>
  <c r="C374" i="20"/>
  <c r="H17" i="13"/>
  <c r="D374" i="20"/>
  <c r="AK17" i="13"/>
  <c r="C384" i="20"/>
  <c r="Q17" i="13"/>
  <c r="D377" i="20"/>
  <c r="BA17" i="13"/>
  <c r="D389" i="20"/>
  <c r="BB17" i="13"/>
  <c r="R78" i="21"/>
  <c r="K48" i="21"/>
  <c r="D208" i="20"/>
  <c r="U9" i="24"/>
  <c r="V9" i="24"/>
  <c r="D187" i="25"/>
  <c r="C187" i="25"/>
  <c r="CF9" i="24"/>
  <c r="CG9" i="24"/>
  <c r="F193" i="25"/>
  <c r="E193" i="25"/>
  <c r="CP9" i="24"/>
  <c r="CQ9" i="24"/>
  <c r="F194" i="25"/>
  <c r="E194" i="25"/>
  <c r="AH9" i="24"/>
  <c r="AI9" i="24"/>
  <c r="F188" i="25"/>
  <c r="E188" i="25"/>
  <c r="BS9" i="24"/>
  <c r="BT9" i="24"/>
  <c r="D192" i="25"/>
  <c r="C192" i="25"/>
  <c r="BB16" i="13"/>
  <c r="K50" i="21"/>
  <c r="D210" i="20"/>
  <c r="E78" i="21"/>
  <c r="D299" i="20"/>
  <c r="AV15" i="13"/>
  <c r="EK9" i="24"/>
  <c r="EL9" i="24"/>
  <c r="D199" i="25"/>
  <c r="C199" i="25"/>
  <c r="BB9" i="24"/>
  <c r="BC9" i="24"/>
  <c r="F190" i="25"/>
  <c r="E190" i="25"/>
  <c r="CM9" i="24"/>
  <c r="CN9" i="24"/>
  <c r="D194" i="25"/>
  <c r="C194" i="25"/>
  <c r="K9" i="24"/>
  <c r="L9" i="24"/>
  <c r="D186" i="25"/>
  <c r="C186" i="25"/>
  <c r="EN9" i="24"/>
  <c r="EO9" i="24"/>
  <c r="F199" i="25"/>
  <c r="E199" i="25"/>
  <c r="BI9" i="24"/>
  <c r="BJ9" i="24"/>
  <c r="D191" i="25"/>
  <c r="C191" i="25"/>
  <c r="AY9" i="24"/>
  <c r="AZ9" i="24"/>
  <c r="D190" i="25"/>
  <c r="C190" i="25"/>
  <c r="AQ29" i="27"/>
  <c r="AR29" i="27"/>
  <c r="AS29" i="27"/>
  <c r="S29" i="27"/>
  <c r="T29" i="27"/>
  <c r="U29" i="27"/>
  <c r="Y29" i="27"/>
  <c r="Z29" i="27"/>
  <c r="AA29" i="27"/>
  <c r="BU29" i="27"/>
  <c r="BV29" i="27"/>
  <c r="BW29" i="27"/>
  <c r="BC29" i="27"/>
  <c r="BD29" i="27"/>
  <c r="BE29" i="27"/>
  <c r="G29" i="27"/>
  <c r="H29" i="27"/>
  <c r="I29" i="27"/>
  <c r="CG29" i="27"/>
  <c r="CH29" i="27"/>
  <c r="CI29" i="27"/>
  <c r="AW29" i="27"/>
  <c r="AX29" i="27"/>
  <c r="AY29" i="27"/>
  <c r="CA29" i="27"/>
  <c r="CB29" i="27"/>
  <c r="CC29" i="27"/>
  <c r="AE29" i="27"/>
  <c r="AF29" i="27"/>
  <c r="AG29" i="27"/>
  <c r="BO29" i="27"/>
  <c r="BP29" i="27"/>
  <c r="BQ29" i="27"/>
  <c r="BI29" i="27"/>
  <c r="BJ29" i="27"/>
  <c r="BK29" i="27"/>
  <c r="AK29" i="27"/>
  <c r="AL29" i="27"/>
  <c r="AM29" i="27"/>
  <c r="C30" i="27"/>
  <c r="CA30" i="27"/>
  <c r="CB30" i="27"/>
  <c r="CC30" i="27"/>
  <c r="D1293" i="17"/>
  <c r="AH33" i="4"/>
  <c r="A1354" i="17"/>
  <c r="D1326" i="17"/>
  <c r="E1411" i="17"/>
  <c r="C1326" i="17"/>
  <c r="A1353" i="17"/>
  <c r="A1351" i="17"/>
  <c r="D1347" i="17"/>
  <c r="C1325" i="17"/>
  <c r="A1352" i="17"/>
  <c r="V35" i="4"/>
  <c r="W39" i="8"/>
  <c r="X38" i="8"/>
  <c r="Y38" i="8"/>
  <c r="E31" i="27"/>
  <c r="F31" i="27"/>
  <c r="B32" i="27"/>
  <c r="D31" i="27"/>
  <c r="W34" i="4"/>
  <c r="AI34" i="4"/>
  <c r="D1249" i="17"/>
  <c r="K38" i="2"/>
  <c r="C38" i="2"/>
  <c r="D38" i="2"/>
  <c r="F38" i="2"/>
  <c r="I38" i="2"/>
  <c r="J38" i="2"/>
  <c r="G38" i="2"/>
  <c r="B38" i="2"/>
  <c r="A39" i="2"/>
  <c r="E38" i="2"/>
  <c r="H38" i="2"/>
  <c r="Y33" i="4"/>
  <c r="D1207" i="17"/>
  <c r="D1205" i="17"/>
  <c r="H36" i="4"/>
  <c r="D1330" i="17"/>
  <c r="I36" i="4"/>
  <c r="D1331" i="17"/>
  <c r="F36" i="4"/>
  <c r="A37" i="4"/>
  <c r="T36" i="4"/>
  <c r="D1341" i="17"/>
  <c r="M36" i="4"/>
  <c r="D1335" i="17"/>
  <c r="U36" i="4"/>
  <c r="D1342" i="17"/>
  <c r="J36" i="4"/>
  <c r="D1332" i="17"/>
  <c r="R36" i="4"/>
  <c r="S36" i="4"/>
  <c r="K36" i="4"/>
  <c r="D1333" i="17"/>
  <c r="AG36" i="4"/>
  <c r="L36" i="4"/>
  <c r="D1334" i="17"/>
  <c r="C36" i="4"/>
  <c r="D36" i="4"/>
  <c r="B36" i="4"/>
  <c r="P36" i="4"/>
  <c r="D1338" i="17"/>
  <c r="N36" i="4"/>
  <c r="D1336" i="17"/>
  <c r="E36" i="4"/>
  <c r="G36" i="4"/>
  <c r="D1329" i="17"/>
  <c r="Q36" i="4"/>
  <c r="D1339" i="17"/>
  <c r="O36" i="4"/>
  <c r="D1337" i="17"/>
  <c r="E342" i="20"/>
  <c r="L76" i="21"/>
  <c r="BH11" i="24"/>
  <c r="BK11" i="24"/>
  <c r="EG11" i="24"/>
  <c r="EH11" i="24"/>
  <c r="AG11" i="24"/>
  <c r="DC11" i="24"/>
  <c r="DD11" i="24"/>
  <c r="I11" i="24"/>
  <c r="DE11" i="24"/>
  <c r="G11" i="24"/>
  <c r="H11" i="24"/>
  <c r="EJ11" i="24"/>
  <c r="AK11" i="24"/>
  <c r="AL11" i="24"/>
  <c r="DF11" i="24"/>
  <c r="DI11" i="24"/>
  <c r="M11" i="24"/>
  <c r="S11" i="24"/>
  <c r="CO11" i="24"/>
  <c r="EC11" i="24"/>
  <c r="BY11" i="24"/>
  <c r="BZ11" i="24"/>
  <c r="AD11" i="24"/>
  <c r="AM11" i="24"/>
  <c r="BU11" i="24"/>
  <c r="DW11" i="24"/>
  <c r="DX11" i="24"/>
  <c r="AC11" i="24"/>
  <c r="CU11" i="24"/>
  <c r="AU11" i="24"/>
  <c r="AV11" i="24"/>
  <c r="AQ11" i="24"/>
  <c r="CI11" i="24"/>
  <c r="CJ11" i="24"/>
  <c r="DZ11" i="24"/>
  <c r="J11" i="24"/>
  <c r="CL11" i="24"/>
  <c r="BG11" i="24"/>
  <c r="AW11" i="24"/>
  <c r="BA11" i="24"/>
  <c r="DO11" i="24"/>
  <c r="BR11" i="24"/>
  <c r="CB11" i="24"/>
  <c r="EI11" i="24"/>
  <c r="AX11" i="24"/>
  <c r="T11" i="24"/>
  <c r="AN11" i="24"/>
  <c r="CS11" i="24"/>
  <c r="CT11" i="24"/>
  <c r="CK11" i="24"/>
  <c r="W11" i="24"/>
  <c r="CV11" i="24"/>
  <c r="CE11" i="24"/>
  <c r="BO11" i="24"/>
  <c r="BP11" i="24"/>
  <c r="CY11" i="24"/>
  <c r="DM11" i="24"/>
  <c r="DN11" i="24"/>
  <c r="DS11" i="24"/>
  <c r="BQ11" i="24"/>
  <c r="BE11" i="24"/>
  <c r="BF11" i="24"/>
  <c r="AA11" i="24"/>
  <c r="AB11" i="24"/>
  <c r="DP11" i="24"/>
  <c r="EM11" i="24"/>
  <c r="CA11" i="24"/>
  <c r="DY11" i="24"/>
  <c r="Q11" i="24"/>
  <c r="R11" i="24"/>
  <c r="K76" i="21"/>
  <c r="D342" i="20"/>
  <c r="V16" i="11"/>
  <c r="D12" i="24"/>
  <c r="B13" i="24"/>
  <c r="E12" i="24"/>
  <c r="C12" i="24"/>
  <c r="DE12" i="24"/>
  <c r="BE12" i="24"/>
  <c r="BF12" i="24"/>
  <c r="F12" i="24"/>
  <c r="BU12" i="24"/>
  <c r="BV12" i="24"/>
  <c r="BW12" i="24"/>
  <c r="CZ10" i="24"/>
  <c r="DA10" i="24"/>
  <c r="F224" i="25"/>
  <c r="E224" i="25"/>
  <c r="AR10" i="24"/>
  <c r="AS10" i="24"/>
  <c r="F218" i="25"/>
  <c r="E218" i="25"/>
  <c r="CF10" i="24"/>
  <c r="CG10" i="24"/>
  <c r="F222" i="25"/>
  <c r="E222" i="25"/>
  <c r="AY10" i="24"/>
  <c r="AZ10" i="24"/>
  <c r="D219" i="25"/>
  <c r="C219" i="25"/>
  <c r="AE10" i="24"/>
  <c r="AF10" i="24"/>
  <c r="D217" i="25"/>
  <c r="C217" i="25"/>
  <c r="X10" i="24"/>
  <c r="Y10" i="24"/>
  <c r="F216" i="25"/>
  <c r="E216" i="25"/>
  <c r="E297" i="20"/>
  <c r="F76" i="21"/>
  <c r="G18" i="13"/>
  <c r="AC18" i="13"/>
  <c r="K18" i="13"/>
  <c r="O18" i="13"/>
  <c r="M18" i="13"/>
  <c r="AF18" i="13"/>
  <c r="N18" i="13"/>
  <c r="V18" i="13"/>
  <c r="C424" i="20"/>
  <c r="S18" i="13"/>
  <c r="AA18" i="13"/>
  <c r="AN18" i="13"/>
  <c r="AQ18" i="13"/>
  <c r="C431" i="20"/>
  <c r="AI18" i="13"/>
  <c r="AR18" i="13"/>
  <c r="AO18" i="13"/>
  <c r="AG18" i="13"/>
  <c r="E427" i="20"/>
  <c r="J18" i="13"/>
  <c r="P18" i="13"/>
  <c r="R18" i="13"/>
  <c r="B18" i="13"/>
  <c r="AE18" i="13"/>
  <c r="AM18" i="13"/>
  <c r="AL18" i="13"/>
  <c r="A19" i="13"/>
  <c r="Q18" i="13"/>
  <c r="F18" i="13"/>
  <c r="AK18" i="13"/>
  <c r="Y18" i="13"/>
  <c r="C425" i="20"/>
  <c r="X18" i="13"/>
  <c r="L18" i="13"/>
  <c r="Z18" i="13"/>
  <c r="I18" i="13"/>
  <c r="AP18" i="13"/>
  <c r="AS18" i="13"/>
  <c r="C18" i="13"/>
  <c r="W18" i="13"/>
  <c r="D424" i="20"/>
  <c r="AD18" i="13"/>
  <c r="U18" i="13"/>
  <c r="AJ18" i="13"/>
  <c r="H18" i="13"/>
  <c r="AB18" i="13"/>
  <c r="C426" i="20"/>
  <c r="E18" i="13"/>
  <c r="AH18" i="13"/>
  <c r="T18" i="13"/>
  <c r="D423" i="20"/>
  <c r="BL18" i="13"/>
  <c r="D18" i="13"/>
  <c r="AH14" i="18"/>
  <c r="Y14" i="18"/>
  <c r="BC15" i="13"/>
  <c r="AY15" i="13"/>
  <c r="L17" i="11"/>
  <c r="K17" i="11"/>
  <c r="F17" i="11"/>
  <c r="G17" i="11"/>
  <c r="I17" i="11"/>
  <c r="E17" i="11"/>
  <c r="T17" i="11"/>
  <c r="J17" i="11"/>
  <c r="B17" i="11"/>
  <c r="A18" i="11"/>
  <c r="M17" i="11"/>
  <c r="H17" i="11"/>
  <c r="P17" i="11"/>
  <c r="R17" i="11"/>
  <c r="S17" i="11"/>
  <c r="O17" i="11"/>
  <c r="C17" i="11"/>
  <c r="AG17" i="11"/>
  <c r="N17" i="11"/>
  <c r="D17" i="11"/>
  <c r="Q17" i="11"/>
  <c r="U17" i="11"/>
  <c r="L17" i="18"/>
  <c r="U17" i="18"/>
  <c r="C17" i="18"/>
  <c r="A18" i="18"/>
  <c r="B17" i="18"/>
  <c r="J17" i="18"/>
  <c r="P17" i="18"/>
  <c r="H17" i="18"/>
  <c r="F17" i="18"/>
  <c r="T17" i="18"/>
  <c r="AG17" i="18"/>
  <c r="BB18" i="13"/>
  <c r="N17" i="18"/>
  <c r="O17" i="18"/>
  <c r="I17" i="18"/>
  <c r="E17" i="18"/>
  <c r="G17" i="18"/>
  <c r="R17" i="18"/>
  <c r="S17" i="18"/>
  <c r="Q17" i="18"/>
  <c r="K17" i="18"/>
  <c r="D17" i="18"/>
  <c r="M17" i="18"/>
  <c r="E253" i="20"/>
  <c r="R48" i="21"/>
  <c r="E429" i="20"/>
  <c r="E431" i="20"/>
  <c r="C414" i="20"/>
  <c r="D421" i="20"/>
  <c r="D418" i="20"/>
  <c r="C422" i="20"/>
  <c r="E428" i="20"/>
  <c r="E420" i="20"/>
  <c r="E419" i="20"/>
  <c r="C421" i="20"/>
  <c r="C420" i="20"/>
  <c r="D426" i="20"/>
  <c r="A441" i="20"/>
  <c r="C419" i="20"/>
  <c r="E430" i="20"/>
  <c r="E424" i="20"/>
  <c r="D429" i="20"/>
  <c r="D422" i="20"/>
  <c r="C427" i="20"/>
  <c r="C428" i="20"/>
  <c r="E422" i="20"/>
  <c r="D419" i="20"/>
  <c r="A440" i="20"/>
  <c r="D420" i="20"/>
  <c r="E414" i="20"/>
  <c r="D431" i="20"/>
  <c r="D425" i="20"/>
  <c r="C429" i="20"/>
  <c r="D430" i="20"/>
  <c r="E423" i="20"/>
  <c r="D427" i="20"/>
  <c r="E421" i="20"/>
  <c r="E426" i="20"/>
  <c r="C418" i="20"/>
  <c r="E425" i="20"/>
  <c r="A438" i="20"/>
  <c r="D428" i="20"/>
  <c r="C413" i="20"/>
  <c r="C430" i="20"/>
  <c r="C423" i="20"/>
  <c r="F496" i="20"/>
  <c r="E418" i="20"/>
  <c r="A439" i="20"/>
  <c r="E389" i="20"/>
  <c r="CW10" i="24"/>
  <c r="CX10" i="24"/>
  <c r="D224" i="25"/>
  <c r="C224" i="25"/>
  <c r="ED10" i="24"/>
  <c r="EE10" i="24"/>
  <c r="F227" i="25"/>
  <c r="E227" i="25"/>
  <c r="BB10" i="24"/>
  <c r="BC10" i="24"/>
  <c r="F219" i="25"/>
  <c r="E219" i="25"/>
  <c r="CM10" i="24"/>
  <c r="CN10" i="24"/>
  <c r="D223" i="25"/>
  <c r="C223" i="25"/>
  <c r="BL10" i="24"/>
  <c r="BM10" i="24"/>
  <c r="F220" i="25"/>
  <c r="E220" i="25"/>
  <c r="N10" i="24"/>
  <c r="O10" i="24"/>
  <c r="F215" i="25"/>
  <c r="E215" i="25"/>
  <c r="AO10" i="24"/>
  <c r="AP10" i="24"/>
  <c r="D218" i="25"/>
  <c r="C218" i="25"/>
  <c r="DG10" i="24"/>
  <c r="DH10" i="24"/>
  <c r="D225" i="25"/>
  <c r="C225" i="25"/>
  <c r="CC10" i="24"/>
  <c r="CD10" i="24"/>
  <c r="D222" i="25"/>
  <c r="C222" i="25"/>
  <c r="E344" i="20"/>
  <c r="L78" i="21"/>
  <c r="E76" i="21"/>
  <c r="D297" i="20"/>
  <c r="I19" i="10"/>
  <c r="B19" i="10"/>
  <c r="M19" i="10"/>
  <c r="P19" i="10"/>
  <c r="J19" i="10"/>
  <c r="L19" i="10"/>
  <c r="C19" i="10"/>
  <c r="A20" i="10"/>
  <c r="G19" i="10"/>
  <c r="F19" i="10"/>
  <c r="K19" i="10"/>
  <c r="E19" i="10"/>
  <c r="D19" i="10"/>
  <c r="H19" i="10"/>
  <c r="R50" i="21"/>
  <c r="E255" i="20"/>
  <c r="W15" i="18"/>
  <c r="AH15" i="18"/>
  <c r="AB15" i="18"/>
  <c r="BS10" i="24"/>
  <c r="BT10" i="24"/>
  <c r="D221" i="25"/>
  <c r="C221" i="25"/>
  <c r="DT10" i="24"/>
  <c r="DU10" i="24"/>
  <c r="F226" i="25"/>
  <c r="E226" i="25"/>
  <c r="EA10" i="24"/>
  <c r="EB10" i="24"/>
  <c r="D227" i="25"/>
  <c r="C227" i="25"/>
  <c r="K10" i="24"/>
  <c r="L10" i="24"/>
  <c r="D215" i="25"/>
  <c r="C215" i="25"/>
  <c r="CP10" i="24"/>
  <c r="CQ10" i="24"/>
  <c r="F223" i="25"/>
  <c r="E223" i="25"/>
  <c r="W15" i="11"/>
  <c r="AI15" i="11"/>
  <c r="AA15" i="11"/>
  <c r="V16" i="18"/>
  <c r="AV17" i="13"/>
  <c r="F279" i="25"/>
  <c r="E279" i="25"/>
  <c r="D269" i="25"/>
  <c r="F270" i="25"/>
  <c r="B320" i="25"/>
  <c r="D270" i="25"/>
  <c r="E100" i="21"/>
  <c r="H87" i="21"/>
  <c r="F95" i="21"/>
  <c r="E90" i="21"/>
  <c r="E92" i="21"/>
  <c r="D91" i="21"/>
  <c r="E96" i="21"/>
  <c r="B109" i="21"/>
  <c r="F96" i="21"/>
  <c r="D93" i="21"/>
  <c r="F93" i="21"/>
  <c r="E99" i="21"/>
  <c r="E91" i="21"/>
  <c r="D92" i="21"/>
  <c r="D101" i="21"/>
  <c r="E101" i="21"/>
  <c r="E88" i="21"/>
  <c r="E98" i="21"/>
  <c r="E94" i="21"/>
  <c r="D90" i="21"/>
  <c r="F94" i="21"/>
  <c r="F98" i="21"/>
  <c r="B110" i="21"/>
  <c r="F99" i="21"/>
  <c r="F90" i="21"/>
  <c r="D94" i="21"/>
  <c r="D96" i="21"/>
  <c r="D100" i="21"/>
  <c r="F100" i="21"/>
  <c r="E93" i="21"/>
  <c r="F92" i="21"/>
  <c r="D102" i="21"/>
  <c r="F97" i="21"/>
  <c r="C87" i="21"/>
  <c r="F103" i="21"/>
  <c r="D98" i="21"/>
  <c r="F101" i="21"/>
  <c r="D99" i="21"/>
  <c r="D103" i="21"/>
  <c r="D95" i="21"/>
  <c r="B111" i="21"/>
  <c r="E97" i="21"/>
  <c r="E103" i="21"/>
  <c r="F102" i="21"/>
  <c r="F91" i="21"/>
  <c r="B112" i="21"/>
  <c r="E95" i="21"/>
  <c r="B88" i="21"/>
  <c r="D97" i="21"/>
  <c r="E102" i="21"/>
  <c r="Q78" i="21"/>
  <c r="AI14" i="11"/>
  <c r="Y14" i="11"/>
  <c r="BF15" i="13"/>
  <c r="AX15" i="13"/>
  <c r="EN10" i="24"/>
  <c r="EO10" i="24"/>
  <c r="F228" i="25"/>
  <c r="E228" i="25"/>
  <c r="U10" i="24"/>
  <c r="V10" i="24"/>
  <c r="D216" i="25"/>
  <c r="C216" i="25"/>
  <c r="DJ10" i="24"/>
  <c r="DK10" i="24"/>
  <c r="F225" i="25"/>
  <c r="E225" i="25"/>
  <c r="BI10" i="24"/>
  <c r="BJ10" i="24"/>
  <c r="D220" i="25"/>
  <c r="C220" i="25"/>
  <c r="DQ10" i="24"/>
  <c r="DR10" i="24"/>
  <c r="D226" i="25"/>
  <c r="C226" i="25"/>
  <c r="EK10" i="24"/>
  <c r="EL10" i="24"/>
  <c r="D228" i="25"/>
  <c r="C228" i="25"/>
  <c r="BV10" i="24"/>
  <c r="BW10" i="24"/>
  <c r="F221" i="25"/>
  <c r="E221" i="25"/>
  <c r="AH10" i="24"/>
  <c r="AI10" i="24"/>
  <c r="F217" i="25"/>
  <c r="E217" i="25"/>
  <c r="AK30" i="27"/>
  <c r="AL30" i="27"/>
  <c r="AM30" i="27"/>
  <c r="BC30" i="27"/>
  <c r="BD30" i="27"/>
  <c r="BE30" i="27"/>
  <c r="BO30" i="27"/>
  <c r="BP30" i="27"/>
  <c r="BQ30" i="27"/>
  <c r="AW30" i="27"/>
  <c r="AX30" i="27"/>
  <c r="AY30" i="27"/>
  <c r="Y30" i="27"/>
  <c r="Z30" i="27"/>
  <c r="AA30" i="27"/>
  <c r="CG30" i="27"/>
  <c r="CH30" i="27"/>
  <c r="CI30" i="27"/>
  <c r="S30" i="27"/>
  <c r="T30" i="27"/>
  <c r="U30" i="27"/>
  <c r="BU30" i="27"/>
  <c r="BV30" i="27"/>
  <c r="BW30" i="27"/>
  <c r="AE30" i="27"/>
  <c r="AF30" i="27"/>
  <c r="AG30" i="27"/>
  <c r="AQ30" i="27"/>
  <c r="AR30" i="27"/>
  <c r="AS30" i="27"/>
  <c r="BI30" i="27"/>
  <c r="BJ30" i="27"/>
  <c r="BK30" i="27"/>
  <c r="M30" i="27"/>
  <c r="N30" i="27"/>
  <c r="O30" i="27"/>
  <c r="G30" i="27"/>
  <c r="H30" i="27"/>
  <c r="I30" i="27"/>
  <c r="C31" i="27"/>
  <c r="BI31" i="27"/>
  <c r="BJ31" i="27"/>
  <c r="BK31" i="27"/>
  <c r="AH34" i="4"/>
  <c r="D32" i="27"/>
  <c r="B33" i="27"/>
  <c r="E32" i="27"/>
  <c r="F32" i="27"/>
  <c r="X39" i="8"/>
  <c r="Y39" i="8"/>
  <c r="W40" i="8"/>
  <c r="V36" i="4"/>
  <c r="D1252" i="17"/>
  <c r="Y34" i="4"/>
  <c r="D1254" i="17"/>
  <c r="W35" i="4"/>
  <c r="AH35" i="4"/>
  <c r="D1296" i="17"/>
  <c r="E37" i="4"/>
  <c r="Q37" i="4"/>
  <c r="D1386" i="17"/>
  <c r="J37" i="4"/>
  <c r="D1379" i="17"/>
  <c r="R37" i="4"/>
  <c r="S37" i="4"/>
  <c r="O37" i="4"/>
  <c r="D1384" i="17"/>
  <c r="A38" i="4"/>
  <c r="D37" i="4"/>
  <c r="P37" i="4"/>
  <c r="D1385" i="17"/>
  <c r="I37" i="4"/>
  <c r="D1378" i="17"/>
  <c r="G37" i="4"/>
  <c r="D1376" i="17"/>
  <c r="H37" i="4"/>
  <c r="D1377" i="17"/>
  <c r="M37" i="4"/>
  <c r="D1382" i="17"/>
  <c r="B37" i="4"/>
  <c r="N37" i="4"/>
  <c r="D1383" i="17"/>
  <c r="C37" i="4"/>
  <c r="K37" i="4"/>
  <c r="D1380" i="17"/>
  <c r="AG37" i="4"/>
  <c r="L37" i="4"/>
  <c r="D1381" i="17"/>
  <c r="U37" i="4"/>
  <c r="D1389" i="17"/>
  <c r="T37" i="4"/>
  <c r="D1388" i="17"/>
  <c r="F37" i="4"/>
  <c r="K39" i="2"/>
  <c r="G39" i="2"/>
  <c r="J39" i="2"/>
  <c r="E39" i="2"/>
  <c r="F39" i="2"/>
  <c r="I39" i="2"/>
  <c r="A40" i="2"/>
  <c r="C39" i="2"/>
  <c r="B39" i="2"/>
  <c r="D39" i="2"/>
  <c r="H39" i="2"/>
  <c r="D1340" i="17"/>
  <c r="C1373" i="17"/>
  <c r="C1372" i="17"/>
  <c r="A1398" i="17"/>
  <c r="A1399" i="17"/>
  <c r="D1373" i="17"/>
  <c r="E1458" i="17"/>
  <c r="D1394" i="17"/>
  <c r="A1400" i="17"/>
  <c r="A1401" i="17"/>
  <c r="E387" i="20"/>
  <c r="R76" i="21"/>
  <c r="E434" i="20"/>
  <c r="F106" i="21"/>
  <c r="D298" i="20"/>
  <c r="E77" i="21"/>
  <c r="L90" i="21"/>
  <c r="L102" i="21"/>
  <c r="K102" i="21"/>
  <c r="I87" i="21"/>
  <c r="K88" i="21"/>
  <c r="L95" i="21"/>
  <c r="L91" i="21"/>
  <c r="J95" i="21"/>
  <c r="H111" i="21"/>
  <c r="J96" i="21"/>
  <c r="J97" i="21"/>
  <c r="L97" i="21"/>
  <c r="L99" i="21"/>
  <c r="L101" i="21"/>
  <c r="H109" i="21"/>
  <c r="J98" i="21"/>
  <c r="H112" i="21"/>
  <c r="K95" i="21"/>
  <c r="L93" i="21"/>
  <c r="K93" i="21"/>
  <c r="H110" i="21"/>
  <c r="K100" i="21"/>
  <c r="J101" i="21"/>
  <c r="K96" i="21"/>
  <c r="J100" i="21"/>
  <c r="H88" i="21"/>
  <c r="J102" i="21"/>
  <c r="K99" i="21"/>
  <c r="L100" i="21"/>
  <c r="J92" i="21"/>
  <c r="L94" i="21"/>
  <c r="J94" i="21"/>
  <c r="J99" i="21"/>
  <c r="K90" i="21"/>
  <c r="K101" i="21"/>
  <c r="K98" i="21"/>
  <c r="L98" i="21"/>
  <c r="J93" i="21"/>
  <c r="J91" i="21"/>
  <c r="L96" i="21"/>
  <c r="N87" i="21"/>
  <c r="K103" i="21"/>
  <c r="J103" i="21"/>
  <c r="J90" i="21"/>
  <c r="L103" i="21"/>
  <c r="K94" i="21"/>
  <c r="K92" i="21"/>
  <c r="K91" i="21"/>
  <c r="K97" i="21"/>
  <c r="L92" i="21"/>
  <c r="V17" i="18"/>
  <c r="V17" i="11"/>
  <c r="F77" i="21"/>
  <c r="E298" i="20"/>
  <c r="AU18" i="13"/>
  <c r="W19" i="13"/>
  <c r="V19" i="13"/>
  <c r="Y19" i="13"/>
  <c r="C470" i="20"/>
  <c r="AF19" i="13"/>
  <c r="N19" i="13"/>
  <c r="AR19" i="13"/>
  <c r="AQ19" i="13"/>
  <c r="C476" i="20"/>
  <c r="AO19" i="13"/>
  <c r="BL19" i="13"/>
  <c r="AG19" i="13"/>
  <c r="AD19" i="13"/>
  <c r="E471" i="20"/>
  <c r="A20" i="13"/>
  <c r="K19" i="13"/>
  <c r="P19" i="13"/>
  <c r="U19" i="13"/>
  <c r="E468" i="20"/>
  <c r="F19" i="13"/>
  <c r="X19" i="13"/>
  <c r="J19" i="13"/>
  <c r="AK19" i="13"/>
  <c r="T19" i="13"/>
  <c r="B19" i="13"/>
  <c r="AB19" i="13"/>
  <c r="I19" i="13"/>
  <c r="E464" i="20"/>
  <c r="Z19" i="13"/>
  <c r="G19" i="13"/>
  <c r="S19" i="13"/>
  <c r="AA19" i="13"/>
  <c r="E470" i="20"/>
  <c r="Q19" i="13"/>
  <c r="D19" i="13"/>
  <c r="O19" i="13"/>
  <c r="AS19" i="13"/>
  <c r="E476" i="20"/>
  <c r="H19" i="13"/>
  <c r="AP19" i="13"/>
  <c r="R19" i="13"/>
  <c r="AE19" i="13"/>
  <c r="C472" i="20"/>
  <c r="AC19" i="13"/>
  <c r="AM19" i="13"/>
  <c r="AH19" i="13"/>
  <c r="C19" i="13"/>
  <c r="AI19" i="13"/>
  <c r="L19" i="13"/>
  <c r="AN19" i="13"/>
  <c r="M19" i="13"/>
  <c r="C466" i="20"/>
  <c r="AJ19" i="13"/>
  <c r="E19" i="13"/>
  <c r="AL19" i="13"/>
  <c r="CK12" i="24"/>
  <c r="S12" i="24"/>
  <c r="EM12" i="24"/>
  <c r="EC12" i="24"/>
  <c r="CL12" i="24"/>
  <c r="AG12" i="24"/>
  <c r="AD12" i="24"/>
  <c r="EG12" i="24"/>
  <c r="EH12" i="24"/>
  <c r="F13" i="24"/>
  <c r="B14" i="24"/>
  <c r="D13" i="24"/>
  <c r="C13" i="24"/>
  <c r="BG13" i="24"/>
  <c r="CV13" i="24"/>
  <c r="CW13" i="24"/>
  <c r="CX13" i="24"/>
  <c r="D311" i="25"/>
  <c r="AA13" i="24"/>
  <c r="AB13" i="24"/>
  <c r="AC13" i="24"/>
  <c r="AM13" i="24"/>
  <c r="CL13" i="24"/>
  <c r="CM13" i="24"/>
  <c r="CN13" i="24"/>
  <c r="D310" i="25"/>
  <c r="DF13" i="24"/>
  <c r="DG13" i="24"/>
  <c r="DH13" i="24"/>
  <c r="BR13" i="24"/>
  <c r="BS13" i="24"/>
  <c r="BT13" i="24"/>
  <c r="DS13" i="24"/>
  <c r="DT13" i="24"/>
  <c r="DU13" i="24"/>
  <c r="BA13" i="24"/>
  <c r="BB13" i="24"/>
  <c r="BC13" i="24"/>
  <c r="F306" i="25"/>
  <c r="E13" i="24"/>
  <c r="J13" i="24"/>
  <c r="K13" i="24"/>
  <c r="L13" i="24"/>
  <c r="DW12" i="24"/>
  <c r="DX12" i="24"/>
  <c r="DI12" i="24"/>
  <c r="CA12" i="24"/>
  <c r="AU12" i="24"/>
  <c r="AV12" i="24"/>
  <c r="CZ11" i="24"/>
  <c r="DA11" i="24"/>
  <c r="F253" i="25"/>
  <c r="E253" i="25"/>
  <c r="X11" i="24"/>
  <c r="Y11" i="24"/>
  <c r="F245" i="25"/>
  <c r="E245" i="25"/>
  <c r="U11" i="24"/>
  <c r="V11" i="24"/>
  <c r="D245" i="25"/>
  <c r="C245" i="25"/>
  <c r="BS11" i="24"/>
  <c r="BT11" i="24"/>
  <c r="D250" i="25"/>
  <c r="C250" i="25"/>
  <c r="AE11" i="24"/>
  <c r="AF11" i="24"/>
  <c r="D246" i="25"/>
  <c r="C246" i="25"/>
  <c r="BL11" i="24"/>
  <c r="BM11" i="24"/>
  <c r="F249" i="25"/>
  <c r="E249" i="25"/>
  <c r="D300" i="20"/>
  <c r="E79" i="21"/>
  <c r="AH15" i="11"/>
  <c r="Y15" i="11"/>
  <c r="BF16" i="13"/>
  <c r="AX16" i="13"/>
  <c r="H18" i="18"/>
  <c r="N18" i="18"/>
  <c r="D18" i="18"/>
  <c r="C18" i="18"/>
  <c r="R18" i="18"/>
  <c r="S18" i="18"/>
  <c r="E18" i="18"/>
  <c r="O18" i="18"/>
  <c r="G18" i="18"/>
  <c r="AG18" i="18"/>
  <c r="BB19" i="13"/>
  <c r="I18" i="18"/>
  <c r="Q18" i="18"/>
  <c r="B18" i="18"/>
  <c r="M18" i="18"/>
  <c r="A19" i="18"/>
  <c r="U18" i="18"/>
  <c r="T18" i="18"/>
  <c r="P18" i="18"/>
  <c r="K18" i="18"/>
  <c r="F18" i="18"/>
  <c r="J18" i="18"/>
  <c r="L18" i="18"/>
  <c r="F79" i="21"/>
  <c r="E300" i="20"/>
  <c r="BA18" i="13"/>
  <c r="I12" i="24"/>
  <c r="BQ12" i="24"/>
  <c r="CV12" i="24"/>
  <c r="BH12" i="24"/>
  <c r="DO12" i="24"/>
  <c r="AA12" i="24"/>
  <c r="AB12" i="24"/>
  <c r="BY12" i="24"/>
  <c r="BZ12" i="24"/>
  <c r="CE12" i="24"/>
  <c r="CI12" i="24"/>
  <c r="CJ12" i="24"/>
  <c r="CO12" i="24"/>
  <c r="BR12" i="24"/>
  <c r="W12" i="24"/>
  <c r="DS12" i="24"/>
  <c r="BO12" i="24"/>
  <c r="BP12" i="24"/>
  <c r="EN11" i="24"/>
  <c r="EO11" i="24"/>
  <c r="F257" i="25"/>
  <c r="E257" i="25"/>
  <c r="AY11" i="24"/>
  <c r="AZ11" i="24"/>
  <c r="D248" i="25"/>
  <c r="C248" i="25"/>
  <c r="CM11" i="24"/>
  <c r="CN11" i="24"/>
  <c r="D252" i="25"/>
  <c r="C252" i="25"/>
  <c r="AR11" i="24"/>
  <c r="AS11" i="24"/>
  <c r="F247" i="25"/>
  <c r="E247" i="25"/>
  <c r="N11" i="24"/>
  <c r="O11" i="24"/>
  <c r="F244" i="25"/>
  <c r="E244" i="25"/>
  <c r="EK11" i="24"/>
  <c r="EL11" i="24"/>
  <c r="D257" i="25"/>
  <c r="C257" i="25"/>
  <c r="BI11" i="24"/>
  <c r="BJ11" i="24"/>
  <c r="D249" i="25"/>
  <c r="C249" i="25"/>
  <c r="E313" i="25"/>
  <c r="D312" i="25"/>
  <c r="D308" i="25"/>
  <c r="D302" i="25"/>
  <c r="C302" i="25"/>
  <c r="F299" i="25"/>
  <c r="D298" i="25"/>
  <c r="C312" i="25"/>
  <c r="D299" i="25"/>
  <c r="F313" i="25"/>
  <c r="B349" i="25"/>
  <c r="C308" i="25"/>
  <c r="E306" i="25"/>
  <c r="W16" i="18"/>
  <c r="AI16" i="18"/>
  <c r="AB16" i="18"/>
  <c r="AI15" i="18"/>
  <c r="Y15" i="18"/>
  <c r="BC16" i="13"/>
  <c r="AY16" i="13"/>
  <c r="L18" i="11"/>
  <c r="R18" i="11"/>
  <c r="S18" i="11"/>
  <c r="O18" i="11"/>
  <c r="E18" i="11"/>
  <c r="P18" i="11"/>
  <c r="U18" i="11"/>
  <c r="K18" i="11"/>
  <c r="H18" i="11"/>
  <c r="M18" i="11"/>
  <c r="I18" i="11"/>
  <c r="T18" i="11"/>
  <c r="J18" i="11"/>
  <c r="N18" i="11"/>
  <c r="F18" i="11"/>
  <c r="B18" i="11"/>
  <c r="Q18" i="11"/>
  <c r="C18" i="11"/>
  <c r="G18" i="11"/>
  <c r="AG18" i="11"/>
  <c r="A19" i="11"/>
  <c r="D18" i="11"/>
  <c r="CB12" i="24"/>
  <c r="BA12" i="24"/>
  <c r="BK12" i="24"/>
  <c r="DZ12" i="24"/>
  <c r="CU12" i="24"/>
  <c r="DY12" i="24"/>
  <c r="AK12" i="24"/>
  <c r="AL12" i="24"/>
  <c r="CY12" i="24"/>
  <c r="AW12" i="24"/>
  <c r="AC12" i="24"/>
  <c r="AX12" i="24"/>
  <c r="T12" i="24"/>
  <c r="AQ12" i="24"/>
  <c r="DQ11" i="24"/>
  <c r="DR11" i="24"/>
  <c r="D255" i="25"/>
  <c r="C255" i="25"/>
  <c r="DT11" i="24"/>
  <c r="DU11" i="24"/>
  <c r="F255" i="25"/>
  <c r="E255" i="25"/>
  <c r="CF11" i="24"/>
  <c r="CG11" i="24"/>
  <c r="F251" i="25"/>
  <c r="E251" i="25"/>
  <c r="BB11" i="24"/>
  <c r="BC11" i="24"/>
  <c r="F248" i="25"/>
  <c r="E248" i="25"/>
  <c r="K11" i="24"/>
  <c r="L11" i="24"/>
  <c r="D244" i="25"/>
  <c r="C244" i="25"/>
  <c r="BV11" i="24"/>
  <c r="BW11" i="24"/>
  <c r="F250" i="25"/>
  <c r="E250" i="25"/>
  <c r="ED11" i="24"/>
  <c r="EE11" i="24"/>
  <c r="F256" i="25"/>
  <c r="E256" i="25"/>
  <c r="DJ11" i="24"/>
  <c r="DK11" i="24"/>
  <c r="F254" i="25"/>
  <c r="E254" i="25"/>
  <c r="AH11" i="24"/>
  <c r="AI11" i="24"/>
  <c r="F246" i="25"/>
  <c r="E246" i="25"/>
  <c r="D20" i="10"/>
  <c r="H20" i="10"/>
  <c r="G20" i="10"/>
  <c r="K20" i="10"/>
  <c r="E20" i="10"/>
  <c r="F20" i="10"/>
  <c r="A21" i="10"/>
  <c r="L20" i="10"/>
  <c r="B20" i="10"/>
  <c r="I20" i="10"/>
  <c r="J20" i="10"/>
  <c r="C20" i="10"/>
  <c r="M20" i="10"/>
  <c r="P20" i="10"/>
  <c r="A483" i="20"/>
  <c r="E472" i="20"/>
  <c r="E466" i="20"/>
  <c r="D466" i="20"/>
  <c r="C475" i="20"/>
  <c r="A485" i="20"/>
  <c r="D472" i="20"/>
  <c r="A486" i="20"/>
  <c r="D471" i="20"/>
  <c r="C458" i="20"/>
  <c r="C463" i="20"/>
  <c r="E459" i="20"/>
  <c r="E473" i="20"/>
  <c r="F541" i="20"/>
  <c r="D475" i="20"/>
  <c r="D467" i="20"/>
  <c r="C471" i="20"/>
  <c r="C473" i="20"/>
  <c r="D469" i="20"/>
  <c r="D468" i="20"/>
  <c r="D465" i="20"/>
  <c r="E467" i="20"/>
  <c r="D474" i="20"/>
  <c r="E463" i="20"/>
  <c r="C464" i="20"/>
  <c r="E475" i="20"/>
  <c r="E474" i="20"/>
  <c r="D463" i="20"/>
  <c r="D473" i="20"/>
  <c r="D476" i="20"/>
  <c r="D470" i="20"/>
  <c r="C469" i="20"/>
  <c r="C465" i="20"/>
  <c r="E469" i="20"/>
  <c r="E465" i="20"/>
  <c r="C468" i="20"/>
  <c r="C474" i="20"/>
  <c r="C459" i="20"/>
  <c r="D464" i="20"/>
  <c r="A484" i="20"/>
  <c r="C467" i="20"/>
  <c r="AV18" i="13"/>
  <c r="DC12" i="24"/>
  <c r="DD12" i="24"/>
  <c r="DM12" i="24"/>
  <c r="DN12" i="24"/>
  <c r="AN12" i="24"/>
  <c r="Q12" i="24"/>
  <c r="R12" i="24"/>
  <c r="EJ12" i="24"/>
  <c r="AM12" i="24"/>
  <c r="J12" i="24"/>
  <c r="EI12" i="24"/>
  <c r="CS12" i="24"/>
  <c r="CT12" i="24"/>
  <c r="BG12" i="24"/>
  <c r="DF12" i="24"/>
  <c r="G12" i="24"/>
  <c r="H12" i="24"/>
  <c r="DP12" i="24"/>
  <c r="M12" i="24"/>
  <c r="W16" i="11"/>
  <c r="AI16" i="11"/>
  <c r="AU17" i="13"/>
  <c r="AA16" i="11"/>
  <c r="CW11" i="24"/>
  <c r="CX11" i="24"/>
  <c r="D253" i="25"/>
  <c r="C253" i="25"/>
  <c r="AO11" i="24"/>
  <c r="AP11" i="24"/>
  <c r="D247" i="25"/>
  <c r="C247" i="25"/>
  <c r="CC11" i="24"/>
  <c r="CD11" i="24"/>
  <c r="D251" i="25"/>
  <c r="C251" i="25"/>
  <c r="EA11" i="24"/>
  <c r="EB11" i="24"/>
  <c r="D256" i="25"/>
  <c r="C256" i="25"/>
  <c r="CP11" i="24"/>
  <c r="CQ11" i="24"/>
  <c r="F252" i="25"/>
  <c r="E252" i="25"/>
  <c r="DG11" i="24"/>
  <c r="DH11" i="24"/>
  <c r="D254" i="25"/>
  <c r="C254" i="25"/>
  <c r="D1387" i="17"/>
  <c r="BO31" i="27"/>
  <c r="BP31" i="27"/>
  <c r="BQ31" i="27"/>
  <c r="BU31" i="27"/>
  <c r="BV31" i="27"/>
  <c r="BW31" i="27"/>
  <c r="Y31" i="27"/>
  <c r="Z31" i="27"/>
  <c r="AA31" i="27"/>
  <c r="CA31" i="27"/>
  <c r="CB31" i="27"/>
  <c r="CC31" i="27"/>
  <c r="AK31" i="27"/>
  <c r="AL31" i="27"/>
  <c r="AM31" i="27"/>
  <c r="M31" i="27"/>
  <c r="N31" i="27"/>
  <c r="O31" i="27"/>
  <c r="CG31" i="27"/>
  <c r="CH31" i="27"/>
  <c r="CI31" i="27"/>
  <c r="AQ31" i="27"/>
  <c r="AR31" i="27"/>
  <c r="AS31" i="27"/>
  <c r="S31" i="27"/>
  <c r="T31" i="27"/>
  <c r="U31" i="27"/>
  <c r="AE31" i="27"/>
  <c r="AF31" i="27"/>
  <c r="AG31" i="27"/>
  <c r="BC31" i="27"/>
  <c r="BD31" i="27"/>
  <c r="BE31" i="27"/>
  <c r="AW31" i="27"/>
  <c r="AX31" i="27"/>
  <c r="AY31" i="27"/>
  <c r="G31" i="27"/>
  <c r="H31" i="27"/>
  <c r="I31" i="27"/>
  <c r="AI35" i="4"/>
  <c r="C32" i="27"/>
  <c r="CG32" i="27"/>
  <c r="CH32" i="27"/>
  <c r="CI32" i="27"/>
  <c r="D1299" i="17"/>
  <c r="Y35" i="4"/>
  <c r="D1301" i="17"/>
  <c r="C1419" i="17"/>
  <c r="A1447" i="17"/>
  <c r="E1505" i="17"/>
  <c r="C1420" i="17"/>
  <c r="D1441" i="17"/>
  <c r="A1448" i="17"/>
  <c r="A1446" i="17"/>
  <c r="D1420" i="17"/>
  <c r="A1445" i="17"/>
  <c r="W36" i="4"/>
  <c r="AH36" i="4"/>
  <c r="D1343" i="17"/>
  <c r="X40" i="8"/>
  <c r="Y40" i="8"/>
  <c r="W41" i="8"/>
  <c r="D33" i="27"/>
  <c r="B34" i="27"/>
  <c r="F33" i="27"/>
  <c r="E33" i="27"/>
  <c r="A41" i="2"/>
  <c r="H40" i="2"/>
  <c r="E40" i="2"/>
  <c r="D40" i="2"/>
  <c r="C40" i="2"/>
  <c r="K40" i="2"/>
  <c r="J40" i="2"/>
  <c r="G40" i="2"/>
  <c r="F40" i="2"/>
  <c r="I40" i="2"/>
  <c r="B40" i="2"/>
  <c r="V37" i="4"/>
  <c r="E38" i="4"/>
  <c r="J38" i="4"/>
  <c r="D1426" i="17"/>
  <c r="K38" i="4"/>
  <c r="D1427" i="17"/>
  <c r="T38" i="4"/>
  <c r="D1435" i="17"/>
  <c r="D38" i="4"/>
  <c r="I38" i="4"/>
  <c r="D1425" i="17"/>
  <c r="Q38" i="4"/>
  <c r="D1433" i="17"/>
  <c r="N38" i="4"/>
  <c r="D1430" i="17"/>
  <c r="C38" i="4"/>
  <c r="U38" i="4"/>
  <c r="D1436" i="17"/>
  <c r="L38" i="4"/>
  <c r="D1428" i="17"/>
  <c r="B38" i="4"/>
  <c r="G38" i="4"/>
  <c r="D1423" i="17"/>
  <c r="O38" i="4"/>
  <c r="D1431" i="17"/>
  <c r="P38" i="4"/>
  <c r="D1432" i="17"/>
  <c r="R38" i="4"/>
  <c r="S38" i="4"/>
  <c r="H38" i="4"/>
  <c r="D1424" i="17"/>
  <c r="A39" i="4"/>
  <c r="AG38" i="4"/>
  <c r="M38" i="4"/>
  <c r="D1429" i="17"/>
  <c r="F38" i="4"/>
  <c r="C310" i="25"/>
  <c r="C311" i="25"/>
  <c r="E479" i="20"/>
  <c r="L106" i="21"/>
  <c r="AO12" i="24"/>
  <c r="AP12" i="24"/>
  <c r="D276" i="25"/>
  <c r="C276" i="25"/>
  <c r="N12" i="24"/>
  <c r="O12" i="24"/>
  <c r="F273" i="25"/>
  <c r="E273" i="25"/>
  <c r="G21" i="10"/>
  <c r="H21" i="10"/>
  <c r="A22" i="10"/>
  <c r="C21" i="10"/>
  <c r="J21" i="10"/>
  <c r="K21" i="10"/>
  <c r="M21" i="10"/>
  <c r="P21" i="10"/>
  <c r="L21" i="10"/>
  <c r="B21" i="10"/>
  <c r="E21" i="10"/>
  <c r="F21" i="10"/>
  <c r="I21" i="10"/>
  <c r="D21" i="10"/>
  <c r="BB12" i="24"/>
  <c r="BC12" i="24"/>
  <c r="F277" i="25"/>
  <c r="E277" i="25"/>
  <c r="F328" i="25"/>
  <c r="B378" i="25"/>
  <c r="BS12" i="24"/>
  <c r="BT12" i="24"/>
  <c r="D279" i="25"/>
  <c r="C279" i="25"/>
  <c r="CW12" i="24"/>
  <c r="CX12" i="24"/>
  <c r="D282" i="25"/>
  <c r="C282" i="25"/>
  <c r="DJ12" i="24"/>
  <c r="DK12" i="24"/>
  <c r="F283" i="25"/>
  <c r="E283" i="25"/>
  <c r="EI13" i="24"/>
  <c r="EC13" i="24"/>
  <c r="CK13" i="24"/>
  <c r="AG13" i="24"/>
  <c r="AK13" i="24"/>
  <c r="AL13" i="24"/>
  <c r="W13" i="24"/>
  <c r="EM13" i="24"/>
  <c r="I13" i="24"/>
  <c r="T13" i="24"/>
  <c r="EG13" i="24"/>
  <c r="EH13" i="24"/>
  <c r="CE13" i="24"/>
  <c r="CO13" i="24"/>
  <c r="CS13" i="24"/>
  <c r="CT13" i="24"/>
  <c r="CA13" i="24"/>
  <c r="DM13" i="24"/>
  <c r="DN13" i="24"/>
  <c r="AE12" i="24"/>
  <c r="AF12" i="24"/>
  <c r="D275" i="25"/>
  <c r="C275" i="25"/>
  <c r="EN12" i="24"/>
  <c r="EO12" i="24"/>
  <c r="F286" i="25"/>
  <c r="E286" i="25"/>
  <c r="W17" i="11"/>
  <c r="AI17" i="11"/>
  <c r="AA17" i="11"/>
  <c r="O87" i="21"/>
  <c r="N88" i="21"/>
  <c r="R99" i="21"/>
  <c r="Q90" i="21"/>
  <c r="P100" i="21"/>
  <c r="Q100" i="21"/>
  <c r="Q93" i="21"/>
  <c r="R102" i="21"/>
  <c r="P94" i="21"/>
  <c r="Q96" i="21"/>
  <c r="Q91" i="21"/>
  <c r="R95" i="21"/>
  <c r="R97" i="21"/>
  <c r="R90" i="21"/>
  <c r="P90" i="21"/>
  <c r="R93" i="21"/>
  <c r="P96" i="21"/>
  <c r="R103" i="21"/>
  <c r="B116" i="21"/>
  <c r="P95" i="21"/>
  <c r="P97" i="21"/>
  <c r="P92" i="21"/>
  <c r="R92" i="21"/>
  <c r="P101" i="21"/>
  <c r="P93" i="21"/>
  <c r="Q102" i="21"/>
  <c r="Q88" i="21"/>
  <c r="N110" i="21"/>
  <c r="R101" i="21"/>
  <c r="P98" i="21"/>
  <c r="R100" i="21"/>
  <c r="R94" i="21"/>
  <c r="R96" i="21"/>
  <c r="Q101" i="21"/>
  <c r="Q103" i="21"/>
  <c r="P99" i="21"/>
  <c r="N111" i="21"/>
  <c r="Q97" i="21"/>
  <c r="Q94" i="21"/>
  <c r="R91" i="21"/>
  <c r="N109" i="21"/>
  <c r="Q98" i="21"/>
  <c r="N112" i="21"/>
  <c r="P91" i="21"/>
  <c r="R98" i="21"/>
  <c r="Q99" i="21"/>
  <c r="Q92" i="21"/>
  <c r="P102" i="21"/>
  <c r="P103" i="21"/>
  <c r="Q95" i="21"/>
  <c r="K12" i="24"/>
  <c r="L12" i="24"/>
  <c r="D273" i="25"/>
  <c r="C273" i="25"/>
  <c r="D387" i="20"/>
  <c r="Q76" i="21"/>
  <c r="DQ12" i="24"/>
  <c r="DR12" i="24"/>
  <c r="D284" i="25"/>
  <c r="C284" i="25"/>
  <c r="EK12" i="24"/>
  <c r="EL12" i="24"/>
  <c r="D286" i="25"/>
  <c r="C286" i="25"/>
  <c r="AR12" i="24"/>
  <c r="AS12" i="24"/>
  <c r="F276" i="25"/>
  <c r="E276" i="25"/>
  <c r="CC12" i="24"/>
  <c r="CD12" i="24"/>
  <c r="D280" i="25"/>
  <c r="C280" i="25"/>
  <c r="V18" i="11"/>
  <c r="AU19" i="13"/>
  <c r="L77" i="21"/>
  <c r="E343" i="20"/>
  <c r="CP12" i="24"/>
  <c r="CQ12" i="24"/>
  <c r="F281" i="25"/>
  <c r="E281" i="25"/>
  <c r="V18" i="18"/>
  <c r="K77" i="21"/>
  <c r="D343" i="20"/>
  <c r="BE13" i="24"/>
  <c r="BF13" i="24"/>
  <c r="AQ13" i="24"/>
  <c r="M13" i="24"/>
  <c r="DP13" i="24"/>
  <c r="DO13" i="24"/>
  <c r="DE13" i="24"/>
  <c r="AW13" i="24"/>
  <c r="CU13" i="24"/>
  <c r="DY13" i="24"/>
  <c r="AX13" i="24"/>
  <c r="AU13" i="24"/>
  <c r="AV13" i="24"/>
  <c r="CI13" i="24"/>
  <c r="CJ13" i="24"/>
  <c r="CY13" i="24"/>
  <c r="AH12" i="24"/>
  <c r="AI12" i="24"/>
  <c r="F275" i="25"/>
  <c r="E275" i="25"/>
  <c r="D432" i="20"/>
  <c r="E104" i="21"/>
  <c r="W17" i="18"/>
  <c r="AI17" i="18"/>
  <c r="AB17" i="18"/>
  <c r="DG12" i="24"/>
  <c r="DH12" i="24"/>
  <c r="D283" i="25"/>
  <c r="C283" i="25"/>
  <c r="U12" i="24"/>
  <c r="V12" i="24"/>
  <c r="D274" i="25"/>
  <c r="C274" i="25"/>
  <c r="CZ12" i="24"/>
  <c r="DA12" i="24"/>
  <c r="F282" i="25"/>
  <c r="E282" i="25"/>
  <c r="EA12" i="24"/>
  <c r="EB12" i="24"/>
  <c r="D285" i="25"/>
  <c r="C285" i="25"/>
  <c r="E345" i="20"/>
  <c r="L79" i="21"/>
  <c r="AH16" i="18"/>
  <c r="Y16" i="18"/>
  <c r="BC17" i="13"/>
  <c r="AY17" i="13"/>
  <c r="DT12" i="24"/>
  <c r="DU12" i="24"/>
  <c r="F284" i="25"/>
  <c r="E284" i="25"/>
  <c r="O19" i="18"/>
  <c r="D19" i="18"/>
  <c r="F19" i="18"/>
  <c r="H19" i="18"/>
  <c r="R19" i="18"/>
  <c r="S19" i="18"/>
  <c r="C19" i="18"/>
  <c r="AG19" i="18"/>
  <c r="J19" i="18"/>
  <c r="L19" i="18"/>
  <c r="I19" i="18"/>
  <c r="Q19" i="18"/>
  <c r="N19" i="18"/>
  <c r="P19" i="18"/>
  <c r="U19" i="18"/>
  <c r="G19" i="18"/>
  <c r="T19" i="18"/>
  <c r="A20" i="18"/>
  <c r="E19" i="18"/>
  <c r="M19" i="18"/>
  <c r="K19" i="18"/>
  <c r="B19" i="18"/>
  <c r="K79" i="21"/>
  <c r="D345" i="20"/>
  <c r="AD13" i="24"/>
  <c r="EJ13" i="24"/>
  <c r="BH13" i="24"/>
  <c r="DI13" i="24"/>
  <c r="BQ13" i="24"/>
  <c r="AN13" i="24"/>
  <c r="CB13" i="24"/>
  <c r="BK13" i="24"/>
  <c r="S13" i="24"/>
  <c r="DC13" i="24"/>
  <c r="DD13" i="24"/>
  <c r="BU13" i="24"/>
  <c r="BO13" i="24"/>
  <c r="BP13" i="24"/>
  <c r="G13" i="24"/>
  <c r="H13" i="24"/>
  <c r="Q13" i="24"/>
  <c r="R13" i="24"/>
  <c r="BY13" i="24"/>
  <c r="BZ13" i="24"/>
  <c r="CM12" i="24"/>
  <c r="CN12" i="24"/>
  <c r="D281" i="25"/>
  <c r="C281" i="25"/>
  <c r="J20" i="13"/>
  <c r="AG20" i="13"/>
  <c r="AL20" i="13"/>
  <c r="AF20" i="13"/>
  <c r="B20" i="13"/>
  <c r="AI20" i="13"/>
  <c r="I20" i="13"/>
  <c r="AC20" i="13"/>
  <c r="G20" i="13"/>
  <c r="Z20" i="13"/>
  <c r="H20" i="13"/>
  <c r="Q20" i="13"/>
  <c r="V20" i="13"/>
  <c r="AO20" i="13"/>
  <c r="AP20" i="13"/>
  <c r="K20" i="13"/>
  <c r="D20" i="13"/>
  <c r="L20" i="13"/>
  <c r="AD20" i="13"/>
  <c r="AB20" i="13"/>
  <c r="S20" i="13"/>
  <c r="P20" i="13"/>
  <c r="AE20" i="13"/>
  <c r="U20" i="13"/>
  <c r="AH20" i="13"/>
  <c r="A21" i="13"/>
  <c r="AQ20" i="13"/>
  <c r="F20" i="13"/>
  <c r="AA20" i="13"/>
  <c r="AM20" i="13"/>
  <c r="E20" i="13"/>
  <c r="AK20" i="13"/>
  <c r="AR20" i="13"/>
  <c r="W20" i="13"/>
  <c r="AS20" i="13"/>
  <c r="BL20" i="13"/>
  <c r="BB20" i="13"/>
  <c r="R106" i="21"/>
  <c r="AJ20" i="13"/>
  <c r="Y20" i="13"/>
  <c r="R20" i="13"/>
  <c r="M20" i="13"/>
  <c r="N20" i="13"/>
  <c r="AN20" i="13"/>
  <c r="O20" i="13"/>
  <c r="T20" i="13"/>
  <c r="C20" i="13"/>
  <c r="X20" i="13"/>
  <c r="AH16" i="11"/>
  <c r="Y16" i="11"/>
  <c r="BF17" i="13"/>
  <c r="AX17" i="13"/>
  <c r="E432" i="20"/>
  <c r="F104" i="21"/>
  <c r="D509" i="20"/>
  <c r="E514" i="20"/>
  <c r="C509" i="20"/>
  <c r="C512" i="20"/>
  <c r="E519" i="20"/>
  <c r="E510" i="20"/>
  <c r="C514" i="20"/>
  <c r="C520" i="20"/>
  <c r="A531" i="20"/>
  <c r="E508" i="20"/>
  <c r="E512" i="20"/>
  <c r="F586" i="20"/>
  <c r="C516" i="20"/>
  <c r="D508" i="20"/>
  <c r="E511" i="20"/>
  <c r="E517" i="20"/>
  <c r="E509" i="20"/>
  <c r="E516" i="20"/>
  <c r="C515" i="20"/>
  <c r="C503" i="20"/>
  <c r="D520" i="20"/>
  <c r="E504" i="20"/>
  <c r="D518" i="20"/>
  <c r="C513" i="20"/>
  <c r="D517" i="20"/>
  <c r="E515" i="20"/>
  <c r="E513" i="20"/>
  <c r="C508" i="20"/>
  <c r="C518" i="20"/>
  <c r="D521" i="20"/>
  <c r="E524" i="20"/>
  <c r="D514" i="20"/>
  <c r="C510" i="20"/>
  <c r="D512" i="20"/>
  <c r="C517" i="20"/>
  <c r="E521" i="20"/>
  <c r="D510" i="20"/>
  <c r="C521" i="20"/>
  <c r="A529" i="20"/>
  <c r="D515" i="20"/>
  <c r="D516" i="20"/>
  <c r="D513" i="20"/>
  <c r="C504" i="20"/>
  <c r="E518" i="20"/>
  <c r="E520" i="20"/>
  <c r="A528" i="20"/>
  <c r="C519" i="20"/>
  <c r="D511" i="20"/>
  <c r="D519" i="20"/>
  <c r="C511" i="20"/>
  <c r="A530" i="20"/>
  <c r="AY12" i="24"/>
  <c r="AZ12" i="24"/>
  <c r="D277" i="25"/>
  <c r="C277" i="25"/>
  <c r="BL12" i="24"/>
  <c r="BM12" i="24"/>
  <c r="F278" i="25"/>
  <c r="E278" i="25"/>
  <c r="B19" i="11"/>
  <c r="D19" i="11"/>
  <c r="R19" i="11"/>
  <c r="S19" i="11"/>
  <c r="H19" i="11"/>
  <c r="G19" i="11"/>
  <c r="K19" i="11"/>
  <c r="O19" i="11"/>
  <c r="L19" i="11"/>
  <c r="P19" i="11"/>
  <c r="M19" i="11"/>
  <c r="T19" i="11"/>
  <c r="E19" i="11"/>
  <c r="J19" i="11"/>
  <c r="N19" i="11"/>
  <c r="AG19" i="11"/>
  <c r="F19" i="11"/>
  <c r="U19" i="11"/>
  <c r="I19" i="11"/>
  <c r="A20" i="11"/>
  <c r="C19" i="11"/>
  <c r="Q19" i="11"/>
  <c r="X12" i="24"/>
  <c r="Y12" i="24"/>
  <c r="F274" i="25"/>
  <c r="E274" i="25"/>
  <c r="CF12" i="24"/>
  <c r="CG12" i="24"/>
  <c r="F280" i="25"/>
  <c r="E280" i="25"/>
  <c r="BI12" i="24"/>
  <c r="BJ12" i="24"/>
  <c r="D278" i="25"/>
  <c r="C278" i="25"/>
  <c r="D434" i="20"/>
  <c r="E106" i="21"/>
  <c r="DZ13" i="24"/>
  <c r="DW13" i="24"/>
  <c r="DX13" i="24"/>
  <c r="D14" i="24"/>
  <c r="D327" i="25"/>
  <c r="F14" i="24"/>
  <c r="D328" i="25"/>
  <c r="E14" i="24"/>
  <c r="C14" i="24"/>
  <c r="B15" i="24"/>
  <c r="ED12" i="24"/>
  <c r="EE12" i="24"/>
  <c r="F285" i="25"/>
  <c r="E285" i="25"/>
  <c r="AV19" i="13"/>
  <c r="BA19" i="13"/>
  <c r="BO32" i="27"/>
  <c r="BP32" i="27"/>
  <c r="BQ32" i="27"/>
  <c r="AQ32" i="27"/>
  <c r="AR32" i="27"/>
  <c r="AS32" i="27"/>
  <c r="AW32" i="27"/>
  <c r="AX32" i="27"/>
  <c r="AY32" i="27"/>
  <c r="S32" i="27"/>
  <c r="T32" i="27"/>
  <c r="U32" i="27"/>
  <c r="BU32" i="27"/>
  <c r="BV32" i="27"/>
  <c r="BW32" i="27"/>
  <c r="Y32" i="27"/>
  <c r="Z32" i="27"/>
  <c r="AA32" i="27"/>
  <c r="C33" i="27"/>
  <c r="Y33" i="27"/>
  <c r="Z33" i="27"/>
  <c r="AA33" i="27"/>
  <c r="BC32" i="27"/>
  <c r="BD32" i="27"/>
  <c r="BE32" i="27"/>
  <c r="G32" i="27"/>
  <c r="H32" i="27"/>
  <c r="I32" i="27"/>
  <c r="AK32" i="27"/>
  <c r="AL32" i="27"/>
  <c r="AM32" i="27"/>
  <c r="AE32" i="27"/>
  <c r="AF32" i="27"/>
  <c r="AG32" i="27"/>
  <c r="CA32" i="27"/>
  <c r="CB32" i="27"/>
  <c r="CC32" i="27"/>
  <c r="BI32" i="27"/>
  <c r="BJ32" i="27"/>
  <c r="BK32" i="27"/>
  <c r="M32" i="27"/>
  <c r="N32" i="27"/>
  <c r="O32" i="27"/>
  <c r="F41" i="2"/>
  <c r="G41" i="2"/>
  <c r="J41" i="2"/>
  <c r="H41" i="2"/>
  <c r="A42" i="2"/>
  <c r="E41" i="2"/>
  <c r="C41" i="2"/>
  <c r="I41" i="2"/>
  <c r="D41" i="2"/>
  <c r="B41" i="2"/>
  <c r="K41" i="2"/>
  <c r="W42" i="8"/>
  <c r="X41" i="8"/>
  <c r="Y41" i="8"/>
  <c r="A1495" i="17"/>
  <c r="A1493" i="17"/>
  <c r="E1552" i="17"/>
  <c r="A1494" i="17"/>
  <c r="D1488" i="17"/>
  <c r="A1492" i="17"/>
  <c r="D1467" i="17"/>
  <c r="C1466" i="17"/>
  <c r="C1467" i="17"/>
  <c r="W37" i="4"/>
  <c r="AI37" i="4"/>
  <c r="D1390" i="17"/>
  <c r="F34" i="27"/>
  <c r="D34" i="27"/>
  <c r="B35" i="27"/>
  <c r="E34" i="27"/>
  <c r="D1434" i="17"/>
  <c r="F39" i="4"/>
  <c r="R39" i="4"/>
  <c r="S39" i="4"/>
  <c r="H39" i="4"/>
  <c r="D1471" i="17"/>
  <c r="P39" i="4"/>
  <c r="D1479" i="17"/>
  <c r="M39" i="4"/>
  <c r="D1476" i="17"/>
  <c r="E39" i="4"/>
  <c r="J39" i="4"/>
  <c r="D1473" i="17"/>
  <c r="K39" i="4"/>
  <c r="D1474" i="17"/>
  <c r="T39" i="4"/>
  <c r="D1482" i="17"/>
  <c r="I39" i="4"/>
  <c r="D1472" i="17"/>
  <c r="A40" i="4"/>
  <c r="N39" i="4"/>
  <c r="D1477" i="17"/>
  <c r="C39" i="4"/>
  <c r="L39" i="4"/>
  <c r="D1475" i="17"/>
  <c r="U39" i="4"/>
  <c r="D1483" i="17"/>
  <c r="Q39" i="4"/>
  <c r="D1480" i="17"/>
  <c r="G39" i="4"/>
  <c r="D1470" i="17"/>
  <c r="O39" i="4"/>
  <c r="D1478" i="17"/>
  <c r="B39" i="4"/>
  <c r="D39" i="4"/>
  <c r="AG39" i="4"/>
  <c r="Y36" i="4"/>
  <c r="D1348" i="17"/>
  <c r="D1346" i="17"/>
  <c r="V38" i="4"/>
  <c r="AI36" i="4"/>
  <c r="DI14" i="24"/>
  <c r="BH14" i="24"/>
  <c r="AQ14" i="24"/>
  <c r="CO14" i="24"/>
  <c r="I14" i="24"/>
  <c r="DW14" i="24"/>
  <c r="DX14" i="24"/>
  <c r="AK14" i="24"/>
  <c r="AL14" i="24"/>
  <c r="BQ14" i="24"/>
  <c r="BR14" i="24"/>
  <c r="EJ14" i="24"/>
  <c r="S14" i="24"/>
  <c r="G14" i="24"/>
  <c r="H14" i="24"/>
  <c r="BE14" i="24"/>
  <c r="BF14" i="24"/>
  <c r="CI14" i="24"/>
  <c r="CJ14" i="24"/>
  <c r="CB14" i="24"/>
  <c r="BG14" i="24"/>
  <c r="EM14" i="24"/>
  <c r="AX14" i="24"/>
  <c r="M14" i="24"/>
  <c r="BK14" i="24"/>
  <c r="T14" i="24"/>
  <c r="AM14" i="24"/>
  <c r="AC14" i="24"/>
  <c r="AN14" i="24"/>
  <c r="CY14" i="24"/>
  <c r="CE14" i="24"/>
  <c r="EG14" i="24"/>
  <c r="EH14" i="24"/>
  <c r="AU14" i="24"/>
  <c r="AV14" i="24"/>
  <c r="CS14" i="24"/>
  <c r="CT14" i="24"/>
  <c r="DS14" i="24"/>
  <c r="DP14" i="24"/>
  <c r="EI14" i="24"/>
  <c r="J14" i="24"/>
  <c r="CL14" i="24"/>
  <c r="AW14" i="24"/>
  <c r="AG14" i="24"/>
  <c r="AD14" i="24"/>
  <c r="BY14" i="24"/>
  <c r="BZ14" i="24"/>
  <c r="BO14" i="24"/>
  <c r="BP14" i="24"/>
  <c r="W14" i="24"/>
  <c r="DO14" i="24"/>
  <c r="DM14" i="24"/>
  <c r="DN14" i="24"/>
  <c r="DF14" i="24"/>
  <c r="Q14" i="24"/>
  <c r="R14" i="24"/>
  <c r="AA14" i="24"/>
  <c r="AB14" i="24"/>
  <c r="BA14" i="24"/>
  <c r="CV14" i="24"/>
  <c r="DZ14" i="24"/>
  <c r="DY14" i="24"/>
  <c r="EC14" i="24"/>
  <c r="CA14" i="24"/>
  <c r="DE14" i="24"/>
  <c r="DC14" i="24"/>
  <c r="DD14" i="24"/>
  <c r="CK14" i="24"/>
  <c r="CU14" i="24"/>
  <c r="BU14" i="24"/>
  <c r="K104" i="21"/>
  <c r="D477" i="20"/>
  <c r="A574" i="20"/>
  <c r="E549" i="20"/>
  <c r="C548" i="20"/>
  <c r="A575" i="20"/>
  <c r="A573" i="20"/>
  <c r="C549" i="20"/>
  <c r="A576" i="20"/>
  <c r="F631" i="20"/>
  <c r="Q79" i="21"/>
  <c r="D390" i="20"/>
  <c r="BA20" i="13"/>
  <c r="AK21" i="13"/>
  <c r="C564" i="20"/>
  <c r="K21" i="13"/>
  <c r="D555" i="20"/>
  <c r="G21" i="13"/>
  <c r="C554" i="20"/>
  <c r="L21" i="13"/>
  <c r="E555" i="20"/>
  <c r="AH21" i="13"/>
  <c r="C563" i="20"/>
  <c r="M21" i="13"/>
  <c r="C556" i="20"/>
  <c r="AM21" i="13"/>
  <c r="E564" i="20"/>
  <c r="E21" i="13"/>
  <c r="D553" i="20"/>
  <c r="AB21" i="13"/>
  <c r="C561" i="20"/>
  <c r="AI21" i="13"/>
  <c r="D563" i="20"/>
  <c r="Q21" i="13"/>
  <c r="D557" i="20"/>
  <c r="X21" i="13"/>
  <c r="E559" i="20"/>
  <c r="R21" i="13"/>
  <c r="E557" i="20"/>
  <c r="H21" i="13"/>
  <c r="D554" i="20"/>
  <c r="F21" i="13"/>
  <c r="E553" i="20"/>
  <c r="S21" i="13"/>
  <c r="C558" i="20"/>
  <c r="N21" i="13"/>
  <c r="D556" i="20"/>
  <c r="AC21" i="13"/>
  <c r="D561" i="20"/>
  <c r="W21" i="13"/>
  <c r="D559" i="20"/>
  <c r="D21" i="13"/>
  <c r="C553" i="20"/>
  <c r="B21" i="13"/>
  <c r="AG21" i="13"/>
  <c r="E562" i="20"/>
  <c r="AJ21" i="13"/>
  <c r="E563" i="20"/>
  <c r="AQ21" i="13"/>
  <c r="C566" i="20"/>
  <c r="P21" i="13"/>
  <c r="C557" i="20"/>
  <c r="AO21" i="13"/>
  <c r="D565" i="20"/>
  <c r="J21" i="13"/>
  <c r="C555" i="20"/>
  <c r="Z21" i="13"/>
  <c r="D560" i="20"/>
  <c r="BL21" i="13"/>
  <c r="AF21" i="13"/>
  <c r="D562" i="20"/>
  <c r="O21" i="13"/>
  <c r="E556" i="20"/>
  <c r="U21" i="13"/>
  <c r="E558" i="20"/>
  <c r="AS21" i="13"/>
  <c r="E566" i="20"/>
  <c r="T21" i="13"/>
  <c r="D558" i="20"/>
  <c r="AN21" i="13"/>
  <c r="C565" i="20"/>
  <c r="AP21" i="13"/>
  <c r="E565" i="20"/>
  <c r="V21" i="13"/>
  <c r="C559" i="20"/>
  <c r="AE21" i="13"/>
  <c r="C562" i="20"/>
  <c r="AD21" i="13"/>
  <c r="E561" i="20"/>
  <c r="C21" i="13"/>
  <c r="AA21" i="13"/>
  <c r="E560" i="20"/>
  <c r="Y21" i="13"/>
  <c r="C560" i="20"/>
  <c r="AR21" i="13"/>
  <c r="D566" i="20"/>
  <c r="A22" i="13"/>
  <c r="AL21" i="13"/>
  <c r="D564" i="20"/>
  <c r="I21" i="13"/>
  <c r="E554" i="20"/>
  <c r="AE13" i="24"/>
  <c r="AF13" i="24"/>
  <c r="D304" i="25"/>
  <c r="C304" i="25"/>
  <c r="G20" i="18"/>
  <c r="C20" i="18"/>
  <c r="B20" i="18"/>
  <c r="U20" i="18"/>
  <c r="Q20" i="18"/>
  <c r="R20" i="18"/>
  <c r="S20" i="18"/>
  <c r="J20" i="18"/>
  <c r="F20" i="18"/>
  <c r="I20" i="18"/>
  <c r="N20" i="18"/>
  <c r="O20" i="18"/>
  <c r="H20" i="18"/>
  <c r="E20" i="18"/>
  <c r="D20" i="18"/>
  <c r="T20" i="18"/>
  <c r="P20" i="18"/>
  <c r="M20" i="18"/>
  <c r="L20" i="18"/>
  <c r="A21" i="18"/>
  <c r="AG20" i="18"/>
  <c r="BB21" i="13"/>
  <c r="K20" i="18"/>
  <c r="E388" i="20"/>
  <c r="R77" i="21"/>
  <c r="AY13" i="24"/>
  <c r="AZ13" i="24"/>
  <c r="D306" i="25"/>
  <c r="C306" i="25"/>
  <c r="AR13" i="24"/>
  <c r="AS13" i="24"/>
  <c r="F305" i="25"/>
  <c r="E305" i="25"/>
  <c r="W18" i="18"/>
  <c r="AI18" i="18"/>
  <c r="AB18" i="18"/>
  <c r="CF13" i="24"/>
  <c r="CG13" i="24"/>
  <c r="F309" i="25"/>
  <c r="E309" i="25"/>
  <c r="EN13" i="24"/>
  <c r="EO13" i="24"/>
  <c r="F315" i="25"/>
  <c r="E315" i="25"/>
  <c r="K106" i="21"/>
  <c r="D479" i="20"/>
  <c r="BL13" i="24"/>
  <c r="BM13" i="24"/>
  <c r="F307" i="25"/>
  <c r="E307" i="25"/>
  <c r="DJ13" i="24"/>
  <c r="DK13" i="24"/>
  <c r="F312" i="25"/>
  <c r="E312" i="25"/>
  <c r="R79" i="21"/>
  <c r="E390" i="20"/>
  <c r="CZ13" i="24"/>
  <c r="DA13" i="24"/>
  <c r="F311" i="25"/>
  <c r="E311" i="25"/>
  <c r="W18" i="11"/>
  <c r="AA18" i="11"/>
  <c r="X13" i="24"/>
  <c r="Y13" i="24"/>
  <c r="F303" i="25"/>
  <c r="E303" i="25"/>
  <c r="ED13" i="24"/>
  <c r="EE13" i="24"/>
  <c r="F314" i="25"/>
  <c r="E314" i="25"/>
  <c r="B22" i="10"/>
  <c r="H22" i="10"/>
  <c r="C22" i="10"/>
  <c r="J22" i="10"/>
  <c r="D22" i="10"/>
  <c r="M22" i="10"/>
  <c r="P22" i="10"/>
  <c r="G22" i="10"/>
  <c r="A23" i="10"/>
  <c r="K22" i="10"/>
  <c r="E22" i="10"/>
  <c r="I22" i="10"/>
  <c r="L22" i="10"/>
  <c r="F22" i="10"/>
  <c r="L104" i="21"/>
  <c r="E477" i="20"/>
  <c r="V19" i="11"/>
  <c r="AU20" i="13"/>
  <c r="BV13" i="24"/>
  <c r="BW13" i="24"/>
  <c r="F308" i="25"/>
  <c r="E308" i="25"/>
  <c r="CC13" i="24"/>
  <c r="CD13" i="24"/>
  <c r="D309" i="25"/>
  <c r="C309" i="25"/>
  <c r="BI13" i="24"/>
  <c r="BJ13" i="24"/>
  <c r="D307" i="25"/>
  <c r="C307" i="25"/>
  <c r="V19" i="18"/>
  <c r="AV20" i="13"/>
  <c r="DQ13" i="24"/>
  <c r="DR13" i="24"/>
  <c r="D313" i="25"/>
  <c r="C313" i="25"/>
  <c r="E131" i="21"/>
  <c r="E130" i="21"/>
  <c r="D131" i="21"/>
  <c r="E128" i="21"/>
  <c r="E129" i="21"/>
  <c r="B117" i="21"/>
  <c r="D127" i="21"/>
  <c r="D126" i="21"/>
  <c r="E123" i="21"/>
  <c r="F132" i="21"/>
  <c r="D124" i="21"/>
  <c r="D125" i="21"/>
  <c r="F121" i="21"/>
  <c r="F119" i="21"/>
  <c r="B140" i="21"/>
  <c r="B139" i="21"/>
  <c r="D121" i="21"/>
  <c r="E132" i="21"/>
  <c r="F127" i="21"/>
  <c r="E124" i="21"/>
  <c r="D123" i="21"/>
  <c r="F126" i="21"/>
  <c r="D122" i="21"/>
  <c r="F123" i="21"/>
  <c r="E120" i="21"/>
  <c r="E117" i="21"/>
  <c r="E125" i="21"/>
  <c r="F124" i="21"/>
  <c r="F129" i="21"/>
  <c r="F130" i="21"/>
  <c r="F120" i="21"/>
  <c r="H116" i="21"/>
  <c r="D119" i="21"/>
  <c r="C116" i="21"/>
  <c r="E121" i="21"/>
  <c r="D120" i="21"/>
  <c r="F128" i="21"/>
  <c r="F125" i="21"/>
  <c r="E127" i="21"/>
  <c r="B141" i="21"/>
  <c r="D130" i="21"/>
  <c r="D132" i="21"/>
  <c r="D129" i="21"/>
  <c r="E122" i="21"/>
  <c r="F131" i="21"/>
  <c r="B138" i="21"/>
  <c r="D128" i="21"/>
  <c r="E126" i="21"/>
  <c r="E119" i="21"/>
  <c r="F122" i="21"/>
  <c r="AH17" i="11"/>
  <c r="Y17" i="11"/>
  <c r="BF18" i="13"/>
  <c r="AX18" i="13"/>
  <c r="U13" i="24"/>
  <c r="V13" i="24"/>
  <c r="D303" i="25"/>
  <c r="C303" i="25"/>
  <c r="F357" i="25"/>
  <c r="B407" i="25"/>
  <c r="F15" i="24"/>
  <c r="D357" i="25"/>
  <c r="D15" i="24"/>
  <c r="E15" i="24"/>
  <c r="D356" i="25"/>
  <c r="B16" i="24"/>
  <c r="C15" i="24"/>
  <c r="W15" i="24"/>
  <c r="EA13" i="24"/>
  <c r="EB13" i="24"/>
  <c r="D314" i="25"/>
  <c r="C314" i="25"/>
  <c r="Q20" i="11"/>
  <c r="U20" i="11"/>
  <c r="H20" i="11"/>
  <c r="I20" i="11"/>
  <c r="O20" i="11"/>
  <c r="L20" i="11"/>
  <c r="J20" i="11"/>
  <c r="G20" i="11"/>
  <c r="K20" i="11"/>
  <c r="R20" i="11"/>
  <c r="S20" i="11"/>
  <c r="E20" i="11"/>
  <c r="B20" i="11"/>
  <c r="C20" i="11"/>
  <c r="D20" i="11"/>
  <c r="N20" i="11"/>
  <c r="T20" i="11"/>
  <c r="M20" i="11"/>
  <c r="AG20" i="11"/>
  <c r="A21" i="11"/>
  <c r="F20" i="11"/>
  <c r="P20" i="11"/>
  <c r="Q77" i="21"/>
  <c r="D388" i="20"/>
  <c r="AO13" i="24"/>
  <c r="AP13" i="24"/>
  <c r="D305" i="25"/>
  <c r="C305" i="25"/>
  <c r="EK13" i="24"/>
  <c r="EL13" i="24"/>
  <c r="D315" i="25"/>
  <c r="C315" i="25"/>
  <c r="AH17" i="18"/>
  <c r="Y17" i="18"/>
  <c r="BC18" i="13"/>
  <c r="AY18" i="13"/>
  <c r="N13" i="24"/>
  <c r="O13" i="24"/>
  <c r="F302" i="25"/>
  <c r="E302" i="25"/>
  <c r="CP13" i="24"/>
  <c r="CQ13" i="24"/>
  <c r="F310" i="25"/>
  <c r="E310" i="25"/>
  <c r="AH13" i="24"/>
  <c r="AI13" i="24"/>
  <c r="F304" i="25"/>
  <c r="E304" i="25"/>
  <c r="BC33" i="27"/>
  <c r="BD33" i="27"/>
  <c r="BE33" i="27"/>
  <c r="C34" i="27"/>
  <c r="BO34" i="27"/>
  <c r="BP34" i="27"/>
  <c r="BQ34" i="27"/>
  <c r="AE33" i="27"/>
  <c r="AF33" i="27"/>
  <c r="AG33" i="27"/>
  <c r="G33" i="27"/>
  <c r="H33" i="27"/>
  <c r="I33" i="27"/>
  <c r="S33" i="27"/>
  <c r="T33" i="27"/>
  <c r="U33" i="27"/>
  <c r="AK33" i="27"/>
  <c r="AL33" i="27"/>
  <c r="AM33" i="27"/>
  <c r="CG33" i="27"/>
  <c r="CH33" i="27"/>
  <c r="CI33" i="27"/>
  <c r="AH37" i="4"/>
  <c r="BO33" i="27"/>
  <c r="BP33" i="27"/>
  <c r="BQ33" i="27"/>
  <c r="CA33" i="27"/>
  <c r="CB33" i="27"/>
  <c r="CC33" i="27"/>
  <c r="BU33" i="27"/>
  <c r="BV33" i="27"/>
  <c r="BW33" i="27"/>
  <c r="BI33" i="27"/>
  <c r="BJ33" i="27"/>
  <c r="BK33" i="27"/>
  <c r="M33" i="27"/>
  <c r="N33" i="27"/>
  <c r="O33" i="27"/>
  <c r="AQ33" i="27"/>
  <c r="AR33" i="27"/>
  <c r="AS33" i="27"/>
  <c r="AW33" i="27"/>
  <c r="AX33" i="27"/>
  <c r="AY33" i="27"/>
  <c r="E35" i="27"/>
  <c r="F35" i="27"/>
  <c r="D35" i="27"/>
  <c r="B36" i="27"/>
  <c r="W43" i="8"/>
  <c r="X42" i="8"/>
  <c r="Y42" i="8"/>
  <c r="A1542" i="17"/>
  <c r="C1514" i="17"/>
  <c r="E1599" i="17"/>
  <c r="A1539" i="17"/>
  <c r="A1540" i="17"/>
  <c r="D1514" i="17"/>
  <c r="D1535" i="17"/>
  <c r="A1541" i="17"/>
  <c r="C1513" i="17"/>
  <c r="G40" i="4"/>
  <c r="D1517" i="17"/>
  <c r="L40" i="4"/>
  <c r="D1522" i="17"/>
  <c r="T40" i="4"/>
  <c r="D1529" i="17"/>
  <c r="M40" i="4"/>
  <c r="D1523" i="17"/>
  <c r="U40" i="4"/>
  <c r="D1530" i="17"/>
  <c r="N40" i="4"/>
  <c r="D1524" i="17"/>
  <c r="A41" i="4"/>
  <c r="K40" i="4"/>
  <c r="D1521" i="17"/>
  <c r="D40" i="4"/>
  <c r="F40" i="4"/>
  <c r="H40" i="4"/>
  <c r="D1518" i="17"/>
  <c r="P40" i="4"/>
  <c r="D1526" i="17"/>
  <c r="E40" i="4"/>
  <c r="Q40" i="4"/>
  <c r="D1527" i="17"/>
  <c r="J40" i="4"/>
  <c r="D1520" i="17"/>
  <c r="B40" i="4"/>
  <c r="AG40" i="4"/>
  <c r="R40" i="4"/>
  <c r="S40" i="4"/>
  <c r="C40" i="4"/>
  <c r="I40" i="4"/>
  <c r="D1519" i="17"/>
  <c r="O40" i="4"/>
  <c r="D1525" i="17"/>
  <c r="W38" i="4"/>
  <c r="AH38" i="4"/>
  <c r="D1437" i="17"/>
  <c r="V39" i="4"/>
  <c r="Y37" i="4"/>
  <c r="D1395" i="17"/>
  <c r="D1393" i="17"/>
  <c r="D1481" i="17"/>
  <c r="A43" i="2"/>
  <c r="I42" i="2"/>
  <c r="B42" i="2"/>
  <c r="K42" i="2"/>
  <c r="C42" i="2"/>
  <c r="D42" i="2"/>
  <c r="F42" i="2"/>
  <c r="E42" i="2"/>
  <c r="J42" i="2"/>
  <c r="G42" i="2"/>
  <c r="H42" i="2"/>
  <c r="D522" i="20"/>
  <c r="Q104" i="21"/>
  <c r="X15" i="24"/>
  <c r="Y15" i="24"/>
  <c r="F361" i="25"/>
  <c r="E361" i="25"/>
  <c r="R104" i="21"/>
  <c r="E522" i="20"/>
  <c r="E569" i="20"/>
  <c r="F135" i="21"/>
  <c r="AI18" i="11"/>
  <c r="Y18" i="11"/>
  <c r="BF19" i="13"/>
  <c r="AX19" i="13"/>
  <c r="BA21" i="13"/>
  <c r="AG22" i="13"/>
  <c r="AQ22" i="13"/>
  <c r="S22" i="13"/>
  <c r="C603" i="20"/>
  <c r="AR22" i="13"/>
  <c r="N22" i="13"/>
  <c r="X22" i="13"/>
  <c r="AO22" i="13"/>
  <c r="D610" i="20"/>
  <c r="Y22" i="13"/>
  <c r="Q22" i="13"/>
  <c r="AJ22" i="13"/>
  <c r="AI22" i="13"/>
  <c r="D608" i="20"/>
  <c r="V22" i="13"/>
  <c r="O22" i="13"/>
  <c r="B22" i="13"/>
  <c r="W22" i="13"/>
  <c r="AD22" i="13"/>
  <c r="T22" i="13"/>
  <c r="AE22" i="13"/>
  <c r="C607" i="20"/>
  <c r="A23" i="13"/>
  <c r="AP22" i="13"/>
  <c r="Z22" i="13"/>
  <c r="F22" i="13"/>
  <c r="E598" i="20"/>
  <c r="AA22" i="13"/>
  <c r="AF22" i="13"/>
  <c r="AN22" i="13"/>
  <c r="R22" i="13"/>
  <c r="K22" i="13"/>
  <c r="AH22" i="13"/>
  <c r="P22" i="13"/>
  <c r="I22" i="13"/>
  <c r="AL22" i="13"/>
  <c r="BL22" i="13"/>
  <c r="AM22" i="13"/>
  <c r="E609" i="20"/>
  <c r="G22" i="13"/>
  <c r="AC22" i="13"/>
  <c r="C22" i="13"/>
  <c r="AB22" i="13"/>
  <c r="C606" i="20"/>
  <c r="U22" i="13"/>
  <c r="J22" i="13"/>
  <c r="L22" i="13"/>
  <c r="D22" i="13"/>
  <c r="AK22" i="13"/>
  <c r="H22" i="13"/>
  <c r="M22" i="13"/>
  <c r="AS22" i="13"/>
  <c r="E611" i="20"/>
  <c r="E22" i="13"/>
  <c r="CW14" i="24"/>
  <c r="CX14" i="24"/>
  <c r="D340" i="25"/>
  <c r="C340" i="25"/>
  <c r="DG14" i="24"/>
  <c r="DH14" i="24"/>
  <c r="D341" i="25"/>
  <c r="C341" i="25"/>
  <c r="DQ14" i="24"/>
  <c r="DR14" i="24"/>
  <c r="D342" i="25"/>
  <c r="C342" i="25"/>
  <c r="N14" i="24"/>
  <c r="O14" i="24"/>
  <c r="F331" i="25"/>
  <c r="E331" i="25"/>
  <c r="CC14" i="24"/>
  <c r="CD14" i="24"/>
  <c r="D338" i="25"/>
  <c r="C338" i="25"/>
  <c r="AR14" i="24"/>
  <c r="AS14" i="24"/>
  <c r="F334" i="25"/>
  <c r="E334" i="25"/>
  <c r="E433" i="20"/>
  <c r="F105" i="21"/>
  <c r="DO15" i="24"/>
  <c r="AD15" i="24"/>
  <c r="DI15" i="24"/>
  <c r="E435" i="20"/>
  <c r="F107" i="21"/>
  <c r="EG15" i="24"/>
  <c r="EH15" i="24"/>
  <c r="BQ15" i="24"/>
  <c r="DP15" i="24"/>
  <c r="EI15" i="24"/>
  <c r="DZ15" i="24"/>
  <c r="BH15" i="24"/>
  <c r="CB15" i="24"/>
  <c r="EC15" i="24"/>
  <c r="AX15" i="24"/>
  <c r="AN15" i="24"/>
  <c r="AG15" i="24"/>
  <c r="CI15" i="24"/>
  <c r="CJ15" i="24"/>
  <c r="CS15" i="24"/>
  <c r="CT15" i="24"/>
  <c r="DE15" i="24"/>
  <c r="B436" i="25"/>
  <c r="F386" i="25"/>
  <c r="W19" i="18"/>
  <c r="AH19" i="18"/>
  <c r="AB19" i="18"/>
  <c r="AH18" i="18"/>
  <c r="Y18" i="18"/>
  <c r="BC19" i="13"/>
  <c r="AY19" i="13"/>
  <c r="ED14" i="24"/>
  <c r="EE14" i="24"/>
  <c r="F343" i="25"/>
  <c r="E343" i="25"/>
  <c r="BB14" i="24"/>
  <c r="BC14" i="24"/>
  <c r="F335" i="25"/>
  <c r="E335" i="25"/>
  <c r="CM14" i="24"/>
  <c r="CN14" i="24"/>
  <c r="D339" i="25"/>
  <c r="C339" i="25"/>
  <c r="DT14" i="24"/>
  <c r="DU14" i="24"/>
  <c r="F342" i="25"/>
  <c r="E342" i="25"/>
  <c r="CF14" i="24"/>
  <c r="CG14" i="24"/>
  <c r="F338" i="25"/>
  <c r="E338" i="25"/>
  <c r="AY14" i="24"/>
  <c r="AZ14" i="24"/>
  <c r="D335" i="25"/>
  <c r="C335" i="25"/>
  <c r="EK14" i="24"/>
  <c r="EL14" i="24"/>
  <c r="D344" i="25"/>
  <c r="C344" i="25"/>
  <c r="BI14" i="24"/>
  <c r="BJ14" i="24"/>
  <c r="D336" i="25"/>
  <c r="C336" i="25"/>
  <c r="E16" i="24"/>
  <c r="C16" i="24"/>
  <c r="D16" i="24"/>
  <c r="D385" i="25"/>
  <c r="B17" i="24"/>
  <c r="F16" i="24"/>
  <c r="D386" i="25"/>
  <c r="DC15" i="24"/>
  <c r="DD15" i="24"/>
  <c r="I15" i="24"/>
  <c r="BU15" i="24"/>
  <c r="DY15" i="24"/>
  <c r="BY15" i="24"/>
  <c r="BZ15" i="24"/>
  <c r="DF15" i="24"/>
  <c r="CK15" i="24"/>
  <c r="AQ15" i="24"/>
  <c r="BG15" i="24"/>
  <c r="T15" i="24"/>
  <c r="AW15" i="24"/>
  <c r="M15" i="24"/>
  <c r="AM15" i="24"/>
  <c r="CA15" i="24"/>
  <c r="DM15" i="24"/>
  <c r="DN15" i="24"/>
  <c r="AU15" i="24"/>
  <c r="AV15" i="24"/>
  <c r="BK15" i="24"/>
  <c r="BA15" i="24"/>
  <c r="D433" i="20"/>
  <c r="E105" i="21"/>
  <c r="W19" i="11"/>
  <c r="AH19" i="11"/>
  <c r="AA19" i="11"/>
  <c r="J23" i="10"/>
  <c r="F23" i="10"/>
  <c r="C23" i="10"/>
  <c r="G23" i="10"/>
  <c r="H23" i="10"/>
  <c r="M23" i="10"/>
  <c r="P23" i="10"/>
  <c r="E23" i="10"/>
  <c r="B23" i="10"/>
  <c r="D23" i="10"/>
  <c r="L23" i="10"/>
  <c r="I23" i="10"/>
  <c r="A24" i="10"/>
  <c r="K23" i="10"/>
  <c r="V20" i="18"/>
  <c r="AE14" i="24"/>
  <c r="AF14" i="24"/>
  <c r="D333" i="25"/>
  <c r="C333" i="25"/>
  <c r="K14" i="24"/>
  <c r="L14" i="24"/>
  <c r="D331" i="25"/>
  <c r="C331" i="25"/>
  <c r="CZ14" i="24"/>
  <c r="DA14" i="24"/>
  <c r="F340" i="25"/>
  <c r="E340" i="25"/>
  <c r="U14" i="24"/>
  <c r="V14" i="24"/>
  <c r="D332" i="25"/>
  <c r="C332" i="25"/>
  <c r="EN14" i="24"/>
  <c r="EO14" i="24"/>
  <c r="F344" i="25"/>
  <c r="E344" i="25"/>
  <c r="BS14" i="24"/>
  <c r="BT14" i="24"/>
  <c r="D337" i="25"/>
  <c r="C337" i="25"/>
  <c r="DJ14" i="24"/>
  <c r="DK14" i="24"/>
  <c r="F341" i="25"/>
  <c r="E341" i="25"/>
  <c r="O21" i="11"/>
  <c r="G21" i="11"/>
  <c r="C21" i="11"/>
  <c r="R21" i="11"/>
  <c r="S21" i="11"/>
  <c r="D21" i="11"/>
  <c r="T21" i="11"/>
  <c r="I21" i="11"/>
  <c r="J21" i="11"/>
  <c r="L21" i="11"/>
  <c r="E21" i="11"/>
  <c r="K21" i="11"/>
  <c r="F21" i="11"/>
  <c r="M21" i="11"/>
  <c r="H21" i="11"/>
  <c r="A22" i="11"/>
  <c r="B21" i="11"/>
  <c r="U21" i="11"/>
  <c r="P21" i="11"/>
  <c r="Q21" i="11"/>
  <c r="AG21" i="11"/>
  <c r="BA22" i="13"/>
  <c r="N21" i="11"/>
  <c r="V20" i="11"/>
  <c r="AU21" i="13"/>
  <c r="CE15" i="24"/>
  <c r="CV15" i="24"/>
  <c r="S15" i="24"/>
  <c r="CY15" i="24"/>
  <c r="DW15" i="24"/>
  <c r="DX15" i="24"/>
  <c r="CL15" i="24"/>
  <c r="J15" i="24"/>
  <c r="BR15" i="24"/>
  <c r="BE15" i="24"/>
  <c r="BF15" i="24"/>
  <c r="DS15" i="24"/>
  <c r="EJ15" i="24"/>
  <c r="EM15" i="24"/>
  <c r="Q15" i="24"/>
  <c r="R15" i="24"/>
  <c r="BO15" i="24"/>
  <c r="BP15" i="24"/>
  <c r="CO15" i="24"/>
  <c r="CU15" i="24"/>
  <c r="AK15" i="24"/>
  <c r="AL15" i="24"/>
  <c r="G15" i="24"/>
  <c r="H15" i="24"/>
  <c r="AA15" i="24"/>
  <c r="AB15" i="24"/>
  <c r="AC15" i="24"/>
  <c r="E107" i="21"/>
  <c r="D435" i="20"/>
  <c r="H140" i="21"/>
  <c r="K121" i="21"/>
  <c r="L121" i="21"/>
  <c r="K126" i="21"/>
  <c r="L128" i="21"/>
  <c r="L125" i="21"/>
  <c r="H141" i="21"/>
  <c r="K125" i="21"/>
  <c r="I116" i="21"/>
  <c r="J124" i="21"/>
  <c r="J122" i="21"/>
  <c r="H117" i="21"/>
  <c r="L131" i="21"/>
  <c r="L127" i="21"/>
  <c r="H139" i="21"/>
  <c r="J120" i="21"/>
  <c r="K124" i="21"/>
  <c r="L119" i="21"/>
  <c r="K123" i="21"/>
  <c r="K129" i="21"/>
  <c r="J123" i="21"/>
  <c r="K122" i="21"/>
  <c r="L130" i="21"/>
  <c r="K119" i="21"/>
  <c r="L129" i="21"/>
  <c r="K117" i="21"/>
  <c r="N116" i="21"/>
  <c r="K132" i="21"/>
  <c r="J128" i="21"/>
  <c r="J127" i="21"/>
  <c r="L122" i="21"/>
  <c r="J119" i="21"/>
  <c r="L123" i="21"/>
  <c r="K120" i="21"/>
  <c r="L120" i="21"/>
  <c r="L124" i="21"/>
  <c r="K130" i="21"/>
  <c r="J125" i="21"/>
  <c r="K131" i="21"/>
  <c r="K127" i="21"/>
  <c r="J132" i="21"/>
  <c r="H138" i="21"/>
  <c r="J131" i="21"/>
  <c r="L126" i="21"/>
  <c r="J129" i="21"/>
  <c r="J130" i="21"/>
  <c r="K128" i="21"/>
  <c r="L132" i="21"/>
  <c r="J126" i="21"/>
  <c r="J121" i="21"/>
  <c r="AH18" i="11"/>
  <c r="K21" i="18"/>
  <c r="I21" i="18"/>
  <c r="T21" i="18"/>
  <c r="Q21" i="18"/>
  <c r="M21" i="18"/>
  <c r="C21" i="18"/>
  <c r="P21" i="18"/>
  <c r="J21" i="18"/>
  <c r="H21" i="18"/>
  <c r="B21" i="18"/>
  <c r="G21" i="18"/>
  <c r="AG21" i="18"/>
  <c r="R21" i="18"/>
  <c r="S21" i="18"/>
  <c r="U21" i="18"/>
  <c r="O21" i="18"/>
  <c r="N21" i="18"/>
  <c r="L21" i="18"/>
  <c r="D21" i="18"/>
  <c r="E21" i="18"/>
  <c r="F21" i="18"/>
  <c r="A22" i="18"/>
  <c r="AV21" i="13"/>
  <c r="Q106" i="21"/>
  <c r="D524" i="20"/>
  <c r="A621" i="20"/>
  <c r="E602" i="20"/>
  <c r="E605" i="20"/>
  <c r="A618" i="20"/>
  <c r="D611" i="20"/>
  <c r="E606" i="20"/>
  <c r="C608" i="20"/>
  <c r="D609" i="20"/>
  <c r="C598" i="20"/>
  <c r="E608" i="20"/>
  <c r="C594" i="20"/>
  <c r="C599" i="20"/>
  <c r="D602" i="20"/>
  <c r="D605" i="20"/>
  <c r="D598" i="20"/>
  <c r="D604" i="20"/>
  <c r="E601" i="20"/>
  <c r="C601" i="20"/>
  <c r="E603" i="20"/>
  <c r="F676" i="20"/>
  <c r="C610" i="20"/>
  <c r="C600" i="20"/>
  <c r="E604" i="20"/>
  <c r="E610" i="20"/>
  <c r="E599" i="20"/>
  <c r="C609" i="20"/>
  <c r="A620" i="20"/>
  <c r="E600" i="20"/>
  <c r="D600" i="20"/>
  <c r="C605" i="20"/>
  <c r="E607" i="20"/>
  <c r="D603" i="20"/>
  <c r="D599" i="20"/>
  <c r="C602" i="20"/>
  <c r="C593" i="20"/>
  <c r="C604" i="20"/>
  <c r="D607" i="20"/>
  <c r="D606" i="20"/>
  <c r="A619" i="20"/>
  <c r="D601" i="20"/>
  <c r="C611" i="20"/>
  <c r="E594" i="20"/>
  <c r="BV14" i="24"/>
  <c r="BW14" i="24"/>
  <c r="F337" i="25"/>
  <c r="E337" i="25"/>
  <c r="EA14" i="24"/>
  <c r="EB14" i="24"/>
  <c r="D343" i="25"/>
  <c r="C343" i="25"/>
  <c r="X14" i="24"/>
  <c r="Y14" i="24"/>
  <c r="F332" i="25"/>
  <c r="E332" i="25"/>
  <c r="AH14" i="24"/>
  <c r="AI14" i="24"/>
  <c r="F333" i="25"/>
  <c r="E333" i="25"/>
  <c r="AO14" i="24"/>
  <c r="AP14" i="24"/>
  <c r="D334" i="25"/>
  <c r="C334" i="25"/>
  <c r="BL14" i="24"/>
  <c r="BM14" i="24"/>
  <c r="F336" i="25"/>
  <c r="E336" i="25"/>
  <c r="CP14" i="24"/>
  <c r="CQ14" i="24"/>
  <c r="F339" i="25"/>
  <c r="E339" i="25"/>
  <c r="BC34" i="27"/>
  <c r="BD34" i="27"/>
  <c r="BE34" i="27"/>
  <c r="BU34" i="27"/>
  <c r="BV34" i="27"/>
  <c r="BW34" i="27"/>
  <c r="G34" i="27"/>
  <c r="H34" i="27"/>
  <c r="I34" i="27"/>
  <c r="Y34" i="27"/>
  <c r="Z34" i="27"/>
  <c r="AA34" i="27"/>
  <c r="CA34" i="27"/>
  <c r="CB34" i="27"/>
  <c r="CC34" i="27"/>
  <c r="AQ34" i="27"/>
  <c r="AR34" i="27"/>
  <c r="AS34" i="27"/>
  <c r="AW34" i="27"/>
  <c r="AX34" i="27"/>
  <c r="AY34" i="27"/>
  <c r="S34" i="27"/>
  <c r="T34" i="27"/>
  <c r="U34" i="27"/>
  <c r="CG34" i="27"/>
  <c r="CH34" i="27"/>
  <c r="CI34" i="27"/>
  <c r="AE34" i="27"/>
  <c r="AF34" i="27"/>
  <c r="AG34" i="27"/>
  <c r="M34" i="27"/>
  <c r="N34" i="27"/>
  <c r="O34" i="27"/>
  <c r="BI34" i="27"/>
  <c r="BJ34" i="27"/>
  <c r="BK34" i="27"/>
  <c r="AK34" i="27"/>
  <c r="AL34" i="27"/>
  <c r="AM34" i="27"/>
  <c r="C35" i="27"/>
  <c r="M35" i="27"/>
  <c r="N35" i="27"/>
  <c r="O35" i="27"/>
  <c r="Y38" i="4"/>
  <c r="D1442" i="17"/>
  <c r="D1440" i="17"/>
  <c r="G41" i="4"/>
  <c r="D1564" i="17"/>
  <c r="O41" i="4"/>
  <c r="D1572" i="17"/>
  <c r="U41" i="4"/>
  <c r="D1577" i="17"/>
  <c r="F41" i="4"/>
  <c r="A42" i="4"/>
  <c r="T41" i="4"/>
  <c r="D1576" i="17"/>
  <c r="L41" i="4"/>
  <c r="D1569" i="17"/>
  <c r="M41" i="4"/>
  <c r="D1570" i="17"/>
  <c r="J41" i="4"/>
  <c r="D1567" i="17"/>
  <c r="B41" i="4"/>
  <c r="K41" i="4"/>
  <c r="D1568" i="17"/>
  <c r="D41" i="4"/>
  <c r="P41" i="4"/>
  <c r="D1573" i="17"/>
  <c r="E41" i="4"/>
  <c r="AG41" i="4"/>
  <c r="C41" i="4"/>
  <c r="I41" i="4"/>
  <c r="D1566" i="17"/>
  <c r="Q41" i="4"/>
  <c r="D1574" i="17"/>
  <c r="H41" i="4"/>
  <c r="D1565" i="17"/>
  <c r="N41" i="4"/>
  <c r="D1571" i="17"/>
  <c r="R41" i="4"/>
  <c r="S41" i="4"/>
  <c r="D1528" i="17"/>
  <c r="W39" i="4"/>
  <c r="AH39" i="4"/>
  <c r="D1484" i="17"/>
  <c r="AI38" i="4"/>
  <c r="V40" i="4"/>
  <c r="X43" i="8"/>
  <c r="Y43" i="8"/>
  <c r="W44" i="8"/>
  <c r="D36" i="27"/>
  <c r="B37" i="27"/>
  <c r="E36" i="27"/>
  <c r="F36" i="27"/>
  <c r="D43" i="2"/>
  <c r="G43" i="2"/>
  <c r="E43" i="2"/>
  <c r="K43" i="2"/>
  <c r="F43" i="2"/>
  <c r="I43" i="2"/>
  <c r="A44" i="2"/>
  <c r="J43" i="2"/>
  <c r="B43" i="2"/>
  <c r="H43" i="2"/>
  <c r="C43" i="2"/>
  <c r="C1561" i="17"/>
  <c r="A1588" i="17"/>
  <c r="A1587" i="17"/>
  <c r="E1646" i="17"/>
  <c r="A1589" i="17"/>
  <c r="D1561" i="17"/>
  <c r="A1586" i="17"/>
  <c r="C1560" i="17"/>
  <c r="D1582" i="17"/>
  <c r="V21" i="18"/>
  <c r="AV22" i="13"/>
  <c r="E612" i="20"/>
  <c r="E133" i="21"/>
  <c r="D567" i="20"/>
  <c r="AQ16" i="24"/>
  <c r="AN16" i="24"/>
  <c r="CO16" i="24"/>
  <c r="AW16" i="24"/>
  <c r="CE16" i="24"/>
  <c r="CL16" i="24"/>
  <c r="CA16" i="24"/>
  <c r="BA16" i="24"/>
  <c r="CI16" i="24"/>
  <c r="CJ16" i="24"/>
  <c r="DC16" i="24"/>
  <c r="DD16" i="24"/>
  <c r="CK16" i="24"/>
  <c r="DO16" i="24"/>
  <c r="CV16" i="24"/>
  <c r="DI16" i="24"/>
  <c r="EG16" i="24"/>
  <c r="EH16" i="24"/>
  <c r="AU16" i="24"/>
  <c r="AV16" i="24"/>
  <c r="DF16" i="24"/>
  <c r="BH16" i="24"/>
  <c r="CY16" i="24"/>
  <c r="S16" i="24"/>
  <c r="BY16" i="24"/>
  <c r="BZ16" i="24"/>
  <c r="CB16" i="24"/>
  <c r="BG16" i="24"/>
  <c r="DM16" i="24"/>
  <c r="DN16" i="24"/>
  <c r="DZ16" i="24"/>
  <c r="AM16" i="24"/>
  <c r="DS16" i="24"/>
  <c r="EI16" i="24"/>
  <c r="CU16" i="24"/>
  <c r="DW16" i="24"/>
  <c r="DX16" i="24"/>
  <c r="EM16" i="24"/>
  <c r="EC16" i="24"/>
  <c r="W16" i="24"/>
  <c r="BR16" i="24"/>
  <c r="I16" i="24"/>
  <c r="BQ16" i="24"/>
  <c r="BE16" i="24"/>
  <c r="BF16" i="24"/>
  <c r="DE16" i="24"/>
  <c r="DP16" i="24"/>
  <c r="EJ16" i="24"/>
  <c r="T16" i="24"/>
  <c r="J16" i="24"/>
  <c r="M16" i="24"/>
  <c r="CS16" i="24"/>
  <c r="CT16" i="24"/>
  <c r="AC16" i="24"/>
  <c r="AA16" i="24"/>
  <c r="AB16" i="24"/>
  <c r="AD16" i="24"/>
  <c r="DY16" i="24"/>
  <c r="AK16" i="24"/>
  <c r="AL16" i="24"/>
  <c r="AG16" i="24"/>
  <c r="BK16" i="24"/>
  <c r="Q16" i="24"/>
  <c r="R16" i="24"/>
  <c r="G16" i="24"/>
  <c r="H16" i="24"/>
  <c r="AX16" i="24"/>
  <c r="BO16" i="24"/>
  <c r="BP16" i="24"/>
  <c r="BU16" i="24"/>
  <c r="D614" i="20"/>
  <c r="K135" i="21"/>
  <c r="W21" i="18"/>
  <c r="AH21" i="18"/>
  <c r="BS15" i="24"/>
  <c r="BT15" i="24"/>
  <c r="D366" i="25"/>
  <c r="C366" i="25"/>
  <c r="N15" i="24"/>
  <c r="O15" i="24"/>
  <c r="F360" i="25"/>
  <c r="E360" i="25"/>
  <c r="BI15" i="24"/>
  <c r="BJ15" i="24"/>
  <c r="D365" i="25"/>
  <c r="C365" i="25"/>
  <c r="K105" i="21"/>
  <c r="D478" i="20"/>
  <c r="P22" i="18"/>
  <c r="J22" i="18"/>
  <c r="N22" i="18"/>
  <c r="K22" i="18"/>
  <c r="L22" i="18"/>
  <c r="F22" i="18"/>
  <c r="R22" i="18"/>
  <c r="S22" i="18"/>
  <c r="Q22" i="18"/>
  <c r="O22" i="18"/>
  <c r="D22" i="18"/>
  <c r="B22" i="18"/>
  <c r="M22" i="18"/>
  <c r="AG22" i="18"/>
  <c r="A23" i="18"/>
  <c r="G22" i="18"/>
  <c r="I22" i="18"/>
  <c r="H22" i="18"/>
  <c r="C22" i="18"/>
  <c r="T22" i="18"/>
  <c r="U22" i="18"/>
  <c r="E22" i="18"/>
  <c r="CP15" i="24"/>
  <c r="CQ15" i="24"/>
  <c r="F368" i="25"/>
  <c r="E368" i="25"/>
  <c r="EK15" i="24"/>
  <c r="EL15" i="24"/>
  <c r="D373" i="25"/>
  <c r="C373" i="25"/>
  <c r="K15" i="24"/>
  <c r="L15" i="24"/>
  <c r="D360" i="25"/>
  <c r="C360" i="25"/>
  <c r="I24" i="10"/>
  <c r="F24" i="10"/>
  <c r="M24" i="10"/>
  <c r="P24" i="10"/>
  <c r="H24" i="10"/>
  <c r="C24" i="10"/>
  <c r="L24" i="10"/>
  <c r="J24" i="10"/>
  <c r="D24" i="10"/>
  <c r="G24" i="10"/>
  <c r="A25" i="10"/>
  <c r="B24" i="10"/>
  <c r="K24" i="10"/>
  <c r="E24" i="10"/>
  <c r="BV15" i="24"/>
  <c r="BW15" i="24"/>
  <c r="F366" i="25"/>
  <c r="E366" i="25"/>
  <c r="B465" i="25"/>
  <c r="F415" i="25"/>
  <c r="AY15" i="24"/>
  <c r="AZ15" i="24"/>
  <c r="D364" i="25"/>
  <c r="C364" i="25"/>
  <c r="EA15" i="24"/>
  <c r="EB15" i="24"/>
  <c r="D372" i="25"/>
  <c r="C372" i="25"/>
  <c r="AE15" i="24"/>
  <c r="AF15" i="24"/>
  <c r="D362" i="25"/>
  <c r="C362" i="25"/>
  <c r="AY22" i="13"/>
  <c r="BB22" i="13"/>
  <c r="K107" i="21"/>
  <c r="D480" i="20"/>
  <c r="AB21" i="18"/>
  <c r="EN15" i="24"/>
  <c r="EO15" i="24"/>
  <c r="F373" i="25"/>
  <c r="E373" i="25"/>
  <c r="AR15" i="24"/>
  <c r="AS15" i="24"/>
  <c r="F363" i="25"/>
  <c r="E363" i="25"/>
  <c r="AO15" i="24"/>
  <c r="AP15" i="24"/>
  <c r="D363" i="25"/>
  <c r="C363" i="25"/>
  <c r="DJ15" i="24"/>
  <c r="DK15" i="24"/>
  <c r="F370" i="25"/>
  <c r="E370" i="25"/>
  <c r="A663" i="20"/>
  <c r="E639" i="20"/>
  <c r="C638" i="20"/>
  <c r="A666" i="20"/>
  <c r="C639" i="20"/>
  <c r="A664" i="20"/>
  <c r="F721" i="20"/>
  <c r="A665" i="20"/>
  <c r="R129" i="21"/>
  <c r="R125" i="21"/>
  <c r="Q128" i="21"/>
  <c r="Q117" i="21"/>
  <c r="N139" i="21"/>
  <c r="N141" i="21"/>
  <c r="Q119" i="21"/>
  <c r="Q129" i="21"/>
  <c r="Q120" i="21"/>
  <c r="R127" i="21"/>
  <c r="Q127" i="21"/>
  <c r="N117" i="21"/>
  <c r="N138" i="21"/>
  <c r="R123" i="21"/>
  <c r="P126" i="21"/>
  <c r="R126" i="21"/>
  <c r="P120" i="21"/>
  <c r="R124" i="21"/>
  <c r="P121" i="21"/>
  <c r="Q123" i="21"/>
  <c r="P122" i="21"/>
  <c r="Q132" i="21"/>
  <c r="R119" i="21"/>
  <c r="R120" i="21"/>
  <c r="R131" i="21"/>
  <c r="O116" i="21"/>
  <c r="R122" i="21"/>
  <c r="Q131" i="21"/>
  <c r="R121" i="21"/>
  <c r="P125" i="21"/>
  <c r="Q130" i="21"/>
  <c r="Q122" i="21"/>
  <c r="P131" i="21"/>
  <c r="R132" i="21"/>
  <c r="Q126" i="21"/>
  <c r="P129" i="21"/>
  <c r="P132" i="21"/>
  <c r="Q125" i="21"/>
  <c r="N140" i="21"/>
  <c r="P128" i="21"/>
  <c r="P119" i="21"/>
  <c r="Q124" i="21"/>
  <c r="Q121" i="21"/>
  <c r="P127" i="21"/>
  <c r="R128" i="21"/>
  <c r="P123" i="21"/>
  <c r="R130" i="21"/>
  <c r="P124" i="21"/>
  <c r="B144" i="21"/>
  <c r="P130" i="21"/>
  <c r="DT15" i="24"/>
  <c r="DU15" i="24"/>
  <c r="F371" i="25"/>
  <c r="E371" i="25"/>
  <c r="CM15" i="24"/>
  <c r="CN15" i="24"/>
  <c r="D368" i="25"/>
  <c r="C368" i="25"/>
  <c r="CW15" i="24"/>
  <c r="CX15" i="24"/>
  <c r="D369" i="25"/>
  <c r="C369" i="25"/>
  <c r="V21" i="11"/>
  <c r="AU22" i="13"/>
  <c r="BB15" i="24"/>
  <c r="BC15" i="24"/>
  <c r="F364" i="25"/>
  <c r="E364" i="25"/>
  <c r="U15" i="24"/>
  <c r="V15" i="24"/>
  <c r="D361" i="25"/>
  <c r="C361" i="25"/>
  <c r="DG15" i="24"/>
  <c r="DH15" i="24"/>
  <c r="D370" i="25"/>
  <c r="C370" i="25"/>
  <c r="D17" i="24"/>
  <c r="D414" i="25"/>
  <c r="B18" i="24"/>
  <c r="F17" i="24"/>
  <c r="D415" i="25"/>
  <c r="E17" i="24"/>
  <c r="L105" i="21"/>
  <c r="E478" i="20"/>
  <c r="ED15" i="24"/>
  <c r="EE15" i="24"/>
  <c r="F372" i="25"/>
  <c r="E372" i="25"/>
  <c r="CZ15" i="24"/>
  <c r="DA15" i="24"/>
  <c r="F369" i="25"/>
  <c r="E369" i="25"/>
  <c r="W20" i="11"/>
  <c r="AH20" i="11"/>
  <c r="AA20" i="11"/>
  <c r="E567" i="20"/>
  <c r="F133" i="21"/>
  <c r="CF15" i="24"/>
  <c r="CG15" i="24"/>
  <c r="F367" i="25"/>
  <c r="E367" i="25"/>
  <c r="P22" i="11"/>
  <c r="E22" i="11"/>
  <c r="J22" i="11"/>
  <c r="O22" i="11"/>
  <c r="H22" i="11"/>
  <c r="L22" i="11"/>
  <c r="AG22" i="11"/>
  <c r="G22" i="11"/>
  <c r="A23" i="11"/>
  <c r="N22" i="11"/>
  <c r="B22" i="11"/>
  <c r="U22" i="11"/>
  <c r="C22" i="11"/>
  <c r="D22" i="11"/>
  <c r="F22" i="11"/>
  <c r="R22" i="11"/>
  <c r="S22" i="11"/>
  <c r="Q22" i="11"/>
  <c r="I22" i="11"/>
  <c r="K22" i="11"/>
  <c r="T22" i="11"/>
  <c r="M22" i="11"/>
  <c r="W20" i="18"/>
  <c r="AB20" i="18"/>
  <c r="AI19" i="11"/>
  <c r="Y19" i="11"/>
  <c r="BF20" i="13"/>
  <c r="AX20" i="13"/>
  <c r="BL15" i="24"/>
  <c r="BM15" i="24"/>
  <c r="F365" i="25"/>
  <c r="E365" i="25"/>
  <c r="L107" i="21"/>
  <c r="E480" i="20"/>
  <c r="AI19" i="18"/>
  <c r="Y19" i="18"/>
  <c r="BC20" i="13"/>
  <c r="AY20" i="13"/>
  <c r="AH15" i="24"/>
  <c r="AI15" i="24"/>
  <c r="F362" i="25"/>
  <c r="E362" i="25"/>
  <c r="CC15" i="24"/>
  <c r="CD15" i="24"/>
  <c r="D367" i="25"/>
  <c r="C367" i="25"/>
  <c r="DQ15" i="24"/>
  <c r="DR15" i="24"/>
  <c r="D371" i="25"/>
  <c r="C371" i="25"/>
  <c r="AB23" i="13"/>
  <c r="C651" i="20"/>
  <c r="BL23" i="13"/>
  <c r="O23" i="13"/>
  <c r="E646" i="20"/>
  <c r="AL23" i="13"/>
  <c r="D654" i="20"/>
  <c r="Y23" i="13"/>
  <c r="C650" i="20"/>
  <c r="AR23" i="13"/>
  <c r="D656" i="20"/>
  <c r="AP23" i="13"/>
  <c r="E655" i="20"/>
  <c r="V23" i="13"/>
  <c r="C649" i="20"/>
  <c r="AC23" i="13"/>
  <c r="D651" i="20"/>
  <c r="A24" i="13"/>
  <c r="N23" i="13"/>
  <c r="D646" i="20"/>
  <c r="I23" i="13"/>
  <c r="E644" i="20"/>
  <c r="AO23" i="13"/>
  <c r="D655" i="20"/>
  <c r="AM23" i="13"/>
  <c r="E654" i="20"/>
  <c r="AE23" i="13"/>
  <c r="C652" i="20"/>
  <c r="AJ23" i="13"/>
  <c r="E653" i="20"/>
  <c r="Z23" i="13"/>
  <c r="D650" i="20"/>
  <c r="AG23" i="13"/>
  <c r="E652" i="20"/>
  <c r="BA23" i="13"/>
  <c r="D659" i="20"/>
  <c r="J23" i="13"/>
  <c r="C645" i="20"/>
  <c r="AF23" i="13"/>
  <c r="D652" i="20"/>
  <c r="AD23" i="13"/>
  <c r="E651" i="20"/>
  <c r="C23" i="13"/>
  <c r="K23" i="13"/>
  <c r="D645" i="20"/>
  <c r="AI23" i="13"/>
  <c r="D653" i="20"/>
  <c r="AS23" i="13"/>
  <c r="E656" i="20"/>
  <c r="M23" i="13"/>
  <c r="C646" i="20"/>
  <c r="T23" i="13"/>
  <c r="D648" i="20"/>
  <c r="AN23" i="13"/>
  <c r="C655" i="20"/>
  <c r="G23" i="13"/>
  <c r="C644" i="20"/>
  <c r="F23" i="13"/>
  <c r="E643" i="20"/>
  <c r="W23" i="13"/>
  <c r="D649" i="20"/>
  <c r="S23" i="13"/>
  <c r="C648" i="20"/>
  <c r="AK23" i="13"/>
  <c r="C654" i="20"/>
  <c r="D23" i="13"/>
  <c r="C643" i="20"/>
  <c r="R23" i="13"/>
  <c r="E647" i="20"/>
  <c r="U23" i="13"/>
  <c r="E648" i="20"/>
  <c r="X23" i="13"/>
  <c r="E649" i="20"/>
  <c r="AA23" i="13"/>
  <c r="E650" i="20"/>
  <c r="P23" i="13"/>
  <c r="C647" i="20"/>
  <c r="E23" i="13"/>
  <c r="D643" i="20"/>
  <c r="AH23" i="13"/>
  <c r="C653" i="20"/>
  <c r="AQ23" i="13"/>
  <c r="C656" i="20"/>
  <c r="H23" i="13"/>
  <c r="D644" i="20"/>
  <c r="B23" i="13"/>
  <c r="L23" i="13"/>
  <c r="E645" i="20"/>
  <c r="Q23" i="13"/>
  <c r="D647" i="20"/>
  <c r="E135" i="21"/>
  <c r="D569" i="20"/>
  <c r="S35" i="27"/>
  <c r="T35" i="27"/>
  <c r="U35" i="27"/>
  <c r="D1575" i="17"/>
  <c r="AK35" i="27"/>
  <c r="AL35" i="27"/>
  <c r="AM35" i="27"/>
  <c r="CA35" i="27"/>
  <c r="CB35" i="27"/>
  <c r="CC35" i="27"/>
  <c r="Y35" i="27"/>
  <c r="Z35" i="27"/>
  <c r="AA35" i="27"/>
  <c r="BU35" i="27"/>
  <c r="BV35" i="27"/>
  <c r="BW35" i="27"/>
  <c r="BC35" i="27"/>
  <c r="BD35" i="27"/>
  <c r="BE35" i="27"/>
  <c r="BI35" i="27"/>
  <c r="BJ35" i="27"/>
  <c r="BK35" i="27"/>
  <c r="AE35" i="27"/>
  <c r="AF35" i="27"/>
  <c r="AG35" i="27"/>
  <c r="AQ35" i="27"/>
  <c r="AR35" i="27"/>
  <c r="AS35" i="27"/>
  <c r="AW35" i="27"/>
  <c r="AX35" i="27"/>
  <c r="AY35" i="27"/>
  <c r="G35" i="27"/>
  <c r="H35" i="27"/>
  <c r="I35" i="27"/>
  <c r="BO35" i="27"/>
  <c r="BP35" i="27"/>
  <c r="BQ35" i="27"/>
  <c r="CG35" i="27"/>
  <c r="CH35" i="27"/>
  <c r="CI35" i="27"/>
  <c r="C36" i="27"/>
  <c r="AE36" i="27"/>
  <c r="AF36" i="27"/>
  <c r="AG36" i="27"/>
  <c r="AI39" i="4"/>
  <c r="D37" i="27"/>
  <c r="B38" i="27"/>
  <c r="F37" i="27"/>
  <c r="E37" i="27"/>
  <c r="W45" i="8"/>
  <c r="X44" i="8"/>
  <c r="Y44" i="8"/>
  <c r="W40" i="4"/>
  <c r="AH40" i="4"/>
  <c r="D1531" i="17"/>
  <c r="E44" i="2"/>
  <c r="C44" i="2"/>
  <c r="H44" i="2"/>
  <c r="K44" i="2"/>
  <c r="D44" i="2"/>
  <c r="A45" i="2"/>
  <c r="G44" i="2"/>
  <c r="F44" i="2"/>
  <c r="I44" i="2"/>
  <c r="J44" i="2"/>
  <c r="B44" i="2"/>
  <c r="A1634" i="17"/>
  <c r="D1608" i="17"/>
  <c r="A1636" i="17"/>
  <c r="A1635" i="17"/>
  <c r="C1607" i="17"/>
  <c r="E1693" i="17"/>
  <c r="D1629" i="17"/>
  <c r="C1608" i="17"/>
  <c r="A1633" i="17"/>
  <c r="D1487" i="17"/>
  <c r="Y39" i="4"/>
  <c r="D1489" i="17"/>
  <c r="L42" i="4"/>
  <c r="D1616" i="17"/>
  <c r="U42" i="4"/>
  <c r="D1624" i="17"/>
  <c r="M42" i="4"/>
  <c r="D1617" i="17"/>
  <c r="B42" i="4"/>
  <c r="N42" i="4"/>
  <c r="D1618" i="17"/>
  <c r="C42" i="4"/>
  <c r="K42" i="4"/>
  <c r="D1615" i="17"/>
  <c r="A43" i="4"/>
  <c r="D42" i="4"/>
  <c r="F42" i="4"/>
  <c r="T42" i="4"/>
  <c r="D1623" i="17"/>
  <c r="H42" i="4"/>
  <c r="D1612" i="17"/>
  <c r="P42" i="4"/>
  <c r="D1620" i="17"/>
  <c r="E42" i="4"/>
  <c r="Q42" i="4"/>
  <c r="D1621" i="17"/>
  <c r="J42" i="4"/>
  <c r="D1614" i="17"/>
  <c r="R42" i="4"/>
  <c r="S42" i="4"/>
  <c r="AG42" i="4"/>
  <c r="I42" i="4"/>
  <c r="D1613" i="17"/>
  <c r="G42" i="4"/>
  <c r="O42" i="4"/>
  <c r="D1619" i="17"/>
  <c r="V41" i="4"/>
  <c r="L133" i="21"/>
  <c r="R105" i="21"/>
  <c r="E523" i="20"/>
  <c r="Q107" i="21"/>
  <c r="D525" i="20"/>
  <c r="AH20" i="18"/>
  <c r="Y20" i="18"/>
  <c r="BC21" i="13"/>
  <c r="AY21" i="13"/>
  <c r="E614" i="20"/>
  <c r="L135" i="21"/>
  <c r="V22" i="18"/>
  <c r="BV16" i="24"/>
  <c r="BW16" i="24"/>
  <c r="F395" i="25"/>
  <c r="E395" i="25"/>
  <c r="EK16" i="24"/>
  <c r="EL16" i="24"/>
  <c r="D402" i="25"/>
  <c r="C402" i="25"/>
  <c r="ED16" i="24"/>
  <c r="EE16" i="24"/>
  <c r="F401" i="25"/>
  <c r="E401" i="25"/>
  <c r="BB16" i="24"/>
  <c r="BC16" i="24"/>
  <c r="F393" i="25"/>
  <c r="E393" i="25"/>
  <c r="R107" i="21"/>
  <c r="E525" i="20"/>
  <c r="B19" i="24"/>
  <c r="D18" i="24"/>
  <c r="C18" i="24"/>
  <c r="E18" i="24"/>
  <c r="F18" i="24"/>
  <c r="E613" i="20"/>
  <c r="L134" i="21"/>
  <c r="E25" i="10"/>
  <c r="H25" i="10"/>
  <c r="B25" i="10"/>
  <c r="M25" i="10"/>
  <c r="P25" i="10"/>
  <c r="C25" i="10"/>
  <c r="I25" i="10"/>
  <c r="G25" i="10"/>
  <c r="F25" i="10"/>
  <c r="A26" i="10"/>
  <c r="D25" i="10"/>
  <c r="K25" i="10"/>
  <c r="L25" i="10"/>
  <c r="J25" i="10"/>
  <c r="AI21" i="18"/>
  <c r="Y21" i="18"/>
  <c r="BC22" i="13"/>
  <c r="BL16" i="24"/>
  <c r="BM16" i="24"/>
  <c r="F394" i="25"/>
  <c r="E394" i="25"/>
  <c r="AE16" i="24"/>
  <c r="AF16" i="24"/>
  <c r="D391" i="25"/>
  <c r="C391" i="25"/>
  <c r="N16" i="24"/>
  <c r="O16" i="24"/>
  <c r="F389" i="25"/>
  <c r="E389" i="25"/>
  <c r="DQ16" i="24"/>
  <c r="DR16" i="24"/>
  <c r="D400" i="25"/>
  <c r="C400" i="25"/>
  <c r="EN16" i="24"/>
  <c r="EO16" i="24"/>
  <c r="F402" i="25"/>
  <c r="E402" i="25"/>
  <c r="DT16" i="24"/>
  <c r="DU16" i="24"/>
  <c r="F400" i="25"/>
  <c r="E400" i="25"/>
  <c r="CZ16" i="24"/>
  <c r="DA16" i="24"/>
  <c r="F398" i="25"/>
  <c r="E398" i="25"/>
  <c r="CP16" i="24"/>
  <c r="CQ16" i="24"/>
  <c r="F397" i="25"/>
  <c r="E397" i="25"/>
  <c r="AG23" i="11"/>
  <c r="K23" i="11"/>
  <c r="C23" i="11"/>
  <c r="R23" i="11"/>
  <c r="S23" i="11"/>
  <c r="Q23" i="11"/>
  <c r="D23" i="11"/>
  <c r="B23" i="11"/>
  <c r="J23" i="11"/>
  <c r="U23" i="11"/>
  <c r="T23" i="11"/>
  <c r="P23" i="11"/>
  <c r="A24" i="11"/>
  <c r="L23" i="11"/>
  <c r="G23" i="11"/>
  <c r="N23" i="11"/>
  <c r="I23" i="11"/>
  <c r="H23" i="11"/>
  <c r="M23" i="11"/>
  <c r="F23" i="11"/>
  <c r="E23" i="11"/>
  <c r="O23" i="11"/>
  <c r="AI20" i="11"/>
  <c r="Y20" i="11"/>
  <c r="BF21" i="13"/>
  <c r="AX21" i="13"/>
  <c r="K133" i="21"/>
  <c r="D612" i="20"/>
  <c r="W21" i="11"/>
  <c r="AA21" i="11"/>
  <c r="F444" i="25"/>
  <c r="B494" i="25"/>
  <c r="D443" i="25"/>
  <c r="D444" i="25"/>
  <c r="P23" i="18"/>
  <c r="G23" i="18"/>
  <c r="T23" i="18"/>
  <c r="I23" i="18"/>
  <c r="B23" i="18"/>
  <c r="J23" i="18"/>
  <c r="R23" i="18"/>
  <c r="S23" i="18"/>
  <c r="U23" i="18"/>
  <c r="L23" i="18"/>
  <c r="O23" i="18"/>
  <c r="D23" i="18"/>
  <c r="C23" i="18"/>
  <c r="AG23" i="18"/>
  <c r="A24" i="18"/>
  <c r="F23" i="18"/>
  <c r="E23" i="18"/>
  <c r="H23" i="18"/>
  <c r="M23" i="18"/>
  <c r="N23" i="18"/>
  <c r="Q23" i="18"/>
  <c r="K23" i="18"/>
  <c r="AY16" i="24"/>
  <c r="AZ16" i="24"/>
  <c r="D393" i="25"/>
  <c r="C393" i="25"/>
  <c r="AH16" i="24"/>
  <c r="AI16" i="24"/>
  <c r="F391" i="25"/>
  <c r="E391" i="25"/>
  <c r="K16" i="24"/>
  <c r="L16" i="24"/>
  <c r="D389" i="25"/>
  <c r="C389" i="25"/>
  <c r="BS16" i="24"/>
  <c r="BT16" i="24"/>
  <c r="D395" i="25"/>
  <c r="C395" i="25"/>
  <c r="CC16" i="24"/>
  <c r="CD16" i="24"/>
  <c r="D396" i="25"/>
  <c r="C396" i="25"/>
  <c r="BI16" i="24"/>
  <c r="BJ16" i="24"/>
  <c r="D394" i="25"/>
  <c r="C394" i="25"/>
  <c r="DJ16" i="24"/>
  <c r="DK16" i="24"/>
  <c r="F399" i="25"/>
  <c r="E399" i="25"/>
  <c r="CM16" i="24"/>
  <c r="CN16" i="24"/>
  <c r="D397" i="25"/>
  <c r="C397" i="25"/>
  <c r="AO16" i="24"/>
  <c r="AP16" i="24"/>
  <c r="D392" i="25"/>
  <c r="C392" i="25"/>
  <c r="BB23" i="13"/>
  <c r="U24" i="13"/>
  <c r="S24" i="13"/>
  <c r="X24" i="13"/>
  <c r="J24" i="13"/>
  <c r="C24" i="13"/>
  <c r="AQ24" i="13"/>
  <c r="Z24" i="13"/>
  <c r="AL24" i="13"/>
  <c r="P24" i="13"/>
  <c r="AI24" i="13"/>
  <c r="B24" i="13"/>
  <c r="BL24" i="13"/>
  <c r="BA24" i="13"/>
  <c r="H24" i="13"/>
  <c r="G24" i="13"/>
  <c r="AH24" i="13"/>
  <c r="F24" i="13"/>
  <c r="T24" i="13"/>
  <c r="AS24" i="13"/>
  <c r="E24" i="13"/>
  <c r="AO24" i="13"/>
  <c r="L24" i="13"/>
  <c r="AB24" i="13"/>
  <c r="R24" i="13"/>
  <c r="K24" i="13"/>
  <c r="BB24" i="13"/>
  <c r="I24" i="13"/>
  <c r="A25" i="13"/>
  <c r="O24" i="13"/>
  <c r="AN24" i="13"/>
  <c r="AE24" i="13"/>
  <c r="AM24" i="13"/>
  <c r="AJ24" i="13"/>
  <c r="AK24" i="13"/>
  <c r="AR24" i="13"/>
  <c r="AF24" i="13"/>
  <c r="AA24" i="13"/>
  <c r="N24" i="13"/>
  <c r="V24" i="13"/>
  <c r="M24" i="13"/>
  <c r="D24" i="13"/>
  <c r="W24" i="13"/>
  <c r="AG24" i="13"/>
  <c r="AD24" i="13"/>
  <c r="Q24" i="13"/>
  <c r="Y24" i="13"/>
  <c r="AC24" i="13"/>
  <c r="AP24" i="13"/>
  <c r="Q105" i="21"/>
  <c r="D523" i="20"/>
  <c r="AI20" i="18"/>
  <c r="V22" i="11"/>
  <c r="C17" i="24"/>
  <c r="E147" i="21"/>
  <c r="D150" i="21"/>
  <c r="B167" i="21"/>
  <c r="E151" i="21"/>
  <c r="B168" i="21"/>
  <c r="D154" i="21"/>
  <c r="D147" i="21"/>
  <c r="F151" i="21"/>
  <c r="D152" i="21"/>
  <c r="E156" i="21"/>
  <c r="F159" i="21"/>
  <c r="F157" i="21"/>
  <c r="E154" i="21"/>
  <c r="E157" i="21"/>
  <c r="F156" i="21"/>
  <c r="D149" i="21"/>
  <c r="F155" i="21"/>
  <c r="E145" i="21"/>
  <c r="E163" i="21"/>
  <c r="D158" i="21"/>
  <c r="H144" i="21"/>
  <c r="E152" i="21"/>
  <c r="F153" i="21"/>
  <c r="C144" i="21"/>
  <c r="D148" i="21"/>
  <c r="F160" i="21"/>
  <c r="B166" i="21"/>
  <c r="E158" i="21"/>
  <c r="E159" i="21"/>
  <c r="F152" i="21"/>
  <c r="E150" i="21"/>
  <c r="E148" i="21"/>
  <c r="F158" i="21"/>
  <c r="F147" i="21"/>
  <c r="E160" i="21"/>
  <c r="B145" i="21"/>
  <c r="F154" i="21"/>
  <c r="F150" i="21"/>
  <c r="F149" i="21"/>
  <c r="D156" i="21"/>
  <c r="E149" i="21"/>
  <c r="D153" i="21"/>
  <c r="D151" i="21"/>
  <c r="D159" i="21"/>
  <c r="D157" i="21"/>
  <c r="B169" i="21"/>
  <c r="E153" i="21"/>
  <c r="E155" i="21"/>
  <c r="F148" i="21"/>
  <c r="F163" i="21"/>
  <c r="D160" i="21"/>
  <c r="D155" i="21"/>
  <c r="Q135" i="21"/>
  <c r="E688" i="20"/>
  <c r="D692" i="20"/>
  <c r="E696" i="20"/>
  <c r="C701" i="20"/>
  <c r="C683" i="20"/>
  <c r="C698" i="20"/>
  <c r="A711" i="20"/>
  <c r="D699" i="20"/>
  <c r="D700" i="20"/>
  <c r="D701" i="20"/>
  <c r="A710" i="20"/>
  <c r="C690" i="20"/>
  <c r="E697" i="20"/>
  <c r="C692" i="20"/>
  <c r="F766" i="20"/>
  <c r="C695" i="20"/>
  <c r="C689" i="20"/>
  <c r="D694" i="20"/>
  <c r="A709" i="20"/>
  <c r="D695" i="20"/>
  <c r="D696" i="20"/>
  <c r="C699" i="20"/>
  <c r="E704" i="20"/>
  <c r="D688" i="20"/>
  <c r="C684" i="20"/>
  <c r="E695" i="20"/>
  <c r="C697" i="20"/>
  <c r="E692" i="20"/>
  <c r="E700" i="20"/>
  <c r="E690" i="20"/>
  <c r="D698" i="20"/>
  <c r="E698" i="20"/>
  <c r="E693" i="20"/>
  <c r="D689" i="20"/>
  <c r="E691" i="20"/>
  <c r="D691" i="20"/>
  <c r="D690" i="20"/>
  <c r="C691" i="20"/>
  <c r="E684" i="20"/>
  <c r="E699" i="20"/>
  <c r="C694" i="20"/>
  <c r="E694" i="20"/>
  <c r="D704" i="20"/>
  <c r="A708" i="20"/>
  <c r="C700" i="20"/>
  <c r="D697" i="20"/>
  <c r="E689" i="20"/>
  <c r="C688" i="20"/>
  <c r="C696" i="20"/>
  <c r="C693" i="20"/>
  <c r="E701" i="20"/>
  <c r="D693" i="20"/>
  <c r="U16" i="24"/>
  <c r="V16" i="24"/>
  <c r="D390" i="25"/>
  <c r="C390" i="25"/>
  <c r="X16" i="24"/>
  <c r="Y16" i="24"/>
  <c r="F390" i="25"/>
  <c r="E390" i="25"/>
  <c r="EA16" i="24"/>
  <c r="EB16" i="24"/>
  <c r="D401" i="25"/>
  <c r="C401" i="25"/>
  <c r="DG16" i="24"/>
  <c r="DH16" i="24"/>
  <c r="D399" i="25"/>
  <c r="C399" i="25"/>
  <c r="CW16" i="24"/>
  <c r="CX16" i="24"/>
  <c r="D398" i="25"/>
  <c r="C398" i="25"/>
  <c r="CF16" i="24"/>
  <c r="CG16" i="24"/>
  <c r="F396" i="25"/>
  <c r="E396" i="25"/>
  <c r="AR16" i="24"/>
  <c r="AS16" i="24"/>
  <c r="F392" i="25"/>
  <c r="E392" i="25"/>
  <c r="AK36" i="27"/>
  <c r="AL36" i="27"/>
  <c r="AM36" i="27"/>
  <c r="BI36" i="27"/>
  <c r="BJ36" i="27"/>
  <c r="BK36" i="27"/>
  <c r="BU36" i="27"/>
  <c r="BV36" i="27"/>
  <c r="BW36" i="27"/>
  <c r="CA36" i="27"/>
  <c r="CB36" i="27"/>
  <c r="CC36" i="27"/>
  <c r="S36" i="27"/>
  <c r="T36" i="27"/>
  <c r="U36" i="27"/>
  <c r="AW36" i="27"/>
  <c r="AX36" i="27"/>
  <c r="AY36" i="27"/>
  <c r="CG36" i="27"/>
  <c r="CH36" i="27"/>
  <c r="CI36" i="27"/>
  <c r="Y36" i="27"/>
  <c r="Z36" i="27"/>
  <c r="AA36" i="27"/>
  <c r="BO36" i="27"/>
  <c r="BP36" i="27"/>
  <c r="BQ36" i="27"/>
  <c r="AQ36" i="27"/>
  <c r="AR36" i="27"/>
  <c r="AS36" i="27"/>
  <c r="M36" i="27"/>
  <c r="N36" i="27"/>
  <c r="O36" i="27"/>
  <c r="G36" i="27"/>
  <c r="H36" i="27"/>
  <c r="I36" i="27"/>
  <c r="BC36" i="27"/>
  <c r="BD36" i="27"/>
  <c r="BE36" i="27"/>
  <c r="C37" i="27"/>
  <c r="CA37" i="27"/>
  <c r="CB37" i="27"/>
  <c r="CC37" i="27"/>
  <c r="V42" i="4"/>
  <c r="W41" i="4"/>
  <c r="AH41" i="4"/>
  <c r="D1578" i="17"/>
  <c r="I43" i="4"/>
  <c r="D1660" i="17"/>
  <c r="U43" i="4"/>
  <c r="D1671" i="17"/>
  <c r="L43" i="4"/>
  <c r="D1663" i="17"/>
  <c r="B43" i="4"/>
  <c r="N43" i="4"/>
  <c r="D1665" i="17"/>
  <c r="C43" i="4"/>
  <c r="O43" i="4"/>
  <c r="D1666" i="17"/>
  <c r="P43" i="4"/>
  <c r="D1667" i="17"/>
  <c r="M43" i="4"/>
  <c r="D1664" i="17"/>
  <c r="F43" i="4"/>
  <c r="G43" i="4"/>
  <c r="D1658" i="17"/>
  <c r="H43" i="4"/>
  <c r="D1659" i="17"/>
  <c r="AG43" i="4"/>
  <c r="A44" i="4"/>
  <c r="J43" i="4"/>
  <c r="D1661" i="17"/>
  <c r="D43" i="4"/>
  <c r="R43" i="4"/>
  <c r="S43" i="4"/>
  <c r="E43" i="4"/>
  <c r="K43" i="4"/>
  <c r="D1662" i="17"/>
  <c r="Q43" i="4"/>
  <c r="D1668" i="17"/>
  <c r="T43" i="4"/>
  <c r="D1670" i="17"/>
  <c r="W46" i="8"/>
  <c r="X45" i="8"/>
  <c r="Y45" i="8"/>
  <c r="C1654" i="17"/>
  <c r="D1655" i="17"/>
  <c r="C1655" i="17"/>
  <c r="A1680" i="17"/>
  <c r="E1740" i="17"/>
  <c r="A1682" i="17"/>
  <c r="D1676" i="17"/>
  <c r="A1681" i="17"/>
  <c r="A1683" i="17"/>
  <c r="K45" i="2"/>
  <c r="F45" i="2"/>
  <c r="B45" i="2"/>
  <c r="A46" i="2"/>
  <c r="E45" i="2"/>
  <c r="H45" i="2"/>
  <c r="J45" i="2"/>
  <c r="C45" i="2"/>
  <c r="I45" i="2"/>
  <c r="G45" i="2"/>
  <c r="D45" i="2"/>
  <c r="Y40" i="4"/>
  <c r="D1536" i="17"/>
  <c r="D1534" i="17"/>
  <c r="F38" i="27"/>
  <c r="E38" i="27"/>
  <c r="D38" i="27"/>
  <c r="B39" i="27"/>
  <c r="D1611" i="17"/>
  <c r="D1622" i="17"/>
  <c r="AI40" i="4"/>
  <c r="I18" i="24"/>
  <c r="AG18" i="24"/>
  <c r="DO18" i="24"/>
  <c r="EC18" i="24"/>
  <c r="Q18" i="24"/>
  <c r="R18" i="24"/>
  <c r="BO18" i="24"/>
  <c r="BP18" i="24"/>
  <c r="DS18" i="24"/>
  <c r="S18" i="24"/>
  <c r="EG18" i="24"/>
  <c r="EH18" i="24"/>
  <c r="EI18" i="24"/>
  <c r="BA18" i="24"/>
  <c r="BY18" i="24"/>
  <c r="BZ18" i="24"/>
  <c r="AA18" i="24"/>
  <c r="AB18" i="24"/>
  <c r="DZ18" i="24"/>
  <c r="AU18" i="24"/>
  <c r="AV18" i="24"/>
  <c r="DI18" i="24"/>
  <c r="CU18" i="24"/>
  <c r="BH18" i="24"/>
  <c r="DP18" i="24"/>
  <c r="DW18" i="24"/>
  <c r="DX18" i="24"/>
  <c r="AW18" i="24"/>
  <c r="BU18" i="24"/>
  <c r="T18" i="24"/>
  <c r="DM18" i="24"/>
  <c r="DN18" i="24"/>
  <c r="M18" i="24"/>
  <c r="CO18" i="24"/>
  <c r="CY18" i="24"/>
  <c r="AD18" i="24"/>
  <c r="BE18" i="24"/>
  <c r="BF18" i="24"/>
  <c r="G18" i="24"/>
  <c r="H18" i="24"/>
  <c r="CS18" i="24"/>
  <c r="CT18" i="24"/>
  <c r="AM18" i="24"/>
  <c r="BQ18" i="24"/>
  <c r="J18" i="24"/>
  <c r="DF18" i="24"/>
  <c r="CI18" i="24"/>
  <c r="CJ18" i="24"/>
  <c r="DE18" i="24"/>
  <c r="CK18" i="24"/>
  <c r="DY18" i="24"/>
  <c r="AQ18" i="24"/>
  <c r="DC18" i="24"/>
  <c r="DD18" i="24"/>
  <c r="BR18" i="24"/>
  <c r="CA18" i="24"/>
  <c r="CB18" i="24"/>
  <c r="AN18" i="24"/>
  <c r="BK18" i="24"/>
  <c r="CE18" i="24"/>
  <c r="CV18" i="24"/>
  <c r="BG18" i="24"/>
  <c r="EJ18" i="24"/>
  <c r="AK18" i="24"/>
  <c r="AL18" i="24"/>
  <c r="CL18" i="24"/>
  <c r="AC18" i="24"/>
  <c r="W18" i="24"/>
  <c r="AX18" i="24"/>
  <c r="EM18" i="24"/>
  <c r="L154" i="21"/>
  <c r="J154" i="21"/>
  <c r="L156" i="21"/>
  <c r="L157" i="21"/>
  <c r="L159" i="21"/>
  <c r="J158" i="21"/>
  <c r="J160" i="21"/>
  <c r="K157" i="21"/>
  <c r="L158" i="21"/>
  <c r="I144" i="21"/>
  <c r="K147" i="21"/>
  <c r="J157" i="21"/>
  <c r="J153" i="21"/>
  <c r="J155" i="21"/>
  <c r="J156" i="21"/>
  <c r="L151" i="21"/>
  <c r="L150" i="21"/>
  <c r="K159" i="21"/>
  <c r="J152" i="21"/>
  <c r="H169" i="21"/>
  <c r="K153" i="21"/>
  <c r="L160" i="21"/>
  <c r="L155" i="21"/>
  <c r="K158" i="21"/>
  <c r="J151" i="21"/>
  <c r="K145" i="21"/>
  <c r="K154" i="21"/>
  <c r="H167" i="21"/>
  <c r="L153" i="21"/>
  <c r="L149" i="21"/>
  <c r="H145" i="21"/>
  <c r="J150" i="21"/>
  <c r="K148" i="21"/>
  <c r="H168" i="21"/>
  <c r="L148" i="21"/>
  <c r="K152" i="21"/>
  <c r="L147" i="21"/>
  <c r="K149" i="21"/>
  <c r="J159" i="21"/>
  <c r="K155" i="21"/>
  <c r="K150" i="21"/>
  <c r="K151" i="21"/>
  <c r="K156" i="21"/>
  <c r="L152" i="21"/>
  <c r="H166" i="21"/>
  <c r="J147" i="21"/>
  <c r="K160" i="21"/>
  <c r="J149" i="21"/>
  <c r="N144" i="21"/>
  <c r="J148" i="21"/>
  <c r="A26" i="13"/>
  <c r="AP25" i="13"/>
  <c r="AB25" i="13"/>
  <c r="AK25" i="13"/>
  <c r="T25" i="13"/>
  <c r="I25" i="13"/>
  <c r="AQ25" i="13"/>
  <c r="AH25" i="13"/>
  <c r="AS25" i="13"/>
  <c r="Y25" i="13"/>
  <c r="Z25" i="13"/>
  <c r="U25" i="13"/>
  <c r="H25" i="13"/>
  <c r="D25" i="13"/>
  <c r="AI25" i="13"/>
  <c r="R25" i="13"/>
  <c r="AN25" i="13"/>
  <c r="AO25" i="13"/>
  <c r="AF25" i="13"/>
  <c r="J25" i="13"/>
  <c r="BL25" i="13"/>
  <c r="N25" i="13"/>
  <c r="C25" i="13"/>
  <c r="L25" i="13"/>
  <c r="G25" i="13"/>
  <c r="AL25" i="13"/>
  <c r="AM25" i="13"/>
  <c r="AR25" i="13"/>
  <c r="F25" i="13"/>
  <c r="AC25" i="13"/>
  <c r="AG25" i="13"/>
  <c r="K25" i="13"/>
  <c r="Q25" i="13"/>
  <c r="V25" i="13"/>
  <c r="AD25" i="13"/>
  <c r="AA25" i="13"/>
  <c r="B25" i="13"/>
  <c r="W25" i="13"/>
  <c r="O25" i="13"/>
  <c r="P25" i="13"/>
  <c r="AE25" i="13"/>
  <c r="AJ25" i="13"/>
  <c r="E25" i="13"/>
  <c r="S25" i="13"/>
  <c r="M25" i="13"/>
  <c r="X25" i="13"/>
  <c r="R135" i="21"/>
  <c r="E659" i="20"/>
  <c r="V23" i="18"/>
  <c r="AH21" i="11"/>
  <c r="Y21" i="11"/>
  <c r="BF22" i="13"/>
  <c r="AX22" i="13"/>
  <c r="D570" i="20"/>
  <c r="E136" i="21"/>
  <c r="E568" i="20"/>
  <c r="F134" i="21"/>
  <c r="G17" i="24"/>
  <c r="H17" i="24"/>
  <c r="BG17" i="24"/>
  <c r="W17" i="24"/>
  <c r="S17" i="24"/>
  <c r="BR17" i="24"/>
  <c r="CE17" i="24"/>
  <c r="T17" i="24"/>
  <c r="BU17" i="24"/>
  <c r="AU17" i="24"/>
  <c r="AV17" i="24"/>
  <c r="CY17" i="24"/>
  <c r="CV17" i="24"/>
  <c r="BY17" i="24"/>
  <c r="BZ17" i="24"/>
  <c r="I17" i="24"/>
  <c r="DS17" i="24"/>
  <c r="DP17" i="24"/>
  <c r="AX17" i="24"/>
  <c r="M17" i="24"/>
  <c r="CI17" i="24"/>
  <c r="CJ17" i="24"/>
  <c r="BA17" i="24"/>
  <c r="AN17" i="24"/>
  <c r="AW17" i="24"/>
  <c r="BK17" i="24"/>
  <c r="CS17" i="24"/>
  <c r="CT17" i="24"/>
  <c r="CL17" i="24"/>
  <c r="DI17" i="24"/>
  <c r="DO17" i="24"/>
  <c r="EM17" i="24"/>
  <c r="AG17" i="24"/>
  <c r="CB17" i="24"/>
  <c r="DW17" i="24"/>
  <c r="DX17" i="24"/>
  <c r="CA17" i="24"/>
  <c r="DC17" i="24"/>
  <c r="DD17" i="24"/>
  <c r="Q17" i="24"/>
  <c r="R17" i="24"/>
  <c r="BE17" i="24"/>
  <c r="BF17" i="24"/>
  <c r="EC17" i="24"/>
  <c r="BH17" i="24"/>
  <c r="DE17" i="24"/>
  <c r="AC17" i="24"/>
  <c r="EJ17" i="24"/>
  <c r="DF17" i="24"/>
  <c r="DZ17" i="24"/>
  <c r="EI17" i="24"/>
  <c r="J17" i="24"/>
  <c r="DY17" i="24"/>
  <c r="EG17" i="24"/>
  <c r="EH17" i="24"/>
  <c r="BQ17" i="24"/>
  <c r="CU17" i="24"/>
  <c r="AK17" i="24"/>
  <c r="AL17" i="24"/>
  <c r="AA17" i="24"/>
  <c r="AB17" i="24"/>
  <c r="AM17" i="24"/>
  <c r="BO17" i="24"/>
  <c r="BP17" i="24"/>
  <c r="AD17" i="24"/>
  <c r="CO17" i="24"/>
  <c r="AQ17" i="24"/>
  <c r="CK17" i="24"/>
  <c r="DM17" i="24"/>
  <c r="DN17" i="24"/>
  <c r="V23" i="11"/>
  <c r="L136" i="21"/>
  <c r="E615" i="20"/>
  <c r="W22" i="18"/>
  <c r="AH22" i="18"/>
  <c r="AV23" i="13"/>
  <c r="AB22" i="18"/>
  <c r="E570" i="20"/>
  <c r="F136" i="21"/>
  <c r="C738" i="20"/>
  <c r="E744" i="20"/>
  <c r="D735" i="20"/>
  <c r="C739" i="20"/>
  <c r="E736" i="20"/>
  <c r="C729" i="20"/>
  <c r="D734" i="20"/>
  <c r="E735" i="20"/>
  <c r="E740" i="20"/>
  <c r="E734" i="20"/>
  <c r="F811" i="20"/>
  <c r="C742" i="20"/>
  <c r="E739" i="20"/>
  <c r="C741" i="20"/>
  <c r="C746" i="20"/>
  <c r="A754" i="20"/>
  <c r="E743" i="20"/>
  <c r="E729" i="20"/>
  <c r="C745" i="20"/>
  <c r="D746" i="20"/>
  <c r="C737" i="20"/>
  <c r="C728" i="20"/>
  <c r="E737" i="20"/>
  <c r="D745" i="20"/>
  <c r="C736" i="20"/>
  <c r="D739" i="20"/>
  <c r="C744" i="20"/>
  <c r="C733" i="20"/>
  <c r="C740" i="20"/>
  <c r="D741" i="20"/>
  <c r="D737" i="20"/>
  <c r="D742" i="20"/>
  <c r="E745" i="20"/>
  <c r="D744" i="20"/>
  <c r="D738" i="20"/>
  <c r="C735" i="20"/>
  <c r="E742" i="20"/>
  <c r="D733" i="20"/>
  <c r="A755" i="20"/>
  <c r="E746" i="20"/>
  <c r="A753" i="20"/>
  <c r="E741" i="20"/>
  <c r="D740" i="20"/>
  <c r="D736" i="20"/>
  <c r="D743" i="20"/>
  <c r="C734" i="20"/>
  <c r="E733" i="20"/>
  <c r="E738" i="20"/>
  <c r="C743" i="20"/>
  <c r="A756" i="20"/>
  <c r="W22" i="11"/>
  <c r="AH22" i="11"/>
  <c r="AA22" i="11"/>
  <c r="AU23" i="13"/>
  <c r="H24" i="18"/>
  <c r="J24" i="18"/>
  <c r="AG24" i="18"/>
  <c r="BB25" i="13"/>
  <c r="D24" i="18"/>
  <c r="M24" i="18"/>
  <c r="B24" i="18"/>
  <c r="U24" i="18"/>
  <c r="C24" i="18"/>
  <c r="P24" i="18"/>
  <c r="K24" i="18"/>
  <c r="Q24" i="18"/>
  <c r="L24" i="18"/>
  <c r="A25" i="18"/>
  <c r="G24" i="18"/>
  <c r="O24" i="18"/>
  <c r="I24" i="18"/>
  <c r="E24" i="18"/>
  <c r="F24" i="18"/>
  <c r="R24" i="18"/>
  <c r="S24" i="18"/>
  <c r="N24" i="18"/>
  <c r="T24" i="18"/>
  <c r="D19" i="24"/>
  <c r="B20" i="24"/>
  <c r="F19" i="24"/>
  <c r="C19" i="24"/>
  <c r="E19" i="24"/>
  <c r="AU24" i="13"/>
  <c r="D472" i="25"/>
  <c r="F473" i="25"/>
  <c r="D473" i="25"/>
  <c r="B523" i="25"/>
  <c r="AI21" i="11"/>
  <c r="E134" i="21"/>
  <c r="D568" i="20"/>
  <c r="Q24" i="11"/>
  <c r="J24" i="11"/>
  <c r="T24" i="11"/>
  <c r="U24" i="11"/>
  <c r="K24" i="11"/>
  <c r="G24" i="11"/>
  <c r="N24" i="11"/>
  <c r="F24" i="11"/>
  <c r="M24" i="11"/>
  <c r="B24" i="11"/>
  <c r="O24" i="11"/>
  <c r="H24" i="11"/>
  <c r="R24" i="11"/>
  <c r="S24" i="11"/>
  <c r="A25" i="11"/>
  <c r="I24" i="11"/>
  <c r="P24" i="11"/>
  <c r="E24" i="11"/>
  <c r="D24" i="11"/>
  <c r="C24" i="11"/>
  <c r="L24" i="11"/>
  <c r="AG24" i="11"/>
  <c r="C26" i="10"/>
  <c r="E26" i="10"/>
  <c r="B26" i="10"/>
  <c r="F26" i="10"/>
  <c r="H26" i="10"/>
  <c r="D26" i="10"/>
  <c r="L26" i="10"/>
  <c r="I26" i="10"/>
  <c r="A27" i="10"/>
  <c r="K26" i="10"/>
  <c r="M26" i="10"/>
  <c r="P26" i="10"/>
  <c r="G26" i="10"/>
  <c r="J26" i="10"/>
  <c r="D1625" i="17"/>
  <c r="W42" i="4"/>
  <c r="AI42" i="4"/>
  <c r="BI37" i="27"/>
  <c r="BJ37" i="27"/>
  <c r="BK37" i="27"/>
  <c r="CG37" i="27"/>
  <c r="CH37" i="27"/>
  <c r="CI37" i="27"/>
  <c r="BO37" i="27"/>
  <c r="BP37" i="27"/>
  <c r="BQ37" i="27"/>
  <c r="BU37" i="27"/>
  <c r="BV37" i="27"/>
  <c r="BW37" i="27"/>
  <c r="AW37" i="27"/>
  <c r="AX37" i="27"/>
  <c r="AY37" i="27"/>
  <c r="AQ37" i="27"/>
  <c r="AR37" i="27"/>
  <c r="AS37" i="27"/>
  <c r="M37" i="27"/>
  <c r="N37" i="27"/>
  <c r="O37" i="27"/>
  <c r="BC37" i="27"/>
  <c r="BD37" i="27"/>
  <c r="BE37" i="27"/>
  <c r="AE37" i="27"/>
  <c r="AF37" i="27"/>
  <c r="AG37" i="27"/>
  <c r="Y37" i="27"/>
  <c r="Z37" i="27"/>
  <c r="AA37" i="27"/>
  <c r="AK37" i="27"/>
  <c r="AL37" i="27"/>
  <c r="AM37" i="27"/>
  <c r="S37" i="27"/>
  <c r="T37" i="27"/>
  <c r="U37" i="27"/>
  <c r="D1669" i="17"/>
  <c r="G37" i="27"/>
  <c r="H37" i="27"/>
  <c r="I37" i="27"/>
  <c r="C38" i="27"/>
  <c r="AE38" i="27"/>
  <c r="AF38" i="27"/>
  <c r="AG38" i="27"/>
  <c r="F46" i="2"/>
  <c r="I46" i="2"/>
  <c r="J46" i="2"/>
  <c r="A47" i="2"/>
  <c r="H46" i="2"/>
  <c r="D46" i="2"/>
  <c r="G46" i="2"/>
  <c r="C46" i="2"/>
  <c r="K46" i="2"/>
  <c r="N46" i="2"/>
  <c r="E46" i="2"/>
  <c r="B46" i="2"/>
  <c r="V43" i="4"/>
  <c r="Y41" i="4"/>
  <c r="D1583" i="17"/>
  <c r="D1581" i="17"/>
  <c r="J44" i="4"/>
  <c r="D1708" i="17"/>
  <c r="R44" i="4"/>
  <c r="S44" i="4"/>
  <c r="K44" i="4"/>
  <c r="D1709" i="17"/>
  <c r="D44" i="4"/>
  <c r="M44" i="4"/>
  <c r="D1711" i="17"/>
  <c r="U44" i="4"/>
  <c r="H44" i="4"/>
  <c r="D1706" i="17"/>
  <c r="P44" i="4"/>
  <c r="D1714" i="17"/>
  <c r="Q44" i="4"/>
  <c r="D1715" i="17"/>
  <c r="A45" i="4"/>
  <c r="B44" i="4"/>
  <c r="N44" i="4"/>
  <c r="D1712" i="17"/>
  <c r="C44" i="4"/>
  <c r="O44" i="4"/>
  <c r="D1713" i="17"/>
  <c r="AG44" i="4"/>
  <c r="F44" i="4"/>
  <c r="L44" i="4"/>
  <c r="D1710" i="17"/>
  <c r="T44" i="4"/>
  <c r="D1717" i="17"/>
  <c r="G44" i="4"/>
  <c r="D1705" i="17"/>
  <c r="E44" i="4"/>
  <c r="I44" i="4"/>
  <c r="D1707" i="17"/>
  <c r="E39" i="27"/>
  <c r="F39" i="27"/>
  <c r="B40" i="27"/>
  <c r="D39" i="27"/>
  <c r="D1702" i="17"/>
  <c r="E1787" i="17"/>
  <c r="D1723" i="17"/>
  <c r="D1718" i="17"/>
  <c r="A1727" i="17"/>
  <c r="A1730" i="17"/>
  <c r="A1729" i="17"/>
  <c r="C1702" i="17"/>
  <c r="A1728" i="17"/>
  <c r="C1701" i="17"/>
  <c r="W47" i="8"/>
  <c r="X46" i="8"/>
  <c r="Y46" i="8"/>
  <c r="AI41" i="4"/>
  <c r="V24" i="18"/>
  <c r="AB24" i="18"/>
  <c r="DO19" i="24"/>
  <c r="BY19" i="24"/>
  <c r="BZ19" i="24"/>
  <c r="BO19" i="24"/>
  <c r="BP19" i="24"/>
  <c r="CY19" i="24"/>
  <c r="DW19" i="24"/>
  <c r="DX19" i="24"/>
  <c r="AK19" i="24"/>
  <c r="AL19" i="24"/>
  <c r="AQ19" i="24"/>
  <c r="AG19" i="24"/>
  <c r="EM19" i="24"/>
  <c r="G19" i="24"/>
  <c r="H19" i="24"/>
  <c r="AD19" i="24"/>
  <c r="BE19" i="24"/>
  <c r="BF19" i="24"/>
  <c r="BU19" i="24"/>
  <c r="CI19" i="24"/>
  <c r="CJ19" i="24"/>
  <c r="BK19" i="24"/>
  <c r="DY19" i="24"/>
  <c r="DE19" i="24"/>
  <c r="CS19" i="24"/>
  <c r="CT19" i="24"/>
  <c r="AM19" i="24"/>
  <c r="AN19" i="24"/>
  <c r="CB19" i="24"/>
  <c r="BR19" i="24"/>
  <c r="CV19" i="24"/>
  <c r="EC19" i="24"/>
  <c r="CU19" i="24"/>
  <c r="CE19" i="24"/>
  <c r="CK19" i="24"/>
  <c r="I19" i="24"/>
  <c r="CO19" i="24"/>
  <c r="EI19" i="24"/>
  <c r="DS19" i="24"/>
  <c r="EG19" i="24"/>
  <c r="EH19" i="24"/>
  <c r="CA19" i="24"/>
  <c r="DF19" i="24"/>
  <c r="M19" i="24"/>
  <c r="W19" i="24"/>
  <c r="T19" i="24"/>
  <c r="AW19" i="24"/>
  <c r="DM19" i="24"/>
  <c r="DN19" i="24"/>
  <c r="DP19" i="24"/>
  <c r="BH19" i="24"/>
  <c r="DC19" i="24"/>
  <c r="DD19" i="24"/>
  <c r="J19" i="24"/>
  <c r="Q19" i="24"/>
  <c r="R19" i="24"/>
  <c r="AC19" i="24"/>
  <c r="AX19" i="24"/>
  <c r="BA19" i="24"/>
  <c r="DI19" i="24"/>
  <c r="BQ19" i="24"/>
  <c r="CL19" i="24"/>
  <c r="DZ19" i="24"/>
  <c r="BG19" i="24"/>
  <c r="S19" i="24"/>
  <c r="AA19" i="24"/>
  <c r="AB19" i="24"/>
  <c r="AU19" i="24"/>
  <c r="AV19" i="24"/>
  <c r="EJ19" i="24"/>
  <c r="L163" i="21"/>
  <c r="E749" i="20"/>
  <c r="H27" i="10"/>
  <c r="F27" i="10"/>
  <c r="D27" i="10"/>
  <c r="E27" i="10"/>
  <c r="K27" i="10"/>
  <c r="C27" i="10"/>
  <c r="A28" i="10"/>
  <c r="L27" i="10"/>
  <c r="M27" i="10"/>
  <c r="P27" i="10"/>
  <c r="G27" i="10"/>
  <c r="B27" i="10"/>
  <c r="J27" i="10"/>
  <c r="I27" i="10"/>
  <c r="U25" i="11"/>
  <c r="E25" i="11"/>
  <c r="P25" i="11"/>
  <c r="T25" i="11"/>
  <c r="B25" i="11"/>
  <c r="R25" i="11"/>
  <c r="S25" i="11"/>
  <c r="C25" i="11"/>
  <c r="N25" i="11"/>
  <c r="O25" i="11"/>
  <c r="Q25" i="11"/>
  <c r="AG25" i="11"/>
  <c r="I25" i="11"/>
  <c r="L25" i="11"/>
  <c r="K25" i="11"/>
  <c r="D25" i="11"/>
  <c r="H25" i="11"/>
  <c r="A26" i="11"/>
  <c r="G25" i="11"/>
  <c r="J25" i="11"/>
  <c r="F25" i="11"/>
  <c r="M25" i="11"/>
  <c r="F502" i="25"/>
  <c r="B552" i="25"/>
  <c r="B21" i="24"/>
  <c r="E20" i="24"/>
  <c r="D20" i="24"/>
  <c r="D501" i="25"/>
  <c r="F20" i="24"/>
  <c r="D502" i="25"/>
  <c r="Q133" i="21"/>
  <c r="D657" i="20"/>
  <c r="K17" i="24"/>
  <c r="L17" i="24"/>
  <c r="D418" i="25"/>
  <c r="C418" i="25"/>
  <c r="EK17" i="24"/>
  <c r="EL17" i="24"/>
  <c r="D431" i="25"/>
  <c r="C431" i="25"/>
  <c r="ED17" i="24"/>
  <c r="EE17" i="24"/>
  <c r="F430" i="25"/>
  <c r="E430" i="25"/>
  <c r="EN17" i="24"/>
  <c r="EO17" i="24"/>
  <c r="F431" i="25"/>
  <c r="E431" i="25"/>
  <c r="BB17" i="24"/>
  <c r="BC17" i="24"/>
  <c r="F422" i="25"/>
  <c r="E422" i="25"/>
  <c r="DQ17" i="24"/>
  <c r="DR17" i="24"/>
  <c r="D429" i="25"/>
  <c r="C429" i="25"/>
  <c r="CW17" i="24"/>
  <c r="CX17" i="24"/>
  <c r="D427" i="25"/>
  <c r="C427" i="25"/>
  <c r="U17" i="24"/>
  <c r="V17" i="24"/>
  <c r="D419" i="25"/>
  <c r="C419" i="25"/>
  <c r="X17" i="24"/>
  <c r="Y17" i="24"/>
  <c r="F419" i="25"/>
  <c r="E419" i="25"/>
  <c r="D615" i="20"/>
  <c r="K136" i="21"/>
  <c r="EN18" i="24"/>
  <c r="EO18" i="24"/>
  <c r="F460" i="25"/>
  <c r="E460" i="25"/>
  <c r="CM18" i="24"/>
  <c r="CN18" i="24"/>
  <c r="D455" i="25"/>
  <c r="C455" i="25"/>
  <c r="CW18" i="24"/>
  <c r="CX18" i="24"/>
  <c r="D456" i="25"/>
  <c r="C456" i="25"/>
  <c r="CC18" i="24"/>
  <c r="CD18" i="24"/>
  <c r="D454" i="25"/>
  <c r="C454" i="25"/>
  <c r="AR18" i="24"/>
  <c r="AS18" i="24"/>
  <c r="F450" i="25"/>
  <c r="E450" i="25"/>
  <c r="AE18" i="24"/>
  <c r="AF18" i="24"/>
  <c r="D449" i="25"/>
  <c r="C449" i="25"/>
  <c r="DJ18" i="24"/>
  <c r="DK18" i="24"/>
  <c r="F457" i="25"/>
  <c r="E457" i="25"/>
  <c r="ED18" i="24"/>
  <c r="EE18" i="24"/>
  <c r="F459" i="25"/>
  <c r="E459" i="25"/>
  <c r="W24" i="18"/>
  <c r="E774" i="20"/>
  <c r="A799" i="20"/>
  <c r="A800" i="20"/>
  <c r="A798" i="20"/>
  <c r="C774" i="20"/>
  <c r="C773" i="20"/>
  <c r="F856" i="20"/>
  <c r="A801" i="20"/>
  <c r="E657" i="20"/>
  <c r="R133" i="21"/>
  <c r="AR17" i="24"/>
  <c r="AS17" i="24"/>
  <c r="F421" i="25"/>
  <c r="E421" i="25"/>
  <c r="BL17" i="24"/>
  <c r="BM17" i="24"/>
  <c r="F423" i="25"/>
  <c r="E423" i="25"/>
  <c r="DT17" i="24"/>
  <c r="DU17" i="24"/>
  <c r="F429" i="25"/>
  <c r="E429" i="25"/>
  <c r="CZ17" i="24"/>
  <c r="DA17" i="24"/>
  <c r="F427" i="25"/>
  <c r="E427" i="25"/>
  <c r="CF17" i="24"/>
  <c r="CG17" i="24"/>
  <c r="F425" i="25"/>
  <c r="E425" i="25"/>
  <c r="AV25" i="13"/>
  <c r="Y26" i="13"/>
  <c r="C785" i="20"/>
  <c r="D26" i="13"/>
  <c r="C778" i="20"/>
  <c r="AO26" i="13"/>
  <c r="D790" i="20"/>
  <c r="AG26" i="13"/>
  <c r="E787" i="20"/>
  <c r="AF26" i="13"/>
  <c r="D787" i="20"/>
  <c r="R26" i="13"/>
  <c r="E782" i="20"/>
  <c r="B26" i="13"/>
  <c r="G26" i="13"/>
  <c r="C779" i="20"/>
  <c r="S26" i="13"/>
  <c r="C783" i="20"/>
  <c r="AI26" i="13"/>
  <c r="D788" i="20"/>
  <c r="U26" i="13"/>
  <c r="E783" i="20"/>
  <c r="C26" i="13"/>
  <c r="AB26" i="13"/>
  <c r="C786" i="20"/>
  <c r="AR26" i="13"/>
  <c r="D791" i="20"/>
  <c r="BL26" i="13"/>
  <c r="X26" i="13"/>
  <c r="E784" i="20"/>
  <c r="J26" i="13"/>
  <c r="C780" i="20"/>
  <c r="N26" i="13"/>
  <c r="D781" i="20"/>
  <c r="E26" i="13"/>
  <c r="D778" i="20"/>
  <c r="M26" i="13"/>
  <c r="C781" i="20"/>
  <c r="Q26" i="13"/>
  <c r="D782" i="20"/>
  <c r="AK26" i="13"/>
  <c r="C789" i="20"/>
  <c r="I26" i="13"/>
  <c r="E779" i="20"/>
  <c r="P26" i="13"/>
  <c r="C782" i="20"/>
  <c r="AJ26" i="13"/>
  <c r="E788" i="20"/>
  <c r="L26" i="13"/>
  <c r="E780" i="20"/>
  <c r="K26" i="13"/>
  <c r="D780" i="20"/>
  <c r="T26" i="13"/>
  <c r="D783" i="20"/>
  <c r="Z26" i="13"/>
  <c r="D785" i="20"/>
  <c r="AH26" i="13"/>
  <c r="C788" i="20"/>
  <c r="AN26" i="13"/>
  <c r="C790" i="20"/>
  <c r="AQ26" i="13"/>
  <c r="C791" i="20"/>
  <c r="W26" i="13"/>
  <c r="D784" i="20"/>
  <c r="F26" i="13"/>
  <c r="E778" i="20"/>
  <c r="AE26" i="13"/>
  <c r="C787" i="20"/>
  <c r="V26" i="13"/>
  <c r="C784" i="20"/>
  <c r="AD26" i="13"/>
  <c r="E786" i="20"/>
  <c r="H26" i="13"/>
  <c r="D779" i="20"/>
  <c r="A27" i="13"/>
  <c r="AM26" i="13"/>
  <c r="E789" i="20"/>
  <c r="AL26" i="13"/>
  <c r="D789" i="20"/>
  <c r="O26" i="13"/>
  <c r="E781" i="20"/>
  <c r="AC26" i="13"/>
  <c r="D786" i="20"/>
  <c r="AP26" i="13"/>
  <c r="E790" i="20"/>
  <c r="AA26" i="13"/>
  <c r="E785" i="20"/>
  <c r="BA26" i="13"/>
  <c r="D794" i="20"/>
  <c r="AS26" i="13"/>
  <c r="E791" i="20"/>
  <c r="AY18" i="24"/>
  <c r="AZ18" i="24"/>
  <c r="D451" i="25"/>
  <c r="C451" i="25"/>
  <c r="CF18" i="24"/>
  <c r="CG18" i="24"/>
  <c r="F454" i="25"/>
  <c r="E454" i="25"/>
  <c r="DG18" i="24"/>
  <c r="DH18" i="24"/>
  <c r="D457" i="25"/>
  <c r="C457" i="25"/>
  <c r="CZ18" i="24"/>
  <c r="DA18" i="24"/>
  <c r="F456" i="25"/>
  <c r="E456" i="25"/>
  <c r="U18" i="24"/>
  <c r="V18" i="24"/>
  <c r="D448" i="25"/>
  <c r="C448" i="25"/>
  <c r="DQ18" i="24"/>
  <c r="DR18" i="24"/>
  <c r="D458" i="25"/>
  <c r="C458" i="25"/>
  <c r="BB18" i="24"/>
  <c r="BC18" i="24"/>
  <c r="F451" i="25"/>
  <c r="E451" i="25"/>
  <c r="DT18" i="24"/>
  <c r="DU18" i="24"/>
  <c r="F458" i="25"/>
  <c r="E458" i="25"/>
  <c r="V24" i="11"/>
  <c r="O25" i="18"/>
  <c r="K25" i="18"/>
  <c r="J25" i="18"/>
  <c r="H25" i="18"/>
  <c r="A26" i="18"/>
  <c r="C25" i="18"/>
  <c r="B25" i="18"/>
  <c r="D25" i="18"/>
  <c r="G25" i="18"/>
  <c r="P25" i="18"/>
  <c r="N25" i="18"/>
  <c r="M25" i="18"/>
  <c r="U25" i="18"/>
  <c r="R25" i="18"/>
  <c r="S25" i="18"/>
  <c r="Q25" i="18"/>
  <c r="F25" i="18"/>
  <c r="E25" i="18"/>
  <c r="L25" i="18"/>
  <c r="T25" i="18"/>
  <c r="I25" i="18"/>
  <c r="AG25" i="18"/>
  <c r="W23" i="11"/>
  <c r="AA23" i="11"/>
  <c r="CP17" i="24"/>
  <c r="CQ17" i="24"/>
  <c r="F426" i="25"/>
  <c r="E426" i="25"/>
  <c r="EA17" i="24"/>
  <c r="EB17" i="24"/>
  <c r="D430" i="25"/>
  <c r="C430" i="25"/>
  <c r="CC17" i="24"/>
  <c r="CD17" i="24"/>
  <c r="D425" i="25"/>
  <c r="C425" i="25"/>
  <c r="DJ17" i="24"/>
  <c r="DK17" i="24"/>
  <c r="F428" i="25"/>
  <c r="E428" i="25"/>
  <c r="N17" i="24"/>
  <c r="O17" i="24"/>
  <c r="F418" i="25"/>
  <c r="E418" i="25"/>
  <c r="BS17" i="24"/>
  <c r="BT17" i="24"/>
  <c r="D424" i="25"/>
  <c r="C424" i="25"/>
  <c r="W23" i="18"/>
  <c r="AH23" i="18"/>
  <c r="AB23" i="18"/>
  <c r="AV24" i="13"/>
  <c r="BA25" i="13"/>
  <c r="AY25" i="13"/>
  <c r="X18" i="24"/>
  <c r="Y18" i="24"/>
  <c r="F448" i="25"/>
  <c r="E448" i="25"/>
  <c r="EK18" i="24"/>
  <c r="EL18" i="24"/>
  <c r="D460" i="25"/>
  <c r="C460" i="25"/>
  <c r="BL18" i="24"/>
  <c r="BM18" i="24"/>
  <c r="F452" i="25"/>
  <c r="E452" i="25"/>
  <c r="BS18" i="24"/>
  <c r="BT18" i="24"/>
  <c r="D453" i="25"/>
  <c r="C453" i="25"/>
  <c r="K18" i="24"/>
  <c r="L18" i="24"/>
  <c r="D447" i="25"/>
  <c r="C447" i="25"/>
  <c r="CP18" i="24"/>
  <c r="CQ18" i="24"/>
  <c r="F455" i="25"/>
  <c r="E455" i="25"/>
  <c r="BV18" i="24"/>
  <c r="BW18" i="24"/>
  <c r="F453" i="25"/>
  <c r="E453" i="25"/>
  <c r="BI18" i="24"/>
  <c r="BJ18" i="24"/>
  <c r="D452" i="25"/>
  <c r="C452" i="25"/>
  <c r="EA18" i="24"/>
  <c r="EB18" i="24"/>
  <c r="D459" i="25"/>
  <c r="C459" i="25"/>
  <c r="AH18" i="24"/>
  <c r="AI18" i="24"/>
  <c r="F449" i="25"/>
  <c r="E449" i="25"/>
  <c r="E161" i="21"/>
  <c r="D702" i="20"/>
  <c r="AI22" i="11"/>
  <c r="Y22" i="11"/>
  <c r="BF23" i="13"/>
  <c r="AX23" i="13"/>
  <c r="AI22" i="18"/>
  <c r="Y22" i="18"/>
  <c r="BC23" i="13"/>
  <c r="AY23" i="13"/>
  <c r="AE17" i="24"/>
  <c r="AF17" i="24"/>
  <c r="D420" i="25"/>
  <c r="C420" i="25"/>
  <c r="DG17" i="24"/>
  <c r="DH17" i="24"/>
  <c r="D428" i="25"/>
  <c r="C428" i="25"/>
  <c r="BI17" i="24"/>
  <c r="BJ17" i="24"/>
  <c r="D423" i="25"/>
  <c r="C423" i="25"/>
  <c r="AH17" i="24"/>
  <c r="AI17" i="24"/>
  <c r="F420" i="25"/>
  <c r="E420" i="25"/>
  <c r="CM17" i="24"/>
  <c r="CN17" i="24"/>
  <c r="D426" i="25"/>
  <c r="C426" i="25"/>
  <c r="AO17" i="24"/>
  <c r="AP17" i="24"/>
  <c r="D421" i="25"/>
  <c r="C421" i="25"/>
  <c r="AY17" i="24"/>
  <c r="AZ17" i="24"/>
  <c r="D422" i="25"/>
  <c r="C422" i="25"/>
  <c r="BV17" i="24"/>
  <c r="BW17" i="24"/>
  <c r="F424" i="25"/>
  <c r="E424" i="25"/>
  <c r="K134" i="21"/>
  <c r="D613" i="20"/>
  <c r="Q152" i="21"/>
  <c r="P156" i="21"/>
  <c r="N169" i="21"/>
  <c r="R151" i="21"/>
  <c r="P154" i="21"/>
  <c r="P150" i="21"/>
  <c r="N167" i="21"/>
  <c r="Q159" i="21"/>
  <c r="P149" i="21"/>
  <c r="R149" i="21"/>
  <c r="Q149" i="21"/>
  <c r="Q155" i="21"/>
  <c r="R147" i="21"/>
  <c r="Q148" i="21"/>
  <c r="N168" i="21"/>
  <c r="P147" i="21"/>
  <c r="P159" i="21"/>
  <c r="Q154" i="21"/>
  <c r="R157" i="21"/>
  <c r="Q156" i="21"/>
  <c r="R152" i="21"/>
  <c r="P151" i="21"/>
  <c r="B173" i="21"/>
  <c r="P155" i="21"/>
  <c r="Q157" i="21"/>
  <c r="P153" i="21"/>
  <c r="R160" i="21"/>
  <c r="P152" i="21"/>
  <c r="P158" i="21"/>
  <c r="R154" i="21"/>
  <c r="N145" i="21"/>
  <c r="R153" i="21"/>
  <c r="O144" i="21"/>
  <c r="R156" i="21"/>
  <c r="Q163" i="21"/>
  <c r="R155" i="21"/>
  <c r="R150" i="21"/>
  <c r="Q153" i="21"/>
  <c r="R159" i="21"/>
  <c r="Q147" i="21"/>
  <c r="Q160" i="21"/>
  <c r="P160" i="21"/>
  <c r="P148" i="21"/>
  <c r="R158" i="21"/>
  <c r="Q151" i="21"/>
  <c r="Q158" i="21"/>
  <c r="Q145" i="21"/>
  <c r="P157" i="21"/>
  <c r="N166" i="21"/>
  <c r="Q150" i="21"/>
  <c r="R148" i="21"/>
  <c r="AO18" i="24"/>
  <c r="AP18" i="24"/>
  <c r="D450" i="25"/>
  <c r="C450" i="25"/>
  <c r="N18" i="24"/>
  <c r="O18" i="24"/>
  <c r="F447" i="25"/>
  <c r="E447" i="25"/>
  <c r="AH42" i="4"/>
  <c r="Y42" i="4"/>
  <c r="D1630" i="17"/>
  <c r="D1628" i="17"/>
  <c r="D1716" i="17"/>
  <c r="BU38" i="27"/>
  <c r="BV38" i="27"/>
  <c r="BW38" i="27"/>
  <c r="Y38" i="27"/>
  <c r="Z38" i="27"/>
  <c r="AA38" i="27"/>
  <c r="CA38" i="27"/>
  <c r="CB38" i="27"/>
  <c r="CC38" i="27"/>
  <c r="AK38" i="27"/>
  <c r="AL38" i="27"/>
  <c r="AM38" i="27"/>
  <c r="M38" i="27"/>
  <c r="N38" i="27"/>
  <c r="O38" i="27"/>
  <c r="S38" i="27"/>
  <c r="T38" i="27"/>
  <c r="U38" i="27"/>
  <c r="C39" i="27"/>
  <c r="BU39" i="27"/>
  <c r="BV39" i="27"/>
  <c r="BW39" i="27"/>
  <c r="BO38" i="27"/>
  <c r="BP38" i="27"/>
  <c r="BQ38" i="27"/>
  <c r="AQ38" i="27"/>
  <c r="AR38" i="27"/>
  <c r="AS38" i="27"/>
  <c r="BI38" i="27"/>
  <c r="BJ38" i="27"/>
  <c r="BK38" i="27"/>
  <c r="BC38" i="27"/>
  <c r="BD38" i="27"/>
  <c r="BE38" i="27"/>
  <c r="AW38" i="27"/>
  <c r="AX38" i="27"/>
  <c r="AY38" i="27"/>
  <c r="G38" i="27"/>
  <c r="H38" i="27"/>
  <c r="I38" i="27"/>
  <c r="CG38" i="27"/>
  <c r="CH38" i="27"/>
  <c r="CI38" i="27"/>
  <c r="Y39" i="27"/>
  <c r="Z39" i="27"/>
  <c r="AA39" i="27"/>
  <c r="X47" i="8"/>
  <c r="Y47" i="8"/>
  <c r="W48" i="8"/>
  <c r="J45" i="4"/>
  <c r="C45" i="4"/>
  <c r="O45" i="4"/>
  <c r="D45" i="4"/>
  <c r="P45" i="4"/>
  <c r="I45" i="4"/>
  <c r="Q45" i="4"/>
  <c r="AG45" i="4"/>
  <c r="G45" i="4"/>
  <c r="H45" i="4"/>
  <c r="E45" i="4"/>
  <c r="B45" i="4"/>
  <c r="N45" i="4"/>
  <c r="K45" i="4"/>
  <c r="T45" i="4"/>
  <c r="L45" i="4"/>
  <c r="U45" i="4"/>
  <c r="M45" i="4"/>
  <c r="R45" i="4"/>
  <c r="S45" i="4"/>
  <c r="AA45" i="4"/>
  <c r="Y45" i="4"/>
  <c r="A46" i="4"/>
  <c r="F45" i="4"/>
  <c r="W43" i="4"/>
  <c r="AI43" i="4"/>
  <c r="D1672" i="17"/>
  <c r="B47" i="2"/>
  <c r="J47" i="2"/>
  <c r="C47" i="2"/>
  <c r="H47" i="2"/>
  <c r="F47" i="2"/>
  <c r="D47" i="2"/>
  <c r="G47" i="2"/>
  <c r="I47" i="2"/>
  <c r="K47" i="2"/>
  <c r="N47" i="2"/>
  <c r="A48" i="2"/>
  <c r="E47" i="2"/>
  <c r="G39" i="27"/>
  <c r="H39" i="27"/>
  <c r="I39" i="27"/>
  <c r="V44" i="4"/>
  <c r="A1774" i="17"/>
  <c r="C1749" i="17"/>
  <c r="D1755" i="17"/>
  <c r="D1760" i="17"/>
  <c r="D1761" i="17"/>
  <c r="D1754" i="17"/>
  <c r="D1762" i="17"/>
  <c r="D1749" i="17"/>
  <c r="A1776" i="17"/>
  <c r="D1770" i="17"/>
  <c r="C1748" i="17"/>
  <c r="A1775" i="17"/>
  <c r="D1763" i="17"/>
  <c r="D1752" i="17"/>
  <c r="D1766" i="17"/>
  <c r="D1759" i="17"/>
  <c r="D1765" i="17"/>
  <c r="E1834" i="17"/>
  <c r="D1771" i="17"/>
  <c r="D1756" i="17"/>
  <c r="D1758" i="17"/>
  <c r="A1777" i="17"/>
  <c r="D1769" i="17"/>
  <c r="D1753" i="17"/>
  <c r="D1764" i="17"/>
  <c r="D1757" i="17"/>
  <c r="D40" i="27"/>
  <c r="B41" i="27"/>
  <c r="E40" i="27"/>
  <c r="F40" i="27"/>
  <c r="C40" i="27"/>
  <c r="G40" i="27"/>
  <c r="H40" i="27"/>
  <c r="I40" i="27"/>
  <c r="AE40" i="27"/>
  <c r="AF40" i="27"/>
  <c r="AG40" i="27"/>
  <c r="BC40" i="27"/>
  <c r="BD40" i="27"/>
  <c r="BE40" i="27"/>
  <c r="Y40" i="27"/>
  <c r="Z40" i="27"/>
  <c r="AA40" i="27"/>
  <c r="AW40" i="27"/>
  <c r="AX40" i="27"/>
  <c r="AY40" i="27"/>
  <c r="BU40" i="27"/>
  <c r="BV40" i="27"/>
  <c r="BW40" i="27"/>
  <c r="AQ40" i="27"/>
  <c r="AR40" i="27"/>
  <c r="AS40" i="27"/>
  <c r="M40" i="27"/>
  <c r="N40" i="27"/>
  <c r="O40" i="27"/>
  <c r="BI40" i="27"/>
  <c r="BJ40" i="27"/>
  <c r="BK40" i="27"/>
  <c r="CA40" i="27"/>
  <c r="CB40" i="27"/>
  <c r="CC40" i="27"/>
  <c r="BO40" i="27"/>
  <c r="BP40" i="27"/>
  <c r="BQ40" i="27"/>
  <c r="AK40" i="27"/>
  <c r="AL40" i="27"/>
  <c r="AM40" i="27"/>
  <c r="CG40" i="27"/>
  <c r="CH40" i="27"/>
  <c r="CI40" i="27"/>
  <c r="S40" i="27"/>
  <c r="T40" i="27"/>
  <c r="U40" i="27"/>
  <c r="V25" i="11"/>
  <c r="AU26" i="13"/>
  <c r="E658" i="20"/>
  <c r="R134" i="21"/>
  <c r="Q136" i="21"/>
  <c r="D660" i="20"/>
  <c r="L162" i="21"/>
  <c r="E748" i="20"/>
  <c r="AI23" i="11"/>
  <c r="Y23" i="11"/>
  <c r="BF24" i="13"/>
  <c r="AX24" i="13"/>
  <c r="W24" i="11"/>
  <c r="AH24" i="11"/>
  <c r="AA24" i="11"/>
  <c r="AI24" i="18"/>
  <c r="Y24" i="18"/>
  <c r="BC25" i="13"/>
  <c r="C20" i="24"/>
  <c r="W25" i="11"/>
  <c r="AH25" i="11"/>
  <c r="EA19" i="24"/>
  <c r="EB19" i="24"/>
  <c r="D488" i="25"/>
  <c r="C488" i="25"/>
  <c r="BB19" i="24"/>
  <c r="BC19" i="24"/>
  <c r="F480" i="25"/>
  <c r="E480" i="25"/>
  <c r="K19" i="24"/>
  <c r="L19" i="24"/>
  <c r="D476" i="25"/>
  <c r="C476" i="25"/>
  <c r="N19" i="24"/>
  <c r="O19" i="24"/>
  <c r="F476" i="25"/>
  <c r="E476" i="25"/>
  <c r="DT19" i="24"/>
  <c r="DU19" i="24"/>
  <c r="F487" i="25"/>
  <c r="E487" i="25"/>
  <c r="CW19" i="24"/>
  <c r="CX19" i="24"/>
  <c r="D485" i="25"/>
  <c r="C485" i="25"/>
  <c r="BL19" i="24"/>
  <c r="BM19" i="24"/>
  <c r="F481" i="25"/>
  <c r="E481" i="25"/>
  <c r="AE19" i="24"/>
  <c r="AF19" i="24"/>
  <c r="D478" i="25"/>
  <c r="C478" i="25"/>
  <c r="AR19" i="24"/>
  <c r="AS19" i="24"/>
  <c r="F479" i="25"/>
  <c r="E479" i="25"/>
  <c r="E660" i="20"/>
  <c r="R136" i="21"/>
  <c r="D749" i="20"/>
  <c r="K163" i="21"/>
  <c r="AI23" i="18"/>
  <c r="AY24" i="13"/>
  <c r="Y23" i="18"/>
  <c r="BC24" i="13"/>
  <c r="BB26" i="13"/>
  <c r="H27" i="13"/>
  <c r="AS27" i="13"/>
  <c r="N27" i="13"/>
  <c r="AA27" i="13"/>
  <c r="J27" i="13"/>
  <c r="O27" i="13"/>
  <c r="AO27" i="13"/>
  <c r="BL27" i="13"/>
  <c r="AC27" i="13"/>
  <c r="AL27" i="13"/>
  <c r="I27" i="13"/>
  <c r="Y27" i="13"/>
  <c r="W27" i="13"/>
  <c r="AI27" i="13"/>
  <c r="AB27" i="13"/>
  <c r="B27" i="13"/>
  <c r="F27" i="13"/>
  <c r="K27" i="13"/>
  <c r="L27" i="13"/>
  <c r="T27" i="13"/>
  <c r="Q27" i="13"/>
  <c r="AP27" i="13"/>
  <c r="D27" i="13"/>
  <c r="AM27" i="13"/>
  <c r="C27" i="13"/>
  <c r="G27" i="13"/>
  <c r="AG27" i="13"/>
  <c r="Z27" i="13"/>
  <c r="AN27" i="13"/>
  <c r="AQ27" i="13"/>
  <c r="M27" i="13"/>
  <c r="X27" i="13"/>
  <c r="P27" i="13"/>
  <c r="AJ27" i="13"/>
  <c r="AF27" i="13"/>
  <c r="S27" i="13"/>
  <c r="AK27" i="13"/>
  <c r="R27" i="13"/>
  <c r="E27" i="13"/>
  <c r="V27" i="13"/>
  <c r="AD27" i="13"/>
  <c r="AR27" i="13"/>
  <c r="A28" i="13"/>
  <c r="U27" i="13"/>
  <c r="AH27" i="13"/>
  <c r="AE27" i="13"/>
  <c r="CM19" i="24"/>
  <c r="CN19" i="24"/>
  <c r="D484" i="25"/>
  <c r="C484" i="25"/>
  <c r="AY19" i="24"/>
  <c r="AZ19" i="24"/>
  <c r="D480" i="25"/>
  <c r="C480" i="25"/>
  <c r="DG19" i="24"/>
  <c r="DH19" i="24"/>
  <c r="D486" i="25"/>
  <c r="C486" i="25"/>
  <c r="CF19" i="24"/>
  <c r="CG19" i="24"/>
  <c r="F483" i="25"/>
  <c r="E483" i="25"/>
  <c r="BS19" i="24"/>
  <c r="BT19" i="24"/>
  <c r="D482" i="25"/>
  <c r="C482" i="25"/>
  <c r="F161" i="21"/>
  <c r="E702" i="20"/>
  <c r="V25" i="18"/>
  <c r="AV26" i="13"/>
  <c r="L161" i="21"/>
  <c r="E747" i="20"/>
  <c r="C836" i="20"/>
  <c r="D833" i="20"/>
  <c r="C833" i="20"/>
  <c r="E832" i="20"/>
  <c r="C829" i="20"/>
  <c r="A846" i="20"/>
  <c r="D824" i="20"/>
  <c r="C824" i="20"/>
  <c r="E833" i="20"/>
  <c r="C827" i="20"/>
  <c r="D826" i="20"/>
  <c r="F901" i="20"/>
  <c r="A843" i="20"/>
  <c r="E829" i="20"/>
  <c r="C834" i="20"/>
  <c r="A845" i="20"/>
  <c r="C831" i="20"/>
  <c r="C832" i="20"/>
  <c r="E826" i="20"/>
  <c r="E828" i="20"/>
  <c r="C826" i="20"/>
  <c r="E834" i="20"/>
  <c r="C823" i="20"/>
  <c r="D835" i="20"/>
  <c r="E830" i="20"/>
  <c r="D829" i="20"/>
  <c r="E827" i="20"/>
  <c r="C828" i="20"/>
  <c r="E825" i="20"/>
  <c r="E835" i="20"/>
  <c r="D836" i="20"/>
  <c r="D831" i="20"/>
  <c r="E831" i="20"/>
  <c r="D825" i="20"/>
  <c r="D830" i="20"/>
  <c r="E836" i="20"/>
  <c r="D834" i="20"/>
  <c r="C830" i="20"/>
  <c r="C818" i="20"/>
  <c r="D823" i="20"/>
  <c r="D827" i="20"/>
  <c r="E823" i="20"/>
  <c r="E819" i="20"/>
  <c r="C835" i="20"/>
  <c r="C825" i="20"/>
  <c r="E824" i="20"/>
  <c r="D832" i="20"/>
  <c r="D828" i="20"/>
  <c r="C819" i="20"/>
  <c r="A844" i="20"/>
  <c r="B22" i="24"/>
  <c r="E21" i="24"/>
  <c r="D21" i="24"/>
  <c r="C21" i="24"/>
  <c r="F21" i="24"/>
  <c r="D531" i="25"/>
  <c r="D530" i="25"/>
  <c r="B581" i="25"/>
  <c r="F531" i="25"/>
  <c r="M26" i="11"/>
  <c r="B26" i="11"/>
  <c r="U26" i="11"/>
  <c r="L26" i="11"/>
  <c r="O26" i="11"/>
  <c r="H26" i="11"/>
  <c r="J26" i="11"/>
  <c r="N26" i="11"/>
  <c r="D26" i="11"/>
  <c r="E26" i="11"/>
  <c r="Q26" i="11"/>
  <c r="C26" i="11"/>
  <c r="G26" i="11"/>
  <c r="F26" i="11"/>
  <c r="AG26" i="11"/>
  <c r="R26" i="11"/>
  <c r="S26" i="11"/>
  <c r="P26" i="11"/>
  <c r="K26" i="11"/>
  <c r="A27" i="11"/>
  <c r="T26" i="11"/>
  <c r="I26" i="11"/>
  <c r="AA25" i="11"/>
  <c r="M28" i="10"/>
  <c r="P28" i="10"/>
  <c r="I28" i="10"/>
  <c r="K28" i="10"/>
  <c r="E28" i="10"/>
  <c r="F28" i="10"/>
  <c r="C28" i="10"/>
  <c r="G28" i="10"/>
  <c r="H28" i="10"/>
  <c r="D28" i="10"/>
  <c r="L28" i="10"/>
  <c r="B28" i="10"/>
  <c r="J28" i="10"/>
  <c r="A29" i="10"/>
  <c r="BI19" i="24"/>
  <c r="BJ19" i="24"/>
  <c r="D481" i="25"/>
  <c r="C481" i="25"/>
  <c r="U19" i="24"/>
  <c r="V19" i="24"/>
  <c r="D477" i="25"/>
  <c r="C477" i="25"/>
  <c r="CP19" i="24"/>
  <c r="CQ19" i="24"/>
  <c r="F484" i="25"/>
  <c r="E484" i="25"/>
  <c r="CC19" i="24"/>
  <c r="CD19" i="24"/>
  <c r="D483" i="25"/>
  <c r="C483" i="25"/>
  <c r="BV19" i="24"/>
  <c r="BW19" i="24"/>
  <c r="F482" i="25"/>
  <c r="E482" i="25"/>
  <c r="EN19" i="24"/>
  <c r="EO19" i="24"/>
  <c r="F489" i="25"/>
  <c r="E489" i="25"/>
  <c r="F188" i="21"/>
  <c r="D176" i="21"/>
  <c r="F186" i="21"/>
  <c r="E177" i="21"/>
  <c r="B195" i="21"/>
  <c r="D184" i="21"/>
  <c r="F176" i="21"/>
  <c r="F177" i="21"/>
  <c r="D183" i="21"/>
  <c r="D187" i="21"/>
  <c r="F187" i="21"/>
  <c r="D186" i="21"/>
  <c r="E189" i="21"/>
  <c r="D182" i="21"/>
  <c r="E186" i="21"/>
  <c r="C173" i="21"/>
  <c r="F184" i="21"/>
  <c r="B196" i="21"/>
  <c r="H173" i="21"/>
  <c r="D181" i="21"/>
  <c r="E183" i="21"/>
  <c r="B174" i="21"/>
  <c r="E179" i="21"/>
  <c r="D189" i="21"/>
  <c r="E176" i="21"/>
  <c r="F189" i="21"/>
  <c r="E178" i="21"/>
  <c r="D180" i="21"/>
  <c r="B198" i="21"/>
  <c r="F182" i="21"/>
  <c r="E188" i="21"/>
  <c r="E185" i="21"/>
  <c r="E187" i="21"/>
  <c r="D178" i="21"/>
  <c r="E182" i="21"/>
  <c r="F183" i="21"/>
  <c r="E181" i="21"/>
  <c r="F181" i="21"/>
  <c r="D177" i="21"/>
  <c r="D185" i="21"/>
  <c r="F180" i="21"/>
  <c r="D188" i="21"/>
  <c r="F185" i="21"/>
  <c r="E174" i="21"/>
  <c r="F179" i="21"/>
  <c r="B197" i="21"/>
  <c r="D179" i="21"/>
  <c r="F178" i="21"/>
  <c r="E180" i="21"/>
  <c r="E184" i="21"/>
  <c r="D658" i="20"/>
  <c r="Q134" i="21"/>
  <c r="AH23" i="11"/>
  <c r="K26" i="18"/>
  <c r="E26" i="18"/>
  <c r="Q26" i="18"/>
  <c r="D26" i="18"/>
  <c r="U26" i="18"/>
  <c r="O26" i="18"/>
  <c r="J26" i="18"/>
  <c r="R26" i="18"/>
  <c r="S26" i="18"/>
  <c r="P26" i="18"/>
  <c r="B26" i="18"/>
  <c r="H26" i="18"/>
  <c r="M26" i="18"/>
  <c r="T26" i="18"/>
  <c r="AG26" i="18"/>
  <c r="I26" i="18"/>
  <c r="F26" i="18"/>
  <c r="L26" i="18"/>
  <c r="A27" i="18"/>
  <c r="C26" i="18"/>
  <c r="N26" i="18"/>
  <c r="G26" i="18"/>
  <c r="AH24" i="18"/>
  <c r="EK19" i="24"/>
  <c r="EL19" i="24"/>
  <c r="D489" i="25"/>
  <c r="C489" i="25"/>
  <c r="DJ19" i="24"/>
  <c r="DK19" i="24"/>
  <c r="F486" i="25"/>
  <c r="E486" i="25"/>
  <c r="DQ19" i="24"/>
  <c r="DR19" i="24"/>
  <c r="D487" i="25"/>
  <c r="C487" i="25"/>
  <c r="X19" i="24"/>
  <c r="Y19" i="24"/>
  <c r="F477" i="25"/>
  <c r="E477" i="25"/>
  <c r="ED19" i="24"/>
  <c r="EE19" i="24"/>
  <c r="F488" i="25"/>
  <c r="E488" i="25"/>
  <c r="AO19" i="24"/>
  <c r="AP19" i="24"/>
  <c r="D479" i="25"/>
  <c r="C479" i="25"/>
  <c r="AH19" i="24"/>
  <c r="AI19" i="24"/>
  <c r="F478" i="25"/>
  <c r="E478" i="25"/>
  <c r="CZ19" i="24"/>
  <c r="DA19" i="24"/>
  <c r="F485" i="25"/>
  <c r="E485" i="25"/>
  <c r="AU25" i="13"/>
  <c r="CA39" i="27"/>
  <c r="CB39" i="27"/>
  <c r="CC39" i="27"/>
  <c r="AK39" i="27"/>
  <c r="AL39" i="27"/>
  <c r="AM39" i="27"/>
  <c r="BC39" i="27"/>
  <c r="BD39" i="27"/>
  <c r="BE39" i="27"/>
  <c r="S39" i="27"/>
  <c r="T39" i="27"/>
  <c r="U39" i="27"/>
  <c r="AQ39" i="27"/>
  <c r="AR39" i="27"/>
  <c r="AS39" i="27"/>
  <c r="AW39" i="27"/>
  <c r="AX39" i="27"/>
  <c r="AY39" i="27"/>
  <c r="M39" i="27"/>
  <c r="N39" i="27"/>
  <c r="O39" i="27"/>
  <c r="AE39" i="27"/>
  <c r="AF39" i="27"/>
  <c r="AG39" i="27"/>
  <c r="BI39" i="27"/>
  <c r="BJ39" i="27"/>
  <c r="BK39" i="27"/>
  <c r="BO39" i="27"/>
  <c r="BP39" i="27"/>
  <c r="BQ39" i="27"/>
  <c r="CG39" i="27"/>
  <c r="CH39" i="27"/>
  <c r="CI39" i="27"/>
  <c r="D48" i="2"/>
  <c r="C48" i="2"/>
  <c r="J48" i="2"/>
  <c r="H48" i="2"/>
  <c r="B48" i="2"/>
  <c r="A49" i="2"/>
  <c r="G48" i="2"/>
  <c r="F48" i="2"/>
  <c r="K48" i="2"/>
  <c r="N48" i="2"/>
  <c r="E48" i="2"/>
  <c r="I48" i="2"/>
  <c r="AH43" i="4"/>
  <c r="D46" i="4"/>
  <c r="E46" i="4"/>
  <c r="J46" i="4"/>
  <c r="C46" i="4"/>
  <c r="G46" i="4"/>
  <c r="AG46" i="4"/>
  <c r="A47" i="4"/>
  <c r="Y46" i="4"/>
  <c r="P46" i="4"/>
  <c r="B46" i="4"/>
  <c r="K46" i="4"/>
  <c r="N46" i="4"/>
  <c r="AA46" i="4"/>
  <c r="H46" i="4"/>
  <c r="U46" i="4"/>
  <c r="M46" i="4"/>
  <c r="Q46" i="4"/>
  <c r="R46" i="4"/>
  <c r="S46" i="4"/>
  <c r="T46" i="4"/>
  <c r="L46" i="4"/>
  <c r="F46" i="4"/>
  <c r="I46" i="4"/>
  <c r="O46" i="4"/>
  <c r="D1804" i="17"/>
  <c r="D1805" i="17"/>
  <c r="D1811" i="17"/>
  <c r="C1795" i="17"/>
  <c r="A1824" i="17"/>
  <c r="D1816" i="17"/>
  <c r="D1801" i="17"/>
  <c r="D1807" i="17"/>
  <c r="E1881" i="17"/>
  <c r="D1799" i="17"/>
  <c r="A1821" i="17"/>
  <c r="D1810" i="17"/>
  <c r="D1802" i="17"/>
  <c r="D1803" i="17"/>
  <c r="D1806" i="17"/>
  <c r="D1796" i="17"/>
  <c r="C1796" i="17"/>
  <c r="D1808" i="17"/>
  <c r="D1818" i="17"/>
  <c r="D1800" i="17"/>
  <c r="D1812" i="17"/>
  <c r="A1823" i="17"/>
  <c r="D1809" i="17"/>
  <c r="D1817" i="17"/>
  <c r="D1813" i="17"/>
  <c r="A1822" i="17"/>
  <c r="V45" i="4"/>
  <c r="W49" i="8"/>
  <c r="Y48" i="8"/>
  <c r="X48" i="8"/>
  <c r="Y43" i="4"/>
  <c r="D1677" i="17"/>
  <c r="D1675" i="17"/>
  <c r="C41" i="27"/>
  <c r="D41" i="27"/>
  <c r="B42" i="27"/>
  <c r="F41" i="27"/>
  <c r="E41" i="27"/>
  <c r="M41" i="27"/>
  <c r="N41" i="27"/>
  <c r="O41" i="27"/>
  <c r="AK41" i="27"/>
  <c r="AL41" i="27"/>
  <c r="AM41" i="27"/>
  <c r="BI41" i="27"/>
  <c r="BJ41" i="27"/>
  <c r="BK41" i="27"/>
  <c r="CA41" i="27"/>
  <c r="CB41" i="27"/>
  <c r="CC41" i="27"/>
  <c r="G41" i="27"/>
  <c r="H41" i="27"/>
  <c r="I41" i="27"/>
  <c r="AE41" i="27"/>
  <c r="AF41" i="27"/>
  <c r="AG41" i="27"/>
  <c r="BC41" i="27"/>
  <c r="BD41" i="27"/>
  <c r="BE41" i="27"/>
  <c r="Y41" i="27"/>
  <c r="Z41" i="27"/>
  <c r="AA41" i="27"/>
  <c r="BU41" i="27"/>
  <c r="BV41" i="27"/>
  <c r="BW41" i="27"/>
  <c r="AQ41" i="27"/>
  <c r="AR41" i="27"/>
  <c r="AS41" i="27"/>
  <c r="AW41" i="27"/>
  <c r="AX41" i="27"/>
  <c r="AY41" i="27"/>
  <c r="S41" i="27"/>
  <c r="T41" i="27"/>
  <c r="U41" i="27"/>
  <c r="BO41" i="27"/>
  <c r="BP41" i="27"/>
  <c r="BQ41" i="27"/>
  <c r="CG41" i="27"/>
  <c r="CH41" i="27"/>
  <c r="CI41" i="27"/>
  <c r="W44" i="4"/>
  <c r="AH44" i="4"/>
  <c r="AA44" i="4"/>
  <c r="D1719" i="17"/>
  <c r="V26" i="18"/>
  <c r="D792" i="20"/>
  <c r="Q161" i="21"/>
  <c r="DZ21" i="24"/>
  <c r="J21" i="24"/>
  <c r="DS21" i="24"/>
  <c r="AC21" i="24"/>
  <c r="I21" i="24"/>
  <c r="Q21" i="24"/>
  <c r="R21" i="24"/>
  <c r="BK21" i="24"/>
  <c r="M21" i="24"/>
  <c r="BA21" i="24"/>
  <c r="CA21" i="24"/>
  <c r="W21" i="24"/>
  <c r="AG21" i="24"/>
  <c r="AX21" i="24"/>
  <c r="EC21" i="24"/>
  <c r="BY21" i="24"/>
  <c r="BZ21" i="24"/>
  <c r="AK21" i="24"/>
  <c r="AL21" i="24"/>
  <c r="BH21" i="24"/>
  <c r="EG21" i="24"/>
  <c r="EH21" i="24"/>
  <c r="DC21" i="24"/>
  <c r="DD21" i="24"/>
  <c r="AW21" i="24"/>
  <c r="BR21" i="24"/>
  <c r="EJ21" i="24"/>
  <c r="DO21" i="24"/>
  <c r="BU21" i="24"/>
  <c r="DY21" i="24"/>
  <c r="CI21" i="24"/>
  <c r="CJ21" i="24"/>
  <c r="DF21" i="24"/>
  <c r="BE21" i="24"/>
  <c r="BF21" i="24"/>
  <c r="CE21" i="24"/>
  <c r="T21" i="24"/>
  <c r="AN21" i="24"/>
  <c r="BG21" i="24"/>
  <c r="CU21" i="24"/>
  <c r="AM21" i="24"/>
  <c r="BO21" i="24"/>
  <c r="BP21" i="24"/>
  <c r="BQ21" i="24"/>
  <c r="DM21" i="24"/>
  <c r="DN21" i="24"/>
  <c r="AQ21" i="24"/>
  <c r="S21" i="24"/>
  <c r="DW21" i="24"/>
  <c r="DX21" i="24"/>
  <c r="G21" i="24"/>
  <c r="H21" i="24"/>
  <c r="DI21" i="24"/>
  <c r="CB21" i="24"/>
  <c r="EI21" i="24"/>
  <c r="CL21" i="24"/>
  <c r="CK21" i="24"/>
  <c r="CO21" i="24"/>
  <c r="EM21" i="24"/>
  <c r="CS21" i="24"/>
  <c r="CT21" i="24"/>
  <c r="CY21" i="24"/>
  <c r="CV21" i="24"/>
  <c r="DE21" i="24"/>
  <c r="AA21" i="24"/>
  <c r="AB21" i="24"/>
  <c r="AU21" i="24"/>
  <c r="AV21" i="24"/>
  <c r="DP21" i="24"/>
  <c r="AD21" i="24"/>
  <c r="Q27" i="18"/>
  <c r="I27" i="18"/>
  <c r="AG27" i="18"/>
  <c r="H27" i="18"/>
  <c r="O27" i="18"/>
  <c r="L27" i="18"/>
  <c r="A28" i="18"/>
  <c r="G27" i="18"/>
  <c r="U27" i="18"/>
  <c r="C27" i="18"/>
  <c r="R27" i="18"/>
  <c r="S27" i="18"/>
  <c r="F27" i="18"/>
  <c r="N27" i="18"/>
  <c r="K27" i="18"/>
  <c r="E27" i="18"/>
  <c r="M27" i="18"/>
  <c r="T27" i="18"/>
  <c r="P27" i="18"/>
  <c r="B27" i="18"/>
  <c r="D27" i="18"/>
  <c r="J27" i="18"/>
  <c r="V26" i="11"/>
  <c r="W25" i="18"/>
  <c r="AH25" i="18"/>
  <c r="AB25" i="18"/>
  <c r="BA27" i="13"/>
  <c r="AV27" i="13"/>
  <c r="R163" i="21"/>
  <c r="E794" i="20"/>
  <c r="BO20" i="24"/>
  <c r="BP20" i="24"/>
  <c r="BQ20" i="24"/>
  <c r="BK20" i="24"/>
  <c r="BY20" i="24"/>
  <c r="BZ20" i="24"/>
  <c r="CV20" i="24"/>
  <c r="CY20" i="24"/>
  <c r="S20" i="24"/>
  <c r="AM20" i="24"/>
  <c r="DE20" i="24"/>
  <c r="DC20" i="24"/>
  <c r="DD20" i="24"/>
  <c r="W20" i="24"/>
  <c r="EM20" i="24"/>
  <c r="DM20" i="24"/>
  <c r="DN20" i="24"/>
  <c r="DF20" i="24"/>
  <c r="AN20" i="24"/>
  <c r="CO20" i="24"/>
  <c r="CU20" i="24"/>
  <c r="G20" i="24"/>
  <c r="H20" i="24"/>
  <c r="T20" i="24"/>
  <c r="DS20" i="24"/>
  <c r="DY20" i="24"/>
  <c r="CI20" i="24"/>
  <c r="CJ20" i="24"/>
  <c r="DZ20" i="24"/>
  <c r="EC20" i="24"/>
  <c r="EG20" i="24"/>
  <c r="EH20" i="24"/>
  <c r="EI20" i="24"/>
  <c r="EJ20" i="24"/>
  <c r="DO20" i="24"/>
  <c r="DP20" i="24"/>
  <c r="AU20" i="24"/>
  <c r="AV20" i="24"/>
  <c r="AK20" i="24"/>
  <c r="AL20" i="24"/>
  <c r="AA20" i="24"/>
  <c r="AB20" i="24"/>
  <c r="M20" i="24"/>
  <c r="AC20" i="24"/>
  <c r="AQ20" i="24"/>
  <c r="AW20" i="24"/>
  <c r="AD20" i="24"/>
  <c r="AG20" i="24"/>
  <c r="AX20" i="24"/>
  <c r="BE20" i="24"/>
  <c r="BF20" i="24"/>
  <c r="BG20" i="24"/>
  <c r="BH20" i="24"/>
  <c r="Q20" i="24"/>
  <c r="R20" i="24"/>
  <c r="I20" i="24"/>
  <c r="J20" i="24"/>
  <c r="BR20" i="24"/>
  <c r="CA20" i="24"/>
  <c r="CS20" i="24"/>
  <c r="CT20" i="24"/>
  <c r="DW20" i="24"/>
  <c r="DX20" i="24"/>
  <c r="CB20" i="24"/>
  <c r="CE20" i="24"/>
  <c r="DI20" i="24"/>
  <c r="BA20" i="24"/>
  <c r="CK20" i="24"/>
  <c r="CL20" i="24"/>
  <c r="BU20" i="24"/>
  <c r="W26" i="18"/>
  <c r="AH26" i="18"/>
  <c r="G29" i="10"/>
  <c r="C29" i="10"/>
  <c r="B29" i="10"/>
  <c r="E29" i="10"/>
  <c r="H29" i="10"/>
  <c r="F29" i="10"/>
  <c r="A30" i="10"/>
  <c r="K29" i="10"/>
  <c r="J29" i="10"/>
  <c r="L29" i="10"/>
  <c r="D29" i="10"/>
  <c r="I29" i="10"/>
  <c r="M29" i="10"/>
  <c r="P29" i="10"/>
  <c r="E27" i="11"/>
  <c r="H27" i="11"/>
  <c r="F27" i="11"/>
  <c r="I27" i="11"/>
  <c r="U27" i="11"/>
  <c r="C27" i="11"/>
  <c r="P27" i="11"/>
  <c r="Q27" i="11"/>
  <c r="G27" i="11"/>
  <c r="J27" i="11"/>
  <c r="B27" i="11"/>
  <c r="D27" i="11"/>
  <c r="N27" i="11"/>
  <c r="AG27" i="11"/>
  <c r="K27" i="11"/>
  <c r="R27" i="11"/>
  <c r="S27" i="11"/>
  <c r="O27" i="11"/>
  <c r="M27" i="11"/>
  <c r="A28" i="11"/>
  <c r="T27" i="11"/>
  <c r="L27" i="11"/>
  <c r="C863" i="20"/>
  <c r="E864" i="20"/>
  <c r="A889" i="20"/>
  <c r="A890" i="20"/>
  <c r="F946" i="20"/>
  <c r="A888" i="20"/>
  <c r="A891" i="20"/>
  <c r="C864" i="20"/>
  <c r="F164" i="21"/>
  <c r="E705" i="20"/>
  <c r="L164" i="21"/>
  <c r="E750" i="20"/>
  <c r="AI24" i="11"/>
  <c r="Y24" i="11"/>
  <c r="BF25" i="13"/>
  <c r="AX25" i="13"/>
  <c r="AB26" i="18"/>
  <c r="F560" i="25"/>
  <c r="B610" i="25"/>
  <c r="BB27" i="13"/>
  <c r="L28" i="13"/>
  <c r="E870" i="20"/>
  <c r="D28" i="13"/>
  <c r="C868" i="20"/>
  <c r="AL28" i="13"/>
  <c r="D879" i="20"/>
  <c r="V28" i="13"/>
  <c r="C874" i="20"/>
  <c r="K28" i="13"/>
  <c r="D870" i="20"/>
  <c r="R28" i="13"/>
  <c r="E872" i="20"/>
  <c r="AN28" i="13"/>
  <c r="C880" i="20"/>
  <c r="AG28" i="13"/>
  <c r="E877" i="20"/>
  <c r="AH28" i="13"/>
  <c r="C878" i="20"/>
  <c r="AJ28" i="13"/>
  <c r="E878" i="20"/>
  <c r="J28" i="13"/>
  <c r="C870" i="20"/>
  <c r="M28" i="13"/>
  <c r="C871" i="20"/>
  <c r="AK28" i="13"/>
  <c r="C879" i="20"/>
  <c r="H28" i="13"/>
  <c r="D869" i="20"/>
  <c r="AD28" i="13"/>
  <c r="E876" i="20"/>
  <c r="A29" i="13"/>
  <c r="AA28" i="13"/>
  <c r="E875" i="20"/>
  <c r="BL28" i="13"/>
  <c r="AM28" i="13"/>
  <c r="E879" i="20"/>
  <c r="U28" i="13"/>
  <c r="E873" i="20"/>
  <c r="AC28" i="13"/>
  <c r="D876" i="20"/>
  <c r="AF28" i="13"/>
  <c r="D877" i="20"/>
  <c r="AB28" i="13"/>
  <c r="C876" i="20"/>
  <c r="P28" i="13"/>
  <c r="C872" i="20"/>
  <c r="AE28" i="13"/>
  <c r="C877" i="20"/>
  <c r="S28" i="13"/>
  <c r="C873" i="20"/>
  <c r="T28" i="13"/>
  <c r="D873" i="20"/>
  <c r="C28" i="13"/>
  <c r="G28" i="13"/>
  <c r="C869" i="20"/>
  <c r="N28" i="13"/>
  <c r="D871" i="20"/>
  <c r="I28" i="13"/>
  <c r="E869" i="20"/>
  <c r="O28" i="13"/>
  <c r="E871" i="20"/>
  <c r="AO28" i="13"/>
  <c r="D880" i="20"/>
  <c r="Z28" i="13"/>
  <c r="D875" i="20"/>
  <c r="F28" i="13"/>
  <c r="E868" i="20"/>
  <c r="Q28" i="13"/>
  <c r="D872" i="20"/>
  <c r="AI28" i="13"/>
  <c r="D878" i="20"/>
  <c r="W28" i="13"/>
  <c r="D874" i="20"/>
  <c r="X28" i="13"/>
  <c r="E874" i="20"/>
  <c r="Y28" i="13"/>
  <c r="C875" i="20"/>
  <c r="AQ28" i="13"/>
  <c r="C881" i="20"/>
  <c r="AP28" i="13"/>
  <c r="E880" i="20"/>
  <c r="B28" i="13"/>
  <c r="AR28" i="13"/>
  <c r="D881" i="20"/>
  <c r="AS28" i="13"/>
  <c r="E881" i="20"/>
  <c r="E28" i="13"/>
  <c r="D868" i="20"/>
  <c r="BA28" i="13"/>
  <c r="D884" i="20"/>
  <c r="BB28" i="13"/>
  <c r="E884" i="20"/>
  <c r="F162" i="21"/>
  <c r="E703" i="20"/>
  <c r="E162" i="21"/>
  <c r="D703" i="20"/>
  <c r="K161" i="21"/>
  <c r="D747" i="20"/>
  <c r="L176" i="21"/>
  <c r="H198" i="21"/>
  <c r="I173" i="21"/>
  <c r="L186" i="21"/>
  <c r="N173" i="21"/>
  <c r="K181" i="21"/>
  <c r="L187" i="21"/>
  <c r="J178" i="21"/>
  <c r="K185" i="21"/>
  <c r="L180" i="21"/>
  <c r="H174" i="21"/>
  <c r="L177" i="21"/>
  <c r="J185" i="21"/>
  <c r="J181" i="21"/>
  <c r="K186" i="21"/>
  <c r="J179" i="21"/>
  <c r="L182" i="21"/>
  <c r="K189" i="21"/>
  <c r="H197" i="21"/>
  <c r="J187" i="21"/>
  <c r="H196" i="21"/>
  <c r="H195" i="21"/>
  <c r="L189" i="21"/>
  <c r="K182" i="21"/>
  <c r="K179" i="21"/>
  <c r="L178" i="21"/>
  <c r="K184" i="21"/>
  <c r="L184" i="21"/>
  <c r="K176" i="21"/>
  <c r="L179" i="21"/>
  <c r="J184" i="21"/>
  <c r="L188" i="21"/>
  <c r="J186" i="21"/>
  <c r="J180" i="21"/>
  <c r="K177" i="21"/>
  <c r="J188" i="21"/>
  <c r="J177" i="21"/>
  <c r="J183" i="21"/>
  <c r="L183" i="21"/>
  <c r="K180" i="21"/>
  <c r="K174" i="21"/>
  <c r="J176" i="21"/>
  <c r="L192" i="21"/>
  <c r="K178" i="21"/>
  <c r="K187" i="21"/>
  <c r="L181" i="21"/>
  <c r="K183" i="21"/>
  <c r="J182" i="21"/>
  <c r="K188" i="21"/>
  <c r="J189" i="21"/>
  <c r="K192" i="21"/>
  <c r="L185" i="21"/>
  <c r="B23" i="24"/>
  <c r="F22" i="24"/>
  <c r="D560" i="25"/>
  <c r="D22" i="24"/>
  <c r="D559" i="25"/>
  <c r="E22" i="24"/>
  <c r="E792" i="20"/>
  <c r="R161" i="21"/>
  <c r="AI25" i="11"/>
  <c r="AX26" i="13"/>
  <c r="Y25" i="11"/>
  <c r="BF26" i="13"/>
  <c r="D705" i="20"/>
  <c r="E164" i="21"/>
  <c r="Y44" i="4"/>
  <c r="D1722" i="17"/>
  <c r="D1848" i="17"/>
  <c r="D1856" i="17"/>
  <c r="D1853" i="17"/>
  <c r="D1850" i="17"/>
  <c r="A1868" i="17"/>
  <c r="C1843" i="17"/>
  <c r="D1851" i="17"/>
  <c r="C1842" i="17"/>
  <c r="E1928" i="17"/>
  <c r="D1857" i="17"/>
  <c r="D1860" i="17"/>
  <c r="D1863" i="17"/>
  <c r="A1869" i="17"/>
  <c r="D1865" i="17"/>
  <c r="D1859" i="17"/>
  <c r="D1849" i="17"/>
  <c r="D1846" i="17"/>
  <c r="D1864" i="17"/>
  <c r="D1855" i="17"/>
  <c r="A1871" i="17"/>
  <c r="D1847" i="17"/>
  <c r="A1870" i="17"/>
  <c r="D1852" i="17"/>
  <c r="D1858" i="17"/>
  <c r="D1854" i="17"/>
  <c r="D1843" i="17"/>
  <c r="F42" i="27"/>
  <c r="C42" i="27"/>
  <c r="D42" i="27"/>
  <c r="E42" i="27"/>
  <c r="S42" i="27"/>
  <c r="T42" i="27"/>
  <c r="U42" i="27"/>
  <c r="AQ42" i="27"/>
  <c r="AR42" i="27"/>
  <c r="AS42" i="27"/>
  <c r="BO42" i="27"/>
  <c r="BP42" i="27"/>
  <c r="BQ42" i="27"/>
  <c r="CG42" i="27"/>
  <c r="CH42" i="27"/>
  <c r="CI42" i="27"/>
  <c r="M42" i="27"/>
  <c r="N42" i="27"/>
  <c r="O42" i="27"/>
  <c r="AK42" i="27"/>
  <c r="AL42" i="27"/>
  <c r="AM42" i="27"/>
  <c r="BI42" i="27"/>
  <c r="BJ42" i="27"/>
  <c r="BK42" i="27"/>
  <c r="CA42" i="27"/>
  <c r="CB42" i="27"/>
  <c r="CC42" i="27"/>
  <c r="B43" i="27"/>
  <c r="Y42" i="27"/>
  <c r="Z42" i="27"/>
  <c r="AA42" i="27"/>
  <c r="BU42" i="27"/>
  <c r="BV42" i="27"/>
  <c r="BW42" i="27"/>
  <c r="AE42" i="27"/>
  <c r="AF42" i="27"/>
  <c r="AG42" i="27"/>
  <c r="G42" i="27"/>
  <c r="H42" i="27"/>
  <c r="I42" i="27"/>
  <c r="AW42" i="27"/>
  <c r="AX42" i="27"/>
  <c r="AY42" i="27"/>
  <c r="BC42" i="27"/>
  <c r="BD42" i="27"/>
  <c r="BE42" i="27"/>
  <c r="X49" i="8"/>
  <c r="Y49" i="8"/>
  <c r="W50" i="8"/>
  <c r="L47" i="4"/>
  <c r="T47" i="4"/>
  <c r="F47" i="4"/>
  <c r="G47" i="4"/>
  <c r="A48" i="4"/>
  <c r="Y47" i="4"/>
  <c r="E47" i="4"/>
  <c r="Q47" i="4"/>
  <c r="J47" i="4"/>
  <c r="C47" i="4"/>
  <c r="U47" i="4"/>
  <c r="K47" i="4"/>
  <c r="AG47" i="4"/>
  <c r="D47" i="4"/>
  <c r="P47" i="4"/>
  <c r="I47" i="4"/>
  <c r="H47" i="4"/>
  <c r="M47" i="4"/>
  <c r="N47" i="4"/>
  <c r="O47" i="4"/>
  <c r="AA47" i="4"/>
  <c r="R47" i="4"/>
  <c r="S47" i="4"/>
  <c r="B47" i="4"/>
  <c r="W45" i="4"/>
  <c r="AI45" i="4"/>
  <c r="E49" i="2"/>
  <c r="B49" i="2"/>
  <c r="D49" i="2"/>
  <c r="F49" i="2"/>
  <c r="A50" i="2"/>
  <c r="H49" i="2"/>
  <c r="J49" i="2"/>
  <c r="I49" i="2"/>
  <c r="G49" i="2"/>
  <c r="C49" i="2"/>
  <c r="K49" i="2"/>
  <c r="N49" i="2"/>
  <c r="AI44" i="4"/>
  <c r="V46" i="4"/>
  <c r="D795" i="20"/>
  <c r="Q164" i="21"/>
  <c r="CC20" i="24"/>
  <c r="CD20" i="24"/>
  <c r="D512" i="25"/>
  <c r="C512" i="25"/>
  <c r="BS20" i="24"/>
  <c r="BT20" i="24"/>
  <c r="D511" i="25"/>
  <c r="C511" i="25"/>
  <c r="BI20" i="24"/>
  <c r="BJ20" i="24"/>
  <c r="D510" i="25"/>
  <c r="C510" i="25"/>
  <c r="AH20" i="24"/>
  <c r="AI20" i="24"/>
  <c r="F507" i="25"/>
  <c r="E507" i="25"/>
  <c r="DG20" i="24"/>
  <c r="DH20" i="24"/>
  <c r="D515" i="25"/>
  <c r="C515" i="25"/>
  <c r="CZ20" i="24"/>
  <c r="DA20" i="24"/>
  <c r="F514" i="25"/>
  <c r="E514" i="25"/>
  <c r="CZ21" i="24"/>
  <c r="DA21" i="24"/>
  <c r="F543" i="25"/>
  <c r="E543" i="25"/>
  <c r="DJ21" i="24"/>
  <c r="DK21" i="24"/>
  <c r="F544" i="25"/>
  <c r="E544" i="25"/>
  <c r="AR21" i="24"/>
  <c r="AS21" i="24"/>
  <c r="F537" i="25"/>
  <c r="E537" i="25"/>
  <c r="U21" i="24"/>
  <c r="V21" i="24"/>
  <c r="D535" i="25"/>
  <c r="C535" i="25"/>
  <c r="EK21" i="24"/>
  <c r="EL21" i="24"/>
  <c r="D547" i="25"/>
  <c r="C547" i="25"/>
  <c r="ED21" i="24"/>
  <c r="EE21" i="24"/>
  <c r="F546" i="25"/>
  <c r="E546" i="25"/>
  <c r="K21" i="24"/>
  <c r="L21" i="24"/>
  <c r="D534" i="25"/>
  <c r="C534" i="25"/>
  <c r="D793" i="20"/>
  <c r="Q162" i="21"/>
  <c r="C22" i="24"/>
  <c r="B24" i="24"/>
  <c r="E23" i="24"/>
  <c r="D23" i="24"/>
  <c r="D588" i="25"/>
  <c r="F23" i="24"/>
  <c r="C23" i="24"/>
  <c r="F589" i="25"/>
  <c r="D589" i="25"/>
  <c r="B639" i="25"/>
  <c r="D748" i="20"/>
  <c r="K162" i="21"/>
  <c r="V27" i="11"/>
  <c r="A31" i="10"/>
  <c r="D30" i="10"/>
  <c r="L30" i="10"/>
  <c r="F30" i="10"/>
  <c r="J30" i="10"/>
  <c r="H30" i="10"/>
  <c r="E30" i="10"/>
  <c r="I30" i="10"/>
  <c r="C30" i="10"/>
  <c r="M30" i="10"/>
  <c r="P30" i="10"/>
  <c r="B30" i="10"/>
  <c r="G30" i="10"/>
  <c r="K30" i="10"/>
  <c r="AI26" i="18"/>
  <c r="Y26" i="18"/>
  <c r="BC27" i="13"/>
  <c r="BB20" i="24"/>
  <c r="BC20" i="24"/>
  <c r="F509" i="25"/>
  <c r="E509" i="25"/>
  <c r="K20" i="24"/>
  <c r="L20" i="24"/>
  <c r="D505" i="25"/>
  <c r="C505" i="25"/>
  <c r="AE20" i="24"/>
  <c r="AF20" i="24"/>
  <c r="D507" i="25"/>
  <c r="C507" i="25"/>
  <c r="N20" i="24"/>
  <c r="O20" i="24"/>
  <c r="F505" i="25"/>
  <c r="E505" i="25"/>
  <c r="DQ20" i="24"/>
  <c r="DR20" i="24"/>
  <c r="D516" i="25"/>
  <c r="C516" i="25"/>
  <c r="CW20" i="24"/>
  <c r="CX20" i="24"/>
  <c r="D514" i="25"/>
  <c r="C514" i="25"/>
  <c r="E837" i="20"/>
  <c r="F190" i="21"/>
  <c r="AI25" i="18"/>
  <c r="Y25" i="18"/>
  <c r="BC26" i="13"/>
  <c r="AY26" i="13"/>
  <c r="V27" i="18"/>
  <c r="CM21" i="24"/>
  <c r="CN21" i="24"/>
  <c r="D542" i="25"/>
  <c r="C542" i="25"/>
  <c r="CF21" i="24"/>
  <c r="CG21" i="24"/>
  <c r="F541" i="25"/>
  <c r="E541" i="25"/>
  <c r="BS21" i="24"/>
  <c r="BT21" i="24"/>
  <c r="D540" i="25"/>
  <c r="C540" i="25"/>
  <c r="BI21" i="24"/>
  <c r="BJ21" i="24"/>
  <c r="D539" i="25"/>
  <c r="C539" i="25"/>
  <c r="AY21" i="24"/>
  <c r="AZ21" i="24"/>
  <c r="D538" i="25"/>
  <c r="C538" i="25"/>
  <c r="BB21" i="24"/>
  <c r="BC21" i="24"/>
  <c r="F538" i="25"/>
  <c r="E538" i="25"/>
  <c r="EA21" i="24"/>
  <c r="EB21" i="24"/>
  <c r="D546" i="25"/>
  <c r="C546" i="25"/>
  <c r="D750" i="20"/>
  <c r="K164" i="21"/>
  <c r="C28" i="11"/>
  <c r="Q28" i="11"/>
  <c r="AG28" i="11"/>
  <c r="U28" i="11"/>
  <c r="D28" i="11"/>
  <c r="O28" i="11"/>
  <c r="T28" i="11"/>
  <c r="I28" i="11"/>
  <c r="N28" i="11"/>
  <c r="P28" i="11"/>
  <c r="L28" i="11"/>
  <c r="E28" i="11"/>
  <c r="F28" i="11"/>
  <c r="B28" i="11"/>
  <c r="G28" i="11"/>
  <c r="M28" i="11"/>
  <c r="R28" i="11"/>
  <c r="S28" i="11"/>
  <c r="A29" i="11"/>
  <c r="H28" i="11"/>
  <c r="J28" i="11"/>
  <c r="K28" i="11"/>
  <c r="BV20" i="24"/>
  <c r="BW20" i="24"/>
  <c r="F511" i="25"/>
  <c r="E511" i="25"/>
  <c r="DJ20" i="24"/>
  <c r="DK20" i="24"/>
  <c r="F515" i="25"/>
  <c r="E515" i="25"/>
  <c r="ED20" i="24"/>
  <c r="EE20" i="24"/>
  <c r="F517" i="25"/>
  <c r="E517" i="25"/>
  <c r="DT20" i="24"/>
  <c r="DU20" i="24"/>
  <c r="F516" i="25"/>
  <c r="E516" i="25"/>
  <c r="CP20" i="24"/>
  <c r="CQ20" i="24"/>
  <c r="F513" i="25"/>
  <c r="E513" i="25"/>
  <c r="EN20" i="24"/>
  <c r="EO20" i="24"/>
  <c r="F518" i="25"/>
  <c r="E518" i="25"/>
  <c r="D839" i="20"/>
  <c r="E192" i="21"/>
  <c r="W26" i="11"/>
  <c r="AH26" i="11"/>
  <c r="AA26" i="11"/>
  <c r="P28" i="18"/>
  <c r="C28" i="18"/>
  <c r="F28" i="18"/>
  <c r="H28" i="18"/>
  <c r="B28" i="18"/>
  <c r="R28" i="18"/>
  <c r="S28" i="18"/>
  <c r="A29" i="18"/>
  <c r="I28" i="18"/>
  <c r="G28" i="18"/>
  <c r="L28" i="18"/>
  <c r="T28" i="18"/>
  <c r="N28" i="18"/>
  <c r="D28" i="18"/>
  <c r="M28" i="18"/>
  <c r="J28" i="18"/>
  <c r="K28" i="18"/>
  <c r="E28" i="18"/>
  <c r="AG28" i="18"/>
  <c r="U28" i="18"/>
  <c r="Q28" i="18"/>
  <c r="O28" i="18"/>
  <c r="AE21" i="24"/>
  <c r="AF21" i="24"/>
  <c r="D536" i="25"/>
  <c r="C536" i="25"/>
  <c r="EN21" i="24"/>
  <c r="EO21" i="24"/>
  <c r="F547" i="25"/>
  <c r="E547" i="25"/>
  <c r="BV21" i="24"/>
  <c r="BW21" i="24"/>
  <c r="F540" i="25"/>
  <c r="E540" i="25"/>
  <c r="AH21" i="24"/>
  <c r="AI21" i="24"/>
  <c r="F536" i="25"/>
  <c r="E536" i="25"/>
  <c r="N21" i="24"/>
  <c r="O21" i="24"/>
  <c r="F534" i="25"/>
  <c r="E534" i="25"/>
  <c r="AU27" i="13"/>
  <c r="P177" i="21"/>
  <c r="P178" i="21"/>
  <c r="Q187" i="21"/>
  <c r="P181" i="21"/>
  <c r="R179" i="21"/>
  <c r="R187" i="21"/>
  <c r="Q189" i="21"/>
  <c r="N198" i="21"/>
  <c r="R181" i="21"/>
  <c r="R178" i="21"/>
  <c r="O173" i="21"/>
  <c r="Q182" i="21"/>
  <c r="P187" i="21"/>
  <c r="R176" i="21"/>
  <c r="P186" i="21"/>
  <c r="R182" i="21"/>
  <c r="R177" i="21"/>
  <c r="Q184" i="21"/>
  <c r="P183" i="21"/>
  <c r="R186" i="21"/>
  <c r="N196" i="21"/>
  <c r="Q177" i="21"/>
  <c r="P184" i="21"/>
  <c r="Q180" i="21"/>
  <c r="N195" i="21"/>
  <c r="P189" i="21"/>
  <c r="P188" i="21"/>
  <c r="Q176" i="21"/>
  <c r="B201" i="21"/>
  <c r="P179" i="21"/>
  <c r="P182" i="21"/>
  <c r="Q178" i="21"/>
  <c r="N174" i="21"/>
  <c r="P185" i="21"/>
  <c r="Q179" i="21"/>
  <c r="Q185" i="21"/>
  <c r="Q183" i="21"/>
  <c r="Q188" i="21"/>
  <c r="N197" i="21"/>
  <c r="Q174" i="21"/>
  <c r="R184" i="21"/>
  <c r="Q181" i="21"/>
  <c r="Q186" i="21"/>
  <c r="R189" i="21"/>
  <c r="R188" i="21"/>
  <c r="P180" i="21"/>
  <c r="R183" i="21"/>
  <c r="P176" i="21"/>
  <c r="R180" i="21"/>
  <c r="R185" i="21"/>
  <c r="E29" i="13"/>
  <c r="AO29" i="13"/>
  <c r="O29" i="13"/>
  <c r="V29" i="13"/>
  <c r="C29" i="13"/>
  <c r="AA29" i="13"/>
  <c r="AG29" i="13"/>
  <c r="P29" i="13"/>
  <c r="A30" i="13"/>
  <c r="AH29" i="13"/>
  <c r="F29" i="13"/>
  <c r="B29" i="13"/>
  <c r="Z29" i="13"/>
  <c r="AQ29" i="13"/>
  <c r="Y29" i="13"/>
  <c r="Q29" i="13"/>
  <c r="AN29" i="13"/>
  <c r="U29" i="13"/>
  <c r="AK29" i="13"/>
  <c r="G29" i="13"/>
  <c r="AM29" i="13"/>
  <c r="D29" i="13"/>
  <c r="M29" i="13"/>
  <c r="K29" i="13"/>
  <c r="AL29" i="13"/>
  <c r="AP29" i="13"/>
  <c r="R29" i="13"/>
  <c r="X29" i="13"/>
  <c r="E919" i="20"/>
  <c r="T29" i="13"/>
  <c r="J29" i="13"/>
  <c r="W29" i="13"/>
  <c r="AD29" i="13"/>
  <c r="AF29" i="13"/>
  <c r="H29" i="13"/>
  <c r="AC29" i="13"/>
  <c r="AE29" i="13"/>
  <c r="AS29" i="13"/>
  <c r="L29" i="13"/>
  <c r="E915" i="20"/>
  <c r="AI29" i="13"/>
  <c r="BL29" i="13"/>
  <c r="I29" i="13"/>
  <c r="AJ29" i="13"/>
  <c r="AB29" i="13"/>
  <c r="C921" i="20"/>
  <c r="AR29" i="13"/>
  <c r="N29" i="13"/>
  <c r="S29" i="13"/>
  <c r="BB29" i="13"/>
  <c r="R192" i="21"/>
  <c r="BA29" i="13"/>
  <c r="Q192" i="21"/>
  <c r="F192" i="21"/>
  <c r="E839" i="20"/>
  <c r="D913" i="20"/>
  <c r="D923" i="20"/>
  <c r="C915" i="20"/>
  <c r="C926" i="20"/>
  <c r="A934" i="20"/>
  <c r="C916" i="20"/>
  <c r="A935" i="20"/>
  <c r="C919" i="20"/>
  <c r="C909" i="20"/>
  <c r="C913" i="20"/>
  <c r="E926" i="20"/>
  <c r="C924" i="20"/>
  <c r="E914" i="20"/>
  <c r="D915" i="20"/>
  <c r="E921" i="20"/>
  <c r="E916" i="20"/>
  <c r="C925" i="20"/>
  <c r="D914" i="20"/>
  <c r="E920" i="20"/>
  <c r="E918" i="20"/>
  <c r="C923" i="20"/>
  <c r="D924" i="20"/>
  <c r="E917" i="20"/>
  <c r="D925" i="20"/>
  <c r="E925" i="20"/>
  <c r="F991" i="20"/>
  <c r="E913" i="20"/>
  <c r="E923" i="20"/>
  <c r="E924" i="20"/>
  <c r="E909" i="20"/>
  <c r="C918" i="20"/>
  <c r="C917" i="20"/>
  <c r="D922" i="20"/>
  <c r="D916" i="20"/>
  <c r="C922" i="20"/>
  <c r="D926" i="20"/>
  <c r="D920" i="20"/>
  <c r="E922" i="20"/>
  <c r="C914" i="20"/>
  <c r="C920" i="20"/>
  <c r="A936" i="20"/>
  <c r="D921" i="20"/>
  <c r="A933" i="20"/>
  <c r="D918" i="20"/>
  <c r="D917" i="20"/>
  <c r="D919" i="20"/>
  <c r="C908" i="20"/>
  <c r="CM20" i="24"/>
  <c r="CN20" i="24"/>
  <c r="D513" i="25"/>
  <c r="C513" i="25"/>
  <c r="CF20" i="24"/>
  <c r="CG20" i="24"/>
  <c r="F512" i="25"/>
  <c r="E512" i="25"/>
  <c r="AY20" i="24"/>
  <c r="AZ20" i="24"/>
  <c r="D509" i="25"/>
  <c r="C509" i="25"/>
  <c r="AR20" i="24"/>
  <c r="AS20" i="24"/>
  <c r="F508" i="25"/>
  <c r="E508" i="25"/>
  <c r="EK20" i="24"/>
  <c r="EL20" i="24"/>
  <c r="D518" i="25"/>
  <c r="C518" i="25"/>
  <c r="EA20" i="24"/>
  <c r="EB20" i="24"/>
  <c r="D517" i="25"/>
  <c r="C517" i="25"/>
  <c r="U20" i="24"/>
  <c r="V20" i="24"/>
  <c r="D506" i="25"/>
  <c r="C506" i="25"/>
  <c r="AO20" i="24"/>
  <c r="AP20" i="24"/>
  <c r="D508" i="25"/>
  <c r="C508" i="25"/>
  <c r="X20" i="24"/>
  <c r="Y20" i="24"/>
  <c r="F506" i="25"/>
  <c r="E506" i="25"/>
  <c r="BL20" i="24"/>
  <c r="BM20" i="24"/>
  <c r="F510" i="25"/>
  <c r="E510" i="25"/>
  <c r="DQ21" i="24"/>
  <c r="DR21" i="24"/>
  <c r="D545" i="25"/>
  <c r="C545" i="25"/>
  <c r="CW21" i="24"/>
  <c r="CX21" i="24"/>
  <c r="D543" i="25"/>
  <c r="C543" i="25"/>
  <c r="CP21" i="24"/>
  <c r="CQ21" i="24"/>
  <c r="F542" i="25"/>
  <c r="E542" i="25"/>
  <c r="CC21" i="24"/>
  <c r="CD21" i="24"/>
  <c r="D541" i="25"/>
  <c r="C541" i="25"/>
  <c r="AO21" i="24"/>
  <c r="AP21" i="24"/>
  <c r="D537" i="25"/>
  <c r="C537" i="25"/>
  <c r="DG21" i="24"/>
  <c r="DH21" i="24"/>
  <c r="D544" i="25"/>
  <c r="C544" i="25"/>
  <c r="X21" i="24"/>
  <c r="Y21" i="24"/>
  <c r="F535" i="25"/>
  <c r="E535" i="25"/>
  <c r="BL21" i="24"/>
  <c r="BM21" i="24"/>
  <c r="F539" i="25"/>
  <c r="E539" i="25"/>
  <c r="DT21" i="24"/>
  <c r="DU21" i="24"/>
  <c r="F545" i="25"/>
  <c r="E545" i="25"/>
  <c r="AY27" i="13"/>
  <c r="D1724" i="17"/>
  <c r="E43" i="27"/>
  <c r="F43" i="27"/>
  <c r="D43" i="27"/>
  <c r="B44" i="27"/>
  <c r="C43" i="27"/>
  <c r="Y43" i="27"/>
  <c r="Z43" i="27"/>
  <c r="AA43" i="27"/>
  <c r="AW43" i="27"/>
  <c r="AX43" i="27"/>
  <c r="AY43" i="27"/>
  <c r="BU43" i="27"/>
  <c r="BV43" i="27"/>
  <c r="BW43" i="27"/>
  <c r="S43" i="27"/>
  <c r="T43" i="27"/>
  <c r="U43" i="27"/>
  <c r="AQ43" i="27"/>
  <c r="AR43" i="27"/>
  <c r="AS43" i="27"/>
  <c r="BO43" i="27"/>
  <c r="BP43" i="27"/>
  <c r="BQ43" i="27"/>
  <c r="M43" i="27"/>
  <c r="N43" i="27"/>
  <c r="O43" i="27"/>
  <c r="BI43" i="27"/>
  <c r="BJ43" i="27"/>
  <c r="BK43" i="27"/>
  <c r="CA43" i="27"/>
  <c r="CB43" i="27"/>
  <c r="CC43" i="27"/>
  <c r="AE43" i="27"/>
  <c r="AF43" i="27"/>
  <c r="AG43" i="27"/>
  <c r="CG43" i="27"/>
  <c r="CH43" i="27"/>
  <c r="CI43" i="27"/>
  <c r="AK43" i="27"/>
  <c r="AL43" i="27"/>
  <c r="AM43" i="27"/>
  <c r="G43" i="27"/>
  <c r="H43" i="27"/>
  <c r="I43" i="27"/>
  <c r="BC43" i="27"/>
  <c r="BD43" i="27"/>
  <c r="BE43" i="27"/>
  <c r="W46" i="4"/>
  <c r="AI46" i="4"/>
  <c r="H50" i="2"/>
  <c r="A51" i="2"/>
  <c r="C50" i="2"/>
  <c r="D50" i="2"/>
  <c r="G50" i="2"/>
  <c r="F50" i="2"/>
  <c r="E50" i="2"/>
  <c r="B50" i="2"/>
  <c r="K50" i="2"/>
  <c r="N50" i="2"/>
  <c r="J50" i="2"/>
  <c r="I50" i="2"/>
  <c r="AH45" i="4"/>
  <c r="D1895" i="17"/>
  <c r="D1903" i="17"/>
  <c r="D1900" i="17"/>
  <c r="D1901" i="17"/>
  <c r="D1890" i="17"/>
  <c r="A1918" i="17"/>
  <c r="D1911" i="17"/>
  <c r="D1907" i="17"/>
  <c r="D1910" i="17"/>
  <c r="D1896" i="17"/>
  <c r="C1889" i="17"/>
  <c r="D1902" i="17"/>
  <c r="D1906" i="17"/>
  <c r="A1916" i="17"/>
  <c r="D1893" i="17"/>
  <c r="D1904" i="17"/>
  <c r="D1897" i="17"/>
  <c r="C1890" i="17"/>
  <c r="D1894" i="17"/>
  <c r="D1899" i="17"/>
  <c r="A1917" i="17"/>
  <c r="D1905" i="17"/>
  <c r="D1898" i="17"/>
  <c r="E1975" i="17"/>
  <c r="D1912" i="17"/>
  <c r="A1915" i="17"/>
  <c r="L48" i="4"/>
  <c r="T48" i="4"/>
  <c r="F48" i="4"/>
  <c r="AG48" i="4"/>
  <c r="Y48" i="4"/>
  <c r="D48" i="4"/>
  <c r="P48" i="4"/>
  <c r="I48" i="4"/>
  <c r="U48" i="4"/>
  <c r="G48" i="4"/>
  <c r="C48" i="4"/>
  <c r="A49" i="4"/>
  <c r="H48" i="4"/>
  <c r="K48" i="4"/>
  <c r="B48" i="4"/>
  <c r="M48" i="4"/>
  <c r="N48" i="4"/>
  <c r="R48" i="4"/>
  <c r="S48" i="4"/>
  <c r="AA48" i="4"/>
  <c r="Q48" i="4"/>
  <c r="J48" i="4"/>
  <c r="E48" i="4"/>
  <c r="O48" i="4"/>
  <c r="V47" i="4"/>
  <c r="Y50" i="8"/>
  <c r="X50" i="8"/>
  <c r="W51" i="8"/>
  <c r="D929" i="20"/>
  <c r="BA23" i="24"/>
  <c r="CU23" i="24"/>
  <c r="CY23" i="24"/>
  <c r="BR23" i="24"/>
  <c r="CA23" i="24"/>
  <c r="DC23" i="24"/>
  <c r="DD23" i="24"/>
  <c r="DF23" i="24"/>
  <c r="CK23" i="24"/>
  <c r="DE23" i="24"/>
  <c r="DI23" i="24"/>
  <c r="DP23" i="24"/>
  <c r="EJ23" i="24"/>
  <c r="I23" i="24"/>
  <c r="Q23" i="24"/>
  <c r="R23" i="24"/>
  <c r="G23" i="24"/>
  <c r="H23" i="24"/>
  <c r="DS23" i="24"/>
  <c r="EI23" i="24"/>
  <c r="EC23" i="24"/>
  <c r="T23" i="24"/>
  <c r="DZ23" i="24"/>
  <c r="EG23" i="24"/>
  <c r="EH23" i="24"/>
  <c r="CV23" i="24"/>
  <c r="M23" i="24"/>
  <c r="EM23" i="24"/>
  <c r="AA23" i="24"/>
  <c r="AB23" i="24"/>
  <c r="BQ23" i="24"/>
  <c r="AX23" i="24"/>
  <c r="AK23" i="24"/>
  <c r="AL23" i="24"/>
  <c r="S23" i="24"/>
  <c r="AD23" i="24"/>
  <c r="BK23" i="24"/>
  <c r="W23" i="24"/>
  <c r="AM23" i="24"/>
  <c r="DW23" i="24"/>
  <c r="DX23" i="24"/>
  <c r="BH23" i="24"/>
  <c r="AU23" i="24"/>
  <c r="AV23" i="24"/>
  <c r="AW23" i="24"/>
  <c r="CL23" i="24"/>
  <c r="CS23" i="24"/>
  <c r="CT23" i="24"/>
  <c r="BE23" i="24"/>
  <c r="BF23" i="24"/>
  <c r="AC23" i="24"/>
  <c r="BY23" i="24"/>
  <c r="BZ23" i="24"/>
  <c r="BO23" i="24"/>
  <c r="BP23" i="24"/>
  <c r="BG23" i="24"/>
  <c r="AG23" i="24"/>
  <c r="CE23" i="24"/>
  <c r="BU23" i="24"/>
  <c r="CO23" i="24"/>
  <c r="AN23" i="24"/>
  <c r="CI23" i="24"/>
  <c r="CJ23" i="24"/>
  <c r="CB23" i="24"/>
  <c r="AQ23" i="24"/>
  <c r="DO23" i="24"/>
  <c r="DM23" i="24"/>
  <c r="DN23" i="24"/>
  <c r="DY23" i="24"/>
  <c r="J23" i="24"/>
  <c r="E838" i="20"/>
  <c r="F191" i="21"/>
  <c r="E929" i="20"/>
  <c r="H29" i="18"/>
  <c r="U29" i="18"/>
  <c r="K29" i="18"/>
  <c r="G29" i="18"/>
  <c r="A30" i="18"/>
  <c r="N29" i="18"/>
  <c r="C29" i="18"/>
  <c r="O29" i="18"/>
  <c r="E29" i="18"/>
  <c r="Q29" i="18"/>
  <c r="P29" i="18"/>
  <c r="T29" i="18"/>
  <c r="AG29" i="18"/>
  <c r="R29" i="18"/>
  <c r="S29" i="18"/>
  <c r="F29" i="18"/>
  <c r="B29" i="18"/>
  <c r="D29" i="18"/>
  <c r="J29" i="18"/>
  <c r="L29" i="18"/>
  <c r="I29" i="18"/>
  <c r="M29" i="18"/>
  <c r="E793" i="20"/>
  <c r="R162" i="21"/>
  <c r="W27" i="11"/>
  <c r="AI27" i="11"/>
  <c r="AU28" i="13"/>
  <c r="AA27" i="11"/>
  <c r="E190" i="21"/>
  <c r="D837" i="20"/>
  <c r="V28" i="18"/>
  <c r="AI26" i="11"/>
  <c r="Y26" i="11"/>
  <c r="BF27" i="13"/>
  <c r="AX27" i="13"/>
  <c r="E795" i="20"/>
  <c r="R164" i="21"/>
  <c r="F193" i="21"/>
  <c r="E840" i="20"/>
  <c r="D24" i="24"/>
  <c r="F24" i="24"/>
  <c r="B25" i="24"/>
  <c r="E24" i="24"/>
  <c r="C24" i="24"/>
  <c r="CY22" i="24"/>
  <c r="DO22" i="24"/>
  <c r="DM22" i="24"/>
  <c r="DN22" i="24"/>
  <c r="AQ22" i="24"/>
  <c r="BG22" i="24"/>
  <c r="CI22" i="24"/>
  <c r="CJ22" i="24"/>
  <c r="CV22" i="24"/>
  <c r="DP22" i="24"/>
  <c r="DZ22" i="24"/>
  <c r="DW22" i="24"/>
  <c r="DX22" i="24"/>
  <c r="G22" i="24"/>
  <c r="H22" i="24"/>
  <c r="AW22" i="24"/>
  <c r="AU22" i="24"/>
  <c r="AV22" i="24"/>
  <c r="AM22" i="24"/>
  <c r="EM22" i="24"/>
  <c r="S22" i="24"/>
  <c r="EC22" i="24"/>
  <c r="DC22" i="24"/>
  <c r="DD22" i="24"/>
  <c r="DF22" i="24"/>
  <c r="EG22" i="24"/>
  <c r="EH22" i="24"/>
  <c r="DS22" i="24"/>
  <c r="AN22" i="24"/>
  <c r="AD22" i="24"/>
  <c r="Q22" i="24"/>
  <c r="R22" i="24"/>
  <c r="AC22" i="24"/>
  <c r="BR22" i="24"/>
  <c r="CE22" i="24"/>
  <c r="AX22" i="24"/>
  <c r="I22" i="24"/>
  <c r="BE22" i="24"/>
  <c r="BF22" i="24"/>
  <c r="BA22" i="24"/>
  <c r="BU22" i="24"/>
  <c r="AA22" i="24"/>
  <c r="AB22" i="24"/>
  <c r="EJ22" i="24"/>
  <c r="T22" i="24"/>
  <c r="BO22" i="24"/>
  <c r="BP22" i="24"/>
  <c r="BY22" i="24"/>
  <c r="BZ22" i="24"/>
  <c r="AK22" i="24"/>
  <c r="AL22" i="24"/>
  <c r="CU22" i="24"/>
  <c r="CS22" i="24"/>
  <c r="CT22" i="24"/>
  <c r="DI22" i="24"/>
  <c r="AG22" i="24"/>
  <c r="CA22" i="24"/>
  <c r="CL22" i="24"/>
  <c r="BQ22" i="24"/>
  <c r="M22" i="24"/>
  <c r="BK22" i="24"/>
  <c r="BH22" i="24"/>
  <c r="W22" i="24"/>
  <c r="CK22" i="24"/>
  <c r="CO22" i="24"/>
  <c r="DE22" i="24"/>
  <c r="CB22" i="24"/>
  <c r="EI22" i="24"/>
  <c r="J22" i="24"/>
  <c r="DY22" i="24"/>
  <c r="K30" i="13"/>
  <c r="AR30" i="13"/>
  <c r="AS30" i="13"/>
  <c r="B30" i="13"/>
  <c r="F30" i="13"/>
  <c r="AF30" i="13"/>
  <c r="AA30" i="13"/>
  <c r="E30" i="13"/>
  <c r="C30" i="13"/>
  <c r="P30" i="13"/>
  <c r="AB30" i="13"/>
  <c r="O30" i="13"/>
  <c r="E961" i="20"/>
  <c r="T30" i="13"/>
  <c r="N30" i="13"/>
  <c r="AP30" i="13"/>
  <c r="BL30" i="13"/>
  <c r="AH30" i="13"/>
  <c r="Y30" i="13"/>
  <c r="AN30" i="13"/>
  <c r="J30" i="13"/>
  <c r="C960" i="20"/>
  <c r="X30" i="13"/>
  <c r="AD30" i="13"/>
  <c r="AL30" i="13"/>
  <c r="L30" i="13"/>
  <c r="S30" i="13"/>
  <c r="U30" i="13"/>
  <c r="Q30" i="13"/>
  <c r="D30" i="13"/>
  <c r="C958" i="20"/>
  <c r="Z30" i="13"/>
  <c r="W30" i="13"/>
  <c r="AG30" i="13"/>
  <c r="AE30" i="13"/>
  <c r="C967" i="20"/>
  <c r="AK30" i="13"/>
  <c r="H30" i="13"/>
  <c r="AI30" i="13"/>
  <c r="M30" i="13"/>
  <c r="C961" i="20"/>
  <c r="R30" i="13"/>
  <c r="AQ30" i="13"/>
  <c r="I30" i="13"/>
  <c r="G30" i="13"/>
  <c r="C959" i="20"/>
  <c r="AJ30" i="13"/>
  <c r="A31" i="13"/>
  <c r="AO30" i="13"/>
  <c r="AM30" i="13"/>
  <c r="E969" i="20"/>
  <c r="V30" i="13"/>
  <c r="AC30" i="13"/>
  <c r="BB30" i="13"/>
  <c r="E210" i="21"/>
  <c r="E217" i="21"/>
  <c r="E209" i="21"/>
  <c r="E212" i="21"/>
  <c r="D212" i="21"/>
  <c r="D205" i="21"/>
  <c r="D214" i="21"/>
  <c r="D217" i="21"/>
  <c r="E216" i="21"/>
  <c r="F204" i="21"/>
  <c r="E213" i="21"/>
  <c r="D210" i="21"/>
  <c r="E211" i="21"/>
  <c r="F205" i="21"/>
  <c r="D213" i="21"/>
  <c r="B224" i="21"/>
  <c r="B226" i="21"/>
  <c r="F206" i="21"/>
  <c r="D208" i="21"/>
  <c r="B223" i="21"/>
  <c r="D216" i="21"/>
  <c r="B202" i="21"/>
  <c r="D211" i="21"/>
  <c r="D209" i="21"/>
  <c r="D204" i="21"/>
  <c r="D207" i="21"/>
  <c r="E208" i="21"/>
  <c r="E204" i="21"/>
  <c r="E206" i="21"/>
  <c r="F208" i="21"/>
  <c r="F209" i="21"/>
  <c r="C201" i="21"/>
  <c r="H201" i="21"/>
  <c r="E202" i="21"/>
  <c r="F210" i="21"/>
  <c r="E207" i="21"/>
  <c r="B225" i="21"/>
  <c r="E214" i="21"/>
  <c r="F212" i="21"/>
  <c r="F220" i="21"/>
  <c r="F207" i="21"/>
  <c r="D215" i="21"/>
  <c r="F216" i="21"/>
  <c r="F211" i="21"/>
  <c r="E205" i="21"/>
  <c r="F213" i="21"/>
  <c r="F215" i="21"/>
  <c r="E215" i="21"/>
  <c r="F217" i="21"/>
  <c r="F214" i="21"/>
  <c r="D206" i="21"/>
  <c r="C965" i="20"/>
  <c r="D967" i="20"/>
  <c r="D962" i="20"/>
  <c r="F1036" i="20"/>
  <c r="E962" i="20"/>
  <c r="A981" i="20"/>
  <c r="D960" i="20"/>
  <c r="E967" i="20"/>
  <c r="E963" i="20"/>
  <c r="E966" i="20"/>
  <c r="D959" i="20"/>
  <c r="E965" i="20"/>
  <c r="E964" i="20"/>
  <c r="C963" i="20"/>
  <c r="C970" i="20"/>
  <c r="D969" i="20"/>
  <c r="C953" i="20"/>
  <c r="D970" i="20"/>
  <c r="D961" i="20"/>
  <c r="C969" i="20"/>
  <c r="E971" i="20"/>
  <c r="D964" i="20"/>
  <c r="C966" i="20"/>
  <c r="A979" i="20"/>
  <c r="C971" i="20"/>
  <c r="D963" i="20"/>
  <c r="D966" i="20"/>
  <c r="E974" i="20"/>
  <c r="E960" i="20"/>
  <c r="E954" i="20"/>
  <c r="E970" i="20"/>
  <c r="E958" i="20"/>
  <c r="E968" i="20"/>
  <c r="C962" i="20"/>
  <c r="C968" i="20"/>
  <c r="A980" i="20"/>
  <c r="C964" i="20"/>
  <c r="A978" i="20"/>
  <c r="E959" i="20"/>
  <c r="D971" i="20"/>
  <c r="C954" i="20"/>
  <c r="D965" i="20"/>
  <c r="D958" i="20"/>
  <c r="D968" i="20"/>
  <c r="A30" i="11"/>
  <c r="F29" i="11"/>
  <c r="T29" i="11"/>
  <c r="E29" i="11"/>
  <c r="M29" i="11"/>
  <c r="P29" i="11"/>
  <c r="R29" i="11"/>
  <c r="S29" i="11"/>
  <c r="AG29" i="11"/>
  <c r="N29" i="11"/>
  <c r="J29" i="11"/>
  <c r="L29" i="11"/>
  <c r="B29" i="11"/>
  <c r="C29" i="11"/>
  <c r="D29" i="11"/>
  <c r="H29" i="11"/>
  <c r="O29" i="11"/>
  <c r="G29" i="11"/>
  <c r="Q29" i="11"/>
  <c r="I29" i="11"/>
  <c r="U29" i="11"/>
  <c r="K29" i="11"/>
  <c r="V28" i="11"/>
  <c r="W27" i="18"/>
  <c r="AI27" i="18"/>
  <c r="AB27" i="18"/>
  <c r="AV28" i="13"/>
  <c r="G31" i="10"/>
  <c r="D31" i="10"/>
  <c r="F31" i="10"/>
  <c r="B31" i="10"/>
  <c r="C31" i="10"/>
  <c r="K31" i="10"/>
  <c r="A32" i="10"/>
  <c r="I31" i="10"/>
  <c r="J31" i="10"/>
  <c r="L31" i="10"/>
  <c r="E31" i="10"/>
  <c r="H31" i="10"/>
  <c r="M31" i="10"/>
  <c r="P31" i="10"/>
  <c r="D617" i="25"/>
  <c r="F618" i="25"/>
  <c r="D618" i="25"/>
  <c r="B668" i="25"/>
  <c r="AH46" i="4"/>
  <c r="Y51" i="8"/>
  <c r="W52" i="8"/>
  <c r="X51" i="8"/>
  <c r="H49" i="4"/>
  <c r="U49" i="4"/>
  <c r="G49" i="4"/>
  <c r="P49" i="4"/>
  <c r="M49" i="4"/>
  <c r="F49" i="4"/>
  <c r="R49" i="4"/>
  <c r="S49" i="4"/>
  <c r="A50" i="4"/>
  <c r="AA49" i="4"/>
  <c r="C49" i="4"/>
  <c r="E49" i="4"/>
  <c r="N49" i="4"/>
  <c r="D49" i="4"/>
  <c r="J49" i="4"/>
  <c r="AG49" i="4"/>
  <c r="Q49" i="4"/>
  <c r="T49" i="4"/>
  <c r="K49" i="4"/>
  <c r="Y49" i="4"/>
  <c r="I49" i="4"/>
  <c r="O49" i="4"/>
  <c r="B49" i="4"/>
  <c r="L49" i="4"/>
  <c r="D51" i="2"/>
  <c r="G51" i="2"/>
  <c r="A52" i="2"/>
  <c r="K51" i="2"/>
  <c r="N51" i="2"/>
  <c r="F51" i="2"/>
  <c r="J51" i="2"/>
  <c r="H51" i="2"/>
  <c r="B51" i="2"/>
  <c r="I51" i="2"/>
  <c r="C51" i="2"/>
  <c r="E51" i="2"/>
  <c r="D44" i="27"/>
  <c r="B45" i="27"/>
  <c r="E44" i="27"/>
  <c r="C44" i="27"/>
  <c r="F44" i="27"/>
  <c r="M44" i="27"/>
  <c r="N44" i="27"/>
  <c r="O44" i="27"/>
  <c r="AK44" i="27"/>
  <c r="AL44" i="27"/>
  <c r="AM44" i="27"/>
  <c r="BI44" i="27"/>
  <c r="BJ44" i="27"/>
  <c r="BK44" i="27"/>
  <c r="CA44" i="27"/>
  <c r="CB44" i="27"/>
  <c r="CC44" i="27"/>
  <c r="G44" i="27"/>
  <c r="H44" i="27"/>
  <c r="I44" i="27"/>
  <c r="AE44" i="27"/>
  <c r="AF44" i="27"/>
  <c r="AG44" i="27"/>
  <c r="BC44" i="27"/>
  <c r="BD44" i="27"/>
  <c r="BE44" i="27"/>
  <c r="AQ44" i="27"/>
  <c r="AR44" i="27"/>
  <c r="AS44" i="27"/>
  <c r="AW44" i="27"/>
  <c r="AX44" i="27"/>
  <c r="AY44" i="27"/>
  <c r="CG44" i="27"/>
  <c r="CH44" i="27"/>
  <c r="CI44" i="27"/>
  <c r="Y44" i="27"/>
  <c r="Z44" i="27"/>
  <c r="AA44" i="27"/>
  <c r="BO44" i="27"/>
  <c r="BP44" i="27"/>
  <c r="BQ44" i="27"/>
  <c r="BU44" i="27"/>
  <c r="BV44" i="27"/>
  <c r="BW44" i="27"/>
  <c r="S44" i="27"/>
  <c r="T44" i="27"/>
  <c r="U44" i="27"/>
  <c r="V48" i="4"/>
  <c r="D1942" i="17"/>
  <c r="D1950" i="17"/>
  <c r="D1943" i="17"/>
  <c r="D1944" i="17"/>
  <c r="C1937" i="17"/>
  <c r="A1965" i="17"/>
  <c r="D1951" i="17"/>
  <c r="D1954" i="17"/>
  <c r="D1957" i="17"/>
  <c r="D1940" i="17"/>
  <c r="D1948" i="17"/>
  <c r="C1936" i="17"/>
  <c r="D1958" i="17"/>
  <c r="D1946" i="17"/>
  <c r="D1945" i="17"/>
  <c r="A1964" i="17"/>
  <c r="D1937" i="17"/>
  <c r="D1953" i="17"/>
  <c r="E2022" i="17"/>
  <c r="D1959" i="17"/>
  <c r="D1941" i="17"/>
  <c r="A1963" i="17"/>
  <c r="D1952" i="17"/>
  <c r="D1949" i="17"/>
  <c r="D1947" i="17"/>
  <c r="A1962" i="17"/>
  <c r="W47" i="4"/>
  <c r="AI47" i="4"/>
  <c r="CB24" i="24"/>
  <c r="T24" i="24"/>
  <c r="DZ24" i="24"/>
  <c r="AW24" i="24"/>
  <c r="DF24" i="24"/>
  <c r="BO24" i="24"/>
  <c r="BP24" i="24"/>
  <c r="BE24" i="24"/>
  <c r="BF24" i="24"/>
  <c r="CU24" i="24"/>
  <c r="EG24" i="24"/>
  <c r="EH24" i="24"/>
  <c r="DM24" i="24"/>
  <c r="DN24" i="24"/>
  <c r="CL24" i="24"/>
  <c r="EI24" i="24"/>
  <c r="DS24" i="24"/>
  <c r="DE24" i="24"/>
  <c r="AU24" i="24"/>
  <c r="AV24" i="24"/>
  <c r="DC24" i="24"/>
  <c r="DD24" i="24"/>
  <c r="BG24" i="24"/>
  <c r="CE24" i="24"/>
  <c r="BU24" i="24"/>
  <c r="EC24" i="24"/>
  <c r="CV24" i="24"/>
  <c r="BY24" i="24"/>
  <c r="BZ24" i="24"/>
  <c r="AM24" i="24"/>
  <c r="I24" i="24"/>
  <c r="AN24" i="24"/>
  <c r="AQ24" i="24"/>
  <c r="M24" i="24"/>
  <c r="DP24" i="24"/>
  <c r="BQ24" i="24"/>
  <c r="DY24" i="24"/>
  <c r="CO24" i="24"/>
  <c r="BK24" i="24"/>
  <c r="AC24" i="24"/>
  <c r="G24" i="24"/>
  <c r="H24" i="24"/>
  <c r="AD24" i="24"/>
  <c r="S24" i="24"/>
  <c r="CS24" i="24"/>
  <c r="CT24" i="24"/>
  <c r="AK24" i="24"/>
  <c r="AL24" i="24"/>
  <c r="W24" i="24"/>
  <c r="CY24" i="24"/>
  <c r="AX24" i="24"/>
  <c r="AA24" i="24"/>
  <c r="AB24" i="24"/>
  <c r="Q24" i="24"/>
  <c r="R24" i="24"/>
  <c r="EM24" i="24"/>
  <c r="J24" i="24"/>
  <c r="CK24" i="24"/>
  <c r="AG24" i="24"/>
  <c r="EJ24" i="24"/>
  <c r="BA24" i="24"/>
  <c r="DO24" i="24"/>
  <c r="BR24" i="24"/>
  <c r="CA24" i="24"/>
  <c r="BH24" i="24"/>
  <c r="DW24" i="24"/>
  <c r="DX24" i="24"/>
  <c r="CI24" i="24"/>
  <c r="CJ24" i="24"/>
  <c r="DI24" i="24"/>
  <c r="AH27" i="18"/>
  <c r="Y27" i="18"/>
  <c r="BC28" i="13"/>
  <c r="AY28" i="13"/>
  <c r="G30" i="11"/>
  <c r="L30" i="11"/>
  <c r="M30" i="11"/>
  <c r="C30" i="11"/>
  <c r="D30" i="11"/>
  <c r="P30" i="11"/>
  <c r="R30" i="11"/>
  <c r="S30" i="11"/>
  <c r="Q30" i="11"/>
  <c r="O30" i="11"/>
  <c r="I30" i="11"/>
  <c r="B30" i="11"/>
  <c r="H30" i="11"/>
  <c r="J30" i="11"/>
  <c r="F30" i="11"/>
  <c r="AG30" i="11"/>
  <c r="N30" i="11"/>
  <c r="K30" i="11"/>
  <c r="U30" i="11"/>
  <c r="T30" i="11"/>
  <c r="A31" i="11"/>
  <c r="E30" i="11"/>
  <c r="A1024" i="20"/>
  <c r="C998" i="20"/>
  <c r="E999" i="20"/>
  <c r="A1026" i="20"/>
  <c r="F1081" i="20"/>
  <c r="A1025" i="20"/>
  <c r="C999" i="20"/>
  <c r="A1023" i="20"/>
  <c r="BA30" i="13"/>
  <c r="K22" i="24"/>
  <c r="L22" i="24"/>
  <c r="D563" i="25"/>
  <c r="C563" i="25"/>
  <c r="CP22" i="24"/>
  <c r="CQ22" i="24"/>
  <c r="F571" i="25"/>
  <c r="E571" i="25"/>
  <c r="BL22" i="24"/>
  <c r="BM22" i="24"/>
  <c r="F568" i="25"/>
  <c r="E568" i="25"/>
  <c r="U22" i="24"/>
  <c r="V22" i="24"/>
  <c r="D564" i="25"/>
  <c r="C564" i="25"/>
  <c r="BB22" i="24"/>
  <c r="BC22" i="24"/>
  <c r="F567" i="25"/>
  <c r="E567" i="25"/>
  <c r="CF22" i="24"/>
  <c r="CG22" i="24"/>
  <c r="F570" i="25"/>
  <c r="E570" i="25"/>
  <c r="AE22" i="24"/>
  <c r="AF22" i="24"/>
  <c r="D565" i="25"/>
  <c r="C565" i="25"/>
  <c r="DG22" i="24"/>
  <c r="DH22" i="24"/>
  <c r="D573" i="25"/>
  <c r="C573" i="25"/>
  <c r="EN22" i="24"/>
  <c r="EO22" i="24"/>
  <c r="F576" i="25"/>
  <c r="E576" i="25"/>
  <c r="CW22" i="24"/>
  <c r="CX22" i="24"/>
  <c r="D572" i="25"/>
  <c r="C572" i="25"/>
  <c r="D838" i="20"/>
  <c r="E191" i="21"/>
  <c r="K23" i="24"/>
  <c r="L23" i="24"/>
  <c r="D592" i="25"/>
  <c r="C592" i="25"/>
  <c r="AR23" i="24"/>
  <c r="AS23" i="24"/>
  <c r="F595" i="25"/>
  <c r="E595" i="25"/>
  <c r="CP23" i="24"/>
  <c r="CQ23" i="24"/>
  <c r="F600" i="25"/>
  <c r="E600" i="25"/>
  <c r="X23" i="24"/>
  <c r="Y23" i="24"/>
  <c r="F593" i="25"/>
  <c r="E593" i="25"/>
  <c r="EN23" i="24"/>
  <c r="EO23" i="24"/>
  <c r="F605" i="25"/>
  <c r="E605" i="25"/>
  <c r="EA23" i="24"/>
  <c r="EB23" i="24"/>
  <c r="D604" i="25"/>
  <c r="C604" i="25"/>
  <c r="DT23" i="24"/>
  <c r="DU23" i="24"/>
  <c r="F603" i="25"/>
  <c r="E603" i="25"/>
  <c r="EK23" i="24"/>
  <c r="EL23" i="24"/>
  <c r="D605" i="25"/>
  <c r="C605" i="25"/>
  <c r="BS23" i="24"/>
  <c r="BT23" i="24"/>
  <c r="D598" i="25"/>
  <c r="C598" i="25"/>
  <c r="L190" i="21"/>
  <c r="E882" i="20"/>
  <c r="W28" i="11"/>
  <c r="AH28" i="11"/>
  <c r="AU29" i="13"/>
  <c r="AA28" i="11"/>
  <c r="J209" i="21"/>
  <c r="K213" i="21"/>
  <c r="K214" i="21"/>
  <c r="L207" i="21"/>
  <c r="L213" i="21"/>
  <c r="J215" i="21"/>
  <c r="L217" i="21"/>
  <c r="L204" i="21"/>
  <c r="L215" i="21"/>
  <c r="K215" i="21"/>
  <c r="K209" i="21"/>
  <c r="J210" i="21"/>
  <c r="K211" i="21"/>
  <c r="N201" i="21"/>
  <c r="K206" i="21"/>
  <c r="J213" i="21"/>
  <c r="H202" i="21"/>
  <c r="H224" i="21"/>
  <c r="H225" i="21"/>
  <c r="L208" i="21"/>
  <c r="K202" i="21"/>
  <c r="J204" i="21"/>
  <c r="K208" i="21"/>
  <c r="I201" i="21"/>
  <c r="L206" i="21"/>
  <c r="J207" i="21"/>
  <c r="J217" i="21"/>
  <c r="L210" i="21"/>
  <c r="K210" i="21"/>
  <c r="L209" i="21"/>
  <c r="J205" i="21"/>
  <c r="K216" i="21"/>
  <c r="K207" i="21"/>
  <c r="L212" i="21"/>
  <c r="J211" i="21"/>
  <c r="K212" i="21"/>
  <c r="H226" i="21"/>
  <c r="J208" i="21"/>
  <c r="J216" i="21"/>
  <c r="J214" i="21"/>
  <c r="H223" i="21"/>
  <c r="L216" i="21"/>
  <c r="L211" i="21"/>
  <c r="J206" i="21"/>
  <c r="J212" i="21"/>
  <c r="L214" i="21"/>
  <c r="K205" i="21"/>
  <c r="K217" i="21"/>
  <c r="L205" i="21"/>
  <c r="K204" i="21"/>
  <c r="AS31" i="13"/>
  <c r="E1016" i="20"/>
  <c r="E31" i="13"/>
  <c r="D1003" i="20"/>
  <c r="D31" i="13"/>
  <c r="C1003" i="20"/>
  <c r="AC31" i="13"/>
  <c r="D1011" i="20"/>
  <c r="Z31" i="13"/>
  <c r="D1010" i="20"/>
  <c r="AK31" i="13"/>
  <c r="C1014" i="20"/>
  <c r="AJ31" i="13"/>
  <c r="E1013" i="20"/>
  <c r="A32" i="13"/>
  <c r="G31" i="13"/>
  <c r="C1004" i="20"/>
  <c r="AL31" i="13"/>
  <c r="D1014" i="20"/>
  <c r="Y31" i="13"/>
  <c r="C1010" i="20"/>
  <c r="L31" i="13"/>
  <c r="E1005" i="20"/>
  <c r="AB31" i="13"/>
  <c r="C1011" i="20"/>
  <c r="S31" i="13"/>
  <c r="C1008" i="20"/>
  <c r="N31" i="13"/>
  <c r="D1006" i="20"/>
  <c r="O31" i="13"/>
  <c r="E1006" i="20"/>
  <c r="Q31" i="13"/>
  <c r="D1007" i="20"/>
  <c r="H31" i="13"/>
  <c r="D1004" i="20"/>
  <c r="AP31" i="13"/>
  <c r="E1015" i="20"/>
  <c r="AH31" i="13"/>
  <c r="C1013" i="20"/>
  <c r="B31" i="13"/>
  <c r="AN31" i="13"/>
  <c r="C1015" i="20"/>
  <c r="R31" i="13"/>
  <c r="E1007" i="20"/>
  <c r="AQ31" i="13"/>
  <c r="C1016" i="20"/>
  <c r="T31" i="13"/>
  <c r="D1008" i="20"/>
  <c r="F31" i="13"/>
  <c r="E1003" i="20"/>
  <c r="M31" i="13"/>
  <c r="C1006" i="20"/>
  <c r="AF31" i="13"/>
  <c r="D1012" i="20"/>
  <c r="I31" i="13"/>
  <c r="E1004" i="20"/>
  <c r="BL31" i="13"/>
  <c r="K31" i="13"/>
  <c r="D1005" i="20"/>
  <c r="U31" i="13"/>
  <c r="E1008" i="20"/>
  <c r="AO31" i="13"/>
  <c r="D1015" i="20"/>
  <c r="W31" i="13"/>
  <c r="D1009" i="20"/>
  <c r="AM31" i="13"/>
  <c r="E1014" i="20"/>
  <c r="AD31" i="13"/>
  <c r="E1011" i="20"/>
  <c r="C31" i="13"/>
  <c r="AR31" i="13"/>
  <c r="D1016" i="20"/>
  <c r="J31" i="13"/>
  <c r="C1005" i="20"/>
  <c r="AI31" i="13"/>
  <c r="D1013" i="20"/>
  <c r="V31" i="13"/>
  <c r="C1009" i="20"/>
  <c r="AG31" i="13"/>
  <c r="E1012" i="20"/>
  <c r="AE31" i="13"/>
  <c r="C1012" i="20"/>
  <c r="X31" i="13"/>
  <c r="E1009" i="20"/>
  <c r="AA31" i="13"/>
  <c r="E1010" i="20"/>
  <c r="BA31" i="13"/>
  <c r="D1019" i="20"/>
  <c r="P31" i="13"/>
  <c r="C1007" i="20"/>
  <c r="N22" i="24"/>
  <c r="O22" i="24"/>
  <c r="F563" i="25"/>
  <c r="E563" i="25"/>
  <c r="AH22" i="24"/>
  <c r="AI22" i="24"/>
  <c r="F565" i="25"/>
  <c r="E565" i="25"/>
  <c r="EK22" i="24"/>
  <c r="EL22" i="24"/>
  <c r="D576" i="25"/>
  <c r="C576" i="25"/>
  <c r="BS22" i="24"/>
  <c r="BT22" i="24"/>
  <c r="D569" i="25"/>
  <c r="C569" i="25"/>
  <c r="AO22" i="24"/>
  <c r="AP22" i="24"/>
  <c r="D566" i="25"/>
  <c r="C566" i="25"/>
  <c r="E193" i="21"/>
  <c r="D840" i="20"/>
  <c r="AH27" i="11"/>
  <c r="Y27" i="11"/>
  <c r="BF28" i="13"/>
  <c r="AX28" i="13"/>
  <c r="CC23" i="24"/>
  <c r="CD23" i="24"/>
  <c r="D599" i="25"/>
  <c r="C599" i="25"/>
  <c r="BV23" i="24"/>
  <c r="BW23" i="24"/>
  <c r="F598" i="25"/>
  <c r="E598" i="25"/>
  <c r="BI23" i="24"/>
  <c r="BJ23" i="24"/>
  <c r="D597" i="25"/>
  <c r="C597" i="25"/>
  <c r="BL23" i="24"/>
  <c r="BM23" i="24"/>
  <c r="F597" i="25"/>
  <c r="E597" i="25"/>
  <c r="AY23" i="24"/>
  <c r="AZ23" i="24"/>
  <c r="D596" i="25"/>
  <c r="C596" i="25"/>
  <c r="N23" i="24"/>
  <c r="O23" i="24"/>
  <c r="F592" i="25"/>
  <c r="E592" i="25"/>
  <c r="U23" i="24"/>
  <c r="V23" i="24"/>
  <c r="D593" i="25"/>
  <c r="C593" i="25"/>
  <c r="DQ23" i="24"/>
  <c r="DR23" i="24"/>
  <c r="D603" i="25"/>
  <c r="C603" i="25"/>
  <c r="DG23" i="24"/>
  <c r="DH23" i="24"/>
  <c r="D602" i="25"/>
  <c r="C602" i="25"/>
  <c r="CZ23" i="24"/>
  <c r="DA23" i="24"/>
  <c r="F601" i="25"/>
  <c r="E601" i="25"/>
  <c r="F647" i="25"/>
  <c r="B697" i="25"/>
  <c r="B32" i="10"/>
  <c r="E32" i="10"/>
  <c r="L32" i="10"/>
  <c r="J32" i="10"/>
  <c r="I32" i="10"/>
  <c r="M32" i="10"/>
  <c r="P32" i="10"/>
  <c r="D32" i="10"/>
  <c r="C32" i="10"/>
  <c r="A33" i="10"/>
  <c r="K32" i="10"/>
  <c r="G32" i="10"/>
  <c r="F32" i="10"/>
  <c r="H32" i="10"/>
  <c r="V29" i="11"/>
  <c r="AU30" i="13"/>
  <c r="CC22" i="24"/>
  <c r="CD22" i="24"/>
  <c r="D570" i="25"/>
  <c r="C570" i="25"/>
  <c r="X22" i="24"/>
  <c r="Y22" i="24"/>
  <c r="F564" i="25"/>
  <c r="E564" i="25"/>
  <c r="DJ22" i="24"/>
  <c r="DK22" i="24"/>
  <c r="F573" i="25"/>
  <c r="E573" i="25"/>
  <c r="DT22" i="24"/>
  <c r="DU22" i="24"/>
  <c r="F574" i="25"/>
  <c r="E574" i="25"/>
  <c r="ED22" i="24"/>
  <c r="EE22" i="24"/>
  <c r="F575" i="25"/>
  <c r="E575" i="25"/>
  <c r="EA22" i="24"/>
  <c r="EB22" i="24"/>
  <c r="D575" i="25"/>
  <c r="C575" i="25"/>
  <c r="CZ22" i="24"/>
  <c r="DA22" i="24"/>
  <c r="F572" i="25"/>
  <c r="E572" i="25"/>
  <c r="B26" i="24"/>
  <c r="D25" i="24"/>
  <c r="D646" i="25"/>
  <c r="E25" i="24"/>
  <c r="F25" i="24"/>
  <c r="D647" i="25"/>
  <c r="C25" i="24"/>
  <c r="S25" i="24"/>
  <c r="CL25" i="24"/>
  <c r="CM25" i="24"/>
  <c r="CN25" i="24"/>
  <c r="D658" i="25"/>
  <c r="DO25" i="24"/>
  <c r="C30" i="18"/>
  <c r="P30" i="18"/>
  <c r="L30" i="18"/>
  <c r="I30" i="18"/>
  <c r="AG30" i="18"/>
  <c r="G30" i="18"/>
  <c r="D30" i="18"/>
  <c r="Q30" i="18"/>
  <c r="U30" i="18"/>
  <c r="T30" i="18"/>
  <c r="R30" i="18"/>
  <c r="S30" i="18"/>
  <c r="A31" i="18"/>
  <c r="O30" i="18"/>
  <c r="N30" i="18"/>
  <c r="J30" i="18"/>
  <c r="E30" i="18"/>
  <c r="H30" i="18"/>
  <c r="B30" i="18"/>
  <c r="M30" i="18"/>
  <c r="F30" i="18"/>
  <c r="K30" i="18"/>
  <c r="CF23" i="24"/>
  <c r="CG23" i="24"/>
  <c r="F599" i="25"/>
  <c r="E599" i="25"/>
  <c r="CM23" i="24"/>
  <c r="CN23" i="24"/>
  <c r="D600" i="25"/>
  <c r="C600" i="25"/>
  <c r="AE23" i="24"/>
  <c r="AF23" i="24"/>
  <c r="D594" i="25"/>
  <c r="C594" i="25"/>
  <c r="CW23" i="24"/>
  <c r="CX23" i="24"/>
  <c r="D601" i="25"/>
  <c r="C601" i="25"/>
  <c r="ED23" i="24"/>
  <c r="EE23" i="24"/>
  <c r="F604" i="25"/>
  <c r="E604" i="25"/>
  <c r="DJ23" i="24"/>
  <c r="DK23" i="24"/>
  <c r="F602" i="25"/>
  <c r="E602" i="25"/>
  <c r="BI22" i="24"/>
  <c r="BJ22" i="24"/>
  <c r="D568" i="25"/>
  <c r="C568" i="25"/>
  <c r="CM22" i="24"/>
  <c r="CN22" i="24"/>
  <c r="D571" i="25"/>
  <c r="C571" i="25"/>
  <c r="BV22" i="24"/>
  <c r="BW22" i="24"/>
  <c r="F569" i="25"/>
  <c r="E569" i="25"/>
  <c r="AY22" i="24"/>
  <c r="AZ22" i="24"/>
  <c r="D567" i="25"/>
  <c r="C567" i="25"/>
  <c r="DQ22" i="24"/>
  <c r="DR22" i="24"/>
  <c r="D574" i="25"/>
  <c r="C574" i="25"/>
  <c r="AR22" i="24"/>
  <c r="AS22" i="24"/>
  <c r="F566" i="25"/>
  <c r="E566" i="25"/>
  <c r="W28" i="18"/>
  <c r="AI28" i="18"/>
  <c r="AV29" i="13"/>
  <c r="AB28" i="18"/>
  <c r="D882" i="20"/>
  <c r="K190" i="21"/>
  <c r="V29" i="18"/>
  <c r="AO23" i="24"/>
  <c r="AP23" i="24"/>
  <c r="D595" i="25"/>
  <c r="C595" i="25"/>
  <c r="AH23" i="24"/>
  <c r="AI23" i="24"/>
  <c r="F594" i="25"/>
  <c r="E594" i="25"/>
  <c r="BB23" i="24"/>
  <c r="BC23" i="24"/>
  <c r="F596" i="25"/>
  <c r="E596" i="25"/>
  <c r="AH47" i="4"/>
  <c r="D1989" i="17"/>
  <c r="D1997" i="17"/>
  <c r="D1990" i="17"/>
  <c r="D2000" i="17"/>
  <c r="E2069" i="17"/>
  <c r="D1984" i="17"/>
  <c r="D2005" i="17"/>
  <c r="D1991" i="17"/>
  <c r="D1996" i="17"/>
  <c r="D1988" i="17"/>
  <c r="C1984" i="17"/>
  <c r="D1987" i="17"/>
  <c r="D2001" i="17"/>
  <c r="A2010" i="17"/>
  <c r="D2006" i="17"/>
  <c r="D1995" i="17"/>
  <c r="A2011" i="17"/>
  <c r="D1994" i="17"/>
  <c r="D2004" i="17"/>
  <c r="D1992" i="17"/>
  <c r="A2012" i="17"/>
  <c r="D1993" i="17"/>
  <c r="D1999" i="17"/>
  <c r="D1998" i="17"/>
  <c r="C1983" i="17"/>
  <c r="A2009" i="17"/>
  <c r="C45" i="27"/>
  <c r="D45" i="27"/>
  <c r="B46" i="27"/>
  <c r="E45" i="27"/>
  <c r="F45" i="27"/>
  <c r="S45" i="27"/>
  <c r="T45" i="27"/>
  <c r="U45" i="27"/>
  <c r="AQ45" i="27"/>
  <c r="AR45" i="27"/>
  <c r="AS45" i="27"/>
  <c r="BO45" i="27"/>
  <c r="BP45" i="27"/>
  <c r="BQ45" i="27"/>
  <c r="CG45" i="27"/>
  <c r="CH45" i="27"/>
  <c r="CI45" i="27"/>
  <c r="M45" i="27"/>
  <c r="N45" i="27"/>
  <c r="O45" i="27"/>
  <c r="AK45" i="27"/>
  <c r="AL45" i="27"/>
  <c r="AM45" i="27"/>
  <c r="BI45" i="27"/>
  <c r="BJ45" i="27"/>
  <c r="BK45" i="27"/>
  <c r="CA45" i="27"/>
  <c r="CB45" i="27"/>
  <c r="CC45" i="27"/>
  <c r="AE45" i="27"/>
  <c r="AF45" i="27"/>
  <c r="AG45" i="27"/>
  <c r="AW45" i="27"/>
  <c r="AX45" i="27"/>
  <c r="AY45" i="27"/>
  <c r="BC45" i="27"/>
  <c r="BD45" i="27"/>
  <c r="BE45" i="27"/>
  <c r="Y45" i="27"/>
  <c r="Z45" i="27"/>
  <c r="AA45" i="27"/>
  <c r="G45" i="27"/>
  <c r="H45" i="27"/>
  <c r="I45" i="27"/>
  <c r="BU45" i="27"/>
  <c r="BV45" i="27"/>
  <c r="BW45" i="27"/>
  <c r="C50" i="4"/>
  <c r="O50" i="4"/>
  <c r="P50" i="4"/>
  <c r="L50" i="4"/>
  <c r="I50" i="4"/>
  <c r="B50" i="4"/>
  <c r="R50" i="4"/>
  <c r="S50" i="4"/>
  <c r="A51" i="4"/>
  <c r="M50" i="4"/>
  <c r="D50" i="4"/>
  <c r="Y50" i="4"/>
  <c r="AA50" i="4"/>
  <c r="F50" i="4"/>
  <c r="AG50" i="4"/>
  <c r="J50" i="4"/>
  <c r="G50" i="4"/>
  <c r="T50" i="4"/>
  <c r="U50" i="4"/>
  <c r="E50" i="4"/>
  <c r="K50" i="4"/>
  <c r="Q50" i="4"/>
  <c r="H50" i="4"/>
  <c r="N50" i="4"/>
  <c r="V49" i="4"/>
  <c r="X52" i="8"/>
  <c r="W53" i="8"/>
  <c r="Y52" i="8"/>
  <c r="W48" i="4"/>
  <c r="AH48" i="4"/>
  <c r="F52" i="2"/>
  <c r="B52" i="2"/>
  <c r="C52" i="2"/>
  <c r="H52" i="2"/>
  <c r="E52" i="2"/>
  <c r="A53" i="2"/>
  <c r="D52" i="2"/>
  <c r="J52" i="2"/>
  <c r="K52" i="2"/>
  <c r="N52" i="2"/>
  <c r="I52" i="2"/>
  <c r="G52" i="2"/>
  <c r="E218" i="21"/>
  <c r="D972" i="20"/>
  <c r="DF25" i="24"/>
  <c r="AA25" i="24"/>
  <c r="AB25" i="24"/>
  <c r="J25" i="24"/>
  <c r="DI25" i="24"/>
  <c r="AW25" i="24"/>
  <c r="DP25" i="24"/>
  <c r="BK25" i="24"/>
  <c r="CO25" i="24"/>
  <c r="AC25" i="24"/>
  <c r="AD25" i="24"/>
  <c r="B27" i="24"/>
  <c r="E26" i="24"/>
  <c r="F26" i="24"/>
  <c r="D26" i="24"/>
  <c r="C26" i="24"/>
  <c r="BE25" i="24"/>
  <c r="BF25" i="24"/>
  <c r="BH25" i="24"/>
  <c r="EC25" i="24"/>
  <c r="BQ25" i="24"/>
  <c r="G25" i="24"/>
  <c r="H25" i="24"/>
  <c r="D33" i="10"/>
  <c r="M33" i="10"/>
  <c r="P33" i="10"/>
  <c r="A34" i="10"/>
  <c r="E33" i="10"/>
  <c r="B33" i="10"/>
  <c r="C33" i="10"/>
  <c r="K33" i="10"/>
  <c r="G33" i="10"/>
  <c r="I33" i="10"/>
  <c r="J33" i="10"/>
  <c r="F33" i="10"/>
  <c r="L33" i="10"/>
  <c r="H33" i="10"/>
  <c r="K220" i="21"/>
  <c r="E883" i="20"/>
  <c r="L191" i="21"/>
  <c r="DJ24" i="24"/>
  <c r="DK24" i="24"/>
  <c r="F631" i="25"/>
  <c r="E631" i="25"/>
  <c r="EK24" i="24"/>
  <c r="EL24" i="24"/>
  <c r="D634" i="25"/>
  <c r="C634" i="25"/>
  <c r="EN24" i="24"/>
  <c r="EO24" i="24"/>
  <c r="F634" i="25"/>
  <c r="E634" i="25"/>
  <c r="CZ24" i="24"/>
  <c r="DA24" i="24"/>
  <c r="F630" i="25"/>
  <c r="E630" i="25"/>
  <c r="BL24" i="24"/>
  <c r="BM24" i="24"/>
  <c r="F626" i="25"/>
  <c r="E626" i="25"/>
  <c r="DQ24" i="24"/>
  <c r="DR24" i="24"/>
  <c r="D632" i="25"/>
  <c r="C632" i="25"/>
  <c r="ED24" i="24"/>
  <c r="EE24" i="24"/>
  <c r="F633" i="25"/>
  <c r="E633" i="25"/>
  <c r="W29" i="18"/>
  <c r="AI29" i="18"/>
  <c r="AB29" i="18"/>
  <c r="AV30" i="13"/>
  <c r="R190" i="21"/>
  <c r="E927" i="20"/>
  <c r="V30" i="18"/>
  <c r="DS25" i="24"/>
  <c r="DZ25" i="24"/>
  <c r="CE25" i="24"/>
  <c r="CS25" i="24"/>
  <c r="CT25" i="24"/>
  <c r="AG25" i="24"/>
  <c r="CB25" i="24"/>
  <c r="EI25" i="24"/>
  <c r="BY25" i="24"/>
  <c r="BZ25" i="24"/>
  <c r="M25" i="24"/>
  <c r="EG25" i="24"/>
  <c r="EH25" i="24"/>
  <c r="BR25" i="24"/>
  <c r="I25" i="24"/>
  <c r="T25" i="24"/>
  <c r="DM25" i="24"/>
  <c r="DN25" i="24"/>
  <c r="BA25" i="24"/>
  <c r="C658" i="25"/>
  <c r="D883" i="20"/>
  <c r="K191" i="21"/>
  <c r="AI32" i="13"/>
  <c r="L32" i="13"/>
  <c r="AQ32" i="13"/>
  <c r="AN32" i="13"/>
  <c r="O32" i="13"/>
  <c r="N32" i="13"/>
  <c r="AK32" i="13"/>
  <c r="AS32" i="13"/>
  <c r="G32" i="13"/>
  <c r="V32" i="13"/>
  <c r="B32" i="13"/>
  <c r="K32" i="13"/>
  <c r="U32" i="13"/>
  <c r="Z32" i="13"/>
  <c r="AD32" i="13"/>
  <c r="F32" i="13"/>
  <c r="T32" i="13"/>
  <c r="AG32" i="13"/>
  <c r="AH32" i="13"/>
  <c r="Q32" i="13"/>
  <c r="I32" i="13"/>
  <c r="M32" i="13"/>
  <c r="AA32" i="13"/>
  <c r="W32" i="13"/>
  <c r="H32" i="13"/>
  <c r="S32" i="13"/>
  <c r="AE32" i="13"/>
  <c r="A33" i="13"/>
  <c r="AB32" i="13"/>
  <c r="X32" i="13"/>
  <c r="J32" i="13"/>
  <c r="AL32" i="13"/>
  <c r="D32" i="13"/>
  <c r="AP32" i="13"/>
  <c r="AM32" i="13"/>
  <c r="C32" i="13"/>
  <c r="E32" i="13"/>
  <c r="AF32" i="13"/>
  <c r="BL32" i="13"/>
  <c r="AJ32" i="13"/>
  <c r="R32" i="13"/>
  <c r="AO32" i="13"/>
  <c r="AC32" i="13"/>
  <c r="P32" i="13"/>
  <c r="Y32" i="13"/>
  <c r="AR32" i="13"/>
  <c r="Q190" i="21"/>
  <c r="D927" i="20"/>
  <c r="L193" i="21"/>
  <c r="E885" i="20"/>
  <c r="BS24" i="24"/>
  <c r="BT24" i="24"/>
  <c r="D627" i="25"/>
  <c r="C627" i="25"/>
  <c r="AH24" i="24"/>
  <c r="AI24" i="24"/>
  <c r="F623" i="25"/>
  <c r="E623" i="25"/>
  <c r="X24" i="24"/>
  <c r="Y24" i="24"/>
  <c r="F622" i="25"/>
  <c r="E622" i="25"/>
  <c r="AE24" i="24"/>
  <c r="AF24" i="24"/>
  <c r="D623" i="25"/>
  <c r="C623" i="25"/>
  <c r="CP24" i="24"/>
  <c r="CQ24" i="24"/>
  <c r="F629" i="25"/>
  <c r="E629" i="25"/>
  <c r="N24" i="24"/>
  <c r="O24" i="24"/>
  <c r="F621" i="25"/>
  <c r="E621" i="25"/>
  <c r="BV24" i="24"/>
  <c r="BW24" i="24"/>
  <c r="F627" i="25"/>
  <c r="E627" i="25"/>
  <c r="CM24" i="24"/>
  <c r="CN24" i="24"/>
  <c r="D629" i="25"/>
  <c r="C629" i="25"/>
  <c r="EA24" i="24"/>
  <c r="EB24" i="24"/>
  <c r="D633" i="25"/>
  <c r="C633" i="25"/>
  <c r="CA25" i="24"/>
  <c r="Q25" i="24"/>
  <c r="R25" i="24"/>
  <c r="AN25" i="24"/>
  <c r="DW25" i="24"/>
  <c r="DX25" i="24"/>
  <c r="BG25" i="24"/>
  <c r="CK25" i="24"/>
  <c r="AQ25" i="24"/>
  <c r="EJ25" i="24"/>
  <c r="CY25" i="24"/>
  <c r="CU25" i="24"/>
  <c r="AK25" i="24"/>
  <c r="AL25" i="24"/>
  <c r="K193" i="21"/>
  <c r="D885" i="20"/>
  <c r="BB31" i="13"/>
  <c r="R214" i="21"/>
  <c r="R208" i="21"/>
  <c r="P214" i="21"/>
  <c r="N223" i="21"/>
  <c r="Q207" i="21"/>
  <c r="R210" i="21"/>
  <c r="P206" i="21"/>
  <c r="P209" i="21"/>
  <c r="R206" i="21"/>
  <c r="P207" i="21"/>
  <c r="Q215" i="21"/>
  <c r="O201" i="21"/>
  <c r="P204" i="21"/>
  <c r="Q206" i="21"/>
  <c r="Q216" i="21"/>
  <c r="Q211" i="21"/>
  <c r="R216" i="21"/>
  <c r="P212" i="21"/>
  <c r="P216" i="21"/>
  <c r="R205" i="21"/>
  <c r="Q217" i="21"/>
  <c r="N224" i="21"/>
  <c r="N202" i="21"/>
  <c r="Q204" i="21"/>
  <c r="Q214" i="21"/>
  <c r="P217" i="21"/>
  <c r="N225" i="21"/>
  <c r="P211" i="21"/>
  <c r="P208" i="21"/>
  <c r="R207" i="21"/>
  <c r="R209" i="21"/>
  <c r="Q205" i="21"/>
  <c r="R217" i="21"/>
  <c r="Q208" i="21"/>
  <c r="Q210" i="21"/>
  <c r="R211" i="21"/>
  <c r="P213" i="21"/>
  <c r="R215" i="21"/>
  <c r="P215" i="21"/>
  <c r="Q212" i="21"/>
  <c r="P205" i="21"/>
  <c r="R212" i="21"/>
  <c r="B230" i="21"/>
  <c r="Q213" i="21"/>
  <c r="R213" i="21"/>
  <c r="Q209" i="21"/>
  <c r="R204" i="21"/>
  <c r="P210" i="21"/>
  <c r="Q202" i="21"/>
  <c r="N226" i="21"/>
  <c r="D974" i="20"/>
  <c r="E220" i="21"/>
  <c r="C1051" i="20"/>
  <c r="D1054" i="20"/>
  <c r="C1050" i="20"/>
  <c r="C1060" i="20"/>
  <c r="D1059" i="20"/>
  <c r="E1044" i="20"/>
  <c r="E1052" i="20"/>
  <c r="E1049" i="20"/>
  <c r="C1048" i="20"/>
  <c r="A1068" i="20"/>
  <c r="C1061" i="20"/>
  <c r="E1061" i="20"/>
  <c r="E1058" i="20"/>
  <c r="E1060" i="20"/>
  <c r="C1043" i="20"/>
  <c r="D1052" i="20"/>
  <c r="E1055" i="20"/>
  <c r="A1070" i="20"/>
  <c r="C1049" i="20"/>
  <c r="D1060" i="20"/>
  <c r="D1061" i="20"/>
  <c r="F1126" i="20"/>
  <c r="D1053" i="20"/>
  <c r="C1044" i="20"/>
  <c r="E1056" i="20"/>
  <c r="D1057" i="20"/>
  <c r="C1057" i="20"/>
  <c r="A1069" i="20"/>
  <c r="E1053" i="20"/>
  <c r="D1049" i="20"/>
  <c r="D1056" i="20"/>
  <c r="E1059" i="20"/>
  <c r="D1055" i="20"/>
  <c r="C1053" i="20"/>
  <c r="C1059" i="20"/>
  <c r="C1052" i="20"/>
  <c r="E1057" i="20"/>
  <c r="A1071" i="20"/>
  <c r="C1058" i="20"/>
  <c r="C1055" i="20"/>
  <c r="E1054" i="20"/>
  <c r="D1058" i="20"/>
  <c r="E1048" i="20"/>
  <c r="D1051" i="20"/>
  <c r="E1050" i="20"/>
  <c r="E1051" i="20"/>
  <c r="D1048" i="20"/>
  <c r="C1056" i="20"/>
  <c r="C1054" i="20"/>
  <c r="D1050" i="20"/>
  <c r="R31" i="11"/>
  <c r="S31" i="11"/>
  <c r="B31" i="11"/>
  <c r="N31" i="11"/>
  <c r="J31" i="11"/>
  <c r="D31" i="11"/>
  <c r="Q31" i="11"/>
  <c r="U31" i="11"/>
  <c r="P31" i="11"/>
  <c r="K31" i="11"/>
  <c r="C31" i="11"/>
  <c r="F31" i="11"/>
  <c r="G31" i="11"/>
  <c r="O31" i="11"/>
  <c r="A32" i="11"/>
  <c r="T31" i="11"/>
  <c r="L31" i="11"/>
  <c r="M31" i="11"/>
  <c r="I31" i="11"/>
  <c r="H31" i="11"/>
  <c r="AG31" i="11"/>
  <c r="E31" i="11"/>
  <c r="AR24" i="24"/>
  <c r="AS24" i="24"/>
  <c r="F624" i="25"/>
  <c r="E624" i="25"/>
  <c r="CF24" i="24"/>
  <c r="CG24" i="24"/>
  <c r="F628" i="25"/>
  <c r="E628" i="25"/>
  <c r="U24" i="24"/>
  <c r="V24" i="24"/>
  <c r="D622" i="25"/>
  <c r="C622" i="25"/>
  <c r="AH28" i="18"/>
  <c r="Y28" i="18"/>
  <c r="BC29" i="13"/>
  <c r="AY29" i="13"/>
  <c r="U31" i="18"/>
  <c r="R31" i="18"/>
  <c r="S31" i="18"/>
  <c r="M31" i="18"/>
  <c r="J31" i="18"/>
  <c r="AG31" i="18"/>
  <c r="BB32" i="13"/>
  <c r="I31" i="18"/>
  <c r="G31" i="18"/>
  <c r="D31" i="18"/>
  <c r="B31" i="18"/>
  <c r="E31" i="18"/>
  <c r="Q31" i="18"/>
  <c r="P31" i="18"/>
  <c r="F31" i="18"/>
  <c r="H31" i="18"/>
  <c r="L31" i="18"/>
  <c r="A32" i="18"/>
  <c r="C31" i="18"/>
  <c r="N31" i="18"/>
  <c r="K31" i="18"/>
  <c r="T31" i="18"/>
  <c r="O31" i="18"/>
  <c r="BU25" i="24"/>
  <c r="AX25" i="24"/>
  <c r="DY25" i="24"/>
  <c r="BO25" i="24"/>
  <c r="BP25" i="24"/>
  <c r="EM25" i="24"/>
  <c r="DE25" i="24"/>
  <c r="AU25" i="24"/>
  <c r="AV25" i="24"/>
  <c r="AM25" i="24"/>
  <c r="DC25" i="24"/>
  <c r="DD25" i="24"/>
  <c r="CV25" i="24"/>
  <c r="W25" i="24"/>
  <c r="CI25" i="24"/>
  <c r="CJ25" i="24"/>
  <c r="W29" i="11"/>
  <c r="AA29" i="11"/>
  <c r="D675" i="25"/>
  <c r="F676" i="25"/>
  <c r="D676" i="25"/>
  <c r="B726" i="25"/>
  <c r="AV31" i="13"/>
  <c r="AI28" i="11"/>
  <c r="Y28" i="11"/>
  <c r="BF29" i="13"/>
  <c r="AX29" i="13"/>
  <c r="V30" i="11"/>
  <c r="BI24" i="24"/>
  <c r="BJ24" i="24"/>
  <c r="D626" i="25"/>
  <c r="C626" i="25"/>
  <c r="BB24" i="24"/>
  <c r="BC24" i="24"/>
  <c r="F625" i="25"/>
  <c r="E625" i="25"/>
  <c r="K24" i="24"/>
  <c r="L24" i="24"/>
  <c r="D621" i="25"/>
  <c r="C621" i="25"/>
  <c r="AY24" i="24"/>
  <c r="AZ24" i="24"/>
  <c r="D625" i="25"/>
  <c r="C625" i="25"/>
  <c r="AO24" i="24"/>
  <c r="AP24" i="24"/>
  <c r="D624" i="25"/>
  <c r="C624" i="25"/>
  <c r="CW24" i="24"/>
  <c r="CX24" i="24"/>
  <c r="D630" i="25"/>
  <c r="C630" i="25"/>
  <c r="DT24" i="24"/>
  <c r="DU24" i="24"/>
  <c r="F632" i="25"/>
  <c r="E632" i="25"/>
  <c r="DG24" i="24"/>
  <c r="DH24" i="24"/>
  <c r="D631" i="25"/>
  <c r="C631" i="25"/>
  <c r="CC24" i="24"/>
  <c r="CD24" i="24"/>
  <c r="D628" i="25"/>
  <c r="C628" i="25"/>
  <c r="AI48" i="4"/>
  <c r="X53" i="8"/>
  <c r="Y53" i="8"/>
  <c r="W54" i="8"/>
  <c r="J53" i="2"/>
  <c r="H53" i="2"/>
  <c r="C53" i="2"/>
  <c r="D53" i="2"/>
  <c r="E53" i="2"/>
  <c r="K53" i="2"/>
  <c r="N53" i="2"/>
  <c r="I53" i="2"/>
  <c r="G53" i="2"/>
  <c r="B53" i="2"/>
  <c r="F53" i="2"/>
  <c r="A54" i="2"/>
  <c r="W49" i="4"/>
  <c r="AI49" i="4"/>
  <c r="V50" i="4"/>
  <c r="F51" i="4"/>
  <c r="G51" i="4"/>
  <c r="O51" i="4"/>
  <c r="E51" i="4"/>
  <c r="B51" i="4"/>
  <c r="R51" i="4"/>
  <c r="S51" i="4"/>
  <c r="K51" i="4"/>
  <c r="H51" i="4"/>
  <c r="T51" i="4"/>
  <c r="Q51" i="4"/>
  <c r="I51" i="4"/>
  <c r="Y51" i="4"/>
  <c r="J51" i="4"/>
  <c r="A52" i="4"/>
  <c r="M51" i="4"/>
  <c r="L51" i="4"/>
  <c r="C51" i="4"/>
  <c r="U51" i="4"/>
  <c r="P51" i="4"/>
  <c r="N51" i="4"/>
  <c r="AG51" i="4"/>
  <c r="AA51" i="4"/>
  <c r="D51" i="4"/>
  <c r="F46" i="27"/>
  <c r="C46" i="27"/>
  <c r="E46" i="27"/>
  <c r="D46" i="27"/>
  <c r="B47" i="27"/>
  <c r="Y46" i="27"/>
  <c r="Z46" i="27"/>
  <c r="AA46" i="27"/>
  <c r="AW46" i="27"/>
  <c r="AX46" i="27"/>
  <c r="AY46" i="27"/>
  <c r="BU46" i="27"/>
  <c r="BV46" i="27"/>
  <c r="BW46" i="27"/>
  <c r="S46" i="27"/>
  <c r="T46" i="27"/>
  <c r="U46" i="27"/>
  <c r="AQ46" i="27"/>
  <c r="AR46" i="27"/>
  <c r="AS46" i="27"/>
  <c r="BO46" i="27"/>
  <c r="BP46" i="27"/>
  <c r="BQ46" i="27"/>
  <c r="AE46" i="27"/>
  <c r="AF46" i="27"/>
  <c r="AG46" i="27"/>
  <c r="CG46" i="27"/>
  <c r="CH46" i="27"/>
  <c r="CI46" i="27"/>
  <c r="AK46" i="27"/>
  <c r="AL46" i="27"/>
  <c r="AM46" i="27"/>
  <c r="G46" i="27"/>
  <c r="H46" i="27"/>
  <c r="I46" i="27"/>
  <c r="M46" i="27"/>
  <c r="N46" i="27"/>
  <c r="O46" i="27"/>
  <c r="CA46" i="27"/>
  <c r="CB46" i="27"/>
  <c r="CC46" i="27"/>
  <c r="BC46" i="27"/>
  <c r="BD46" i="27"/>
  <c r="BE46" i="27"/>
  <c r="BI46" i="27"/>
  <c r="BJ46" i="27"/>
  <c r="BK46" i="27"/>
  <c r="D2041" i="17"/>
  <c r="D2035" i="17"/>
  <c r="D2043" i="17"/>
  <c r="D2040" i="17"/>
  <c r="D2036" i="17"/>
  <c r="A2059" i="17"/>
  <c r="A2058" i="17"/>
  <c r="D2031" i="17"/>
  <c r="D2052" i="17"/>
  <c r="D2038" i="17"/>
  <c r="D2046" i="17"/>
  <c r="C2031" i="17"/>
  <c r="D2045" i="17"/>
  <c r="D2044" i="17"/>
  <c r="A2056" i="17"/>
  <c r="D2037" i="17"/>
  <c r="D2042" i="17"/>
  <c r="D2039" i="17"/>
  <c r="E2116" i="17"/>
  <c r="D2048" i="17"/>
  <c r="D2051" i="17"/>
  <c r="A2057" i="17"/>
  <c r="D2053" i="17"/>
  <c r="D2047" i="17"/>
  <c r="D2034" i="17"/>
  <c r="C2030" i="17"/>
  <c r="BA26" i="24"/>
  <c r="CB26" i="24"/>
  <c r="W26" i="24"/>
  <c r="AA26" i="24"/>
  <c r="AB26" i="24"/>
  <c r="AU26" i="24"/>
  <c r="AV26" i="24"/>
  <c r="DE26" i="24"/>
  <c r="T26" i="24"/>
  <c r="BO26" i="24"/>
  <c r="BP26" i="24"/>
  <c r="EJ26" i="24"/>
  <c r="BR26" i="24"/>
  <c r="BQ26" i="24"/>
  <c r="AN26" i="24"/>
  <c r="DO26" i="24"/>
  <c r="CI26" i="24"/>
  <c r="CJ26" i="24"/>
  <c r="EC26" i="24"/>
  <c r="J26" i="24"/>
  <c r="BE26" i="24"/>
  <c r="BF26" i="24"/>
  <c r="EM26" i="24"/>
  <c r="BG26" i="24"/>
  <c r="DS26" i="24"/>
  <c r="BH26" i="24"/>
  <c r="Q26" i="24"/>
  <c r="R26" i="24"/>
  <c r="CA26" i="24"/>
  <c r="BK26" i="24"/>
  <c r="DF26" i="24"/>
  <c r="CU26" i="24"/>
  <c r="DP26" i="24"/>
  <c r="AX26" i="24"/>
  <c r="DY26" i="24"/>
  <c r="DM26" i="24"/>
  <c r="DN26" i="24"/>
  <c r="AM26" i="24"/>
  <c r="CL26" i="24"/>
  <c r="DC26" i="24"/>
  <c r="DD26" i="24"/>
  <c r="M26" i="24"/>
  <c r="BY26" i="24"/>
  <c r="BZ26" i="24"/>
  <c r="AQ26" i="24"/>
  <c r="CV26" i="24"/>
  <c r="AG26" i="24"/>
  <c r="CS26" i="24"/>
  <c r="CT26" i="24"/>
  <c r="EG26" i="24"/>
  <c r="EH26" i="24"/>
  <c r="G26" i="24"/>
  <c r="H26" i="24"/>
  <c r="I26" i="24"/>
  <c r="S26" i="24"/>
  <c r="CE26" i="24"/>
  <c r="CK26" i="24"/>
  <c r="CY26" i="24"/>
  <c r="AC26" i="24"/>
  <c r="CO26" i="24"/>
  <c r="DZ26" i="24"/>
  <c r="DW26" i="24"/>
  <c r="DX26" i="24"/>
  <c r="AW26" i="24"/>
  <c r="DI26" i="24"/>
  <c r="AD26" i="24"/>
  <c r="AK26" i="24"/>
  <c r="AL26" i="24"/>
  <c r="EI26" i="24"/>
  <c r="BU26" i="24"/>
  <c r="R220" i="21"/>
  <c r="E1064" i="20"/>
  <c r="AH29" i="11"/>
  <c r="Y29" i="11"/>
  <c r="BF30" i="13"/>
  <c r="AX30" i="13"/>
  <c r="EN25" i="24"/>
  <c r="EO25" i="24"/>
  <c r="F663" i="25"/>
  <c r="E663" i="25"/>
  <c r="BV25" i="24"/>
  <c r="BW25" i="24"/>
  <c r="F656" i="25"/>
  <c r="E656" i="25"/>
  <c r="V31" i="18"/>
  <c r="AV32" i="13"/>
  <c r="R191" i="21"/>
  <c r="E928" i="20"/>
  <c r="EK25" i="24"/>
  <c r="EL25" i="24"/>
  <c r="D663" i="25"/>
  <c r="C663" i="25"/>
  <c r="U25" i="24"/>
  <c r="V25" i="24"/>
  <c r="D651" i="25"/>
  <c r="C651" i="25"/>
  <c r="N25" i="24"/>
  <c r="O25" i="24"/>
  <c r="F650" i="25"/>
  <c r="E650" i="25"/>
  <c r="AH25" i="24"/>
  <c r="AI25" i="24"/>
  <c r="F652" i="25"/>
  <c r="E652" i="25"/>
  <c r="DT25" i="24"/>
  <c r="DU25" i="24"/>
  <c r="F661" i="25"/>
  <c r="E661" i="25"/>
  <c r="F218" i="21"/>
  <c r="E972" i="20"/>
  <c r="B28" i="24"/>
  <c r="D27" i="24"/>
  <c r="F27" i="24"/>
  <c r="C27" i="24"/>
  <c r="BE27" i="24"/>
  <c r="BF27" i="24"/>
  <c r="BG27" i="24"/>
  <c r="AG27" i="24"/>
  <c r="AH27" i="24"/>
  <c r="AI27" i="24"/>
  <c r="DP27" i="24"/>
  <c r="DQ27" i="24"/>
  <c r="DR27" i="24"/>
  <c r="BY27" i="24"/>
  <c r="BZ27" i="24"/>
  <c r="CE27" i="24"/>
  <c r="CF27" i="24"/>
  <c r="CG27" i="24"/>
  <c r="DM27" i="24"/>
  <c r="DN27" i="24"/>
  <c r="E27" i="24"/>
  <c r="CS27" i="24"/>
  <c r="CT27" i="24"/>
  <c r="AK27" i="24"/>
  <c r="AL27" i="24"/>
  <c r="EG27" i="24"/>
  <c r="EH27" i="24"/>
  <c r="CU27" i="24"/>
  <c r="I27" i="24"/>
  <c r="CY27" i="24"/>
  <c r="CZ27" i="24"/>
  <c r="DA27" i="24"/>
  <c r="CP25" i="24"/>
  <c r="CQ25" i="24"/>
  <c r="F658" i="25"/>
  <c r="E658" i="25"/>
  <c r="DJ25" i="24"/>
  <c r="DK25" i="24"/>
  <c r="F660" i="25"/>
  <c r="E660" i="25"/>
  <c r="W30" i="11"/>
  <c r="AI30" i="11"/>
  <c r="AA30" i="11"/>
  <c r="L218" i="21"/>
  <c r="E1017" i="20"/>
  <c r="E930" i="20"/>
  <c r="R193" i="21"/>
  <c r="B32" i="11"/>
  <c r="C32" i="11"/>
  <c r="F32" i="11"/>
  <c r="Q32" i="11"/>
  <c r="T32" i="11"/>
  <c r="E32" i="11"/>
  <c r="D32" i="11"/>
  <c r="P32" i="11"/>
  <c r="M32" i="11"/>
  <c r="I32" i="11"/>
  <c r="R32" i="11"/>
  <c r="S32" i="11"/>
  <c r="N32" i="11"/>
  <c r="AG32" i="11"/>
  <c r="K32" i="11"/>
  <c r="U32" i="11"/>
  <c r="J32" i="11"/>
  <c r="G32" i="11"/>
  <c r="H32" i="11"/>
  <c r="L32" i="11"/>
  <c r="A33" i="11"/>
  <c r="O32" i="11"/>
  <c r="A1114" i="20"/>
  <c r="E1089" i="20"/>
  <c r="C1088" i="20"/>
  <c r="A1115" i="20"/>
  <c r="C1089" i="20"/>
  <c r="A1116" i="20"/>
  <c r="F1171" i="20"/>
  <c r="A1113" i="20"/>
  <c r="AR25" i="24"/>
  <c r="AS25" i="24"/>
  <c r="F653" i="25"/>
  <c r="E653" i="25"/>
  <c r="AO25" i="24"/>
  <c r="AP25" i="24"/>
  <c r="D653" i="25"/>
  <c r="C653" i="25"/>
  <c r="W30" i="18"/>
  <c r="AI30" i="18"/>
  <c r="AB30" i="18"/>
  <c r="C34" i="10"/>
  <c r="D34" i="10"/>
  <c r="A35" i="10"/>
  <c r="M34" i="10"/>
  <c r="P34" i="10"/>
  <c r="I34" i="10"/>
  <c r="G34" i="10"/>
  <c r="H34" i="10"/>
  <c r="K34" i="10"/>
  <c r="F34" i="10"/>
  <c r="B34" i="10"/>
  <c r="L34" i="10"/>
  <c r="J34" i="10"/>
  <c r="E34" i="10"/>
  <c r="BL25" i="24"/>
  <c r="BM25" i="24"/>
  <c r="F655" i="25"/>
  <c r="E655" i="25"/>
  <c r="K25" i="24"/>
  <c r="L25" i="24"/>
  <c r="D650" i="25"/>
  <c r="C650" i="25"/>
  <c r="AU31" i="13"/>
  <c r="D928" i="20"/>
  <c r="Q191" i="21"/>
  <c r="X25" i="24"/>
  <c r="Y25" i="24"/>
  <c r="F651" i="25"/>
  <c r="E651" i="25"/>
  <c r="A33" i="18"/>
  <c r="AG32" i="18"/>
  <c r="I32" i="18"/>
  <c r="J32" i="18"/>
  <c r="F32" i="18"/>
  <c r="K32" i="18"/>
  <c r="U32" i="18"/>
  <c r="T32" i="18"/>
  <c r="P32" i="18"/>
  <c r="M32" i="18"/>
  <c r="B32" i="18"/>
  <c r="L32" i="18"/>
  <c r="G32" i="18"/>
  <c r="Q32" i="18"/>
  <c r="N32" i="18"/>
  <c r="D32" i="18"/>
  <c r="O32" i="18"/>
  <c r="R32" i="18"/>
  <c r="S32" i="18"/>
  <c r="H32" i="18"/>
  <c r="C32" i="18"/>
  <c r="E32" i="18"/>
  <c r="E1019" i="20"/>
  <c r="L220" i="21"/>
  <c r="BA32" i="13"/>
  <c r="BB25" i="24"/>
  <c r="BC25" i="24"/>
  <c r="F654" i="25"/>
  <c r="E654" i="25"/>
  <c r="BS25" i="24"/>
  <c r="BT25" i="24"/>
  <c r="D656" i="25"/>
  <c r="C656" i="25"/>
  <c r="CF25" i="24"/>
  <c r="CG25" i="24"/>
  <c r="F657" i="25"/>
  <c r="E657" i="25"/>
  <c r="ED25" i="24"/>
  <c r="EE25" i="24"/>
  <c r="F662" i="25"/>
  <c r="E662" i="25"/>
  <c r="AE25" i="24"/>
  <c r="AF25" i="24"/>
  <c r="D652" i="25"/>
  <c r="C652" i="25"/>
  <c r="DQ25" i="24"/>
  <c r="DR25" i="24"/>
  <c r="D661" i="25"/>
  <c r="C661" i="25"/>
  <c r="Q193" i="21"/>
  <c r="D930" i="20"/>
  <c r="E715" i="25"/>
  <c r="F705" i="25"/>
  <c r="D719" i="25"/>
  <c r="E717" i="25"/>
  <c r="F710" i="25"/>
  <c r="E710" i="25"/>
  <c r="D704" i="25"/>
  <c r="F717" i="25"/>
  <c r="D705" i="25"/>
  <c r="B755" i="25"/>
  <c r="C719" i="25"/>
  <c r="F715" i="25"/>
  <c r="AI29" i="11"/>
  <c r="CW25" i="24"/>
  <c r="CX25" i="24"/>
  <c r="D659" i="25"/>
  <c r="C659" i="25"/>
  <c r="AY25" i="24"/>
  <c r="AZ25" i="24"/>
  <c r="D654" i="25"/>
  <c r="C654" i="25"/>
  <c r="V31" i="11"/>
  <c r="E243" i="21"/>
  <c r="B231" i="21"/>
  <c r="F233" i="21"/>
  <c r="D245" i="21"/>
  <c r="D234" i="21"/>
  <c r="F239" i="21"/>
  <c r="D235" i="21"/>
  <c r="E236" i="21"/>
  <c r="B252" i="21"/>
  <c r="D242" i="21"/>
  <c r="D244" i="21"/>
  <c r="D236" i="21"/>
  <c r="D237" i="21"/>
  <c r="D246" i="21"/>
  <c r="F240" i="21"/>
  <c r="E240" i="21"/>
  <c r="E246" i="21"/>
  <c r="B254" i="21"/>
  <c r="F243" i="21"/>
  <c r="E239" i="21"/>
  <c r="F237" i="21"/>
  <c r="C230" i="21"/>
  <c r="E242" i="21"/>
  <c r="D239" i="21"/>
  <c r="E244" i="21"/>
  <c r="F234" i="21"/>
  <c r="F238" i="21"/>
  <c r="B255" i="21"/>
  <c r="F244" i="21"/>
  <c r="D243" i="21"/>
  <c r="E231" i="21"/>
  <c r="D233" i="21"/>
  <c r="E233" i="21"/>
  <c r="E234" i="21"/>
  <c r="H230" i="21"/>
  <c r="E241" i="21"/>
  <c r="B253" i="21"/>
  <c r="E237" i="21"/>
  <c r="F242" i="21"/>
  <c r="D241" i="21"/>
  <c r="F246" i="21"/>
  <c r="F241" i="21"/>
  <c r="E238" i="21"/>
  <c r="E245" i="21"/>
  <c r="F235" i="21"/>
  <c r="E235" i="21"/>
  <c r="F236" i="21"/>
  <c r="D238" i="21"/>
  <c r="F245" i="21"/>
  <c r="D240" i="21"/>
  <c r="CZ25" i="24"/>
  <c r="DA25" i="24"/>
  <c r="F659" i="25"/>
  <c r="E659" i="25"/>
  <c r="W33" i="13"/>
  <c r="D1099" i="20"/>
  <c r="AQ33" i="13"/>
  <c r="C1106" i="20"/>
  <c r="T33" i="13"/>
  <c r="D1098" i="20"/>
  <c r="Z33" i="13"/>
  <c r="D1100" i="20"/>
  <c r="L33" i="13"/>
  <c r="E1095" i="20"/>
  <c r="N33" i="13"/>
  <c r="D1096" i="20"/>
  <c r="AR33" i="13"/>
  <c r="D1106" i="20"/>
  <c r="AC33" i="13"/>
  <c r="D1101" i="20"/>
  <c r="I33" i="13"/>
  <c r="E1094" i="20"/>
  <c r="H33" i="13"/>
  <c r="D1094" i="20"/>
  <c r="D33" i="13"/>
  <c r="C1093" i="20"/>
  <c r="AH33" i="13"/>
  <c r="C1103" i="20"/>
  <c r="A34" i="13"/>
  <c r="AO33" i="13"/>
  <c r="D1105" i="20"/>
  <c r="BL33" i="13"/>
  <c r="K33" i="13"/>
  <c r="D1095" i="20"/>
  <c r="C33" i="13"/>
  <c r="AD33" i="13"/>
  <c r="E1101" i="20"/>
  <c r="E33" i="13"/>
  <c r="D1093" i="20"/>
  <c r="AN33" i="13"/>
  <c r="C1105" i="20"/>
  <c r="B33" i="13"/>
  <c r="Q33" i="13"/>
  <c r="D1097" i="20"/>
  <c r="M33" i="13"/>
  <c r="C1096" i="20"/>
  <c r="AE33" i="13"/>
  <c r="C1102" i="20"/>
  <c r="R33" i="13"/>
  <c r="E1097" i="20"/>
  <c r="AM33" i="13"/>
  <c r="E1104" i="20"/>
  <c r="AA33" i="13"/>
  <c r="E1100" i="20"/>
  <c r="G33" i="13"/>
  <c r="C1094" i="20"/>
  <c r="AB33" i="13"/>
  <c r="C1101" i="20"/>
  <c r="O33" i="13"/>
  <c r="E1096" i="20"/>
  <c r="AL33" i="13"/>
  <c r="D1104" i="20"/>
  <c r="V33" i="13"/>
  <c r="C1099" i="20"/>
  <c r="AI33" i="13"/>
  <c r="D1103" i="20"/>
  <c r="U33" i="13"/>
  <c r="E1098" i="20"/>
  <c r="F33" i="13"/>
  <c r="E1093" i="20"/>
  <c r="AS33" i="13"/>
  <c r="E1106" i="20"/>
  <c r="P33" i="13"/>
  <c r="C1097" i="20"/>
  <c r="AJ33" i="13"/>
  <c r="E1103" i="20"/>
  <c r="AP33" i="13"/>
  <c r="E1105" i="20"/>
  <c r="AF33" i="13"/>
  <c r="D1102" i="20"/>
  <c r="X33" i="13"/>
  <c r="E1099" i="20"/>
  <c r="Y33" i="13"/>
  <c r="C1100" i="20"/>
  <c r="S33" i="13"/>
  <c r="C1098" i="20"/>
  <c r="J33" i="13"/>
  <c r="C1095" i="20"/>
  <c r="AG33" i="13"/>
  <c r="E1102" i="20"/>
  <c r="AK33" i="13"/>
  <c r="C1104" i="20"/>
  <c r="CC25" i="24"/>
  <c r="CD25" i="24"/>
  <c r="D657" i="25"/>
  <c r="C657" i="25"/>
  <c r="EA25" i="24"/>
  <c r="EB25" i="24"/>
  <c r="D662" i="25"/>
  <c r="C662" i="25"/>
  <c r="AH29" i="18"/>
  <c r="Y29" i="18"/>
  <c r="BC30" i="13"/>
  <c r="AY30" i="13"/>
  <c r="BI25" i="24"/>
  <c r="BJ25" i="24"/>
  <c r="D655" i="25"/>
  <c r="C655" i="25"/>
  <c r="DG25" i="24"/>
  <c r="DH25" i="24"/>
  <c r="D660" i="25"/>
  <c r="C660" i="25"/>
  <c r="AH49" i="4"/>
  <c r="E47" i="27"/>
  <c r="F47" i="27"/>
  <c r="B48" i="27"/>
  <c r="M47" i="27"/>
  <c r="N47" i="27"/>
  <c r="O47" i="27"/>
  <c r="AK47" i="27"/>
  <c r="AL47" i="27"/>
  <c r="AM47" i="27"/>
  <c r="BI47" i="27"/>
  <c r="BJ47" i="27"/>
  <c r="BK47" i="27"/>
  <c r="CA47" i="27"/>
  <c r="CB47" i="27"/>
  <c r="CC47" i="27"/>
  <c r="D47" i="27"/>
  <c r="G47" i="27"/>
  <c r="H47" i="27"/>
  <c r="I47" i="27"/>
  <c r="AE47" i="27"/>
  <c r="AF47" i="27"/>
  <c r="AG47" i="27"/>
  <c r="BC47" i="27"/>
  <c r="BD47" i="27"/>
  <c r="BE47" i="27"/>
  <c r="AW47" i="27"/>
  <c r="AX47" i="27"/>
  <c r="AY47" i="27"/>
  <c r="CG47" i="27"/>
  <c r="CH47" i="27"/>
  <c r="CI47" i="27"/>
  <c r="C47" i="27"/>
  <c r="S47" i="27"/>
  <c r="T47" i="27"/>
  <c r="U47" i="27"/>
  <c r="BO47" i="27"/>
  <c r="BP47" i="27"/>
  <c r="BQ47" i="27"/>
  <c r="Y47" i="27"/>
  <c r="Z47" i="27"/>
  <c r="AA47" i="27"/>
  <c r="BU47" i="27"/>
  <c r="BV47" i="27"/>
  <c r="BW47" i="27"/>
  <c r="AQ47" i="27"/>
  <c r="AR47" i="27"/>
  <c r="AS47" i="27"/>
  <c r="W50" i="4"/>
  <c r="AH50" i="4"/>
  <c r="D54" i="2"/>
  <c r="F54" i="2"/>
  <c r="I54" i="2"/>
  <c r="A55" i="2"/>
  <c r="C54" i="2"/>
  <c r="K54" i="2"/>
  <c r="N54" i="2"/>
  <c r="B54" i="2"/>
  <c r="H54" i="2"/>
  <c r="G54" i="2"/>
  <c r="E54" i="2"/>
  <c r="J54" i="2"/>
  <c r="W55" i="8"/>
  <c r="X54" i="8"/>
  <c r="Y54" i="8"/>
  <c r="D2084" i="17"/>
  <c r="D2086" i="17"/>
  <c r="D2094" i="17"/>
  <c r="A2104" i="17"/>
  <c r="A2105" i="17"/>
  <c r="D2093" i="17"/>
  <c r="D2095" i="17"/>
  <c r="D2100" i="17"/>
  <c r="D2083" i="17"/>
  <c r="D2091" i="17"/>
  <c r="C2077" i="17"/>
  <c r="A2106" i="17"/>
  <c r="D2092" i="17"/>
  <c r="D2089" i="17"/>
  <c r="A2103" i="17"/>
  <c r="D2098" i="17"/>
  <c r="D2099" i="17"/>
  <c r="D2088" i="17"/>
  <c r="D2090" i="17"/>
  <c r="E2163" i="17"/>
  <c r="D2081" i="17"/>
  <c r="D2085" i="17"/>
  <c r="D2078" i="17"/>
  <c r="D2082" i="17"/>
  <c r="C2078" i="17"/>
  <c r="D2087" i="17"/>
  <c r="K52" i="4"/>
  <c r="D52" i="4"/>
  <c r="I52" i="4"/>
  <c r="M52" i="4"/>
  <c r="J52" i="4"/>
  <c r="C52" i="4"/>
  <c r="O52" i="4"/>
  <c r="L52" i="4"/>
  <c r="Y52" i="4"/>
  <c r="AA52" i="4"/>
  <c r="N52" i="4"/>
  <c r="AG52" i="4"/>
  <c r="B52" i="4"/>
  <c r="H52" i="4"/>
  <c r="E52" i="4"/>
  <c r="G52" i="4"/>
  <c r="P52" i="4"/>
  <c r="U52" i="4"/>
  <c r="A53" i="4"/>
  <c r="T52" i="4"/>
  <c r="R52" i="4"/>
  <c r="S52" i="4"/>
  <c r="F52" i="4"/>
  <c r="Q52" i="4"/>
  <c r="V51" i="4"/>
  <c r="V32" i="18"/>
  <c r="AB32" i="18"/>
  <c r="AG33" i="18"/>
  <c r="U33" i="18"/>
  <c r="C33" i="18"/>
  <c r="B33" i="18"/>
  <c r="T33" i="18"/>
  <c r="I33" i="18"/>
  <c r="F33" i="18"/>
  <c r="K33" i="18"/>
  <c r="N33" i="18"/>
  <c r="L33" i="18"/>
  <c r="A34" i="18"/>
  <c r="P33" i="18"/>
  <c r="J33" i="18"/>
  <c r="R33" i="18"/>
  <c r="S33" i="18"/>
  <c r="Q33" i="18"/>
  <c r="E33" i="18"/>
  <c r="G33" i="18"/>
  <c r="D33" i="18"/>
  <c r="M33" i="18"/>
  <c r="O33" i="18"/>
  <c r="H33" i="18"/>
  <c r="C35" i="10"/>
  <c r="M35" i="10"/>
  <c r="P35" i="10"/>
  <c r="F35" i="10"/>
  <c r="L35" i="10"/>
  <c r="D35" i="10"/>
  <c r="H35" i="10"/>
  <c r="G35" i="10"/>
  <c r="B35" i="10"/>
  <c r="J35" i="10"/>
  <c r="K35" i="10"/>
  <c r="I35" i="10"/>
  <c r="E35" i="10"/>
  <c r="A36" i="10"/>
  <c r="A1160" i="20"/>
  <c r="A1159" i="20"/>
  <c r="C1133" i="20"/>
  <c r="C1134" i="20"/>
  <c r="A1161" i="20"/>
  <c r="E1134" i="20"/>
  <c r="F1216" i="20"/>
  <c r="A1158" i="20"/>
  <c r="M27" i="24"/>
  <c r="BH27" i="24"/>
  <c r="DS27" i="24"/>
  <c r="DO27" i="24"/>
  <c r="DF27" i="24"/>
  <c r="DI27" i="24"/>
  <c r="BK27" i="24"/>
  <c r="AD27" i="24"/>
  <c r="AQ27" i="24"/>
  <c r="S27" i="24"/>
  <c r="EM27" i="24"/>
  <c r="AU27" i="24"/>
  <c r="AV27" i="24"/>
  <c r="CI27" i="24"/>
  <c r="CJ27" i="24"/>
  <c r="EI27" i="24"/>
  <c r="AM27" i="24"/>
  <c r="R218" i="21"/>
  <c r="E1062" i="20"/>
  <c r="BV26" i="24"/>
  <c r="BW26" i="24"/>
  <c r="F685" i="25"/>
  <c r="E685" i="25"/>
  <c r="DJ26" i="24"/>
  <c r="DK26" i="24"/>
  <c r="F689" i="25"/>
  <c r="E689" i="25"/>
  <c r="CP26" i="24"/>
  <c r="CQ26" i="24"/>
  <c r="F687" i="25"/>
  <c r="E687" i="25"/>
  <c r="CF26" i="24"/>
  <c r="CG26" i="24"/>
  <c r="F686" i="25"/>
  <c r="E686" i="25"/>
  <c r="AR26" i="24"/>
  <c r="AS26" i="24"/>
  <c r="F682" i="25"/>
  <c r="E682" i="25"/>
  <c r="CM26" i="24"/>
  <c r="CN26" i="24"/>
  <c r="D687" i="25"/>
  <c r="C687" i="25"/>
  <c r="AY26" i="24"/>
  <c r="AZ26" i="24"/>
  <c r="D683" i="25"/>
  <c r="C683" i="25"/>
  <c r="BL26" i="24"/>
  <c r="BM26" i="24"/>
  <c r="F684" i="25"/>
  <c r="E684" i="25"/>
  <c r="DT26" i="24"/>
  <c r="DU26" i="24"/>
  <c r="F690" i="25"/>
  <c r="E690" i="25"/>
  <c r="K26" i="24"/>
  <c r="L26" i="24"/>
  <c r="D679" i="25"/>
  <c r="C679" i="25"/>
  <c r="AO26" i="24"/>
  <c r="AP26" i="24"/>
  <c r="D682" i="25"/>
  <c r="C682" i="25"/>
  <c r="BA33" i="13"/>
  <c r="AV33" i="13"/>
  <c r="AF34" i="13"/>
  <c r="D1147" i="20"/>
  <c r="E34" i="13"/>
  <c r="D1138" i="20"/>
  <c r="A35" i="13"/>
  <c r="N34" i="13"/>
  <c r="D1141" i="20"/>
  <c r="M34" i="13"/>
  <c r="C1141" i="20"/>
  <c r="AG34" i="13"/>
  <c r="E1147" i="20"/>
  <c r="D34" i="13"/>
  <c r="C1138" i="20"/>
  <c r="AO34" i="13"/>
  <c r="D1150" i="20"/>
  <c r="F34" i="13"/>
  <c r="E1138" i="20"/>
  <c r="I34" i="13"/>
  <c r="E1139" i="20"/>
  <c r="AC34" i="13"/>
  <c r="D1146" i="20"/>
  <c r="AB34" i="13"/>
  <c r="C1146" i="20"/>
  <c r="X34" i="13"/>
  <c r="E1144" i="20"/>
  <c r="AM34" i="13"/>
  <c r="E1149" i="20"/>
  <c r="AJ34" i="13"/>
  <c r="E1148" i="20"/>
  <c r="C34" i="13"/>
  <c r="O34" i="13"/>
  <c r="E1141" i="20"/>
  <c r="Y34" i="13"/>
  <c r="C1145" i="20"/>
  <c r="U34" i="13"/>
  <c r="E1143" i="20"/>
  <c r="AP34" i="13"/>
  <c r="E1150" i="20"/>
  <c r="AA34" i="13"/>
  <c r="E1145" i="20"/>
  <c r="K34" i="13"/>
  <c r="D1140" i="20"/>
  <c r="AI34" i="13"/>
  <c r="D1148" i="20"/>
  <c r="W34" i="13"/>
  <c r="D1144" i="20"/>
  <c r="Z34" i="13"/>
  <c r="D1145" i="20"/>
  <c r="AR34" i="13"/>
  <c r="D1151" i="20"/>
  <c r="AH34" i="13"/>
  <c r="C1148" i="20"/>
  <c r="Q34" i="13"/>
  <c r="D1142" i="20"/>
  <c r="AK34" i="13"/>
  <c r="C1149" i="20"/>
  <c r="L34" i="13"/>
  <c r="E1140" i="20"/>
  <c r="AD34" i="13"/>
  <c r="E1146" i="20"/>
  <c r="G34" i="13"/>
  <c r="C1139" i="20"/>
  <c r="AS34" i="13"/>
  <c r="E1151" i="20"/>
  <c r="H34" i="13"/>
  <c r="D1139" i="20"/>
  <c r="J34" i="13"/>
  <c r="C1140" i="20"/>
  <c r="R34" i="13"/>
  <c r="E1142" i="20"/>
  <c r="BL34" i="13"/>
  <c r="AQ34" i="13"/>
  <c r="C1151" i="20"/>
  <c r="T34" i="13"/>
  <c r="D1143" i="20"/>
  <c r="P34" i="13"/>
  <c r="C1142" i="20"/>
  <c r="AL34" i="13"/>
  <c r="D1149" i="20"/>
  <c r="S34" i="13"/>
  <c r="C1143" i="20"/>
  <c r="AN34" i="13"/>
  <c r="C1150" i="20"/>
  <c r="B34" i="13"/>
  <c r="V34" i="13"/>
  <c r="C1144" i="20"/>
  <c r="AE34" i="13"/>
  <c r="C1147" i="20"/>
  <c r="BB34" i="13"/>
  <c r="E1154" i="20"/>
  <c r="L241" i="21"/>
  <c r="K237" i="21"/>
  <c r="J238" i="21"/>
  <c r="L243" i="21"/>
  <c r="I230" i="21"/>
  <c r="K231" i="21"/>
  <c r="K244" i="21"/>
  <c r="K234" i="21"/>
  <c r="H231" i="21"/>
  <c r="L237" i="21"/>
  <c r="L236" i="21"/>
  <c r="L242" i="21"/>
  <c r="K242" i="21"/>
  <c r="J244" i="21"/>
  <c r="H252" i="21"/>
  <c r="J242" i="21"/>
  <c r="K240" i="21"/>
  <c r="J240" i="21"/>
  <c r="L245" i="21"/>
  <c r="L240" i="21"/>
  <c r="L244" i="21"/>
  <c r="H255" i="21"/>
  <c r="K245" i="21"/>
  <c r="L234" i="21"/>
  <c r="J246" i="21"/>
  <c r="J234" i="21"/>
  <c r="L233" i="21"/>
  <c r="J241" i="21"/>
  <c r="J243" i="21"/>
  <c r="H254" i="21"/>
  <c r="K236" i="21"/>
  <c r="L246" i="21"/>
  <c r="K246" i="21"/>
  <c r="K243" i="21"/>
  <c r="L235" i="21"/>
  <c r="J236" i="21"/>
  <c r="J235" i="21"/>
  <c r="J239" i="21"/>
  <c r="K241" i="21"/>
  <c r="N230" i="21"/>
  <c r="L239" i="21"/>
  <c r="K239" i="21"/>
  <c r="K235" i="21"/>
  <c r="J237" i="21"/>
  <c r="J245" i="21"/>
  <c r="K233" i="21"/>
  <c r="J233" i="21"/>
  <c r="K238" i="21"/>
  <c r="L249" i="21"/>
  <c r="L238" i="21"/>
  <c r="H253" i="21"/>
  <c r="D1017" i="20"/>
  <c r="K218" i="21"/>
  <c r="AH30" i="18"/>
  <c r="Y30" i="18"/>
  <c r="BC31" i="13"/>
  <c r="AY31" i="13"/>
  <c r="Q27" i="24"/>
  <c r="R27" i="24"/>
  <c r="EJ27" i="24"/>
  <c r="BR27" i="24"/>
  <c r="CB27" i="24"/>
  <c r="BO27" i="24"/>
  <c r="BP27" i="24"/>
  <c r="AW27" i="24"/>
  <c r="G27" i="24"/>
  <c r="H27" i="24"/>
  <c r="CK27" i="24"/>
  <c r="W27" i="24"/>
  <c r="DY27" i="24"/>
  <c r="J27" i="24"/>
  <c r="CO27" i="24"/>
  <c r="DW27" i="24"/>
  <c r="DX27" i="24"/>
  <c r="W31" i="18"/>
  <c r="AH31" i="18"/>
  <c r="AB31" i="18"/>
  <c r="DQ26" i="24"/>
  <c r="DR26" i="24"/>
  <c r="D690" i="25"/>
  <c r="C690" i="25"/>
  <c r="ED26" i="24"/>
  <c r="EE26" i="24"/>
  <c r="F691" i="25"/>
  <c r="E691" i="25"/>
  <c r="U26" i="24"/>
  <c r="V26" i="24"/>
  <c r="D680" i="25"/>
  <c r="C680" i="25"/>
  <c r="X26" i="24"/>
  <c r="Y26" i="24"/>
  <c r="F680" i="25"/>
  <c r="E680" i="25"/>
  <c r="E973" i="20"/>
  <c r="F219" i="21"/>
  <c r="BB33" i="13"/>
  <c r="W31" i="11"/>
  <c r="AI31" i="11"/>
  <c r="AA31" i="11"/>
  <c r="U33" i="11"/>
  <c r="D33" i="11"/>
  <c r="O33" i="11"/>
  <c r="Q33" i="11"/>
  <c r="G33" i="11"/>
  <c r="C33" i="11"/>
  <c r="N33" i="11"/>
  <c r="K33" i="11"/>
  <c r="F33" i="11"/>
  <c r="P33" i="11"/>
  <c r="AG33" i="11"/>
  <c r="R33" i="11"/>
  <c r="S33" i="11"/>
  <c r="J33" i="11"/>
  <c r="M33" i="11"/>
  <c r="B33" i="11"/>
  <c r="E33" i="11"/>
  <c r="I33" i="11"/>
  <c r="A34" i="11"/>
  <c r="T33" i="11"/>
  <c r="L33" i="11"/>
  <c r="H33" i="11"/>
  <c r="V32" i="11"/>
  <c r="AU33" i="13"/>
  <c r="AH30" i="11"/>
  <c r="Y30" i="11"/>
  <c r="BF31" i="13"/>
  <c r="AX31" i="13"/>
  <c r="DC27" i="24"/>
  <c r="DD27" i="24"/>
  <c r="CA27" i="24"/>
  <c r="AA27" i="24"/>
  <c r="AB27" i="24"/>
  <c r="BA27" i="24"/>
  <c r="AX27" i="24"/>
  <c r="EC27" i="24"/>
  <c r="T27" i="24"/>
  <c r="DZ27" i="24"/>
  <c r="AN27" i="24"/>
  <c r="DE27" i="24"/>
  <c r="CV27" i="24"/>
  <c r="BU27" i="24"/>
  <c r="CL27" i="24"/>
  <c r="BQ27" i="24"/>
  <c r="E219" i="21"/>
  <c r="D973" i="20"/>
  <c r="CZ26" i="24"/>
  <c r="DA26" i="24"/>
  <c r="F688" i="25"/>
  <c r="E688" i="25"/>
  <c r="AH26" i="24"/>
  <c r="AI26" i="24"/>
  <c r="F681" i="25"/>
  <c r="E681" i="25"/>
  <c r="N26" i="24"/>
  <c r="O26" i="24"/>
  <c r="F679" i="25"/>
  <c r="E679" i="25"/>
  <c r="EN26" i="24"/>
  <c r="EO26" i="24"/>
  <c r="F692" i="25"/>
  <c r="E692" i="25"/>
  <c r="BS26" i="24"/>
  <c r="BT26" i="24"/>
  <c r="D685" i="25"/>
  <c r="C685" i="25"/>
  <c r="CC26" i="24"/>
  <c r="CD26" i="24"/>
  <c r="D686" i="25"/>
  <c r="C686" i="25"/>
  <c r="F221" i="21"/>
  <c r="E975" i="20"/>
  <c r="B784" i="25"/>
  <c r="F734" i="25"/>
  <c r="D1064" i="20"/>
  <c r="Q220" i="21"/>
  <c r="W32" i="18"/>
  <c r="AY33" i="13"/>
  <c r="AC27" i="24"/>
  <c r="B29" i="24"/>
  <c r="E28" i="24"/>
  <c r="F28" i="24"/>
  <c r="D734" i="25"/>
  <c r="D28" i="24"/>
  <c r="D733" i="25"/>
  <c r="E221" i="21"/>
  <c r="D975" i="20"/>
  <c r="AU32" i="13"/>
  <c r="AE26" i="24"/>
  <c r="AF26" i="24"/>
  <c r="D681" i="25"/>
  <c r="C681" i="25"/>
  <c r="EA26" i="24"/>
  <c r="EB26" i="24"/>
  <c r="D691" i="25"/>
  <c r="C691" i="25"/>
  <c r="CW26" i="24"/>
  <c r="CX26" i="24"/>
  <c r="D688" i="25"/>
  <c r="C688" i="25"/>
  <c r="DG26" i="24"/>
  <c r="DH26" i="24"/>
  <c r="D689" i="25"/>
  <c r="C689" i="25"/>
  <c r="BI26" i="24"/>
  <c r="BJ26" i="24"/>
  <c r="D684" i="25"/>
  <c r="C684" i="25"/>
  <c r="EK26" i="24"/>
  <c r="EL26" i="24"/>
  <c r="D692" i="25"/>
  <c r="C692" i="25"/>
  <c r="BB26" i="24"/>
  <c r="BC26" i="24"/>
  <c r="F683" i="25"/>
  <c r="E683" i="25"/>
  <c r="AI50" i="4"/>
  <c r="W51" i="4"/>
  <c r="AI51" i="4"/>
  <c r="V52" i="4"/>
  <c r="Y55" i="8"/>
  <c r="W56" i="8"/>
  <c r="X55" i="8"/>
  <c r="H55" i="2"/>
  <c r="F55" i="2"/>
  <c r="D55" i="2"/>
  <c r="A56" i="2"/>
  <c r="C55" i="2"/>
  <c r="K55" i="2"/>
  <c r="N55" i="2"/>
  <c r="E55" i="2"/>
  <c r="J55" i="2"/>
  <c r="B55" i="2"/>
  <c r="I55" i="2"/>
  <c r="G55" i="2"/>
  <c r="J53" i="4"/>
  <c r="R53" i="4"/>
  <c r="S53" i="4"/>
  <c r="I53" i="4"/>
  <c r="A54" i="4"/>
  <c r="N53" i="4"/>
  <c r="G53" i="4"/>
  <c r="T53" i="4"/>
  <c r="E53" i="4"/>
  <c r="M53" i="4"/>
  <c r="Y53" i="4"/>
  <c r="D53" i="4"/>
  <c r="AG53" i="4"/>
  <c r="B53" i="4"/>
  <c r="K53" i="4"/>
  <c r="P53" i="4"/>
  <c r="F53" i="4"/>
  <c r="U53" i="4"/>
  <c r="H53" i="4"/>
  <c r="L53" i="4"/>
  <c r="AA53" i="4"/>
  <c r="C53" i="4"/>
  <c r="Q53" i="4"/>
  <c r="O53" i="4"/>
  <c r="D48" i="27"/>
  <c r="B49" i="27"/>
  <c r="E48" i="27"/>
  <c r="F48" i="27"/>
  <c r="C48" i="27"/>
  <c r="S48" i="27"/>
  <c r="T48" i="27"/>
  <c r="U48" i="27"/>
  <c r="AQ48" i="27"/>
  <c r="AR48" i="27"/>
  <c r="AS48" i="27"/>
  <c r="BO48" i="27"/>
  <c r="BP48" i="27"/>
  <c r="BQ48" i="27"/>
  <c r="CG48" i="27"/>
  <c r="CH48" i="27"/>
  <c r="CI48" i="27"/>
  <c r="M48" i="27"/>
  <c r="N48" i="27"/>
  <c r="O48" i="27"/>
  <c r="AK48" i="27"/>
  <c r="AL48" i="27"/>
  <c r="AM48" i="27"/>
  <c r="BI48" i="27"/>
  <c r="BJ48" i="27"/>
  <c r="BK48" i="27"/>
  <c r="CA48" i="27"/>
  <c r="CB48" i="27"/>
  <c r="CC48" i="27"/>
  <c r="AW48" i="27"/>
  <c r="AX48" i="27"/>
  <c r="AY48" i="27"/>
  <c r="G48" i="27"/>
  <c r="H48" i="27"/>
  <c r="I48" i="27"/>
  <c r="BC48" i="27"/>
  <c r="BD48" i="27"/>
  <c r="BE48" i="27"/>
  <c r="BU48" i="27"/>
  <c r="BV48" i="27"/>
  <c r="BW48" i="27"/>
  <c r="Y48" i="27"/>
  <c r="Z48" i="27"/>
  <c r="AA48" i="27"/>
  <c r="AE48" i="27"/>
  <c r="AF48" i="27"/>
  <c r="AG48" i="27"/>
  <c r="D2128" i="17"/>
  <c r="D2136" i="17"/>
  <c r="D2129" i="17"/>
  <c r="D2137" i="17"/>
  <c r="D2138" i="17"/>
  <c r="D2125" i="17"/>
  <c r="C2124" i="17"/>
  <c r="D2145" i="17"/>
  <c r="D2133" i="17"/>
  <c r="D2146" i="17"/>
  <c r="D2130" i="17"/>
  <c r="A2152" i="17"/>
  <c r="D2147" i="17"/>
  <c r="D2132" i="17"/>
  <c r="D2135" i="17"/>
  <c r="D2134" i="17"/>
  <c r="C2125" i="17"/>
  <c r="D2139" i="17"/>
  <c r="A2151" i="17"/>
  <c r="E2210" i="17"/>
  <c r="A2153" i="17"/>
  <c r="D2140" i="17"/>
  <c r="D2131" i="17"/>
  <c r="D2141" i="17"/>
  <c r="A2150" i="17"/>
  <c r="D2142" i="17"/>
  <c r="AI32" i="18"/>
  <c r="D1107" i="20"/>
  <c r="E247" i="21"/>
  <c r="E1108" i="20"/>
  <c r="F248" i="21"/>
  <c r="BV27" i="24"/>
  <c r="BW27" i="24"/>
  <c r="F714" i="25"/>
  <c r="E714" i="25"/>
  <c r="EA27" i="24"/>
  <c r="EB27" i="24"/>
  <c r="D720" i="25"/>
  <c r="C720" i="25"/>
  <c r="BB27" i="24"/>
  <c r="BC27" i="24"/>
  <c r="F712" i="25"/>
  <c r="E712" i="25"/>
  <c r="K219" i="21"/>
  <c r="D1018" i="20"/>
  <c r="K27" i="24"/>
  <c r="L27" i="24"/>
  <c r="D708" i="25"/>
  <c r="C708" i="25"/>
  <c r="BS27" i="24"/>
  <c r="BT27" i="24"/>
  <c r="D714" i="25"/>
  <c r="C714" i="25"/>
  <c r="E1020" i="20"/>
  <c r="L221" i="21"/>
  <c r="BA34" i="13"/>
  <c r="AA35" i="13"/>
  <c r="S35" i="13"/>
  <c r="D35" i="13"/>
  <c r="O35" i="13"/>
  <c r="H35" i="13"/>
  <c r="P35" i="13"/>
  <c r="U35" i="13"/>
  <c r="T35" i="13"/>
  <c r="A36" i="13"/>
  <c r="Y35" i="13"/>
  <c r="AD35" i="13"/>
  <c r="W35" i="13"/>
  <c r="N35" i="13"/>
  <c r="AF35" i="13"/>
  <c r="V35" i="13"/>
  <c r="AJ35" i="13"/>
  <c r="AE35" i="13"/>
  <c r="Q35" i="13"/>
  <c r="AN35" i="13"/>
  <c r="AL35" i="13"/>
  <c r="X35" i="13"/>
  <c r="BL35" i="13"/>
  <c r="C35" i="13"/>
  <c r="Z35" i="13"/>
  <c r="E35" i="13"/>
  <c r="AI35" i="13"/>
  <c r="AO35" i="13"/>
  <c r="AM35" i="13"/>
  <c r="AB35" i="13"/>
  <c r="AP35" i="13"/>
  <c r="I35" i="13"/>
  <c r="AS35" i="13"/>
  <c r="B35" i="13"/>
  <c r="K35" i="13"/>
  <c r="AG35" i="13"/>
  <c r="AH35" i="13"/>
  <c r="F35" i="13"/>
  <c r="J35" i="13"/>
  <c r="M35" i="13"/>
  <c r="AR35" i="13"/>
  <c r="L35" i="13"/>
  <c r="G35" i="13"/>
  <c r="AK35" i="13"/>
  <c r="R35" i="13"/>
  <c r="AC35" i="13"/>
  <c r="AQ35" i="13"/>
  <c r="E249" i="21"/>
  <c r="D1109" i="20"/>
  <c r="AR27" i="24"/>
  <c r="AS27" i="24"/>
  <c r="F711" i="25"/>
  <c r="E711" i="25"/>
  <c r="DG27" i="24"/>
  <c r="DH27" i="24"/>
  <c r="D718" i="25"/>
  <c r="C718" i="25"/>
  <c r="N27" i="24"/>
  <c r="O27" i="24"/>
  <c r="F708" i="25"/>
  <c r="E708" i="25"/>
  <c r="D34" i="18"/>
  <c r="I34" i="18"/>
  <c r="G34" i="18"/>
  <c r="U34" i="18"/>
  <c r="J34" i="18"/>
  <c r="T34" i="18"/>
  <c r="B34" i="18"/>
  <c r="O34" i="18"/>
  <c r="F34" i="18"/>
  <c r="R34" i="18"/>
  <c r="S34" i="18"/>
  <c r="H34" i="18"/>
  <c r="Q34" i="18"/>
  <c r="AG34" i="18"/>
  <c r="K34" i="18"/>
  <c r="P34" i="18"/>
  <c r="C34" i="18"/>
  <c r="L34" i="18"/>
  <c r="E34" i="18"/>
  <c r="N34" i="18"/>
  <c r="A35" i="18"/>
  <c r="M34" i="18"/>
  <c r="Q218" i="21"/>
  <c r="D1062" i="20"/>
  <c r="F29" i="24"/>
  <c r="B30" i="24"/>
  <c r="E29" i="24"/>
  <c r="C29" i="24"/>
  <c r="BR29" i="24"/>
  <c r="DY29" i="24"/>
  <c r="AM29" i="24"/>
  <c r="D29" i="24"/>
  <c r="BY29" i="24"/>
  <c r="BZ29" i="24"/>
  <c r="CW27" i="24"/>
  <c r="CX27" i="24"/>
  <c r="D717" i="25"/>
  <c r="C717" i="25"/>
  <c r="U27" i="24"/>
  <c r="V27" i="24"/>
  <c r="D709" i="25"/>
  <c r="C709" i="25"/>
  <c r="K221" i="21"/>
  <c r="D1020" i="20"/>
  <c r="V33" i="11"/>
  <c r="AH31" i="11"/>
  <c r="Y31" i="11"/>
  <c r="AX32" i="13"/>
  <c r="AI31" i="18"/>
  <c r="Y31" i="18"/>
  <c r="BC32" i="13"/>
  <c r="AY32" i="13"/>
  <c r="EK27" i="24"/>
  <c r="EL27" i="24"/>
  <c r="D721" i="25"/>
  <c r="C721" i="25"/>
  <c r="N231" i="21"/>
  <c r="R239" i="21"/>
  <c r="O230" i="21"/>
  <c r="R245" i="21"/>
  <c r="P239" i="21"/>
  <c r="P242" i="21"/>
  <c r="P237" i="21"/>
  <c r="R243" i="21"/>
  <c r="R233" i="21"/>
  <c r="R242" i="21"/>
  <c r="Q237" i="21"/>
  <c r="R234" i="21"/>
  <c r="R241" i="21"/>
  <c r="P243" i="21"/>
  <c r="Q231" i="21"/>
  <c r="Q244" i="21"/>
  <c r="Q243" i="21"/>
  <c r="Q241" i="21"/>
  <c r="R244" i="21"/>
  <c r="Q235" i="21"/>
  <c r="P234" i="21"/>
  <c r="R238" i="21"/>
  <c r="B258" i="21"/>
  <c r="P244" i="21"/>
  <c r="R246" i="21"/>
  <c r="R237" i="21"/>
  <c r="R236" i="21"/>
  <c r="P236" i="21"/>
  <c r="Q242" i="21"/>
  <c r="Q240" i="21"/>
  <c r="N254" i="21"/>
  <c r="R235" i="21"/>
  <c r="P238" i="21"/>
  <c r="P246" i="21"/>
  <c r="P233" i="21"/>
  <c r="R240" i="21"/>
  <c r="Q238" i="21"/>
  <c r="N255" i="21"/>
  <c r="N253" i="21"/>
  <c r="N252" i="21"/>
  <c r="Q233" i="21"/>
  <c r="P240" i="21"/>
  <c r="P241" i="21"/>
  <c r="P235" i="21"/>
  <c r="Q234" i="21"/>
  <c r="Q236" i="21"/>
  <c r="Q245" i="21"/>
  <c r="P245" i="21"/>
  <c r="Q239" i="21"/>
  <c r="Q246" i="21"/>
  <c r="AE27" i="24"/>
  <c r="AF27" i="24"/>
  <c r="D710" i="25"/>
  <c r="C710" i="25"/>
  <c r="C28" i="24"/>
  <c r="D763" i="25"/>
  <c r="F763" i="25"/>
  <c r="D762" i="25"/>
  <c r="B813" i="25"/>
  <c r="ED27" i="24"/>
  <c r="EE27" i="24"/>
  <c r="F720" i="25"/>
  <c r="E720" i="25"/>
  <c r="E1109" i="20"/>
  <c r="F249" i="21"/>
  <c r="X27" i="24"/>
  <c r="Y27" i="24"/>
  <c r="F709" i="25"/>
  <c r="E709" i="25"/>
  <c r="EN27" i="24"/>
  <c r="EO27" i="24"/>
  <c r="F721" i="25"/>
  <c r="E721" i="25"/>
  <c r="BL27" i="24"/>
  <c r="BM27" i="24"/>
  <c r="F713" i="25"/>
  <c r="E713" i="25"/>
  <c r="DT27" i="24"/>
  <c r="DU27" i="24"/>
  <c r="F719" i="25"/>
  <c r="E719" i="25"/>
  <c r="D1191" i="20"/>
  <c r="D1188" i="20"/>
  <c r="D1194" i="20"/>
  <c r="E1184" i="20"/>
  <c r="C1194" i="20"/>
  <c r="A1203" i="20"/>
  <c r="C1188" i="20"/>
  <c r="A1206" i="20"/>
  <c r="C1195" i="20"/>
  <c r="C1179" i="20"/>
  <c r="E1185" i="20"/>
  <c r="C1196" i="20"/>
  <c r="E1179" i="20"/>
  <c r="F1261" i="20"/>
  <c r="E1194" i="20"/>
  <c r="E1191" i="20"/>
  <c r="D1196" i="20"/>
  <c r="C1187" i="20"/>
  <c r="C1193" i="20"/>
  <c r="C1186" i="20"/>
  <c r="D1184" i="20"/>
  <c r="E1196" i="20"/>
  <c r="D1187" i="20"/>
  <c r="C1189" i="20"/>
  <c r="D1183" i="20"/>
  <c r="A1205" i="20"/>
  <c r="E1192" i="20"/>
  <c r="E1190" i="20"/>
  <c r="D1186" i="20"/>
  <c r="D1190" i="20"/>
  <c r="D1195" i="20"/>
  <c r="E1189" i="20"/>
  <c r="C1192" i="20"/>
  <c r="E1187" i="20"/>
  <c r="D1185" i="20"/>
  <c r="A1204" i="20"/>
  <c r="E1183" i="20"/>
  <c r="D1193" i="20"/>
  <c r="C1185" i="20"/>
  <c r="E1188" i="20"/>
  <c r="E1186" i="20"/>
  <c r="E1193" i="20"/>
  <c r="D1189" i="20"/>
  <c r="C1184" i="20"/>
  <c r="C1178" i="20"/>
  <c r="E1195" i="20"/>
  <c r="C1190" i="20"/>
  <c r="C1191" i="20"/>
  <c r="C1183" i="20"/>
  <c r="D1192" i="20"/>
  <c r="V33" i="18"/>
  <c r="AH32" i="18"/>
  <c r="Y32" i="18"/>
  <c r="BC33" i="13"/>
  <c r="CM27" i="24"/>
  <c r="CN27" i="24"/>
  <c r="D716" i="25"/>
  <c r="C716" i="25"/>
  <c r="AO27" i="24"/>
  <c r="AP27" i="24"/>
  <c r="D711" i="25"/>
  <c r="C711" i="25"/>
  <c r="AY27" i="24"/>
  <c r="AZ27" i="24"/>
  <c r="D712" i="25"/>
  <c r="C712" i="25"/>
  <c r="W32" i="11"/>
  <c r="AH32" i="11"/>
  <c r="AA32" i="11"/>
  <c r="F34" i="11"/>
  <c r="R34" i="11"/>
  <c r="S34" i="11"/>
  <c r="E34" i="11"/>
  <c r="A35" i="11"/>
  <c r="K34" i="11"/>
  <c r="AG34" i="11"/>
  <c r="BA35" i="13"/>
  <c r="D34" i="11"/>
  <c r="T34" i="11"/>
  <c r="N34" i="11"/>
  <c r="H34" i="11"/>
  <c r="G34" i="11"/>
  <c r="Q34" i="11"/>
  <c r="M34" i="11"/>
  <c r="I34" i="11"/>
  <c r="J34" i="11"/>
  <c r="U34" i="11"/>
  <c r="P34" i="11"/>
  <c r="L34" i="11"/>
  <c r="O34" i="11"/>
  <c r="B34" i="11"/>
  <c r="C34" i="11"/>
  <c r="CP27" i="24"/>
  <c r="CQ27" i="24"/>
  <c r="F716" i="25"/>
  <c r="E716" i="25"/>
  <c r="CC27" i="24"/>
  <c r="CD27" i="24"/>
  <c r="D715" i="25"/>
  <c r="C715" i="25"/>
  <c r="L219" i="21"/>
  <c r="E1018" i="20"/>
  <c r="F247" i="21"/>
  <c r="E1107" i="20"/>
  <c r="DJ27" i="24"/>
  <c r="DK27" i="24"/>
  <c r="F718" i="25"/>
  <c r="E718" i="25"/>
  <c r="BI27" i="24"/>
  <c r="BJ27" i="24"/>
  <c r="D713" i="25"/>
  <c r="C713" i="25"/>
  <c r="D36" i="10"/>
  <c r="A37" i="10"/>
  <c r="G36" i="10"/>
  <c r="L36" i="10"/>
  <c r="B36" i="10"/>
  <c r="C36" i="10"/>
  <c r="K36" i="10"/>
  <c r="I36" i="10"/>
  <c r="M36" i="10"/>
  <c r="P36" i="10"/>
  <c r="F36" i="10"/>
  <c r="H36" i="10"/>
  <c r="J36" i="10"/>
  <c r="E36" i="10"/>
  <c r="C49" i="27"/>
  <c r="D49" i="27"/>
  <c r="B50" i="27"/>
  <c r="F49" i="27"/>
  <c r="E49" i="27"/>
  <c r="Y49" i="27"/>
  <c r="Z49" i="27"/>
  <c r="AA49" i="27"/>
  <c r="AW49" i="27"/>
  <c r="AX49" i="27"/>
  <c r="AY49" i="27"/>
  <c r="BU49" i="27"/>
  <c r="BV49" i="27"/>
  <c r="BW49" i="27"/>
  <c r="S49" i="27"/>
  <c r="T49" i="27"/>
  <c r="U49" i="27"/>
  <c r="AQ49" i="27"/>
  <c r="AR49" i="27"/>
  <c r="AS49" i="27"/>
  <c r="BO49" i="27"/>
  <c r="BP49" i="27"/>
  <c r="BQ49" i="27"/>
  <c r="AK49" i="27"/>
  <c r="AL49" i="27"/>
  <c r="AM49" i="27"/>
  <c r="G49" i="27"/>
  <c r="H49" i="27"/>
  <c r="I49" i="27"/>
  <c r="BC49" i="27"/>
  <c r="BD49" i="27"/>
  <c r="BE49" i="27"/>
  <c r="BI49" i="27"/>
  <c r="BJ49" i="27"/>
  <c r="BK49" i="27"/>
  <c r="AE49" i="27"/>
  <c r="AF49" i="27"/>
  <c r="AG49" i="27"/>
  <c r="M49" i="27"/>
  <c r="N49" i="27"/>
  <c r="O49" i="27"/>
  <c r="CA49" i="27"/>
  <c r="CB49" i="27"/>
  <c r="CC49" i="27"/>
  <c r="CG49" i="27"/>
  <c r="CH49" i="27"/>
  <c r="CI49" i="27"/>
  <c r="W52" i="4"/>
  <c r="AH52" i="4"/>
  <c r="K54" i="4"/>
  <c r="T54" i="4"/>
  <c r="I54" i="4"/>
  <c r="Q54" i="4"/>
  <c r="J54" i="4"/>
  <c r="C54" i="4"/>
  <c r="O54" i="4"/>
  <c r="H54" i="4"/>
  <c r="U54" i="4"/>
  <c r="M54" i="4"/>
  <c r="R54" i="4"/>
  <c r="S54" i="4"/>
  <c r="A55" i="4"/>
  <c r="G54" i="4"/>
  <c r="L54" i="4"/>
  <c r="AG54" i="4"/>
  <c r="E54" i="4"/>
  <c r="AA54" i="4"/>
  <c r="N54" i="4"/>
  <c r="Y54" i="4"/>
  <c r="F54" i="4"/>
  <c r="P54" i="4"/>
  <c r="B54" i="4"/>
  <c r="D54" i="4"/>
  <c r="J56" i="2"/>
  <c r="B56" i="2"/>
  <c r="E56" i="2"/>
  <c r="C56" i="2"/>
  <c r="H56" i="2"/>
  <c r="A57" i="2"/>
  <c r="F56" i="2"/>
  <c r="D56" i="2"/>
  <c r="G56" i="2"/>
  <c r="I56" i="2"/>
  <c r="K56" i="2"/>
  <c r="N56" i="2"/>
  <c r="AH51" i="4"/>
  <c r="W57" i="8"/>
  <c r="X56" i="8"/>
  <c r="Y56" i="8"/>
  <c r="D2176" i="17"/>
  <c r="D2184" i="17"/>
  <c r="C2172" i="17"/>
  <c r="D2193" i="17"/>
  <c r="D2178" i="17"/>
  <c r="D2172" i="17"/>
  <c r="E2257" i="17"/>
  <c r="D2189" i="17"/>
  <c r="D2194" i="17"/>
  <c r="D2181" i="17"/>
  <c r="A2200" i="17"/>
  <c r="D2175" i="17"/>
  <c r="D2180" i="17"/>
  <c r="C2171" i="17"/>
  <c r="D2183" i="17"/>
  <c r="D2188" i="17"/>
  <c r="A2198" i="17"/>
  <c r="D2192" i="17"/>
  <c r="D2187" i="17"/>
  <c r="D2185" i="17"/>
  <c r="D2182" i="17"/>
  <c r="D2177" i="17"/>
  <c r="A2197" i="17"/>
  <c r="A2199" i="17"/>
  <c r="D2179" i="17"/>
  <c r="D2186" i="17"/>
  <c r="V53" i="4"/>
  <c r="BS29" i="24"/>
  <c r="BT29" i="24"/>
  <c r="D772" i="25"/>
  <c r="C772" i="25"/>
  <c r="Q249" i="21"/>
  <c r="D1199" i="20"/>
  <c r="V34" i="11"/>
  <c r="R221" i="21"/>
  <c r="E1065" i="20"/>
  <c r="AQ29" i="24"/>
  <c r="EM29" i="24"/>
  <c r="CO29" i="24"/>
  <c r="J29" i="24"/>
  <c r="G29" i="24"/>
  <c r="H29" i="24"/>
  <c r="CK29" i="24"/>
  <c r="DC29" i="24"/>
  <c r="DD29" i="24"/>
  <c r="BO29" i="24"/>
  <c r="BP29" i="24"/>
  <c r="DO29" i="24"/>
  <c r="CY29" i="24"/>
  <c r="AN29" i="24"/>
  <c r="AA29" i="24"/>
  <c r="AB29" i="24"/>
  <c r="A36" i="18"/>
  <c r="N35" i="18"/>
  <c r="Q35" i="18"/>
  <c r="C35" i="18"/>
  <c r="AG35" i="18"/>
  <c r="M35" i="18"/>
  <c r="I35" i="18"/>
  <c r="K35" i="18"/>
  <c r="J35" i="18"/>
  <c r="T35" i="18"/>
  <c r="L35" i="18"/>
  <c r="O35" i="18"/>
  <c r="B35" i="18"/>
  <c r="E35" i="18"/>
  <c r="G35" i="18"/>
  <c r="U35" i="18"/>
  <c r="D35" i="18"/>
  <c r="F35" i="18"/>
  <c r="H35" i="18"/>
  <c r="P35" i="18"/>
  <c r="R35" i="18"/>
  <c r="S35" i="18"/>
  <c r="E1110" i="20"/>
  <c r="F250" i="21"/>
  <c r="W33" i="11"/>
  <c r="AI33" i="11"/>
  <c r="AA33" i="11"/>
  <c r="DM29" i="24"/>
  <c r="DN29" i="24"/>
  <c r="CU29" i="24"/>
  <c r="W29" i="24"/>
  <c r="CA29" i="24"/>
  <c r="BK29" i="24"/>
  <c r="BQ29" i="24"/>
  <c r="DE29" i="24"/>
  <c r="AW29" i="24"/>
  <c r="AC29" i="24"/>
  <c r="BE29" i="24"/>
  <c r="BF29" i="24"/>
  <c r="AU29" i="24"/>
  <c r="AV29" i="24"/>
  <c r="M29" i="24"/>
  <c r="AI32" i="11"/>
  <c r="Y32" i="11"/>
  <c r="BF33" i="13"/>
  <c r="AX33" i="13"/>
  <c r="Q219" i="21"/>
  <c r="D1063" i="20"/>
  <c r="DF29" i="24"/>
  <c r="EJ29" i="24"/>
  <c r="T29" i="24"/>
  <c r="I29" i="24"/>
  <c r="EI29" i="24"/>
  <c r="AK29" i="24"/>
  <c r="AL29" i="24"/>
  <c r="DW29" i="24"/>
  <c r="DX29" i="24"/>
  <c r="BH29" i="24"/>
  <c r="AG29" i="24"/>
  <c r="AX29" i="24"/>
  <c r="DZ29" i="24"/>
  <c r="EG29" i="24"/>
  <c r="EH29" i="24"/>
  <c r="CI29" i="24"/>
  <c r="CJ29" i="24"/>
  <c r="CE29" i="24"/>
  <c r="DS29" i="24"/>
  <c r="BB35" i="13"/>
  <c r="AU35" i="13"/>
  <c r="X36" i="13"/>
  <c r="AC36" i="13"/>
  <c r="AQ36" i="13"/>
  <c r="AA36" i="13"/>
  <c r="H36" i="13"/>
  <c r="Y36" i="13"/>
  <c r="AP36" i="13"/>
  <c r="J36" i="13"/>
  <c r="C36" i="13"/>
  <c r="AK36" i="13"/>
  <c r="C1239" i="20"/>
  <c r="D36" i="13"/>
  <c r="AG36" i="13"/>
  <c r="AE36" i="13"/>
  <c r="G36" i="13"/>
  <c r="C1229" i="20"/>
  <c r="K36" i="13"/>
  <c r="N36" i="13"/>
  <c r="F36" i="13"/>
  <c r="B36" i="13"/>
  <c r="A37" i="13"/>
  <c r="AI36" i="13"/>
  <c r="T36" i="13"/>
  <c r="V36" i="13"/>
  <c r="C1234" i="20"/>
  <c r="BL36" i="13"/>
  <c r="BB36" i="13"/>
  <c r="Q36" i="13"/>
  <c r="I36" i="13"/>
  <c r="AH36" i="13"/>
  <c r="C1238" i="20"/>
  <c r="AO36" i="13"/>
  <c r="O36" i="13"/>
  <c r="AM36" i="13"/>
  <c r="M36" i="13"/>
  <c r="C1231" i="20"/>
  <c r="U36" i="13"/>
  <c r="Z36" i="13"/>
  <c r="AS36" i="13"/>
  <c r="R36" i="13"/>
  <c r="E1232" i="20"/>
  <c r="AD36" i="13"/>
  <c r="AL36" i="13"/>
  <c r="L36" i="13"/>
  <c r="AF36" i="13"/>
  <c r="D1237" i="20"/>
  <c r="AN36" i="13"/>
  <c r="AJ36" i="13"/>
  <c r="AB36" i="13"/>
  <c r="W36" i="13"/>
  <c r="D1234" i="20"/>
  <c r="P36" i="13"/>
  <c r="S36" i="13"/>
  <c r="AR36" i="13"/>
  <c r="E36" i="13"/>
  <c r="AU34" i="13"/>
  <c r="I37" i="10"/>
  <c r="M37" i="10"/>
  <c r="P37" i="10"/>
  <c r="F37" i="10"/>
  <c r="H37" i="10"/>
  <c r="C37" i="10"/>
  <c r="L37" i="10"/>
  <c r="B37" i="10"/>
  <c r="G37" i="10"/>
  <c r="K37" i="10"/>
  <c r="E37" i="10"/>
  <c r="D37" i="10"/>
  <c r="A38" i="10"/>
  <c r="J37" i="10"/>
  <c r="L35" i="11"/>
  <c r="J35" i="11"/>
  <c r="A36" i="11"/>
  <c r="F35" i="11"/>
  <c r="B35" i="11"/>
  <c r="N35" i="11"/>
  <c r="G35" i="11"/>
  <c r="M35" i="11"/>
  <c r="R35" i="11"/>
  <c r="S35" i="11"/>
  <c r="E35" i="11"/>
  <c r="I35" i="11"/>
  <c r="O35" i="11"/>
  <c r="AG35" i="11"/>
  <c r="BA36" i="13"/>
  <c r="U35" i="11"/>
  <c r="P35" i="11"/>
  <c r="C35" i="11"/>
  <c r="Q35" i="11"/>
  <c r="K35" i="11"/>
  <c r="H35" i="11"/>
  <c r="D35" i="11"/>
  <c r="T35" i="11"/>
  <c r="W33" i="18"/>
  <c r="AH33" i="18"/>
  <c r="AB33" i="18"/>
  <c r="C1233" i="20"/>
  <c r="D1228" i="20"/>
  <c r="C1241" i="20"/>
  <c r="C1230" i="20"/>
  <c r="A1249" i="20"/>
  <c r="D1232" i="20"/>
  <c r="E1235" i="20"/>
  <c r="A1251" i="20"/>
  <c r="E1229" i="20"/>
  <c r="D1233" i="20"/>
  <c r="C1236" i="20"/>
  <c r="E1238" i="20"/>
  <c r="E1241" i="20"/>
  <c r="D1241" i="20"/>
  <c r="E1240" i="20"/>
  <c r="A1250" i="20"/>
  <c r="E1233" i="20"/>
  <c r="C1232" i="20"/>
  <c r="E1231" i="20"/>
  <c r="E1230" i="20"/>
  <c r="D1240" i="20"/>
  <c r="C1224" i="20"/>
  <c r="D1229" i="20"/>
  <c r="F1306" i="20"/>
  <c r="E1236" i="20"/>
  <c r="E1234" i="20"/>
  <c r="C1237" i="20"/>
  <c r="D1238" i="20"/>
  <c r="E1228" i="20"/>
  <c r="E1244" i="20"/>
  <c r="D1235" i="20"/>
  <c r="D1236" i="20"/>
  <c r="A1248" i="20"/>
  <c r="C1240" i="20"/>
  <c r="E1224" i="20"/>
  <c r="E1237" i="20"/>
  <c r="D1230" i="20"/>
  <c r="C1223" i="20"/>
  <c r="C1235" i="20"/>
  <c r="C1228" i="20"/>
  <c r="D1239" i="20"/>
  <c r="E1239" i="20"/>
  <c r="D1231" i="20"/>
  <c r="F792" i="25"/>
  <c r="B842" i="25"/>
  <c r="CI28" i="24"/>
  <c r="CJ28" i="24"/>
  <c r="CE28" i="24"/>
  <c r="EM28" i="24"/>
  <c r="AC28" i="24"/>
  <c r="CK28" i="24"/>
  <c r="CV28" i="24"/>
  <c r="AK28" i="24"/>
  <c r="AL28" i="24"/>
  <c r="CO28" i="24"/>
  <c r="DF28" i="24"/>
  <c r="AM28" i="24"/>
  <c r="AQ28" i="24"/>
  <c r="AD28" i="24"/>
  <c r="J28" i="24"/>
  <c r="S28" i="24"/>
  <c r="DZ28" i="24"/>
  <c r="EG28" i="24"/>
  <c r="EH28" i="24"/>
  <c r="CU28" i="24"/>
  <c r="DO28" i="24"/>
  <c r="EI28" i="24"/>
  <c r="DI28" i="24"/>
  <c r="EJ28" i="24"/>
  <c r="T28" i="24"/>
  <c r="Q28" i="24"/>
  <c r="R28" i="24"/>
  <c r="G28" i="24"/>
  <c r="H28" i="24"/>
  <c r="BO28" i="24"/>
  <c r="BP28" i="24"/>
  <c r="BK28" i="24"/>
  <c r="CB28" i="24"/>
  <c r="AN28" i="24"/>
  <c r="AU28" i="24"/>
  <c r="AV28" i="24"/>
  <c r="AG28" i="24"/>
  <c r="BE28" i="24"/>
  <c r="BF28" i="24"/>
  <c r="AW28" i="24"/>
  <c r="BH28" i="24"/>
  <c r="BG28" i="24"/>
  <c r="BA28" i="24"/>
  <c r="BR28" i="24"/>
  <c r="AX28" i="24"/>
  <c r="CA28" i="24"/>
  <c r="EC28" i="24"/>
  <c r="AA28" i="24"/>
  <c r="AB28" i="24"/>
  <c r="I28" i="24"/>
  <c r="BQ28" i="24"/>
  <c r="CL28" i="24"/>
  <c r="DC28" i="24"/>
  <c r="DD28" i="24"/>
  <c r="M28" i="24"/>
  <c r="BU28" i="24"/>
  <c r="DW28" i="24"/>
  <c r="DX28" i="24"/>
  <c r="DE28" i="24"/>
  <c r="W28" i="24"/>
  <c r="BY28" i="24"/>
  <c r="BZ28" i="24"/>
  <c r="DY28" i="24"/>
  <c r="DS28" i="24"/>
  <c r="CY28" i="24"/>
  <c r="DP28" i="24"/>
  <c r="CS28" i="24"/>
  <c r="CT28" i="24"/>
  <c r="DM28" i="24"/>
  <c r="DN28" i="24"/>
  <c r="E274" i="21"/>
  <c r="E264" i="21"/>
  <c r="E267" i="21"/>
  <c r="C258" i="21"/>
  <c r="B259" i="21"/>
  <c r="E273" i="21"/>
  <c r="F270" i="21"/>
  <c r="D262" i="21"/>
  <c r="F267" i="21"/>
  <c r="F265" i="21"/>
  <c r="E263" i="21"/>
  <c r="E261" i="21"/>
  <c r="F277" i="21"/>
  <c r="F266" i="21"/>
  <c r="E262" i="21"/>
  <c r="D264" i="21"/>
  <c r="F273" i="21"/>
  <c r="D269" i="21"/>
  <c r="E271" i="21"/>
  <c r="H258" i="21"/>
  <c r="F272" i="21"/>
  <c r="D263" i="21"/>
  <c r="F262" i="21"/>
  <c r="D271" i="21"/>
  <c r="D273" i="21"/>
  <c r="E259" i="21"/>
  <c r="D274" i="21"/>
  <c r="F274" i="21"/>
  <c r="D267" i="21"/>
  <c r="E268" i="21"/>
  <c r="D272" i="21"/>
  <c r="E266" i="21"/>
  <c r="F261" i="21"/>
  <c r="D265" i="21"/>
  <c r="D261" i="21"/>
  <c r="D268" i="21"/>
  <c r="B283" i="21"/>
  <c r="E270" i="21"/>
  <c r="F268" i="21"/>
  <c r="B281" i="21"/>
  <c r="D270" i="21"/>
  <c r="F269" i="21"/>
  <c r="F263" i="21"/>
  <c r="D266" i="21"/>
  <c r="E265" i="21"/>
  <c r="B282" i="21"/>
  <c r="B280" i="21"/>
  <c r="F264" i="21"/>
  <c r="F271" i="21"/>
  <c r="E272" i="21"/>
  <c r="E269" i="21"/>
  <c r="E1063" i="20"/>
  <c r="R219" i="21"/>
  <c r="BF32" i="13"/>
  <c r="CL29" i="24"/>
  <c r="CB29" i="24"/>
  <c r="BU29" i="24"/>
  <c r="DI29" i="24"/>
  <c r="BG29" i="24"/>
  <c r="CV29" i="24"/>
  <c r="CS29" i="24"/>
  <c r="CT29" i="24"/>
  <c r="S29" i="24"/>
  <c r="E30" i="24"/>
  <c r="B31" i="24"/>
  <c r="F30" i="24"/>
  <c r="D792" i="25"/>
  <c r="D30" i="24"/>
  <c r="C30" i="24"/>
  <c r="Q29" i="24"/>
  <c r="R29" i="24"/>
  <c r="DP29" i="24"/>
  <c r="BA29" i="24"/>
  <c r="EC29" i="24"/>
  <c r="AD29" i="24"/>
  <c r="V34" i="18"/>
  <c r="K249" i="21"/>
  <c r="D1154" i="20"/>
  <c r="AV34" i="13"/>
  <c r="AI52" i="4"/>
  <c r="W53" i="4"/>
  <c r="AI53" i="4"/>
  <c r="D2227" i="17"/>
  <c r="D2234" i="17"/>
  <c r="D2226" i="17"/>
  <c r="C2219" i="17"/>
  <c r="C2218" i="17"/>
  <c r="D2240" i="17"/>
  <c r="D2236" i="17"/>
  <c r="D2241" i="17"/>
  <c r="D2222" i="17"/>
  <c r="A2246" i="17"/>
  <c r="D2233" i="17"/>
  <c r="D2232" i="17"/>
  <c r="D2219" i="17"/>
  <c r="D2239" i="17"/>
  <c r="D2235" i="17"/>
  <c r="D2225" i="17"/>
  <c r="A2245" i="17"/>
  <c r="D2224" i="17"/>
  <c r="D2230" i="17"/>
  <c r="E2304" i="17"/>
  <c r="D2231" i="17"/>
  <c r="A2247" i="17"/>
  <c r="D2228" i="17"/>
  <c r="A2244" i="17"/>
  <c r="D2223" i="17"/>
  <c r="D2229" i="17"/>
  <c r="B57" i="2"/>
  <c r="G57" i="2"/>
  <c r="C57" i="2"/>
  <c r="E57" i="2"/>
  <c r="K57" i="2"/>
  <c r="N57" i="2"/>
  <c r="F57" i="2"/>
  <c r="H57" i="2"/>
  <c r="D57" i="2"/>
  <c r="I57" i="2"/>
  <c r="J57" i="2"/>
  <c r="A58" i="2"/>
  <c r="V54" i="4"/>
  <c r="Y57" i="8"/>
  <c r="W58" i="8"/>
  <c r="X57" i="8"/>
  <c r="D55" i="4"/>
  <c r="M55" i="4"/>
  <c r="U55" i="4"/>
  <c r="J55" i="4"/>
  <c r="R55" i="4"/>
  <c r="S55" i="4"/>
  <c r="C55" i="4"/>
  <c r="L55" i="4"/>
  <c r="E55" i="4"/>
  <c r="Q55" i="4"/>
  <c r="F55" i="4"/>
  <c r="A56" i="4"/>
  <c r="P55" i="4"/>
  <c r="I55" i="4"/>
  <c r="O55" i="4"/>
  <c r="AA55" i="4"/>
  <c r="H55" i="4"/>
  <c r="N55" i="4"/>
  <c r="K55" i="4"/>
  <c r="AG55" i="4"/>
  <c r="Y55" i="4"/>
  <c r="G55" i="4"/>
  <c r="B55" i="4"/>
  <c r="T55" i="4"/>
  <c r="F50" i="27"/>
  <c r="C50" i="27"/>
  <c r="E50" i="27"/>
  <c r="B51" i="27"/>
  <c r="D50" i="27"/>
  <c r="M50" i="27"/>
  <c r="N50" i="27"/>
  <c r="O50" i="27"/>
  <c r="AK50" i="27"/>
  <c r="AL50" i="27"/>
  <c r="AM50" i="27"/>
  <c r="BI50" i="27"/>
  <c r="BJ50" i="27"/>
  <c r="BK50" i="27"/>
  <c r="CA50" i="27"/>
  <c r="CB50" i="27"/>
  <c r="CC50" i="27"/>
  <c r="G50" i="27"/>
  <c r="H50" i="27"/>
  <c r="I50" i="27"/>
  <c r="AE50" i="27"/>
  <c r="AF50" i="27"/>
  <c r="AG50" i="27"/>
  <c r="BC50" i="27"/>
  <c r="BD50" i="27"/>
  <c r="BE50" i="27"/>
  <c r="S50" i="27"/>
  <c r="T50" i="27"/>
  <c r="U50" i="27"/>
  <c r="BO50" i="27"/>
  <c r="BP50" i="27"/>
  <c r="BQ50" i="27"/>
  <c r="Y50" i="27"/>
  <c r="Z50" i="27"/>
  <c r="AA50" i="27"/>
  <c r="BU50" i="27"/>
  <c r="BV50" i="27"/>
  <c r="BW50" i="27"/>
  <c r="AQ50" i="27"/>
  <c r="AR50" i="27"/>
  <c r="AS50" i="27"/>
  <c r="AW50" i="27"/>
  <c r="AX50" i="27"/>
  <c r="AY50" i="27"/>
  <c r="CG50" i="27"/>
  <c r="CH50" i="27"/>
  <c r="CI50" i="27"/>
  <c r="D1244" i="20"/>
  <c r="E277" i="21"/>
  <c r="BK30" i="24"/>
  <c r="BU30" i="24"/>
  <c r="EI30" i="24"/>
  <c r="CS30" i="24"/>
  <c r="CT30" i="24"/>
  <c r="M30" i="24"/>
  <c r="T30" i="24"/>
  <c r="DM30" i="24"/>
  <c r="DN30" i="24"/>
  <c r="DZ30" i="24"/>
  <c r="W30" i="24"/>
  <c r="AA30" i="24"/>
  <c r="AB30" i="24"/>
  <c r="DO30" i="24"/>
  <c r="EJ30" i="24"/>
  <c r="AX30" i="24"/>
  <c r="AC30" i="24"/>
  <c r="DS30" i="24"/>
  <c r="I30" i="24"/>
  <c r="BR30" i="24"/>
  <c r="DI30" i="24"/>
  <c r="CB30" i="24"/>
  <c r="EM30" i="24"/>
  <c r="AK30" i="24"/>
  <c r="AL30" i="24"/>
  <c r="CK30" i="24"/>
  <c r="Q30" i="24"/>
  <c r="R30" i="24"/>
  <c r="AM30" i="24"/>
  <c r="CV30" i="24"/>
  <c r="S30" i="24"/>
  <c r="CI30" i="24"/>
  <c r="CJ30" i="24"/>
  <c r="AG30" i="24"/>
  <c r="EC30" i="24"/>
  <c r="AU30" i="24"/>
  <c r="AV30" i="24"/>
  <c r="BH30" i="24"/>
  <c r="DW30" i="24"/>
  <c r="DX30" i="24"/>
  <c r="BY30" i="24"/>
  <c r="BZ30" i="24"/>
  <c r="AW30" i="24"/>
  <c r="BO30" i="24"/>
  <c r="BP30" i="24"/>
  <c r="DY30" i="24"/>
  <c r="CA30" i="24"/>
  <c r="BA30" i="24"/>
  <c r="BQ30" i="24"/>
  <c r="EG30" i="24"/>
  <c r="EH30" i="24"/>
  <c r="CE30" i="24"/>
  <c r="J30" i="24"/>
  <c r="AQ30" i="24"/>
  <c r="DF30" i="24"/>
  <c r="AD30" i="24"/>
  <c r="CL30" i="24"/>
  <c r="CO30" i="24"/>
  <c r="AN30" i="24"/>
  <c r="CU30" i="24"/>
  <c r="CY30" i="24"/>
  <c r="BE30" i="24"/>
  <c r="BF30" i="24"/>
  <c r="DC30" i="24"/>
  <c r="DD30" i="24"/>
  <c r="G30" i="24"/>
  <c r="H30" i="24"/>
  <c r="DP30" i="24"/>
  <c r="BG30" i="24"/>
  <c r="DE30" i="24"/>
  <c r="BB29" i="24"/>
  <c r="BC29" i="24"/>
  <c r="F770" i="25"/>
  <c r="E770" i="25"/>
  <c r="CM29" i="24"/>
  <c r="CN29" i="24"/>
  <c r="D774" i="25"/>
  <c r="C774" i="25"/>
  <c r="J265" i="21"/>
  <c r="L273" i="21"/>
  <c r="J272" i="21"/>
  <c r="K269" i="21"/>
  <c r="K268" i="21"/>
  <c r="L268" i="21"/>
  <c r="L267" i="21"/>
  <c r="L265" i="21"/>
  <c r="H280" i="21"/>
  <c r="J268" i="21"/>
  <c r="K265" i="21"/>
  <c r="L274" i="21"/>
  <c r="L269" i="21"/>
  <c r="L263" i="21"/>
  <c r="L262" i="21"/>
  <c r="H259" i="21"/>
  <c r="H281" i="21"/>
  <c r="K273" i="21"/>
  <c r="L266" i="21"/>
  <c r="K262" i="21"/>
  <c r="J271" i="21"/>
  <c r="J267" i="21"/>
  <c r="K270" i="21"/>
  <c r="K272" i="21"/>
  <c r="K274" i="21"/>
  <c r="J262" i="21"/>
  <c r="J261" i="21"/>
  <c r="H283" i="21"/>
  <c r="K263" i="21"/>
  <c r="J274" i="21"/>
  <c r="L261" i="21"/>
  <c r="K266" i="21"/>
  <c r="K261" i="21"/>
  <c r="J273" i="21"/>
  <c r="J263" i="21"/>
  <c r="L271" i="21"/>
  <c r="N258" i="21"/>
  <c r="H282" i="21"/>
  <c r="K267" i="21"/>
  <c r="L264" i="21"/>
  <c r="J270" i="21"/>
  <c r="K259" i="21"/>
  <c r="K271" i="21"/>
  <c r="K264" i="21"/>
  <c r="L272" i="21"/>
  <c r="J269" i="21"/>
  <c r="I258" i="21"/>
  <c r="J266" i="21"/>
  <c r="L270" i="21"/>
  <c r="J264" i="21"/>
  <c r="DT28" i="24"/>
  <c r="DU28" i="24"/>
  <c r="F748" i="25"/>
  <c r="E748" i="25"/>
  <c r="BS28" i="24"/>
  <c r="BT28" i="24"/>
  <c r="D743" i="25"/>
  <c r="C743" i="25"/>
  <c r="AO28" i="24"/>
  <c r="AP28" i="24"/>
  <c r="D740" i="25"/>
  <c r="C740" i="25"/>
  <c r="DJ28" i="24"/>
  <c r="DK28" i="24"/>
  <c r="F747" i="25"/>
  <c r="E747" i="25"/>
  <c r="AE28" i="24"/>
  <c r="AF28" i="24"/>
  <c r="D739" i="25"/>
  <c r="C739" i="25"/>
  <c r="CP28" i="24"/>
  <c r="CQ28" i="24"/>
  <c r="F745" i="25"/>
  <c r="E745" i="25"/>
  <c r="D791" i="25"/>
  <c r="AI33" i="18"/>
  <c r="AY34" i="13"/>
  <c r="Y33" i="18"/>
  <c r="V35" i="11"/>
  <c r="E36" i="11"/>
  <c r="N36" i="11"/>
  <c r="D36" i="11"/>
  <c r="Q36" i="11"/>
  <c r="K36" i="11"/>
  <c r="L36" i="11"/>
  <c r="H36" i="11"/>
  <c r="M36" i="11"/>
  <c r="AG36" i="11"/>
  <c r="R36" i="11"/>
  <c r="S36" i="11"/>
  <c r="G36" i="11"/>
  <c r="U36" i="11"/>
  <c r="C36" i="11"/>
  <c r="B36" i="11"/>
  <c r="T36" i="11"/>
  <c r="F36" i="11"/>
  <c r="I36" i="11"/>
  <c r="O36" i="11"/>
  <c r="J36" i="11"/>
  <c r="A37" i="11"/>
  <c r="P36" i="11"/>
  <c r="G37" i="13"/>
  <c r="AP37" i="13"/>
  <c r="AL37" i="13"/>
  <c r="A38" i="13"/>
  <c r="Z37" i="13"/>
  <c r="AO37" i="13"/>
  <c r="Y37" i="13"/>
  <c r="V37" i="13"/>
  <c r="AA37" i="13"/>
  <c r="O37" i="13"/>
  <c r="W37" i="13"/>
  <c r="K37" i="13"/>
  <c r="N37" i="13"/>
  <c r="AH37" i="13"/>
  <c r="C37" i="13"/>
  <c r="M37" i="13"/>
  <c r="AN37" i="13"/>
  <c r="AK37" i="13"/>
  <c r="AG37" i="13"/>
  <c r="AC37" i="13"/>
  <c r="F37" i="13"/>
  <c r="U37" i="13"/>
  <c r="AS37" i="13"/>
  <c r="H37" i="13"/>
  <c r="AR37" i="13"/>
  <c r="AQ37" i="13"/>
  <c r="BL37" i="13"/>
  <c r="AE37" i="13"/>
  <c r="T37" i="13"/>
  <c r="J37" i="13"/>
  <c r="AD37" i="13"/>
  <c r="L37" i="13"/>
  <c r="AI37" i="13"/>
  <c r="D37" i="13"/>
  <c r="AB37" i="13"/>
  <c r="R37" i="13"/>
  <c r="I37" i="13"/>
  <c r="S37" i="13"/>
  <c r="AM37" i="13"/>
  <c r="P37" i="13"/>
  <c r="X37" i="13"/>
  <c r="B37" i="13"/>
  <c r="E37" i="13"/>
  <c r="Q37" i="13"/>
  <c r="AF37" i="13"/>
  <c r="AJ37" i="13"/>
  <c r="BA37" i="13"/>
  <c r="K277" i="21"/>
  <c r="E1199" i="20"/>
  <c r="R249" i="21"/>
  <c r="BI29" i="24"/>
  <c r="BJ29" i="24"/>
  <c r="D771" i="25"/>
  <c r="C771" i="25"/>
  <c r="N29" i="24"/>
  <c r="O29" i="24"/>
  <c r="F766" i="25"/>
  <c r="E766" i="25"/>
  <c r="CZ29" i="24"/>
  <c r="DA29" i="24"/>
  <c r="F775" i="25"/>
  <c r="E775" i="25"/>
  <c r="EN29" i="24"/>
  <c r="EO29" i="24"/>
  <c r="F779" i="25"/>
  <c r="E779" i="25"/>
  <c r="W34" i="11"/>
  <c r="AH34" i="11"/>
  <c r="AA34" i="11"/>
  <c r="W34" i="18"/>
  <c r="AH34" i="18"/>
  <c r="AB34" i="18"/>
  <c r="DQ29" i="24"/>
  <c r="DR29" i="24"/>
  <c r="D777" i="25"/>
  <c r="C777" i="25"/>
  <c r="DJ29" i="24"/>
  <c r="DK29" i="24"/>
  <c r="F776" i="25"/>
  <c r="E776" i="25"/>
  <c r="CM28" i="24"/>
  <c r="CN28" i="24"/>
  <c r="D745" i="25"/>
  <c r="C745" i="25"/>
  <c r="ED28" i="24"/>
  <c r="EE28" i="24"/>
  <c r="F749" i="25"/>
  <c r="E749" i="25"/>
  <c r="BB28" i="24"/>
  <c r="BC28" i="24"/>
  <c r="F741" i="25"/>
  <c r="E741" i="25"/>
  <c r="CC28" i="24"/>
  <c r="CD28" i="24"/>
  <c r="D744" i="25"/>
  <c r="C744" i="25"/>
  <c r="EA28" i="24"/>
  <c r="EB28" i="24"/>
  <c r="D749" i="25"/>
  <c r="C749" i="25"/>
  <c r="AR28" i="24"/>
  <c r="AS28" i="24"/>
  <c r="F740" i="25"/>
  <c r="E740" i="25"/>
  <c r="EN28" i="24"/>
  <c r="EO28" i="24"/>
  <c r="F750" i="25"/>
  <c r="E750" i="25"/>
  <c r="C1269" i="20"/>
  <c r="C1276" i="20"/>
  <c r="E1275" i="20"/>
  <c r="E1276" i="20"/>
  <c r="D1289" i="20"/>
  <c r="C1268" i="20"/>
  <c r="D1282" i="20"/>
  <c r="C1279" i="20"/>
  <c r="D1274" i="20"/>
  <c r="C1274" i="20"/>
  <c r="D1276" i="20"/>
  <c r="E1274" i="20"/>
  <c r="A1295" i="20"/>
  <c r="E1273" i="20"/>
  <c r="A1293" i="20"/>
  <c r="E1286" i="20"/>
  <c r="D1286" i="20"/>
  <c r="C1273" i="20"/>
  <c r="E1269" i="20"/>
  <c r="E1278" i="20"/>
  <c r="A1296" i="20"/>
  <c r="C1285" i="20"/>
  <c r="E1284" i="20"/>
  <c r="C1275" i="20"/>
  <c r="D1285" i="20"/>
  <c r="A1294" i="20"/>
  <c r="D1283" i="20"/>
  <c r="E1282" i="20"/>
  <c r="E1281" i="20"/>
  <c r="C1282" i="20"/>
  <c r="E1280" i="20"/>
  <c r="C1283" i="20"/>
  <c r="D1275" i="20"/>
  <c r="C1281" i="20"/>
  <c r="D1284" i="20"/>
  <c r="D1279" i="20"/>
  <c r="C1280" i="20"/>
  <c r="C1286" i="20"/>
  <c r="C1278" i="20"/>
  <c r="D1277" i="20"/>
  <c r="D1281" i="20"/>
  <c r="D1273" i="20"/>
  <c r="E1279" i="20"/>
  <c r="D1280" i="20"/>
  <c r="E1277" i="20"/>
  <c r="D1278" i="20"/>
  <c r="E1285" i="20"/>
  <c r="C1277" i="20"/>
  <c r="E1283" i="20"/>
  <c r="F1351" i="20"/>
  <c r="C1284" i="20"/>
  <c r="J38" i="10"/>
  <c r="M38" i="10"/>
  <c r="P38" i="10"/>
  <c r="E38" i="10"/>
  <c r="I38" i="10"/>
  <c r="A39" i="10"/>
  <c r="G38" i="10"/>
  <c r="D38" i="10"/>
  <c r="B38" i="10"/>
  <c r="F38" i="10"/>
  <c r="C38" i="10"/>
  <c r="L38" i="10"/>
  <c r="K38" i="10"/>
  <c r="H38" i="10"/>
  <c r="D1152" i="20"/>
  <c r="K247" i="21"/>
  <c r="AU36" i="13"/>
  <c r="DT29" i="24"/>
  <c r="DU29" i="24"/>
  <c r="F777" i="25"/>
  <c r="E777" i="25"/>
  <c r="EA29" i="24"/>
  <c r="EB29" i="24"/>
  <c r="D778" i="25"/>
  <c r="C778" i="25"/>
  <c r="U29" i="24"/>
  <c r="V29" i="24"/>
  <c r="D767" i="25"/>
  <c r="C767" i="25"/>
  <c r="X29" i="24"/>
  <c r="Y29" i="24"/>
  <c r="F767" i="25"/>
  <c r="E767" i="25"/>
  <c r="V35" i="18"/>
  <c r="K36" i="18"/>
  <c r="J36" i="18"/>
  <c r="M36" i="18"/>
  <c r="U36" i="18"/>
  <c r="I36" i="18"/>
  <c r="D36" i="18"/>
  <c r="G36" i="18"/>
  <c r="Q36" i="18"/>
  <c r="F36" i="18"/>
  <c r="L36" i="18"/>
  <c r="C36" i="18"/>
  <c r="AG36" i="18"/>
  <c r="E36" i="18"/>
  <c r="N36" i="18"/>
  <c r="B36" i="18"/>
  <c r="O36" i="18"/>
  <c r="T36" i="18"/>
  <c r="R36" i="18"/>
  <c r="S36" i="18"/>
  <c r="A37" i="18"/>
  <c r="P36" i="18"/>
  <c r="H36" i="18"/>
  <c r="AR29" i="24"/>
  <c r="AS29" i="24"/>
  <c r="F769" i="25"/>
  <c r="E769" i="25"/>
  <c r="L247" i="21"/>
  <c r="E1152" i="20"/>
  <c r="AE29" i="24"/>
  <c r="AF29" i="24"/>
  <c r="D768" i="25"/>
  <c r="C768" i="25"/>
  <c r="B32" i="24"/>
  <c r="F31" i="24"/>
  <c r="E31" i="24"/>
  <c r="D31" i="24"/>
  <c r="C31" i="24"/>
  <c r="BV29" i="24"/>
  <c r="BW29" i="24"/>
  <c r="F772" i="25"/>
  <c r="E772" i="25"/>
  <c r="DQ28" i="24"/>
  <c r="DR28" i="24"/>
  <c r="D748" i="25"/>
  <c r="C748" i="25"/>
  <c r="BV28" i="24"/>
  <c r="BW28" i="24"/>
  <c r="F743" i="25"/>
  <c r="E743" i="25"/>
  <c r="AH28" i="24"/>
  <c r="AI28" i="24"/>
  <c r="F739" i="25"/>
  <c r="E739" i="25"/>
  <c r="BL28" i="24"/>
  <c r="BM28" i="24"/>
  <c r="F742" i="25"/>
  <c r="E742" i="25"/>
  <c r="U28" i="24"/>
  <c r="V28" i="24"/>
  <c r="D738" i="25"/>
  <c r="C738" i="25"/>
  <c r="CW28" i="24"/>
  <c r="CX28" i="24"/>
  <c r="D746" i="25"/>
  <c r="C746" i="25"/>
  <c r="CF28" i="24"/>
  <c r="CG28" i="24"/>
  <c r="F744" i="25"/>
  <c r="E744" i="25"/>
  <c r="F821" i="25"/>
  <c r="B871" i="25"/>
  <c r="D821" i="25"/>
  <c r="D820" i="25"/>
  <c r="CF29" i="24"/>
  <c r="CG29" i="24"/>
  <c r="F773" i="25"/>
  <c r="E773" i="25"/>
  <c r="AY29" i="24"/>
  <c r="AZ29" i="24"/>
  <c r="D770" i="25"/>
  <c r="C770" i="25"/>
  <c r="EK29" i="24"/>
  <c r="EL29" i="24"/>
  <c r="D779" i="25"/>
  <c r="C779" i="25"/>
  <c r="D1108" i="20"/>
  <c r="E248" i="21"/>
  <c r="AH33" i="11"/>
  <c r="Y33" i="11"/>
  <c r="AX34" i="13"/>
  <c r="K29" i="24"/>
  <c r="L29" i="24"/>
  <c r="D766" i="25"/>
  <c r="C766" i="25"/>
  <c r="ED29" i="24"/>
  <c r="EE29" i="24"/>
  <c r="F778" i="25"/>
  <c r="E778" i="25"/>
  <c r="CW29" i="24"/>
  <c r="CX29" i="24"/>
  <c r="D775" i="25"/>
  <c r="C775" i="25"/>
  <c r="CC29" i="24"/>
  <c r="CD29" i="24"/>
  <c r="D773" i="25"/>
  <c r="C773" i="25"/>
  <c r="Q221" i="21"/>
  <c r="D1065" i="20"/>
  <c r="CZ28" i="24"/>
  <c r="DA28" i="24"/>
  <c r="F746" i="25"/>
  <c r="E746" i="25"/>
  <c r="X28" i="24"/>
  <c r="Y28" i="24"/>
  <c r="F738" i="25"/>
  <c r="E738" i="25"/>
  <c r="N28" i="24"/>
  <c r="O28" i="24"/>
  <c r="F737" i="25"/>
  <c r="E737" i="25"/>
  <c r="AY28" i="24"/>
  <c r="AZ28" i="24"/>
  <c r="D741" i="25"/>
  <c r="C741" i="25"/>
  <c r="BI28" i="24"/>
  <c r="BJ28" i="24"/>
  <c r="D742" i="25"/>
  <c r="C742" i="25"/>
  <c r="EK28" i="24"/>
  <c r="EL28" i="24"/>
  <c r="D750" i="25"/>
  <c r="C750" i="25"/>
  <c r="K28" i="24"/>
  <c r="L28" i="24"/>
  <c r="D737" i="25"/>
  <c r="C737" i="25"/>
  <c r="DG28" i="24"/>
  <c r="DH28" i="24"/>
  <c r="D747" i="25"/>
  <c r="C747" i="25"/>
  <c r="D1197" i="20"/>
  <c r="Q247" i="21"/>
  <c r="AH29" i="24"/>
  <c r="AI29" i="24"/>
  <c r="F768" i="25"/>
  <c r="E768" i="25"/>
  <c r="DG29" i="24"/>
  <c r="DH29" i="24"/>
  <c r="D776" i="25"/>
  <c r="C776" i="25"/>
  <c r="D1110" i="20"/>
  <c r="E250" i="21"/>
  <c r="BL29" i="24"/>
  <c r="BM29" i="24"/>
  <c r="F771" i="25"/>
  <c r="E771" i="25"/>
  <c r="AO29" i="24"/>
  <c r="AP29" i="24"/>
  <c r="D769" i="25"/>
  <c r="C769" i="25"/>
  <c r="CP29" i="24"/>
  <c r="CQ29" i="24"/>
  <c r="F774" i="25"/>
  <c r="E774" i="25"/>
  <c r="AV35" i="13"/>
  <c r="F58" i="2"/>
  <c r="D58" i="2"/>
  <c r="J58" i="2"/>
  <c r="G58" i="2"/>
  <c r="H58" i="2"/>
  <c r="A59" i="2"/>
  <c r="C58" i="2"/>
  <c r="K58" i="2"/>
  <c r="N58" i="2"/>
  <c r="E58" i="2"/>
  <c r="I58" i="2"/>
  <c r="B58" i="2"/>
  <c r="E51" i="27"/>
  <c r="F51" i="27"/>
  <c r="D51" i="27"/>
  <c r="B52" i="27"/>
  <c r="S51" i="27"/>
  <c r="T51" i="27"/>
  <c r="U51" i="27"/>
  <c r="AQ51" i="27"/>
  <c r="AR51" i="27"/>
  <c r="AS51" i="27"/>
  <c r="BO51" i="27"/>
  <c r="BP51" i="27"/>
  <c r="BQ51" i="27"/>
  <c r="CG51" i="27"/>
  <c r="CH51" i="27"/>
  <c r="CI51" i="27"/>
  <c r="M51" i="27"/>
  <c r="N51" i="27"/>
  <c r="O51" i="27"/>
  <c r="AK51" i="27"/>
  <c r="AL51" i="27"/>
  <c r="AM51" i="27"/>
  <c r="BI51" i="27"/>
  <c r="BJ51" i="27"/>
  <c r="BK51" i="27"/>
  <c r="CA51" i="27"/>
  <c r="CB51" i="27"/>
  <c r="CC51" i="27"/>
  <c r="G51" i="27"/>
  <c r="H51" i="27"/>
  <c r="I51" i="27"/>
  <c r="BC51" i="27"/>
  <c r="BD51" i="27"/>
  <c r="BE51" i="27"/>
  <c r="Y51" i="27"/>
  <c r="Z51" i="27"/>
  <c r="AA51" i="27"/>
  <c r="BU51" i="27"/>
  <c r="BV51" i="27"/>
  <c r="BW51" i="27"/>
  <c r="C51" i="27"/>
  <c r="AE51" i="27"/>
  <c r="AF51" i="27"/>
  <c r="AG51" i="27"/>
  <c r="AW51" i="27"/>
  <c r="AX51" i="27"/>
  <c r="AY51" i="27"/>
  <c r="H56" i="4"/>
  <c r="P56" i="4"/>
  <c r="E56" i="4"/>
  <c r="C56" i="4"/>
  <c r="I56" i="4"/>
  <c r="J56" i="4"/>
  <c r="K56" i="4"/>
  <c r="Y56" i="4"/>
  <c r="AA56" i="4"/>
  <c r="N56" i="4"/>
  <c r="AG56" i="4"/>
  <c r="M56" i="4"/>
  <c r="G56" i="4"/>
  <c r="D56" i="4"/>
  <c r="U56" i="4"/>
  <c r="A57" i="4"/>
  <c r="T56" i="4"/>
  <c r="B56" i="4"/>
  <c r="Q56" i="4"/>
  <c r="L56" i="4"/>
  <c r="R56" i="4"/>
  <c r="S56" i="4"/>
  <c r="F56" i="4"/>
  <c r="O56" i="4"/>
  <c r="W59" i="8"/>
  <c r="X58" i="8"/>
  <c r="Y58" i="8"/>
  <c r="D2275" i="17"/>
  <c r="D2282" i="17"/>
  <c r="D2272" i="17"/>
  <c r="D2269" i="17"/>
  <c r="A2292" i="17"/>
  <c r="E2351" i="17"/>
  <c r="D2288" i="17"/>
  <c r="D2274" i="17"/>
  <c r="D2279" i="17"/>
  <c r="D2277" i="17"/>
  <c r="C2266" i="17"/>
  <c r="D2287" i="17"/>
  <c r="D2271" i="17"/>
  <c r="D2266" i="17"/>
  <c r="D2283" i="17"/>
  <c r="D2270" i="17"/>
  <c r="A2293" i="17"/>
  <c r="D2280" i="17"/>
  <c r="D2278" i="17"/>
  <c r="D2273" i="17"/>
  <c r="A2291" i="17"/>
  <c r="D2276" i="17"/>
  <c r="D2281" i="17"/>
  <c r="C2265" i="17"/>
  <c r="A2294" i="17"/>
  <c r="D2286" i="17"/>
  <c r="AH53" i="4"/>
  <c r="V55" i="4"/>
  <c r="W54" i="4"/>
  <c r="AH54" i="4"/>
  <c r="AW31" i="24"/>
  <c r="DZ31" i="24"/>
  <c r="AG31" i="24"/>
  <c r="DI31" i="24"/>
  <c r="BH31" i="24"/>
  <c r="BO31" i="24"/>
  <c r="BP31" i="24"/>
  <c r="BG31" i="24"/>
  <c r="EI31" i="24"/>
  <c r="DF31" i="24"/>
  <c r="DM31" i="24"/>
  <c r="DN31" i="24"/>
  <c r="CE31" i="24"/>
  <c r="M31" i="24"/>
  <c r="J31" i="24"/>
  <c r="DY31" i="24"/>
  <c r="BQ31" i="24"/>
  <c r="AD31" i="24"/>
  <c r="BE31" i="24"/>
  <c r="BF31" i="24"/>
  <c r="BA31" i="24"/>
  <c r="EC31" i="24"/>
  <c r="CV31" i="24"/>
  <c r="DC31" i="24"/>
  <c r="DD31" i="24"/>
  <c r="CA31" i="24"/>
  <c r="I31" i="24"/>
  <c r="S31" i="24"/>
  <c r="CY31" i="24"/>
  <c r="AN31" i="24"/>
  <c r="AU31" i="24"/>
  <c r="AV31" i="24"/>
  <c r="AA31" i="24"/>
  <c r="AB31" i="24"/>
  <c r="CK31" i="24"/>
  <c r="AX31" i="24"/>
  <c r="CS31" i="24"/>
  <c r="CT31" i="24"/>
  <c r="BU31" i="24"/>
  <c r="G31" i="24"/>
  <c r="H31" i="24"/>
  <c r="EJ31" i="24"/>
  <c r="Q31" i="24"/>
  <c r="R31" i="24"/>
  <c r="CU31" i="24"/>
  <c r="T31" i="24"/>
  <c r="AK31" i="24"/>
  <c r="AL31" i="24"/>
  <c r="AQ31" i="24"/>
  <c r="DS31" i="24"/>
  <c r="CB31" i="24"/>
  <c r="CI31" i="24"/>
  <c r="CJ31" i="24"/>
  <c r="EG31" i="24"/>
  <c r="EH31" i="24"/>
  <c r="W31" i="24"/>
  <c r="DE31" i="24"/>
  <c r="CL31" i="24"/>
  <c r="CO31" i="24"/>
  <c r="AC31" i="24"/>
  <c r="AM31" i="24"/>
  <c r="DO31" i="24"/>
  <c r="BR31" i="24"/>
  <c r="BY31" i="24"/>
  <c r="BZ31" i="24"/>
  <c r="BK31" i="24"/>
  <c r="EM31" i="24"/>
  <c r="DP31" i="24"/>
  <c r="DW31" i="24"/>
  <c r="DX31" i="24"/>
  <c r="D1153" i="20"/>
  <c r="K248" i="21"/>
  <c r="I39" i="10"/>
  <c r="B39" i="10"/>
  <c r="J39" i="10"/>
  <c r="M39" i="10"/>
  <c r="P39" i="10"/>
  <c r="G39" i="10"/>
  <c r="E39" i="10"/>
  <c r="L39" i="10"/>
  <c r="K39" i="10"/>
  <c r="F39" i="10"/>
  <c r="A40" i="10"/>
  <c r="H39" i="10"/>
  <c r="D39" i="10"/>
  <c r="C39" i="10"/>
  <c r="I37" i="11"/>
  <c r="O37" i="11"/>
  <c r="G37" i="11"/>
  <c r="J37" i="11"/>
  <c r="C37" i="11"/>
  <c r="P37" i="11"/>
  <c r="E37" i="11"/>
  <c r="M37" i="11"/>
  <c r="B37" i="11"/>
  <c r="D37" i="11"/>
  <c r="U37" i="11"/>
  <c r="F37" i="11"/>
  <c r="R37" i="11"/>
  <c r="S37" i="11"/>
  <c r="N37" i="11"/>
  <c r="K37" i="11"/>
  <c r="T37" i="11"/>
  <c r="A38" i="11"/>
  <c r="Q37" i="11"/>
  <c r="H37" i="11"/>
  <c r="AG37" i="11"/>
  <c r="L37" i="11"/>
  <c r="L248" i="21"/>
  <c r="E1153" i="20"/>
  <c r="P269" i="21"/>
  <c r="P268" i="21"/>
  <c r="O258" i="21"/>
  <c r="R264" i="21"/>
  <c r="R269" i="21"/>
  <c r="R267" i="21"/>
  <c r="R273" i="21"/>
  <c r="R263" i="21"/>
  <c r="R262" i="21"/>
  <c r="R271" i="21"/>
  <c r="N283" i="21"/>
  <c r="Q271" i="21"/>
  <c r="Q268" i="21"/>
  <c r="Q262" i="21"/>
  <c r="P262" i="21"/>
  <c r="P271" i="21"/>
  <c r="Q263" i="21"/>
  <c r="R265" i="21"/>
  <c r="P264" i="21"/>
  <c r="Q266" i="21"/>
  <c r="P270" i="21"/>
  <c r="R270" i="21"/>
  <c r="R268" i="21"/>
  <c r="Q264" i="21"/>
  <c r="Q273" i="21"/>
  <c r="R261" i="21"/>
  <c r="Q259" i="21"/>
  <c r="Q274" i="21"/>
  <c r="B287" i="21"/>
  <c r="R272" i="21"/>
  <c r="P263" i="21"/>
  <c r="Q265" i="21"/>
  <c r="N280" i="21"/>
  <c r="P274" i="21"/>
  <c r="P273" i="21"/>
  <c r="P272" i="21"/>
  <c r="N259" i="21"/>
  <c r="R266" i="21"/>
  <c r="Q267" i="21"/>
  <c r="Q272" i="21"/>
  <c r="P266" i="21"/>
  <c r="Q269" i="21"/>
  <c r="P261" i="21"/>
  <c r="N282" i="21"/>
  <c r="P267" i="21"/>
  <c r="P265" i="21"/>
  <c r="N281" i="21"/>
  <c r="Q261" i="21"/>
  <c r="Q270" i="21"/>
  <c r="R274" i="21"/>
  <c r="AE30" i="24"/>
  <c r="AF30" i="24"/>
  <c r="D797" i="25"/>
  <c r="C797" i="25"/>
  <c r="CF30" i="24"/>
  <c r="CG30" i="24"/>
  <c r="F802" i="25"/>
  <c r="E802" i="25"/>
  <c r="ED30" i="24"/>
  <c r="EE30" i="24"/>
  <c r="F807" i="25"/>
  <c r="E807" i="25"/>
  <c r="CW30" i="24"/>
  <c r="CX30" i="24"/>
  <c r="D804" i="25"/>
  <c r="C804" i="25"/>
  <c r="BS30" i="24"/>
  <c r="BT30" i="24"/>
  <c r="D801" i="25"/>
  <c r="C801" i="25"/>
  <c r="AY30" i="24"/>
  <c r="AZ30" i="24"/>
  <c r="D799" i="25"/>
  <c r="C799" i="25"/>
  <c r="X30" i="24"/>
  <c r="Y30" i="24"/>
  <c r="F796" i="25"/>
  <c r="E796" i="25"/>
  <c r="N30" i="24"/>
  <c r="O30" i="24"/>
  <c r="F795" i="25"/>
  <c r="E795" i="25"/>
  <c r="BL30" i="24"/>
  <c r="BM30" i="24"/>
  <c r="F800" i="25"/>
  <c r="E800" i="25"/>
  <c r="E1197" i="20"/>
  <c r="R247" i="21"/>
  <c r="E32" i="24"/>
  <c r="F32" i="24"/>
  <c r="D32" i="24"/>
  <c r="C32" i="24"/>
  <c r="B33" i="24"/>
  <c r="D1242" i="20"/>
  <c r="E275" i="21"/>
  <c r="BB37" i="13"/>
  <c r="V36" i="11"/>
  <c r="AO30" i="24"/>
  <c r="AP30" i="24"/>
  <c r="D798" i="25"/>
  <c r="C798" i="25"/>
  <c r="DG30" i="24"/>
  <c r="DH30" i="24"/>
  <c r="D805" i="25"/>
  <c r="C805" i="25"/>
  <c r="AH30" i="24"/>
  <c r="AI30" i="24"/>
  <c r="F797" i="25"/>
  <c r="E797" i="25"/>
  <c r="EN30" i="24"/>
  <c r="EO30" i="24"/>
  <c r="F808" i="25"/>
  <c r="E808" i="25"/>
  <c r="EK30" i="24"/>
  <c r="EL30" i="24"/>
  <c r="D808" i="25"/>
  <c r="C808" i="25"/>
  <c r="EA30" i="24"/>
  <c r="EB30" i="24"/>
  <c r="D807" i="25"/>
  <c r="C807" i="25"/>
  <c r="R37" i="18"/>
  <c r="S37" i="18"/>
  <c r="Q37" i="18"/>
  <c r="U37" i="18"/>
  <c r="C37" i="18"/>
  <c r="T37" i="18"/>
  <c r="P37" i="18"/>
  <c r="I37" i="18"/>
  <c r="A38" i="18"/>
  <c r="N37" i="18"/>
  <c r="J37" i="18"/>
  <c r="K37" i="18"/>
  <c r="M37" i="18"/>
  <c r="D37" i="18"/>
  <c r="F37" i="18"/>
  <c r="E37" i="18"/>
  <c r="AG37" i="18"/>
  <c r="G37" i="18"/>
  <c r="L37" i="18"/>
  <c r="H37" i="18"/>
  <c r="O37" i="18"/>
  <c r="B37" i="18"/>
  <c r="A1341" i="20"/>
  <c r="A1338" i="20"/>
  <c r="A1340" i="20"/>
  <c r="C1314" i="20"/>
  <c r="E1314" i="20"/>
  <c r="C1313" i="20"/>
  <c r="F1396" i="20"/>
  <c r="A1339" i="20"/>
  <c r="AI34" i="11"/>
  <c r="Y34" i="11"/>
  <c r="BF35" i="13"/>
  <c r="AX35" i="13"/>
  <c r="A39" i="13"/>
  <c r="AC38" i="13"/>
  <c r="D1326" i="20"/>
  <c r="AQ38" i="13"/>
  <c r="C1331" i="20"/>
  <c r="AH38" i="13"/>
  <c r="C1328" i="20"/>
  <c r="N38" i="13"/>
  <c r="D1321" i="20"/>
  <c r="AN38" i="13"/>
  <c r="C1330" i="20"/>
  <c r="AI38" i="13"/>
  <c r="D1328" i="20"/>
  <c r="P38" i="13"/>
  <c r="C1322" i="20"/>
  <c r="V38" i="13"/>
  <c r="C1324" i="20"/>
  <c r="H38" i="13"/>
  <c r="D1319" i="20"/>
  <c r="L38" i="13"/>
  <c r="E1320" i="20"/>
  <c r="K38" i="13"/>
  <c r="D1320" i="20"/>
  <c r="AR38" i="13"/>
  <c r="D1331" i="20"/>
  <c r="B38" i="13"/>
  <c r="AP38" i="13"/>
  <c r="E1330" i="20"/>
  <c r="U38" i="13"/>
  <c r="E1323" i="20"/>
  <c r="S38" i="13"/>
  <c r="C1323" i="20"/>
  <c r="AE38" i="13"/>
  <c r="C1327" i="20"/>
  <c r="W38" i="13"/>
  <c r="D1324" i="20"/>
  <c r="C38" i="13"/>
  <c r="Y38" i="13"/>
  <c r="C1325" i="20"/>
  <c r="D38" i="13"/>
  <c r="C1318" i="20"/>
  <c r="Q38" i="13"/>
  <c r="D1322" i="20"/>
  <c r="J38" i="13"/>
  <c r="C1320" i="20"/>
  <c r="AA38" i="13"/>
  <c r="E1325" i="20"/>
  <c r="R38" i="13"/>
  <c r="E1322" i="20"/>
  <c r="AD38" i="13"/>
  <c r="E1326" i="20"/>
  <c r="T38" i="13"/>
  <c r="D1323" i="20"/>
  <c r="G38" i="13"/>
  <c r="C1319" i="20"/>
  <c r="M38" i="13"/>
  <c r="C1321" i="20"/>
  <c r="F38" i="13"/>
  <c r="E1318" i="20"/>
  <c r="AF38" i="13"/>
  <c r="D1327" i="20"/>
  <c r="AJ38" i="13"/>
  <c r="E1328" i="20"/>
  <c r="AL38" i="13"/>
  <c r="D1329" i="20"/>
  <c r="AB38" i="13"/>
  <c r="C1326" i="20"/>
  <c r="AS38" i="13"/>
  <c r="E1331" i="20"/>
  <c r="Z38" i="13"/>
  <c r="D1325" i="20"/>
  <c r="E38" i="13"/>
  <c r="D1318" i="20"/>
  <c r="BL38" i="13"/>
  <c r="BA38" i="13"/>
  <c r="Q277" i="21"/>
  <c r="O38" i="13"/>
  <c r="E1321" i="20"/>
  <c r="AK38" i="13"/>
  <c r="C1329" i="20"/>
  <c r="AG38" i="13"/>
  <c r="E1327" i="20"/>
  <c r="I38" i="13"/>
  <c r="E1319" i="20"/>
  <c r="AM38" i="13"/>
  <c r="E1329" i="20"/>
  <c r="AO38" i="13"/>
  <c r="D1330" i="20"/>
  <c r="X38" i="13"/>
  <c r="E1324" i="20"/>
  <c r="W35" i="11"/>
  <c r="AI35" i="11"/>
  <c r="AA35" i="11"/>
  <c r="CP30" i="24"/>
  <c r="CQ30" i="24"/>
  <c r="F803" i="25"/>
  <c r="E803" i="25"/>
  <c r="AR30" i="24"/>
  <c r="AS30" i="24"/>
  <c r="F798" i="25"/>
  <c r="E798" i="25"/>
  <c r="BI30" i="24"/>
  <c r="BJ30" i="24"/>
  <c r="D800" i="25"/>
  <c r="C800" i="25"/>
  <c r="CC30" i="24"/>
  <c r="CD30" i="24"/>
  <c r="D802" i="25"/>
  <c r="C802" i="25"/>
  <c r="DT30" i="24"/>
  <c r="DU30" i="24"/>
  <c r="F806" i="25"/>
  <c r="E806" i="25"/>
  <c r="BF34" i="13"/>
  <c r="B900" i="25"/>
  <c r="F850" i="25"/>
  <c r="D850" i="25"/>
  <c r="D849" i="25"/>
  <c r="V36" i="18"/>
  <c r="W35" i="18"/>
  <c r="AI35" i="18"/>
  <c r="AB35" i="18"/>
  <c r="AV36" i="13"/>
  <c r="AI34" i="18"/>
  <c r="Y34" i="18"/>
  <c r="BC35" i="13"/>
  <c r="AY35" i="13"/>
  <c r="AV37" i="13"/>
  <c r="AU37" i="13"/>
  <c r="BC34" i="13"/>
  <c r="DQ30" i="24"/>
  <c r="DR30" i="24"/>
  <c r="D806" i="25"/>
  <c r="C806" i="25"/>
  <c r="CZ30" i="24"/>
  <c r="DA30" i="24"/>
  <c r="F804" i="25"/>
  <c r="E804" i="25"/>
  <c r="CM30" i="24"/>
  <c r="CN30" i="24"/>
  <c r="D803" i="25"/>
  <c r="C803" i="25"/>
  <c r="K30" i="24"/>
  <c r="L30" i="24"/>
  <c r="D795" i="25"/>
  <c r="C795" i="25"/>
  <c r="BB30" i="24"/>
  <c r="BC30" i="24"/>
  <c r="F799" i="25"/>
  <c r="E799" i="25"/>
  <c r="DJ30" i="24"/>
  <c r="DK30" i="24"/>
  <c r="F805" i="25"/>
  <c r="E805" i="25"/>
  <c r="U30" i="24"/>
  <c r="V30" i="24"/>
  <c r="D796" i="25"/>
  <c r="C796" i="25"/>
  <c r="BV30" i="24"/>
  <c r="BW30" i="24"/>
  <c r="F801" i="25"/>
  <c r="E801" i="25"/>
  <c r="V56" i="4"/>
  <c r="C52" i="27"/>
  <c r="B53" i="27"/>
  <c r="F52" i="27"/>
  <c r="BC52" i="27"/>
  <c r="BD52" i="27"/>
  <c r="BE52" i="27"/>
  <c r="CG52" i="27"/>
  <c r="CH52" i="27"/>
  <c r="CI52" i="27"/>
  <c r="AK52" i="27"/>
  <c r="AL52" i="27"/>
  <c r="AM52" i="27"/>
  <c r="AE52" i="27"/>
  <c r="AF52" i="27"/>
  <c r="AG52" i="27"/>
  <c r="BO52" i="27"/>
  <c r="BP52" i="27"/>
  <c r="BQ52" i="27"/>
  <c r="BU52" i="27"/>
  <c r="BV52" i="27"/>
  <c r="BW52" i="27"/>
  <c r="M52" i="27"/>
  <c r="N52" i="27"/>
  <c r="O52" i="27"/>
  <c r="Y52" i="27"/>
  <c r="Z52" i="27"/>
  <c r="AA52" i="27"/>
  <c r="BI52" i="27"/>
  <c r="BJ52" i="27"/>
  <c r="BK52" i="27"/>
  <c r="S52" i="27"/>
  <c r="T52" i="27"/>
  <c r="U52" i="27"/>
  <c r="CA52" i="27"/>
  <c r="CB52" i="27"/>
  <c r="CC52" i="27"/>
  <c r="AW52" i="27"/>
  <c r="AX52" i="27"/>
  <c r="AY52" i="27"/>
  <c r="G52" i="27"/>
  <c r="H52" i="27"/>
  <c r="I52" i="27"/>
  <c r="AQ52" i="27"/>
  <c r="AR52" i="27"/>
  <c r="AS52" i="27"/>
  <c r="E52" i="27"/>
  <c r="D52" i="27"/>
  <c r="D2320" i="17"/>
  <c r="D2328" i="17"/>
  <c r="D2318" i="17"/>
  <c r="D2326" i="17"/>
  <c r="D2323" i="17"/>
  <c r="A2338" i="17"/>
  <c r="A2339" i="17"/>
  <c r="D2327" i="17"/>
  <c r="D2316" i="17"/>
  <c r="D2321" i="17"/>
  <c r="C2312" i="17"/>
  <c r="D2334" i="17"/>
  <c r="D2335" i="17"/>
  <c r="D2319" i="17"/>
  <c r="E2398" i="17"/>
  <c r="D2333" i="17"/>
  <c r="A2340" i="17"/>
  <c r="D2325" i="17"/>
  <c r="D2313" i="17"/>
  <c r="D2324" i="17"/>
  <c r="D2330" i="17"/>
  <c r="D2329" i="17"/>
  <c r="A2341" i="17"/>
  <c r="D2322" i="17"/>
  <c r="D2317" i="17"/>
  <c r="C2313" i="17"/>
  <c r="X59" i="8"/>
  <c r="W60" i="8"/>
  <c r="Y59" i="8"/>
  <c r="C57" i="4"/>
  <c r="L57" i="4"/>
  <c r="U57" i="4"/>
  <c r="AG57" i="4"/>
  <c r="Y57" i="4"/>
  <c r="T57" i="4"/>
  <c r="E57" i="4"/>
  <c r="Q57" i="4"/>
  <c r="J57" i="4"/>
  <c r="AA57" i="4"/>
  <c r="D57" i="4"/>
  <c r="I57" i="4"/>
  <c r="H57" i="4"/>
  <c r="M57" i="4"/>
  <c r="R57" i="4"/>
  <c r="S57" i="4"/>
  <c r="K57" i="4"/>
  <c r="P57" i="4"/>
  <c r="F57" i="4"/>
  <c r="A58" i="4"/>
  <c r="O57" i="4"/>
  <c r="N57" i="4"/>
  <c r="B57" i="4"/>
  <c r="G57" i="4"/>
  <c r="AI54" i="4"/>
  <c r="F59" i="2"/>
  <c r="J59" i="2"/>
  <c r="C59" i="2"/>
  <c r="I59" i="2"/>
  <c r="H59" i="2"/>
  <c r="D59" i="2"/>
  <c r="K59" i="2"/>
  <c r="N59" i="2"/>
  <c r="B59" i="2"/>
  <c r="G59" i="2"/>
  <c r="A60" i="2"/>
  <c r="E59" i="2"/>
  <c r="W55" i="4"/>
  <c r="AH55" i="4"/>
  <c r="V37" i="18"/>
  <c r="AB37" i="18"/>
  <c r="M32" i="24"/>
  <c r="CO32" i="24"/>
  <c r="AN32" i="24"/>
  <c r="BO32" i="24"/>
  <c r="BP32" i="24"/>
  <c r="BG32" i="24"/>
  <c r="CS32" i="24"/>
  <c r="CT32" i="24"/>
  <c r="AX32" i="24"/>
  <c r="Q32" i="24"/>
  <c r="R32" i="24"/>
  <c r="AW32" i="24"/>
  <c r="J32" i="24"/>
  <c r="CI32" i="24"/>
  <c r="CJ32" i="24"/>
  <c r="EI32" i="24"/>
  <c r="I32" i="24"/>
  <c r="EM32" i="24"/>
  <c r="BE32" i="24"/>
  <c r="BF32" i="24"/>
  <c r="CV32" i="24"/>
  <c r="AG32" i="24"/>
  <c r="DI32" i="24"/>
  <c r="CB32" i="24"/>
  <c r="DC32" i="24"/>
  <c r="DD32" i="24"/>
  <c r="DE32" i="24"/>
  <c r="CK32" i="24"/>
  <c r="BY32" i="24"/>
  <c r="BZ32" i="24"/>
  <c r="DW32" i="24"/>
  <c r="DX32" i="24"/>
  <c r="CA32" i="24"/>
  <c r="BH32" i="24"/>
  <c r="EG32" i="24"/>
  <c r="EH32" i="24"/>
  <c r="BR32" i="24"/>
  <c r="AM32" i="24"/>
  <c r="AD32" i="24"/>
  <c r="DM32" i="24"/>
  <c r="DN32" i="24"/>
  <c r="BA32" i="24"/>
  <c r="EC32" i="24"/>
  <c r="DP32" i="24"/>
  <c r="DZ32" i="24"/>
  <c r="T32" i="24"/>
  <c r="AQ32" i="24"/>
  <c r="BQ32" i="24"/>
  <c r="CY32" i="24"/>
  <c r="DF32" i="24"/>
  <c r="AC32" i="24"/>
  <c r="AU32" i="24"/>
  <c r="AV32" i="24"/>
  <c r="BK32" i="24"/>
  <c r="CL32" i="24"/>
  <c r="S32" i="24"/>
  <c r="BU32" i="24"/>
  <c r="AA32" i="24"/>
  <c r="AB32" i="24"/>
  <c r="DS32" i="24"/>
  <c r="W32" i="24"/>
  <c r="DY32" i="24"/>
  <c r="AK32" i="24"/>
  <c r="AL32" i="24"/>
  <c r="CE32" i="24"/>
  <c r="EJ32" i="24"/>
  <c r="DO32" i="24"/>
  <c r="G32" i="24"/>
  <c r="H32" i="24"/>
  <c r="CU32" i="24"/>
  <c r="E1155" i="20"/>
  <c r="L250" i="21"/>
  <c r="E1242" i="20"/>
  <c r="F275" i="21"/>
  <c r="W36" i="18"/>
  <c r="AI36" i="18"/>
  <c r="AB36" i="18"/>
  <c r="B929" i="25"/>
  <c r="F879" i="25"/>
  <c r="AH35" i="11"/>
  <c r="Y35" i="11"/>
  <c r="AX36" i="13"/>
  <c r="O38" i="11"/>
  <c r="F38" i="11"/>
  <c r="D38" i="11"/>
  <c r="AG38" i="11"/>
  <c r="H38" i="11"/>
  <c r="L38" i="11"/>
  <c r="C38" i="11"/>
  <c r="K38" i="11"/>
  <c r="B38" i="11"/>
  <c r="R38" i="11"/>
  <c r="S38" i="11"/>
  <c r="J38" i="11"/>
  <c r="N38" i="11"/>
  <c r="M38" i="11"/>
  <c r="T38" i="11"/>
  <c r="U38" i="11"/>
  <c r="P38" i="11"/>
  <c r="Q38" i="11"/>
  <c r="E38" i="11"/>
  <c r="G38" i="11"/>
  <c r="A39" i="11"/>
  <c r="I38" i="11"/>
  <c r="EN31" i="24"/>
  <c r="EO31" i="24"/>
  <c r="F837" i="25"/>
  <c r="E837" i="25"/>
  <c r="CM31" i="24"/>
  <c r="CN31" i="24"/>
  <c r="D832" i="25"/>
  <c r="C832" i="25"/>
  <c r="EK31" i="24"/>
  <c r="EL31" i="24"/>
  <c r="D837" i="25"/>
  <c r="C837" i="25"/>
  <c r="AY31" i="24"/>
  <c r="AZ31" i="24"/>
  <c r="D828" i="25"/>
  <c r="C828" i="25"/>
  <c r="AO31" i="24"/>
  <c r="AP31" i="24"/>
  <c r="D827" i="25"/>
  <c r="C827" i="25"/>
  <c r="BB31" i="24"/>
  <c r="BC31" i="24"/>
  <c r="F828" i="25"/>
  <c r="E828" i="25"/>
  <c r="EA31" i="24"/>
  <c r="EB31" i="24"/>
  <c r="D836" i="25"/>
  <c r="C836" i="25"/>
  <c r="D1287" i="20"/>
  <c r="K275" i="21"/>
  <c r="R248" i="21"/>
  <c r="E1198" i="20"/>
  <c r="BB38" i="13"/>
  <c r="N39" i="13"/>
  <c r="C39" i="13"/>
  <c r="B39" i="13"/>
  <c r="AM39" i="13"/>
  <c r="E1374" i="20"/>
  <c r="M39" i="13"/>
  <c r="T39" i="13"/>
  <c r="AG39" i="13"/>
  <c r="AL39" i="13"/>
  <c r="K39" i="13"/>
  <c r="AN39" i="13"/>
  <c r="AQ39" i="13"/>
  <c r="C1376" i="20"/>
  <c r="V39" i="13"/>
  <c r="C1369" i="20"/>
  <c r="X39" i="13"/>
  <c r="AF39" i="13"/>
  <c r="AC39" i="13"/>
  <c r="D1371" i="20"/>
  <c r="A40" i="13"/>
  <c r="L39" i="13"/>
  <c r="AB39" i="13"/>
  <c r="AD39" i="13"/>
  <c r="E1371" i="20"/>
  <c r="Y39" i="13"/>
  <c r="C1370" i="20"/>
  <c r="R39" i="13"/>
  <c r="S39" i="13"/>
  <c r="AO39" i="13"/>
  <c r="D1375" i="20"/>
  <c r="D39" i="13"/>
  <c r="J39" i="13"/>
  <c r="AJ39" i="13"/>
  <c r="E1373" i="20"/>
  <c r="AH39" i="13"/>
  <c r="AR39" i="13"/>
  <c r="AI39" i="13"/>
  <c r="E39" i="13"/>
  <c r="W39" i="13"/>
  <c r="D1369" i="20"/>
  <c r="AE39" i="13"/>
  <c r="Q39" i="13"/>
  <c r="AK39" i="13"/>
  <c r="C1374" i="20"/>
  <c r="AP39" i="13"/>
  <c r="E1375" i="20"/>
  <c r="P39" i="13"/>
  <c r="C1367" i="20"/>
  <c r="G39" i="13"/>
  <c r="AS39" i="13"/>
  <c r="E1376" i="20"/>
  <c r="I39" i="13"/>
  <c r="E1364" i="20"/>
  <c r="O39" i="13"/>
  <c r="E1366" i="20"/>
  <c r="F39" i="13"/>
  <c r="BL39" i="13"/>
  <c r="Z39" i="13"/>
  <c r="D1370" i="20"/>
  <c r="U39" i="13"/>
  <c r="E1368" i="20"/>
  <c r="AA39" i="13"/>
  <c r="H39" i="13"/>
  <c r="D1364" i="20"/>
  <c r="C1364" i="20"/>
  <c r="D1373" i="20"/>
  <c r="E1372" i="20"/>
  <c r="D1372" i="20"/>
  <c r="D1365" i="20"/>
  <c r="A1383" i="20"/>
  <c r="C1375" i="20"/>
  <c r="E1370" i="20"/>
  <c r="D1374" i="20"/>
  <c r="E1369" i="20"/>
  <c r="C1372" i="20"/>
  <c r="E1367" i="20"/>
  <c r="C1366" i="20"/>
  <c r="C1365" i="20"/>
  <c r="A1385" i="20"/>
  <c r="C1371" i="20"/>
  <c r="E1359" i="20"/>
  <c r="C1373" i="20"/>
  <c r="A1386" i="20"/>
  <c r="E1365" i="20"/>
  <c r="D1368" i="20"/>
  <c r="D1367" i="20"/>
  <c r="D1366" i="20"/>
  <c r="F1441" i="20"/>
  <c r="D1363" i="20"/>
  <c r="C1363" i="20"/>
  <c r="A1384" i="20"/>
  <c r="C1358" i="20"/>
  <c r="C1359" i="20"/>
  <c r="C1368" i="20"/>
  <c r="E1363" i="20"/>
  <c r="D1376" i="20"/>
  <c r="D1334" i="20"/>
  <c r="R38" i="18"/>
  <c r="S38" i="18"/>
  <c r="N38" i="18"/>
  <c r="D38" i="18"/>
  <c r="C38" i="18"/>
  <c r="L38" i="18"/>
  <c r="B38" i="18"/>
  <c r="I38" i="18"/>
  <c r="A39" i="18"/>
  <c r="K38" i="18"/>
  <c r="AG38" i="18"/>
  <c r="E38" i="18"/>
  <c r="Q38" i="18"/>
  <c r="F38" i="18"/>
  <c r="T38" i="18"/>
  <c r="P38" i="18"/>
  <c r="U38" i="18"/>
  <c r="H38" i="18"/>
  <c r="O38" i="18"/>
  <c r="G38" i="18"/>
  <c r="J38" i="18"/>
  <c r="M38" i="18"/>
  <c r="W36" i="11"/>
  <c r="AH36" i="11"/>
  <c r="AA36" i="11"/>
  <c r="F33" i="24"/>
  <c r="D879" i="25"/>
  <c r="E33" i="24"/>
  <c r="B34" i="24"/>
  <c r="D33" i="24"/>
  <c r="D878" i="25"/>
  <c r="BL31" i="24"/>
  <c r="BM31" i="24"/>
  <c r="F829" i="25"/>
  <c r="E829" i="25"/>
  <c r="CC31" i="24"/>
  <c r="CD31" i="24"/>
  <c r="D831" i="25"/>
  <c r="C831" i="25"/>
  <c r="U31" i="24"/>
  <c r="V31" i="24"/>
  <c r="D825" i="25"/>
  <c r="C825" i="25"/>
  <c r="CZ31" i="24"/>
  <c r="DA31" i="24"/>
  <c r="F833" i="25"/>
  <c r="E833" i="25"/>
  <c r="K31" i="24"/>
  <c r="L31" i="24"/>
  <c r="D824" i="25"/>
  <c r="C824" i="25"/>
  <c r="DG31" i="24"/>
  <c r="DH31" i="24"/>
  <c r="D834" i="25"/>
  <c r="C834" i="25"/>
  <c r="BI31" i="24"/>
  <c r="BJ31" i="24"/>
  <c r="D829" i="25"/>
  <c r="C829" i="25"/>
  <c r="E1287" i="20"/>
  <c r="L275" i="21"/>
  <c r="E1200" i="20"/>
  <c r="R250" i="21"/>
  <c r="AV38" i="13"/>
  <c r="D1198" i="20"/>
  <c r="Q248" i="21"/>
  <c r="F40" i="10"/>
  <c r="G40" i="10"/>
  <c r="C40" i="10"/>
  <c r="J40" i="10"/>
  <c r="K40" i="10"/>
  <c r="I40" i="10"/>
  <c r="D40" i="10"/>
  <c r="L40" i="10"/>
  <c r="H40" i="10"/>
  <c r="B40" i="10"/>
  <c r="M40" i="10"/>
  <c r="P40" i="10"/>
  <c r="A41" i="10"/>
  <c r="E40" i="10"/>
  <c r="X31" i="24"/>
  <c r="Y31" i="24"/>
  <c r="F825" i="25"/>
  <c r="E825" i="25"/>
  <c r="DT31" i="24"/>
  <c r="DU31" i="24"/>
  <c r="F835" i="25"/>
  <c r="E835" i="25"/>
  <c r="BV31" i="24"/>
  <c r="BW31" i="24"/>
  <c r="F830" i="25"/>
  <c r="E830" i="25"/>
  <c r="CW31" i="24"/>
  <c r="CX31" i="24"/>
  <c r="D833" i="25"/>
  <c r="C833" i="25"/>
  <c r="AE31" i="24"/>
  <c r="AF31" i="24"/>
  <c r="D826" i="25"/>
  <c r="C826" i="25"/>
  <c r="N31" i="24"/>
  <c r="O31" i="24"/>
  <c r="F824" i="25"/>
  <c r="E824" i="25"/>
  <c r="DJ31" i="24"/>
  <c r="DK31" i="24"/>
  <c r="F834" i="25"/>
  <c r="E834" i="25"/>
  <c r="AH35" i="18"/>
  <c r="AY36" i="13"/>
  <c r="Y35" i="18"/>
  <c r="K250" i="21"/>
  <c r="D1155" i="20"/>
  <c r="Q250" i="21"/>
  <c r="D1200" i="20"/>
  <c r="W37" i="18"/>
  <c r="AH37" i="18"/>
  <c r="L277" i="21"/>
  <c r="E1289" i="20"/>
  <c r="E302" i="21"/>
  <c r="D300" i="21"/>
  <c r="E299" i="21"/>
  <c r="E295" i="21"/>
  <c r="E292" i="21"/>
  <c r="B312" i="21"/>
  <c r="D290" i="21"/>
  <c r="F290" i="21"/>
  <c r="B311" i="21"/>
  <c r="F297" i="21"/>
  <c r="F291" i="21"/>
  <c r="D301" i="21"/>
  <c r="F293" i="21"/>
  <c r="E297" i="21"/>
  <c r="B309" i="21"/>
  <c r="F294" i="21"/>
  <c r="E294" i="21"/>
  <c r="D303" i="21"/>
  <c r="E290" i="21"/>
  <c r="F303" i="21"/>
  <c r="F296" i="21"/>
  <c r="C287" i="21"/>
  <c r="H287" i="21"/>
  <c r="E303" i="21"/>
  <c r="D297" i="21"/>
  <c r="D292" i="21"/>
  <c r="D299" i="21"/>
  <c r="D296" i="21"/>
  <c r="E293" i="21"/>
  <c r="D293" i="21"/>
  <c r="F298" i="21"/>
  <c r="F299" i="21"/>
  <c r="D298" i="21"/>
  <c r="E288" i="21"/>
  <c r="F301" i="21"/>
  <c r="F292" i="21"/>
  <c r="F295" i="21"/>
  <c r="F300" i="21"/>
  <c r="D295" i="21"/>
  <c r="D302" i="21"/>
  <c r="E291" i="21"/>
  <c r="E298" i="21"/>
  <c r="E301" i="21"/>
  <c r="E300" i="21"/>
  <c r="D291" i="21"/>
  <c r="E296" i="21"/>
  <c r="B310" i="21"/>
  <c r="F302" i="21"/>
  <c r="D294" i="21"/>
  <c r="B288" i="21"/>
  <c r="V37" i="11"/>
  <c r="DQ31" i="24"/>
  <c r="DR31" i="24"/>
  <c r="D835" i="25"/>
  <c r="C835" i="25"/>
  <c r="BS31" i="24"/>
  <c r="BT31" i="24"/>
  <c r="D830" i="25"/>
  <c r="C830" i="25"/>
  <c r="CP31" i="24"/>
  <c r="CQ31" i="24"/>
  <c r="F832" i="25"/>
  <c r="E832" i="25"/>
  <c r="AR31" i="24"/>
  <c r="AS31" i="24"/>
  <c r="F827" i="25"/>
  <c r="E827" i="25"/>
  <c r="ED31" i="24"/>
  <c r="EE31" i="24"/>
  <c r="F836" i="25"/>
  <c r="E836" i="25"/>
  <c r="CF31" i="24"/>
  <c r="CG31" i="24"/>
  <c r="F831" i="25"/>
  <c r="E831" i="25"/>
  <c r="AH31" i="24"/>
  <c r="AI31" i="24"/>
  <c r="F826" i="25"/>
  <c r="E826" i="25"/>
  <c r="AI55" i="4"/>
  <c r="V57" i="4"/>
  <c r="AG58" i="4"/>
  <c r="T58" i="4"/>
  <c r="K58" i="4"/>
  <c r="P58" i="4"/>
  <c r="J58" i="4"/>
  <c r="A59" i="4"/>
  <c r="G58" i="4"/>
  <c r="U58" i="4"/>
  <c r="B58" i="4"/>
  <c r="M58" i="4"/>
  <c r="L58" i="4"/>
  <c r="H58" i="4"/>
  <c r="I58" i="4"/>
  <c r="N58" i="4"/>
  <c r="Q58" i="4"/>
  <c r="Y58" i="4"/>
  <c r="O58" i="4"/>
  <c r="D58" i="4"/>
  <c r="E58" i="4"/>
  <c r="AA58" i="4"/>
  <c r="R58" i="4"/>
  <c r="S58" i="4"/>
  <c r="F58" i="4"/>
  <c r="C58" i="4"/>
  <c r="Y60" i="8"/>
  <c r="W61" i="8"/>
  <c r="X60" i="8"/>
  <c r="A2388" i="17"/>
  <c r="A2387" i="17"/>
  <c r="D2371" i="17"/>
  <c r="D2368" i="17"/>
  <c r="D2369" i="17"/>
  <c r="D2374" i="17"/>
  <c r="A2385" i="17"/>
  <c r="A2386" i="17"/>
  <c r="D2372" i="17"/>
  <c r="D2380" i="17"/>
  <c r="D2381" i="17"/>
  <c r="D2363" i="17"/>
  <c r="D2367" i="17"/>
  <c r="D2375" i="17"/>
  <c r="D2360" i="17"/>
  <c r="D2376" i="17"/>
  <c r="C2360" i="17"/>
  <c r="D2370" i="17"/>
  <c r="D2373" i="17"/>
  <c r="D2382" i="17"/>
  <c r="D2365" i="17"/>
  <c r="E2445" i="17"/>
  <c r="D2377" i="17"/>
  <c r="D2366" i="17"/>
  <c r="C2359" i="17"/>
  <c r="D2364" i="17"/>
  <c r="B54" i="27"/>
  <c r="C53" i="27"/>
  <c r="BC53" i="27"/>
  <c r="BD53" i="27"/>
  <c r="BE53" i="27"/>
  <c r="BU53" i="27"/>
  <c r="BV53" i="27"/>
  <c r="BW53" i="27"/>
  <c r="AE53" i="27"/>
  <c r="AF53" i="27"/>
  <c r="AG53" i="27"/>
  <c r="Y53" i="27"/>
  <c r="Z53" i="27"/>
  <c r="AA53" i="27"/>
  <c r="E53" i="27"/>
  <c r="CG53" i="27"/>
  <c r="CH53" i="27"/>
  <c r="CI53" i="27"/>
  <c r="AQ53" i="27"/>
  <c r="AR53" i="27"/>
  <c r="AS53" i="27"/>
  <c r="M53" i="27"/>
  <c r="N53" i="27"/>
  <c r="O53" i="27"/>
  <c r="BO53" i="27"/>
  <c r="BP53" i="27"/>
  <c r="BQ53" i="27"/>
  <c r="AK53" i="27"/>
  <c r="AL53" i="27"/>
  <c r="AM53" i="27"/>
  <c r="CA53" i="27"/>
  <c r="CB53" i="27"/>
  <c r="CC53" i="27"/>
  <c r="S53" i="27"/>
  <c r="T53" i="27"/>
  <c r="U53" i="27"/>
  <c r="D53" i="27"/>
  <c r="F53" i="27"/>
  <c r="BI53" i="27"/>
  <c r="BJ53" i="27"/>
  <c r="BK53" i="27"/>
  <c r="AW53" i="27"/>
  <c r="AX53" i="27"/>
  <c r="AY53" i="27"/>
  <c r="G53" i="27"/>
  <c r="H53" i="27"/>
  <c r="I53" i="27"/>
  <c r="F60" i="2"/>
  <c r="B60" i="2"/>
  <c r="G60" i="2"/>
  <c r="I60" i="2"/>
  <c r="A61" i="2"/>
  <c r="D60" i="2"/>
  <c r="J60" i="2"/>
  <c r="H60" i="2"/>
  <c r="E60" i="2"/>
  <c r="C60" i="2"/>
  <c r="K60" i="2"/>
  <c r="N60" i="2"/>
  <c r="W56" i="4"/>
  <c r="AH56" i="4"/>
  <c r="J297" i="21"/>
  <c r="J290" i="21"/>
  <c r="K292" i="21"/>
  <c r="J293" i="21"/>
  <c r="L296" i="21"/>
  <c r="K291" i="21"/>
  <c r="K294" i="21"/>
  <c r="H309" i="21"/>
  <c r="K298" i="21"/>
  <c r="J294" i="21"/>
  <c r="K290" i="21"/>
  <c r="K295" i="21"/>
  <c r="J303" i="21"/>
  <c r="L297" i="21"/>
  <c r="L300" i="21"/>
  <c r="L303" i="21"/>
  <c r="L294" i="21"/>
  <c r="K293" i="21"/>
  <c r="H312" i="21"/>
  <c r="K301" i="21"/>
  <c r="J301" i="21"/>
  <c r="J300" i="21"/>
  <c r="K297" i="21"/>
  <c r="L299" i="21"/>
  <c r="L290" i="21"/>
  <c r="I287" i="21"/>
  <c r="K303" i="21"/>
  <c r="J298" i="21"/>
  <c r="J292" i="21"/>
  <c r="J295" i="21"/>
  <c r="K288" i="21"/>
  <c r="L295" i="21"/>
  <c r="K296" i="21"/>
  <c r="J299" i="21"/>
  <c r="J291" i="21"/>
  <c r="N287" i="21"/>
  <c r="L293" i="21"/>
  <c r="L302" i="21"/>
  <c r="K299" i="21"/>
  <c r="H288" i="21"/>
  <c r="J302" i="21"/>
  <c r="L292" i="21"/>
  <c r="H310" i="21"/>
  <c r="H311" i="21"/>
  <c r="L298" i="21"/>
  <c r="K300" i="21"/>
  <c r="K302" i="21"/>
  <c r="J296" i="21"/>
  <c r="L301" i="21"/>
  <c r="L291" i="21"/>
  <c r="B41" i="10"/>
  <c r="A42" i="10"/>
  <c r="K41" i="10"/>
  <c r="F41" i="10"/>
  <c r="C41" i="10"/>
  <c r="L41" i="10"/>
  <c r="G41" i="10"/>
  <c r="I41" i="10"/>
  <c r="J41" i="10"/>
  <c r="D41" i="10"/>
  <c r="M41" i="10"/>
  <c r="P41" i="10"/>
  <c r="H41" i="10"/>
  <c r="E41" i="10"/>
  <c r="D1243" i="20"/>
  <c r="E276" i="21"/>
  <c r="F908" i="25"/>
  <c r="B958" i="25"/>
  <c r="CF32" i="24"/>
  <c r="CG32" i="24"/>
  <c r="F860" i="25"/>
  <c r="E860" i="25"/>
  <c r="DT32" i="24"/>
  <c r="DU32" i="24"/>
  <c r="F864" i="25"/>
  <c r="E864" i="25"/>
  <c r="CM32" i="24"/>
  <c r="CN32" i="24"/>
  <c r="D861" i="25"/>
  <c r="C861" i="25"/>
  <c r="DG32" i="24"/>
  <c r="DH32" i="24"/>
  <c r="D863" i="25"/>
  <c r="C863" i="25"/>
  <c r="U32" i="24"/>
  <c r="V32" i="24"/>
  <c r="D854" i="25"/>
  <c r="C854" i="25"/>
  <c r="BB32" i="24"/>
  <c r="BC32" i="24"/>
  <c r="F857" i="25"/>
  <c r="E857" i="25"/>
  <c r="BS32" i="24"/>
  <c r="BT32" i="24"/>
  <c r="D859" i="25"/>
  <c r="C859" i="25"/>
  <c r="CW32" i="24"/>
  <c r="CX32" i="24"/>
  <c r="D862" i="25"/>
  <c r="C862" i="25"/>
  <c r="AI37" i="18"/>
  <c r="Y37" i="18"/>
  <c r="BC38" i="13"/>
  <c r="C33" i="24"/>
  <c r="E34" i="24"/>
  <c r="D34" i="24"/>
  <c r="C34" i="24"/>
  <c r="B35" i="24"/>
  <c r="F34" i="24"/>
  <c r="D908" i="25"/>
  <c r="V38" i="18"/>
  <c r="BB39" i="13"/>
  <c r="BL32" i="24"/>
  <c r="BM32" i="24"/>
  <c r="F858" i="25"/>
  <c r="E858" i="25"/>
  <c r="CZ32" i="24"/>
  <c r="DA32" i="24"/>
  <c r="F862" i="25"/>
  <c r="E862" i="25"/>
  <c r="EA32" i="24"/>
  <c r="EB32" i="24"/>
  <c r="D865" i="25"/>
  <c r="C865" i="25"/>
  <c r="CC32" i="24"/>
  <c r="CD32" i="24"/>
  <c r="D860" i="25"/>
  <c r="C860" i="25"/>
  <c r="AY32" i="24"/>
  <c r="AZ32" i="24"/>
  <c r="D857" i="25"/>
  <c r="C857" i="25"/>
  <c r="AO32" i="24"/>
  <c r="AP32" i="24"/>
  <c r="D856" i="25"/>
  <c r="C856" i="25"/>
  <c r="BC36" i="13"/>
  <c r="AI36" i="11"/>
  <c r="Y36" i="11"/>
  <c r="BF37" i="13"/>
  <c r="AX37" i="13"/>
  <c r="O39" i="18"/>
  <c r="B39" i="18"/>
  <c r="F39" i="18"/>
  <c r="M39" i="18"/>
  <c r="L39" i="18"/>
  <c r="T39" i="18"/>
  <c r="H39" i="18"/>
  <c r="C39" i="18"/>
  <c r="D39" i="18"/>
  <c r="R39" i="18"/>
  <c r="S39" i="18"/>
  <c r="U39" i="18"/>
  <c r="A40" i="18"/>
  <c r="E39" i="18"/>
  <c r="AG39" i="18"/>
  <c r="I39" i="18"/>
  <c r="G39" i="18"/>
  <c r="K39" i="18"/>
  <c r="Q39" i="18"/>
  <c r="P39" i="18"/>
  <c r="N39" i="18"/>
  <c r="J39" i="18"/>
  <c r="C1404" i="20"/>
  <c r="F1486" i="20"/>
  <c r="A1431" i="20"/>
  <c r="A1428" i="20"/>
  <c r="C1403" i="20"/>
  <c r="E1404" i="20"/>
  <c r="A1429" i="20"/>
  <c r="A1430" i="20"/>
  <c r="BA39" i="13"/>
  <c r="W40" i="13"/>
  <c r="D1414" i="20"/>
  <c r="B40" i="13"/>
  <c r="AB40" i="13"/>
  <c r="C1416" i="20"/>
  <c r="AF40" i="13"/>
  <c r="D1417" i="20"/>
  <c r="U40" i="13"/>
  <c r="E1413" i="20"/>
  <c r="AL40" i="13"/>
  <c r="D1419" i="20"/>
  <c r="N40" i="13"/>
  <c r="D1411" i="20"/>
  <c r="D40" i="13"/>
  <c r="C1408" i="20"/>
  <c r="L40" i="13"/>
  <c r="E1410" i="20"/>
  <c r="AA40" i="13"/>
  <c r="E1415" i="20"/>
  <c r="AH40" i="13"/>
  <c r="C1418" i="20"/>
  <c r="Z40" i="13"/>
  <c r="D1415" i="20"/>
  <c r="F40" i="13"/>
  <c r="E1408" i="20"/>
  <c r="AC40" i="13"/>
  <c r="D1416" i="20"/>
  <c r="O40" i="13"/>
  <c r="E1411" i="20"/>
  <c r="J40" i="13"/>
  <c r="C1410" i="20"/>
  <c r="AQ40" i="13"/>
  <c r="C1421" i="20"/>
  <c r="Y40" i="13"/>
  <c r="C1415" i="20"/>
  <c r="AM40" i="13"/>
  <c r="E1419" i="20"/>
  <c r="AG40" i="13"/>
  <c r="E1417" i="20"/>
  <c r="S40" i="13"/>
  <c r="C1413" i="20"/>
  <c r="AN40" i="13"/>
  <c r="C1420" i="20"/>
  <c r="H40" i="13"/>
  <c r="D1409" i="20"/>
  <c r="BL40" i="13"/>
  <c r="G40" i="13"/>
  <c r="C1409" i="20"/>
  <c r="P40" i="13"/>
  <c r="C1412" i="20"/>
  <c r="K40" i="13"/>
  <c r="D1410" i="20"/>
  <c r="AS40" i="13"/>
  <c r="E1421" i="20"/>
  <c r="X40" i="13"/>
  <c r="E1414" i="20"/>
  <c r="V40" i="13"/>
  <c r="C1414" i="20"/>
  <c r="AD40" i="13"/>
  <c r="E1416" i="20"/>
  <c r="AP40" i="13"/>
  <c r="E1420" i="20"/>
  <c r="C40" i="13"/>
  <c r="Q40" i="13"/>
  <c r="D1412" i="20"/>
  <c r="M40" i="13"/>
  <c r="C1411" i="20"/>
  <c r="AR40" i="13"/>
  <c r="D1421" i="20"/>
  <c r="A41" i="13"/>
  <c r="AI40" i="13"/>
  <c r="D1418" i="20"/>
  <c r="AE40" i="13"/>
  <c r="C1417" i="20"/>
  <c r="AJ40" i="13"/>
  <c r="E1418" i="20"/>
  <c r="E40" i="13"/>
  <c r="D1408" i="20"/>
  <c r="AK40" i="13"/>
  <c r="C1419" i="20"/>
  <c r="AO40" i="13"/>
  <c r="D1420" i="20"/>
  <c r="T40" i="13"/>
  <c r="D1413" i="20"/>
  <c r="I40" i="13"/>
  <c r="E1409" i="20"/>
  <c r="R40" i="13"/>
  <c r="E1412" i="20"/>
  <c r="BB40" i="13"/>
  <c r="L306" i="21"/>
  <c r="E1334" i="20"/>
  <c r="R277" i="21"/>
  <c r="R39" i="11"/>
  <c r="S39" i="11"/>
  <c r="N39" i="11"/>
  <c r="P39" i="11"/>
  <c r="A40" i="11"/>
  <c r="M39" i="11"/>
  <c r="C39" i="11"/>
  <c r="I39" i="11"/>
  <c r="D39" i="11"/>
  <c r="AG39" i="11"/>
  <c r="H39" i="11"/>
  <c r="E39" i="11"/>
  <c r="O39" i="11"/>
  <c r="G39" i="11"/>
  <c r="J39" i="11"/>
  <c r="U39" i="11"/>
  <c r="B39" i="11"/>
  <c r="F39" i="11"/>
  <c r="K39" i="11"/>
  <c r="L39" i="11"/>
  <c r="Q39" i="11"/>
  <c r="T39" i="11"/>
  <c r="BV32" i="24"/>
  <c r="BW32" i="24"/>
  <c r="F859" i="25"/>
  <c r="E859" i="25"/>
  <c r="DQ32" i="24"/>
  <c r="DR32" i="24"/>
  <c r="D864" i="25"/>
  <c r="C864" i="25"/>
  <c r="AE32" i="24"/>
  <c r="AF32" i="24"/>
  <c r="D855" i="25"/>
  <c r="C855" i="25"/>
  <c r="BI32" i="24"/>
  <c r="BJ32" i="24"/>
  <c r="D858" i="25"/>
  <c r="C858" i="25"/>
  <c r="DJ32" i="24"/>
  <c r="DK32" i="24"/>
  <c r="F863" i="25"/>
  <c r="E863" i="25"/>
  <c r="EN32" i="24"/>
  <c r="EO32" i="24"/>
  <c r="F866" i="25"/>
  <c r="E866" i="25"/>
  <c r="K32" i="24"/>
  <c r="L32" i="24"/>
  <c r="D853" i="25"/>
  <c r="C853" i="25"/>
  <c r="CP32" i="24"/>
  <c r="CQ32" i="24"/>
  <c r="F861" i="25"/>
  <c r="E861" i="25"/>
  <c r="W37" i="11"/>
  <c r="AH37" i="11"/>
  <c r="AA37" i="11"/>
  <c r="AU38" i="13"/>
  <c r="F276" i="21"/>
  <c r="E1243" i="20"/>
  <c r="R275" i="21"/>
  <c r="E1332" i="20"/>
  <c r="AY38" i="13"/>
  <c r="V38" i="11"/>
  <c r="BF36" i="13"/>
  <c r="AH36" i="18"/>
  <c r="Y36" i="18"/>
  <c r="BC37" i="13"/>
  <c r="AY37" i="13"/>
  <c r="EK32" i="24"/>
  <c r="EL32" i="24"/>
  <c r="D866" i="25"/>
  <c r="C866" i="25"/>
  <c r="X32" i="24"/>
  <c r="Y32" i="24"/>
  <c r="F854" i="25"/>
  <c r="E854" i="25"/>
  <c r="AR32" i="24"/>
  <c r="AS32" i="24"/>
  <c r="F856" i="25"/>
  <c r="E856" i="25"/>
  <c r="ED32" i="24"/>
  <c r="EE32" i="24"/>
  <c r="F865" i="25"/>
  <c r="E865" i="25"/>
  <c r="AH32" i="24"/>
  <c r="AI32" i="24"/>
  <c r="F855" i="25"/>
  <c r="E855" i="25"/>
  <c r="N32" i="24"/>
  <c r="O32" i="24"/>
  <c r="F853" i="25"/>
  <c r="E853" i="25"/>
  <c r="AI56" i="4"/>
  <c r="V58" i="4"/>
  <c r="AA59" i="4"/>
  <c r="AG59" i="4"/>
  <c r="A60" i="4"/>
  <c r="M59" i="4"/>
  <c r="H59" i="4"/>
  <c r="Q59" i="4"/>
  <c r="P59" i="4"/>
  <c r="K59" i="4"/>
  <c r="U59" i="4"/>
  <c r="E59" i="4"/>
  <c r="T59" i="4"/>
  <c r="J59" i="4"/>
  <c r="G59" i="4"/>
  <c r="I59" i="4"/>
  <c r="L59" i="4"/>
  <c r="B59" i="4"/>
  <c r="D59" i="4"/>
  <c r="F59" i="4"/>
  <c r="N59" i="4"/>
  <c r="R59" i="4"/>
  <c r="S59" i="4"/>
  <c r="O59" i="4"/>
  <c r="C59" i="4"/>
  <c r="Y59" i="4"/>
  <c r="C54" i="27"/>
  <c r="B55" i="27"/>
  <c r="BI54" i="27"/>
  <c r="BJ54" i="27"/>
  <c r="BK54" i="27"/>
  <c r="AQ54" i="27"/>
  <c r="AR54" i="27"/>
  <c r="AS54" i="27"/>
  <c r="AE54" i="27"/>
  <c r="AF54" i="27"/>
  <c r="AG54" i="27"/>
  <c r="M54" i="27"/>
  <c r="N54" i="27"/>
  <c r="O54" i="27"/>
  <c r="F54" i="27"/>
  <c r="BC54" i="27"/>
  <c r="BD54" i="27"/>
  <c r="BE54" i="27"/>
  <c r="E54" i="27"/>
  <c r="CG54" i="27"/>
  <c r="CH54" i="27"/>
  <c r="CI54" i="27"/>
  <c r="AW54" i="27"/>
  <c r="AX54" i="27"/>
  <c r="AY54" i="27"/>
  <c r="G54" i="27"/>
  <c r="H54" i="27"/>
  <c r="I54" i="27"/>
  <c r="S54" i="27"/>
  <c r="T54" i="27"/>
  <c r="U54" i="27"/>
  <c r="D54" i="27"/>
  <c r="CA54" i="27"/>
  <c r="CB54" i="27"/>
  <c r="CC54" i="27"/>
  <c r="BU54" i="27"/>
  <c r="BV54" i="27"/>
  <c r="BW54" i="27"/>
  <c r="AK54" i="27"/>
  <c r="AL54" i="27"/>
  <c r="AM54" i="27"/>
  <c r="BO54" i="27"/>
  <c r="BP54" i="27"/>
  <c r="BQ54" i="27"/>
  <c r="Y54" i="27"/>
  <c r="Z54" i="27"/>
  <c r="AA54" i="27"/>
  <c r="W62" i="8"/>
  <c r="Y61" i="8"/>
  <c r="X61" i="8"/>
  <c r="C61" i="2"/>
  <c r="I61" i="2"/>
  <c r="J61" i="2"/>
  <c r="H61" i="2"/>
  <c r="B61" i="2"/>
  <c r="D61" i="2"/>
  <c r="E61" i="2"/>
  <c r="K61" i="2"/>
  <c r="N61" i="2"/>
  <c r="F61" i="2"/>
  <c r="A62" i="2"/>
  <c r="G61" i="2"/>
  <c r="A2433" i="17"/>
  <c r="D2427" i="17"/>
  <c r="D2412" i="17"/>
  <c r="D2422" i="17"/>
  <c r="D2407" i="17"/>
  <c r="D2417" i="17"/>
  <c r="D2423" i="17"/>
  <c r="A2432" i="17"/>
  <c r="D2411" i="17"/>
  <c r="D2410" i="17"/>
  <c r="D2416" i="17"/>
  <c r="A2434" i="17"/>
  <c r="D2419" i="17"/>
  <c r="D2414" i="17"/>
  <c r="D2420" i="17"/>
  <c r="D2415" i="17"/>
  <c r="D2429" i="17"/>
  <c r="D2421" i="17"/>
  <c r="D2424" i="17"/>
  <c r="D2428" i="17"/>
  <c r="E2492" i="17"/>
  <c r="D2413" i="17"/>
  <c r="C2407" i="17"/>
  <c r="C2406" i="17"/>
  <c r="A2435" i="17"/>
  <c r="D2418" i="17"/>
  <c r="W57" i="4"/>
  <c r="AI57" i="4"/>
  <c r="BG34" i="24"/>
  <c r="EJ34" i="24"/>
  <c r="BQ34" i="24"/>
  <c r="EC34" i="24"/>
  <c r="AU34" i="24"/>
  <c r="AV34" i="24"/>
  <c r="BK34" i="24"/>
  <c r="J34" i="24"/>
  <c r="BU34" i="24"/>
  <c r="EG34" i="24"/>
  <c r="EH34" i="24"/>
  <c r="BO34" i="24"/>
  <c r="BP34" i="24"/>
  <c r="AM34" i="24"/>
  <c r="DP34" i="24"/>
  <c r="BE34" i="24"/>
  <c r="BF34" i="24"/>
  <c r="DW34" i="24"/>
  <c r="DX34" i="24"/>
  <c r="AA34" i="24"/>
  <c r="AB34" i="24"/>
  <c r="DS34" i="24"/>
  <c r="BH34" i="24"/>
  <c r="CI34" i="24"/>
  <c r="CJ34" i="24"/>
  <c r="CS34" i="24"/>
  <c r="CT34" i="24"/>
  <c r="EM34" i="24"/>
  <c r="CK34" i="24"/>
  <c r="M34" i="24"/>
  <c r="DI34" i="24"/>
  <c r="CE34" i="24"/>
  <c r="T34" i="24"/>
  <c r="BY34" i="24"/>
  <c r="BZ34" i="24"/>
  <c r="EI34" i="24"/>
  <c r="CA34" i="24"/>
  <c r="AX34" i="24"/>
  <c r="AC34" i="24"/>
  <c r="CU34" i="24"/>
  <c r="CY34" i="24"/>
  <c r="G34" i="24"/>
  <c r="H34" i="24"/>
  <c r="BR34" i="24"/>
  <c r="AG34" i="24"/>
  <c r="DC34" i="24"/>
  <c r="DD34" i="24"/>
  <c r="AD34" i="24"/>
  <c r="Q34" i="24"/>
  <c r="R34" i="24"/>
  <c r="CO34" i="24"/>
  <c r="AQ34" i="24"/>
  <c r="DY34" i="24"/>
  <c r="S34" i="24"/>
  <c r="CV34" i="24"/>
  <c r="AW34" i="24"/>
  <c r="DM34" i="24"/>
  <c r="DN34" i="24"/>
  <c r="DZ34" i="24"/>
  <c r="W34" i="24"/>
  <c r="DF34" i="24"/>
  <c r="BA34" i="24"/>
  <c r="DO34" i="24"/>
  <c r="AN34" i="24"/>
  <c r="I34" i="24"/>
  <c r="CB34" i="24"/>
  <c r="AK34" i="24"/>
  <c r="AL34" i="24"/>
  <c r="DE34" i="24"/>
  <c r="CL34" i="24"/>
  <c r="W38" i="11"/>
  <c r="AA38" i="11"/>
  <c r="L40" i="11"/>
  <c r="U40" i="11"/>
  <c r="K40" i="11"/>
  <c r="O40" i="11"/>
  <c r="J40" i="11"/>
  <c r="D40" i="11"/>
  <c r="A41" i="11"/>
  <c r="F40" i="11"/>
  <c r="M40" i="11"/>
  <c r="B40" i="11"/>
  <c r="T40" i="11"/>
  <c r="N40" i="11"/>
  <c r="C40" i="11"/>
  <c r="R40" i="11"/>
  <c r="S40" i="11"/>
  <c r="Q40" i="11"/>
  <c r="I40" i="11"/>
  <c r="P40" i="11"/>
  <c r="E40" i="11"/>
  <c r="G40" i="11"/>
  <c r="AG40" i="11"/>
  <c r="H40" i="11"/>
  <c r="W38" i="18"/>
  <c r="AB38" i="18"/>
  <c r="D907" i="25"/>
  <c r="R292" i="21"/>
  <c r="R297" i="21"/>
  <c r="Q298" i="21"/>
  <c r="Q290" i="21"/>
  <c r="P296" i="21"/>
  <c r="O287" i="21"/>
  <c r="R290" i="21"/>
  <c r="P293" i="21"/>
  <c r="R296" i="21"/>
  <c r="Q303" i="21"/>
  <c r="P294" i="21"/>
  <c r="Q288" i="21"/>
  <c r="R303" i="21"/>
  <c r="Q295" i="21"/>
  <c r="Q302" i="21"/>
  <c r="R302" i="21"/>
  <c r="P295" i="21"/>
  <c r="R298" i="21"/>
  <c r="P303" i="21"/>
  <c r="P300" i="21"/>
  <c r="Q299" i="21"/>
  <c r="P297" i="21"/>
  <c r="Q291" i="21"/>
  <c r="R300" i="21"/>
  <c r="R299" i="21"/>
  <c r="Q297" i="21"/>
  <c r="N310" i="21"/>
  <c r="N288" i="21"/>
  <c r="N311" i="21"/>
  <c r="B315" i="21"/>
  <c r="R291" i="21"/>
  <c r="P292" i="21"/>
  <c r="N309" i="21"/>
  <c r="N312" i="21"/>
  <c r="Q292" i="21"/>
  <c r="R301" i="21"/>
  <c r="Q300" i="21"/>
  <c r="P290" i="21"/>
  <c r="P298" i="21"/>
  <c r="Q296" i="21"/>
  <c r="P291" i="21"/>
  <c r="R294" i="21"/>
  <c r="P299" i="21"/>
  <c r="P301" i="21"/>
  <c r="R295" i="21"/>
  <c r="R293" i="21"/>
  <c r="P302" i="21"/>
  <c r="Q294" i="21"/>
  <c r="Q301" i="21"/>
  <c r="Q293" i="21"/>
  <c r="L276" i="21"/>
  <c r="E1288" i="20"/>
  <c r="L278" i="21"/>
  <c r="E1290" i="20"/>
  <c r="D1245" i="20"/>
  <c r="E278" i="21"/>
  <c r="AI37" i="11"/>
  <c r="Y37" i="11"/>
  <c r="AX38" i="13"/>
  <c r="V39" i="11"/>
  <c r="BA40" i="13"/>
  <c r="E1424" i="20"/>
  <c r="V39" i="18"/>
  <c r="B36" i="24"/>
  <c r="E35" i="24"/>
  <c r="D35" i="24"/>
  <c r="C35" i="24"/>
  <c r="F35" i="24"/>
  <c r="B42" i="10"/>
  <c r="J42" i="10"/>
  <c r="M42" i="10"/>
  <c r="P42" i="10"/>
  <c r="F42" i="10"/>
  <c r="E42" i="10"/>
  <c r="L42" i="10"/>
  <c r="I42" i="10"/>
  <c r="G42" i="10"/>
  <c r="C42" i="10"/>
  <c r="H42" i="10"/>
  <c r="K42" i="10"/>
  <c r="D42" i="10"/>
  <c r="A43" i="10"/>
  <c r="E1333" i="20"/>
  <c r="R276" i="21"/>
  <c r="D1332" i="20"/>
  <c r="Q275" i="21"/>
  <c r="M41" i="13"/>
  <c r="AK41" i="13"/>
  <c r="K41" i="13"/>
  <c r="U41" i="13"/>
  <c r="B41" i="13"/>
  <c r="T41" i="13"/>
  <c r="AE41" i="13"/>
  <c r="AB41" i="13"/>
  <c r="H41" i="13"/>
  <c r="R41" i="13"/>
  <c r="AD41" i="13"/>
  <c r="AI41" i="13"/>
  <c r="BL41" i="13"/>
  <c r="Q41" i="13"/>
  <c r="Z41" i="13"/>
  <c r="O41" i="13"/>
  <c r="AS41" i="13"/>
  <c r="L41" i="13"/>
  <c r="AM41" i="13"/>
  <c r="AF41" i="13"/>
  <c r="AQ41" i="13"/>
  <c r="S41" i="13"/>
  <c r="AJ41" i="13"/>
  <c r="AH41" i="13"/>
  <c r="J41" i="13"/>
  <c r="F41" i="13"/>
  <c r="AL41" i="13"/>
  <c r="AN41" i="13"/>
  <c r="AG41" i="13"/>
  <c r="AP41" i="13"/>
  <c r="V41" i="13"/>
  <c r="AA41" i="13"/>
  <c r="Y41" i="13"/>
  <c r="W41" i="13"/>
  <c r="G41" i="13"/>
  <c r="X41" i="13"/>
  <c r="D41" i="13"/>
  <c r="AC41" i="13"/>
  <c r="AR41" i="13"/>
  <c r="AO41" i="13"/>
  <c r="N41" i="13"/>
  <c r="P41" i="13"/>
  <c r="E41" i="13"/>
  <c r="I41" i="13"/>
  <c r="BB41" i="13"/>
  <c r="R306" i="21"/>
  <c r="A42" i="13"/>
  <c r="C41" i="13"/>
  <c r="BA41" i="13"/>
  <c r="Q306" i="21"/>
  <c r="K40" i="18"/>
  <c r="AG40" i="18"/>
  <c r="B40" i="18"/>
  <c r="I40" i="18"/>
  <c r="G40" i="18"/>
  <c r="P40" i="18"/>
  <c r="J40" i="18"/>
  <c r="E40" i="18"/>
  <c r="Q40" i="18"/>
  <c r="C40" i="18"/>
  <c r="O40" i="18"/>
  <c r="D40" i="18"/>
  <c r="L40" i="18"/>
  <c r="A41" i="18"/>
  <c r="N40" i="18"/>
  <c r="F40" i="18"/>
  <c r="T40" i="18"/>
  <c r="M40" i="18"/>
  <c r="U40" i="18"/>
  <c r="H40" i="18"/>
  <c r="R40" i="18"/>
  <c r="S40" i="18"/>
  <c r="K276" i="21"/>
  <c r="D1288" i="20"/>
  <c r="AU39" i="13"/>
  <c r="I33" i="24"/>
  <c r="EI33" i="24"/>
  <c r="BO33" i="24"/>
  <c r="BP33" i="24"/>
  <c r="G33" i="24"/>
  <c r="H33" i="24"/>
  <c r="AG33" i="24"/>
  <c r="T33" i="24"/>
  <c r="CK33" i="24"/>
  <c r="J33" i="24"/>
  <c r="AM33" i="24"/>
  <c r="AA33" i="24"/>
  <c r="AB33" i="24"/>
  <c r="CO33" i="24"/>
  <c r="Q33" i="24"/>
  <c r="R33" i="24"/>
  <c r="AQ33" i="24"/>
  <c r="BE33" i="24"/>
  <c r="BF33" i="24"/>
  <c r="CV33" i="24"/>
  <c r="BR33" i="24"/>
  <c r="AC33" i="24"/>
  <c r="CI33" i="24"/>
  <c r="CJ33" i="24"/>
  <c r="BK33" i="24"/>
  <c r="CS33" i="24"/>
  <c r="CT33" i="24"/>
  <c r="DE33" i="24"/>
  <c r="DF33" i="24"/>
  <c r="CA33" i="24"/>
  <c r="DM33" i="24"/>
  <c r="DN33" i="24"/>
  <c r="DI33" i="24"/>
  <c r="DZ33" i="24"/>
  <c r="CE33" i="24"/>
  <c r="EG33" i="24"/>
  <c r="EH33" i="24"/>
  <c r="DP33" i="24"/>
  <c r="BG33" i="24"/>
  <c r="BY33" i="24"/>
  <c r="BZ33" i="24"/>
  <c r="DC33" i="24"/>
  <c r="DD33" i="24"/>
  <c r="CL33" i="24"/>
  <c r="CY33" i="24"/>
  <c r="AK33" i="24"/>
  <c r="AL33" i="24"/>
  <c r="DY33" i="24"/>
  <c r="DO33" i="24"/>
  <c r="BA33" i="24"/>
  <c r="EC33" i="24"/>
  <c r="DS33" i="24"/>
  <c r="BH33" i="24"/>
  <c r="EJ33" i="24"/>
  <c r="CU33" i="24"/>
  <c r="AD33" i="24"/>
  <c r="DW33" i="24"/>
  <c r="DX33" i="24"/>
  <c r="M33" i="24"/>
  <c r="EM33" i="24"/>
  <c r="BQ33" i="24"/>
  <c r="AN33" i="24"/>
  <c r="S33" i="24"/>
  <c r="BU33" i="24"/>
  <c r="AU33" i="24"/>
  <c r="AV33" i="24"/>
  <c r="W33" i="24"/>
  <c r="AX33" i="24"/>
  <c r="CB33" i="24"/>
  <c r="AW33" i="24"/>
  <c r="AV39" i="13"/>
  <c r="AU40" i="13"/>
  <c r="E306" i="21"/>
  <c r="D1379" i="20"/>
  <c r="D1459" i="20"/>
  <c r="E1461" i="20"/>
  <c r="E1453" i="20"/>
  <c r="C1458" i="20"/>
  <c r="D1466" i="20"/>
  <c r="E1458" i="20"/>
  <c r="D1454" i="20"/>
  <c r="F1531" i="20"/>
  <c r="A1474" i="20"/>
  <c r="D1455" i="20"/>
  <c r="E1457" i="20"/>
  <c r="D1463" i="20"/>
  <c r="D1457" i="20"/>
  <c r="C1457" i="20"/>
  <c r="E1459" i="20"/>
  <c r="C1456" i="20"/>
  <c r="D1458" i="20"/>
  <c r="A1475" i="20"/>
  <c r="C1454" i="20"/>
  <c r="D1460" i="20"/>
  <c r="C1448" i="20"/>
  <c r="C1455" i="20"/>
  <c r="C1462" i="20"/>
  <c r="E1463" i="20"/>
  <c r="D1453" i="20"/>
  <c r="D1465" i="20"/>
  <c r="C1459" i="20"/>
  <c r="E1456" i="20"/>
  <c r="C1465" i="20"/>
  <c r="E1460" i="20"/>
  <c r="C1449" i="20"/>
  <c r="C1464" i="20"/>
  <c r="E1469" i="20"/>
  <c r="E1455" i="20"/>
  <c r="C1461" i="20"/>
  <c r="E1449" i="20"/>
  <c r="C1460" i="20"/>
  <c r="E1466" i="20"/>
  <c r="D1456" i="20"/>
  <c r="C1453" i="20"/>
  <c r="D1461" i="20"/>
  <c r="A1476" i="20"/>
  <c r="A1473" i="20"/>
  <c r="C1463" i="20"/>
  <c r="E1462" i="20"/>
  <c r="C1466" i="20"/>
  <c r="D1464" i="20"/>
  <c r="E1464" i="20"/>
  <c r="E1454" i="20"/>
  <c r="D1462" i="20"/>
  <c r="D1469" i="20"/>
  <c r="E1465" i="20"/>
  <c r="K278" i="21"/>
  <c r="D1290" i="20"/>
  <c r="F278" i="21"/>
  <c r="E1245" i="20"/>
  <c r="E1379" i="20"/>
  <c r="F306" i="21"/>
  <c r="E1335" i="20"/>
  <c r="R278" i="21"/>
  <c r="D936" i="25"/>
  <c r="D937" i="25"/>
  <c r="B987" i="25"/>
  <c r="F937" i="25"/>
  <c r="AH57" i="4"/>
  <c r="J62" i="2"/>
  <c r="G62" i="2"/>
  <c r="H62" i="2"/>
  <c r="K62" i="2"/>
  <c r="N62" i="2"/>
  <c r="E62" i="2"/>
  <c r="B62" i="2"/>
  <c r="D62" i="2"/>
  <c r="I62" i="2"/>
  <c r="F62" i="2"/>
  <c r="A63" i="2"/>
  <c r="C62" i="2"/>
  <c r="W63" i="8"/>
  <c r="X62" i="8"/>
  <c r="Y62" i="8"/>
  <c r="G60" i="4"/>
  <c r="R60" i="4"/>
  <c r="S60" i="4"/>
  <c r="F60" i="4"/>
  <c r="J60" i="4"/>
  <c r="M60" i="4"/>
  <c r="B60" i="4"/>
  <c r="AG60" i="4"/>
  <c r="U60" i="4"/>
  <c r="AA60" i="4"/>
  <c r="C60" i="4"/>
  <c r="E60" i="4"/>
  <c r="P60" i="4"/>
  <c r="Y60" i="4"/>
  <c r="N60" i="4"/>
  <c r="O60" i="4"/>
  <c r="H60" i="4"/>
  <c r="L60" i="4"/>
  <c r="Q60" i="4"/>
  <c r="K60" i="4"/>
  <c r="T60" i="4"/>
  <c r="A61" i="4"/>
  <c r="D60" i="4"/>
  <c r="I60" i="4"/>
  <c r="A2482" i="17"/>
  <c r="A2481" i="17"/>
  <c r="D2467" i="17"/>
  <c r="D2471" i="17"/>
  <c r="A2480" i="17"/>
  <c r="C2453" i="17"/>
  <c r="D2457" i="17"/>
  <c r="D2476" i="17"/>
  <c r="D2461" i="17"/>
  <c r="D2469" i="17"/>
  <c r="A2479" i="17"/>
  <c r="D2470" i="17"/>
  <c r="D2463" i="17"/>
  <c r="D2468" i="17"/>
  <c r="D2464" i="17"/>
  <c r="D2465" i="17"/>
  <c r="D2462" i="17"/>
  <c r="D2459" i="17"/>
  <c r="D2475" i="17"/>
  <c r="D2460" i="17"/>
  <c r="D2474" i="17"/>
  <c r="D2454" i="17"/>
  <c r="D2466" i="17"/>
  <c r="C2454" i="17"/>
  <c r="D2458" i="17"/>
  <c r="E2539" i="17"/>
  <c r="C55" i="27"/>
  <c r="B56" i="27"/>
  <c r="AW55" i="27"/>
  <c r="AX55" i="27"/>
  <c r="AY55" i="27"/>
  <c r="Y55" i="27"/>
  <c r="Z55" i="27"/>
  <c r="AA55" i="27"/>
  <c r="D55" i="27"/>
  <c r="BI55" i="27"/>
  <c r="BJ55" i="27"/>
  <c r="BK55" i="27"/>
  <c r="BC55" i="27"/>
  <c r="BD55" i="27"/>
  <c r="BE55" i="27"/>
  <c r="AQ55" i="27"/>
  <c r="AR55" i="27"/>
  <c r="AS55" i="27"/>
  <c r="AE55" i="27"/>
  <c r="AF55" i="27"/>
  <c r="AG55" i="27"/>
  <c r="CG55" i="27"/>
  <c r="CH55" i="27"/>
  <c r="CI55" i="27"/>
  <c r="AK55" i="27"/>
  <c r="AL55" i="27"/>
  <c r="AM55" i="27"/>
  <c r="E55" i="27"/>
  <c r="F55" i="27"/>
  <c r="CA55" i="27"/>
  <c r="CB55" i="27"/>
  <c r="CC55" i="27"/>
  <c r="S55" i="27"/>
  <c r="T55" i="27"/>
  <c r="U55" i="27"/>
  <c r="G55" i="27"/>
  <c r="H55" i="27"/>
  <c r="I55" i="27"/>
  <c r="M55" i="27"/>
  <c r="N55" i="27"/>
  <c r="O55" i="27"/>
  <c r="BU55" i="27"/>
  <c r="BV55" i="27"/>
  <c r="BW55" i="27"/>
  <c r="BO55" i="27"/>
  <c r="BP55" i="27"/>
  <c r="BQ55" i="27"/>
  <c r="V59" i="4"/>
  <c r="W58" i="4"/>
  <c r="AI58" i="4"/>
  <c r="DP35" i="24"/>
  <c r="EJ35" i="24"/>
  <c r="DW35" i="24"/>
  <c r="DX35" i="24"/>
  <c r="DZ35" i="24"/>
  <c r="DY35" i="24"/>
  <c r="T35" i="24"/>
  <c r="BR35" i="24"/>
  <c r="BG35" i="24"/>
  <c r="AM35" i="24"/>
  <c r="DO35" i="24"/>
  <c r="AD35" i="24"/>
  <c r="Q35" i="24"/>
  <c r="R35" i="24"/>
  <c r="AQ35" i="24"/>
  <c r="AN35" i="24"/>
  <c r="I35" i="24"/>
  <c r="S35" i="24"/>
  <c r="BA35" i="24"/>
  <c r="AX35" i="24"/>
  <c r="BH35" i="24"/>
  <c r="W35" i="24"/>
  <c r="BE35" i="24"/>
  <c r="BF35" i="24"/>
  <c r="CY35" i="24"/>
  <c r="EC35" i="24"/>
  <c r="CO35" i="24"/>
  <c r="BU35" i="24"/>
  <c r="CK35" i="24"/>
  <c r="G35" i="24"/>
  <c r="H35" i="24"/>
  <c r="AC35" i="24"/>
  <c r="BK35" i="24"/>
  <c r="CS35" i="24"/>
  <c r="CT35" i="24"/>
  <c r="CL35" i="24"/>
  <c r="AG35" i="24"/>
  <c r="BO35" i="24"/>
  <c r="BP35" i="24"/>
  <c r="CU35" i="24"/>
  <c r="DS35" i="24"/>
  <c r="AK35" i="24"/>
  <c r="AL35" i="24"/>
  <c r="BQ35" i="24"/>
  <c r="DM35" i="24"/>
  <c r="DN35" i="24"/>
  <c r="CE35" i="24"/>
  <c r="CB35" i="24"/>
  <c r="DC35" i="24"/>
  <c r="DD35" i="24"/>
  <c r="M35" i="24"/>
  <c r="AU35" i="24"/>
  <c r="AV35" i="24"/>
  <c r="BY35" i="24"/>
  <c r="BZ35" i="24"/>
  <c r="DE35" i="24"/>
  <c r="EI35" i="24"/>
  <c r="AW35" i="24"/>
  <c r="CA35" i="24"/>
  <c r="DI35" i="24"/>
  <c r="EM35" i="24"/>
  <c r="CV35" i="24"/>
  <c r="CI35" i="24"/>
  <c r="CJ35" i="24"/>
  <c r="AA35" i="24"/>
  <c r="AB35" i="24"/>
  <c r="DF35" i="24"/>
  <c r="EG35" i="24"/>
  <c r="EH35" i="24"/>
  <c r="J35" i="24"/>
  <c r="CC33" i="24"/>
  <c r="CD33" i="24"/>
  <c r="D889" i="25"/>
  <c r="C889" i="25"/>
  <c r="BV33" i="24"/>
  <c r="BW33" i="24"/>
  <c r="F888" i="25"/>
  <c r="E888" i="25"/>
  <c r="EN33" i="24"/>
  <c r="EO33" i="24"/>
  <c r="F895" i="25"/>
  <c r="E895" i="25"/>
  <c r="ED33" i="24"/>
  <c r="EE33" i="24"/>
  <c r="F894" i="25"/>
  <c r="E894" i="25"/>
  <c r="CF33" i="24"/>
  <c r="CG33" i="24"/>
  <c r="F889" i="25"/>
  <c r="E889" i="25"/>
  <c r="BL33" i="24"/>
  <c r="BM33" i="24"/>
  <c r="F887" i="25"/>
  <c r="E887" i="25"/>
  <c r="CW33" i="24"/>
  <c r="CX33" i="24"/>
  <c r="D891" i="25"/>
  <c r="C891" i="25"/>
  <c r="CP33" i="24"/>
  <c r="CQ33" i="24"/>
  <c r="F890" i="25"/>
  <c r="E890" i="25"/>
  <c r="U41" i="18"/>
  <c r="T41" i="18"/>
  <c r="J41" i="18"/>
  <c r="R41" i="18"/>
  <c r="S41" i="18"/>
  <c r="M41" i="18"/>
  <c r="O41" i="18"/>
  <c r="I41" i="18"/>
  <c r="D41" i="18"/>
  <c r="G41" i="18"/>
  <c r="B41" i="18"/>
  <c r="A42" i="18"/>
  <c r="K41" i="18"/>
  <c r="AG41" i="18"/>
  <c r="E41" i="18"/>
  <c r="Q41" i="18"/>
  <c r="P41" i="18"/>
  <c r="F41" i="18"/>
  <c r="H41" i="18"/>
  <c r="C41" i="18"/>
  <c r="L41" i="18"/>
  <c r="N41" i="18"/>
  <c r="A44" i="10"/>
  <c r="J43" i="10"/>
  <c r="K43" i="10"/>
  <c r="B43" i="10"/>
  <c r="M43" i="10"/>
  <c r="P43" i="10"/>
  <c r="L43" i="10"/>
  <c r="C43" i="10"/>
  <c r="H43" i="10"/>
  <c r="E43" i="10"/>
  <c r="G43" i="10"/>
  <c r="I43" i="10"/>
  <c r="D43" i="10"/>
  <c r="F43" i="10"/>
  <c r="W39" i="11"/>
  <c r="AI39" i="11"/>
  <c r="AA39" i="11"/>
  <c r="AI38" i="18"/>
  <c r="Y38" i="18"/>
  <c r="AY39" i="13"/>
  <c r="V40" i="11"/>
  <c r="AI38" i="11"/>
  <c r="Y38" i="11"/>
  <c r="BF39" i="13"/>
  <c r="AX39" i="13"/>
  <c r="AO34" i="24"/>
  <c r="AP34" i="24"/>
  <c r="D914" i="25"/>
  <c r="C914" i="25"/>
  <c r="X34" i="24"/>
  <c r="Y34" i="24"/>
  <c r="F912" i="25"/>
  <c r="E912" i="25"/>
  <c r="CW34" i="24"/>
  <c r="CX34" i="24"/>
  <c r="D920" i="25"/>
  <c r="C920" i="25"/>
  <c r="CP34" i="24"/>
  <c r="CQ34" i="24"/>
  <c r="F919" i="25"/>
  <c r="E919" i="25"/>
  <c r="AH34" i="24"/>
  <c r="AI34" i="24"/>
  <c r="F913" i="25"/>
  <c r="E913" i="25"/>
  <c r="DJ34" i="24"/>
  <c r="DK34" i="24"/>
  <c r="F921" i="25"/>
  <c r="E921" i="25"/>
  <c r="K34" i="24"/>
  <c r="L34" i="24"/>
  <c r="D911" i="25"/>
  <c r="C911" i="25"/>
  <c r="E1377" i="20"/>
  <c r="F304" i="21"/>
  <c r="AY33" i="24"/>
  <c r="AZ33" i="24"/>
  <c r="D886" i="25"/>
  <c r="C886" i="25"/>
  <c r="N33" i="24"/>
  <c r="O33" i="24"/>
  <c r="F882" i="25"/>
  <c r="E882" i="25"/>
  <c r="EK33" i="24"/>
  <c r="EL33" i="24"/>
  <c r="D895" i="25"/>
  <c r="C895" i="25"/>
  <c r="BB33" i="24"/>
  <c r="BC33" i="24"/>
  <c r="F886" i="25"/>
  <c r="E886" i="25"/>
  <c r="CZ33" i="24"/>
  <c r="DA33" i="24"/>
  <c r="F891" i="25"/>
  <c r="E891" i="25"/>
  <c r="EA33" i="24"/>
  <c r="EB33" i="24"/>
  <c r="D894" i="25"/>
  <c r="C894" i="25"/>
  <c r="DG33" i="24"/>
  <c r="DH33" i="24"/>
  <c r="D892" i="25"/>
  <c r="C892" i="25"/>
  <c r="U33" i="24"/>
  <c r="V33" i="24"/>
  <c r="D883" i="25"/>
  <c r="C883" i="25"/>
  <c r="V40" i="18"/>
  <c r="W39" i="18"/>
  <c r="AB39" i="18"/>
  <c r="AV40" i="13"/>
  <c r="Q276" i="21"/>
  <c r="D1333" i="20"/>
  <c r="K41" i="11"/>
  <c r="F41" i="11"/>
  <c r="C41" i="11"/>
  <c r="L41" i="11"/>
  <c r="O41" i="11"/>
  <c r="J41" i="11"/>
  <c r="M41" i="11"/>
  <c r="R41" i="11"/>
  <c r="S41" i="11"/>
  <c r="N41" i="11"/>
  <c r="E41" i="11"/>
  <c r="I41" i="11"/>
  <c r="AG41" i="11"/>
  <c r="Q41" i="11"/>
  <c r="A42" i="11"/>
  <c r="B41" i="11"/>
  <c r="U41" i="11"/>
  <c r="G41" i="11"/>
  <c r="D41" i="11"/>
  <c r="H41" i="11"/>
  <c r="P41" i="11"/>
  <c r="T41" i="11"/>
  <c r="EA34" i="24"/>
  <c r="EB34" i="24"/>
  <c r="D923" i="25"/>
  <c r="C923" i="25"/>
  <c r="BS34" i="24"/>
  <c r="BT34" i="24"/>
  <c r="D917" i="25"/>
  <c r="C917" i="25"/>
  <c r="N34" i="24"/>
  <c r="O34" i="24"/>
  <c r="F911" i="25"/>
  <c r="E911" i="25"/>
  <c r="BL34" i="24"/>
  <c r="BM34" i="24"/>
  <c r="F916" i="25"/>
  <c r="E916" i="25"/>
  <c r="EK34" i="24"/>
  <c r="EL34" i="24"/>
  <c r="D924" i="25"/>
  <c r="C924" i="25"/>
  <c r="X33" i="24"/>
  <c r="Y33" i="24"/>
  <c r="F883" i="25"/>
  <c r="E883" i="25"/>
  <c r="AO33" i="24"/>
  <c r="AP33" i="24"/>
  <c r="D885" i="25"/>
  <c r="C885" i="25"/>
  <c r="BI33" i="24"/>
  <c r="BJ33" i="24"/>
  <c r="D887" i="25"/>
  <c r="C887" i="25"/>
  <c r="CM33" i="24"/>
  <c r="CN33" i="24"/>
  <c r="D890" i="25"/>
  <c r="C890" i="25"/>
  <c r="DQ33" i="24"/>
  <c r="DR33" i="24"/>
  <c r="D893" i="25"/>
  <c r="C893" i="25"/>
  <c r="DJ33" i="24"/>
  <c r="DK33" i="24"/>
  <c r="F892" i="25"/>
  <c r="E892" i="25"/>
  <c r="AR33" i="24"/>
  <c r="AS33" i="24"/>
  <c r="F885" i="25"/>
  <c r="E885" i="25"/>
  <c r="AH33" i="24"/>
  <c r="AI33" i="24"/>
  <c r="F884" i="25"/>
  <c r="E884" i="25"/>
  <c r="F42" i="13"/>
  <c r="U42" i="13"/>
  <c r="AI42" i="13"/>
  <c r="Q42" i="13"/>
  <c r="X42" i="13"/>
  <c r="AH42" i="13"/>
  <c r="G42" i="13"/>
  <c r="AL42" i="13"/>
  <c r="AP42" i="13"/>
  <c r="AB42" i="13"/>
  <c r="A43" i="13"/>
  <c r="V42" i="13"/>
  <c r="T42" i="13"/>
  <c r="AS42" i="13"/>
  <c r="AQ42" i="13"/>
  <c r="BA42" i="13"/>
  <c r="AA42" i="13"/>
  <c r="B42" i="13"/>
  <c r="AK42" i="13"/>
  <c r="I42" i="13"/>
  <c r="S42" i="13"/>
  <c r="AR42" i="13"/>
  <c r="E42" i="13"/>
  <c r="AO42" i="13"/>
  <c r="P42" i="13"/>
  <c r="M42" i="13"/>
  <c r="AD42" i="13"/>
  <c r="K42" i="13"/>
  <c r="W42" i="13"/>
  <c r="BL42" i="13"/>
  <c r="Y42" i="13"/>
  <c r="Z42" i="13"/>
  <c r="L42" i="13"/>
  <c r="AM42" i="13"/>
  <c r="R42" i="13"/>
  <c r="AG42" i="13"/>
  <c r="AN42" i="13"/>
  <c r="AF42" i="13"/>
  <c r="AJ42" i="13"/>
  <c r="N42" i="13"/>
  <c r="J42" i="13"/>
  <c r="H42" i="13"/>
  <c r="C42" i="13"/>
  <c r="D42" i="13"/>
  <c r="AC42" i="13"/>
  <c r="O42" i="13"/>
  <c r="AE42" i="13"/>
  <c r="BB42" i="13"/>
  <c r="F334" i="21"/>
  <c r="BF38" i="13"/>
  <c r="D324" i="21"/>
  <c r="D330" i="21"/>
  <c r="E321" i="21"/>
  <c r="F323" i="21"/>
  <c r="D325" i="21"/>
  <c r="F318" i="21"/>
  <c r="F331" i="21"/>
  <c r="C315" i="21"/>
  <c r="D331" i="21"/>
  <c r="E320" i="21"/>
  <c r="E318" i="21"/>
  <c r="D322" i="21"/>
  <c r="B340" i="21"/>
  <c r="D319" i="21"/>
  <c r="D318" i="21"/>
  <c r="F319" i="21"/>
  <c r="F321" i="21"/>
  <c r="B338" i="21"/>
  <c r="F322" i="21"/>
  <c r="H315" i="21"/>
  <c r="F324" i="21"/>
  <c r="E327" i="21"/>
  <c r="F326" i="21"/>
  <c r="B339" i="21"/>
  <c r="D326" i="21"/>
  <c r="F320" i="21"/>
  <c r="B316" i="21"/>
  <c r="D323" i="21"/>
  <c r="D328" i="21"/>
  <c r="E330" i="21"/>
  <c r="D321" i="21"/>
  <c r="F327" i="21"/>
  <c r="E326" i="21"/>
  <c r="E319" i="21"/>
  <c r="D327" i="21"/>
  <c r="E329" i="21"/>
  <c r="E324" i="21"/>
  <c r="E325" i="21"/>
  <c r="D320" i="21"/>
  <c r="B337" i="21"/>
  <c r="E322" i="21"/>
  <c r="F329" i="21"/>
  <c r="E323" i="21"/>
  <c r="F328" i="21"/>
  <c r="E334" i="21"/>
  <c r="E328" i="21"/>
  <c r="F325" i="21"/>
  <c r="E331" i="21"/>
  <c r="E316" i="21"/>
  <c r="F330" i="21"/>
  <c r="D329" i="21"/>
  <c r="CC34" i="24"/>
  <c r="CD34" i="24"/>
  <c r="D918" i="25"/>
  <c r="C918" i="25"/>
  <c r="BB34" i="24"/>
  <c r="BC34" i="24"/>
  <c r="F915" i="25"/>
  <c r="E915" i="25"/>
  <c r="AE34" i="24"/>
  <c r="AF34" i="24"/>
  <c r="D913" i="25"/>
  <c r="C913" i="25"/>
  <c r="AY34" i="24"/>
  <c r="AZ34" i="24"/>
  <c r="D915" i="25"/>
  <c r="C915" i="25"/>
  <c r="U34" i="24"/>
  <c r="V34" i="24"/>
  <c r="D912" i="25"/>
  <c r="C912" i="25"/>
  <c r="BI34" i="24"/>
  <c r="BJ34" i="24"/>
  <c r="D916" i="25"/>
  <c r="C916" i="25"/>
  <c r="F966" i="25"/>
  <c r="B1016" i="25"/>
  <c r="C1511" i="20"/>
  <c r="E1514" i="20"/>
  <c r="E1499" i="20"/>
  <c r="D1509" i="20"/>
  <c r="A1520" i="20"/>
  <c r="A1521" i="20"/>
  <c r="C1502" i="20"/>
  <c r="E1509" i="20"/>
  <c r="C1493" i="20"/>
  <c r="D1506" i="20"/>
  <c r="C1506" i="20"/>
  <c r="D1510" i="20"/>
  <c r="F1576" i="20"/>
  <c r="D1507" i="20"/>
  <c r="E1501" i="20"/>
  <c r="E1505" i="20"/>
  <c r="C1501" i="20"/>
  <c r="E1511" i="20"/>
  <c r="D1514" i="20"/>
  <c r="C1500" i="20"/>
  <c r="E1494" i="20"/>
  <c r="C1503" i="20"/>
  <c r="C1494" i="20"/>
  <c r="D1501" i="20"/>
  <c r="D1502" i="20"/>
  <c r="D1505" i="20"/>
  <c r="A1518" i="20"/>
  <c r="C1498" i="20"/>
  <c r="D1511" i="20"/>
  <c r="D1498" i="20"/>
  <c r="E1503" i="20"/>
  <c r="E1500" i="20"/>
  <c r="C1508" i="20"/>
  <c r="C1509" i="20"/>
  <c r="D1499" i="20"/>
  <c r="C1499" i="20"/>
  <c r="D1503" i="20"/>
  <c r="D1500" i="20"/>
  <c r="E1502" i="20"/>
  <c r="E1498" i="20"/>
  <c r="A1519" i="20"/>
  <c r="E1510" i="20"/>
  <c r="E1508" i="20"/>
  <c r="C1505" i="20"/>
  <c r="E1506" i="20"/>
  <c r="C1504" i="20"/>
  <c r="C1510" i="20"/>
  <c r="D1508" i="20"/>
  <c r="D1504" i="20"/>
  <c r="E1504" i="20"/>
  <c r="C1507" i="20"/>
  <c r="E1507" i="20"/>
  <c r="K304" i="21"/>
  <c r="D1422" i="20"/>
  <c r="AE33" i="24"/>
  <c r="AF33" i="24"/>
  <c r="D884" i="25"/>
  <c r="C884" i="25"/>
  <c r="DT33" i="24"/>
  <c r="DU33" i="24"/>
  <c r="F893" i="25"/>
  <c r="E893" i="25"/>
  <c r="BS33" i="24"/>
  <c r="BT33" i="24"/>
  <c r="D888" i="25"/>
  <c r="C888" i="25"/>
  <c r="K33" i="24"/>
  <c r="L33" i="24"/>
  <c r="D882" i="25"/>
  <c r="C882" i="25"/>
  <c r="D1377" i="20"/>
  <c r="E304" i="21"/>
  <c r="B37" i="24"/>
  <c r="F36" i="24"/>
  <c r="D966" i="25"/>
  <c r="D36" i="24"/>
  <c r="C36" i="24"/>
  <c r="E36" i="24"/>
  <c r="K306" i="21"/>
  <c r="D1424" i="20"/>
  <c r="AH38" i="18"/>
  <c r="AH38" i="11"/>
  <c r="CM34" i="24"/>
  <c r="CN34" i="24"/>
  <c r="D919" i="25"/>
  <c r="C919" i="25"/>
  <c r="DG34" i="24"/>
  <c r="DH34" i="24"/>
  <c r="D921" i="25"/>
  <c r="C921" i="25"/>
  <c r="AR34" i="24"/>
  <c r="AS34" i="24"/>
  <c r="F914" i="25"/>
  <c r="E914" i="25"/>
  <c r="CZ34" i="24"/>
  <c r="DA34" i="24"/>
  <c r="F920" i="25"/>
  <c r="E920" i="25"/>
  <c r="CF34" i="24"/>
  <c r="CG34" i="24"/>
  <c r="F918" i="25"/>
  <c r="E918" i="25"/>
  <c r="EN34" i="24"/>
  <c r="EO34" i="24"/>
  <c r="F924" i="25"/>
  <c r="E924" i="25"/>
  <c r="DT34" i="24"/>
  <c r="DU34" i="24"/>
  <c r="F922" i="25"/>
  <c r="E922" i="25"/>
  <c r="DQ34" i="24"/>
  <c r="DR34" i="24"/>
  <c r="D922" i="25"/>
  <c r="C922" i="25"/>
  <c r="BV34" i="24"/>
  <c r="BW34" i="24"/>
  <c r="F917" i="25"/>
  <c r="E917" i="25"/>
  <c r="ED34" i="24"/>
  <c r="EE34" i="24"/>
  <c r="F923" i="25"/>
  <c r="E923" i="25"/>
  <c r="AH58" i="4"/>
  <c r="W64" i="8"/>
  <c r="X63" i="8"/>
  <c r="Y63" i="8"/>
  <c r="W59" i="4"/>
  <c r="AH59" i="4"/>
  <c r="D2504" i="17"/>
  <c r="C2501" i="17"/>
  <c r="D2511" i="17"/>
  <c r="A2529" i="17"/>
  <c r="D2523" i="17"/>
  <c r="D2516" i="17"/>
  <c r="D2518" i="17"/>
  <c r="D2515" i="17"/>
  <c r="D2513" i="17"/>
  <c r="E2586" i="17"/>
  <c r="D2509" i="17"/>
  <c r="D2508" i="17"/>
  <c r="A2528" i="17"/>
  <c r="A2527" i="17"/>
  <c r="D2522" i="17"/>
  <c r="D2514" i="17"/>
  <c r="C2500" i="17"/>
  <c r="D2521" i="17"/>
  <c r="D2501" i="17"/>
  <c r="D2507" i="17"/>
  <c r="D2512" i="17"/>
  <c r="A2526" i="17"/>
  <c r="D2517" i="17"/>
  <c r="D2505" i="17"/>
  <c r="D2510" i="17"/>
  <c r="D2506" i="17"/>
  <c r="AG61" i="4"/>
  <c r="R61" i="4"/>
  <c r="S61" i="4"/>
  <c r="G61" i="4"/>
  <c r="H61" i="4"/>
  <c r="N61" i="4"/>
  <c r="F61" i="4"/>
  <c r="T61" i="4"/>
  <c r="AA61" i="4"/>
  <c r="D61" i="4"/>
  <c r="A62" i="4"/>
  <c r="P61" i="4"/>
  <c r="K61" i="4"/>
  <c r="B61" i="4"/>
  <c r="E61" i="4"/>
  <c r="O61" i="4"/>
  <c r="Y61" i="4"/>
  <c r="U61" i="4"/>
  <c r="I61" i="4"/>
  <c r="J61" i="4"/>
  <c r="L61" i="4"/>
  <c r="C61" i="4"/>
  <c r="M61" i="4"/>
  <c r="Q61" i="4"/>
  <c r="V60" i="4"/>
  <c r="D63" i="2"/>
  <c r="H63" i="2"/>
  <c r="A64" i="2"/>
  <c r="I63" i="2"/>
  <c r="G63" i="2"/>
  <c r="F63" i="2"/>
  <c r="E63" i="2"/>
  <c r="B63" i="2"/>
  <c r="C63" i="2"/>
  <c r="K63" i="2"/>
  <c r="N63" i="2"/>
  <c r="J63" i="2"/>
  <c r="C56" i="27"/>
  <c r="B57" i="27"/>
  <c r="BO56" i="27"/>
  <c r="BP56" i="27"/>
  <c r="BQ56" i="27"/>
  <c r="BU56" i="27"/>
  <c r="BV56" i="27"/>
  <c r="BW56" i="27"/>
  <c r="AE56" i="27"/>
  <c r="AF56" i="27"/>
  <c r="AG56" i="27"/>
  <c r="G56" i="27"/>
  <c r="H56" i="27"/>
  <c r="I56" i="27"/>
  <c r="M56" i="27"/>
  <c r="N56" i="27"/>
  <c r="O56" i="27"/>
  <c r="BI56" i="27"/>
  <c r="BJ56" i="27"/>
  <c r="BK56" i="27"/>
  <c r="AK56" i="27"/>
  <c r="AL56" i="27"/>
  <c r="AM56" i="27"/>
  <c r="AQ56" i="27"/>
  <c r="AR56" i="27"/>
  <c r="AS56" i="27"/>
  <c r="D56" i="27"/>
  <c r="BC56" i="27"/>
  <c r="BD56" i="27"/>
  <c r="BE56" i="27"/>
  <c r="F56" i="27"/>
  <c r="AW56" i="27"/>
  <c r="AX56" i="27"/>
  <c r="AY56" i="27"/>
  <c r="CG56" i="27"/>
  <c r="CH56" i="27"/>
  <c r="CI56" i="27"/>
  <c r="Y56" i="27"/>
  <c r="Z56" i="27"/>
  <c r="AA56" i="27"/>
  <c r="E56" i="27"/>
  <c r="S56" i="27"/>
  <c r="T56" i="27"/>
  <c r="U56" i="27"/>
  <c r="CA56" i="27"/>
  <c r="CB56" i="27"/>
  <c r="CC56" i="27"/>
  <c r="EJ36" i="24"/>
  <c r="DE36" i="24"/>
  <c r="DZ36" i="24"/>
  <c r="AK36" i="24"/>
  <c r="AL36" i="24"/>
  <c r="AD36" i="24"/>
  <c r="BH36" i="24"/>
  <c r="Q36" i="24"/>
  <c r="R36" i="24"/>
  <c r="AM36" i="24"/>
  <c r="BK36" i="24"/>
  <c r="BR36" i="24"/>
  <c r="S36" i="24"/>
  <c r="J36" i="24"/>
  <c r="EI36" i="24"/>
  <c r="DC36" i="24"/>
  <c r="DD36" i="24"/>
  <c r="DP36" i="24"/>
  <c r="I36" i="24"/>
  <c r="CK36" i="24"/>
  <c r="BY36" i="24"/>
  <c r="BZ36" i="24"/>
  <c r="AW36" i="24"/>
  <c r="CA36" i="24"/>
  <c r="DM36" i="24"/>
  <c r="DN36" i="24"/>
  <c r="CB36" i="24"/>
  <c r="BA36" i="24"/>
  <c r="CE36" i="24"/>
  <c r="DO36" i="24"/>
  <c r="CL36" i="24"/>
  <c r="BU36" i="24"/>
  <c r="AA36" i="24"/>
  <c r="AB36" i="24"/>
  <c r="DW36" i="24"/>
  <c r="DX36" i="24"/>
  <c r="CI36" i="24"/>
  <c r="CJ36" i="24"/>
  <c r="CV36" i="24"/>
  <c r="DI36" i="24"/>
  <c r="AX36" i="24"/>
  <c r="BO36" i="24"/>
  <c r="BP36" i="24"/>
  <c r="CO36" i="24"/>
  <c r="DY36" i="24"/>
  <c r="EC36" i="24"/>
  <c r="BQ36" i="24"/>
  <c r="CS36" i="24"/>
  <c r="CT36" i="24"/>
  <c r="EG36" i="24"/>
  <c r="EH36" i="24"/>
  <c r="AQ36" i="24"/>
  <c r="CU36" i="24"/>
  <c r="AU36" i="24"/>
  <c r="AV36" i="24"/>
  <c r="AC36" i="24"/>
  <c r="AN36" i="24"/>
  <c r="AG36" i="24"/>
  <c r="M36" i="24"/>
  <c r="EM36" i="24"/>
  <c r="G36" i="24"/>
  <c r="H36" i="24"/>
  <c r="BE36" i="24"/>
  <c r="BF36" i="24"/>
  <c r="CY36" i="24"/>
  <c r="T36" i="24"/>
  <c r="W36" i="24"/>
  <c r="DS36" i="24"/>
  <c r="BG36" i="24"/>
  <c r="DF36" i="24"/>
  <c r="D1335" i="20"/>
  <c r="Q278" i="21"/>
  <c r="AH39" i="18"/>
  <c r="K35" i="24"/>
  <c r="L35" i="24"/>
  <c r="D940" i="25"/>
  <c r="C940" i="25"/>
  <c r="CC35" i="24"/>
  <c r="CD35" i="24"/>
  <c r="D947" i="25"/>
  <c r="C947" i="25"/>
  <c r="AH35" i="24"/>
  <c r="AI35" i="24"/>
  <c r="F942" i="25"/>
  <c r="E942" i="25"/>
  <c r="CP35" i="24"/>
  <c r="CQ35" i="24"/>
  <c r="F948" i="25"/>
  <c r="E948" i="25"/>
  <c r="X35" i="24"/>
  <c r="Y35" i="24"/>
  <c r="F941" i="25"/>
  <c r="E941" i="25"/>
  <c r="EA35" i="24"/>
  <c r="EB35" i="24"/>
  <c r="D952" i="25"/>
  <c r="C952" i="25"/>
  <c r="F995" i="25"/>
  <c r="B1045" i="25"/>
  <c r="L318" i="21"/>
  <c r="J322" i="21"/>
  <c r="L321" i="21"/>
  <c r="J324" i="21"/>
  <c r="L326" i="21"/>
  <c r="J320" i="21"/>
  <c r="I315" i="21"/>
  <c r="L320" i="21"/>
  <c r="J329" i="21"/>
  <c r="J325" i="21"/>
  <c r="J319" i="21"/>
  <c r="N315" i="21"/>
  <c r="K324" i="21"/>
  <c r="K319" i="21"/>
  <c r="H340" i="21"/>
  <c r="K323" i="21"/>
  <c r="K327" i="21"/>
  <c r="J323" i="21"/>
  <c r="K318" i="21"/>
  <c r="K320" i="21"/>
  <c r="K331" i="21"/>
  <c r="L324" i="21"/>
  <c r="J328" i="21"/>
  <c r="H337" i="21"/>
  <c r="H338" i="21"/>
  <c r="L331" i="21"/>
  <c r="L325" i="21"/>
  <c r="L322" i="21"/>
  <c r="K330" i="21"/>
  <c r="J330" i="21"/>
  <c r="L327" i="21"/>
  <c r="L329" i="21"/>
  <c r="K321" i="21"/>
  <c r="L330" i="21"/>
  <c r="H339" i="21"/>
  <c r="H316" i="21"/>
  <c r="K329" i="21"/>
  <c r="K325" i="21"/>
  <c r="J321" i="21"/>
  <c r="L328" i="21"/>
  <c r="J318" i="21"/>
  <c r="J331" i="21"/>
  <c r="L319" i="21"/>
  <c r="K316" i="21"/>
  <c r="K326" i="21"/>
  <c r="J327" i="21"/>
  <c r="K328" i="21"/>
  <c r="J326" i="21"/>
  <c r="L323" i="21"/>
  <c r="K322" i="21"/>
  <c r="AQ43" i="13"/>
  <c r="AO43" i="13"/>
  <c r="AH43" i="13"/>
  <c r="G43" i="13"/>
  <c r="C1544" i="20"/>
  <c r="B43" i="13"/>
  <c r="AB43" i="13"/>
  <c r="AL43" i="13"/>
  <c r="X43" i="13"/>
  <c r="E1549" i="20"/>
  <c r="T43" i="13"/>
  <c r="A44" i="13"/>
  <c r="W43" i="13"/>
  <c r="AA43" i="13"/>
  <c r="E1550" i="20"/>
  <c r="AD43" i="13"/>
  <c r="AP43" i="13"/>
  <c r="P43" i="13"/>
  <c r="Z43" i="13"/>
  <c r="D1550" i="20"/>
  <c r="C43" i="13"/>
  <c r="AF43" i="13"/>
  <c r="AK43" i="13"/>
  <c r="AG43" i="13"/>
  <c r="E1552" i="20"/>
  <c r="H43" i="13"/>
  <c r="R43" i="13"/>
  <c r="N43" i="13"/>
  <c r="Y43" i="13"/>
  <c r="C1550" i="20"/>
  <c r="AM43" i="13"/>
  <c r="J43" i="13"/>
  <c r="I43" i="13"/>
  <c r="AC43" i="13"/>
  <c r="E43" i="13"/>
  <c r="U43" i="13"/>
  <c r="F43" i="13"/>
  <c r="K43" i="13"/>
  <c r="AJ43" i="13"/>
  <c r="AE43" i="13"/>
  <c r="O43" i="13"/>
  <c r="AS43" i="13"/>
  <c r="E1556" i="20"/>
  <c r="V43" i="13"/>
  <c r="M43" i="13"/>
  <c r="D43" i="13"/>
  <c r="BL43" i="13"/>
  <c r="Q43" i="13"/>
  <c r="AR43" i="13"/>
  <c r="S43" i="13"/>
  <c r="AN43" i="13"/>
  <c r="AI43" i="13"/>
  <c r="L43" i="13"/>
  <c r="AI39" i="18"/>
  <c r="Y39" i="18"/>
  <c r="BC40" i="13"/>
  <c r="AY40" i="13"/>
  <c r="W40" i="18"/>
  <c r="AB40" i="18"/>
  <c r="D1380" i="20"/>
  <c r="E307" i="21"/>
  <c r="L44" i="10"/>
  <c r="K44" i="10"/>
  <c r="J44" i="10"/>
  <c r="D44" i="10"/>
  <c r="F44" i="10"/>
  <c r="I44" i="10"/>
  <c r="E44" i="10"/>
  <c r="H44" i="10"/>
  <c r="G44" i="10"/>
  <c r="B44" i="10"/>
  <c r="A45" i="10"/>
  <c r="M44" i="10"/>
  <c r="P44" i="10"/>
  <c r="C44" i="10"/>
  <c r="O42" i="18"/>
  <c r="I42" i="18"/>
  <c r="Q42" i="18"/>
  <c r="K42" i="18"/>
  <c r="D42" i="18"/>
  <c r="L42" i="18"/>
  <c r="T42" i="18"/>
  <c r="F42" i="18"/>
  <c r="R42" i="18"/>
  <c r="S42" i="18"/>
  <c r="A43" i="18"/>
  <c r="N42" i="18"/>
  <c r="H42" i="18"/>
  <c r="U42" i="18"/>
  <c r="E42" i="18"/>
  <c r="P42" i="18"/>
  <c r="B42" i="18"/>
  <c r="J42" i="18"/>
  <c r="G42" i="18"/>
  <c r="V42" i="18"/>
  <c r="AG42" i="18"/>
  <c r="M42" i="18"/>
  <c r="C42" i="18"/>
  <c r="CW35" i="24"/>
  <c r="CX35" i="24"/>
  <c r="D949" i="25"/>
  <c r="C949" i="25"/>
  <c r="CF35" i="24"/>
  <c r="CG35" i="24"/>
  <c r="F947" i="25"/>
  <c r="E947" i="25"/>
  <c r="DT35" i="24"/>
  <c r="DU35" i="24"/>
  <c r="F951" i="25"/>
  <c r="E951" i="25"/>
  <c r="CM35" i="24"/>
  <c r="CN35" i="24"/>
  <c r="D948" i="25"/>
  <c r="C948" i="25"/>
  <c r="ED35" i="24"/>
  <c r="EE35" i="24"/>
  <c r="F952" i="25"/>
  <c r="E952" i="25"/>
  <c r="BI35" i="24"/>
  <c r="BJ35" i="24"/>
  <c r="D945" i="25"/>
  <c r="C945" i="25"/>
  <c r="AE35" i="24"/>
  <c r="AF35" i="24"/>
  <c r="D942" i="25"/>
  <c r="C942" i="25"/>
  <c r="BS35" i="24"/>
  <c r="BT35" i="24"/>
  <c r="D946" i="25"/>
  <c r="C946" i="25"/>
  <c r="A1563" i="20"/>
  <c r="E1545" i="20"/>
  <c r="C1539" i="20"/>
  <c r="D1547" i="20"/>
  <c r="C1549" i="20"/>
  <c r="D1551" i="20"/>
  <c r="D1548" i="20"/>
  <c r="E1547" i="20"/>
  <c r="C1546" i="20"/>
  <c r="A1565" i="20"/>
  <c r="E1544" i="20"/>
  <c r="D1544" i="20"/>
  <c r="E1555" i="20"/>
  <c r="D1554" i="20"/>
  <c r="D1549" i="20"/>
  <c r="D1552" i="20"/>
  <c r="C1551" i="20"/>
  <c r="A1566" i="20"/>
  <c r="C1547" i="20"/>
  <c r="E1546" i="20"/>
  <c r="D1546" i="20"/>
  <c r="D1556" i="20"/>
  <c r="C1548" i="20"/>
  <c r="D1545" i="20"/>
  <c r="C1545" i="20"/>
  <c r="C1554" i="20"/>
  <c r="C1543" i="20"/>
  <c r="C1538" i="20"/>
  <c r="E1548" i="20"/>
  <c r="D1555" i="20"/>
  <c r="E1553" i="20"/>
  <c r="A1564" i="20"/>
  <c r="E1539" i="20"/>
  <c r="E1551" i="20"/>
  <c r="E1543" i="20"/>
  <c r="C1553" i="20"/>
  <c r="C1556" i="20"/>
  <c r="E1554" i="20"/>
  <c r="F1621" i="20"/>
  <c r="D1543" i="20"/>
  <c r="C1555" i="20"/>
  <c r="C1552" i="20"/>
  <c r="D1553" i="20"/>
  <c r="D965" i="25"/>
  <c r="L42" i="11"/>
  <c r="C42" i="11"/>
  <c r="H42" i="11"/>
  <c r="O42" i="11"/>
  <c r="N42" i="11"/>
  <c r="M42" i="11"/>
  <c r="R42" i="11"/>
  <c r="S42" i="11"/>
  <c r="K42" i="11"/>
  <c r="U42" i="11"/>
  <c r="G42" i="11"/>
  <c r="J42" i="11"/>
  <c r="F42" i="11"/>
  <c r="Q42" i="11"/>
  <c r="E42" i="11"/>
  <c r="A43" i="11"/>
  <c r="P42" i="11"/>
  <c r="T42" i="11"/>
  <c r="I42" i="11"/>
  <c r="AG42" i="11"/>
  <c r="B42" i="11"/>
  <c r="D42" i="11"/>
  <c r="E1422" i="20"/>
  <c r="L304" i="21"/>
  <c r="D1378" i="20"/>
  <c r="E305" i="21"/>
  <c r="E1378" i="20"/>
  <c r="F305" i="21"/>
  <c r="AH39" i="11"/>
  <c r="Y39" i="11"/>
  <c r="AX40" i="13"/>
  <c r="AV41" i="13"/>
  <c r="DG35" i="24"/>
  <c r="DH35" i="24"/>
  <c r="D950" i="25"/>
  <c r="C950" i="25"/>
  <c r="EN35" i="24"/>
  <c r="EO35" i="24"/>
  <c r="F953" i="25"/>
  <c r="E953" i="25"/>
  <c r="N35" i="24"/>
  <c r="O35" i="24"/>
  <c r="F940" i="25"/>
  <c r="E940" i="25"/>
  <c r="CZ35" i="24"/>
  <c r="DA35" i="24"/>
  <c r="F949" i="25"/>
  <c r="E949" i="25"/>
  <c r="AY35" i="24"/>
  <c r="AZ35" i="24"/>
  <c r="D944" i="25"/>
  <c r="C944" i="25"/>
  <c r="AO35" i="24"/>
  <c r="AP35" i="24"/>
  <c r="D943" i="25"/>
  <c r="C943" i="25"/>
  <c r="U35" i="24"/>
  <c r="V35" i="24"/>
  <c r="D941" i="25"/>
  <c r="C941" i="25"/>
  <c r="EK35" i="24"/>
  <c r="EL35" i="24"/>
  <c r="D953" i="25"/>
  <c r="C953" i="25"/>
  <c r="B38" i="24"/>
  <c r="E37" i="24"/>
  <c r="D37" i="24"/>
  <c r="D994" i="25"/>
  <c r="F37" i="24"/>
  <c r="D995" i="25"/>
  <c r="C37" i="24"/>
  <c r="G37" i="24"/>
  <c r="H37" i="24"/>
  <c r="V41" i="11"/>
  <c r="W40" i="11"/>
  <c r="AH40" i="11"/>
  <c r="AA40" i="11"/>
  <c r="AU41" i="13"/>
  <c r="BC39" i="13"/>
  <c r="V41" i="18"/>
  <c r="DJ35" i="24"/>
  <c r="DK35" i="24"/>
  <c r="F950" i="25"/>
  <c r="E950" i="25"/>
  <c r="BL35" i="24"/>
  <c r="BM35" i="24"/>
  <c r="F945" i="25"/>
  <c r="E945" i="25"/>
  <c r="BV35" i="24"/>
  <c r="BW35" i="24"/>
  <c r="F946" i="25"/>
  <c r="E946" i="25"/>
  <c r="BB35" i="24"/>
  <c r="BC35" i="24"/>
  <c r="F944" i="25"/>
  <c r="E944" i="25"/>
  <c r="AR35" i="24"/>
  <c r="AS35" i="24"/>
  <c r="F943" i="25"/>
  <c r="E943" i="25"/>
  <c r="DQ35" i="24"/>
  <c r="DR35" i="24"/>
  <c r="D951" i="25"/>
  <c r="C951" i="25"/>
  <c r="AI59" i="4"/>
  <c r="E64" i="2"/>
  <c r="F64" i="2"/>
  <c r="G64" i="2"/>
  <c r="B64" i="2"/>
  <c r="K64" i="2"/>
  <c r="C64" i="2"/>
  <c r="D64" i="2"/>
  <c r="I64" i="2"/>
  <c r="J64" i="2"/>
  <c r="H64" i="2"/>
  <c r="V61" i="4"/>
  <c r="L62" i="4"/>
  <c r="N62" i="4"/>
  <c r="R62" i="4"/>
  <c r="S62" i="4"/>
  <c r="AA62" i="4"/>
  <c r="T62" i="4"/>
  <c r="AG62" i="4"/>
  <c r="Q62" i="4"/>
  <c r="U62" i="4"/>
  <c r="B62" i="4"/>
  <c r="M62" i="4"/>
  <c r="O62" i="4"/>
  <c r="J62" i="4"/>
  <c r="P62" i="4"/>
  <c r="E62" i="4"/>
  <c r="G62" i="4"/>
  <c r="H62" i="4"/>
  <c r="I62" i="4"/>
  <c r="C62" i="4"/>
  <c r="D62" i="4"/>
  <c r="K62" i="4"/>
  <c r="Y62" i="4"/>
  <c r="F62" i="4"/>
  <c r="C57" i="27"/>
  <c r="CA57" i="27"/>
  <c r="CB57" i="27"/>
  <c r="CC57" i="27"/>
  <c r="BU57" i="27"/>
  <c r="BV57" i="27"/>
  <c r="BW57" i="27"/>
  <c r="S57" i="27"/>
  <c r="T57" i="27"/>
  <c r="U57" i="27"/>
  <c r="D57" i="27"/>
  <c r="CG57" i="27"/>
  <c r="CH57" i="27"/>
  <c r="CI57" i="27"/>
  <c r="AQ57" i="27"/>
  <c r="AR57" i="27"/>
  <c r="AS57" i="27"/>
  <c r="Y57" i="27"/>
  <c r="Z57" i="27"/>
  <c r="AA57" i="27"/>
  <c r="G57" i="27"/>
  <c r="H57" i="27"/>
  <c r="I57" i="27"/>
  <c r="BO57" i="27"/>
  <c r="BP57" i="27"/>
  <c r="BQ57" i="27"/>
  <c r="AE57" i="27"/>
  <c r="AF57" i="27"/>
  <c r="AG57" i="27"/>
  <c r="M57" i="27"/>
  <c r="N57" i="27"/>
  <c r="O57" i="27"/>
  <c r="BI57" i="27"/>
  <c r="BJ57" i="27"/>
  <c r="BK57" i="27"/>
  <c r="F57" i="27"/>
  <c r="E57" i="27"/>
  <c r="BC57" i="27"/>
  <c r="BD57" i="27"/>
  <c r="BE57" i="27"/>
  <c r="AW57" i="27"/>
  <c r="AX57" i="27"/>
  <c r="AY57" i="27"/>
  <c r="AK57" i="27"/>
  <c r="AL57" i="27"/>
  <c r="AM57" i="27"/>
  <c r="A11" i="30"/>
  <c r="B30" i="29"/>
  <c r="Y64" i="8"/>
  <c r="N7" i="8"/>
  <c r="X64" i="8"/>
  <c r="W60" i="4"/>
  <c r="AH60" i="4"/>
  <c r="D2548" i="17"/>
  <c r="D2563" i="17"/>
  <c r="D2562" i="17"/>
  <c r="D2564" i="17"/>
  <c r="A2573" i="17"/>
  <c r="D2557" i="17"/>
  <c r="D2552" i="17"/>
  <c r="D2560" i="17"/>
  <c r="D2554" i="17"/>
  <c r="D2553" i="17"/>
  <c r="D2561" i="17"/>
  <c r="D2559" i="17"/>
  <c r="D2555" i="17"/>
  <c r="D2565" i="17"/>
  <c r="D2558" i="17"/>
  <c r="D2569" i="17"/>
  <c r="C2547" i="17"/>
  <c r="D2570" i="17"/>
  <c r="D2568" i="17"/>
  <c r="C2548" i="17"/>
  <c r="A2576" i="17"/>
  <c r="A2574" i="17"/>
  <c r="A2575" i="17"/>
  <c r="D2556" i="17"/>
  <c r="D2551" i="17"/>
  <c r="AV43" i="13"/>
  <c r="L332" i="21"/>
  <c r="D1423" i="20"/>
  <c r="K305" i="21"/>
  <c r="C1584" i="20"/>
  <c r="F1666" i="20"/>
  <c r="A1608" i="20"/>
  <c r="E1584" i="20"/>
  <c r="A1611" i="20"/>
  <c r="A1610" i="20"/>
  <c r="A1609" i="20"/>
  <c r="C1583" i="20"/>
  <c r="W42" i="18"/>
  <c r="AH42" i="18"/>
  <c r="AI40" i="18"/>
  <c r="AY41" i="13"/>
  <c r="Y40" i="18"/>
  <c r="BB43" i="13"/>
  <c r="G44" i="13"/>
  <c r="C1589" i="20"/>
  <c r="B44" i="13"/>
  <c r="AB44" i="13"/>
  <c r="C1596" i="20"/>
  <c r="H44" i="13"/>
  <c r="D1589" i="20"/>
  <c r="O44" i="13"/>
  <c r="E1591" i="20"/>
  <c r="AI44" i="13"/>
  <c r="D1598" i="20"/>
  <c r="AH44" i="13"/>
  <c r="C1598" i="20"/>
  <c r="W44" i="13"/>
  <c r="D1594" i="20"/>
  <c r="AS44" i="13"/>
  <c r="E1601" i="20"/>
  <c r="R44" i="13"/>
  <c r="E1592" i="20"/>
  <c r="C44" i="13"/>
  <c r="AF44" i="13"/>
  <c r="D1597" i="20"/>
  <c r="Y44" i="13"/>
  <c r="C1595" i="20"/>
  <c r="K44" i="13"/>
  <c r="D1590" i="20"/>
  <c r="P44" i="13"/>
  <c r="C1592" i="20"/>
  <c r="N44" i="13"/>
  <c r="D1591" i="20"/>
  <c r="J44" i="13"/>
  <c r="C1590" i="20"/>
  <c r="X44" i="13"/>
  <c r="E1594" i="20"/>
  <c r="AO44" i="13"/>
  <c r="D1600" i="20"/>
  <c r="AL44" i="13"/>
  <c r="D1599" i="20"/>
  <c r="AG44" i="13"/>
  <c r="E1597" i="20"/>
  <c r="M44" i="13"/>
  <c r="C1591" i="20"/>
  <c r="Z44" i="13"/>
  <c r="D1595" i="20"/>
  <c r="S44" i="13"/>
  <c r="C1593" i="20"/>
  <c r="E44" i="13"/>
  <c r="D1588" i="20"/>
  <c r="F44" i="13"/>
  <c r="E1588" i="20"/>
  <c r="AQ44" i="13"/>
  <c r="C1601" i="20"/>
  <c r="Q44" i="13"/>
  <c r="D1592" i="20"/>
  <c r="D44" i="13"/>
  <c r="C1588" i="20"/>
  <c r="AN44" i="13"/>
  <c r="C1600" i="20"/>
  <c r="AA44" i="13"/>
  <c r="E1595" i="20"/>
  <c r="AM44" i="13"/>
  <c r="E1599" i="20"/>
  <c r="AE44" i="13"/>
  <c r="C1597" i="20"/>
  <c r="AC44" i="13"/>
  <c r="D1596" i="20"/>
  <c r="AR44" i="13"/>
  <c r="D1601" i="20"/>
  <c r="I44" i="13"/>
  <c r="E1589" i="20"/>
  <c r="AP44" i="13"/>
  <c r="E1600" i="20"/>
  <c r="T44" i="13"/>
  <c r="D1593" i="20"/>
  <c r="U44" i="13"/>
  <c r="E1593" i="20"/>
  <c r="BL44" i="13"/>
  <c r="AK44" i="13"/>
  <c r="C1599" i="20"/>
  <c r="L44" i="13"/>
  <c r="E1590" i="20"/>
  <c r="V44" i="13"/>
  <c r="C1594" i="20"/>
  <c r="AJ44" i="13"/>
  <c r="E1598" i="20"/>
  <c r="AD44" i="13"/>
  <c r="E1596" i="20"/>
  <c r="A45" i="13"/>
  <c r="DG36" i="24"/>
  <c r="DH36" i="24"/>
  <c r="D979" i="25"/>
  <c r="C979" i="25"/>
  <c r="U36" i="24"/>
  <c r="V36" i="24"/>
  <c r="D970" i="25"/>
  <c r="C970" i="25"/>
  <c r="EN36" i="24"/>
  <c r="EO36" i="24"/>
  <c r="F982" i="25"/>
  <c r="E982" i="25"/>
  <c r="DJ36" i="24"/>
  <c r="DK36" i="24"/>
  <c r="F979" i="25"/>
  <c r="E979" i="25"/>
  <c r="CF36" i="24"/>
  <c r="CG36" i="24"/>
  <c r="F976" i="25"/>
  <c r="E976" i="25"/>
  <c r="K36" i="24"/>
  <c r="L36" i="24"/>
  <c r="D969" i="25"/>
  <c r="C969" i="25"/>
  <c r="BA37" i="24"/>
  <c r="CB37" i="24"/>
  <c r="CS37" i="24"/>
  <c r="CT37" i="24"/>
  <c r="AC37" i="24"/>
  <c r="M37" i="24"/>
  <c r="CK37" i="24"/>
  <c r="AA37" i="24"/>
  <c r="AB37" i="24"/>
  <c r="CI37" i="24"/>
  <c r="CJ37" i="24"/>
  <c r="AX37" i="24"/>
  <c r="AI40" i="11"/>
  <c r="Y40" i="11"/>
  <c r="BF41" i="13"/>
  <c r="AX41" i="13"/>
  <c r="EG37" i="24"/>
  <c r="EH37" i="24"/>
  <c r="DZ37" i="24"/>
  <c r="EC37" i="24"/>
  <c r="CE37" i="24"/>
  <c r="S37" i="24"/>
  <c r="AN37" i="24"/>
  <c r="EM37" i="24"/>
  <c r="CA37" i="24"/>
  <c r="Q37" i="24"/>
  <c r="R37" i="24"/>
  <c r="AD37" i="24"/>
  <c r="EI37" i="24"/>
  <c r="BY37" i="24"/>
  <c r="BZ37" i="24"/>
  <c r="I37" i="24"/>
  <c r="T37" i="24"/>
  <c r="BE37" i="24"/>
  <c r="BF37" i="24"/>
  <c r="B43" i="11"/>
  <c r="O43" i="11"/>
  <c r="D43" i="11"/>
  <c r="AG43" i="11"/>
  <c r="BA44" i="13"/>
  <c r="K43" i="11"/>
  <c r="Q43" i="11"/>
  <c r="A44" i="11"/>
  <c r="E43" i="11"/>
  <c r="N43" i="11"/>
  <c r="R43" i="11"/>
  <c r="S43" i="11"/>
  <c r="U43" i="11"/>
  <c r="I43" i="11"/>
  <c r="P43" i="11"/>
  <c r="F43" i="11"/>
  <c r="C43" i="11"/>
  <c r="L43" i="11"/>
  <c r="H43" i="11"/>
  <c r="G43" i="11"/>
  <c r="M43" i="11"/>
  <c r="J43" i="11"/>
  <c r="T43" i="11"/>
  <c r="AB42" i="18"/>
  <c r="A44" i="18"/>
  <c r="O43" i="18"/>
  <c r="Q43" i="18"/>
  <c r="K43" i="18"/>
  <c r="P43" i="18"/>
  <c r="H43" i="18"/>
  <c r="E43" i="18"/>
  <c r="B43" i="18"/>
  <c r="G43" i="18"/>
  <c r="D43" i="18"/>
  <c r="C43" i="18"/>
  <c r="U43" i="18"/>
  <c r="R43" i="18"/>
  <c r="S43" i="18"/>
  <c r="N43" i="18"/>
  <c r="AG43" i="18"/>
  <c r="F43" i="18"/>
  <c r="T43" i="18"/>
  <c r="J43" i="18"/>
  <c r="I43" i="18"/>
  <c r="M43" i="18"/>
  <c r="L43" i="18"/>
  <c r="E1423" i="20"/>
  <c r="L305" i="21"/>
  <c r="BA43" i="13"/>
  <c r="CZ36" i="24"/>
  <c r="DA36" i="24"/>
  <c r="F978" i="25"/>
  <c r="E978" i="25"/>
  <c r="N36" i="24"/>
  <c r="O36" i="24"/>
  <c r="F969" i="25"/>
  <c r="E969" i="25"/>
  <c r="CP36" i="24"/>
  <c r="CQ36" i="24"/>
  <c r="F977" i="25"/>
  <c r="E977" i="25"/>
  <c r="CW36" i="24"/>
  <c r="CX36" i="24"/>
  <c r="D978" i="25"/>
  <c r="C978" i="25"/>
  <c r="BV36" i="24"/>
  <c r="BW36" i="24"/>
  <c r="F975" i="25"/>
  <c r="E975" i="25"/>
  <c r="BB36" i="24"/>
  <c r="BC36" i="24"/>
  <c r="F973" i="25"/>
  <c r="E973" i="25"/>
  <c r="DQ36" i="24"/>
  <c r="DR36" i="24"/>
  <c r="D980" i="25"/>
  <c r="C980" i="25"/>
  <c r="EA36" i="24"/>
  <c r="EB36" i="24"/>
  <c r="D981" i="25"/>
  <c r="C981" i="25"/>
  <c r="AM37" i="24"/>
  <c r="AK37" i="24"/>
  <c r="AL37" i="24"/>
  <c r="AG37" i="24"/>
  <c r="BR37" i="24"/>
  <c r="BH37" i="24"/>
  <c r="Q304" i="21"/>
  <c r="D1467" i="20"/>
  <c r="CY37" i="24"/>
  <c r="DY37" i="24"/>
  <c r="DW37" i="24"/>
  <c r="DX37" i="24"/>
  <c r="BK37" i="24"/>
  <c r="B39" i="24"/>
  <c r="D38" i="24"/>
  <c r="C38" i="24"/>
  <c r="E38" i="24"/>
  <c r="F38" i="24"/>
  <c r="DS37" i="24"/>
  <c r="BG37" i="24"/>
  <c r="EJ37" i="24"/>
  <c r="BU37" i="24"/>
  <c r="W37" i="24"/>
  <c r="R304" i="21"/>
  <c r="E1467" i="20"/>
  <c r="BF40" i="13"/>
  <c r="V42" i="11"/>
  <c r="AU43" i="13"/>
  <c r="L45" i="10"/>
  <c r="J45" i="10"/>
  <c r="A46" i="10"/>
  <c r="K45" i="10"/>
  <c r="F45" i="10"/>
  <c r="D45" i="10"/>
  <c r="C45" i="10"/>
  <c r="H45" i="10"/>
  <c r="B45" i="10"/>
  <c r="M45" i="10"/>
  <c r="P45" i="10"/>
  <c r="G45" i="10"/>
  <c r="I45" i="10"/>
  <c r="E45" i="10"/>
  <c r="L307" i="21"/>
  <c r="E1425" i="20"/>
  <c r="AY43" i="13"/>
  <c r="DT36" i="24"/>
  <c r="DU36" i="24"/>
  <c r="F980" i="25"/>
  <c r="E980" i="25"/>
  <c r="AH36" i="24"/>
  <c r="AI36" i="24"/>
  <c r="F971" i="25"/>
  <c r="E971" i="25"/>
  <c r="CM36" i="24"/>
  <c r="CN36" i="24"/>
  <c r="D977" i="25"/>
  <c r="C977" i="25"/>
  <c r="CC36" i="24"/>
  <c r="CD36" i="24"/>
  <c r="D976" i="25"/>
  <c r="C976" i="25"/>
  <c r="BS36" i="24"/>
  <c r="BT36" i="24"/>
  <c r="D975" i="25"/>
  <c r="C975" i="25"/>
  <c r="BI36" i="24"/>
  <c r="BJ36" i="24"/>
  <c r="D974" i="25"/>
  <c r="C974" i="25"/>
  <c r="W41" i="18"/>
  <c r="AH41" i="18"/>
  <c r="AB41" i="18"/>
  <c r="AV42" i="13"/>
  <c r="CU37" i="24"/>
  <c r="W41" i="11"/>
  <c r="AI41" i="11"/>
  <c r="AA41" i="11"/>
  <c r="AU42" i="13"/>
  <c r="CL37" i="24"/>
  <c r="BO37" i="24"/>
  <c r="BP37" i="24"/>
  <c r="E1380" i="20"/>
  <c r="F307" i="21"/>
  <c r="BQ37" i="24"/>
  <c r="J37" i="24"/>
  <c r="DM37" i="24"/>
  <c r="DN37" i="24"/>
  <c r="AW37" i="24"/>
  <c r="DP37" i="24"/>
  <c r="DI37" i="24"/>
  <c r="DE37" i="24"/>
  <c r="AU37" i="24"/>
  <c r="AV37" i="24"/>
  <c r="DF37" i="24"/>
  <c r="CO37" i="24"/>
  <c r="DC37" i="24"/>
  <c r="DD37" i="24"/>
  <c r="AQ37" i="24"/>
  <c r="CV37" i="24"/>
  <c r="DO37" i="24"/>
  <c r="AH40" i="18"/>
  <c r="R326" i="21"/>
  <c r="R324" i="21"/>
  <c r="P326" i="21"/>
  <c r="R330" i="21"/>
  <c r="P329" i="21"/>
  <c r="N316" i="21"/>
  <c r="P324" i="21"/>
  <c r="Q320" i="21"/>
  <c r="Q323" i="21"/>
  <c r="P318" i="21"/>
  <c r="R323" i="21"/>
  <c r="P328" i="21"/>
  <c r="P331" i="21"/>
  <c r="P330" i="21"/>
  <c r="P325" i="21"/>
  <c r="P320" i="21"/>
  <c r="N340" i="21"/>
  <c r="Q326" i="21"/>
  <c r="P323" i="21"/>
  <c r="Q325" i="21"/>
  <c r="R331" i="21"/>
  <c r="Q331" i="21"/>
  <c r="B344" i="21"/>
  <c r="Q330" i="21"/>
  <c r="N338" i="21"/>
  <c r="R328" i="21"/>
  <c r="P319" i="21"/>
  <c r="R327" i="21"/>
  <c r="N337" i="21"/>
  <c r="Q324" i="21"/>
  <c r="Q329" i="21"/>
  <c r="Q319" i="21"/>
  <c r="R322" i="21"/>
  <c r="Q322" i="21"/>
  <c r="R325" i="21"/>
  <c r="Q321" i="21"/>
  <c r="R319" i="21"/>
  <c r="Q327" i="21"/>
  <c r="Q316" i="21"/>
  <c r="R329" i="21"/>
  <c r="R320" i="21"/>
  <c r="Q328" i="21"/>
  <c r="P321" i="21"/>
  <c r="R321" i="21"/>
  <c r="R318" i="21"/>
  <c r="O315" i="21"/>
  <c r="N339" i="21"/>
  <c r="P327" i="21"/>
  <c r="Q318" i="21"/>
  <c r="P322" i="21"/>
  <c r="F1024" i="25"/>
  <c r="D1023" i="25"/>
  <c r="D1024" i="25"/>
  <c r="B1074" i="25"/>
  <c r="X36" i="24"/>
  <c r="Y36" i="24"/>
  <c r="F970" i="25"/>
  <c r="E970" i="25"/>
  <c r="AO36" i="24"/>
  <c r="AP36" i="24"/>
  <c r="D972" i="25"/>
  <c r="C972" i="25"/>
  <c r="AR36" i="24"/>
  <c r="AS36" i="24"/>
  <c r="F972" i="25"/>
  <c r="E972" i="25"/>
  <c r="ED36" i="24"/>
  <c r="EE36" i="24"/>
  <c r="F981" i="25"/>
  <c r="E981" i="25"/>
  <c r="AY36" i="24"/>
  <c r="AZ36" i="24"/>
  <c r="D973" i="25"/>
  <c r="C973" i="25"/>
  <c r="BL36" i="24"/>
  <c r="BM36" i="24"/>
  <c r="F974" i="25"/>
  <c r="E974" i="25"/>
  <c r="AE36" i="24"/>
  <c r="AF36" i="24"/>
  <c r="D971" i="25"/>
  <c r="C971" i="25"/>
  <c r="EK36" i="24"/>
  <c r="EL36" i="24"/>
  <c r="D982" i="25"/>
  <c r="C982" i="25"/>
  <c r="N38" i="2"/>
  <c r="N37" i="2"/>
  <c r="N40" i="2"/>
  <c r="N39" i="2"/>
  <c r="N41" i="2"/>
  <c r="N42" i="2"/>
  <c r="N43" i="2"/>
  <c r="N44" i="2"/>
  <c r="N45" i="2"/>
  <c r="N64" i="2"/>
  <c r="N11" i="2"/>
  <c r="N10" i="2"/>
  <c r="N12" i="2"/>
  <c r="N14" i="2"/>
  <c r="N13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2" i="2"/>
  <c r="N31" i="2"/>
  <c r="N33" i="2"/>
  <c r="N34" i="2"/>
  <c r="N35" i="2"/>
  <c r="N36" i="2"/>
  <c r="AI60" i="4"/>
  <c r="A12" i="30"/>
  <c r="E11" i="30"/>
  <c r="C11" i="30"/>
  <c r="F11" i="30"/>
  <c r="B11" i="30"/>
  <c r="D11" i="30"/>
  <c r="K81" i="4"/>
  <c r="K82" i="4"/>
  <c r="K78" i="4"/>
  <c r="V78" i="4"/>
  <c r="U77" i="4"/>
  <c r="W76" i="4"/>
  <c r="W74" i="4"/>
  <c r="S13" i="16"/>
  <c r="T77" i="4"/>
  <c r="V76" i="4"/>
  <c r="N77" i="4"/>
  <c r="M76" i="4"/>
  <c r="W78" i="4"/>
  <c r="U76" i="4"/>
  <c r="O77" i="4"/>
  <c r="T75" i="4"/>
  <c r="T74" i="4"/>
  <c r="M13" i="16"/>
  <c r="N13" i="16"/>
  <c r="V75" i="4"/>
  <c r="O78" i="4"/>
  <c r="L78" i="4"/>
  <c r="V77" i="4"/>
  <c r="N78" i="4"/>
  <c r="L76" i="4"/>
  <c r="T78" i="4"/>
  <c r="U78" i="4"/>
  <c r="U74" i="4"/>
  <c r="O13" i="16"/>
  <c r="P13" i="16"/>
  <c r="W75" i="4"/>
  <c r="T76" i="4"/>
  <c r="W77" i="4"/>
  <c r="L77" i="4"/>
  <c r="M78" i="4"/>
  <c r="M77" i="4"/>
  <c r="K76" i="4"/>
  <c r="V74" i="4"/>
  <c r="Q13" i="16"/>
  <c r="R13" i="16"/>
  <c r="U75" i="4"/>
  <c r="K77" i="4"/>
  <c r="O76" i="4"/>
  <c r="N76" i="4"/>
  <c r="W61" i="4"/>
  <c r="AI61" i="4"/>
  <c r="E18" i="8"/>
  <c r="E21" i="8"/>
  <c r="C21" i="8"/>
  <c r="I11" i="8"/>
  <c r="H23" i="8"/>
  <c r="G14" i="8"/>
  <c r="G24" i="8"/>
  <c r="C16" i="8"/>
  <c r="C28" i="8"/>
  <c r="D14" i="8"/>
  <c r="F21" i="8"/>
  <c r="H20" i="8"/>
  <c r="H17" i="8"/>
  <c r="G19" i="8"/>
  <c r="F20" i="8"/>
  <c r="E11" i="8"/>
  <c r="D23" i="8"/>
  <c r="C14" i="8"/>
  <c r="C24" i="8"/>
  <c r="I14" i="8"/>
  <c r="C11" i="8"/>
  <c r="G17" i="8"/>
  <c r="D20" i="8"/>
  <c r="E20" i="8"/>
  <c r="D11" i="8"/>
  <c r="D21" i="8"/>
  <c r="C12" i="8"/>
  <c r="I23" i="8"/>
  <c r="H14" i="8"/>
  <c r="G11" i="8"/>
  <c r="F17" i="8"/>
  <c r="G15" i="8"/>
  <c r="J13" i="8"/>
  <c r="J14" i="8"/>
  <c r="J16" i="8"/>
  <c r="H13" i="8"/>
  <c r="G23" i="8"/>
  <c r="I13" i="8"/>
  <c r="H12" i="8"/>
  <c r="I21" i="8"/>
  <c r="H11" i="8"/>
  <c r="G12" i="8"/>
  <c r="E15" i="8"/>
  <c r="C18" i="8"/>
  <c r="I18" i="8"/>
  <c r="G21" i="8"/>
  <c r="E24" i="8"/>
  <c r="J11" i="8"/>
  <c r="J20" i="8"/>
  <c r="I22" i="8"/>
  <c r="H18" i="8"/>
  <c r="I16" i="8"/>
  <c r="D13" i="8"/>
  <c r="I15" i="8"/>
  <c r="G18" i="8"/>
  <c r="F19" i="8"/>
  <c r="D22" i="8"/>
  <c r="I24" i="8"/>
  <c r="G16" i="8"/>
  <c r="E19" i="8"/>
  <c r="C22" i="8"/>
  <c r="J21" i="8"/>
  <c r="J23" i="8"/>
  <c r="C29" i="8"/>
  <c r="E23" i="8"/>
  <c r="D19" i="8"/>
  <c r="F15" i="8"/>
  <c r="D18" i="8"/>
  <c r="I20" i="8"/>
  <c r="H21" i="8"/>
  <c r="F24" i="8"/>
  <c r="E13" i="8"/>
  <c r="H16" i="8"/>
  <c r="C23" i="8"/>
  <c r="F12" i="8"/>
  <c r="D15" i="8"/>
  <c r="J12" i="8"/>
  <c r="J15" i="8"/>
  <c r="F11" i="8"/>
  <c r="D16" i="8"/>
  <c r="E22" i="8"/>
  <c r="I25" i="8"/>
  <c r="J25" i="8"/>
  <c r="F14" i="8"/>
  <c r="F18" i="8"/>
  <c r="H24" i="8"/>
  <c r="C13" i="8"/>
  <c r="E30" i="8"/>
  <c r="E17" i="8"/>
  <c r="D24" i="8"/>
  <c r="I12" i="8"/>
  <c r="J24" i="8"/>
  <c r="H15" i="8"/>
  <c r="J22" i="8"/>
  <c r="F16" i="8"/>
  <c r="D7" i="8"/>
  <c r="E16" i="8"/>
  <c r="I19" i="8"/>
  <c r="F23" i="8"/>
  <c r="I17" i="8"/>
  <c r="J18" i="8"/>
  <c r="E12" i="8"/>
  <c r="D17" i="8"/>
  <c r="E29" i="8"/>
  <c r="E28" i="8"/>
  <c r="H22" i="8"/>
  <c r="D12" i="8"/>
  <c r="E31" i="8"/>
  <c r="E14" i="8"/>
  <c r="H19" i="8"/>
  <c r="G20" i="8"/>
  <c r="G13" i="8"/>
  <c r="G22" i="8"/>
  <c r="F22" i="8"/>
  <c r="J17" i="8"/>
  <c r="C15" i="8"/>
  <c r="C20" i="8"/>
  <c r="C27" i="8"/>
  <c r="C19" i="8"/>
  <c r="F13" i="8"/>
  <c r="C17" i="8"/>
  <c r="J19" i="8"/>
  <c r="V62" i="4"/>
  <c r="B59" i="29"/>
  <c r="C21" i="29"/>
  <c r="D16" i="29"/>
  <c r="C20" i="29"/>
  <c r="C13" i="29"/>
  <c r="C19" i="29"/>
  <c r="D25" i="29"/>
  <c r="C23" i="29"/>
  <c r="D24" i="29"/>
  <c r="C15" i="29"/>
  <c r="D9" i="29"/>
  <c r="C18" i="29"/>
  <c r="D17" i="29"/>
  <c r="D14" i="29"/>
  <c r="D12" i="29"/>
  <c r="C14" i="29"/>
  <c r="C25" i="29"/>
  <c r="D18" i="29"/>
  <c r="C22" i="29"/>
  <c r="D20" i="29"/>
  <c r="D19" i="29"/>
  <c r="D21" i="29"/>
  <c r="F9" i="29"/>
  <c r="C24" i="29"/>
  <c r="C12" i="29"/>
  <c r="D23" i="29"/>
  <c r="C16" i="29"/>
  <c r="D22" i="29"/>
  <c r="D15" i="29"/>
  <c r="D13" i="29"/>
  <c r="C17" i="29"/>
  <c r="D8" i="29"/>
  <c r="AW11" i="13"/>
  <c r="P20" i="21"/>
  <c r="AZ20" i="13"/>
  <c r="P106" i="21"/>
  <c r="BE16" i="13"/>
  <c r="J79" i="21"/>
  <c r="AT16" i="13"/>
  <c r="J76" i="21"/>
  <c r="BE17" i="13"/>
  <c r="P79" i="21"/>
  <c r="AT19" i="13"/>
  <c r="J104" i="21"/>
  <c r="AZ9" i="13"/>
  <c r="D21" i="21"/>
  <c r="AW19" i="13"/>
  <c r="J105" i="21"/>
  <c r="AW14" i="13"/>
  <c r="P48" i="21"/>
  <c r="AT9" i="13"/>
  <c r="D19" i="21"/>
  <c r="BE9" i="13"/>
  <c r="D22" i="21"/>
  <c r="AW13" i="13"/>
  <c r="J48" i="21"/>
  <c r="AZ19" i="13"/>
  <c r="J106" i="21"/>
  <c r="AT12" i="13"/>
  <c r="D47" i="21"/>
  <c r="BE13" i="13"/>
  <c r="J50" i="21"/>
  <c r="AT15" i="13"/>
  <c r="D76" i="21"/>
  <c r="BE14" i="13"/>
  <c r="P50" i="21"/>
  <c r="AZ14" i="13"/>
  <c r="P49" i="21"/>
  <c r="AW20" i="13"/>
  <c r="P105" i="21"/>
  <c r="BE22" i="13"/>
  <c r="J136" i="21"/>
  <c r="BE21" i="13"/>
  <c r="D136" i="21"/>
  <c r="AW16" i="13"/>
  <c r="J77" i="21"/>
  <c r="AW10" i="13"/>
  <c r="J20" i="21"/>
  <c r="AZ12" i="13"/>
  <c r="D49" i="21"/>
  <c r="AT10" i="13"/>
  <c r="J19" i="21"/>
  <c r="BE12" i="13"/>
  <c r="D50" i="21"/>
  <c r="BE18" i="13"/>
  <c r="D107" i="21"/>
  <c r="AT20" i="13"/>
  <c r="P104" i="21"/>
  <c r="AZ18" i="13"/>
  <c r="D106" i="21"/>
  <c r="AW15" i="13"/>
  <c r="D77" i="21"/>
  <c r="AW12" i="13"/>
  <c r="D48" i="21"/>
  <c r="AZ15" i="13"/>
  <c r="D78" i="21"/>
  <c r="AW9" i="13"/>
  <c r="D20" i="21"/>
  <c r="BE15" i="13"/>
  <c r="D79" i="21"/>
  <c r="AZ13" i="13"/>
  <c r="J49" i="21"/>
  <c r="AT13" i="13"/>
  <c r="J47" i="21"/>
  <c r="AT22" i="13"/>
  <c r="J133" i="21"/>
  <c r="AT17" i="13"/>
  <c r="P76" i="21"/>
  <c r="AW18" i="13"/>
  <c r="D105" i="21"/>
  <c r="AZ16" i="13"/>
  <c r="J78" i="21"/>
  <c r="AW17" i="13"/>
  <c r="P77" i="21"/>
  <c r="AT18" i="13"/>
  <c r="D104" i="21"/>
  <c r="BE19" i="13"/>
  <c r="J107" i="21"/>
  <c r="BE11" i="13"/>
  <c r="P22" i="21"/>
  <c r="AZ21" i="13"/>
  <c r="D135" i="21"/>
  <c r="AZ11" i="13"/>
  <c r="P21" i="21"/>
  <c r="AT21" i="13"/>
  <c r="D133" i="21"/>
  <c r="AT14" i="13"/>
  <c r="P47" i="21"/>
  <c r="AZ10" i="13"/>
  <c r="J21" i="21"/>
  <c r="BE20" i="13"/>
  <c r="P107" i="21"/>
  <c r="AT23" i="13"/>
  <c r="P133" i="21"/>
  <c r="AZ17" i="13"/>
  <c r="P78" i="21"/>
  <c r="BE10" i="13"/>
  <c r="J22" i="21"/>
  <c r="AT11" i="13"/>
  <c r="P19" i="21"/>
  <c r="AW22" i="13"/>
  <c r="J134" i="21"/>
  <c r="AW24" i="13"/>
  <c r="D162" i="21"/>
  <c r="AW23" i="13"/>
  <c r="P134" i="21"/>
  <c r="AW21" i="13"/>
  <c r="D134" i="21"/>
  <c r="AZ22" i="13"/>
  <c r="J135" i="21"/>
  <c r="AT24" i="13"/>
  <c r="D161" i="21"/>
  <c r="BE23" i="13"/>
  <c r="P136" i="21"/>
  <c r="AZ23" i="13"/>
  <c r="P135" i="21"/>
  <c r="AZ25" i="13"/>
  <c r="J163" i="21"/>
  <c r="BE25" i="13"/>
  <c r="J164" i="21"/>
  <c r="AW26" i="13"/>
  <c r="P162" i="21"/>
  <c r="BE24" i="13"/>
  <c r="D164" i="21"/>
  <c r="AT25" i="13"/>
  <c r="J161" i="21"/>
  <c r="AW25" i="13"/>
  <c r="J162" i="21"/>
  <c r="BE26" i="13"/>
  <c r="P164" i="21"/>
  <c r="AZ26" i="13"/>
  <c r="P163" i="21"/>
  <c r="AZ24" i="13"/>
  <c r="D163" i="21"/>
  <c r="AT26" i="13"/>
  <c r="P161" i="21"/>
  <c r="AW30" i="13"/>
  <c r="D219" i="21"/>
  <c r="AZ29" i="13"/>
  <c r="P192" i="21"/>
  <c r="AT27" i="13"/>
  <c r="D190" i="21"/>
  <c r="AZ27" i="13"/>
  <c r="D192" i="21"/>
  <c r="BE27" i="13"/>
  <c r="D193" i="21"/>
  <c r="AW27" i="13"/>
  <c r="D191" i="21"/>
  <c r="AW29" i="13"/>
  <c r="P191" i="21"/>
  <c r="BE28" i="13"/>
  <c r="J193" i="21"/>
  <c r="BE29" i="13"/>
  <c r="P193" i="21"/>
  <c r="BE30" i="13"/>
  <c r="D221" i="21"/>
  <c r="AZ28" i="13"/>
  <c r="J192" i="21"/>
  <c r="AT29" i="13"/>
  <c r="P190" i="21"/>
  <c r="AT28" i="13"/>
  <c r="J190" i="21"/>
  <c r="AW28" i="13"/>
  <c r="J191" i="21"/>
  <c r="AT30" i="13"/>
  <c r="D218" i="21"/>
  <c r="BE31" i="13"/>
  <c r="J221" i="21"/>
  <c r="AW31" i="13"/>
  <c r="J219" i="21"/>
  <c r="AT31" i="13"/>
  <c r="J218" i="21"/>
  <c r="AZ30" i="13"/>
  <c r="D220" i="21"/>
  <c r="AZ31" i="13"/>
  <c r="J220" i="21"/>
  <c r="AW32" i="13"/>
  <c r="P219" i="21"/>
  <c r="AZ32" i="13"/>
  <c r="P220" i="21"/>
  <c r="AW33" i="13"/>
  <c r="D248" i="21"/>
  <c r="AZ34" i="13"/>
  <c r="J249" i="21"/>
  <c r="BE34" i="13"/>
  <c r="J250" i="21"/>
  <c r="AT32" i="13"/>
  <c r="P218" i="21"/>
  <c r="AZ33" i="13"/>
  <c r="D249" i="21"/>
  <c r="BE32" i="13"/>
  <c r="P221" i="21"/>
  <c r="AT33" i="13"/>
  <c r="D247" i="21"/>
  <c r="AT34" i="13"/>
  <c r="J247" i="21"/>
  <c r="AW35" i="13"/>
  <c r="P248" i="21"/>
  <c r="BE33" i="13"/>
  <c r="D250" i="21"/>
  <c r="AW34" i="13"/>
  <c r="J248" i="21"/>
  <c r="AZ37" i="13"/>
  <c r="J277" i="21"/>
  <c r="BE36" i="13"/>
  <c r="D278" i="21"/>
  <c r="BE35" i="13"/>
  <c r="P250" i="21"/>
  <c r="AT35" i="13"/>
  <c r="P247" i="21"/>
  <c r="AT38" i="13"/>
  <c r="P275" i="21"/>
  <c r="BE37" i="13"/>
  <c r="J278" i="21"/>
  <c r="AT36" i="13"/>
  <c r="D275" i="21"/>
  <c r="AZ35" i="13"/>
  <c r="P249" i="21"/>
  <c r="AZ39" i="13"/>
  <c r="D306" i="21"/>
  <c r="AW36" i="13"/>
  <c r="D276" i="21"/>
  <c r="AZ38" i="13"/>
  <c r="P277" i="21"/>
  <c r="AZ36" i="13"/>
  <c r="D277" i="21"/>
  <c r="AW39" i="13"/>
  <c r="D305" i="21"/>
  <c r="AW37" i="13"/>
  <c r="J276" i="21"/>
  <c r="BE38" i="13"/>
  <c r="P278" i="21"/>
  <c r="AT37" i="13"/>
  <c r="J275" i="21"/>
  <c r="AW38" i="13"/>
  <c r="P276" i="21"/>
  <c r="AW40" i="13"/>
  <c r="J305" i="21"/>
  <c r="AZ40" i="13"/>
  <c r="J306" i="21"/>
  <c r="BE39" i="13"/>
  <c r="D307" i="21"/>
  <c r="AT41" i="13"/>
  <c r="P304" i="21"/>
  <c r="AT39" i="13"/>
  <c r="D304" i="21"/>
  <c r="AZ43" i="13"/>
  <c r="J334" i="21"/>
  <c r="BE41" i="13"/>
  <c r="P307" i="21"/>
  <c r="BE40" i="13"/>
  <c r="J307" i="21"/>
  <c r="AT40" i="13"/>
  <c r="J304" i="21"/>
  <c r="AZ41" i="13"/>
  <c r="P306" i="21"/>
  <c r="AW41" i="13"/>
  <c r="P305" i="21"/>
  <c r="AT42" i="13"/>
  <c r="D332" i="21"/>
  <c r="BE44" i="13"/>
  <c r="P335" i="21"/>
  <c r="BE43" i="13"/>
  <c r="J335" i="21"/>
  <c r="AZ42" i="13"/>
  <c r="D334" i="21"/>
  <c r="BE42" i="13"/>
  <c r="D335" i="21"/>
  <c r="AT43" i="13"/>
  <c r="J332" i="21"/>
  <c r="AW43" i="13"/>
  <c r="J333" i="21"/>
  <c r="AW42" i="13"/>
  <c r="D333" i="21"/>
  <c r="AT44" i="13"/>
  <c r="P332" i="21"/>
  <c r="AZ44" i="13"/>
  <c r="P334" i="21"/>
  <c r="AW44" i="13"/>
  <c r="P333" i="21"/>
  <c r="E1557" i="20"/>
  <c r="Q334" i="21"/>
  <c r="D1604" i="20"/>
  <c r="DZ38" i="24"/>
  <c r="BE38" i="24"/>
  <c r="BF38" i="24"/>
  <c r="DO38" i="24"/>
  <c r="EM38" i="24"/>
  <c r="CU38" i="24"/>
  <c r="CV38" i="24"/>
  <c r="AQ38" i="24"/>
  <c r="DC38" i="24"/>
  <c r="DD38" i="24"/>
  <c r="CO38" i="24"/>
  <c r="CA38" i="24"/>
  <c r="BR38" i="24"/>
  <c r="DI38" i="24"/>
  <c r="DY38" i="24"/>
  <c r="J38" i="24"/>
  <c r="G38" i="24"/>
  <c r="H38" i="24"/>
  <c r="BQ38" i="24"/>
  <c r="EG38" i="24"/>
  <c r="EH38" i="24"/>
  <c r="DF38" i="24"/>
  <c r="EC38" i="24"/>
  <c r="EJ38" i="24"/>
  <c r="BG38" i="24"/>
  <c r="DS38" i="24"/>
  <c r="AD38" i="24"/>
  <c r="DW38" i="24"/>
  <c r="DX38" i="24"/>
  <c r="AK38" i="24"/>
  <c r="AL38" i="24"/>
  <c r="Q38" i="24"/>
  <c r="R38" i="24"/>
  <c r="CB38" i="24"/>
  <c r="BA38" i="24"/>
  <c r="AX38" i="24"/>
  <c r="W38" i="24"/>
  <c r="CI38" i="24"/>
  <c r="CJ38" i="24"/>
  <c r="AC38" i="24"/>
  <c r="DP38" i="24"/>
  <c r="T38" i="24"/>
  <c r="I38" i="24"/>
  <c r="BY38" i="24"/>
  <c r="BZ38" i="24"/>
  <c r="EI38" i="24"/>
  <c r="AG38" i="24"/>
  <c r="CE38" i="24"/>
  <c r="BK38" i="24"/>
  <c r="S38" i="24"/>
  <c r="CL38" i="24"/>
  <c r="AM38" i="24"/>
  <c r="CY38" i="24"/>
  <c r="BU38" i="24"/>
  <c r="CS38" i="24"/>
  <c r="CT38" i="24"/>
  <c r="AW38" i="24"/>
  <c r="BH38" i="24"/>
  <c r="AA38" i="24"/>
  <c r="AB38" i="24"/>
  <c r="CK38" i="24"/>
  <c r="M38" i="24"/>
  <c r="AU38" i="24"/>
  <c r="AV38" i="24"/>
  <c r="AN38" i="24"/>
  <c r="DM38" i="24"/>
  <c r="DN38" i="24"/>
  <c r="DE38" i="24"/>
  <c r="BO38" i="24"/>
  <c r="BP38" i="24"/>
  <c r="K332" i="21"/>
  <c r="D1557" i="20"/>
  <c r="E1512" i="20"/>
  <c r="F332" i="21"/>
  <c r="E1558" i="20"/>
  <c r="L333" i="21"/>
  <c r="C46" i="10"/>
  <c r="E46" i="10"/>
  <c r="D46" i="10"/>
  <c r="M46" i="10"/>
  <c r="P46" i="10"/>
  <c r="F46" i="10"/>
  <c r="I46" i="10"/>
  <c r="B46" i="10"/>
  <c r="K46" i="10"/>
  <c r="G46" i="10"/>
  <c r="A47" i="10"/>
  <c r="H46" i="10"/>
  <c r="J46" i="10"/>
  <c r="L46" i="10"/>
  <c r="U37" i="24"/>
  <c r="V37" i="24"/>
  <c r="D999" i="25"/>
  <c r="C999" i="25"/>
  <c r="AE37" i="24"/>
  <c r="AF37" i="24"/>
  <c r="D1000" i="25"/>
  <c r="C1000" i="25"/>
  <c r="AO37" i="24"/>
  <c r="AP37" i="24"/>
  <c r="D1001" i="25"/>
  <c r="C1001" i="25"/>
  <c r="EA37" i="24"/>
  <c r="EB37" i="24"/>
  <c r="D1010" i="25"/>
  <c r="C1010" i="25"/>
  <c r="BB44" i="13"/>
  <c r="R305" i="21"/>
  <c r="E1468" i="20"/>
  <c r="E1059" i="25"/>
  <c r="D1058" i="25"/>
  <c r="C1056" i="25"/>
  <c r="F1057" i="25"/>
  <c r="D1063" i="25"/>
  <c r="F1062" i="25"/>
  <c r="E1058" i="25"/>
  <c r="D1057" i="25"/>
  <c r="D1052" i="25"/>
  <c r="E1069" i="25"/>
  <c r="D1056" i="25"/>
  <c r="E1065" i="25"/>
  <c r="C1058" i="25"/>
  <c r="D1067" i="25"/>
  <c r="F1063" i="25"/>
  <c r="C1068" i="25"/>
  <c r="F1060" i="25"/>
  <c r="E1068" i="25"/>
  <c r="C1069" i="25"/>
  <c r="B1103" i="25"/>
  <c r="D1069" i="25"/>
  <c r="C1067" i="25"/>
  <c r="F1056" i="25"/>
  <c r="E1061" i="25"/>
  <c r="C1062" i="25"/>
  <c r="D1068" i="25"/>
  <c r="F1067" i="25"/>
  <c r="D1059" i="25"/>
  <c r="F1061" i="25"/>
  <c r="E1067" i="25"/>
  <c r="D1066" i="25"/>
  <c r="C1064" i="25"/>
  <c r="F1059" i="25"/>
  <c r="E1060" i="25"/>
  <c r="C1061" i="25"/>
  <c r="E1066" i="25"/>
  <c r="D1065" i="25"/>
  <c r="C1063" i="25"/>
  <c r="F1053" i="25"/>
  <c r="E1057" i="25"/>
  <c r="F1068" i="25"/>
  <c r="D1060" i="25"/>
  <c r="F1065" i="25"/>
  <c r="C1065" i="25"/>
  <c r="E1063" i="25"/>
  <c r="D1062" i="25"/>
  <c r="C1060" i="25"/>
  <c r="F1058" i="25"/>
  <c r="E1056" i="25"/>
  <c r="F1064" i="25"/>
  <c r="E1062" i="25"/>
  <c r="D1061" i="25"/>
  <c r="C1059" i="25"/>
  <c r="F1069" i="25"/>
  <c r="D1064" i="25"/>
  <c r="F1066" i="25"/>
  <c r="C1066" i="25"/>
  <c r="E1064" i="25"/>
  <c r="C1057" i="25"/>
  <c r="D348" i="21"/>
  <c r="E348" i="21"/>
  <c r="E357" i="21"/>
  <c r="D354" i="21"/>
  <c r="F355" i="21"/>
  <c r="D356" i="21"/>
  <c r="F354" i="21"/>
  <c r="D361" i="21"/>
  <c r="B366" i="21"/>
  <c r="D360" i="21"/>
  <c r="E359" i="21"/>
  <c r="F347" i="21"/>
  <c r="D364" i="21"/>
  <c r="F349" i="21"/>
  <c r="D351" i="21"/>
  <c r="F357" i="21"/>
  <c r="E350" i="21"/>
  <c r="E345" i="21"/>
  <c r="F363" i="21"/>
  <c r="D352" i="21"/>
  <c r="F362" i="21"/>
  <c r="E358" i="21"/>
  <c r="C344" i="21"/>
  <c r="F356" i="21"/>
  <c r="E361" i="21"/>
  <c r="B368" i="21"/>
  <c r="F353" i="21"/>
  <c r="D359" i="21"/>
  <c r="E362" i="21"/>
  <c r="F360" i="21"/>
  <c r="F348" i="21"/>
  <c r="D350" i="21"/>
  <c r="F361" i="21"/>
  <c r="H344" i="21"/>
  <c r="E356" i="21"/>
  <c r="D353" i="21"/>
  <c r="E353" i="21"/>
  <c r="E349" i="21"/>
  <c r="D357" i="21"/>
  <c r="E351" i="21"/>
  <c r="D363" i="21"/>
  <c r="E347" i="21"/>
  <c r="D347" i="21"/>
  <c r="F364" i="21"/>
  <c r="B345" i="21"/>
  <c r="E352" i="21"/>
  <c r="E354" i="21"/>
  <c r="D362" i="21"/>
  <c r="F352" i="21"/>
  <c r="B367" i="21"/>
  <c r="E364" i="21"/>
  <c r="E363" i="21"/>
  <c r="E360" i="21"/>
  <c r="F350" i="21"/>
  <c r="B369" i="21"/>
  <c r="E355" i="21"/>
  <c r="F358" i="21"/>
  <c r="D355" i="21"/>
  <c r="D358" i="21"/>
  <c r="D349" i="21"/>
  <c r="F351" i="21"/>
  <c r="F359" i="21"/>
  <c r="CP37" i="24"/>
  <c r="CQ37" i="24"/>
  <c r="F1006" i="25"/>
  <c r="E1006" i="25"/>
  <c r="DJ37" i="24"/>
  <c r="DK37" i="24"/>
  <c r="F1008" i="25"/>
  <c r="E1008" i="25"/>
  <c r="K37" i="24"/>
  <c r="L37" i="24"/>
  <c r="D998" i="25"/>
  <c r="C998" i="25"/>
  <c r="X37" i="24"/>
  <c r="Y37" i="24"/>
  <c r="F999" i="25"/>
  <c r="E999" i="25"/>
  <c r="DT37" i="24"/>
  <c r="DU37" i="24"/>
  <c r="F1009" i="25"/>
  <c r="E1009" i="25"/>
  <c r="BI37" i="24"/>
  <c r="BJ37" i="24"/>
  <c r="D1003" i="25"/>
  <c r="C1003" i="25"/>
  <c r="V43" i="18"/>
  <c r="AV44" i="13"/>
  <c r="D1470" i="20"/>
  <c r="Q307" i="21"/>
  <c r="E1559" i="20"/>
  <c r="L334" i="21"/>
  <c r="CW37" i="24"/>
  <c r="CX37" i="24"/>
  <c r="D1007" i="25"/>
  <c r="C1007" i="25"/>
  <c r="DG37" i="24"/>
  <c r="DH37" i="24"/>
  <c r="D1008" i="25"/>
  <c r="C1008" i="25"/>
  <c r="DQ37" i="24"/>
  <c r="DR37" i="24"/>
  <c r="D1009" i="25"/>
  <c r="C1009" i="25"/>
  <c r="CM37" i="24"/>
  <c r="CN37" i="24"/>
  <c r="D1006" i="25"/>
  <c r="C1006" i="25"/>
  <c r="AH41" i="11"/>
  <c r="AX42" i="13"/>
  <c r="Y41" i="11"/>
  <c r="BF42" i="13"/>
  <c r="K307" i="21"/>
  <c r="D1425" i="20"/>
  <c r="BV37" i="24"/>
  <c r="BW37" i="24"/>
  <c r="F1004" i="25"/>
  <c r="E1004" i="25"/>
  <c r="CZ37" i="24"/>
  <c r="DA37" i="24"/>
  <c r="F1007" i="25"/>
  <c r="E1007" i="25"/>
  <c r="BS37" i="24"/>
  <c r="BT37" i="24"/>
  <c r="D1004" i="25"/>
  <c r="C1004" i="25"/>
  <c r="K44" i="18"/>
  <c r="I44" i="18"/>
  <c r="L44" i="18"/>
  <c r="M44" i="18"/>
  <c r="U44" i="18"/>
  <c r="H44" i="18"/>
  <c r="D44" i="18"/>
  <c r="AG44" i="18"/>
  <c r="N44" i="18"/>
  <c r="R44" i="18"/>
  <c r="S44" i="18"/>
  <c r="A45" i="18"/>
  <c r="E44" i="18"/>
  <c r="J44" i="18"/>
  <c r="P44" i="18"/>
  <c r="Y44" i="18"/>
  <c r="T44" i="18"/>
  <c r="B44" i="18"/>
  <c r="Q44" i="18"/>
  <c r="O44" i="18"/>
  <c r="F44" i="18"/>
  <c r="AB44" i="18"/>
  <c r="C44" i="18"/>
  <c r="G44" i="18"/>
  <c r="CF37" i="24"/>
  <c r="CG37" i="24"/>
  <c r="F1005" i="25"/>
  <c r="E1005" i="25"/>
  <c r="CC37" i="24"/>
  <c r="CD37" i="24"/>
  <c r="D1005" i="25"/>
  <c r="C1005" i="25"/>
  <c r="AR37" i="24"/>
  <c r="AS37" i="24"/>
  <c r="F1001" i="25"/>
  <c r="E1001" i="25"/>
  <c r="D1512" i="20"/>
  <c r="E332" i="21"/>
  <c r="AI41" i="18"/>
  <c r="AY42" i="13"/>
  <c r="Y41" i="18"/>
  <c r="BC42" i="13"/>
  <c r="W42" i="11"/>
  <c r="AH42" i="11"/>
  <c r="AA42" i="11"/>
  <c r="EK37" i="24"/>
  <c r="EL37" i="24"/>
  <c r="D1011" i="25"/>
  <c r="C1011" i="25"/>
  <c r="BH39" i="24"/>
  <c r="BI39" i="24"/>
  <c r="BJ39" i="24"/>
  <c r="I39" i="24"/>
  <c r="AQ39" i="24"/>
  <c r="AR39" i="24"/>
  <c r="AS39" i="24"/>
  <c r="BY39" i="24"/>
  <c r="BZ39" i="24"/>
  <c r="DC39" i="24"/>
  <c r="DD39" i="24"/>
  <c r="EI39" i="24"/>
  <c r="CO39" i="24"/>
  <c r="CP39" i="24"/>
  <c r="CQ39" i="24"/>
  <c r="BR39" i="24"/>
  <c r="BS39" i="24"/>
  <c r="BT39" i="24"/>
  <c r="E39" i="24"/>
  <c r="AU39" i="24"/>
  <c r="AV39" i="24"/>
  <c r="CS39" i="24"/>
  <c r="CT39" i="24"/>
  <c r="EM39" i="24"/>
  <c r="EN39" i="24"/>
  <c r="EO39" i="24"/>
  <c r="B40" i="24"/>
  <c r="Q39" i="24"/>
  <c r="R39" i="24"/>
  <c r="BK39" i="24"/>
  <c r="BL39" i="24"/>
  <c r="BM39" i="24"/>
  <c r="DE39" i="24"/>
  <c r="AG39" i="24"/>
  <c r="AH39" i="24"/>
  <c r="AI39" i="24"/>
  <c r="D39" i="24"/>
  <c r="AN39" i="24"/>
  <c r="AO39" i="24"/>
  <c r="AP39" i="24"/>
  <c r="CB39" i="24"/>
  <c r="CC39" i="24"/>
  <c r="CD39" i="24"/>
  <c r="DP39" i="24"/>
  <c r="DQ39" i="24"/>
  <c r="DR39" i="24"/>
  <c r="F39" i="24"/>
  <c r="D1053" i="25"/>
  <c r="S39" i="24"/>
  <c r="AK39" i="24"/>
  <c r="AL39" i="24"/>
  <c r="AW39" i="24"/>
  <c r="BO39" i="24"/>
  <c r="BP39" i="24"/>
  <c r="CE39" i="24"/>
  <c r="CF39" i="24"/>
  <c r="CG39" i="24"/>
  <c r="CU39" i="24"/>
  <c r="DM39" i="24"/>
  <c r="DN39" i="24"/>
  <c r="DY39" i="24"/>
  <c r="EC39" i="24"/>
  <c r="ED39" i="24"/>
  <c r="EE39" i="24"/>
  <c r="BA39" i="24"/>
  <c r="BB39" i="24"/>
  <c r="BC39" i="24"/>
  <c r="J39" i="24"/>
  <c r="K39" i="24"/>
  <c r="L39" i="24"/>
  <c r="AX39" i="24"/>
  <c r="AY39" i="24"/>
  <c r="AZ39" i="24"/>
  <c r="CL39" i="24"/>
  <c r="CM39" i="24"/>
  <c r="CN39" i="24"/>
  <c r="DZ39" i="24"/>
  <c r="EA39" i="24"/>
  <c r="EB39" i="24"/>
  <c r="G39" i="24"/>
  <c r="H39" i="24"/>
  <c r="W39" i="24"/>
  <c r="X39" i="24"/>
  <c r="Y39" i="24"/>
  <c r="AM39" i="24"/>
  <c r="BE39" i="24"/>
  <c r="BF39" i="24"/>
  <c r="BQ39" i="24"/>
  <c r="CI39" i="24"/>
  <c r="CJ39" i="24"/>
  <c r="CY39" i="24"/>
  <c r="CZ39" i="24"/>
  <c r="DA39" i="24"/>
  <c r="DO39" i="24"/>
  <c r="EG39" i="24"/>
  <c r="EH39" i="24"/>
  <c r="C39" i="24"/>
  <c r="BU39" i="24"/>
  <c r="BV39" i="24"/>
  <c r="BW39" i="24"/>
  <c r="T39" i="24"/>
  <c r="U39" i="24"/>
  <c r="V39" i="24"/>
  <c r="CV39" i="24"/>
  <c r="CW39" i="24"/>
  <c r="CX39" i="24"/>
  <c r="EJ39" i="24"/>
  <c r="EK39" i="24"/>
  <c r="EL39" i="24"/>
  <c r="AA39" i="24"/>
  <c r="AB39" i="24"/>
  <c r="BG39" i="24"/>
  <c r="CK39" i="24"/>
  <c r="DS39" i="24"/>
  <c r="DT39" i="24"/>
  <c r="DU39" i="24"/>
  <c r="M39" i="24"/>
  <c r="N39" i="24"/>
  <c r="O39" i="24"/>
  <c r="AD39" i="24"/>
  <c r="AE39" i="24"/>
  <c r="AF39" i="24"/>
  <c r="DF39" i="24"/>
  <c r="DG39" i="24"/>
  <c r="DH39" i="24"/>
  <c r="AC39" i="24"/>
  <c r="CA39" i="24"/>
  <c r="DW39" i="24"/>
  <c r="DX39" i="24"/>
  <c r="DI39" i="24"/>
  <c r="DJ39" i="24"/>
  <c r="DK39" i="24"/>
  <c r="BL37" i="24"/>
  <c r="BM37" i="24"/>
  <c r="F1003" i="25"/>
  <c r="E1003" i="25"/>
  <c r="AH37" i="24"/>
  <c r="AI37" i="24"/>
  <c r="F1000" i="25"/>
  <c r="E1000" i="25"/>
  <c r="K334" i="21"/>
  <c r="D1559" i="20"/>
  <c r="V43" i="11"/>
  <c r="R44" i="11"/>
  <c r="S44" i="11"/>
  <c r="D44" i="11"/>
  <c r="F44" i="11"/>
  <c r="K44" i="11"/>
  <c r="N44" i="11"/>
  <c r="U44" i="11"/>
  <c r="O44" i="11"/>
  <c r="T44" i="11"/>
  <c r="Q44" i="11"/>
  <c r="G44" i="11"/>
  <c r="P44" i="11"/>
  <c r="AA44" i="11"/>
  <c r="I44" i="11"/>
  <c r="B44" i="11"/>
  <c r="C44" i="11"/>
  <c r="M44" i="11"/>
  <c r="J44" i="11"/>
  <c r="E44" i="11"/>
  <c r="Y44" i="11"/>
  <c r="BF45" i="13"/>
  <c r="D1650" i="20"/>
  <c r="A45" i="11"/>
  <c r="AG44" i="11"/>
  <c r="L44" i="11"/>
  <c r="H44" i="11"/>
  <c r="EN37" i="24"/>
  <c r="EO37" i="24"/>
  <c r="F1011" i="25"/>
  <c r="E1011" i="25"/>
  <c r="ED37" i="24"/>
  <c r="EE37" i="24"/>
  <c r="F1010" i="25"/>
  <c r="E1010" i="25"/>
  <c r="Q305" i="21"/>
  <c r="D1468" i="20"/>
  <c r="AY37" i="24"/>
  <c r="AZ37" i="24"/>
  <c r="D1002" i="25"/>
  <c r="C1002" i="25"/>
  <c r="N37" i="24"/>
  <c r="O37" i="24"/>
  <c r="F998" i="25"/>
  <c r="E998" i="25"/>
  <c r="BB37" i="24"/>
  <c r="BC37" i="24"/>
  <c r="F1002" i="25"/>
  <c r="E1002" i="25"/>
  <c r="B45" i="13"/>
  <c r="AB45" i="13"/>
  <c r="AJ45" i="13"/>
  <c r="V45" i="13"/>
  <c r="C1639" i="20"/>
  <c r="Q45" i="13"/>
  <c r="E45" i="13"/>
  <c r="AQ45" i="13"/>
  <c r="AI45" i="13"/>
  <c r="D1643" i="20"/>
  <c r="C45" i="13"/>
  <c r="J45" i="13"/>
  <c r="I45" i="13"/>
  <c r="AH45" i="13"/>
  <c r="C1643" i="20"/>
  <c r="F45" i="13"/>
  <c r="AF45" i="13"/>
  <c r="X45" i="13"/>
  <c r="AR45" i="13"/>
  <c r="AG45" i="13"/>
  <c r="E1642" i="20"/>
  <c r="AS45" i="13"/>
  <c r="AN45" i="13"/>
  <c r="AP45" i="13"/>
  <c r="E1645" i="20"/>
  <c r="AK45" i="13"/>
  <c r="AC45" i="13"/>
  <c r="P45" i="13"/>
  <c r="C1637" i="20"/>
  <c r="S45" i="13"/>
  <c r="C1638" i="20"/>
  <c r="AE45" i="13"/>
  <c r="AL45" i="13"/>
  <c r="U45" i="13"/>
  <c r="E1638" i="20"/>
  <c r="T45" i="13"/>
  <c r="D1638" i="20"/>
  <c r="AA45" i="13"/>
  <c r="W45" i="13"/>
  <c r="AO45" i="13"/>
  <c r="M45" i="13"/>
  <c r="C1636" i="20"/>
  <c r="BL45" i="13"/>
  <c r="G45" i="13"/>
  <c r="O45" i="13"/>
  <c r="E1636" i="20"/>
  <c r="AD45" i="13"/>
  <c r="E1641" i="20"/>
  <c r="Y45" i="13"/>
  <c r="L45" i="13"/>
  <c r="R45" i="13"/>
  <c r="E1637" i="20"/>
  <c r="Z45" i="13"/>
  <c r="H45" i="13"/>
  <c r="AM45" i="13"/>
  <c r="E1644" i="20"/>
  <c r="D45" i="13"/>
  <c r="C1633" i="20"/>
  <c r="K45" i="13"/>
  <c r="D1635" i="20"/>
  <c r="A46" i="13"/>
  <c r="N45" i="13"/>
  <c r="D1636" i="20"/>
  <c r="BB45" i="13"/>
  <c r="E1649" i="20"/>
  <c r="BA45" i="13"/>
  <c r="D1649" i="20"/>
  <c r="BC41" i="13"/>
  <c r="AI42" i="18"/>
  <c r="Y42" i="18"/>
  <c r="BC43" i="13"/>
  <c r="C1644" i="20"/>
  <c r="C1634" i="20"/>
  <c r="D1633" i="20"/>
  <c r="C1640" i="20"/>
  <c r="D1639" i="20"/>
  <c r="A1655" i="20"/>
  <c r="E1635" i="20"/>
  <c r="D1634" i="20"/>
  <c r="F1711" i="20"/>
  <c r="C1646" i="20"/>
  <c r="D1645" i="20"/>
  <c r="A1654" i="20"/>
  <c r="C1641" i="20"/>
  <c r="E1646" i="20"/>
  <c r="E1640" i="20"/>
  <c r="C1629" i="20"/>
  <c r="C1628" i="20"/>
  <c r="C1645" i="20"/>
  <c r="D1642" i="20"/>
  <c r="C1642" i="20"/>
  <c r="E1634" i="20"/>
  <c r="D1644" i="20"/>
  <c r="C1635" i="20"/>
  <c r="E1629" i="20"/>
  <c r="E1639" i="20"/>
  <c r="E1633" i="20"/>
  <c r="D1646" i="20"/>
  <c r="A1656" i="20"/>
  <c r="D1637" i="20"/>
  <c r="D1640" i="20"/>
  <c r="D1641" i="20"/>
  <c r="A1653" i="20"/>
  <c r="E1643" i="20"/>
  <c r="AA8" i="4"/>
  <c r="AA9" i="4"/>
  <c r="AA10" i="4"/>
  <c r="AA11" i="4"/>
  <c r="AA12" i="4"/>
  <c r="AA14" i="4"/>
  <c r="AA13" i="4"/>
  <c r="AA15" i="4"/>
  <c r="AA16" i="4"/>
  <c r="AA17" i="4"/>
  <c r="AA19" i="4"/>
  <c r="AA18" i="4"/>
  <c r="AA21" i="4"/>
  <c r="AA20" i="4"/>
  <c r="AA22" i="4"/>
  <c r="AA23" i="4"/>
  <c r="AA24" i="4"/>
  <c r="AA26" i="4"/>
  <c r="AA25" i="4"/>
  <c r="AA27" i="4"/>
  <c r="AA29" i="4"/>
  <c r="AA28" i="4"/>
  <c r="AA30" i="4"/>
  <c r="AA31" i="4"/>
  <c r="AA32" i="4"/>
  <c r="AA34" i="4"/>
  <c r="AA33" i="4"/>
  <c r="AA35" i="4"/>
  <c r="AA36" i="4"/>
  <c r="AA37" i="4"/>
  <c r="AA39" i="4"/>
  <c r="AA38" i="4"/>
  <c r="AA41" i="4"/>
  <c r="AA43" i="4"/>
  <c r="AA40" i="4"/>
  <c r="AA42" i="4"/>
  <c r="P77" i="4"/>
  <c r="C28" i="20"/>
  <c r="C73" i="20"/>
  <c r="C118" i="20"/>
  <c r="C163" i="20"/>
  <c r="C208" i="20"/>
  <c r="C253" i="20"/>
  <c r="C298" i="20"/>
  <c r="C343" i="20"/>
  <c r="C388" i="20"/>
  <c r="C433" i="20"/>
  <c r="C478" i="20"/>
  <c r="C523" i="20"/>
  <c r="C568" i="20"/>
  <c r="C613" i="20"/>
  <c r="C658" i="20"/>
  <c r="C703" i="20"/>
  <c r="C748" i="20"/>
  <c r="C793" i="20"/>
  <c r="C838" i="20"/>
  <c r="C883" i="20"/>
  <c r="C928" i="20"/>
  <c r="C973" i="20"/>
  <c r="C1018" i="20"/>
  <c r="C1063" i="20"/>
  <c r="C1108" i="20"/>
  <c r="C1153" i="20"/>
  <c r="C1198" i="20"/>
  <c r="C1243" i="20"/>
  <c r="C1288" i="20"/>
  <c r="C1333" i="20"/>
  <c r="C1378" i="20"/>
  <c r="C1423" i="20"/>
  <c r="C1468" i="20"/>
  <c r="C1513" i="20"/>
  <c r="C1558" i="20"/>
  <c r="C1603" i="20"/>
  <c r="D51" i="29"/>
  <c r="D47" i="29"/>
  <c r="D42" i="29"/>
  <c r="D38" i="29"/>
  <c r="D54" i="29"/>
  <c r="C51" i="29"/>
  <c r="C47" i="29"/>
  <c r="C44" i="29"/>
  <c r="D50" i="29"/>
  <c r="D46" i="29"/>
  <c r="D41" i="29"/>
  <c r="D37" i="29"/>
  <c r="C54" i="29"/>
  <c r="C50" i="29"/>
  <c r="C46" i="29"/>
  <c r="C43" i="29"/>
  <c r="B88" i="29"/>
  <c r="D53" i="29"/>
  <c r="D44" i="29"/>
  <c r="C49" i="29"/>
  <c r="C42" i="29"/>
  <c r="D52" i="29"/>
  <c r="D43" i="29"/>
  <c r="C48" i="29"/>
  <c r="C41" i="29"/>
  <c r="D49" i="29"/>
  <c r="F38" i="29"/>
  <c r="C53" i="29"/>
  <c r="D45" i="29"/>
  <c r="D48" i="29"/>
  <c r="C52" i="29"/>
  <c r="C45" i="29"/>
  <c r="AH61" i="4"/>
  <c r="P76" i="4"/>
  <c r="W62" i="4"/>
  <c r="AH62" i="4"/>
  <c r="T13" i="16"/>
  <c r="P78" i="4"/>
  <c r="C30" i="20"/>
  <c r="C75" i="20"/>
  <c r="C120" i="20"/>
  <c r="C165" i="20"/>
  <c r="C210" i="20"/>
  <c r="C255" i="20"/>
  <c r="C300" i="20"/>
  <c r="C345" i="20"/>
  <c r="C390" i="20"/>
  <c r="C435" i="20"/>
  <c r="C480" i="20"/>
  <c r="C525" i="20"/>
  <c r="C570" i="20"/>
  <c r="C615" i="20"/>
  <c r="C660" i="20"/>
  <c r="C705" i="20"/>
  <c r="C750" i="20"/>
  <c r="C795" i="20"/>
  <c r="C840" i="20"/>
  <c r="C885" i="20"/>
  <c r="C930" i="20"/>
  <c r="C975" i="20"/>
  <c r="C1020" i="20"/>
  <c r="C1065" i="20"/>
  <c r="C1110" i="20"/>
  <c r="C1155" i="20"/>
  <c r="C1200" i="20"/>
  <c r="C1245" i="20"/>
  <c r="C1290" i="20"/>
  <c r="C1335" i="20"/>
  <c r="C1380" i="20"/>
  <c r="C1425" i="20"/>
  <c r="C1470" i="20"/>
  <c r="C1515" i="20"/>
  <c r="C1560" i="20"/>
  <c r="C1605" i="20"/>
  <c r="C29" i="20"/>
  <c r="C74" i="20"/>
  <c r="C119" i="20"/>
  <c r="C164" i="20"/>
  <c r="C209" i="20"/>
  <c r="C254" i="20"/>
  <c r="C299" i="20"/>
  <c r="C344" i="20"/>
  <c r="C389" i="20"/>
  <c r="C434" i="20"/>
  <c r="C479" i="20"/>
  <c r="C524" i="20"/>
  <c r="C569" i="20"/>
  <c r="C614" i="20"/>
  <c r="C659" i="20"/>
  <c r="C704" i="20"/>
  <c r="C749" i="20"/>
  <c r="C794" i="20"/>
  <c r="C839" i="20"/>
  <c r="C884" i="20"/>
  <c r="C929" i="20"/>
  <c r="C974" i="20"/>
  <c r="C1019" i="20"/>
  <c r="C1064" i="20"/>
  <c r="C1109" i="20"/>
  <c r="C1154" i="20"/>
  <c r="C1199" i="20"/>
  <c r="C1244" i="20"/>
  <c r="C1289" i="20"/>
  <c r="C1334" i="20"/>
  <c r="C1379" i="20"/>
  <c r="C1424" i="20"/>
  <c r="C1469" i="20"/>
  <c r="C1514" i="20"/>
  <c r="C1559" i="20"/>
  <c r="C1604" i="20"/>
  <c r="C27" i="20"/>
  <c r="C72" i="20"/>
  <c r="C117" i="20"/>
  <c r="C162" i="20"/>
  <c r="C207" i="20"/>
  <c r="C252" i="20"/>
  <c r="C297" i="20"/>
  <c r="C342" i="20"/>
  <c r="C387" i="20"/>
  <c r="C432" i="20"/>
  <c r="C477" i="20"/>
  <c r="C522" i="20"/>
  <c r="C567" i="20"/>
  <c r="C612" i="20"/>
  <c r="C657" i="20"/>
  <c r="C702" i="20"/>
  <c r="C747" i="20"/>
  <c r="C792" i="20"/>
  <c r="C837" i="20"/>
  <c r="C882" i="20"/>
  <c r="C927" i="20"/>
  <c r="C972" i="20"/>
  <c r="C1017" i="20"/>
  <c r="C1062" i="20"/>
  <c r="C1107" i="20"/>
  <c r="C1152" i="20"/>
  <c r="C1197" i="20"/>
  <c r="C1242" i="20"/>
  <c r="C1287" i="20"/>
  <c r="C1332" i="20"/>
  <c r="C1377" i="20"/>
  <c r="C1422" i="20"/>
  <c r="C1467" i="20"/>
  <c r="C1512" i="20"/>
  <c r="C1557" i="20"/>
  <c r="C1602" i="20"/>
  <c r="F12" i="30"/>
  <c r="D12" i="30"/>
  <c r="A13" i="30"/>
  <c r="C12" i="30"/>
  <c r="E12" i="30"/>
  <c r="B12" i="30"/>
  <c r="E1602" i="20"/>
  <c r="R332" i="21"/>
  <c r="AI42" i="11"/>
  <c r="Y42" i="11"/>
  <c r="BF43" i="13"/>
  <c r="AX43" i="13"/>
  <c r="F333" i="21"/>
  <c r="E1513" i="20"/>
  <c r="J347" i="21"/>
  <c r="L356" i="21"/>
  <c r="K355" i="21"/>
  <c r="K345" i="21"/>
  <c r="H345" i="21"/>
  <c r="J358" i="21"/>
  <c r="K347" i="21"/>
  <c r="J350" i="21"/>
  <c r="J352" i="21"/>
  <c r="K350" i="21"/>
  <c r="L347" i="21"/>
  <c r="H367" i="21"/>
  <c r="J361" i="21"/>
  <c r="K363" i="21"/>
  <c r="L349" i="21"/>
  <c r="K362" i="21"/>
  <c r="N344" i="21"/>
  <c r="L353" i="21"/>
  <c r="J348" i="21"/>
  <c r="H369" i="21"/>
  <c r="K361" i="21"/>
  <c r="H366" i="21"/>
  <c r="J351" i="21"/>
  <c r="I344" i="21"/>
  <c r="K351" i="21"/>
  <c r="L350" i="21"/>
  <c r="K353" i="21"/>
  <c r="J364" i="21"/>
  <c r="K360" i="21"/>
  <c r="K352" i="21"/>
  <c r="H368" i="21"/>
  <c r="L355" i="21"/>
  <c r="K356" i="21"/>
  <c r="K348" i="21"/>
  <c r="L362" i="21"/>
  <c r="J362" i="21"/>
  <c r="J349" i="21"/>
  <c r="J355" i="21"/>
  <c r="K359" i="21"/>
  <c r="L361" i="21"/>
  <c r="L357" i="21"/>
  <c r="J353" i="21"/>
  <c r="L351" i="21"/>
  <c r="J360" i="21"/>
  <c r="L352" i="21"/>
  <c r="L360" i="21"/>
  <c r="K354" i="21"/>
  <c r="K349" i="21"/>
  <c r="L359" i="21"/>
  <c r="J356" i="21"/>
  <c r="J354" i="21"/>
  <c r="J357" i="21"/>
  <c r="L363" i="21"/>
  <c r="J359" i="21"/>
  <c r="J363" i="21"/>
  <c r="K358" i="21"/>
  <c r="L364" i="21"/>
  <c r="L348" i="21"/>
  <c r="L358" i="21"/>
  <c r="L354" i="21"/>
  <c r="K357" i="21"/>
  <c r="K364" i="21"/>
  <c r="E1604" i="20"/>
  <c r="R334" i="21"/>
  <c r="AO38" i="24"/>
  <c r="AP38" i="24"/>
  <c r="D1030" i="25"/>
  <c r="C1030" i="25"/>
  <c r="BV38" i="24"/>
  <c r="BW38" i="24"/>
  <c r="F1033" i="25"/>
  <c r="E1033" i="25"/>
  <c r="DQ38" i="24"/>
  <c r="DR38" i="24"/>
  <c r="D1038" i="25"/>
  <c r="C1038" i="25"/>
  <c r="AY38" i="24"/>
  <c r="AZ38" i="24"/>
  <c r="D1031" i="25"/>
  <c r="C1031" i="25"/>
  <c r="CP38" i="24"/>
  <c r="CQ38" i="24"/>
  <c r="F1035" i="25"/>
  <c r="E1035" i="25"/>
  <c r="EA38" i="24"/>
  <c r="EB38" i="24"/>
  <c r="D1039" i="25"/>
  <c r="C1039" i="25"/>
  <c r="E1560" i="20"/>
  <c r="L335" i="21"/>
  <c r="R307" i="21"/>
  <c r="E1470" i="20"/>
  <c r="V44" i="11"/>
  <c r="D1515" i="20"/>
  <c r="E335" i="21"/>
  <c r="C1094" i="25"/>
  <c r="D1087" i="25"/>
  <c r="D1098" i="25"/>
  <c r="D1097" i="25"/>
  <c r="C1095" i="25"/>
  <c r="F1094" i="25"/>
  <c r="E1091" i="25"/>
  <c r="D1092" i="25"/>
  <c r="C1090" i="25"/>
  <c r="F1089" i="25"/>
  <c r="E1086" i="25"/>
  <c r="C1088" i="25"/>
  <c r="B1132" i="25"/>
  <c r="C1097" i="25"/>
  <c r="F1096" i="25"/>
  <c r="D1082" i="25"/>
  <c r="D1090" i="25"/>
  <c r="F1091" i="25"/>
  <c r="D1085" i="25"/>
  <c r="F1098" i="25"/>
  <c r="E1092" i="25"/>
  <c r="F1093" i="25"/>
  <c r="E1087" i="25"/>
  <c r="E1095" i="25"/>
  <c r="C1085" i="25"/>
  <c r="D1081" i="25"/>
  <c r="D1093" i="25"/>
  <c r="C1091" i="25"/>
  <c r="F1090" i="25"/>
  <c r="E1090" i="25"/>
  <c r="D1088" i="25"/>
  <c r="C1086" i="25"/>
  <c r="F1085" i="25"/>
  <c r="E1085" i="25"/>
  <c r="F1095" i="25"/>
  <c r="D1095" i="25"/>
  <c r="C1093" i="25"/>
  <c r="F1092" i="25"/>
  <c r="E1098" i="25"/>
  <c r="D1086" i="25"/>
  <c r="E1096" i="25"/>
  <c r="D1089" i="25"/>
  <c r="C1087" i="25"/>
  <c r="F1086" i="25"/>
  <c r="E1089" i="25"/>
  <c r="C1098" i="25"/>
  <c r="F1097" i="25"/>
  <c r="E1088" i="25"/>
  <c r="D1094" i="25"/>
  <c r="F1087" i="25"/>
  <c r="D1091" i="25"/>
  <c r="C1089" i="25"/>
  <c r="F1088" i="25"/>
  <c r="E1097" i="25"/>
  <c r="C1092" i="25"/>
  <c r="E1094" i="25"/>
  <c r="D1096" i="25"/>
  <c r="C1096" i="25"/>
  <c r="F1082" i="25"/>
  <c r="E1093" i="25"/>
  <c r="G47" i="10"/>
  <c r="E47" i="10"/>
  <c r="M47" i="10"/>
  <c r="P47" i="10"/>
  <c r="D47" i="10"/>
  <c r="J47" i="10"/>
  <c r="F47" i="10"/>
  <c r="K47" i="10"/>
  <c r="C47" i="10"/>
  <c r="L47" i="10"/>
  <c r="I47" i="10"/>
  <c r="B47" i="10"/>
  <c r="A48" i="10"/>
  <c r="H47" i="10"/>
  <c r="BI38" i="24"/>
  <c r="BJ38" i="24"/>
  <c r="D1032" i="25"/>
  <c r="C1032" i="25"/>
  <c r="CZ38" i="24"/>
  <c r="DA38" i="24"/>
  <c r="F1036" i="25"/>
  <c r="E1036" i="25"/>
  <c r="BL38" i="24"/>
  <c r="BM38" i="24"/>
  <c r="F1032" i="25"/>
  <c r="E1032" i="25"/>
  <c r="BB38" i="24"/>
  <c r="BC38" i="24"/>
  <c r="F1031" i="25"/>
  <c r="E1031" i="25"/>
  <c r="EK38" i="24"/>
  <c r="EL38" i="24"/>
  <c r="D1040" i="25"/>
  <c r="C1040" i="25"/>
  <c r="DJ38" i="24"/>
  <c r="DK38" i="24"/>
  <c r="F1037" i="25"/>
  <c r="E1037" i="25"/>
  <c r="EN38" i="24"/>
  <c r="EO38" i="24"/>
  <c r="F1040" i="25"/>
  <c r="E1040" i="25"/>
  <c r="C1684" i="20"/>
  <c r="E1680" i="20"/>
  <c r="E1689" i="20"/>
  <c r="D1679" i="20"/>
  <c r="E1681" i="20"/>
  <c r="C1682" i="20"/>
  <c r="D1683" i="20"/>
  <c r="C1683" i="20"/>
  <c r="E1682" i="20"/>
  <c r="C1673" i="20"/>
  <c r="E1691" i="20"/>
  <c r="D1691" i="20"/>
  <c r="E1678" i="20"/>
  <c r="C1685" i="20"/>
  <c r="A1701" i="20"/>
  <c r="D1695" i="20"/>
  <c r="A1698" i="20"/>
  <c r="D1685" i="20"/>
  <c r="C1681" i="20"/>
  <c r="C1690" i="20"/>
  <c r="C1691" i="20"/>
  <c r="D1678" i="20"/>
  <c r="E1679" i="20"/>
  <c r="E1694" i="20"/>
  <c r="C1687" i="20"/>
  <c r="E1674" i="20"/>
  <c r="E1686" i="20"/>
  <c r="E1687" i="20"/>
  <c r="D1689" i="20"/>
  <c r="C1680" i="20"/>
  <c r="C1688" i="20"/>
  <c r="C1679" i="20"/>
  <c r="C1674" i="20"/>
  <c r="D1682" i="20"/>
  <c r="F1756" i="20"/>
  <c r="E1688" i="20"/>
  <c r="A1700" i="20"/>
  <c r="D1686" i="20"/>
  <c r="C1686" i="20"/>
  <c r="C1689" i="20"/>
  <c r="D1690" i="20"/>
  <c r="A1699" i="20"/>
  <c r="D1680" i="20"/>
  <c r="E1684" i="20"/>
  <c r="D1688" i="20"/>
  <c r="D1687" i="20"/>
  <c r="C1678" i="20"/>
  <c r="E1690" i="20"/>
  <c r="D1694" i="20"/>
  <c r="E1685" i="20"/>
  <c r="D1681" i="20"/>
  <c r="D1684" i="20"/>
  <c r="E1683" i="20"/>
  <c r="AD46" i="13"/>
  <c r="G46" i="13"/>
  <c r="BL46" i="13"/>
  <c r="AH46" i="13"/>
  <c r="Z46" i="13"/>
  <c r="AF46" i="13"/>
  <c r="AQ46" i="13"/>
  <c r="L46" i="13"/>
  <c r="AA46" i="13"/>
  <c r="P46" i="13"/>
  <c r="T46" i="13"/>
  <c r="AG46" i="13"/>
  <c r="AN46" i="13"/>
  <c r="AO46" i="13"/>
  <c r="AS46" i="13"/>
  <c r="BA46" i="13"/>
  <c r="K46" i="13"/>
  <c r="D46" i="13"/>
  <c r="B46" i="13"/>
  <c r="U46" i="13"/>
  <c r="AK46" i="13"/>
  <c r="BC46" i="13"/>
  <c r="AL46" i="13"/>
  <c r="S46" i="13"/>
  <c r="O46" i="13"/>
  <c r="AR46" i="13"/>
  <c r="AC46" i="13"/>
  <c r="X46" i="13"/>
  <c r="AP46" i="13"/>
  <c r="V46" i="13"/>
  <c r="W46" i="13"/>
  <c r="AJ46" i="13"/>
  <c r="E46" i="13"/>
  <c r="H46" i="13"/>
  <c r="AE46" i="13"/>
  <c r="J46" i="13"/>
  <c r="AB46" i="13"/>
  <c r="R46" i="13"/>
  <c r="F46" i="13"/>
  <c r="C46" i="13"/>
  <c r="AI46" i="13"/>
  <c r="A47" i="13"/>
  <c r="Q46" i="13"/>
  <c r="M46" i="13"/>
  <c r="AM46" i="13"/>
  <c r="I46" i="13"/>
  <c r="Y46" i="13"/>
  <c r="N46" i="13"/>
  <c r="BF46" i="13"/>
  <c r="BE46" i="13"/>
  <c r="AZ46" i="13"/>
  <c r="AT46" i="13"/>
  <c r="BC45" i="13"/>
  <c r="E1650" i="20"/>
  <c r="AW45" i="13"/>
  <c r="BE45" i="13"/>
  <c r="AZ45" i="13"/>
  <c r="AT45" i="13"/>
  <c r="V44" i="18"/>
  <c r="R45" i="18"/>
  <c r="S45" i="18"/>
  <c r="N45" i="18"/>
  <c r="O45" i="18"/>
  <c r="J45" i="18"/>
  <c r="Y45" i="18"/>
  <c r="AG45" i="18"/>
  <c r="D45" i="18"/>
  <c r="E45" i="18"/>
  <c r="G45" i="18"/>
  <c r="C45" i="18"/>
  <c r="Q45" i="18"/>
  <c r="B45" i="18"/>
  <c r="A46" i="18"/>
  <c r="K45" i="18"/>
  <c r="U45" i="18"/>
  <c r="I45" i="18"/>
  <c r="T45" i="18"/>
  <c r="L45" i="18"/>
  <c r="M45" i="18"/>
  <c r="AB45" i="18"/>
  <c r="H45" i="18"/>
  <c r="F45" i="18"/>
  <c r="P45" i="18"/>
  <c r="E333" i="21"/>
  <c r="D1513" i="20"/>
  <c r="N38" i="24"/>
  <c r="O38" i="24"/>
  <c r="F1027" i="25"/>
  <c r="E1027" i="25"/>
  <c r="CF38" i="24"/>
  <c r="CG38" i="24"/>
  <c r="F1034" i="25"/>
  <c r="E1034" i="25"/>
  <c r="CC38" i="24"/>
  <c r="CD38" i="24"/>
  <c r="D1034" i="25"/>
  <c r="C1034" i="25"/>
  <c r="AE38" i="24"/>
  <c r="AF38" i="24"/>
  <c r="D1029" i="25"/>
  <c r="C1029" i="25"/>
  <c r="ED38" i="24"/>
  <c r="EE38" i="24"/>
  <c r="F1039" i="25"/>
  <c r="E1039" i="25"/>
  <c r="BS38" i="24"/>
  <c r="BT38" i="24"/>
  <c r="D1033" i="25"/>
  <c r="C1033" i="25"/>
  <c r="AR38" i="24"/>
  <c r="AS38" i="24"/>
  <c r="F1030" i="25"/>
  <c r="E1030" i="25"/>
  <c r="N45" i="11"/>
  <c r="J45" i="11"/>
  <c r="U45" i="11"/>
  <c r="M45" i="11"/>
  <c r="P45" i="11"/>
  <c r="G45" i="11"/>
  <c r="D45" i="11"/>
  <c r="C45" i="11"/>
  <c r="B45" i="11"/>
  <c r="AG45" i="11"/>
  <c r="H45" i="11"/>
  <c r="R45" i="11"/>
  <c r="S45" i="11"/>
  <c r="F45" i="11"/>
  <c r="I45" i="11"/>
  <c r="T45" i="11"/>
  <c r="O45" i="11"/>
  <c r="AA45" i="11"/>
  <c r="A46" i="11"/>
  <c r="K45" i="11"/>
  <c r="E45" i="11"/>
  <c r="Q45" i="11"/>
  <c r="L45" i="11"/>
  <c r="Y45" i="11"/>
  <c r="W43" i="11"/>
  <c r="AI43" i="11"/>
  <c r="AA43" i="11"/>
  <c r="J40" i="24"/>
  <c r="K40" i="24"/>
  <c r="L40" i="24"/>
  <c r="AX40" i="24"/>
  <c r="AY40" i="24"/>
  <c r="AZ40" i="24"/>
  <c r="CL40" i="24"/>
  <c r="CM40" i="24"/>
  <c r="CN40" i="24"/>
  <c r="DZ40" i="24"/>
  <c r="EA40" i="24"/>
  <c r="EB40" i="24"/>
  <c r="G40" i="24"/>
  <c r="H40" i="24"/>
  <c r="W40" i="24"/>
  <c r="X40" i="24"/>
  <c r="Y40" i="24"/>
  <c r="AM40" i="24"/>
  <c r="BE40" i="24"/>
  <c r="BF40" i="24"/>
  <c r="BQ40" i="24"/>
  <c r="CI40" i="24"/>
  <c r="CJ40" i="24"/>
  <c r="CY40" i="24"/>
  <c r="CZ40" i="24"/>
  <c r="DA40" i="24"/>
  <c r="DO40" i="24"/>
  <c r="EG40" i="24"/>
  <c r="EH40" i="24"/>
  <c r="C40" i="24"/>
  <c r="BU40" i="24"/>
  <c r="BV40" i="24"/>
  <c r="BW40" i="24"/>
  <c r="T40" i="24"/>
  <c r="U40" i="24"/>
  <c r="V40" i="24"/>
  <c r="EJ40" i="24"/>
  <c r="EK40" i="24"/>
  <c r="EL40" i="24"/>
  <c r="AA40" i="24"/>
  <c r="AB40" i="24"/>
  <c r="BY40" i="24"/>
  <c r="BZ40" i="24"/>
  <c r="DC40" i="24"/>
  <c r="DD40" i="24"/>
  <c r="CO40" i="24"/>
  <c r="CP40" i="24"/>
  <c r="CQ40" i="24"/>
  <c r="B41" i="24"/>
  <c r="AD40" i="24"/>
  <c r="AE40" i="24"/>
  <c r="AF40" i="24"/>
  <c r="BR40" i="24"/>
  <c r="BS40" i="24"/>
  <c r="BT40" i="24"/>
  <c r="DF40" i="24"/>
  <c r="DG40" i="24"/>
  <c r="DH40" i="24"/>
  <c r="E40" i="24"/>
  <c r="Q40" i="24"/>
  <c r="R40" i="24"/>
  <c r="AC40" i="24"/>
  <c r="AU40" i="24"/>
  <c r="AV40" i="24"/>
  <c r="BK40" i="24"/>
  <c r="BL40" i="24"/>
  <c r="BM40" i="24"/>
  <c r="CA40" i="24"/>
  <c r="CS40" i="24"/>
  <c r="CT40" i="24"/>
  <c r="DE40" i="24"/>
  <c r="DW40" i="24"/>
  <c r="DX40" i="24"/>
  <c r="EM40" i="24"/>
  <c r="EN40" i="24"/>
  <c r="EO40" i="24"/>
  <c r="AG40" i="24"/>
  <c r="AH40" i="24"/>
  <c r="AI40" i="24"/>
  <c r="DI40" i="24"/>
  <c r="DJ40" i="24"/>
  <c r="DK40" i="24"/>
  <c r="CV40" i="24"/>
  <c r="CW40" i="24"/>
  <c r="CX40" i="24"/>
  <c r="BG40" i="24"/>
  <c r="DS40" i="24"/>
  <c r="DT40" i="24"/>
  <c r="DU40" i="24"/>
  <c r="M40" i="24"/>
  <c r="N40" i="24"/>
  <c r="O40" i="24"/>
  <c r="D40" i="24"/>
  <c r="AN40" i="24"/>
  <c r="AO40" i="24"/>
  <c r="AP40" i="24"/>
  <c r="CB40" i="24"/>
  <c r="CC40" i="24"/>
  <c r="CD40" i="24"/>
  <c r="DP40" i="24"/>
  <c r="DQ40" i="24"/>
  <c r="DR40" i="24"/>
  <c r="F40" i="24"/>
  <c r="S40" i="24"/>
  <c r="AK40" i="24"/>
  <c r="AL40" i="24"/>
  <c r="AW40" i="24"/>
  <c r="BO40" i="24"/>
  <c r="BP40" i="24"/>
  <c r="CE40" i="24"/>
  <c r="CF40" i="24"/>
  <c r="CG40" i="24"/>
  <c r="CU40" i="24"/>
  <c r="DM40" i="24"/>
  <c r="DN40" i="24"/>
  <c r="DY40" i="24"/>
  <c r="EC40" i="24"/>
  <c r="ED40" i="24"/>
  <c r="EE40" i="24"/>
  <c r="BA40" i="24"/>
  <c r="BB40" i="24"/>
  <c r="BC40" i="24"/>
  <c r="BH40" i="24"/>
  <c r="BI40" i="24"/>
  <c r="BJ40" i="24"/>
  <c r="I40" i="24"/>
  <c r="AQ40" i="24"/>
  <c r="AR40" i="24"/>
  <c r="AS40" i="24"/>
  <c r="CK40" i="24"/>
  <c r="EI40" i="24"/>
  <c r="F335" i="21"/>
  <c r="E1515" i="20"/>
  <c r="AU44" i="13"/>
  <c r="W43" i="18"/>
  <c r="AI43" i="18"/>
  <c r="AB43" i="18"/>
  <c r="CM38" i="24"/>
  <c r="CN38" i="24"/>
  <c r="D1035" i="25"/>
  <c r="C1035" i="25"/>
  <c r="AH38" i="24"/>
  <c r="AI38" i="24"/>
  <c r="F1029" i="25"/>
  <c r="E1029" i="25"/>
  <c r="U38" i="24"/>
  <c r="V38" i="24"/>
  <c r="D1028" i="25"/>
  <c r="C1028" i="25"/>
  <c r="X38" i="24"/>
  <c r="Y38" i="24"/>
  <c r="F1028" i="25"/>
  <c r="E1028" i="25"/>
  <c r="DT38" i="24"/>
  <c r="DU38" i="24"/>
  <c r="F1038" i="25"/>
  <c r="E1038" i="25"/>
  <c r="DG38" i="24"/>
  <c r="DH38" i="24"/>
  <c r="D1037" i="25"/>
  <c r="C1037" i="25"/>
  <c r="K38" i="24"/>
  <c r="L38" i="24"/>
  <c r="D1027" i="25"/>
  <c r="C1027" i="25"/>
  <c r="CW38" i="24"/>
  <c r="CX38" i="24"/>
  <c r="D1036" i="25"/>
  <c r="C1036" i="25"/>
  <c r="B117" i="29"/>
  <c r="C83" i="29"/>
  <c r="C81" i="29"/>
  <c r="C79" i="29"/>
  <c r="C77" i="29"/>
  <c r="C75" i="29"/>
  <c r="C73" i="29"/>
  <c r="C71" i="29"/>
  <c r="D67" i="29"/>
  <c r="D82" i="29"/>
  <c r="D80" i="29"/>
  <c r="D78" i="29"/>
  <c r="D76" i="29"/>
  <c r="D74" i="29"/>
  <c r="D72" i="29"/>
  <c r="D70" i="29"/>
  <c r="D83" i="29"/>
  <c r="D79" i="29"/>
  <c r="D75" i="29"/>
  <c r="D71" i="29"/>
  <c r="D66" i="29"/>
  <c r="C82" i="29"/>
  <c r="C78" i="29"/>
  <c r="C74" i="29"/>
  <c r="C70" i="29"/>
  <c r="D81" i="29"/>
  <c r="D77" i="29"/>
  <c r="D73" i="29"/>
  <c r="F67" i="29"/>
  <c r="C72" i="29"/>
  <c r="C80" i="29"/>
  <c r="C76" i="29"/>
  <c r="D13" i="30"/>
  <c r="A14" i="30"/>
  <c r="E13" i="30"/>
  <c r="C13" i="30"/>
  <c r="F13" i="30"/>
  <c r="B13" i="30"/>
  <c r="O75" i="4"/>
  <c r="K75" i="4"/>
  <c r="L74" i="4"/>
  <c r="E13" i="16"/>
  <c r="F13" i="16"/>
  <c r="M74" i="4"/>
  <c r="G13" i="16"/>
  <c r="H13" i="16"/>
  <c r="N75" i="4"/>
  <c r="L75" i="4"/>
  <c r="M75" i="4"/>
  <c r="N74" i="4"/>
  <c r="I13" i="16"/>
  <c r="J13" i="16"/>
  <c r="K74" i="4"/>
  <c r="O74" i="4"/>
  <c r="K13" i="16"/>
  <c r="AI62" i="4"/>
  <c r="W44" i="18"/>
  <c r="AI44" i="18"/>
  <c r="AV45" i="13"/>
  <c r="C1648" i="20"/>
  <c r="C1693" i="20"/>
  <c r="AV46" i="13"/>
  <c r="D1736" i="20"/>
  <c r="E1730" i="20"/>
  <c r="C1728" i="20"/>
  <c r="E1735" i="20"/>
  <c r="E1737" i="20"/>
  <c r="C1729" i="20"/>
  <c r="D1733" i="20"/>
  <c r="C1732" i="20"/>
  <c r="C1727" i="20"/>
  <c r="C1723" i="20"/>
  <c r="C1719" i="20"/>
  <c r="E1728" i="20"/>
  <c r="E1731" i="20"/>
  <c r="D1725" i="20"/>
  <c r="C1735" i="20"/>
  <c r="D1728" i="20"/>
  <c r="D1739" i="20"/>
  <c r="E1727" i="20"/>
  <c r="D1731" i="20"/>
  <c r="E1725" i="20"/>
  <c r="E1740" i="20"/>
  <c r="E1736" i="20"/>
  <c r="C1718" i="20"/>
  <c r="F1801" i="20"/>
  <c r="E1733" i="20"/>
  <c r="D1727" i="20"/>
  <c r="C1733" i="20"/>
  <c r="E1723" i="20"/>
  <c r="C1724" i="20"/>
  <c r="C1736" i="20"/>
  <c r="D1735" i="20"/>
  <c r="C1734" i="20"/>
  <c r="D1730" i="20"/>
  <c r="E1719" i="20"/>
  <c r="E1729" i="20"/>
  <c r="D1724" i="20"/>
  <c r="E1726" i="20"/>
  <c r="E1734" i="20"/>
  <c r="A1745" i="20"/>
  <c r="A1746" i="20"/>
  <c r="D1723" i="20"/>
  <c r="C1726" i="20"/>
  <c r="C1730" i="20"/>
  <c r="D1726" i="20"/>
  <c r="C1731" i="20"/>
  <c r="E1724" i="20"/>
  <c r="D1729" i="20"/>
  <c r="C1725" i="20"/>
  <c r="E1739" i="20"/>
  <c r="D1740" i="20"/>
  <c r="A1744" i="20"/>
  <c r="D1734" i="20"/>
  <c r="A1743" i="20"/>
  <c r="E1732" i="20"/>
  <c r="D1732" i="20"/>
  <c r="C1738" i="20"/>
  <c r="C1737" i="20"/>
  <c r="C1739" i="20"/>
  <c r="C1740" i="20"/>
  <c r="E1695" i="20"/>
  <c r="H48" i="10"/>
  <c r="I48" i="10"/>
  <c r="D48" i="10"/>
  <c r="F48" i="10"/>
  <c r="A49" i="10"/>
  <c r="J48" i="10"/>
  <c r="E48" i="10"/>
  <c r="G48" i="10"/>
  <c r="K48" i="10"/>
  <c r="B48" i="10"/>
  <c r="M48" i="10"/>
  <c r="P48" i="10"/>
  <c r="C48" i="10"/>
  <c r="L48" i="10"/>
  <c r="B42" i="24"/>
  <c r="AC41" i="24"/>
  <c r="CA41" i="24"/>
  <c r="DI41" i="24"/>
  <c r="DJ41" i="24"/>
  <c r="DK41" i="24"/>
  <c r="D41" i="24"/>
  <c r="AN41" i="24"/>
  <c r="AO41" i="24"/>
  <c r="AP41" i="24"/>
  <c r="CB41" i="24"/>
  <c r="CC41" i="24"/>
  <c r="CD41" i="24"/>
  <c r="DP41" i="24"/>
  <c r="DQ41" i="24"/>
  <c r="DR41" i="24"/>
  <c r="F41" i="24"/>
  <c r="S41" i="24"/>
  <c r="AK41" i="24"/>
  <c r="AL41" i="24"/>
  <c r="AW41" i="24"/>
  <c r="BO41" i="24"/>
  <c r="BP41" i="24"/>
  <c r="CE41" i="24"/>
  <c r="CF41" i="24"/>
  <c r="CG41" i="24"/>
  <c r="CU41" i="24"/>
  <c r="DM41" i="24"/>
  <c r="DN41" i="24"/>
  <c r="DY41" i="24"/>
  <c r="EC41" i="24"/>
  <c r="ED41" i="24"/>
  <c r="EE41" i="24"/>
  <c r="BA41" i="24"/>
  <c r="BB41" i="24"/>
  <c r="BC41" i="24"/>
  <c r="DF41" i="24"/>
  <c r="DG41" i="24"/>
  <c r="DH41" i="24"/>
  <c r="DW41" i="24"/>
  <c r="DX41" i="24"/>
  <c r="J41" i="24"/>
  <c r="K41" i="24"/>
  <c r="L41" i="24"/>
  <c r="AX41" i="24"/>
  <c r="AY41" i="24"/>
  <c r="AZ41" i="24"/>
  <c r="CL41" i="24"/>
  <c r="CM41" i="24"/>
  <c r="CN41" i="24"/>
  <c r="DZ41" i="24"/>
  <c r="EA41" i="24"/>
  <c r="EB41" i="24"/>
  <c r="G41" i="24"/>
  <c r="H41" i="24"/>
  <c r="W41" i="24"/>
  <c r="X41" i="24"/>
  <c r="Y41" i="24"/>
  <c r="AM41" i="24"/>
  <c r="BE41" i="24"/>
  <c r="BF41" i="24"/>
  <c r="BQ41" i="24"/>
  <c r="CI41" i="24"/>
  <c r="CJ41" i="24"/>
  <c r="CY41" i="24"/>
  <c r="CZ41" i="24"/>
  <c r="DA41" i="24"/>
  <c r="DO41" i="24"/>
  <c r="EG41" i="24"/>
  <c r="EH41" i="24"/>
  <c r="C41" i="24"/>
  <c r="BU41" i="24"/>
  <c r="BV41" i="24"/>
  <c r="BW41" i="24"/>
  <c r="AD41" i="24"/>
  <c r="AE41" i="24"/>
  <c r="AF41" i="24"/>
  <c r="E41" i="24"/>
  <c r="BK41" i="24"/>
  <c r="BL41" i="24"/>
  <c r="BM41" i="24"/>
  <c r="DE41" i="24"/>
  <c r="AG41" i="24"/>
  <c r="AH41" i="24"/>
  <c r="AI41" i="24"/>
  <c r="T41" i="24"/>
  <c r="U41" i="24"/>
  <c r="V41" i="24"/>
  <c r="BH41" i="24"/>
  <c r="BI41" i="24"/>
  <c r="BJ41" i="24"/>
  <c r="CV41" i="24"/>
  <c r="CW41" i="24"/>
  <c r="CX41" i="24"/>
  <c r="EJ41" i="24"/>
  <c r="EK41" i="24"/>
  <c r="EL41" i="24"/>
  <c r="I41" i="24"/>
  <c r="AA41" i="24"/>
  <c r="AB41" i="24"/>
  <c r="AQ41" i="24"/>
  <c r="AR41" i="24"/>
  <c r="AS41" i="24"/>
  <c r="BG41" i="24"/>
  <c r="BY41" i="24"/>
  <c r="BZ41" i="24"/>
  <c r="CK41" i="24"/>
  <c r="DC41" i="24"/>
  <c r="DD41" i="24"/>
  <c r="DS41" i="24"/>
  <c r="DT41" i="24"/>
  <c r="DU41" i="24"/>
  <c r="EI41" i="24"/>
  <c r="M41" i="24"/>
  <c r="N41" i="24"/>
  <c r="O41" i="24"/>
  <c r="CO41" i="24"/>
  <c r="CP41" i="24"/>
  <c r="CQ41" i="24"/>
  <c r="BR41" i="24"/>
  <c r="BS41" i="24"/>
  <c r="BT41" i="24"/>
  <c r="Q41" i="24"/>
  <c r="R41" i="24"/>
  <c r="AU41" i="24"/>
  <c r="AV41" i="24"/>
  <c r="CS41" i="24"/>
  <c r="CT41" i="24"/>
  <c r="EM41" i="24"/>
  <c r="EN41" i="24"/>
  <c r="EO41" i="24"/>
  <c r="AH43" i="11"/>
  <c r="Y43" i="11"/>
  <c r="BF44" i="13"/>
  <c r="AX44" i="13"/>
  <c r="C1692" i="20"/>
  <c r="C1647" i="20"/>
  <c r="Q47" i="13"/>
  <c r="AG47" i="13"/>
  <c r="AO47" i="13"/>
  <c r="A48" i="13"/>
  <c r="J47" i="13"/>
  <c r="AR47" i="13"/>
  <c r="AS47" i="13"/>
  <c r="AP47" i="13"/>
  <c r="Y47" i="13"/>
  <c r="AD47" i="13"/>
  <c r="B47" i="13"/>
  <c r="V47" i="13"/>
  <c r="AH47" i="13"/>
  <c r="AL47" i="13"/>
  <c r="AM47" i="13"/>
  <c r="C47" i="13"/>
  <c r="L47" i="13"/>
  <c r="AK47" i="13"/>
  <c r="AQ47" i="13"/>
  <c r="AA47" i="13"/>
  <c r="O47" i="13"/>
  <c r="BL47" i="13"/>
  <c r="BF47" i="13"/>
  <c r="AC47" i="13"/>
  <c r="AI47" i="13"/>
  <c r="N47" i="13"/>
  <c r="W47" i="13"/>
  <c r="M47" i="13"/>
  <c r="AN47" i="13"/>
  <c r="P47" i="13"/>
  <c r="AE47" i="13"/>
  <c r="X47" i="13"/>
  <c r="K47" i="13"/>
  <c r="AJ47" i="13"/>
  <c r="F47" i="13"/>
  <c r="I47" i="13"/>
  <c r="G47" i="13"/>
  <c r="AF47" i="13"/>
  <c r="Z47" i="13"/>
  <c r="S47" i="13"/>
  <c r="AB47" i="13"/>
  <c r="D47" i="13"/>
  <c r="H47" i="13"/>
  <c r="U47" i="13"/>
  <c r="T47" i="13"/>
  <c r="E47" i="13"/>
  <c r="R47" i="13"/>
  <c r="AV47" i="13"/>
  <c r="AY47" i="13"/>
  <c r="BA47" i="13"/>
  <c r="BB47" i="13"/>
  <c r="BC47" i="13"/>
  <c r="BE47" i="13"/>
  <c r="AW47" i="13"/>
  <c r="AT47" i="13"/>
  <c r="AZ47" i="13"/>
  <c r="K333" i="21"/>
  <c r="D1558" i="20"/>
  <c r="AH43" i="18"/>
  <c r="Y43" i="18"/>
  <c r="BC44" i="13"/>
  <c r="AY44" i="13"/>
  <c r="C1649" i="20"/>
  <c r="C1694" i="20"/>
  <c r="W44" i="11"/>
  <c r="AH44" i="11"/>
  <c r="Q358" i="21"/>
  <c r="Q351" i="21"/>
  <c r="P357" i="21"/>
  <c r="P352" i="21"/>
  <c r="R363" i="21"/>
  <c r="N367" i="21"/>
  <c r="R356" i="21"/>
  <c r="Q355" i="21"/>
  <c r="R357" i="21"/>
  <c r="Q349" i="21"/>
  <c r="N366" i="21"/>
  <c r="N368" i="21"/>
  <c r="R355" i="21"/>
  <c r="Q356" i="21"/>
  <c r="Q345" i="21"/>
  <c r="Q360" i="21"/>
  <c r="R361" i="21"/>
  <c r="N345" i="21"/>
  <c r="Q357" i="21"/>
  <c r="P363" i="21"/>
  <c r="R348" i="21"/>
  <c r="P356" i="21"/>
  <c r="Q354" i="21"/>
  <c r="P354" i="21"/>
  <c r="P351" i="21"/>
  <c r="R354" i="21"/>
  <c r="P355" i="21"/>
  <c r="P348" i="21"/>
  <c r="P349" i="21"/>
  <c r="P360" i="21"/>
  <c r="R359" i="21"/>
  <c r="Q353" i="21"/>
  <c r="R362" i="21"/>
  <c r="R360" i="21"/>
  <c r="R347" i="21"/>
  <c r="Q363" i="21"/>
  <c r="R352" i="21"/>
  <c r="P361" i="21"/>
  <c r="P359" i="21"/>
  <c r="Q359" i="21"/>
  <c r="N369" i="21"/>
  <c r="R353" i="21"/>
  <c r="Q347" i="21"/>
  <c r="Q352" i="21"/>
  <c r="O344" i="21"/>
  <c r="P347" i="21"/>
  <c r="B372" i="21"/>
  <c r="R350" i="21"/>
  <c r="Q361" i="21"/>
  <c r="R349" i="21"/>
  <c r="Q364" i="21"/>
  <c r="P362" i="21"/>
  <c r="P364" i="21"/>
  <c r="Q362" i="21"/>
  <c r="P350" i="21"/>
  <c r="P358" i="21"/>
  <c r="Q348" i="21"/>
  <c r="Q350" i="21"/>
  <c r="R358" i="21"/>
  <c r="R364" i="21"/>
  <c r="P353" i="21"/>
  <c r="R351" i="21"/>
  <c r="K335" i="21"/>
  <c r="D1560" i="20"/>
  <c r="D1602" i="20"/>
  <c r="Q332" i="21"/>
  <c r="C46" i="11"/>
  <c r="M46" i="11"/>
  <c r="AG46" i="11"/>
  <c r="D46" i="11"/>
  <c r="H46" i="11"/>
  <c r="U46" i="11"/>
  <c r="I46" i="11"/>
  <c r="P46" i="11"/>
  <c r="AA46" i="11"/>
  <c r="O46" i="11"/>
  <c r="N46" i="11"/>
  <c r="J46" i="11"/>
  <c r="T46" i="11"/>
  <c r="Q46" i="11"/>
  <c r="K46" i="11"/>
  <c r="B46" i="11"/>
  <c r="F46" i="11"/>
  <c r="G46" i="11"/>
  <c r="Y46" i="11"/>
  <c r="E46" i="11"/>
  <c r="A47" i="11"/>
  <c r="R46" i="11"/>
  <c r="S46" i="11"/>
  <c r="L46" i="11"/>
  <c r="V45" i="11"/>
  <c r="M46" i="18"/>
  <c r="J46" i="18"/>
  <c r="D46" i="18"/>
  <c r="C46" i="18"/>
  <c r="R46" i="18"/>
  <c r="S46" i="18"/>
  <c r="Q46" i="18"/>
  <c r="AG46" i="18"/>
  <c r="AB46" i="18"/>
  <c r="K46" i="18"/>
  <c r="A47" i="18"/>
  <c r="I46" i="18"/>
  <c r="E46" i="18"/>
  <c r="Y46" i="18"/>
  <c r="L46" i="18"/>
  <c r="N46" i="18"/>
  <c r="F46" i="18"/>
  <c r="B46" i="18"/>
  <c r="U46" i="18"/>
  <c r="T46" i="18"/>
  <c r="G46" i="18"/>
  <c r="P46" i="18"/>
  <c r="H46" i="18"/>
  <c r="O46" i="18"/>
  <c r="V45" i="18"/>
  <c r="C1650" i="20"/>
  <c r="C1695" i="20"/>
  <c r="AW46" i="13"/>
  <c r="AX46" i="13"/>
  <c r="AY46" i="13"/>
  <c r="BB46" i="13"/>
  <c r="AU46" i="13"/>
  <c r="D1110" i="25"/>
  <c r="E1127" i="25"/>
  <c r="D1121" i="25"/>
  <c r="B1161" i="25"/>
  <c r="F1127" i="25"/>
  <c r="E1126" i="25"/>
  <c r="D1117" i="25"/>
  <c r="C1123" i="25"/>
  <c r="F1122" i="25"/>
  <c r="E1121" i="25"/>
  <c r="D1123" i="25"/>
  <c r="C1118" i="25"/>
  <c r="F1117" i="25"/>
  <c r="E1116" i="25"/>
  <c r="D1118" i="25"/>
  <c r="C1125" i="25"/>
  <c r="F1124" i="25"/>
  <c r="E1123" i="25"/>
  <c r="D1116" i="25"/>
  <c r="C1124" i="25"/>
  <c r="F1123" i="25"/>
  <c r="E1122" i="25"/>
  <c r="D1127" i="25"/>
  <c r="C1119" i="25"/>
  <c r="F1118" i="25"/>
  <c r="E1117" i="25"/>
  <c r="D1122" i="25"/>
  <c r="C1114" i="25"/>
  <c r="F1111" i="25"/>
  <c r="D1125" i="25"/>
  <c r="D1126" i="25"/>
  <c r="D1120" i="25"/>
  <c r="C1121" i="25"/>
  <c r="F1120" i="25"/>
  <c r="E1119" i="25"/>
  <c r="D1115" i="25"/>
  <c r="C1120" i="25"/>
  <c r="F1119" i="25"/>
  <c r="E1118" i="25"/>
  <c r="C1115" i="25"/>
  <c r="F1114" i="25"/>
  <c r="D1111" i="25"/>
  <c r="C1126" i="25"/>
  <c r="F1125" i="25"/>
  <c r="E1124" i="25"/>
  <c r="C1117" i="25"/>
  <c r="F1116" i="25"/>
  <c r="E1115" i="25"/>
  <c r="D1114" i="25"/>
  <c r="C1116" i="25"/>
  <c r="F1115" i="25"/>
  <c r="E1114" i="25"/>
  <c r="C1127" i="25"/>
  <c r="F1126" i="25"/>
  <c r="E1125" i="25"/>
  <c r="D1124" i="25"/>
  <c r="C1122" i="25"/>
  <c r="F1121" i="25"/>
  <c r="E1120" i="25"/>
  <c r="D1119" i="25"/>
  <c r="AU45" i="13"/>
  <c r="L13" i="16"/>
  <c r="P75" i="4"/>
  <c r="P74" i="4"/>
  <c r="C13" i="16"/>
  <c r="D13" i="16"/>
  <c r="B14" i="30"/>
  <c r="E14" i="30"/>
  <c r="F14" i="30"/>
  <c r="A15" i="30"/>
  <c r="C14" i="30"/>
  <c r="D14" i="30"/>
  <c r="B146" i="29"/>
  <c r="C111" i="29"/>
  <c r="C109" i="29"/>
  <c r="C107" i="29"/>
  <c r="C105" i="29"/>
  <c r="D111" i="29"/>
  <c r="D108" i="29"/>
  <c r="C106" i="29"/>
  <c r="D103" i="29"/>
  <c r="D101" i="29"/>
  <c r="D99" i="29"/>
  <c r="D110" i="29"/>
  <c r="C108" i="29"/>
  <c r="D105" i="29"/>
  <c r="C103" i="29"/>
  <c r="C101" i="29"/>
  <c r="C99" i="29"/>
  <c r="D95" i="29"/>
  <c r="D112" i="29"/>
  <c r="D107" i="29"/>
  <c r="D102" i="29"/>
  <c r="F96" i="29"/>
  <c r="C112" i="29"/>
  <c r="D106" i="29"/>
  <c r="C102" i="29"/>
  <c r="D96" i="29"/>
  <c r="C110" i="29"/>
  <c r="D104" i="29"/>
  <c r="D100" i="29"/>
  <c r="D109" i="29"/>
  <c r="C104" i="29"/>
  <c r="C100" i="29"/>
  <c r="D1647" i="20"/>
  <c r="D1692" i="20"/>
  <c r="W45" i="18"/>
  <c r="AH45" i="18"/>
  <c r="V46" i="18"/>
  <c r="W45" i="11"/>
  <c r="AI45" i="11"/>
  <c r="AM48" i="13"/>
  <c r="P48" i="13"/>
  <c r="AP48" i="13"/>
  <c r="T48" i="13"/>
  <c r="AN48" i="13"/>
  <c r="W48" i="13"/>
  <c r="AD48" i="13"/>
  <c r="G48" i="13"/>
  <c r="M48" i="13"/>
  <c r="AC48" i="13"/>
  <c r="Y48" i="13"/>
  <c r="N48" i="13"/>
  <c r="I48" i="13"/>
  <c r="AI48" i="13"/>
  <c r="AS48" i="13"/>
  <c r="AR48" i="13"/>
  <c r="AB48" i="13"/>
  <c r="O48" i="13"/>
  <c r="AF48" i="13"/>
  <c r="B48" i="13"/>
  <c r="AQ48" i="13"/>
  <c r="Q48" i="13"/>
  <c r="X48" i="13"/>
  <c r="J48" i="13"/>
  <c r="H48" i="13"/>
  <c r="S48" i="13"/>
  <c r="AG48" i="13"/>
  <c r="BL48" i="13"/>
  <c r="AV48" i="13"/>
  <c r="E48" i="13"/>
  <c r="AJ48" i="13"/>
  <c r="K48" i="13"/>
  <c r="V48" i="13"/>
  <c r="AK48" i="13"/>
  <c r="L48" i="13"/>
  <c r="F48" i="13"/>
  <c r="C48" i="13"/>
  <c r="D48" i="13"/>
  <c r="AL48" i="13"/>
  <c r="AO48" i="13"/>
  <c r="AE48" i="13"/>
  <c r="AA48" i="13"/>
  <c r="AH48" i="13"/>
  <c r="R48" i="13"/>
  <c r="Z48" i="13"/>
  <c r="A49" i="13"/>
  <c r="U48" i="13"/>
  <c r="AX48" i="13"/>
  <c r="BA48" i="13"/>
  <c r="BB48" i="13"/>
  <c r="AZ48" i="13"/>
  <c r="AW48" i="13"/>
  <c r="A1788" i="20"/>
  <c r="E1774" i="20"/>
  <c r="E1770" i="20"/>
  <c r="E1773" i="20"/>
  <c r="E1779" i="20"/>
  <c r="D1773" i="20"/>
  <c r="D1771" i="20"/>
  <c r="C1777" i="20"/>
  <c r="E1771" i="20"/>
  <c r="D1779" i="20"/>
  <c r="C1774" i="20"/>
  <c r="F1846" i="20"/>
  <c r="C1770" i="20"/>
  <c r="C1771" i="20"/>
  <c r="D1781" i="20"/>
  <c r="E1768" i="20"/>
  <c r="A1790" i="20"/>
  <c r="E1782" i="20"/>
  <c r="E1785" i="20"/>
  <c r="E1769" i="20"/>
  <c r="D1769" i="20"/>
  <c r="C1776" i="20"/>
  <c r="C1779" i="20"/>
  <c r="D1782" i="20"/>
  <c r="D1774" i="20"/>
  <c r="D1784" i="20"/>
  <c r="C1768" i="20"/>
  <c r="E1781" i="20"/>
  <c r="C1781" i="20"/>
  <c r="C1763" i="20"/>
  <c r="D1772" i="20"/>
  <c r="E1780" i="20"/>
  <c r="D1780" i="20"/>
  <c r="E1784" i="20"/>
  <c r="E1778" i="20"/>
  <c r="E1775" i="20"/>
  <c r="E1776" i="20"/>
  <c r="D1777" i="20"/>
  <c r="D1770" i="20"/>
  <c r="C1778" i="20"/>
  <c r="E1764" i="20"/>
  <c r="D1775" i="20"/>
  <c r="D1776" i="20"/>
  <c r="C1772" i="20"/>
  <c r="D1778" i="20"/>
  <c r="A1791" i="20"/>
  <c r="C1773" i="20"/>
  <c r="C1775" i="20"/>
  <c r="C1764" i="20"/>
  <c r="D1785" i="20"/>
  <c r="C1769" i="20"/>
  <c r="D1768" i="20"/>
  <c r="A1789" i="20"/>
  <c r="E1777" i="20"/>
  <c r="C1780" i="20"/>
  <c r="E1772" i="20"/>
  <c r="C1784" i="20"/>
  <c r="C1783" i="20"/>
  <c r="C1785" i="20"/>
  <c r="C1782" i="20"/>
  <c r="F1144" i="25"/>
  <c r="E1143" i="25"/>
  <c r="C1153" i="25"/>
  <c r="B1190" i="25"/>
  <c r="D1151" i="25"/>
  <c r="F1147" i="25"/>
  <c r="E1146" i="25"/>
  <c r="D1145" i="25"/>
  <c r="C1150" i="25"/>
  <c r="F1150" i="25"/>
  <c r="E1149" i="25"/>
  <c r="D1148" i="25"/>
  <c r="C1147" i="25"/>
  <c r="E1148" i="25"/>
  <c r="C1143" i="25"/>
  <c r="E1150" i="25"/>
  <c r="E1153" i="25"/>
  <c r="F1145" i="25"/>
  <c r="F1156" i="25"/>
  <c r="E1155" i="25"/>
  <c r="D1154" i="25"/>
  <c r="C1156" i="25"/>
  <c r="F1149" i="25"/>
  <c r="D1139" i="25"/>
  <c r="F1143" i="25"/>
  <c r="D1140" i="25"/>
  <c r="C1149" i="25"/>
  <c r="E1156" i="25"/>
  <c r="F1146" i="25"/>
  <c r="E1145" i="25"/>
  <c r="D1144" i="25"/>
  <c r="C1146" i="25"/>
  <c r="D1155" i="25"/>
  <c r="E1147" i="25"/>
  <c r="F1151" i="25"/>
  <c r="C1151" i="25"/>
  <c r="D1152" i="25"/>
  <c r="C1144" i="25"/>
  <c r="F1152" i="25"/>
  <c r="E1151" i="25"/>
  <c r="D1150" i="25"/>
  <c r="C1155" i="25"/>
  <c r="E1152" i="25"/>
  <c r="F1155" i="25"/>
  <c r="E1154" i="25"/>
  <c r="D1153" i="25"/>
  <c r="C1152" i="25"/>
  <c r="D1143" i="25"/>
  <c r="F1140" i="25"/>
  <c r="D1156" i="25"/>
  <c r="C1145" i="25"/>
  <c r="F1153" i="25"/>
  <c r="D1147" i="25"/>
  <c r="F1148" i="25"/>
  <c r="D1146" i="25"/>
  <c r="C1154" i="25"/>
  <c r="E1144" i="25"/>
  <c r="D1149" i="25"/>
  <c r="F1154" i="25"/>
  <c r="C1148" i="25"/>
  <c r="AX47" i="13"/>
  <c r="AU47" i="13"/>
  <c r="J42" i="24"/>
  <c r="K42" i="24"/>
  <c r="L42" i="24"/>
  <c r="G42" i="24"/>
  <c r="H42" i="24"/>
  <c r="AM42" i="24"/>
  <c r="CI42" i="24"/>
  <c r="CJ42" i="24"/>
  <c r="EG42" i="24"/>
  <c r="EH42" i="24"/>
  <c r="T42" i="24"/>
  <c r="U42" i="24"/>
  <c r="V42" i="24"/>
  <c r="BH42" i="24"/>
  <c r="BI42" i="24"/>
  <c r="BJ42" i="24"/>
  <c r="CV42" i="24"/>
  <c r="CW42" i="24"/>
  <c r="CX42" i="24"/>
  <c r="EJ42" i="24"/>
  <c r="EK42" i="24"/>
  <c r="EL42" i="24"/>
  <c r="I42" i="24"/>
  <c r="AA42" i="24"/>
  <c r="AB42" i="24"/>
  <c r="AQ42" i="24"/>
  <c r="AR42" i="24"/>
  <c r="AS42" i="24"/>
  <c r="BG42" i="24"/>
  <c r="BY42" i="24"/>
  <c r="BZ42" i="24"/>
  <c r="CK42" i="24"/>
  <c r="DC42" i="24"/>
  <c r="DD42" i="24"/>
  <c r="DS42" i="24"/>
  <c r="DT42" i="24"/>
  <c r="DU42" i="24"/>
  <c r="EI42" i="24"/>
  <c r="BU42" i="24"/>
  <c r="BV42" i="24"/>
  <c r="BW42" i="24"/>
  <c r="M42" i="24"/>
  <c r="N42" i="24"/>
  <c r="O42" i="24"/>
  <c r="B43" i="24"/>
  <c r="AD42" i="24"/>
  <c r="AE42" i="24"/>
  <c r="AF42" i="24"/>
  <c r="BR42" i="24"/>
  <c r="BS42" i="24"/>
  <c r="BT42" i="24"/>
  <c r="DF42" i="24"/>
  <c r="DG42" i="24"/>
  <c r="DH42" i="24"/>
  <c r="E42" i="24"/>
  <c r="Q42" i="24"/>
  <c r="R42" i="24"/>
  <c r="AC42" i="24"/>
  <c r="AU42" i="24"/>
  <c r="AV42" i="24"/>
  <c r="BK42" i="24"/>
  <c r="BL42" i="24"/>
  <c r="BM42" i="24"/>
  <c r="CA42" i="24"/>
  <c r="CS42" i="24"/>
  <c r="CT42" i="24"/>
  <c r="DE42" i="24"/>
  <c r="DW42" i="24"/>
  <c r="DX42" i="24"/>
  <c r="EM42" i="24"/>
  <c r="EN42" i="24"/>
  <c r="EO42" i="24"/>
  <c r="CO42" i="24"/>
  <c r="CP42" i="24"/>
  <c r="CQ42" i="24"/>
  <c r="AG42" i="24"/>
  <c r="AH42" i="24"/>
  <c r="AI42" i="24"/>
  <c r="CL42" i="24"/>
  <c r="CM42" i="24"/>
  <c r="CN42" i="24"/>
  <c r="BE42" i="24"/>
  <c r="BF42" i="24"/>
  <c r="CY42" i="24"/>
  <c r="CZ42" i="24"/>
  <c r="DA42" i="24"/>
  <c r="EC42" i="24"/>
  <c r="ED42" i="24"/>
  <c r="EE42" i="24"/>
  <c r="D42" i="24"/>
  <c r="AN42" i="24"/>
  <c r="AO42" i="24"/>
  <c r="AP42" i="24"/>
  <c r="CB42" i="24"/>
  <c r="CC42" i="24"/>
  <c r="CD42" i="24"/>
  <c r="DP42" i="24"/>
  <c r="DQ42" i="24"/>
  <c r="DR42" i="24"/>
  <c r="F42" i="24"/>
  <c r="S42" i="24"/>
  <c r="AK42" i="24"/>
  <c r="AL42" i="24"/>
  <c r="AW42" i="24"/>
  <c r="BO42" i="24"/>
  <c r="BP42" i="24"/>
  <c r="CE42" i="24"/>
  <c r="CF42" i="24"/>
  <c r="CG42" i="24"/>
  <c r="CU42" i="24"/>
  <c r="DM42" i="24"/>
  <c r="DN42" i="24"/>
  <c r="DY42" i="24"/>
  <c r="BA42" i="24"/>
  <c r="BB42" i="24"/>
  <c r="BC42" i="24"/>
  <c r="DI42" i="24"/>
  <c r="DJ42" i="24"/>
  <c r="DK42" i="24"/>
  <c r="AX42" i="24"/>
  <c r="AY42" i="24"/>
  <c r="AZ42" i="24"/>
  <c r="DZ42" i="24"/>
  <c r="EA42" i="24"/>
  <c r="EB42" i="24"/>
  <c r="W42" i="24"/>
  <c r="X42" i="24"/>
  <c r="Y42" i="24"/>
  <c r="BQ42" i="24"/>
  <c r="DO42" i="24"/>
  <c r="C42" i="24"/>
  <c r="E1647" i="20"/>
  <c r="E1692" i="20"/>
  <c r="E47" i="18"/>
  <c r="M47" i="18"/>
  <c r="AB47" i="18"/>
  <c r="O47" i="18"/>
  <c r="N47" i="18"/>
  <c r="B47" i="18"/>
  <c r="K47" i="18"/>
  <c r="J47" i="18"/>
  <c r="I47" i="18"/>
  <c r="F47" i="18"/>
  <c r="T47" i="18"/>
  <c r="D47" i="18"/>
  <c r="R47" i="18"/>
  <c r="S47" i="18"/>
  <c r="H47" i="18"/>
  <c r="Q47" i="18"/>
  <c r="P47" i="18"/>
  <c r="L47" i="18"/>
  <c r="AG47" i="18"/>
  <c r="Y47" i="18"/>
  <c r="A48" i="18"/>
  <c r="C47" i="18"/>
  <c r="G47" i="18"/>
  <c r="U47" i="18"/>
  <c r="V46" i="11"/>
  <c r="R333" i="21"/>
  <c r="E1603" i="20"/>
  <c r="D1603" i="20"/>
  <c r="Q333" i="21"/>
  <c r="K49" i="10"/>
  <c r="G49" i="10"/>
  <c r="M49" i="10"/>
  <c r="P49" i="10"/>
  <c r="E49" i="10"/>
  <c r="B49" i="10"/>
  <c r="I49" i="10"/>
  <c r="C49" i="10"/>
  <c r="F49" i="10"/>
  <c r="H49" i="10"/>
  <c r="A50" i="10"/>
  <c r="L49" i="10"/>
  <c r="J49" i="10"/>
  <c r="D49" i="10"/>
  <c r="D1737" i="20"/>
  <c r="K47" i="11"/>
  <c r="I47" i="11"/>
  <c r="P47" i="11"/>
  <c r="G47" i="11"/>
  <c r="C47" i="11"/>
  <c r="N47" i="11"/>
  <c r="L47" i="11"/>
  <c r="Y47" i="11"/>
  <c r="M47" i="11"/>
  <c r="F47" i="11"/>
  <c r="R47" i="11"/>
  <c r="S47" i="11"/>
  <c r="B47" i="11"/>
  <c r="H47" i="11"/>
  <c r="J47" i="11"/>
  <c r="U47" i="11"/>
  <c r="D47" i="11"/>
  <c r="O47" i="11"/>
  <c r="A48" i="11"/>
  <c r="AG47" i="11"/>
  <c r="E47" i="11"/>
  <c r="Q47" i="11"/>
  <c r="AA47" i="11"/>
  <c r="T47" i="11"/>
  <c r="D378" i="21"/>
  <c r="D383" i="21"/>
  <c r="E391" i="21"/>
  <c r="D389" i="21"/>
  <c r="F376" i="21"/>
  <c r="F375" i="21"/>
  <c r="E375" i="21"/>
  <c r="D382" i="21"/>
  <c r="D375" i="21"/>
  <c r="E380" i="21"/>
  <c r="F390" i="21"/>
  <c r="D385" i="21"/>
  <c r="D386" i="21"/>
  <c r="D388" i="21"/>
  <c r="D391" i="21"/>
  <c r="F388" i="21"/>
  <c r="E378" i="21"/>
  <c r="F389" i="21"/>
  <c r="F382" i="21"/>
  <c r="E381" i="21"/>
  <c r="E379" i="21"/>
  <c r="E373" i="21"/>
  <c r="B394" i="21"/>
  <c r="E385" i="21"/>
  <c r="E389" i="21"/>
  <c r="F384" i="21"/>
  <c r="F392" i="21"/>
  <c r="D377" i="21"/>
  <c r="D381" i="21"/>
  <c r="F381" i="21"/>
  <c r="F380" i="21"/>
  <c r="E390" i="21"/>
  <c r="D376" i="21"/>
  <c r="D387" i="21"/>
  <c r="B396" i="21"/>
  <c r="E388" i="21"/>
  <c r="F383" i="21"/>
  <c r="B397" i="21"/>
  <c r="F378" i="21"/>
  <c r="D380" i="21"/>
  <c r="E382" i="21"/>
  <c r="E384" i="21"/>
  <c r="E377" i="21"/>
  <c r="C372" i="21"/>
  <c r="B395" i="21"/>
  <c r="D384" i="21"/>
  <c r="F386" i="21"/>
  <c r="D390" i="21"/>
  <c r="E392" i="21"/>
  <c r="D379" i="21"/>
  <c r="F379" i="21"/>
  <c r="F391" i="21"/>
  <c r="F387" i="21"/>
  <c r="B373" i="21"/>
  <c r="F377" i="21"/>
  <c r="E387" i="21"/>
  <c r="H372" i="21"/>
  <c r="E386" i="21"/>
  <c r="F385" i="21"/>
  <c r="E383" i="21"/>
  <c r="E376" i="21"/>
  <c r="D392" i="21"/>
  <c r="AI44" i="11"/>
  <c r="AX45" i="13"/>
  <c r="E1605" i="20"/>
  <c r="R335" i="21"/>
  <c r="D1605" i="20"/>
  <c r="Q335" i="21"/>
  <c r="AH44" i="18"/>
  <c r="AY45" i="13"/>
  <c r="B175" i="29"/>
  <c r="D141" i="29"/>
  <c r="D139" i="29"/>
  <c r="D137" i="29"/>
  <c r="D135" i="29"/>
  <c r="D133" i="29"/>
  <c r="D131" i="29"/>
  <c r="D129" i="29"/>
  <c r="F125" i="29"/>
  <c r="C139" i="29"/>
  <c r="D136" i="29"/>
  <c r="C134" i="29"/>
  <c r="C131" i="29"/>
  <c r="D128" i="29"/>
  <c r="D124" i="29"/>
  <c r="C141" i="29"/>
  <c r="D138" i="29"/>
  <c r="C136" i="29"/>
  <c r="C133" i="29"/>
  <c r="D130" i="29"/>
  <c r="C128" i="29"/>
  <c r="C140" i="29"/>
  <c r="D134" i="29"/>
  <c r="C129" i="29"/>
  <c r="C138" i="29"/>
  <c r="D132" i="29"/>
  <c r="D125" i="29"/>
  <c r="C137" i="29"/>
  <c r="C132" i="29"/>
  <c r="D140" i="29"/>
  <c r="C135" i="29"/>
  <c r="C130" i="29"/>
  <c r="U13" i="16"/>
  <c r="A16" i="30"/>
  <c r="E15" i="30"/>
  <c r="C15" i="30"/>
  <c r="F15" i="30"/>
  <c r="B15" i="30"/>
  <c r="D15" i="30"/>
  <c r="AH45" i="11"/>
  <c r="D1648" i="20"/>
  <c r="D1693" i="20"/>
  <c r="D1738" i="20"/>
  <c r="D1818" i="20"/>
  <c r="E1820" i="20"/>
  <c r="C1819" i="20"/>
  <c r="D1814" i="20"/>
  <c r="D1819" i="20"/>
  <c r="C1824" i="20"/>
  <c r="E1830" i="20"/>
  <c r="E1823" i="20"/>
  <c r="D1823" i="20"/>
  <c r="D1824" i="20"/>
  <c r="D1828" i="20"/>
  <c r="C1816" i="20"/>
  <c r="D1822" i="20"/>
  <c r="C1822" i="20"/>
  <c r="E1821" i="20"/>
  <c r="E1817" i="20"/>
  <c r="E1829" i="20"/>
  <c r="E1813" i="20"/>
  <c r="C1826" i="20"/>
  <c r="D1830" i="20"/>
  <c r="E1814" i="20"/>
  <c r="E1815" i="20"/>
  <c r="E1824" i="20"/>
  <c r="C1825" i="20"/>
  <c r="C1818" i="20"/>
  <c r="D1820" i="20"/>
  <c r="A1834" i="20"/>
  <c r="C1820" i="20"/>
  <c r="C1821" i="20"/>
  <c r="E1816" i="20"/>
  <c r="E1809" i="20"/>
  <c r="E1826" i="20"/>
  <c r="E1818" i="20"/>
  <c r="D1827" i="20"/>
  <c r="A1833" i="20"/>
  <c r="C1809" i="20"/>
  <c r="D1813" i="20"/>
  <c r="C1814" i="20"/>
  <c r="E1827" i="20"/>
  <c r="E1825" i="20"/>
  <c r="C1808" i="20"/>
  <c r="D1825" i="20"/>
  <c r="D1826" i="20"/>
  <c r="A1836" i="20"/>
  <c r="D1821" i="20"/>
  <c r="C1817" i="20"/>
  <c r="D1815" i="20"/>
  <c r="F1891" i="20"/>
  <c r="D1816" i="20"/>
  <c r="D1817" i="20"/>
  <c r="D1829" i="20"/>
  <c r="A1835" i="20"/>
  <c r="C1823" i="20"/>
  <c r="C1815" i="20"/>
  <c r="E1828" i="20"/>
  <c r="E1822" i="20"/>
  <c r="C1813" i="20"/>
  <c r="E1819" i="20"/>
  <c r="C1827" i="20"/>
  <c r="C1829" i="20"/>
  <c r="C1828" i="20"/>
  <c r="C1830" i="20"/>
  <c r="BE48" i="13"/>
  <c r="BF48" i="13"/>
  <c r="AU48" i="13"/>
  <c r="BC48" i="13"/>
  <c r="AI45" i="18"/>
  <c r="G48" i="11"/>
  <c r="E48" i="11"/>
  <c r="Q48" i="11"/>
  <c r="M48" i="11"/>
  <c r="D48" i="11"/>
  <c r="C48" i="11"/>
  <c r="F48" i="11"/>
  <c r="N48" i="11"/>
  <c r="A49" i="11"/>
  <c r="Y48" i="11"/>
  <c r="AA48" i="11"/>
  <c r="R48" i="11"/>
  <c r="S48" i="11"/>
  <c r="B48" i="11"/>
  <c r="AG48" i="11"/>
  <c r="I48" i="11"/>
  <c r="L48" i="11"/>
  <c r="T48" i="11"/>
  <c r="J48" i="11"/>
  <c r="K48" i="11"/>
  <c r="P48" i="11"/>
  <c r="U48" i="11"/>
  <c r="H48" i="11"/>
  <c r="O48" i="11"/>
  <c r="W46" i="11"/>
  <c r="AI46" i="11"/>
  <c r="K48" i="18"/>
  <c r="J48" i="18"/>
  <c r="D48" i="18"/>
  <c r="I48" i="18"/>
  <c r="H48" i="18"/>
  <c r="Q48" i="18"/>
  <c r="Y48" i="18"/>
  <c r="R48" i="18"/>
  <c r="S48" i="18"/>
  <c r="U48" i="18"/>
  <c r="G48" i="18"/>
  <c r="O48" i="18"/>
  <c r="B48" i="18"/>
  <c r="E48" i="18"/>
  <c r="F48" i="18"/>
  <c r="T48" i="18"/>
  <c r="M48" i="18"/>
  <c r="L48" i="18"/>
  <c r="N48" i="18"/>
  <c r="AG48" i="18"/>
  <c r="P48" i="18"/>
  <c r="AB48" i="18"/>
  <c r="C48" i="18"/>
  <c r="A49" i="18"/>
  <c r="E1172" i="25"/>
  <c r="C1185" i="25"/>
  <c r="F1181" i="25"/>
  <c r="E1177" i="25"/>
  <c r="F1184" i="25"/>
  <c r="E1175" i="25"/>
  <c r="D1174" i="25"/>
  <c r="C1172" i="25"/>
  <c r="F1174" i="25"/>
  <c r="E1182" i="25"/>
  <c r="D1181" i="25"/>
  <c r="C1179" i="25"/>
  <c r="F1172" i="25"/>
  <c r="D1184" i="25"/>
  <c r="F1183" i="25"/>
  <c r="E1184" i="25"/>
  <c r="C1181" i="25"/>
  <c r="F1180" i="25"/>
  <c r="F1182" i="25"/>
  <c r="C1184" i="25"/>
  <c r="E1181" i="25"/>
  <c r="C1175" i="25"/>
  <c r="D1176" i="25"/>
  <c r="C1177" i="25"/>
  <c r="E1183" i="25"/>
  <c r="F1176" i="25"/>
  <c r="E1174" i="25"/>
  <c r="D1168" i="25"/>
  <c r="E1176" i="25"/>
  <c r="C1173" i="25"/>
  <c r="C1174" i="25"/>
  <c r="D1178" i="25"/>
  <c r="B1219" i="25"/>
  <c r="E1173" i="25"/>
  <c r="D1183" i="25"/>
  <c r="D1180" i="25"/>
  <c r="D1169" i="25"/>
  <c r="F1177" i="25"/>
  <c r="E1178" i="25"/>
  <c r="D1177" i="25"/>
  <c r="F1169" i="25"/>
  <c r="D1179" i="25"/>
  <c r="F1179" i="25"/>
  <c r="D1172" i="25"/>
  <c r="D1182" i="25"/>
  <c r="C1178" i="25"/>
  <c r="D1173" i="25"/>
  <c r="C1182" i="25"/>
  <c r="D1175" i="25"/>
  <c r="F1178" i="25"/>
  <c r="E1179" i="25"/>
  <c r="C1176" i="25"/>
  <c r="D1185" i="25"/>
  <c r="C1183" i="25"/>
  <c r="F1173" i="25"/>
  <c r="F1185" i="25"/>
  <c r="E1180" i="25"/>
  <c r="C1180" i="25"/>
  <c r="E1185" i="25"/>
  <c r="F1175" i="25"/>
  <c r="D1783" i="20"/>
  <c r="E1648" i="20"/>
  <c r="E1693" i="20"/>
  <c r="E1738" i="20"/>
  <c r="K377" i="21"/>
  <c r="J379" i="21"/>
  <c r="J387" i="21"/>
  <c r="L390" i="21"/>
  <c r="J385" i="21"/>
  <c r="J382" i="21"/>
  <c r="L387" i="21"/>
  <c r="J380" i="21"/>
  <c r="H373" i="21"/>
  <c r="K385" i="21"/>
  <c r="L391" i="21"/>
  <c r="J375" i="21"/>
  <c r="L385" i="21"/>
  <c r="L382" i="21"/>
  <c r="K391" i="21"/>
  <c r="H395" i="21"/>
  <c r="K376" i="21"/>
  <c r="L381" i="21"/>
  <c r="K384" i="21"/>
  <c r="L392" i="21"/>
  <c r="L379" i="21"/>
  <c r="L377" i="21"/>
  <c r="L375" i="21"/>
  <c r="J381" i="21"/>
  <c r="N372" i="21"/>
  <c r="L388" i="21"/>
  <c r="K389" i="21"/>
  <c r="K381" i="21"/>
  <c r="K383" i="21"/>
  <c r="J383" i="21"/>
  <c r="L389" i="21"/>
  <c r="H394" i="21"/>
  <c r="L376" i="21"/>
  <c r="L383" i="21"/>
  <c r="J384" i="21"/>
  <c r="J392" i="21"/>
  <c r="I372" i="21"/>
  <c r="J376" i="21"/>
  <c r="J378" i="21"/>
  <c r="J386" i="21"/>
  <c r="L380" i="21"/>
  <c r="J390" i="21"/>
  <c r="H396" i="21"/>
  <c r="L378" i="21"/>
  <c r="K392" i="21"/>
  <c r="K378" i="21"/>
  <c r="K390" i="21"/>
  <c r="K380" i="21"/>
  <c r="K388" i="21"/>
  <c r="J377" i="21"/>
  <c r="J389" i="21"/>
  <c r="K379" i="21"/>
  <c r="J388" i="21"/>
  <c r="K373" i="21"/>
  <c r="J391" i="21"/>
  <c r="K387" i="21"/>
  <c r="K375" i="21"/>
  <c r="K386" i="21"/>
  <c r="K382" i="21"/>
  <c r="L386" i="21"/>
  <c r="H397" i="21"/>
  <c r="L384" i="21"/>
  <c r="V47" i="11"/>
  <c r="C50" i="10"/>
  <c r="J50" i="10"/>
  <c r="D50" i="10"/>
  <c r="I50" i="10"/>
  <c r="K50" i="10"/>
  <c r="B50" i="10"/>
  <c r="F50" i="10"/>
  <c r="G50" i="10"/>
  <c r="A51" i="10"/>
  <c r="L50" i="10"/>
  <c r="M50" i="10"/>
  <c r="P50" i="10"/>
  <c r="E50" i="10"/>
  <c r="H50" i="10"/>
  <c r="V47" i="18"/>
  <c r="BH43" i="24"/>
  <c r="BI43" i="24"/>
  <c r="BJ43" i="24"/>
  <c r="EJ43" i="24"/>
  <c r="EK43" i="24"/>
  <c r="EL43" i="24"/>
  <c r="AC43" i="24"/>
  <c r="CA43" i="24"/>
  <c r="DE43" i="24"/>
  <c r="EM43" i="24"/>
  <c r="EN43" i="24"/>
  <c r="EO43" i="24"/>
  <c r="CO43" i="24"/>
  <c r="CP43" i="24"/>
  <c r="CQ43" i="24"/>
  <c r="DP43" i="24"/>
  <c r="DQ43" i="24"/>
  <c r="DR43" i="24"/>
  <c r="BE43" i="24"/>
  <c r="BF43" i="24"/>
  <c r="CY43" i="24"/>
  <c r="CZ43" i="24"/>
  <c r="DA43" i="24"/>
  <c r="B44" i="24"/>
  <c r="AD43" i="24"/>
  <c r="AE43" i="24"/>
  <c r="AF43" i="24"/>
  <c r="BR43" i="24"/>
  <c r="BS43" i="24"/>
  <c r="BT43" i="24"/>
  <c r="DF43" i="24"/>
  <c r="DG43" i="24"/>
  <c r="DH43" i="24"/>
  <c r="F43" i="24"/>
  <c r="S43" i="24"/>
  <c r="AK43" i="24"/>
  <c r="AL43" i="24"/>
  <c r="AW43" i="24"/>
  <c r="BO43" i="24"/>
  <c r="BP43" i="24"/>
  <c r="CE43" i="24"/>
  <c r="CF43" i="24"/>
  <c r="CG43" i="24"/>
  <c r="CU43" i="24"/>
  <c r="DM43" i="24"/>
  <c r="DN43" i="24"/>
  <c r="DY43" i="24"/>
  <c r="AG43" i="24"/>
  <c r="AH43" i="24"/>
  <c r="AI43" i="24"/>
  <c r="EC43" i="24"/>
  <c r="ED43" i="24"/>
  <c r="EE43" i="24"/>
  <c r="M43" i="24"/>
  <c r="N43" i="24"/>
  <c r="O43" i="24"/>
  <c r="CB43" i="24"/>
  <c r="CC43" i="24"/>
  <c r="CD43" i="24"/>
  <c r="G43" i="24"/>
  <c r="H43" i="24"/>
  <c r="BQ43" i="24"/>
  <c r="DO43" i="24"/>
  <c r="C43" i="24"/>
  <c r="AN43" i="24"/>
  <c r="AO43" i="24"/>
  <c r="AP43" i="24"/>
  <c r="AM43" i="24"/>
  <c r="EG43" i="24"/>
  <c r="EH43" i="24"/>
  <c r="J43" i="24"/>
  <c r="K43" i="24"/>
  <c r="L43" i="24"/>
  <c r="AX43" i="24"/>
  <c r="AY43" i="24"/>
  <c r="AZ43" i="24"/>
  <c r="CL43" i="24"/>
  <c r="CM43" i="24"/>
  <c r="CN43" i="24"/>
  <c r="DZ43" i="24"/>
  <c r="EA43" i="24"/>
  <c r="EB43" i="24"/>
  <c r="I43" i="24"/>
  <c r="AA43" i="24"/>
  <c r="AB43" i="24"/>
  <c r="AQ43" i="24"/>
  <c r="AR43" i="24"/>
  <c r="AS43" i="24"/>
  <c r="BG43" i="24"/>
  <c r="BY43" i="24"/>
  <c r="BZ43" i="24"/>
  <c r="CK43" i="24"/>
  <c r="DC43" i="24"/>
  <c r="DD43" i="24"/>
  <c r="DS43" i="24"/>
  <c r="DT43" i="24"/>
  <c r="DU43" i="24"/>
  <c r="EI43" i="24"/>
  <c r="E43" i="24"/>
  <c r="BU43" i="24"/>
  <c r="BV43" i="24"/>
  <c r="BW43" i="24"/>
  <c r="T43" i="24"/>
  <c r="U43" i="24"/>
  <c r="V43" i="24"/>
  <c r="CV43" i="24"/>
  <c r="CW43" i="24"/>
  <c r="CX43" i="24"/>
  <c r="Q43" i="24"/>
  <c r="R43" i="24"/>
  <c r="AU43" i="24"/>
  <c r="AV43" i="24"/>
  <c r="BK43" i="24"/>
  <c r="BL43" i="24"/>
  <c r="BM43" i="24"/>
  <c r="CS43" i="24"/>
  <c r="CT43" i="24"/>
  <c r="DW43" i="24"/>
  <c r="DX43" i="24"/>
  <c r="BA43" i="24"/>
  <c r="BB43" i="24"/>
  <c r="BC43" i="24"/>
  <c r="D43" i="24"/>
  <c r="W43" i="24"/>
  <c r="X43" i="24"/>
  <c r="Y43" i="24"/>
  <c r="CI43" i="24"/>
  <c r="CJ43" i="24"/>
  <c r="DI43" i="24"/>
  <c r="DJ43" i="24"/>
  <c r="DK43" i="24"/>
  <c r="E1783" i="20"/>
  <c r="AT48" i="13"/>
  <c r="AY48" i="13"/>
  <c r="E49" i="13"/>
  <c r="AH49" i="13"/>
  <c r="B49" i="13"/>
  <c r="AO49" i="13"/>
  <c r="AK49" i="13"/>
  <c r="X49" i="13"/>
  <c r="AA49" i="13"/>
  <c r="AN49" i="13"/>
  <c r="AI49" i="13"/>
  <c r="AP49" i="13"/>
  <c r="AC49" i="13"/>
  <c r="L49" i="13"/>
  <c r="Q49" i="13"/>
  <c r="W49" i="13"/>
  <c r="AJ49" i="13"/>
  <c r="AE49" i="13"/>
  <c r="BL49" i="13"/>
  <c r="BC49" i="13"/>
  <c r="U49" i="13"/>
  <c r="P49" i="13"/>
  <c r="AM49" i="13"/>
  <c r="D49" i="13"/>
  <c r="AQ49" i="13"/>
  <c r="AG49" i="13"/>
  <c r="S49" i="13"/>
  <c r="AL49" i="13"/>
  <c r="I49" i="13"/>
  <c r="Y49" i="13"/>
  <c r="AR49" i="13"/>
  <c r="F49" i="13"/>
  <c r="AF49" i="13"/>
  <c r="V49" i="13"/>
  <c r="N49" i="13"/>
  <c r="AD49" i="13"/>
  <c r="AB49" i="13"/>
  <c r="H49" i="13"/>
  <c r="G49" i="13"/>
  <c r="J49" i="13"/>
  <c r="K49" i="13"/>
  <c r="Z49" i="13"/>
  <c r="M49" i="13"/>
  <c r="A50" i="13"/>
  <c r="O49" i="13"/>
  <c r="R49" i="13"/>
  <c r="AS49" i="13"/>
  <c r="T49" i="13"/>
  <c r="C49" i="13"/>
  <c r="AU49" i="13"/>
  <c r="AV49" i="13"/>
  <c r="BF49" i="13"/>
  <c r="BB49" i="13"/>
  <c r="BA49" i="13"/>
  <c r="AY49" i="13"/>
  <c r="AX49" i="13"/>
  <c r="BE49" i="13"/>
  <c r="AZ49" i="13"/>
  <c r="AT49" i="13"/>
  <c r="AW49" i="13"/>
  <c r="W46" i="18"/>
  <c r="AH46" i="18"/>
  <c r="F16" i="30"/>
  <c r="D16" i="30"/>
  <c r="A17" i="30"/>
  <c r="C16" i="30"/>
  <c r="B16" i="30"/>
  <c r="E16" i="30"/>
  <c r="B204" i="29"/>
  <c r="C170" i="29"/>
  <c r="C168" i="29"/>
  <c r="C166" i="29"/>
  <c r="C164" i="29"/>
  <c r="C162" i="29"/>
  <c r="C160" i="29"/>
  <c r="C158" i="29"/>
  <c r="D154" i="29"/>
  <c r="D170" i="29"/>
  <c r="D167" i="29"/>
  <c r="C165" i="29"/>
  <c r="D162" i="29"/>
  <c r="D159" i="29"/>
  <c r="C157" i="29"/>
  <c r="D169" i="29"/>
  <c r="C167" i="29"/>
  <c r="D164" i="29"/>
  <c r="D161" i="29"/>
  <c r="C159" i="29"/>
  <c r="F154" i="29"/>
  <c r="D166" i="29"/>
  <c r="C161" i="29"/>
  <c r="D165" i="29"/>
  <c r="D160" i="29"/>
  <c r="D153" i="29"/>
  <c r="C169" i="29"/>
  <c r="D163" i="29"/>
  <c r="D158" i="29"/>
  <c r="C163" i="29"/>
  <c r="D157" i="29"/>
  <c r="D168" i="29"/>
  <c r="R50" i="13"/>
  <c r="F50" i="13"/>
  <c r="AJ50" i="13"/>
  <c r="AO50" i="13"/>
  <c r="AG50" i="13"/>
  <c r="T50" i="13"/>
  <c r="B50" i="13"/>
  <c r="Q50" i="13"/>
  <c r="Z50" i="13"/>
  <c r="AS50" i="13"/>
  <c r="AQ50" i="13"/>
  <c r="X50" i="13"/>
  <c r="AH50" i="13"/>
  <c r="AE50" i="13"/>
  <c r="V50" i="13"/>
  <c r="AF50" i="13"/>
  <c r="AR50" i="13"/>
  <c r="AC50" i="13"/>
  <c r="AA50" i="13"/>
  <c r="Y50" i="13"/>
  <c r="G50" i="13"/>
  <c r="C50" i="13"/>
  <c r="J50" i="13"/>
  <c r="K50" i="13"/>
  <c r="M50" i="13"/>
  <c r="AI50" i="13"/>
  <c r="D50" i="13"/>
  <c r="E50" i="13"/>
  <c r="W50" i="13"/>
  <c r="H50" i="13"/>
  <c r="AP50" i="13"/>
  <c r="I50" i="13"/>
  <c r="O50" i="13"/>
  <c r="A51" i="13"/>
  <c r="U50" i="13"/>
  <c r="AL50" i="13"/>
  <c r="AB50" i="13"/>
  <c r="BL50" i="13"/>
  <c r="AU50" i="13"/>
  <c r="AD50" i="13"/>
  <c r="P50" i="13"/>
  <c r="AK50" i="13"/>
  <c r="AM50" i="13"/>
  <c r="N50" i="13"/>
  <c r="S50" i="13"/>
  <c r="AN50" i="13"/>
  <c r="L50" i="13"/>
  <c r="AX50" i="13"/>
  <c r="AZ50" i="13"/>
  <c r="BE50" i="13"/>
  <c r="W47" i="18"/>
  <c r="AI47" i="18"/>
  <c r="Q375" i="21"/>
  <c r="Q377" i="21"/>
  <c r="P378" i="21"/>
  <c r="R392" i="21"/>
  <c r="R386" i="21"/>
  <c r="R387" i="21"/>
  <c r="P387" i="21"/>
  <c r="P389" i="21"/>
  <c r="R384" i="21"/>
  <c r="R376" i="21"/>
  <c r="Q384" i="21"/>
  <c r="R385" i="21"/>
  <c r="R378" i="21"/>
  <c r="Q386" i="21"/>
  <c r="P390" i="21"/>
  <c r="P375" i="21"/>
  <c r="R391" i="21"/>
  <c r="N395" i="21"/>
  <c r="N373" i="21"/>
  <c r="Q388" i="21"/>
  <c r="B401" i="21"/>
  <c r="Q383" i="21"/>
  <c r="R377" i="21"/>
  <c r="Q381" i="21"/>
  <c r="R375" i="21"/>
  <c r="Q380" i="21"/>
  <c r="Q389" i="21"/>
  <c r="P380" i="21"/>
  <c r="R379" i="21"/>
  <c r="R382" i="21"/>
  <c r="P382" i="21"/>
  <c r="P377" i="21"/>
  <c r="P376" i="21"/>
  <c r="P392" i="21"/>
  <c r="P384" i="21"/>
  <c r="Q391" i="21"/>
  <c r="P388" i="21"/>
  <c r="N397" i="21"/>
  <c r="R390" i="21"/>
  <c r="R383" i="21"/>
  <c r="N394" i="21"/>
  <c r="Q376" i="21"/>
  <c r="Q387" i="21"/>
  <c r="P386" i="21"/>
  <c r="Q385" i="21"/>
  <c r="R381" i="21"/>
  <c r="Q379" i="21"/>
  <c r="R389" i="21"/>
  <c r="P381" i="21"/>
  <c r="Q373" i="21"/>
  <c r="Q378" i="21"/>
  <c r="P391" i="21"/>
  <c r="N396" i="21"/>
  <c r="R380" i="21"/>
  <c r="P383" i="21"/>
  <c r="Q390" i="21"/>
  <c r="R388" i="21"/>
  <c r="Q382" i="21"/>
  <c r="P385" i="21"/>
  <c r="P379" i="21"/>
  <c r="O372" i="21"/>
  <c r="Q392" i="21"/>
  <c r="D1209" i="25"/>
  <c r="C1207" i="25"/>
  <c r="F1206" i="25"/>
  <c r="E1207" i="25"/>
  <c r="C1208" i="25"/>
  <c r="E1210" i="25"/>
  <c r="C1214" i="25"/>
  <c r="F1213" i="25"/>
  <c r="E1205" i="25"/>
  <c r="D1210" i="25"/>
  <c r="E1211" i="25"/>
  <c r="D1203" i="25"/>
  <c r="C1201" i="25"/>
  <c r="F1198" i="25"/>
  <c r="D1202" i="25"/>
  <c r="F1214" i="25"/>
  <c r="D1214" i="25"/>
  <c r="D1208" i="25"/>
  <c r="F1205" i="25"/>
  <c r="E1203" i="25"/>
  <c r="D1211" i="25"/>
  <c r="C1209" i="25"/>
  <c r="D1198" i="25"/>
  <c r="D1205" i="25"/>
  <c r="C1203" i="25"/>
  <c r="F1202" i="25"/>
  <c r="E1206" i="25"/>
  <c r="C1204" i="25"/>
  <c r="D1212" i="25"/>
  <c r="C1210" i="25"/>
  <c r="F1209" i="25"/>
  <c r="E1204" i="25"/>
  <c r="C1212" i="25"/>
  <c r="B1248" i="25"/>
  <c r="C1213" i="25"/>
  <c r="F1212" i="25"/>
  <c r="E1201" i="25"/>
  <c r="F1211" i="25"/>
  <c r="D1201" i="25"/>
  <c r="E1209" i="25"/>
  <c r="F1207" i="25"/>
  <c r="C1206" i="25"/>
  <c r="D1197" i="25"/>
  <c r="F1208" i="25"/>
  <c r="E1213" i="25"/>
  <c r="D1213" i="25"/>
  <c r="C1211" i="25"/>
  <c r="F1210" i="25"/>
  <c r="E1208" i="25"/>
  <c r="D1206" i="25"/>
  <c r="E1212" i="25"/>
  <c r="D1204" i="25"/>
  <c r="C1202" i="25"/>
  <c r="F1201" i="25"/>
  <c r="E1202" i="25"/>
  <c r="F1203" i="25"/>
  <c r="D1207" i="25"/>
  <c r="C1205" i="25"/>
  <c r="F1204" i="25"/>
  <c r="E1214" i="25"/>
  <c r="AH46" i="11"/>
  <c r="B49" i="11"/>
  <c r="C49" i="11"/>
  <c r="E49" i="11"/>
  <c r="F49" i="11"/>
  <c r="J49" i="11"/>
  <c r="I49" i="11"/>
  <c r="U49" i="11"/>
  <c r="N49" i="11"/>
  <c r="O49" i="11"/>
  <c r="H49" i="11"/>
  <c r="M49" i="11"/>
  <c r="Q49" i="11"/>
  <c r="Y49" i="11"/>
  <c r="AA49" i="11"/>
  <c r="T49" i="11"/>
  <c r="D49" i="11"/>
  <c r="A50" i="11"/>
  <c r="AG49" i="11"/>
  <c r="G49" i="11"/>
  <c r="R49" i="11"/>
  <c r="S49" i="11"/>
  <c r="K49" i="11"/>
  <c r="L49" i="11"/>
  <c r="P49" i="11"/>
  <c r="V48" i="11"/>
  <c r="C1861" i="20"/>
  <c r="D1867" i="20"/>
  <c r="C1859" i="20"/>
  <c r="D1861" i="20"/>
  <c r="D1872" i="20"/>
  <c r="E1860" i="20"/>
  <c r="C1871" i="20"/>
  <c r="D1859" i="20"/>
  <c r="E1865" i="20"/>
  <c r="C1869" i="20"/>
  <c r="E1859" i="20"/>
  <c r="E1874" i="20"/>
  <c r="C1866" i="20"/>
  <c r="D1868" i="20"/>
  <c r="E1871" i="20"/>
  <c r="C1858" i="20"/>
  <c r="D1873" i="20"/>
  <c r="E1873" i="20"/>
  <c r="E1869" i="20"/>
  <c r="D1870" i="20"/>
  <c r="D1862" i="20"/>
  <c r="D1864" i="20"/>
  <c r="E1864" i="20"/>
  <c r="E1872" i="20"/>
  <c r="A1879" i="20"/>
  <c r="D1858" i="20"/>
  <c r="A1881" i="20"/>
  <c r="C1854" i="20"/>
  <c r="E1863" i="20"/>
  <c r="D1860" i="20"/>
  <c r="D1871" i="20"/>
  <c r="C1870" i="20"/>
  <c r="D1865" i="20"/>
  <c r="D1875" i="20"/>
  <c r="D1874" i="20"/>
  <c r="C1868" i="20"/>
  <c r="E1868" i="20"/>
  <c r="F1936" i="20"/>
  <c r="A1878" i="20"/>
  <c r="D1866" i="20"/>
  <c r="E1861" i="20"/>
  <c r="C1853" i="20"/>
  <c r="E1875" i="20"/>
  <c r="C1863" i="20"/>
  <c r="A1880" i="20"/>
  <c r="E1862" i="20"/>
  <c r="D1863" i="20"/>
  <c r="D1869" i="20"/>
  <c r="E1854" i="20"/>
  <c r="C1860" i="20"/>
  <c r="E1867" i="20"/>
  <c r="C1862" i="20"/>
  <c r="E1866" i="20"/>
  <c r="E1858" i="20"/>
  <c r="E1870" i="20"/>
  <c r="C1865" i="20"/>
  <c r="C1864" i="20"/>
  <c r="C1867" i="20"/>
  <c r="C1872" i="20"/>
  <c r="C1874" i="20"/>
  <c r="C1873" i="20"/>
  <c r="C1875" i="20"/>
  <c r="AI46" i="18"/>
  <c r="T44" i="24"/>
  <c r="U44" i="24"/>
  <c r="V44" i="24"/>
  <c r="BH44" i="24"/>
  <c r="BI44" i="24"/>
  <c r="BJ44" i="24"/>
  <c r="CV44" i="24"/>
  <c r="CW44" i="24"/>
  <c r="CX44" i="24"/>
  <c r="EJ44" i="24"/>
  <c r="EK44" i="24"/>
  <c r="EL44" i="24"/>
  <c r="Q44" i="24"/>
  <c r="R44" i="24"/>
  <c r="AC44" i="24"/>
  <c r="AU44" i="24"/>
  <c r="AV44" i="24"/>
  <c r="BK44" i="24"/>
  <c r="BL44" i="24"/>
  <c r="BM44" i="24"/>
  <c r="CA44" i="24"/>
  <c r="CS44" i="24"/>
  <c r="CT44" i="24"/>
  <c r="DE44" i="24"/>
  <c r="DW44" i="24"/>
  <c r="DX44" i="24"/>
  <c r="M44" i="24"/>
  <c r="N44" i="24"/>
  <c r="O44" i="24"/>
  <c r="E44" i="24"/>
  <c r="C44" i="24"/>
  <c r="AX44" i="24"/>
  <c r="AY44" i="24"/>
  <c r="AZ44" i="24"/>
  <c r="DZ44" i="24"/>
  <c r="EA44" i="24"/>
  <c r="EB44" i="24"/>
  <c r="AQ44" i="24"/>
  <c r="AR44" i="24"/>
  <c r="AS44" i="24"/>
  <c r="CK44" i="24"/>
  <c r="DS44" i="24"/>
  <c r="DT44" i="24"/>
  <c r="DU44" i="24"/>
  <c r="EM44" i="24"/>
  <c r="EN44" i="24"/>
  <c r="EO44" i="24"/>
  <c r="B45" i="24"/>
  <c r="AD44" i="24"/>
  <c r="AE44" i="24"/>
  <c r="AF44" i="24"/>
  <c r="BR44" i="24"/>
  <c r="BS44" i="24"/>
  <c r="BT44" i="24"/>
  <c r="DF44" i="24"/>
  <c r="DG44" i="24"/>
  <c r="DH44" i="24"/>
  <c r="F44" i="24"/>
  <c r="S44" i="24"/>
  <c r="AK44" i="24"/>
  <c r="AL44" i="24"/>
  <c r="AW44" i="24"/>
  <c r="BO44" i="24"/>
  <c r="BP44" i="24"/>
  <c r="CE44" i="24"/>
  <c r="CF44" i="24"/>
  <c r="CG44" i="24"/>
  <c r="CU44" i="24"/>
  <c r="DM44" i="24"/>
  <c r="DN44" i="24"/>
  <c r="DY44" i="24"/>
  <c r="CO44" i="24"/>
  <c r="CP44" i="24"/>
  <c r="CQ44" i="24"/>
  <c r="BA44" i="24"/>
  <c r="BB44" i="24"/>
  <c r="BC44" i="24"/>
  <c r="BU44" i="24"/>
  <c r="BV44" i="24"/>
  <c r="BW44" i="24"/>
  <c r="J44" i="24"/>
  <c r="K44" i="24"/>
  <c r="L44" i="24"/>
  <c r="I44" i="24"/>
  <c r="AA44" i="24"/>
  <c r="AB44" i="24"/>
  <c r="BY44" i="24"/>
  <c r="BZ44" i="24"/>
  <c r="DC44" i="24"/>
  <c r="DD44" i="24"/>
  <c r="DI44" i="24"/>
  <c r="DJ44" i="24"/>
  <c r="DK44" i="24"/>
  <c r="D44" i="24"/>
  <c r="AN44" i="24"/>
  <c r="AO44" i="24"/>
  <c r="AP44" i="24"/>
  <c r="CB44" i="24"/>
  <c r="CC44" i="24"/>
  <c r="CD44" i="24"/>
  <c r="DP44" i="24"/>
  <c r="DQ44" i="24"/>
  <c r="DR44" i="24"/>
  <c r="G44" i="24"/>
  <c r="H44" i="24"/>
  <c r="W44" i="24"/>
  <c r="X44" i="24"/>
  <c r="Y44" i="24"/>
  <c r="AM44" i="24"/>
  <c r="BE44" i="24"/>
  <c r="BF44" i="24"/>
  <c r="BQ44" i="24"/>
  <c r="CI44" i="24"/>
  <c r="CJ44" i="24"/>
  <c r="CY44" i="24"/>
  <c r="CZ44" i="24"/>
  <c r="DA44" i="24"/>
  <c r="DO44" i="24"/>
  <c r="EG44" i="24"/>
  <c r="EH44" i="24"/>
  <c r="AG44" i="24"/>
  <c r="AH44" i="24"/>
  <c r="AI44" i="24"/>
  <c r="EC44" i="24"/>
  <c r="ED44" i="24"/>
  <c r="EE44" i="24"/>
  <c r="CL44" i="24"/>
  <c r="CM44" i="24"/>
  <c r="CN44" i="24"/>
  <c r="BG44" i="24"/>
  <c r="EI44" i="24"/>
  <c r="G51" i="10"/>
  <c r="E51" i="10"/>
  <c r="I51" i="10"/>
  <c r="K51" i="10"/>
  <c r="J51" i="10"/>
  <c r="B51" i="10"/>
  <c r="F51" i="10"/>
  <c r="D51" i="10"/>
  <c r="L51" i="10"/>
  <c r="M51" i="10"/>
  <c r="P51" i="10"/>
  <c r="C51" i="10"/>
  <c r="A52" i="10"/>
  <c r="H51" i="10"/>
  <c r="D49" i="18"/>
  <c r="F49" i="18"/>
  <c r="B49" i="18"/>
  <c r="Q49" i="18"/>
  <c r="T49" i="18"/>
  <c r="AB49" i="18"/>
  <c r="AG49" i="18"/>
  <c r="O49" i="18"/>
  <c r="G49" i="18"/>
  <c r="Y49" i="18"/>
  <c r="L49" i="18"/>
  <c r="M49" i="18"/>
  <c r="K49" i="18"/>
  <c r="E49" i="18"/>
  <c r="U49" i="18"/>
  <c r="R49" i="18"/>
  <c r="S49" i="18"/>
  <c r="N49" i="18"/>
  <c r="A50" i="18"/>
  <c r="H49" i="18"/>
  <c r="I49" i="18"/>
  <c r="C49" i="18"/>
  <c r="P49" i="18"/>
  <c r="J49" i="18"/>
  <c r="W47" i="11"/>
  <c r="AI47" i="11"/>
  <c r="V48" i="18"/>
  <c r="B233" i="29"/>
  <c r="D198" i="29"/>
  <c r="D196" i="29"/>
  <c r="D194" i="29"/>
  <c r="D192" i="29"/>
  <c r="D190" i="29"/>
  <c r="D188" i="29"/>
  <c r="D186" i="29"/>
  <c r="C198" i="29"/>
  <c r="D195" i="29"/>
  <c r="C193" i="29"/>
  <c r="C190" i="29"/>
  <c r="D187" i="29"/>
  <c r="D183" i="29"/>
  <c r="D197" i="29"/>
  <c r="C195" i="29"/>
  <c r="C192" i="29"/>
  <c r="D189" i="29"/>
  <c r="C187" i="29"/>
  <c r="C199" i="29"/>
  <c r="D193" i="29"/>
  <c r="C188" i="29"/>
  <c r="D182" i="29"/>
  <c r="C197" i="29"/>
  <c r="D191" i="29"/>
  <c r="C186" i="29"/>
  <c r="C196" i="29"/>
  <c r="C191" i="29"/>
  <c r="F183" i="29"/>
  <c r="C189" i="29"/>
  <c r="D199" i="29"/>
  <c r="C194" i="29"/>
  <c r="D17" i="30"/>
  <c r="A18" i="30"/>
  <c r="F17" i="30"/>
  <c r="B17" i="30"/>
  <c r="E17" i="30"/>
  <c r="C17" i="30"/>
  <c r="AH47" i="11"/>
  <c r="V49" i="18"/>
  <c r="C1915" i="20"/>
  <c r="C1916" i="20"/>
  <c r="C1909" i="20"/>
  <c r="E1919" i="20"/>
  <c r="C1914" i="20"/>
  <c r="E1913" i="20"/>
  <c r="E1910" i="20"/>
  <c r="C1906" i="20"/>
  <c r="C1911" i="20"/>
  <c r="E1914" i="20"/>
  <c r="D1912" i="20"/>
  <c r="D1905" i="20"/>
  <c r="E1911" i="20"/>
  <c r="E1917" i="20"/>
  <c r="D1920" i="20"/>
  <c r="E1907" i="20"/>
  <c r="A1923" i="20"/>
  <c r="D1906" i="20"/>
  <c r="C1913" i="20"/>
  <c r="A1924" i="20"/>
  <c r="C1905" i="20"/>
  <c r="E1920" i="20"/>
  <c r="D1904" i="20"/>
  <c r="D1903" i="20"/>
  <c r="E1909" i="20"/>
  <c r="D1915" i="20"/>
  <c r="D1911" i="20"/>
  <c r="E1905" i="20"/>
  <c r="C1908" i="20"/>
  <c r="D1919" i="20"/>
  <c r="D1910" i="20"/>
  <c r="C1910" i="20"/>
  <c r="A1925" i="20"/>
  <c r="E1916" i="20"/>
  <c r="D1907" i="20"/>
  <c r="A1926" i="20"/>
  <c r="E1908" i="20"/>
  <c r="D1908" i="20"/>
  <c r="C1904" i="20"/>
  <c r="D1918" i="20"/>
  <c r="D1916" i="20"/>
  <c r="C1907" i="20"/>
  <c r="D1913" i="20"/>
  <c r="F1981" i="20"/>
  <c r="E1903" i="20"/>
  <c r="E1904" i="20"/>
  <c r="C1899" i="20"/>
  <c r="E1899" i="20"/>
  <c r="D1909" i="20"/>
  <c r="E1915" i="20"/>
  <c r="C1912" i="20"/>
  <c r="C1903" i="20"/>
  <c r="D1917" i="20"/>
  <c r="E1918" i="20"/>
  <c r="E1912" i="20"/>
  <c r="E1906" i="20"/>
  <c r="D1914" i="20"/>
  <c r="C1898" i="20"/>
  <c r="C1918" i="20"/>
  <c r="C1920" i="20"/>
  <c r="C1917" i="20"/>
  <c r="C1919" i="20"/>
  <c r="B424" i="21"/>
  <c r="E416" i="21"/>
  <c r="E402" i="21"/>
  <c r="D421" i="21"/>
  <c r="D409" i="21"/>
  <c r="E414" i="21"/>
  <c r="E406" i="21"/>
  <c r="E420" i="21"/>
  <c r="D404" i="21"/>
  <c r="F411" i="21"/>
  <c r="E417" i="21"/>
  <c r="F407" i="21"/>
  <c r="D407" i="21"/>
  <c r="B423" i="21"/>
  <c r="D418" i="21"/>
  <c r="E419" i="21"/>
  <c r="B402" i="21"/>
  <c r="D406" i="21"/>
  <c r="D420" i="21"/>
  <c r="D410" i="21"/>
  <c r="F413" i="21"/>
  <c r="D412" i="21"/>
  <c r="H401" i="21"/>
  <c r="D413" i="21"/>
  <c r="F408" i="21"/>
  <c r="E408" i="21"/>
  <c r="F405" i="21"/>
  <c r="F420" i="21"/>
  <c r="E404" i="21"/>
  <c r="E405" i="21"/>
  <c r="E421" i="21"/>
  <c r="F412" i="21"/>
  <c r="F416" i="21"/>
  <c r="E412" i="21"/>
  <c r="E411" i="21"/>
  <c r="D419" i="21"/>
  <c r="F404" i="21"/>
  <c r="F419" i="21"/>
  <c r="B426" i="21"/>
  <c r="D415" i="21"/>
  <c r="E413" i="21"/>
  <c r="F414" i="21"/>
  <c r="F418" i="21"/>
  <c r="F417" i="21"/>
  <c r="E410" i="21"/>
  <c r="E415" i="21"/>
  <c r="F410" i="21"/>
  <c r="F406" i="21"/>
  <c r="F415" i="21"/>
  <c r="F409" i="21"/>
  <c r="E418" i="21"/>
  <c r="E407" i="21"/>
  <c r="D414" i="21"/>
  <c r="B425" i="21"/>
  <c r="E409" i="21"/>
  <c r="D405" i="21"/>
  <c r="F421" i="21"/>
  <c r="D416" i="21"/>
  <c r="C401" i="21"/>
  <c r="D408" i="21"/>
  <c r="D411" i="21"/>
  <c r="D417" i="21"/>
  <c r="AY50" i="13"/>
  <c r="BC50" i="13"/>
  <c r="T45" i="24"/>
  <c r="U45" i="24"/>
  <c r="V45" i="24"/>
  <c r="BH45" i="24"/>
  <c r="BI45" i="24"/>
  <c r="BJ45" i="24"/>
  <c r="CV45" i="24"/>
  <c r="CW45" i="24"/>
  <c r="CX45" i="24"/>
  <c r="EJ45" i="24"/>
  <c r="EK45" i="24"/>
  <c r="EL45" i="24"/>
  <c r="BE45" i="24"/>
  <c r="BF45" i="24"/>
  <c r="EG45" i="24"/>
  <c r="EH45" i="24"/>
  <c r="I45" i="24"/>
  <c r="AW45" i="24"/>
  <c r="CK45" i="24"/>
  <c r="DY45" i="24"/>
  <c r="AM45" i="24"/>
  <c r="DO45" i="24"/>
  <c r="AA45" i="24"/>
  <c r="AB45" i="24"/>
  <c r="BO45" i="24"/>
  <c r="BP45" i="24"/>
  <c r="DC45" i="24"/>
  <c r="DD45" i="24"/>
  <c r="B46" i="24"/>
  <c r="BR45" i="24"/>
  <c r="BS45" i="24"/>
  <c r="BT45" i="24"/>
  <c r="E45" i="24"/>
  <c r="EI45" i="24"/>
  <c r="BA45" i="24"/>
  <c r="BB45" i="24"/>
  <c r="BC45" i="24"/>
  <c r="EC45" i="24"/>
  <c r="ED45" i="24"/>
  <c r="EE45" i="24"/>
  <c r="AG45" i="24"/>
  <c r="AH45" i="24"/>
  <c r="AI45" i="24"/>
  <c r="BQ45" i="24"/>
  <c r="CL45" i="24"/>
  <c r="CM45" i="24"/>
  <c r="CN45" i="24"/>
  <c r="S45" i="24"/>
  <c r="AU45" i="24"/>
  <c r="AV45" i="24"/>
  <c r="AK45" i="24"/>
  <c r="AL45" i="24"/>
  <c r="W45" i="24"/>
  <c r="X45" i="24"/>
  <c r="Y45" i="24"/>
  <c r="AD45" i="24"/>
  <c r="AE45" i="24"/>
  <c r="AF45" i="24"/>
  <c r="DF45" i="24"/>
  <c r="DG45" i="24"/>
  <c r="DH45" i="24"/>
  <c r="BG45" i="24"/>
  <c r="M45" i="24"/>
  <c r="N45" i="24"/>
  <c r="O45" i="24"/>
  <c r="CO45" i="24"/>
  <c r="CP45" i="24"/>
  <c r="CQ45" i="24"/>
  <c r="BY45" i="24"/>
  <c r="BZ45" i="24"/>
  <c r="AC45" i="24"/>
  <c r="DE45" i="24"/>
  <c r="D45" i="24"/>
  <c r="CB45" i="24"/>
  <c r="CC45" i="24"/>
  <c r="CD45" i="24"/>
  <c r="DP45" i="24"/>
  <c r="DQ45" i="24"/>
  <c r="DR45" i="24"/>
  <c r="Q45" i="24"/>
  <c r="R45" i="24"/>
  <c r="F45" i="24"/>
  <c r="AQ45" i="24"/>
  <c r="AR45" i="24"/>
  <c r="AS45" i="24"/>
  <c r="DS45" i="24"/>
  <c r="DT45" i="24"/>
  <c r="DU45" i="24"/>
  <c r="CA45" i="24"/>
  <c r="CY45" i="24"/>
  <c r="CZ45" i="24"/>
  <c r="DA45" i="24"/>
  <c r="DI45" i="24"/>
  <c r="DJ45" i="24"/>
  <c r="DK45" i="24"/>
  <c r="J45" i="24"/>
  <c r="K45" i="24"/>
  <c r="L45" i="24"/>
  <c r="DZ45" i="24"/>
  <c r="EA45" i="24"/>
  <c r="EB45" i="24"/>
  <c r="G45" i="24"/>
  <c r="H45" i="24"/>
  <c r="CI45" i="24"/>
  <c r="CJ45" i="24"/>
  <c r="DM45" i="24"/>
  <c r="DN45" i="24"/>
  <c r="BK45" i="24"/>
  <c r="BL45" i="24"/>
  <c r="BM45" i="24"/>
  <c r="AN45" i="24"/>
  <c r="AO45" i="24"/>
  <c r="AP45" i="24"/>
  <c r="CS45" i="24"/>
  <c r="CT45" i="24"/>
  <c r="CE45" i="24"/>
  <c r="CF45" i="24"/>
  <c r="CG45" i="24"/>
  <c r="C45" i="24"/>
  <c r="BU45" i="24"/>
  <c r="BV45" i="24"/>
  <c r="BW45" i="24"/>
  <c r="AX45" i="24"/>
  <c r="AY45" i="24"/>
  <c r="AZ45" i="24"/>
  <c r="CU45" i="24"/>
  <c r="DW45" i="24"/>
  <c r="DX45" i="24"/>
  <c r="EM45" i="24"/>
  <c r="EN45" i="24"/>
  <c r="EO45" i="24"/>
  <c r="AG50" i="11"/>
  <c r="K50" i="11"/>
  <c r="U50" i="11"/>
  <c r="O50" i="11"/>
  <c r="I50" i="11"/>
  <c r="Y50" i="11"/>
  <c r="J50" i="11"/>
  <c r="G50" i="11"/>
  <c r="C50" i="11"/>
  <c r="A51" i="11"/>
  <c r="H50" i="11"/>
  <c r="R50" i="11"/>
  <c r="S50" i="11"/>
  <c r="P50" i="11"/>
  <c r="T50" i="11"/>
  <c r="L50" i="11"/>
  <c r="B50" i="11"/>
  <c r="N50" i="11"/>
  <c r="F50" i="11"/>
  <c r="AA50" i="11"/>
  <c r="D50" i="11"/>
  <c r="E50" i="11"/>
  <c r="M50" i="11"/>
  <c r="Q50" i="11"/>
  <c r="C1240" i="25"/>
  <c r="F1239" i="25"/>
  <c r="E1238" i="25"/>
  <c r="D1233" i="25"/>
  <c r="C1231" i="25"/>
  <c r="E1233" i="25"/>
  <c r="C1237" i="25"/>
  <c r="F1236" i="25"/>
  <c r="E1231" i="25"/>
  <c r="C1239" i="25"/>
  <c r="D1227" i="25"/>
  <c r="C1238" i="25"/>
  <c r="F1237" i="25"/>
  <c r="E1236" i="25"/>
  <c r="D1236" i="25"/>
  <c r="C1236" i="25"/>
  <c r="F1235" i="25"/>
  <c r="E1234" i="25"/>
  <c r="D1243" i="25"/>
  <c r="F1238" i="25"/>
  <c r="D1230" i="25"/>
  <c r="C1233" i="25"/>
  <c r="F1232" i="25"/>
  <c r="D1237" i="25"/>
  <c r="F1242" i="25"/>
  <c r="D1240" i="25"/>
  <c r="C1234" i="25"/>
  <c r="F1233" i="25"/>
  <c r="E1232" i="25"/>
  <c r="D1235" i="25"/>
  <c r="C1232" i="25"/>
  <c r="F1231" i="25"/>
  <c r="E1230" i="25"/>
  <c r="C1243" i="25"/>
  <c r="F1234" i="25"/>
  <c r="D1239" i="25"/>
  <c r="D1226" i="25"/>
  <c r="E1243" i="25"/>
  <c r="D1232" i="25"/>
  <c r="F1230" i="25"/>
  <c r="E1235" i="25"/>
  <c r="C1230" i="25"/>
  <c r="F1227" i="25"/>
  <c r="D1242" i="25"/>
  <c r="D1238" i="25"/>
  <c r="B1277" i="25"/>
  <c r="F1243" i="25"/>
  <c r="E1242" i="25"/>
  <c r="D1234" i="25"/>
  <c r="C1235" i="25"/>
  <c r="E1241" i="25"/>
  <c r="C1241" i="25"/>
  <c r="F1240" i="25"/>
  <c r="E1239" i="25"/>
  <c r="D1231" i="25"/>
  <c r="E1237" i="25"/>
  <c r="C1242" i="25"/>
  <c r="F1241" i="25"/>
  <c r="E1240" i="25"/>
  <c r="D1241" i="25"/>
  <c r="AH47" i="18"/>
  <c r="AT50" i="13"/>
  <c r="AV50" i="13"/>
  <c r="BB50" i="13"/>
  <c r="C52" i="10"/>
  <c r="J52" i="10"/>
  <c r="K52" i="10"/>
  <c r="A53" i="10"/>
  <c r="E52" i="10"/>
  <c r="L52" i="10"/>
  <c r="M52" i="10"/>
  <c r="P52" i="10"/>
  <c r="B52" i="10"/>
  <c r="H52" i="10"/>
  <c r="I52" i="10"/>
  <c r="D52" i="10"/>
  <c r="G52" i="10"/>
  <c r="F52" i="10"/>
  <c r="W48" i="11"/>
  <c r="AH48" i="11"/>
  <c r="AI48" i="11"/>
  <c r="AJ51" i="13"/>
  <c r="C51" i="13"/>
  <c r="L51" i="13"/>
  <c r="AB51" i="13"/>
  <c r="Z51" i="13"/>
  <c r="F51" i="13"/>
  <c r="R51" i="13"/>
  <c r="A52" i="13"/>
  <c r="AG51" i="13"/>
  <c r="N51" i="13"/>
  <c r="H51" i="13"/>
  <c r="AN51" i="13"/>
  <c r="AH51" i="13"/>
  <c r="E51" i="13"/>
  <c r="BL51" i="13"/>
  <c r="AV51" i="13"/>
  <c r="K51" i="13"/>
  <c r="G51" i="13"/>
  <c r="AM51" i="13"/>
  <c r="AA51" i="13"/>
  <c r="AP51" i="13"/>
  <c r="S51" i="13"/>
  <c r="J51" i="13"/>
  <c r="Y51" i="13"/>
  <c r="AF51" i="13"/>
  <c r="AR51" i="13"/>
  <c r="U51" i="13"/>
  <c r="AS51" i="13"/>
  <c r="M51" i="13"/>
  <c r="D51" i="13"/>
  <c r="AX51" i="13"/>
  <c r="B51" i="13"/>
  <c r="AL51" i="13"/>
  <c r="AO51" i="13"/>
  <c r="X51" i="13"/>
  <c r="V51" i="13"/>
  <c r="AK51" i="13"/>
  <c r="Q51" i="13"/>
  <c r="AC51" i="13"/>
  <c r="O51" i="13"/>
  <c r="AQ51" i="13"/>
  <c r="W51" i="13"/>
  <c r="AD51" i="13"/>
  <c r="AI51" i="13"/>
  <c r="AE51" i="13"/>
  <c r="P51" i="13"/>
  <c r="T51" i="13"/>
  <c r="I51" i="13"/>
  <c r="BC51" i="13"/>
  <c r="BA51" i="13"/>
  <c r="AU51" i="13"/>
  <c r="BF51" i="13"/>
  <c r="AY51" i="13"/>
  <c r="BB51" i="13"/>
  <c r="AT51" i="13"/>
  <c r="AW51" i="13"/>
  <c r="BE51" i="13"/>
  <c r="AZ51" i="13"/>
  <c r="W48" i="18"/>
  <c r="AH48" i="18"/>
  <c r="M50" i="18"/>
  <c r="L50" i="18"/>
  <c r="H50" i="18"/>
  <c r="E50" i="18"/>
  <c r="P50" i="18"/>
  <c r="A51" i="18"/>
  <c r="AG50" i="18"/>
  <c r="G50" i="18"/>
  <c r="K50" i="18"/>
  <c r="Y50" i="18"/>
  <c r="U50" i="18"/>
  <c r="T50" i="18"/>
  <c r="I50" i="18"/>
  <c r="O50" i="18"/>
  <c r="D50" i="18"/>
  <c r="C50" i="18"/>
  <c r="J50" i="18"/>
  <c r="F50" i="18"/>
  <c r="AB50" i="18"/>
  <c r="N50" i="18"/>
  <c r="B50" i="18"/>
  <c r="R50" i="18"/>
  <c r="S50" i="18"/>
  <c r="Q50" i="18"/>
  <c r="V49" i="11"/>
  <c r="AW50" i="13"/>
  <c r="BF50" i="13"/>
  <c r="BA50" i="13"/>
  <c r="A19" i="30"/>
  <c r="B18" i="30"/>
  <c r="E18" i="30"/>
  <c r="D18" i="30"/>
  <c r="C18" i="30"/>
  <c r="F18" i="30"/>
  <c r="B262" i="29"/>
  <c r="C227" i="29"/>
  <c r="C225" i="29"/>
  <c r="C223" i="29"/>
  <c r="C221" i="29"/>
  <c r="C219" i="29"/>
  <c r="C217" i="29"/>
  <c r="C215" i="29"/>
  <c r="D211" i="29"/>
  <c r="D226" i="29"/>
  <c r="C224" i="29"/>
  <c r="D221" i="29"/>
  <c r="D218" i="29"/>
  <c r="C216" i="29"/>
  <c r="D228" i="29"/>
  <c r="C226" i="29"/>
  <c r="D223" i="29"/>
  <c r="D220" i="29"/>
  <c r="C218" i="29"/>
  <c r="D215" i="29"/>
  <c r="D224" i="29"/>
  <c r="D219" i="29"/>
  <c r="D212" i="29"/>
  <c r="C228" i="29"/>
  <c r="D222" i="29"/>
  <c r="D217" i="29"/>
  <c r="D227" i="29"/>
  <c r="C222" i="29"/>
  <c r="D216" i="29"/>
  <c r="D225" i="29"/>
  <c r="C220" i="29"/>
  <c r="F212" i="29"/>
  <c r="V50" i="11"/>
  <c r="Q51" i="18"/>
  <c r="P51" i="18"/>
  <c r="L51" i="18"/>
  <c r="G51" i="18"/>
  <c r="H51" i="18"/>
  <c r="C51" i="18"/>
  <c r="J51" i="18"/>
  <c r="AG51" i="18"/>
  <c r="A52" i="18"/>
  <c r="D51" i="18"/>
  <c r="R51" i="18"/>
  <c r="S51" i="18"/>
  <c r="U51" i="18"/>
  <c r="N51" i="18"/>
  <c r="Y51" i="18"/>
  <c r="K51" i="18"/>
  <c r="B51" i="18"/>
  <c r="E51" i="18"/>
  <c r="T51" i="18"/>
  <c r="F51" i="18"/>
  <c r="O51" i="18"/>
  <c r="M51" i="18"/>
  <c r="I51" i="18"/>
  <c r="AB51" i="18"/>
  <c r="M53" i="10"/>
  <c r="P53" i="10"/>
  <c r="I53" i="10"/>
  <c r="J53" i="10"/>
  <c r="G53" i="10"/>
  <c r="F53" i="10"/>
  <c r="K53" i="10"/>
  <c r="D53" i="10"/>
  <c r="B53" i="10"/>
  <c r="C53" i="10"/>
  <c r="A54" i="10"/>
  <c r="E53" i="10"/>
  <c r="L53" i="10"/>
  <c r="H53" i="10"/>
  <c r="T46" i="24"/>
  <c r="U46" i="24"/>
  <c r="V46" i="24"/>
  <c r="BH46" i="24"/>
  <c r="BI46" i="24"/>
  <c r="BJ46" i="24"/>
  <c r="CV46" i="24"/>
  <c r="CW46" i="24"/>
  <c r="CX46" i="24"/>
  <c r="EJ46" i="24"/>
  <c r="EK46" i="24"/>
  <c r="EL46" i="24"/>
  <c r="AG46" i="24"/>
  <c r="AH46" i="24"/>
  <c r="AI46" i="24"/>
  <c r="BU46" i="24"/>
  <c r="BV46" i="24"/>
  <c r="BW46" i="24"/>
  <c r="DI46" i="24"/>
  <c r="DJ46" i="24"/>
  <c r="DK46" i="24"/>
  <c r="S46" i="24"/>
  <c r="CU46" i="24"/>
  <c r="G46" i="24"/>
  <c r="H46" i="24"/>
  <c r="AU46" i="24"/>
  <c r="AV46" i="24"/>
  <c r="CI46" i="24"/>
  <c r="CJ46" i="24"/>
  <c r="DW46" i="24"/>
  <c r="DX46" i="24"/>
  <c r="CA46" i="24"/>
  <c r="DM46" i="24"/>
  <c r="DN46" i="24"/>
  <c r="AN46" i="24"/>
  <c r="AO46" i="24"/>
  <c r="AP46" i="24"/>
  <c r="CB46" i="24"/>
  <c r="CC46" i="24"/>
  <c r="CD46" i="24"/>
  <c r="AA46" i="24"/>
  <c r="AB46" i="24"/>
  <c r="DC46" i="24"/>
  <c r="DD46" i="24"/>
  <c r="EI46" i="24"/>
  <c r="M46" i="24"/>
  <c r="N46" i="24"/>
  <c r="O46" i="24"/>
  <c r="CO46" i="24"/>
  <c r="CP46" i="24"/>
  <c r="CQ46" i="24"/>
  <c r="F46" i="24"/>
  <c r="DS46" i="24"/>
  <c r="DT46" i="24"/>
  <c r="DU46" i="24"/>
  <c r="B47" i="24"/>
  <c r="AD46" i="24"/>
  <c r="AE46" i="24"/>
  <c r="AF46" i="24"/>
  <c r="BR46" i="24"/>
  <c r="BS46" i="24"/>
  <c r="BT46" i="24"/>
  <c r="DF46" i="24"/>
  <c r="DG46" i="24"/>
  <c r="DH46" i="24"/>
  <c r="W46" i="24"/>
  <c r="X46" i="24"/>
  <c r="Y46" i="24"/>
  <c r="BK46" i="24"/>
  <c r="BL46" i="24"/>
  <c r="BM46" i="24"/>
  <c r="CY46" i="24"/>
  <c r="CZ46" i="24"/>
  <c r="DA46" i="24"/>
  <c r="EM46" i="24"/>
  <c r="EN46" i="24"/>
  <c r="EO46" i="24"/>
  <c r="BE46" i="24"/>
  <c r="BF46" i="24"/>
  <c r="EG46" i="24"/>
  <c r="EH46" i="24"/>
  <c r="I46" i="24"/>
  <c r="AW46" i="24"/>
  <c r="CK46" i="24"/>
  <c r="DY46" i="24"/>
  <c r="C46" i="24"/>
  <c r="DO46" i="24"/>
  <c r="D46" i="24"/>
  <c r="DP46" i="24"/>
  <c r="DQ46" i="24"/>
  <c r="DR46" i="24"/>
  <c r="BO46" i="24"/>
  <c r="BP46" i="24"/>
  <c r="E46" i="24"/>
  <c r="BG46" i="24"/>
  <c r="BA46" i="24"/>
  <c r="BB46" i="24"/>
  <c r="BC46" i="24"/>
  <c r="EC46" i="24"/>
  <c r="ED46" i="24"/>
  <c r="EE46" i="24"/>
  <c r="AK46" i="24"/>
  <c r="AL46" i="24"/>
  <c r="Q46" i="24"/>
  <c r="R46" i="24"/>
  <c r="BY46" i="24"/>
  <c r="BZ46" i="24"/>
  <c r="J46" i="24"/>
  <c r="K46" i="24"/>
  <c r="L46" i="24"/>
  <c r="AX46" i="24"/>
  <c r="AY46" i="24"/>
  <c r="AZ46" i="24"/>
  <c r="CL46" i="24"/>
  <c r="CM46" i="24"/>
  <c r="CN46" i="24"/>
  <c r="DZ46" i="24"/>
  <c r="EA46" i="24"/>
  <c r="EB46" i="24"/>
  <c r="AC46" i="24"/>
  <c r="BQ46" i="24"/>
  <c r="DE46" i="24"/>
  <c r="CS46" i="24"/>
  <c r="CT46" i="24"/>
  <c r="AQ46" i="24"/>
  <c r="AR46" i="24"/>
  <c r="AS46" i="24"/>
  <c r="CE46" i="24"/>
  <c r="CF46" i="24"/>
  <c r="CG46" i="24"/>
  <c r="AM46" i="24"/>
  <c r="M52" i="13"/>
  <c r="I52" i="13"/>
  <c r="AG52" i="13"/>
  <c r="J52" i="13"/>
  <c r="F52" i="13"/>
  <c r="AD52" i="13"/>
  <c r="X52" i="13"/>
  <c r="T52" i="13"/>
  <c r="AR52" i="13"/>
  <c r="Q52" i="13"/>
  <c r="AK52" i="13"/>
  <c r="A53" i="13"/>
  <c r="BL52" i="13"/>
  <c r="AV52" i="13"/>
  <c r="P52" i="13"/>
  <c r="AB52" i="13"/>
  <c r="B52" i="13"/>
  <c r="E52" i="13"/>
  <c r="AA52" i="13"/>
  <c r="K52" i="13"/>
  <c r="AH52" i="13"/>
  <c r="AF52" i="13"/>
  <c r="AC52" i="13"/>
  <c r="AJ52" i="13"/>
  <c r="S52" i="13"/>
  <c r="H52" i="13"/>
  <c r="AM52" i="13"/>
  <c r="AO52" i="13"/>
  <c r="AN52" i="13"/>
  <c r="D52" i="13"/>
  <c r="N52" i="13"/>
  <c r="C52" i="13"/>
  <c r="Y52" i="13"/>
  <c r="AE52" i="13"/>
  <c r="L52" i="13"/>
  <c r="AQ52" i="13"/>
  <c r="R52" i="13"/>
  <c r="G52" i="13"/>
  <c r="V52" i="13"/>
  <c r="AI52" i="13"/>
  <c r="O52" i="13"/>
  <c r="AS52" i="13"/>
  <c r="U52" i="13"/>
  <c r="Z52" i="13"/>
  <c r="AP52" i="13"/>
  <c r="AL52" i="13"/>
  <c r="W52" i="13"/>
  <c r="AY52" i="13"/>
  <c r="BC52" i="13"/>
  <c r="AX52" i="13"/>
  <c r="BF52" i="13"/>
  <c r="AU52" i="13"/>
  <c r="BA52" i="13"/>
  <c r="AZ52" i="13"/>
  <c r="AT52" i="13"/>
  <c r="BE52" i="13"/>
  <c r="AW52" i="13"/>
  <c r="M51" i="11"/>
  <c r="Q51" i="11"/>
  <c r="J51" i="11"/>
  <c r="K51" i="11"/>
  <c r="AA51" i="11"/>
  <c r="N51" i="11"/>
  <c r="I51" i="11"/>
  <c r="P51" i="11"/>
  <c r="A52" i="11"/>
  <c r="B51" i="11"/>
  <c r="L51" i="11"/>
  <c r="C51" i="11"/>
  <c r="U51" i="11"/>
  <c r="E51" i="11"/>
  <c r="F51" i="11"/>
  <c r="H51" i="11"/>
  <c r="T51" i="11"/>
  <c r="Y51" i="11"/>
  <c r="D51" i="11"/>
  <c r="O51" i="11"/>
  <c r="AG51" i="11"/>
  <c r="R51" i="11"/>
  <c r="S51" i="11"/>
  <c r="G51" i="11"/>
  <c r="H425" i="21"/>
  <c r="H423" i="21"/>
  <c r="J407" i="21"/>
  <c r="J411" i="21"/>
  <c r="K416" i="21"/>
  <c r="L417" i="21"/>
  <c r="L418" i="21"/>
  <c r="H402" i="21"/>
  <c r="J416" i="21"/>
  <c r="J409" i="21"/>
  <c r="J418" i="21"/>
  <c r="L411" i="21"/>
  <c r="J415" i="21"/>
  <c r="K409" i="21"/>
  <c r="K421" i="21"/>
  <c r="K411" i="21"/>
  <c r="J414" i="21"/>
  <c r="K407" i="21"/>
  <c r="J404" i="21"/>
  <c r="L410" i="21"/>
  <c r="I401" i="21"/>
  <c r="H426" i="21"/>
  <c r="K420" i="21"/>
  <c r="K413" i="21"/>
  <c r="J412" i="21"/>
  <c r="K412" i="21"/>
  <c r="J405" i="21"/>
  <c r="N401" i="21"/>
  <c r="K418" i="21"/>
  <c r="L416" i="21"/>
  <c r="K405" i="21"/>
  <c r="L407" i="21"/>
  <c r="L405" i="21"/>
  <c r="J408" i="21"/>
  <c r="K414" i="21"/>
  <c r="J419" i="21"/>
  <c r="K406" i="21"/>
  <c r="K408" i="21"/>
  <c r="L404" i="21"/>
  <c r="J420" i="21"/>
  <c r="K415" i="21"/>
  <c r="L409" i="21"/>
  <c r="L415" i="21"/>
  <c r="L421" i="21"/>
  <c r="K402" i="21"/>
  <c r="L420" i="21"/>
  <c r="J417" i="21"/>
  <c r="L414" i="21"/>
  <c r="K417" i="21"/>
  <c r="J413" i="21"/>
  <c r="K410" i="21"/>
  <c r="L419" i="21"/>
  <c r="L413" i="21"/>
  <c r="J406" i="21"/>
  <c r="L412" i="21"/>
  <c r="J421" i="21"/>
  <c r="K404" i="21"/>
  <c r="K419" i="21"/>
  <c r="L406" i="21"/>
  <c r="L408" i="21"/>
  <c r="H424" i="21"/>
  <c r="J410" i="21"/>
  <c r="W49" i="11"/>
  <c r="AI49" i="11"/>
  <c r="AH49" i="11"/>
  <c r="V50" i="18"/>
  <c r="AI48" i="18"/>
  <c r="F1266" i="25"/>
  <c r="E1265" i="25"/>
  <c r="D1264" i="25"/>
  <c r="C1260" i="25"/>
  <c r="F1265" i="25"/>
  <c r="E1264" i="25"/>
  <c r="D1263" i="25"/>
  <c r="C1271" i="25"/>
  <c r="C1266" i="25"/>
  <c r="F1264" i="25"/>
  <c r="E1263" i="25"/>
  <c r="D1262" i="25"/>
  <c r="C1267" i="25"/>
  <c r="F1271" i="25"/>
  <c r="D1256" i="25"/>
  <c r="F1262" i="25"/>
  <c r="E1261" i="25"/>
  <c r="D1260" i="25"/>
  <c r="C1259" i="25"/>
  <c r="F1261" i="25"/>
  <c r="E1260" i="25"/>
  <c r="D1259" i="25"/>
  <c r="F1267" i="25"/>
  <c r="C1263" i="25"/>
  <c r="F1260" i="25"/>
  <c r="E1259" i="25"/>
  <c r="C1270" i="25"/>
  <c r="F1259" i="25"/>
  <c r="F1263" i="25"/>
  <c r="D1261" i="25"/>
  <c r="F1256" i="25"/>
  <c r="D1272" i="25"/>
  <c r="C1262" i="25"/>
  <c r="B1306" i="25"/>
  <c r="E1272" i="25"/>
  <c r="D1271" i="25"/>
  <c r="C1269" i="25"/>
  <c r="E1266" i="25"/>
  <c r="F1272" i="25"/>
  <c r="E1271" i="25"/>
  <c r="D1270" i="25"/>
  <c r="C1265" i="25"/>
  <c r="D1265" i="25"/>
  <c r="E1270" i="25"/>
  <c r="C1261" i="25"/>
  <c r="F1270" i="25"/>
  <c r="E1269" i="25"/>
  <c r="D1268" i="25"/>
  <c r="D1255" i="25"/>
  <c r="F1269" i="25"/>
  <c r="E1268" i="25"/>
  <c r="D1267" i="25"/>
  <c r="C1272" i="25"/>
  <c r="D1269" i="25"/>
  <c r="F1268" i="25"/>
  <c r="E1267" i="25"/>
  <c r="D1266" i="25"/>
  <c r="C1268" i="25"/>
  <c r="C1264" i="25"/>
  <c r="E1262" i="25"/>
  <c r="A1968" i="20"/>
  <c r="C1959" i="20"/>
  <c r="E1958" i="20"/>
  <c r="C1961" i="20"/>
  <c r="E1954" i="20"/>
  <c r="E1955" i="20"/>
  <c r="C1953" i="20"/>
  <c r="E1944" i="20"/>
  <c r="D1958" i="20"/>
  <c r="E1948" i="20"/>
  <c r="F2026" i="20"/>
  <c r="D1956" i="20"/>
  <c r="E1950" i="20"/>
  <c r="D1954" i="20"/>
  <c r="D1965" i="20"/>
  <c r="E1959" i="20"/>
  <c r="C1950" i="20"/>
  <c r="D1953" i="20"/>
  <c r="C1949" i="20"/>
  <c r="A1971" i="20"/>
  <c r="C1958" i="20"/>
  <c r="C1955" i="20"/>
  <c r="E1962" i="20"/>
  <c r="C1951" i="20"/>
  <c r="C1956" i="20"/>
  <c r="D1960" i="20"/>
  <c r="D1957" i="20"/>
  <c r="C1957" i="20"/>
  <c r="D1959" i="20"/>
  <c r="A1970" i="20"/>
  <c r="D1955" i="20"/>
  <c r="D1961" i="20"/>
  <c r="D1962" i="20"/>
  <c r="E1963" i="20"/>
  <c r="C1954" i="20"/>
  <c r="E1964" i="20"/>
  <c r="D1950" i="20"/>
  <c r="E1957" i="20"/>
  <c r="D1952" i="20"/>
  <c r="D1948" i="20"/>
  <c r="C1948" i="20"/>
  <c r="E1961" i="20"/>
  <c r="A1969" i="20"/>
  <c r="E1960" i="20"/>
  <c r="D1951" i="20"/>
  <c r="C1943" i="20"/>
  <c r="E1952" i="20"/>
  <c r="E1949" i="20"/>
  <c r="D1964" i="20"/>
  <c r="C1960" i="20"/>
  <c r="E1951" i="20"/>
  <c r="E1956" i="20"/>
  <c r="D1963" i="20"/>
  <c r="C1952" i="20"/>
  <c r="C1944" i="20"/>
  <c r="E1953" i="20"/>
  <c r="D1949" i="20"/>
  <c r="E1965" i="20"/>
  <c r="C1964" i="20"/>
  <c r="C1963" i="20"/>
  <c r="C1965" i="20"/>
  <c r="C1962" i="20"/>
  <c r="W49" i="18"/>
  <c r="AH49" i="18"/>
  <c r="AI49" i="18"/>
  <c r="D257" i="29"/>
  <c r="D255" i="29"/>
  <c r="D253" i="29"/>
  <c r="D251" i="29"/>
  <c r="D249" i="29"/>
  <c r="D247" i="29"/>
  <c r="D245" i="29"/>
  <c r="F241" i="29"/>
  <c r="C257" i="29"/>
  <c r="D254" i="29"/>
  <c r="C252" i="29"/>
  <c r="C249" i="29"/>
  <c r="D246" i="29"/>
  <c r="C244" i="29"/>
  <c r="D256" i="29"/>
  <c r="C254" i="29"/>
  <c r="C251" i="29"/>
  <c r="D248" i="29"/>
  <c r="C246" i="29"/>
  <c r="D241" i="29"/>
  <c r="C256" i="29"/>
  <c r="D250" i="29"/>
  <c r="C245" i="29"/>
  <c r="C255" i="29"/>
  <c r="C250" i="29"/>
  <c r="D244" i="29"/>
  <c r="B291" i="29"/>
  <c r="C253" i="29"/>
  <c r="C248" i="29"/>
  <c r="D252" i="29"/>
  <c r="C247" i="29"/>
  <c r="D240" i="29"/>
  <c r="E19" i="30"/>
  <c r="C19" i="30"/>
  <c r="F19" i="30"/>
  <c r="B19" i="30"/>
  <c r="A20" i="30"/>
  <c r="D19" i="30"/>
  <c r="A53" i="11"/>
  <c r="AA52" i="11"/>
  <c r="H52" i="11"/>
  <c r="N52" i="11"/>
  <c r="E52" i="11"/>
  <c r="B52" i="11"/>
  <c r="T52" i="11"/>
  <c r="P52" i="11"/>
  <c r="O52" i="11"/>
  <c r="U52" i="11"/>
  <c r="D52" i="11"/>
  <c r="Q52" i="11"/>
  <c r="AG52" i="11"/>
  <c r="F52" i="11"/>
  <c r="Y52" i="11"/>
  <c r="J52" i="11"/>
  <c r="I52" i="11"/>
  <c r="M52" i="11"/>
  <c r="K52" i="11"/>
  <c r="C52" i="11"/>
  <c r="R52" i="11"/>
  <c r="S52" i="11"/>
  <c r="L52" i="11"/>
  <c r="G52" i="11"/>
  <c r="V52" i="11"/>
  <c r="F2071" i="20"/>
  <c r="D2000" i="20"/>
  <c r="E1995" i="20"/>
  <c r="D2001" i="20"/>
  <c r="C2005" i="20"/>
  <c r="E1996" i="20"/>
  <c r="C1998" i="20"/>
  <c r="E1989" i="20"/>
  <c r="E2000" i="20"/>
  <c r="D1997" i="20"/>
  <c r="A2014" i="20"/>
  <c r="D2003" i="20"/>
  <c r="C2000" i="20"/>
  <c r="D2008" i="20"/>
  <c r="E2008" i="20"/>
  <c r="A2016" i="20"/>
  <c r="E2002" i="20"/>
  <c r="D2006" i="20"/>
  <c r="C1989" i="20"/>
  <c r="E2001" i="20"/>
  <c r="C1997" i="20"/>
  <c r="C2004" i="20"/>
  <c r="D1998" i="20"/>
  <c r="E2006" i="20"/>
  <c r="C2006" i="20"/>
  <c r="E1999" i="20"/>
  <c r="D1999" i="20"/>
  <c r="D1993" i="20"/>
  <c r="E2009" i="20"/>
  <c r="D2010" i="20"/>
  <c r="C1993" i="20"/>
  <c r="C1996" i="20"/>
  <c r="C2003" i="20"/>
  <c r="C1988" i="20"/>
  <c r="D2005" i="20"/>
  <c r="E1993" i="20"/>
  <c r="D2007" i="20"/>
  <c r="C1995" i="20"/>
  <c r="C2001" i="20"/>
  <c r="C2002" i="20"/>
  <c r="D1996" i="20"/>
  <c r="D2002" i="20"/>
  <c r="C1994" i="20"/>
  <c r="D2009" i="20"/>
  <c r="E2003" i="20"/>
  <c r="E2004" i="20"/>
  <c r="D1995" i="20"/>
  <c r="D1994" i="20"/>
  <c r="E1998" i="20"/>
  <c r="D2004" i="20"/>
  <c r="A2015" i="20"/>
  <c r="E2005" i="20"/>
  <c r="E1997" i="20"/>
  <c r="A2013" i="20"/>
  <c r="E1994" i="20"/>
  <c r="C1999" i="20"/>
  <c r="E2007" i="20"/>
  <c r="E2010" i="20"/>
  <c r="C2007" i="20"/>
  <c r="C2009" i="20"/>
  <c r="C2008" i="20"/>
  <c r="C2010" i="20"/>
  <c r="W50" i="18"/>
  <c r="AH50" i="18"/>
  <c r="AI50" i="18"/>
  <c r="AK53" i="13"/>
  <c r="AI53" i="13"/>
  <c r="AH53" i="13"/>
  <c r="AR53" i="13"/>
  <c r="AA53" i="13"/>
  <c r="Y53" i="13"/>
  <c r="AL53" i="13"/>
  <c r="AN53" i="13"/>
  <c r="AQ53" i="13"/>
  <c r="H53" i="13"/>
  <c r="N53" i="13"/>
  <c r="AP53" i="13"/>
  <c r="V53" i="13"/>
  <c r="S53" i="13"/>
  <c r="AO53" i="13"/>
  <c r="R53" i="13"/>
  <c r="AJ53" i="13"/>
  <c r="Q53" i="13"/>
  <c r="O53" i="13"/>
  <c r="AF53" i="13"/>
  <c r="U53" i="13"/>
  <c r="E53" i="13"/>
  <c r="AD53" i="13"/>
  <c r="AB53" i="13"/>
  <c r="D53" i="13"/>
  <c r="I53" i="13"/>
  <c r="F53" i="13"/>
  <c r="X53" i="13"/>
  <c r="AM53" i="13"/>
  <c r="C53" i="13"/>
  <c r="J53" i="13"/>
  <c r="AG53" i="13"/>
  <c r="T53" i="13"/>
  <c r="L53" i="13"/>
  <c r="P53" i="13"/>
  <c r="AE53" i="13"/>
  <c r="M53" i="13"/>
  <c r="G53" i="13"/>
  <c r="A54" i="13"/>
  <c r="W53" i="13"/>
  <c r="K53" i="13"/>
  <c r="Z53" i="13"/>
  <c r="BL53" i="13"/>
  <c r="BA53" i="13"/>
  <c r="B53" i="13"/>
  <c r="AS53" i="13"/>
  <c r="AC53" i="13"/>
  <c r="BB53" i="13"/>
  <c r="AZ53" i="13"/>
  <c r="AX53" i="13"/>
  <c r="AY53" i="13"/>
  <c r="BF53" i="13"/>
  <c r="BC53" i="13"/>
  <c r="AT53" i="13"/>
  <c r="BE53" i="13"/>
  <c r="AW53" i="13"/>
  <c r="E1301" i="25"/>
  <c r="F1294" i="25"/>
  <c r="E1289" i="25"/>
  <c r="D1299" i="25"/>
  <c r="E1296" i="25"/>
  <c r="F1288" i="25"/>
  <c r="C1299" i="25"/>
  <c r="F1292" i="25"/>
  <c r="E1291" i="25"/>
  <c r="C1297" i="25"/>
  <c r="D1292" i="25"/>
  <c r="C1289" i="25"/>
  <c r="D1301" i="25"/>
  <c r="F1295" i="25"/>
  <c r="C1291" i="25"/>
  <c r="D1284" i="25"/>
  <c r="E1298" i="25"/>
  <c r="C1288" i="25"/>
  <c r="E1300" i="25"/>
  <c r="F1285" i="25"/>
  <c r="C1301" i="25"/>
  <c r="E1297" i="25"/>
  <c r="F1289" i="25"/>
  <c r="D1300" i="25"/>
  <c r="C1298" i="25"/>
  <c r="E1292" i="25"/>
  <c r="D1298" i="25"/>
  <c r="F1293" i="25"/>
  <c r="D1291" i="25"/>
  <c r="D1297" i="25"/>
  <c r="F1291" i="25"/>
  <c r="D1290" i="25"/>
  <c r="B1335" i="25"/>
  <c r="C1296" i="25"/>
  <c r="E1290" i="25"/>
  <c r="D1288" i="25"/>
  <c r="C1293" i="25"/>
  <c r="C1290" i="25"/>
  <c r="F1301" i="25"/>
  <c r="F1300" i="25"/>
  <c r="F1297" i="25"/>
  <c r="D1296" i="25"/>
  <c r="E1293" i="25"/>
  <c r="F1299" i="25"/>
  <c r="C1295" i="25"/>
  <c r="F1298" i="25"/>
  <c r="D1295" i="25"/>
  <c r="E1299" i="25"/>
  <c r="C1292" i="25"/>
  <c r="D1285" i="25"/>
  <c r="F1290" i="25"/>
  <c r="D1294" i="25"/>
  <c r="D1293" i="25"/>
  <c r="E1295" i="25"/>
  <c r="E1294" i="25"/>
  <c r="F1296" i="25"/>
  <c r="C1300" i="25"/>
  <c r="E1288" i="25"/>
  <c r="C1294" i="25"/>
  <c r="D1289" i="25"/>
  <c r="R407" i="21"/>
  <c r="R417" i="21"/>
  <c r="Q406" i="21"/>
  <c r="P407" i="21"/>
  <c r="P413" i="21"/>
  <c r="P410" i="21"/>
  <c r="R406" i="21"/>
  <c r="N423" i="21"/>
  <c r="R408" i="21"/>
  <c r="Q410" i="21"/>
  <c r="P406" i="21"/>
  <c r="Q414" i="21"/>
  <c r="R413" i="21"/>
  <c r="R418" i="21"/>
  <c r="P420" i="21"/>
  <c r="R419" i="21"/>
  <c r="Q416" i="21"/>
  <c r="Q417" i="21"/>
  <c r="Q412" i="21"/>
  <c r="Q415" i="21"/>
  <c r="P409" i="21"/>
  <c r="Q407" i="21"/>
  <c r="P416" i="21"/>
  <c r="Q405" i="21"/>
  <c r="N424" i="21"/>
  <c r="Q402" i="21"/>
  <c r="R412" i="21"/>
  <c r="R411" i="21"/>
  <c r="P415" i="21"/>
  <c r="R404" i="21"/>
  <c r="Q421" i="21"/>
  <c r="R420" i="21"/>
  <c r="R415" i="21"/>
  <c r="N426" i="21"/>
  <c r="P412" i="21"/>
  <c r="R410" i="21"/>
  <c r="Q420" i="21"/>
  <c r="Q411" i="21"/>
  <c r="N402" i="21"/>
  <c r="B429" i="21"/>
  <c r="P408" i="21"/>
  <c r="P418" i="21"/>
  <c r="Q408" i="21"/>
  <c r="O401" i="21"/>
  <c r="Q404" i="21"/>
  <c r="Q418" i="21"/>
  <c r="Q413" i="21"/>
  <c r="P417" i="21"/>
  <c r="P405" i="21"/>
  <c r="P411" i="21"/>
  <c r="R414" i="21"/>
  <c r="N425" i="21"/>
  <c r="R405" i="21"/>
  <c r="R409" i="21"/>
  <c r="P414" i="21"/>
  <c r="P419" i="21"/>
  <c r="R421" i="21"/>
  <c r="Q419" i="21"/>
  <c r="P404" i="21"/>
  <c r="R416" i="21"/>
  <c r="Q409" i="21"/>
  <c r="P421" i="21"/>
  <c r="V51" i="11"/>
  <c r="D47" i="24"/>
  <c r="AN47" i="24"/>
  <c r="AO47" i="24"/>
  <c r="AP47" i="24"/>
  <c r="CB47" i="24"/>
  <c r="CC47" i="24"/>
  <c r="CD47" i="24"/>
  <c r="DP47" i="24"/>
  <c r="DQ47" i="24"/>
  <c r="DR47" i="24"/>
  <c r="AK47" i="24"/>
  <c r="AL47" i="24"/>
  <c r="DM47" i="24"/>
  <c r="DN47" i="24"/>
  <c r="AC47" i="24"/>
  <c r="BQ47" i="24"/>
  <c r="DE47" i="24"/>
  <c r="Q47" i="24"/>
  <c r="R47" i="24"/>
  <c r="CS47" i="24"/>
  <c r="CT47" i="24"/>
  <c r="G47" i="24"/>
  <c r="H47" i="24"/>
  <c r="AU47" i="24"/>
  <c r="AV47" i="24"/>
  <c r="AQ47" i="24"/>
  <c r="AR47" i="24"/>
  <c r="AS47" i="24"/>
  <c r="DY47" i="24"/>
  <c r="T47" i="24"/>
  <c r="U47" i="24"/>
  <c r="V47" i="24"/>
  <c r="EJ47" i="24"/>
  <c r="EK47" i="24"/>
  <c r="EL47" i="24"/>
  <c r="BK47" i="24"/>
  <c r="BL47" i="24"/>
  <c r="BM47" i="24"/>
  <c r="EM47" i="24"/>
  <c r="EN47" i="24"/>
  <c r="EO47" i="24"/>
  <c r="BA47" i="24"/>
  <c r="BB47" i="24"/>
  <c r="BC47" i="24"/>
  <c r="CK47" i="24"/>
  <c r="J47" i="24"/>
  <c r="K47" i="24"/>
  <c r="L47" i="24"/>
  <c r="AX47" i="24"/>
  <c r="AY47" i="24"/>
  <c r="AZ47" i="24"/>
  <c r="CL47" i="24"/>
  <c r="CM47" i="24"/>
  <c r="CN47" i="24"/>
  <c r="DZ47" i="24"/>
  <c r="EA47" i="24"/>
  <c r="EB47" i="24"/>
  <c r="AM47" i="24"/>
  <c r="DO47" i="24"/>
  <c r="AG47" i="24"/>
  <c r="AH47" i="24"/>
  <c r="AI47" i="24"/>
  <c r="BU47" i="24"/>
  <c r="BV47" i="24"/>
  <c r="BW47" i="24"/>
  <c r="DI47" i="24"/>
  <c r="DJ47" i="24"/>
  <c r="DK47" i="24"/>
  <c r="S47" i="24"/>
  <c r="CU47" i="24"/>
  <c r="I47" i="24"/>
  <c r="AW47" i="24"/>
  <c r="CI47" i="24"/>
  <c r="CJ47" i="24"/>
  <c r="M47" i="24"/>
  <c r="N47" i="24"/>
  <c r="O47" i="24"/>
  <c r="BY47" i="24"/>
  <c r="BZ47" i="24"/>
  <c r="BE47" i="24"/>
  <c r="BF47" i="24"/>
  <c r="CE47" i="24"/>
  <c r="CF47" i="24"/>
  <c r="CG47" i="24"/>
  <c r="B48" i="24"/>
  <c r="AD47" i="24"/>
  <c r="AE47" i="24"/>
  <c r="AF47" i="24"/>
  <c r="BR47" i="24"/>
  <c r="BS47" i="24"/>
  <c r="BT47" i="24"/>
  <c r="DF47" i="24"/>
  <c r="DG47" i="24"/>
  <c r="DH47" i="24"/>
  <c r="C47" i="24"/>
  <c r="CA47" i="24"/>
  <c r="AA47" i="24"/>
  <c r="AB47" i="24"/>
  <c r="BO47" i="24"/>
  <c r="BP47" i="24"/>
  <c r="DC47" i="24"/>
  <c r="DD47" i="24"/>
  <c r="E47" i="24"/>
  <c r="BG47" i="24"/>
  <c r="EI47" i="24"/>
  <c r="F47" i="24"/>
  <c r="EC47" i="24"/>
  <c r="ED47" i="24"/>
  <c r="EE47" i="24"/>
  <c r="DW47" i="24"/>
  <c r="DX47" i="24"/>
  <c r="DS47" i="24"/>
  <c r="DT47" i="24"/>
  <c r="DU47" i="24"/>
  <c r="BH47" i="24"/>
  <c r="BI47" i="24"/>
  <c r="BJ47" i="24"/>
  <c r="CV47" i="24"/>
  <c r="CW47" i="24"/>
  <c r="CX47" i="24"/>
  <c r="W47" i="24"/>
  <c r="X47" i="24"/>
  <c r="Y47" i="24"/>
  <c r="CY47" i="24"/>
  <c r="CZ47" i="24"/>
  <c r="DA47" i="24"/>
  <c r="EG47" i="24"/>
  <c r="EH47" i="24"/>
  <c r="CO47" i="24"/>
  <c r="CP47" i="24"/>
  <c r="CQ47" i="24"/>
  <c r="A55" i="10"/>
  <c r="L54" i="10"/>
  <c r="I54" i="10"/>
  <c r="E54" i="10"/>
  <c r="G54" i="10"/>
  <c r="F54" i="10"/>
  <c r="B54" i="10"/>
  <c r="H54" i="10"/>
  <c r="D54" i="10"/>
  <c r="J54" i="10"/>
  <c r="C54" i="10"/>
  <c r="M54" i="10"/>
  <c r="P54" i="10"/>
  <c r="K54" i="10"/>
  <c r="O52" i="18"/>
  <c r="B52" i="18"/>
  <c r="E52" i="18"/>
  <c r="D52" i="18"/>
  <c r="M52" i="18"/>
  <c r="AB52" i="18"/>
  <c r="F52" i="18"/>
  <c r="P52" i="18"/>
  <c r="L52" i="18"/>
  <c r="G52" i="18"/>
  <c r="T52" i="18"/>
  <c r="N52" i="18"/>
  <c r="Q52" i="18"/>
  <c r="C52" i="18"/>
  <c r="R52" i="18"/>
  <c r="S52" i="18"/>
  <c r="U52" i="18"/>
  <c r="H52" i="18"/>
  <c r="I52" i="18"/>
  <c r="K52" i="18"/>
  <c r="J52" i="18"/>
  <c r="AG52" i="18"/>
  <c r="A53" i="18"/>
  <c r="Y52" i="18"/>
  <c r="BB52" i="13"/>
  <c r="V51" i="18"/>
  <c r="W50" i="11"/>
  <c r="AI50" i="11"/>
  <c r="C286" i="29"/>
  <c r="C284" i="29"/>
  <c r="C282" i="29"/>
  <c r="C280" i="29"/>
  <c r="C278" i="29"/>
  <c r="C276" i="29"/>
  <c r="C274" i="29"/>
  <c r="D270" i="29"/>
  <c r="B320" i="29"/>
  <c r="D285" i="29"/>
  <c r="C283" i="29"/>
  <c r="D280" i="29"/>
  <c r="D277" i="29"/>
  <c r="C275" i="29"/>
  <c r="F270" i="29"/>
  <c r="C285" i="29"/>
  <c r="D282" i="29"/>
  <c r="D279" i="29"/>
  <c r="C277" i="29"/>
  <c r="D274" i="29"/>
  <c r="D283" i="29"/>
  <c r="D278" i="29"/>
  <c r="C273" i="29"/>
  <c r="D281" i="29"/>
  <c r="D276" i="29"/>
  <c r="D286" i="29"/>
  <c r="C281" i="29"/>
  <c r="D275" i="29"/>
  <c r="D269" i="29"/>
  <c r="C279" i="29"/>
  <c r="D273" i="29"/>
  <c r="D284" i="29"/>
  <c r="A21" i="30"/>
  <c r="D20" i="30"/>
  <c r="C20" i="30"/>
  <c r="E20" i="30"/>
  <c r="B20" i="30"/>
  <c r="F20" i="30"/>
  <c r="AH50" i="11"/>
  <c r="E434" i="21"/>
  <c r="E436" i="21"/>
  <c r="F437" i="21"/>
  <c r="D434" i="21"/>
  <c r="E443" i="21"/>
  <c r="F433" i="21"/>
  <c r="F445" i="21"/>
  <c r="F436" i="21"/>
  <c r="F434" i="21"/>
  <c r="F439" i="21"/>
  <c r="D437" i="21"/>
  <c r="C429" i="21"/>
  <c r="D446" i="21"/>
  <c r="D448" i="21"/>
  <c r="D447" i="21"/>
  <c r="D438" i="21"/>
  <c r="E442" i="21"/>
  <c r="D436" i="21"/>
  <c r="E430" i="21"/>
  <c r="D432" i="21"/>
  <c r="B451" i="21"/>
  <c r="H429" i="21"/>
  <c r="E440" i="21"/>
  <c r="E437" i="21"/>
  <c r="D445" i="21"/>
  <c r="D441" i="21"/>
  <c r="F443" i="21"/>
  <c r="E435" i="21"/>
  <c r="F446" i="21"/>
  <c r="E448" i="21"/>
  <c r="D449" i="21"/>
  <c r="E439" i="21"/>
  <c r="D439" i="21"/>
  <c r="F432" i="21"/>
  <c r="D443" i="21"/>
  <c r="E444" i="21"/>
  <c r="E432" i="21"/>
  <c r="F438" i="21"/>
  <c r="F444" i="21"/>
  <c r="F442" i="21"/>
  <c r="E441" i="21"/>
  <c r="E433" i="21"/>
  <c r="E438" i="21"/>
  <c r="D433" i="21"/>
  <c r="E449" i="21"/>
  <c r="E447" i="21"/>
  <c r="F449" i="21"/>
  <c r="E445" i="21"/>
  <c r="B452" i="21"/>
  <c r="B430" i="21"/>
  <c r="D440" i="21"/>
  <c r="B454" i="21"/>
  <c r="D444" i="21"/>
  <c r="D435" i="21"/>
  <c r="F440" i="21"/>
  <c r="F435" i="21"/>
  <c r="F441" i="21"/>
  <c r="B453" i="21"/>
  <c r="D442" i="21"/>
  <c r="E446" i="21"/>
  <c r="F448" i="21"/>
  <c r="F447" i="21"/>
  <c r="A2060" i="20"/>
  <c r="C2047" i="20"/>
  <c r="E2046" i="20"/>
  <c r="C2042" i="20"/>
  <c r="D2040" i="20"/>
  <c r="E2042" i="20"/>
  <c r="E2034" i="20"/>
  <c r="E2050" i="20"/>
  <c r="D2041" i="20"/>
  <c r="E2047" i="20"/>
  <c r="D2047" i="20"/>
  <c r="C2046" i="20"/>
  <c r="D2050" i="20"/>
  <c r="E2052" i="20"/>
  <c r="D2055" i="20"/>
  <c r="C2038" i="20"/>
  <c r="C2039" i="20"/>
  <c r="F2116" i="20"/>
  <c r="A2061" i="20"/>
  <c r="D2046" i="20"/>
  <c r="E2045" i="20"/>
  <c r="E2055" i="20"/>
  <c r="E2049" i="20"/>
  <c r="D2048" i="20"/>
  <c r="A2059" i="20"/>
  <c r="D2052" i="20"/>
  <c r="E2044" i="20"/>
  <c r="D2051" i="20"/>
  <c r="D2044" i="20"/>
  <c r="E2053" i="20"/>
  <c r="E2048" i="20"/>
  <c r="C2044" i="20"/>
  <c r="C2048" i="20"/>
  <c r="E2039" i="20"/>
  <c r="E2038" i="20"/>
  <c r="D2038" i="20"/>
  <c r="E2054" i="20"/>
  <c r="C2040" i="20"/>
  <c r="E2051" i="20"/>
  <c r="D2049" i="20"/>
  <c r="C2033" i="20"/>
  <c r="D2043" i="20"/>
  <c r="C2041" i="20"/>
  <c r="E2041" i="20"/>
  <c r="A2058" i="20"/>
  <c r="C2043" i="20"/>
  <c r="E2040" i="20"/>
  <c r="C2050" i="20"/>
  <c r="C2034" i="20"/>
  <c r="D2042" i="20"/>
  <c r="C2049" i="20"/>
  <c r="D2054" i="20"/>
  <c r="E2043" i="20"/>
  <c r="D2045" i="20"/>
  <c r="C2045" i="20"/>
  <c r="C2051" i="20"/>
  <c r="D2039" i="20"/>
  <c r="D2053" i="20"/>
  <c r="C2052" i="20"/>
  <c r="C2054" i="20"/>
  <c r="C2053" i="20"/>
  <c r="C2055" i="20"/>
  <c r="P53" i="18"/>
  <c r="L53" i="18"/>
  <c r="M53" i="18"/>
  <c r="O53" i="18"/>
  <c r="K53" i="18"/>
  <c r="G53" i="18"/>
  <c r="Q53" i="18"/>
  <c r="C53" i="18"/>
  <c r="Y53" i="18"/>
  <c r="J53" i="18"/>
  <c r="T53" i="18"/>
  <c r="R53" i="18"/>
  <c r="S53" i="18"/>
  <c r="H53" i="18"/>
  <c r="B53" i="18"/>
  <c r="I53" i="18"/>
  <c r="AG53" i="18"/>
  <c r="N53" i="18"/>
  <c r="AB53" i="18"/>
  <c r="U53" i="18"/>
  <c r="A54" i="18"/>
  <c r="D53" i="18"/>
  <c r="F53" i="18"/>
  <c r="E53" i="18"/>
  <c r="V52" i="18"/>
  <c r="T48" i="24"/>
  <c r="U48" i="24"/>
  <c r="V48" i="24"/>
  <c r="BH48" i="24"/>
  <c r="BI48" i="24"/>
  <c r="BJ48" i="24"/>
  <c r="CV48" i="24"/>
  <c r="CW48" i="24"/>
  <c r="CX48" i="24"/>
  <c r="EG48" i="24"/>
  <c r="EH48" i="24"/>
  <c r="I48" i="24"/>
  <c r="AW48" i="24"/>
  <c r="CK48" i="24"/>
  <c r="EJ48" i="24"/>
  <c r="EK48" i="24"/>
  <c r="EL48" i="24"/>
  <c r="BY48" i="24"/>
  <c r="BZ48" i="24"/>
  <c r="W48" i="24"/>
  <c r="X48" i="24"/>
  <c r="Y48" i="24"/>
  <c r="BK48" i="24"/>
  <c r="BL48" i="24"/>
  <c r="BM48" i="24"/>
  <c r="DC48" i="24"/>
  <c r="DD48" i="24"/>
  <c r="CY48" i="24"/>
  <c r="CZ48" i="24"/>
  <c r="DA48" i="24"/>
  <c r="BE48" i="24"/>
  <c r="BF48" i="24"/>
  <c r="Q48" i="24"/>
  <c r="R48" i="24"/>
  <c r="DZ48" i="24"/>
  <c r="EA48" i="24"/>
  <c r="EB48" i="24"/>
  <c r="B49" i="24"/>
  <c r="AD48" i="24"/>
  <c r="AE48" i="24"/>
  <c r="AF48" i="24"/>
  <c r="BR48" i="24"/>
  <c r="BS48" i="24"/>
  <c r="BT48" i="24"/>
  <c r="DF48" i="24"/>
  <c r="DG48" i="24"/>
  <c r="DH48" i="24"/>
  <c r="EI48" i="24"/>
  <c r="M48" i="24"/>
  <c r="N48" i="24"/>
  <c r="O48" i="24"/>
  <c r="BA48" i="24"/>
  <c r="BB48" i="24"/>
  <c r="BC48" i="24"/>
  <c r="CO48" i="24"/>
  <c r="CP48" i="24"/>
  <c r="CQ48" i="24"/>
  <c r="C48" i="24"/>
  <c r="CA48" i="24"/>
  <c r="AA48" i="24"/>
  <c r="AB48" i="24"/>
  <c r="BO48" i="24"/>
  <c r="BP48" i="24"/>
  <c r="DE48" i="24"/>
  <c r="E48" i="24"/>
  <c r="BG48" i="24"/>
  <c r="S48" i="24"/>
  <c r="BU48" i="24"/>
  <c r="BV48" i="24"/>
  <c r="BW48" i="24"/>
  <c r="CU48" i="24"/>
  <c r="D48" i="24"/>
  <c r="AN48" i="24"/>
  <c r="AO48" i="24"/>
  <c r="AP48" i="24"/>
  <c r="CB48" i="24"/>
  <c r="CC48" i="24"/>
  <c r="CD48" i="24"/>
  <c r="DW48" i="24"/>
  <c r="DX48" i="24"/>
  <c r="F48" i="24"/>
  <c r="AQ48" i="24"/>
  <c r="AR48" i="24"/>
  <c r="AS48" i="24"/>
  <c r="CE48" i="24"/>
  <c r="CF48" i="24"/>
  <c r="CG48" i="24"/>
  <c r="DM48" i="24"/>
  <c r="DN48" i="24"/>
  <c r="AK48" i="24"/>
  <c r="AL48" i="24"/>
  <c r="DI48" i="24"/>
  <c r="DJ48" i="24"/>
  <c r="DK48" i="24"/>
  <c r="AC48" i="24"/>
  <c r="BQ48" i="24"/>
  <c r="DP48" i="24"/>
  <c r="DQ48" i="24"/>
  <c r="DR48" i="24"/>
  <c r="CS48" i="24"/>
  <c r="CT48" i="24"/>
  <c r="DS48" i="24"/>
  <c r="DT48" i="24"/>
  <c r="DU48" i="24"/>
  <c r="EC48" i="24"/>
  <c r="ED48" i="24"/>
  <c r="EE48" i="24"/>
  <c r="J48" i="24"/>
  <c r="K48" i="24"/>
  <c r="L48" i="24"/>
  <c r="AX48" i="24"/>
  <c r="AY48" i="24"/>
  <c r="AZ48" i="24"/>
  <c r="CL48" i="24"/>
  <c r="CM48" i="24"/>
  <c r="CN48" i="24"/>
  <c r="DY48" i="24"/>
  <c r="G48" i="24"/>
  <c r="H48" i="24"/>
  <c r="AU48" i="24"/>
  <c r="AV48" i="24"/>
  <c r="CI48" i="24"/>
  <c r="CJ48" i="24"/>
  <c r="DO48" i="24"/>
  <c r="AM48" i="24"/>
  <c r="AG48" i="24"/>
  <c r="AH48" i="24"/>
  <c r="AI48" i="24"/>
  <c r="EM48" i="24"/>
  <c r="EN48" i="24"/>
  <c r="EO48" i="24"/>
  <c r="W51" i="11"/>
  <c r="AI51" i="11"/>
  <c r="AV53" i="13"/>
  <c r="W52" i="11"/>
  <c r="AH52" i="11"/>
  <c r="W51" i="18"/>
  <c r="AH51" i="18"/>
  <c r="T54" i="13"/>
  <c r="AA54" i="13"/>
  <c r="Q54" i="13"/>
  <c r="AF54" i="13"/>
  <c r="Z54" i="13"/>
  <c r="AB54" i="13"/>
  <c r="S54" i="13"/>
  <c r="N54" i="13"/>
  <c r="AE54" i="13"/>
  <c r="AP54" i="13"/>
  <c r="I54" i="13"/>
  <c r="K54" i="13"/>
  <c r="AJ54" i="13"/>
  <c r="AK54" i="13"/>
  <c r="Y54" i="13"/>
  <c r="V54" i="13"/>
  <c r="D54" i="13"/>
  <c r="H54" i="13"/>
  <c r="AO54" i="13"/>
  <c r="AL54" i="13"/>
  <c r="AG54" i="13"/>
  <c r="B54" i="13"/>
  <c r="E54" i="13"/>
  <c r="BL54" i="13"/>
  <c r="AY54" i="13"/>
  <c r="P54" i="13"/>
  <c r="AI54" i="13"/>
  <c r="J54" i="13"/>
  <c r="R54" i="13"/>
  <c r="G54" i="13"/>
  <c r="AN54" i="13"/>
  <c r="U54" i="13"/>
  <c r="L54" i="13"/>
  <c r="W54" i="13"/>
  <c r="A55" i="13"/>
  <c r="AD54" i="13"/>
  <c r="O54" i="13"/>
  <c r="AQ54" i="13"/>
  <c r="AH54" i="13"/>
  <c r="F54" i="13"/>
  <c r="AS54" i="13"/>
  <c r="AC54" i="13"/>
  <c r="AM54" i="13"/>
  <c r="M54" i="13"/>
  <c r="X54" i="13"/>
  <c r="AR54" i="13"/>
  <c r="C54" i="13"/>
  <c r="AX54" i="13"/>
  <c r="AZ54" i="13"/>
  <c r="BE54" i="13"/>
  <c r="A56" i="10"/>
  <c r="C55" i="10"/>
  <c r="B55" i="10"/>
  <c r="F55" i="10"/>
  <c r="I55" i="10"/>
  <c r="K55" i="10"/>
  <c r="D55" i="10"/>
  <c r="G55" i="10"/>
  <c r="J55" i="10"/>
  <c r="M55" i="10"/>
  <c r="P55" i="10"/>
  <c r="H55" i="10"/>
  <c r="E55" i="10"/>
  <c r="L55" i="10"/>
  <c r="B1364" i="25"/>
  <c r="D1321" i="25"/>
  <c r="C1325" i="25"/>
  <c r="C1318" i="25"/>
  <c r="E1319" i="25"/>
  <c r="D1324" i="25"/>
  <c r="E1317" i="25"/>
  <c r="C1322" i="25"/>
  <c r="F1329" i="25"/>
  <c r="D1319" i="25"/>
  <c r="E1322" i="25"/>
  <c r="C1330" i="25"/>
  <c r="D1318" i="25"/>
  <c r="F1321" i="25"/>
  <c r="C1320" i="25"/>
  <c r="F1327" i="25"/>
  <c r="D1317" i="25"/>
  <c r="F1319" i="25"/>
  <c r="C1326" i="25"/>
  <c r="F1330" i="25"/>
  <c r="D1320" i="25"/>
  <c r="F1323" i="25"/>
  <c r="F1314" i="25"/>
  <c r="F1325" i="25"/>
  <c r="E1327" i="25"/>
  <c r="C1317" i="25"/>
  <c r="C1323" i="25"/>
  <c r="E1325" i="25"/>
  <c r="D1322" i="25"/>
  <c r="C1321" i="25"/>
  <c r="E1321" i="25"/>
  <c r="D1329" i="25"/>
  <c r="C1324" i="25"/>
  <c r="E1330" i="25"/>
  <c r="E1320" i="25"/>
  <c r="F1326" i="25"/>
  <c r="E1329" i="25"/>
  <c r="E1318" i="25"/>
  <c r="E1324" i="25"/>
  <c r="D1327" i="25"/>
  <c r="E1326" i="25"/>
  <c r="F1317" i="25"/>
  <c r="C1327" i="25"/>
  <c r="C1328" i="25"/>
  <c r="F1324" i="25"/>
  <c r="D1325" i="25"/>
  <c r="F1318" i="25"/>
  <c r="E1323" i="25"/>
  <c r="D1326" i="25"/>
  <c r="D1328" i="25"/>
  <c r="F1322" i="25"/>
  <c r="E1328" i="25"/>
  <c r="C1319" i="25"/>
  <c r="D1323" i="25"/>
  <c r="C1329" i="25"/>
  <c r="F1320" i="25"/>
  <c r="F1328" i="25"/>
  <c r="D1313" i="25"/>
  <c r="D1330" i="25"/>
  <c r="D1314" i="25"/>
  <c r="AU53" i="13"/>
  <c r="I53" i="11"/>
  <c r="R53" i="11"/>
  <c r="S53" i="11"/>
  <c r="P53" i="11"/>
  <c r="F53" i="11"/>
  <c r="A54" i="11"/>
  <c r="U53" i="11"/>
  <c r="K53" i="11"/>
  <c r="N53" i="11"/>
  <c r="Y53" i="11"/>
  <c r="AA53" i="11"/>
  <c r="H53" i="11"/>
  <c r="G53" i="11"/>
  <c r="Q53" i="11"/>
  <c r="T53" i="11"/>
  <c r="E53" i="11"/>
  <c r="D53" i="11"/>
  <c r="O53" i="11"/>
  <c r="C53" i="11"/>
  <c r="M53" i="11"/>
  <c r="J53" i="11"/>
  <c r="AG53" i="11"/>
  <c r="L53" i="11"/>
  <c r="B53" i="11"/>
  <c r="F21" i="30"/>
  <c r="D21" i="30"/>
  <c r="E21" i="30"/>
  <c r="C21" i="30"/>
  <c r="B21" i="30"/>
  <c r="A22" i="30"/>
  <c r="D304" i="29"/>
  <c r="D303" i="29"/>
  <c r="B349" i="29"/>
  <c r="D302" i="29"/>
  <c r="D314" i="29"/>
  <c r="C314" i="29"/>
  <c r="C312" i="29"/>
  <c r="C310" i="29"/>
  <c r="C308" i="29"/>
  <c r="C306" i="29"/>
  <c r="C303" i="29"/>
  <c r="D315" i="29"/>
  <c r="D312" i="29"/>
  <c r="D309" i="29"/>
  <c r="C307" i="29"/>
  <c r="C304" i="29"/>
  <c r="C315" i="29"/>
  <c r="D311" i="29"/>
  <c r="C309" i="29"/>
  <c r="D306" i="29"/>
  <c r="C302" i="29"/>
  <c r="D298" i="29"/>
  <c r="C311" i="29"/>
  <c r="D305" i="29"/>
  <c r="D310" i="29"/>
  <c r="C305" i="29"/>
  <c r="D313" i="29"/>
  <c r="D308" i="29"/>
  <c r="F299" i="29"/>
  <c r="D299" i="29"/>
  <c r="C313" i="29"/>
  <c r="D307" i="29"/>
  <c r="AI51" i="18"/>
  <c r="AI52" i="11"/>
  <c r="E54" i="11"/>
  <c r="A55" i="11"/>
  <c r="AG54" i="11"/>
  <c r="AA54" i="11"/>
  <c r="Y54" i="11"/>
  <c r="O54" i="11"/>
  <c r="G54" i="11"/>
  <c r="J54" i="11"/>
  <c r="I54" i="11"/>
  <c r="B54" i="11"/>
  <c r="H54" i="11"/>
  <c r="D54" i="11"/>
  <c r="U54" i="11"/>
  <c r="R54" i="11"/>
  <c r="S54" i="11"/>
  <c r="C54" i="11"/>
  <c r="Q54" i="11"/>
  <c r="F54" i="11"/>
  <c r="L54" i="11"/>
  <c r="P54" i="11"/>
  <c r="M54" i="11"/>
  <c r="N54" i="11"/>
  <c r="T54" i="11"/>
  <c r="K54" i="11"/>
  <c r="W52" i="18"/>
  <c r="AH52" i="18"/>
  <c r="R54" i="18"/>
  <c r="S54" i="18"/>
  <c r="Q54" i="18"/>
  <c r="AB54" i="18"/>
  <c r="I54" i="18"/>
  <c r="G54" i="18"/>
  <c r="P54" i="18"/>
  <c r="M54" i="18"/>
  <c r="U54" i="18"/>
  <c r="C54" i="18"/>
  <c r="O54" i="18"/>
  <c r="N54" i="18"/>
  <c r="Y54" i="18"/>
  <c r="J54" i="18"/>
  <c r="B54" i="18"/>
  <c r="D54" i="18"/>
  <c r="H54" i="18"/>
  <c r="A55" i="18"/>
  <c r="K54" i="18"/>
  <c r="F54" i="18"/>
  <c r="AG54" i="18"/>
  <c r="E54" i="18"/>
  <c r="T54" i="18"/>
  <c r="L54" i="18"/>
  <c r="E2086" i="20"/>
  <c r="D2083" i="20"/>
  <c r="C2095" i="20"/>
  <c r="E2087" i="20"/>
  <c r="C2085" i="20"/>
  <c r="E2093" i="20"/>
  <c r="D2089" i="20"/>
  <c r="E2090" i="20"/>
  <c r="D2100" i="20"/>
  <c r="A2106" i="20"/>
  <c r="D2098" i="20"/>
  <c r="F2161" i="20"/>
  <c r="D2096" i="20"/>
  <c r="D2091" i="20"/>
  <c r="E2100" i="20"/>
  <c r="E2088" i="20"/>
  <c r="D2088" i="20"/>
  <c r="D2086" i="20"/>
  <c r="D2085" i="20"/>
  <c r="C2094" i="20"/>
  <c r="C2088" i="20"/>
  <c r="E2085" i="20"/>
  <c r="C2092" i="20"/>
  <c r="C2091" i="20"/>
  <c r="C2078" i="20"/>
  <c r="C2079" i="20"/>
  <c r="A2105" i="20"/>
  <c r="E2092" i="20"/>
  <c r="D2084" i="20"/>
  <c r="C2087" i="20"/>
  <c r="C2090" i="20"/>
  <c r="A2103" i="20"/>
  <c r="E2099" i="20"/>
  <c r="E2089" i="20"/>
  <c r="C2096" i="20"/>
  <c r="E2095" i="20"/>
  <c r="C2084" i="20"/>
  <c r="D2094" i="20"/>
  <c r="D2095" i="20"/>
  <c r="D2087" i="20"/>
  <c r="C2086" i="20"/>
  <c r="D2090" i="20"/>
  <c r="A2104" i="20"/>
  <c r="C2093" i="20"/>
  <c r="D2092" i="20"/>
  <c r="D2093" i="20"/>
  <c r="E2094" i="20"/>
  <c r="E2096" i="20"/>
  <c r="C2083" i="20"/>
  <c r="E2091" i="20"/>
  <c r="E2084" i="20"/>
  <c r="D2097" i="20"/>
  <c r="C2089" i="20"/>
  <c r="E2097" i="20"/>
  <c r="E2079" i="20"/>
  <c r="E2098" i="20"/>
  <c r="E2083" i="20"/>
  <c r="D2099" i="20"/>
  <c r="C2098" i="20"/>
  <c r="C2100" i="20"/>
  <c r="C2097" i="20"/>
  <c r="C2099" i="20"/>
  <c r="V53" i="11"/>
  <c r="E1356" i="25"/>
  <c r="C1355" i="25"/>
  <c r="D1349" i="25"/>
  <c r="F1359" i="25"/>
  <c r="E1351" i="25"/>
  <c r="C1350" i="25"/>
  <c r="F1352" i="25"/>
  <c r="F1349" i="25"/>
  <c r="E1346" i="25"/>
  <c r="D1342" i="25"/>
  <c r="D1356" i="25"/>
  <c r="E1357" i="25"/>
  <c r="C1356" i="25"/>
  <c r="D1351" i="25"/>
  <c r="D1346" i="25"/>
  <c r="E1352" i="25"/>
  <c r="C1351" i="25"/>
  <c r="F1354" i="25"/>
  <c r="F1351" i="25"/>
  <c r="E1347" i="25"/>
  <c r="C1346" i="25"/>
  <c r="D1358" i="25"/>
  <c r="E1358" i="25"/>
  <c r="C1357" i="25"/>
  <c r="D1353" i="25"/>
  <c r="D1348" i="25"/>
  <c r="E1353" i="25"/>
  <c r="C1352" i="25"/>
  <c r="F1356" i="25"/>
  <c r="F1353" i="25"/>
  <c r="E1348" i="25"/>
  <c r="C1347" i="25"/>
  <c r="F1346" i="25"/>
  <c r="E1359" i="25"/>
  <c r="C1358" i="25"/>
  <c r="D1355" i="25"/>
  <c r="D1350" i="25"/>
  <c r="E1354" i="25"/>
  <c r="C1353" i="25"/>
  <c r="F1358" i="25"/>
  <c r="F1355" i="25"/>
  <c r="E1349" i="25"/>
  <c r="C1348" i="25"/>
  <c r="F1348" i="25"/>
  <c r="F1343" i="25"/>
  <c r="B1393" i="25"/>
  <c r="C1359" i="25"/>
  <c r="D1357" i="25"/>
  <c r="D1352" i="25"/>
  <c r="E1355" i="25"/>
  <c r="C1354" i="25"/>
  <c r="D1347" i="25"/>
  <c r="F1357" i="25"/>
  <c r="E1350" i="25"/>
  <c r="C1349" i="25"/>
  <c r="F1350" i="25"/>
  <c r="F1347" i="25"/>
  <c r="D1343" i="25"/>
  <c r="D1359" i="25"/>
  <c r="D1354" i="25"/>
  <c r="AT54" i="13"/>
  <c r="BF54" i="13"/>
  <c r="AU54" i="13"/>
  <c r="AH51" i="11"/>
  <c r="I56" i="10"/>
  <c r="B56" i="10"/>
  <c r="F56" i="10"/>
  <c r="A57" i="10"/>
  <c r="E56" i="10"/>
  <c r="H56" i="10"/>
  <c r="L56" i="10"/>
  <c r="D56" i="10"/>
  <c r="C56" i="10"/>
  <c r="G56" i="10"/>
  <c r="M56" i="10"/>
  <c r="P56" i="10"/>
  <c r="J56" i="10"/>
  <c r="K56" i="10"/>
  <c r="BB54" i="13"/>
  <c r="BC54" i="13"/>
  <c r="AF55" i="13"/>
  <c r="AE55" i="13"/>
  <c r="AA55" i="13"/>
  <c r="AP55" i="13"/>
  <c r="I55" i="13"/>
  <c r="Z55" i="13"/>
  <c r="V55" i="13"/>
  <c r="J55" i="13"/>
  <c r="F55" i="13"/>
  <c r="AQ55" i="13"/>
  <c r="AL55" i="13"/>
  <c r="AH55" i="13"/>
  <c r="Y55" i="13"/>
  <c r="P55" i="13"/>
  <c r="U55" i="13"/>
  <c r="N55" i="13"/>
  <c r="S55" i="13"/>
  <c r="BL55" i="13"/>
  <c r="BA55" i="13"/>
  <c r="AI55" i="13"/>
  <c r="A56" i="13"/>
  <c r="X55" i="13"/>
  <c r="T55" i="13"/>
  <c r="AK55" i="13"/>
  <c r="O55" i="13"/>
  <c r="Q55" i="13"/>
  <c r="AJ55" i="13"/>
  <c r="M55" i="13"/>
  <c r="R55" i="13"/>
  <c r="W55" i="13"/>
  <c r="AY55" i="13"/>
  <c r="G55" i="13"/>
  <c r="H55" i="13"/>
  <c r="AR55" i="13"/>
  <c r="AN55" i="13"/>
  <c r="D55" i="13"/>
  <c r="C55" i="13"/>
  <c r="AB55" i="13"/>
  <c r="AD55" i="13"/>
  <c r="E55" i="13"/>
  <c r="AS55" i="13"/>
  <c r="AC55" i="13"/>
  <c r="B55" i="13"/>
  <c r="K55" i="13"/>
  <c r="L55" i="13"/>
  <c r="BF55" i="13"/>
  <c r="AM55" i="13"/>
  <c r="AO55" i="13"/>
  <c r="AG55" i="13"/>
  <c r="AT55" i="13"/>
  <c r="BB55" i="13"/>
  <c r="BC55" i="13"/>
  <c r="AX55" i="13"/>
  <c r="AU55" i="13"/>
  <c r="AV55" i="13"/>
  <c r="BE55" i="13"/>
  <c r="AW55" i="13"/>
  <c r="V53" i="18"/>
  <c r="J442" i="21"/>
  <c r="L440" i="21"/>
  <c r="L435" i="21"/>
  <c r="K445" i="21"/>
  <c r="K443" i="21"/>
  <c r="L442" i="21"/>
  <c r="H453" i="21"/>
  <c r="J448" i="21"/>
  <c r="L438" i="21"/>
  <c r="J434" i="21"/>
  <c r="K439" i="21"/>
  <c r="L449" i="21"/>
  <c r="J439" i="21"/>
  <c r="J437" i="21"/>
  <c r="J445" i="21"/>
  <c r="K446" i="21"/>
  <c r="K435" i="21"/>
  <c r="K448" i="21"/>
  <c r="K444" i="21"/>
  <c r="L447" i="21"/>
  <c r="L437" i="21"/>
  <c r="L432" i="21"/>
  <c r="K437" i="21"/>
  <c r="K434" i="21"/>
  <c r="L436" i="21"/>
  <c r="K436" i="21"/>
  <c r="J433" i="21"/>
  <c r="H454" i="21"/>
  <c r="L434" i="21"/>
  <c r="K442" i="21"/>
  <c r="N429" i="21"/>
  <c r="J440" i="21"/>
  <c r="J446" i="21"/>
  <c r="L448" i="21"/>
  <c r="K433" i="21"/>
  <c r="L439" i="21"/>
  <c r="L444" i="21"/>
  <c r="L441" i="21"/>
  <c r="H451" i="21"/>
  <c r="L433" i="21"/>
  <c r="I429" i="21"/>
  <c r="J443" i="21"/>
  <c r="K449" i="21"/>
  <c r="L443" i="21"/>
  <c r="J449" i="21"/>
  <c r="L445" i="21"/>
  <c r="H430" i="21"/>
  <c r="L446" i="21"/>
  <c r="J438" i="21"/>
  <c r="K447" i="21"/>
  <c r="J435" i="21"/>
  <c r="K440" i="21"/>
  <c r="J432" i="21"/>
  <c r="J447" i="21"/>
  <c r="J436" i="21"/>
  <c r="K438" i="21"/>
  <c r="H452" i="21"/>
  <c r="K441" i="21"/>
  <c r="K432" i="21"/>
  <c r="K430" i="21"/>
  <c r="J444" i="21"/>
  <c r="J441" i="21"/>
  <c r="AW54" i="13"/>
  <c r="BA54" i="13"/>
  <c r="AV54" i="13"/>
  <c r="F49" i="24"/>
  <c r="AD49" i="24"/>
  <c r="AE49" i="24"/>
  <c r="AF49" i="24"/>
  <c r="BQ49" i="24"/>
  <c r="CK49" i="24"/>
  <c r="DZ49" i="24"/>
  <c r="EA49" i="24"/>
  <c r="EB49" i="24"/>
  <c r="AG49" i="24"/>
  <c r="AH49" i="24"/>
  <c r="AI49" i="24"/>
  <c r="CE49" i="24"/>
  <c r="CF49" i="24"/>
  <c r="CG49" i="24"/>
  <c r="E49" i="24"/>
  <c r="W49" i="24"/>
  <c r="X49" i="24"/>
  <c r="Y49" i="24"/>
  <c r="DM49" i="24"/>
  <c r="DN49" i="24"/>
  <c r="AU49" i="24"/>
  <c r="AV49" i="24"/>
  <c r="DC49" i="24"/>
  <c r="DD49" i="24"/>
  <c r="EI49" i="24"/>
  <c r="CY49" i="24"/>
  <c r="CZ49" i="24"/>
  <c r="DA49" i="24"/>
  <c r="CU49" i="24"/>
  <c r="AN49" i="24"/>
  <c r="AO49" i="24"/>
  <c r="AP49" i="24"/>
  <c r="BY49" i="24"/>
  <c r="BZ49" i="24"/>
  <c r="D49" i="24"/>
  <c r="DW49" i="24"/>
  <c r="DX49" i="24"/>
  <c r="BA49" i="24"/>
  <c r="BB49" i="24"/>
  <c r="BC49" i="24"/>
  <c r="AW49" i="24"/>
  <c r="EM49" i="24"/>
  <c r="EN49" i="24"/>
  <c r="EO49" i="24"/>
  <c r="AK49" i="24"/>
  <c r="AL49" i="24"/>
  <c r="I49" i="24"/>
  <c r="CA49" i="24"/>
  <c r="BG49" i="24"/>
  <c r="Q49" i="24"/>
  <c r="R49" i="24"/>
  <c r="DS49" i="24"/>
  <c r="DT49" i="24"/>
  <c r="DU49" i="24"/>
  <c r="DI49" i="24"/>
  <c r="DJ49" i="24"/>
  <c r="DK49" i="24"/>
  <c r="CI49" i="24"/>
  <c r="CJ49" i="24"/>
  <c r="BK49" i="24"/>
  <c r="BL49" i="24"/>
  <c r="BM49" i="24"/>
  <c r="C49" i="24"/>
  <c r="EC49" i="24"/>
  <c r="ED49" i="24"/>
  <c r="EE49" i="24"/>
  <c r="G49" i="24"/>
  <c r="H49" i="24"/>
  <c r="CO49" i="24"/>
  <c r="CP49" i="24"/>
  <c r="CQ49" i="24"/>
  <c r="BE49" i="24"/>
  <c r="BF49" i="24"/>
  <c r="J49" i="24"/>
  <c r="K49" i="24"/>
  <c r="L49" i="24"/>
  <c r="DO49" i="24"/>
  <c r="DE49" i="24"/>
  <c r="AQ49" i="24"/>
  <c r="AR49" i="24"/>
  <c r="AS49" i="24"/>
  <c r="AX49" i="24"/>
  <c r="AY49" i="24"/>
  <c r="AZ49" i="24"/>
  <c r="DF49" i="24"/>
  <c r="DG49" i="24"/>
  <c r="DH49" i="24"/>
  <c r="DY49" i="24"/>
  <c r="CB49" i="24"/>
  <c r="CC49" i="24"/>
  <c r="CD49" i="24"/>
  <c r="BH49" i="24"/>
  <c r="BI49" i="24"/>
  <c r="BJ49" i="24"/>
  <c r="T49" i="24"/>
  <c r="U49" i="24"/>
  <c r="V49" i="24"/>
  <c r="AM49" i="24"/>
  <c r="BO49" i="24"/>
  <c r="BP49" i="24"/>
  <c r="EJ49" i="24"/>
  <c r="EK49" i="24"/>
  <c r="EL49" i="24"/>
  <c r="BU49" i="24"/>
  <c r="BV49" i="24"/>
  <c r="BW49" i="24"/>
  <c r="BR49" i="24"/>
  <c r="BS49" i="24"/>
  <c r="BT49" i="24"/>
  <c r="AA49" i="24"/>
  <c r="AB49" i="24"/>
  <c r="CL49" i="24"/>
  <c r="CM49" i="24"/>
  <c r="CN49" i="24"/>
  <c r="B50" i="24"/>
  <c r="DP49" i="24"/>
  <c r="DQ49" i="24"/>
  <c r="DR49" i="24"/>
  <c r="S49" i="24"/>
  <c r="EG49" i="24"/>
  <c r="EH49" i="24"/>
  <c r="M49" i="24"/>
  <c r="N49" i="24"/>
  <c r="O49" i="24"/>
  <c r="AC49" i="24"/>
  <c r="CV49" i="24"/>
  <c r="CW49" i="24"/>
  <c r="CX49" i="24"/>
  <c r="CS49" i="24"/>
  <c r="CT49" i="24"/>
  <c r="A23" i="30"/>
  <c r="B22" i="30"/>
  <c r="E22" i="30"/>
  <c r="F22" i="30"/>
  <c r="C22" i="30"/>
  <c r="D22" i="30"/>
  <c r="D343" i="29"/>
  <c r="D341" i="29"/>
  <c r="D339" i="29"/>
  <c r="D337" i="29"/>
  <c r="D335" i="29"/>
  <c r="D333" i="29"/>
  <c r="D331" i="29"/>
  <c r="C344" i="29"/>
  <c r="C341" i="29"/>
  <c r="D338" i="29"/>
  <c r="C336" i="29"/>
  <c r="C333" i="29"/>
  <c r="F328" i="29"/>
  <c r="C343" i="29"/>
  <c r="D340" i="29"/>
  <c r="C338" i="29"/>
  <c r="C335" i="29"/>
  <c r="D332" i="29"/>
  <c r="D328" i="29"/>
  <c r="B378" i="29"/>
  <c r="C340" i="29"/>
  <c r="D334" i="29"/>
  <c r="D344" i="29"/>
  <c r="C339" i="29"/>
  <c r="C334" i="29"/>
  <c r="D327" i="29"/>
  <c r="D342" i="29"/>
  <c r="C337" i="29"/>
  <c r="C332" i="29"/>
  <c r="C331" i="29"/>
  <c r="C342" i="29"/>
  <c r="D336" i="29"/>
  <c r="W53" i="18"/>
  <c r="AH53" i="18"/>
  <c r="E2133" i="20"/>
  <c r="D2140" i="20"/>
  <c r="C2123" i="20"/>
  <c r="D2129" i="20"/>
  <c r="D2133" i="20"/>
  <c r="A2151" i="20"/>
  <c r="D2141" i="20"/>
  <c r="E2129" i="20"/>
  <c r="D2130" i="20"/>
  <c r="C2140" i="20"/>
  <c r="D2138" i="20"/>
  <c r="E2128" i="20"/>
  <c r="C2138" i="20"/>
  <c r="D2144" i="20"/>
  <c r="C2128" i="20"/>
  <c r="E2137" i="20"/>
  <c r="F2206" i="20"/>
  <c r="A2150" i="20"/>
  <c r="E2139" i="20"/>
  <c r="E2135" i="20"/>
  <c r="D2128" i="20"/>
  <c r="D2131" i="20"/>
  <c r="D2136" i="20"/>
  <c r="D2134" i="20"/>
  <c r="E2144" i="20"/>
  <c r="E2130" i="20"/>
  <c r="C2141" i="20"/>
  <c r="C2133" i="20"/>
  <c r="E2134" i="20"/>
  <c r="E2138" i="20"/>
  <c r="A2149" i="20"/>
  <c r="E2143" i="20"/>
  <c r="E2140" i="20"/>
  <c r="C2139" i="20"/>
  <c r="E2141" i="20"/>
  <c r="D2132" i="20"/>
  <c r="C2130" i="20"/>
  <c r="C2136" i="20"/>
  <c r="C2124" i="20"/>
  <c r="A2148" i="20"/>
  <c r="C2129" i="20"/>
  <c r="D2137" i="20"/>
  <c r="C2134" i="20"/>
  <c r="D2135" i="20"/>
  <c r="D2139" i="20"/>
  <c r="C2135" i="20"/>
  <c r="D2142" i="20"/>
  <c r="E2136" i="20"/>
  <c r="E2132" i="20"/>
  <c r="C2132" i="20"/>
  <c r="D2145" i="20"/>
  <c r="E2145" i="20"/>
  <c r="C2137" i="20"/>
  <c r="C2131" i="20"/>
  <c r="E2131" i="20"/>
  <c r="E2124" i="20"/>
  <c r="E2142" i="20"/>
  <c r="D2143" i="20"/>
  <c r="C2144" i="20"/>
  <c r="C2143" i="20"/>
  <c r="C2145" i="20"/>
  <c r="C2142" i="20"/>
  <c r="F50" i="24"/>
  <c r="S50" i="24"/>
  <c r="AX50" i="24"/>
  <c r="AY50" i="24"/>
  <c r="AZ50" i="24"/>
  <c r="CK50" i="24"/>
  <c r="DY50" i="24"/>
  <c r="AD50" i="24"/>
  <c r="AE50" i="24"/>
  <c r="AF50" i="24"/>
  <c r="BU50" i="24"/>
  <c r="BV50" i="24"/>
  <c r="BW50" i="24"/>
  <c r="W50" i="24"/>
  <c r="X50" i="24"/>
  <c r="Y50" i="24"/>
  <c r="DC50" i="24"/>
  <c r="DD50" i="24"/>
  <c r="EG50" i="24"/>
  <c r="EH50" i="24"/>
  <c r="AN50" i="24"/>
  <c r="AO50" i="24"/>
  <c r="AP50" i="24"/>
  <c r="CL50" i="24"/>
  <c r="CM50" i="24"/>
  <c r="CN50" i="24"/>
  <c r="DS50" i="24"/>
  <c r="DT50" i="24"/>
  <c r="DU50" i="24"/>
  <c r="CE50" i="24"/>
  <c r="CF50" i="24"/>
  <c r="CG50" i="24"/>
  <c r="AW50" i="24"/>
  <c r="CA50" i="24"/>
  <c r="G50" i="24"/>
  <c r="H50" i="24"/>
  <c r="AA50" i="24"/>
  <c r="AB50" i="24"/>
  <c r="BH50" i="24"/>
  <c r="BI50" i="24"/>
  <c r="BJ50" i="24"/>
  <c r="CO50" i="24"/>
  <c r="CP50" i="24"/>
  <c r="CQ50" i="24"/>
  <c r="EC50" i="24"/>
  <c r="ED50" i="24"/>
  <c r="EE50" i="24"/>
  <c r="AK50" i="24"/>
  <c r="AL50" i="24"/>
  <c r="CV50" i="24"/>
  <c r="CW50" i="24"/>
  <c r="CX50" i="24"/>
  <c r="BO50" i="24"/>
  <c r="BP50" i="24"/>
  <c r="DE50" i="24"/>
  <c r="EI50" i="24"/>
  <c r="BE50" i="24"/>
  <c r="BF50" i="24"/>
  <c r="CS50" i="24"/>
  <c r="CT50" i="24"/>
  <c r="D50" i="24"/>
  <c r="DM50" i="24"/>
  <c r="DN50" i="24"/>
  <c r="BY50" i="24"/>
  <c r="BZ50" i="24"/>
  <c r="AC50" i="24"/>
  <c r="DF50" i="24"/>
  <c r="DG50" i="24"/>
  <c r="DH50" i="24"/>
  <c r="AM50" i="24"/>
  <c r="BQ50" i="24"/>
  <c r="EM50" i="24"/>
  <c r="EN50" i="24"/>
  <c r="EO50" i="24"/>
  <c r="CU50" i="24"/>
  <c r="DO50" i="24"/>
  <c r="AU50" i="24"/>
  <c r="AV50" i="24"/>
  <c r="I50" i="24"/>
  <c r="BR50" i="24"/>
  <c r="BS50" i="24"/>
  <c r="BT50" i="24"/>
  <c r="E50" i="24"/>
  <c r="DI50" i="24"/>
  <c r="DJ50" i="24"/>
  <c r="DK50" i="24"/>
  <c r="DP50" i="24"/>
  <c r="DQ50" i="24"/>
  <c r="DR50" i="24"/>
  <c r="BG50" i="24"/>
  <c r="M50" i="24"/>
  <c r="N50" i="24"/>
  <c r="O50" i="24"/>
  <c r="B51" i="24"/>
  <c r="Q50" i="24"/>
  <c r="R50" i="24"/>
  <c r="AG50" i="24"/>
  <c r="AH50" i="24"/>
  <c r="AI50" i="24"/>
  <c r="CI50" i="24"/>
  <c r="CJ50" i="24"/>
  <c r="DW50" i="24"/>
  <c r="DX50" i="24"/>
  <c r="J50" i="24"/>
  <c r="K50" i="24"/>
  <c r="L50" i="24"/>
  <c r="AQ50" i="24"/>
  <c r="AR50" i="24"/>
  <c r="AS50" i="24"/>
  <c r="C50" i="24"/>
  <c r="CB50" i="24"/>
  <c r="CC50" i="24"/>
  <c r="CD50" i="24"/>
  <c r="DZ50" i="24"/>
  <c r="EA50" i="24"/>
  <c r="EB50" i="24"/>
  <c r="T50" i="24"/>
  <c r="U50" i="24"/>
  <c r="V50" i="24"/>
  <c r="BK50" i="24"/>
  <c r="BL50" i="24"/>
  <c r="BM50" i="24"/>
  <c r="CY50" i="24"/>
  <c r="CZ50" i="24"/>
  <c r="DA50" i="24"/>
  <c r="BA50" i="24"/>
  <c r="BB50" i="24"/>
  <c r="BC50" i="24"/>
  <c r="EJ50" i="24"/>
  <c r="EK50" i="24"/>
  <c r="EL50" i="24"/>
  <c r="N451" i="21"/>
  <c r="Q432" i="21"/>
  <c r="Q445" i="21"/>
  <c r="Q437" i="21"/>
  <c r="P441" i="21"/>
  <c r="P443" i="21"/>
  <c r="P447" i="21"/>
  <c r="R449" i="21"/>
  <c r="R438" i="21"/>
  <c r="R443" i="21"/>
  <c r="P438" i="21"/>
  <c r="R447" i="21"/>
  <c r="R441" i="21"/>
  <c r="P442" i="21"/>
  <c r="Q430" i="21"/>
  <c r="R436" i="21"/>
  <c r="P437" i="21"/>
  <c r="Q436" i="21"/>
  <c r="R448" i="21"/>
  <c r="P445" i="21"/>
  <c r="R442" i="21"/>
  <c r="Q433" i="21"/>
  <c r="Q446" i="21"/>
  <c r="P439" i="21"/>
  <c r="N454" i="21"/>
  <c r="R445" i="21"/>
  <c r="R434" i="21"/>
  <c r="Q449" i="21"/>
  <c r="R439" i="21"/>
  <c r="Q438" i="21"/>
  <c r="Q443" i="21"/>
  <c r="R440" i="21"/>
  <c r="Q440" i="21"/>
  <c r="R444" i="21"/>
  <c r="R437" i="21"/>
  <c r="R435" i="21"/>
  <c r="Q435" i="21"/>
  <c r="R433" i="21"/>
  <c r="P433" i="21"/>
  <c r="R446" i="21"/>
  <c r="P440" i="21"/>
  <c r="Q447" i="21"/>
  <c r="N452" i="21"/>
  <c r="P449" i="21"/>
  <c r="Q434" i="21"/>
  <c r="Q448" i="21"/>
  <c r="Q439" i="21"/>
  <c r="N453" i="21"/>
  <c r="P434" i="21"/>
  <c r="Q444" i="21"/>
  <c r="Q442" i="21"/>
  <c r="Q441" i="21"/>
  <c r="R432" i="21"/>
  <c r="B458" i="21"/>
  <c r="P446" i="21"/>
  <c r="N430" i="21"/>
  <c r="P432" i="21"/>
  <c r="P435" i="21"/>
  <c r="P448" i="21"/>
  <c r="O429" i="21"/>
  <c r="P444" i="21"/>
  <c r="P436" i="21"/>
  <c r="AZ55" i="13"/>
  <c r="B57" i="10"/>
  <c r="D57" i="10"/>
  <c r="L57" i="10"/>
  <c r="C57" i="10"/>
  <c r="E57" i="10"/>
  <c r="K57" i="10"/>
  <c r="G57" i="10"/>
  <c r="H57" i="10"/>
  <c r="J57" i="10"/>
  <c r="M57" i="10"/>
  <c r="P57" i="10"/>
  <c r="F57" i="10"/>
  <c r="I57" i="10"/>
  <c r="A58" i="10"/>
  <c r="W53" i="11"/>
  <c r="AH53" i="11"/>
  <c r="V54" i="11"/>
  <c r="N56" i="13"/>
  <c r="AL56" i="13"/>
  <c r="B56" i="13"/>
  <c r="I56" i="13"/>
  <c r="AN56" i="13"/>
  <c r="BL56" i="13"/>
  <c r="BB56" i="13"/>
  <c r="AO56" i="13"/>
  <c r="Y56" i="13"/>
  <c r="Z56" i="13"/>
  <c r="F56" i="13"/>
  <c r="AA56" i="13"/>
  <c r="U56" i="13"/>
  <c r="T56" i="13"/>
  <c r="AQ56" i="13"/>
  <c r="D56" i="13"/>
  <c r="AI56" i="13"/>
  <c r="K56" i="13"/>
  <c r="AE56" i="13"/>
  <c r="V56" i="13"/>
  <c r="H56" i="13"/>
  <c r="L56" i="13"/>
  <c r="M56" i="13"/>
  <c r="AF56" i="13"/>
  <c r="P56" i="13"/>
  <c r="AJ56" i="13"/>
  <c r="AG56" i="13"/>
  <c r="W56" i="13"/>
  <c r="A57" i="13"/>
  <c r="R56" i="13"/>
  <c r="O56" i="13"/>
  <c r="Q56" i="13"/>
  <c r="S56" i="13"/>
  <c r="AK56" i="13"/>
  <c r="C56" i="13"/>
  <c r="AP56" i="13"/>
  <c r="AR56" i="13"/>
  <c r="AB56" i="13"/>
  <c r="AS56" i="13"/>
  <c r="E56" i="13"/>
  <c r="AC56" i="13"/>
  <c r="AM56" i="13"/>
  <c r="G56" i="13"/>
  <c r="J56" i="13"/>
  <c r="AD56" i="13"/>
  <c r="AH56" i="13"/>
  <c r="X56" i="13"/>
  <c r="BF56" i="13"/>
  <c r="BC56" i="13"/>
  <c r="AU56" i="13"/>
  <c r="BA56" i="13"/>
  <c r="AY56" i="13"/>
  <c r="AZ56" i="13"/>
  <c r="AV56" i="13"/>
  <c r="AW56" i="13"/>
  <c r="BE56" i="13"/>
  <c r="AT56" i="13"/>
  <c r="C55" i="18"/>
  <c r="A56" i="18"/>
  <c r="AG55" i="18"/>
  <c r="M55" i="18"/>
  <c r="J55" i="18"/>
  <c r="B55" i="18"/>
  <c r="L55" i="18"/>
  <c r="N55" i="18"/>
  <c r="Y55" i="18"/>
  <c r="R55" i="18"/>
  <c r="S55" i="18"/>
  <c r="T55" i="18"/>
  <c r="Q55" i="18"/>
  <c r="AB55" i="18"/>
  <c r="D55" i="18"/>
  <c r="F55" i="18"/>
  <c r="P55" i="18"/>
  <c r="E55" i="18"/>
  <c r="K55" i="18"/>
  <c r="I55" i="18"/>
  <c r="H55" i="18"/>
  <c r="G55" i="18"/>
  <c r="O55" i="18"/>
  <c r="U55" i="18"/>
  <c r="V54" i="18"/>
  <c r="D55" i="11"/>
  <c r="U55" i="11"/>
  <c r="O55" i="11"/>
  <c r="F55" i="11"/>
  <c r="R55" i="11"/>
  <c r="S55" i="11"/>
  <c r="I55" i="11"/>
  <c r="AA55" i="11"/>
  <c r="E55" i="11"/>
  <c r="M55" i="11"/>
  <c r="G55" i="11"/>
  <c r="P55" i="11"/>
  <c r="Q55" i="11"/>
  <c r="AG55" i="11"/>
  <c r="T55" i="11"/>
  <c r="K55" i="11"/>
  <c r="C55" i="11"/>
  <c r="B55" i="11"/>
  <c r="J55" i="11"/>
  <c r="L55" i="11"/>
  <c r="H55" i="11"/>
  <c r="N55" i="11"/>
  <c r="A56" i="11"/>
  <c r="Y55" i="11"/>
  <c r="D1384" i="25"/>
  <c r="F1382" i="25"/>
  <c r="E1386" i="25"/>
  <c r="E1385" i="25"/>
  <c r="E1375" i="25"/>
  <c r="D1379" i="25"/>
  <c r="D1378" i="25"/>
  <c r="D1381" i="25"/>
  <c r="D1377" i="25"/>
  <c r="D1380" i="25"/>
  <c r="F1378" i="25"/>
  <c r="E1379" i="25"/>
  <c r="E1378" i="25"/>
  <c r="C1385" i="25"/>
  <c r="F1388" i="25"/>
  <c r="C1375" i="25"/>
  <c r="E1388" i="25"/>
  <c r="D1375" i="25"/>
  <c r="E1377" i="25"/>
  <c r="F1384" i="25"/>
  <c r="E1382" i="25"/>
  <c r="F1387" i="25"/>
  <c r="C1381" i="25"/>
  <c r="C1384" i="25"/>
  <c r="D1376" i="25"/>
  <c r="F1372" i="25"/>
  <c r="C1387" i="25"/>
  <c r="F1385" i="25"/>
  <c r="E1384" i="25"/>
  <c r="F1376" i="25"/>
  <c r="D1372" i="25"/>
  <c r="D1387" i="25"/>
  <c r="F1381" i="25"/>
  <c r="C1377" i="25"/>
  <c r="C1386" i="25"/>
  <c r="B1422" i="25"/>
  <c r="F1383" i="25"/>
  <c r="E1380" i="25"/>
  <c r="D1371" i="25"/>
  <c r="D1388" i="25"/>
  <c r="F1386" i="25"/>
  <c r="C1382" i="25"/>
  <c r="C1379" i="25"/>
  <c r="C1388" i="25"/>
  <c r="D1386" i="25"/>
  <c r="C1378" i="25"/>
  <c r="F1379" i="25"/>
  <c r="D1383" i="25"/>
  <c r="F1377" i="25"/>
  <c r="E1376" i="25"/>
  <c r="E1383" i="25"/>
  <c r="D1385" i="25"/>
  <c r="F1375" i="25"/>
  <c r="F1380" i="25"/>
  <c r="E1387" i="25"/>
  <c r="D1382" i="25"/>
  <c r="E1381" i="25"/>
  <c r="C1380" i="25"/>
  <c r="C1383" i="25"/>
  <c r="C1376" i="25"/>
  <c r="AI52" i="18"/>
  <c r="B407" i="29"/>
  <c r="C372" i="29"/>
  <c r="C370" i="29"/>
  <c r="C368" i="29"/>
  <c r="C366" i="29"/>
  <c r="C364" i="29"/>
  <c r="C362" i="29"/>
  <c r="C360" i="29"/>
  <c r="D356" i="29"/>
  <c r="D372" i="29"/>
  <c r="D369" i="29"/>
  <c r="C367" i="29"/>
  <c r="D364" i="29"/>
  <c r="D361" i="29"/>
  <c r="D357" i="29"/>
  <c r="D371" i="29"/>
  <c r="C369" i="29"/>
  <c r="D366" i="29"/>
  <c r="D363" i="29"/>
  <c r="C361" i="29"/>
  <c r="C373" i="29"/>
  <c r="D367" i="29"/>
  <c r="D362" i="29"/>
  <c r="C371" i="29"/>
  <c r="D365" i="29"/>
  <c r="D360" i="29"/>
  <c r="D370" i="29"/>
  <c r="C365" i="29"/>
  <c r="F357" i="29"/>
  <c r="D373" i="29"/>
  <c r="D368" i="29"/>
  <c r="C363" i="29"/>
  <c r="E23" i="30"/>
  <c r="C23" i="30"/>
  <c r="F23" i="30"/>
  <c r="B23" i="30"/>
  <c r="A24" i="30"/>
  <c r="D23" i="30"/>
  <c r="AI53" i="11"/>
  <c r="AI53" i="18"/>
  <c r="C1410" i="25"/>
  <c r="E1409" i="25"/>
  <c r="D1415" i="25"/>
  <c r="D1410" i="25"/>
  <c r="C1405" i="25"/>
  <c r="E1404" i="25"/>
  <c r="D1405" i="25"/>
  <c r="E1410" i="25"/>
  <c r="C1404" i="25"/>
  <c r="D1401" i="25"/>
  <c r="F1416" i="25"/>
  <c r="D1400" i="25"/>
  <c r="C1407" i="25"/>
  <c r="F1409" i="25"/>
  <c r="F1406" i="25"/>
  <c r="F1415" i="25"/>
  <c r="E1412" i="25"/>
  <c r="C1412" i="25"/>
  <c r="C1415" i="25"/>
  <c r="C1406" i="25"/>
  <c r="E1405" i="25"/>
  <c r="D1407" i="25"/>
  <c r="C1417" i="25"/>
  <c r="E1416" i="25"/>
  <c r="F1413" i="25"/>
  <c r="F1410" i="25"/>
  <c r="C1416" i="25"/>
  <c r="E1415" i="25"/>
  <c r="F1411" i="25"/>
  <c r="F1408" i="25"/>
  <c r="D1412" i="25"/>
  <c r="E1414" i="25"/>
  <c r="D1417" i="25"/>
  <c r="D1404" i="25"/>
  <c r="E1417" i="25"/>
  <c r="C1413" i="25"/>
  <c r="E1411" i="25"/>
  <c r="E1406" i="25"/>
  <c r="B1451" i="25"/>
  <c r="F1405" i="25"/>
  <c r="D1414" i="25"/>
  <c r="C1414" i="25"/>
  <c r="E1413" i="25"/>
  <c r="F1407" i="25"/>
  <c r="F1404" i="25"/>
  <c r="C1409" i="25"/>
  <c r="E1408" i="25"/>
  <c r="D1413" i="25"/>
  <c r="D1408" i="25"/>
  <c r="C1408" i="25"/>
  <c r="E1407" i="25"/>
  <c r="D1411" i="25"/>
  <c r="D1406" i="25"/>
  <c r="C1411" i="25"/>
  <c r="F1417" i="25"/>
  <c r="F1414" i="25"/>
  <c r="F1412" i="25"/>
  <c r="D1416" i="25"/>
  <c r="F1401" i="25"/>
  <c r="D1409" i="25"/>
  <c r="R57" i="13"/>
  <c r="T57" i="13"/>
  <c r="Z57" i="13"/>
  <c r="Q57" i="13"/>
  <c r="AG57" i="13"/>
  <c r="S57" i="13"/>
  <c r="AS57" i="13"/>
  <c r="M57" i="13"/>
  <c r="AC57" i="13"/>
  <c r="O57" i="13"/>
  <c r="AD57" i="13"/>
  <c r="D57" i="13"/>
  <c r="J57" i="13"/>
  <c r="W57" i="13"/>
  <c r="AP57" i="13"/>
  <c r="H57" i="13"/>
  <c r="B57" i="13"/>
  <c r="AI57" i="13"/>
  <c r="AN57" i="13"/>
  <c r="K57" i="13"/>
  <c r="Y57" i="13"/>
  <c r="AF57" i="13"/>
  <c r="AQ57" i="13"/>
  <c r="C57" i="13"/>
  <c r="L57" i="13"/>
  <c r="F57" i="13"/>
  <c r="G57" i="13"/>
  <c r="AR57" i="13"/>
  <c r="AJ57" i="13"/>
  <c r="AM57" i="13"/>
  <c r="AH57" i="13"/>
  <c r="I57" i="13"/>
  <c r="AO57" i="13"/>
  <c r="AE57" i="13"/>
  <c r="X57" i="13"/>
  <c r="AA57" i="13"/>
  <c r="AK57" i="13"/>
  <c r="E57" i="13"/>
  <c r="P57" i="13"/>
  <c r="A58" i="13"/>
  <c r="AB57" i="13"/>
  <c r="BL57" i="13"/>
  <c r="AV57" i="13"/>
  <c r="AL57" i="13"/>
  <c r="U57" i="13"/>
  <c r="V57" i="13"/>
  <c r="AW57" i="13"/>
  <c r="N57" i="13"/>
  <c r="BF57" i="13"/>
  <c r="BB57" i="13"/>
  <c r="BC57" i="13"/>
  <c r="AU57" i="13"/>
  <c r="AX57" i="13"/>
  <c r="BE57" i="13"/>
  <c r="AY57" i="13"/>
  <c r="AZ57" i="13"/>
  <c r="BA57" i="13"/>
  <c r="W54" i="11"/>
  <c r="AH54" i="11"/>
  <c r="AI54" i="11"/>
  <c r="L56" i="11"/>
  <c r="K56" i="11"/>
  <c r="H56" i="11"/>
  <c r="I56" i="11"/>
  <c r="F56" i="11"/>
  <c r="B56" i="11"/>
  <c r="N56" i="11"/>
  <c r="U56" i="11"/>
  <c r="D56" i="11"/>
  <c r="T56" i="11"/>
  <c r="Q56" i="11"/>
  <c r="E56" i="11"/>
  <c r="J56" i="11"/>
  <c r="G56" i="11"/>
  <c r="R56" i="11"/>
  <c r="S56" i="11"/>
  <c r="AG56" i="11"/>
  <c r="C56" i="11"/>
  <c r="AA56" i="11"/>
  <c r="P56" i="11"/>
  <c r="M56" i="11"/>
  <c r="A57" i="11"/>
  <c r="O56" i="11"/>
  <c r="Y56" i="11"/>
  <c r="V55" i="11"/>
  <c r="Q56" i="18"/>
  <c r="U56" i="18"/>
  <c r="B56" i="18"/>
  <c r="L56" i="18"/>
  <c r="N56" i="18"/>
  <c r="C56" i="18"/>
  <c r="T56" i="18"/>
  <c r="E56" i="18"/>
  <c r="O56" i="18"/>
  <c r="M56" i="18"/>
  <c r="Y56" i="18"/>
  <c r="AG56" i="18"/>
  <c r="K56" i="18"/>
  <c r="F56" i="18"/>
  <c r="D56" i="18"/>
  <c r="I56" i="18"/>
  <c r="H56" i="18"/>
  <c r="J56" i="18"/>
  <c r="G56" i="18"/>
  <c r="P56" i="18"/>
  <c r="R56" i="18"/>
  <c r="S56" i="18"/>
  <c r="A57" i="18"/>
  <c r="AB56" i="18"/>
  <c r="D467" i="21"/>
  <c r="E463" i="21"/>
  <c r="B459" i="21"/>
  <c r="D476" i="21"/>
  <c r="E473" i="21"/>
  <c r="E462" i="21"/>
  <c r="F461" i="21"/>
  <c r="D477" i="21"/>
  <c r="E469" i="21"/>
  <c r="E471" i="21"/>
  <c r="E472" i="21"/>
  <c r="F477" i="21"/>
  <c r="C458" i="21"/>
  <c r="E467" i="21"/>
  <c r="B481" i="21"/>
  <c r="D470" i="21"/>
  <c r="B482" i="21"/>
  <c r="D469" i="21"/>
  <c r="F469" i="21"/>
  <c r="E459" i="21"/>
  <c r="E461" i="21"/>
  <c r="D468" i="21"/>
  <c r="E475" i="21"/>
  <c r="F475" i="21"/>
  <c r="D474" i="21"/>
  <c r="F471" i="21"/>
  <c r="D461" i="21"/>
  <c r="E476" i="21"/>
  <c r="F470" i="21"/>
  <c r="B480" i="21"/>
  <c r="D465" i="21"/>
  <c r="F468" i="21"/>
  <c r="E474" i="21"/>
  <c r="D463" i="21"/>
  <c r="D478" i="21"/>
  <c r="D475" i="21"/>
  <c r="F464" i="21"/>
  <c r="B483" i="21"/>
  <c r="F463" i="21"/>
  <c r="F465" i="21"/>
  <c r="E470" i="21"/>
  <c r="D462" i="21"/>
  <c r="E477" i="21"/>
  <c r="F476" i="21"/>
  <c r="F466" i="21"/>
  <c r="D471" i="21"/>
  <c r="F473" i="21"/>
  <c r="E478" i="21"/>
  <c r="F474" i="21"/>
  <c r="E468" i="21"/>
  <c r="F467" i="21"/>
  <c r="F462" i="21"/>
  <c r="D464" i="21"/>
  <c r="E464" i="21"/>
  <c r="F478" i="21"/>
  <c r="D472" i="21"/>
  <c r="H458" i="21"/>
  <c r="D466" i="21"/>
  <c r="F472" i="21"/>
  <c r="D473" i="21"/>
  <c r="E466" i="21"/>
  <c r="E465" i="21"/>
  <c r="B52" i="24"/>
  <c r="AC51" i="24"/>
  <c r="C51" i="24"/>
  <c r="AQ51" i="24"/>
  <c r="AR51" i="24"/>
  <c r="AS51" i="24"/>
  <c r="CY51" i="24"/>
  <c r="CZ51" i="24"/>
  <c r="DA51" i="24"/>
  <c r="EM51" i="24"/>
  <c r="EN51" i="24"/>
  <c r="EO51" i="24"/>
  <c r="BE51" i="24"/>
  <c r="BF51" i="24"/>
  <c r="CI51" i="24"/>
  <c r="CJ51" i="24"/>
  <c r="DW51" i="24"/>
  <c r="DX51" i="24"/>
  <c r="M51" i="24"/>
  <c r="N51" i="24"/>
  <c r="O51" i="24"/>
  <c r="CA51" i="24"/>
  <c r="DO51" i="24"/>
  <c r="I51" i="24"/>
  <c r="T51" i="24"/>
  <c r="U51" i="24"/>
  <c r="V51" i="24"/>
  <c r="AW51" i="24"/>
  <c r="DZ51" i="24"/>
  <c r="EA51" i="24"/>
  <c r="EB51" i="24"/>
  <c r="AM51" i="24"/>
  <c r="DF51" i="24"/>
  <c r="DG51" i="24"/>
  <c r="DH51" i="24"/>
  <c r="F51" i="24"/>
  <c r="D51" i="24"/>
  <c r="AG51" i="24"/>
  <c r="AH51" i="24"/>
  <c r="AI51" i="24"/>
  <c r="AD51" i="24"/>
  <c r="AE51" i="24"/>
  <c r="AF51" i="24"/>
  <c r="CB51" i="24"/>
  <c r="CC51" i="24"/>
  <c r="CD51" i="24"/>
  <c r="DP51" i="24"/>
  <c r="DQ51" i="24"/>
  <c r="DR51" i="24"/>
  <c r="Q51" i="24"/>
  <c r="R51" i="24"/>
  <c r="BG51" i="24"/>
  <c r="CK51" i="24"/>
  <c r="DY51" i="24"/>
  <c r="AN51" i="24"/>
  <c r="AO51" i="24"/>
  <c r="AP51" i="24"/>
  <c r="CE51" i="24"/>
  <c r="CF51" i="24"/>
  <c r="CG51" i="24"/>
  <c r="DS51" i="24"/>
  <c r="DT51" i="24"/>
  <c r="DU51" i="24"/>
  <c r="BH51" i="24"/>
  <c r="BI51" i="24"/>
  <c r="BJ51" i="24"/>
  <c r="BU51" i="24"/>
  <c r="BV51" i="24"/>
  <c r="BW51" i="24"/>
  <c r="BQ51" i="24"/>
  <c r="BO51" i="24"/>
  <c r="BP51" i="24"/>
  <c r="W51" i="24"/>
  <c r="X51" i="24"/>
  <c r="Y51" i="24"/>
  <c r="BR51" i="24"/>
  <c r="BS51" i="24"/>
  <c r="BT51" i="24"/>
  <c r="DM51" i="24"/>
  <c r="DN51" i="24"/>
  <c r="DE51" i="24"/>
  <c r="J51" i="24"/>
  <c r="K51" i="24"/>
  <c r="L51" i="24"/>
  <c r="AX51" i="24"/>
  <c r="AY51" i="24"/>
  <c r="AZ51" i="24"/>
  <c r="AK51" i="24"/>
  <c r="AL51" i="24"/>
  <c r="CS51" i="24"/>
  <c r="CT51" i="24"/>
  <c r="EG51" i="24"/>
  <c r="EH51" i="24"/>
  <c r="S51" i="24"/>
  <c r="BK51" i="24"/>
  <c r="BL51" i="24"/>
  <c r="BM51" i="24"/>
  <c r="CO51" i="24"/>
  <c r="CP51" i="24"/>
  <c r="CQ51" i="24"/>
  <c r="EC51" i="24"/>
  <c r="ED51" i="24"/>
  <c r="EE51" i="24"/>
  <c r="BA51" i="24"/>
  <c r="BB51" i="24"/>
  <c r="BC51" i="24"/>
  <c r="CV51" i="24"/>
  <c r="CW51" i="24"/>
  <c r="CX51" i="24"/>
  <c r="EJ51" i="24"/>
  <c r="EK51" i="24"/>
  <c r="EL51" i="24"/>
  <c r="CL51" i="24"/>
  <c r="CM51" i="24"/>
  <c r="CN51" i="24"/>
  <c r="DI51" i="24"/>
  <c r="DJ51" i="24"/>
  <c r="DK51" i="24"/>
  <c r="DC51" i="24"/>
  <c r="DD51" i="24"/>
  <c r="AA51" i="24"/>
  <c r="AB51" i="24"/>
  <c r="EI51" i="24"/>
  <c r="E51" i="24"/>
  <c r="G51" i="24"/>
  <c r="H51" i="24"/>
  <c r="CU51" i="24"/>
  <c r="BY51" i="24"/>
  <c r="BZ51" i="24"/>
  <c r="AU51" i="24"/>
  <c r="AV51" i="24"/>
  <c r="C2185" i="20"/>
  <c r="D2190" i="20"/>
  <c r="E2173" i="20"/>
  <c r="D2189" i="20"/>
  <c r="C2175" i="20"/>
  <c r="C2174" i="20"/>
  <c r="E2178" i="20"/>
  <c r="C2173" i="20"/>
  <c r="C2176" i="20"/>
  <c r="D2186" i="20"/>
  <c r="D2175" i="20"/>
  <c r="D2177" i="20"/>
  <c r="C2168" i="20"/>
  <c r="E2175" i="20"/>
  <c r="D2184" i="20"/>
  <c r="E2186" i="20"/>
  <c r="D2180" i="20"/>
  <c r="D2179" i="20"/>
  <c r="E2183" i="20"/>
  <c r="A2193" i="20"/>
  <c r="E2189" i="20"/>
  <c r="D2188" i="20"/>
  <c r="D2185" i="20"/>
  <c r="E2184" i="20"/>
  <c r="D2176" i="20"/>
  <c r="E2169" i="20"/>
  <c r="C2183" i="20"/>
  <c r="C2182" i="20"/>
  <c r="E2174" i="20"/>
  <c r="E2185" i="20"/>
  <c r="D2174" i="20"/>
  <c r="D2182" i="20"/>
  <c r="A2196" i="20"/>
  <c r="A2194" i="20"/>
  <c r="D2181" i="20"/>
  <c r="C2186" i="20"/>
  <c r="D2173" i="20"/>
  <c r="C2169" i="20"/>
  <c r="E2179" i="20"/>
  <c r="E2176" i="20"/>
  <c r="C2179" i="20"/>
  <c r="C2180" i="20"/>
  <c r="D2178" i="20"/>
  <c r="F2251" i="20"/>
  <c r="D2187" i="20"/>
  <c r="C2184" i="20"/>
  <c r="A2195" i="20"/>
  <c r="E2181" i="20"/>
  <c r="D2183" i="20"/>
  <c r="C2181" i="20"/>
  <c r="E2190" i="20"/>
  <c r="E2182" i="20"/>
  <c r="E2187" i="20"/>
  <c r="E2177" i="20"/>
  <c r="C2177" i="20"/>
  <c r="C2178" i="20"/>
  <c r="E2188" i="20"/>
  <c r="E2180" i="20"/>
  <c r="C2189" i="20"/>
  <c r="C2187" i="20"/>
  <c r="C2188" i="20"/>
  <c r="C2190" i="20"/>
  <c r="V55" i="18"/>
  <c r="W54" i="18"/>
  <c r="AI54" i="18"/>
  <c r="AX56" i="13"/>
  <c r="J58" i="10"/>
  <c r="I58" i="10"/>
  <c r="K58" i="10"/>
  <c r="B58" i="10"/>
  <c r="E58" i="10"/>
  <c r="M58" i="10"/>
  <c r="P58" i="10"/>
  <c r="A59" i="10"/>
  <c r="L58" i="10"/>
  <c r="C58" i="10"/>
  <c r="H58" i="10"/>
  <c r="G58" i="10"/>
  <c r="F58" i="10"/>
  <c r="D58" i="10"/>
  <c r="A25" i="30"/>
  <c r="D24" i="30"/>
  <c r="C24" i="30"/>
  <c r="F24" i="30"/>
  <c r="B24" i="30"/>
  <c r="E24" i="30"/>
  <c r="B436" i="29"/>
  <c r="D402" i="29"/>
  <c r="D400" i="29"/>
  <c r="D398" i="29"/>
  <c r="D396" i="29"/>
  <c r="D394" i="29"/>
  <c r="D392" i="29"/>
  <c r="D390" i="29"/>
  <c r="F386" i="29"/>
  <c r="C400" i="29"/>
  <c r="D397" i="29"/>
  <c r="C395" i="29"/>
  <c r="C392" i="29"/>
  <c r="D389" i="29"/>
  <c r="D385" i="29"/>
  <c r="C402" i="29"/>
  <c r="D399" i="29"/>
  <c r="C397" i="29"/>
  <c r="C394" i="29"/>
  <c r="D391" i="29"/>
  <c r="C389" i="29"/>
  <c r="C399" i="29"/>
  <c r="D393" i="29"/>
  <c r="D386" i="29"/>
  <c r="C398" i="29"/>
  <c r="C393" i="29"/>
  <c r="D401" i="29"/>
  <c r="C396" i="29"/>
  <c r="C391" i="29"/>
  <c r="C401" i="29"/>
  <c r="D395" i="29"/>
  <c r="C390" i="29"/>
  <c r="AH54" i="18"/>
  <c r="F59" i="10"/>
  <c r="A60" i="10"/>
  <c r="G59" i="10"/>
  <c r="B59" i="10"/>
  <c r="C59" i="10"/>
  <c r="H59" i="10"/>
  <c r="K59" i="10"/>
  <c r="J59" i="10"/>
  <c r="L59" i="10"/>
  <c r="E59" i="10"/>
  <c r="D59" i="10"/>
  <c r="M59" i="10"/>
  <c r="P59" i="10"/>
  <c r="I59" i="10"/>
  <c r="W55" i="18"/>
  <c r="AI55" i="18"/>
  <c r="C57" i="11"/>
  <c r="F57" i="11"/>
  <c r="T57" i="11"/>
  <c r="R57" i="11"/>
  <c r="S57" i="11"/>
  <c r="B57" i="11"/>
  <c r="O57" i="11"/>
  <c r="P57" i="11"/>
  <c r="Q57" i="11"/>
  <c r="K57" i="11"/>
  <c r="AA57" i="11"/>
  <c r="Y57" i="11"/>
  <c r="M57" i="11"/>
  <c r="I57" i="11"/>
  <c r="AG57" i="11"/>
  <c r="A58" i="11"/>
  <c r="U57" i="11"/>
  <c r="E57" i="11"/>
  <c r="H57" i="11"/>
  <c r="D57" i="11"/>
  <c r="G57" i="11"/>
  <c r="J57" i="11"/>
  <c r="N57" i="11"/>
  <c r="L57" i="11"/>
  <c r="H480" i="21"/>
  <c r="K467" i="21"/>
  <c r="L470" i="21"/>
  <c r="J471" i="21"/>
  <c r="L464" i="21"/>
  <c r="J467" i="21"/>
  <c r="K476" i="21"/>
  <c r="L466" i="21"/>
  <c r="J476" i="21"/>
  <c r="K459" i="21"/>
  <c r="K470" i="21"/>
  <c r="K478" i="21"/>
  <c r="J473" i="21"/>
  <c r="J462" i="21"/>
  <c r="K461" i="21"/>
  <c r="J474" i="21"/>
  <c r="L474" i="21"/>
  <c r="L461" i="21"/>
  <c r="H481" i="21"/>
  <c r="K475" i="21"/>
  <c r="K463" i="21"/>
  <c r="L465" i="21"/>
  <c r="J465" i="21"/>
  <c r="L471" i="21"/>
  <c r="L467" i="21"/>
  <c r="H482" i="21"/>
  <c r="J477" i="21"/>
  <c r="L473" i="21"/>
  <c r="J478" i="21"/>
  <c r="K474" i="21"/>
  <c r="H459" i="21"/>
  <c r="J469" i="21"/>
  <c r="K472" i="21"/>
  <c r="I458" i="21"/>
  <c r="J463" i="21"/>
  <c r="K477" i="21"/>
  <c r="J464" i="21"/>
  <c r="K462" i="21"/>
  <c r="H483" i="21"/>
  <c r="L478" i="21"/>
  <c r="L468" i="21"/>
  <c r="J468" i="21"/>
  <c r="L462" i="21"/>
  <c r="L475" i="21"/>
  <c r="L469" i="21"/>
  <c r="L476" i="21"/>
  <c r="J470" i="21"/>
  <c r="J475" i="21"/>
  <c r="K473" i="21"/>
  <c r="K471" i="21"/>
  <c r="K468" i="21"/>
  <c r="K466" i="21"/>
  <c r="K465" i="21"/>
  <c r="J461" i="21"/>
  <c r="N458" i="21"/>
  <c r="K464" i="21"/>
  <c r="K469" i="21"/>
  <c r="L477" i="21"/>
  <c r="J466" i="21"/>
  <c r="J472" i="21"/>
  <c r="L463" i="21"/>
  <c r="L472" i="21"/>
  <c r="W55" i="11"/>
  <c r="AI55" i="11"/>
  <c r="AT57" i="13"/>
  <c r="F1441" i="25"/>
  <c r="D1440" i="25"/>
  <c r="C1446" i="25"/>
  <c r="C1443" i="25"/>
  <c r="D1446" i="25"/>
  <c r="C1434" i="25"/>
  <c r="F1444" i="25"/>
  <c r="D1443" i="25"/>
  <c r="E1436" i="25"/>
  <c r="E1433" i="25"/>
  <c r="F1435" i="25"/>
  <c r="E1439" i="25"/>
  <c r="F1438" i="25"/>
  <c r="D1433" i="25"/>
  <c r="E1445" i="25"/>
  <c r="D1436" i="25"/>
  <c r="D1438" i="25"/>
  <c r="F1440" i="25"/>
  <c r="C1444" i="25"/>
  <c r="C1439" i="25"/>
  <c r="C1435" i="25"/>
  <c r="C1441" i="25"/>
  <c r="E1440" i="25"/>
  <c r="F1433" i="25"/>
  <c r="E1446" i="25"/>
  <c r="E1443" i="25"/>
  <c r="F1443" i="25"/>
  <c r="E1442" i="25"/>
  <c r="F1434" i="25"/>
  <c r="F1436" i="25"/>
  <c r="D1435" i="25"/>
  <c r="C1436" i="25"/>
  <c r="C1433" i="25"/>
  <c r="D1434" i="25"/>
  <c r="F1446" i="25"/>
  <c r="D1441" i="25"/>
  <c r="D1430" i="25"/>
  <c r="C1437" i="25"/>
  <c r="F1445" i="25"/>
  <c r="D1444" i="25"/>
  <c r="E1438" i="25"/>
  <c r="E1435" i="25"/>
  <c r="F1439" i="25"/>
  <c r="E1434" i="25"/>
  <c r="E1437" i="25"/>
  <c r="F1430" i="25"/>
  <c r="E1444" i="25"/>
  <c r="E1441" i="25"/>
  <c r="B1480" i="25"/>
  <c r="C1442" i="25"/>
  <c r="F1442" i="25"/>
  <c r="D1437" i="25"/>
  <c r="C1440" i="25"/>
  <c r="F1437" i="25"/>
  <c r="C1438" i="25"/>
  <c r="D1429" i="25"/>
  <c r="D1439" i="25"/>
  <c r="D1442" i="25"/>
  <c r="D1445" i="25"/>
  <c r="C1445" i="25"/>
  <c r="V56" i="18"/>
  <c r="E2226" i="20"/>
  <c r="D2226" i="20"/>
  <c r="D2227" i="20"/>
  <c r="C2227" i="20"/>
  <c r="D2225" i="20"/>
  <c r="C2221" i="20"/>
  <c r="A2240" i="20"/>
  <c r="C2214" i="20"/>
  <c r="C2226" i="20"/>
  <c r="C2222" i="20"/>
  <c r="E2221" i="20"/>
  <c r="C2220" i="20"/>
  <c r="C2229" i="20"/>
  <c r="E2214" i="20"/>
  <c r="E2227" i="20"/>
  <c r="E2220" i="20"/>
  <c r="E2223" i="20"/>
  <c r="C2219" i="20"/>
  <c r="E2231" i="20"/>
  <c r="D2228" i="20"/>
  <c r="E2233" i="20"/>
  <c r="D2224" i="20"/>
  <c r="E2222" i="20"/>
  <c r="C2225" i="20"/>
  <c r="D2223" i="20"/>
  <c r="C2223" i="20"/>
  <c r="D2234" i="20"/>
  <c r="E2232" i="20"/>
  <c r="D2221" i="20"/>
  <c r="E2219" i="20"/>
  <c r="D2218" i="20"/>
  <c r="C2218" i="20"/>
  <c r="A2241" i="20"/>
  <c r="D2220" i="20"/>
  <c r="D2235" i="20"/>
  <c r="E2228" i="20"/>
  <c r="A2239" i="20"/>
  <c r="D2231" i="20"/>
  <c r="C2231" i="20"/>
  <c r="D2229" i="20"/>
  <c r="D2222" i="20"/>
  <c r="C2230" i="20"/>
  <c r="F2296" i="20"/>
  <c r="C2213" i="20"/>
  <c r="E2229" i="20"/>
  <c r="E2225" i="20"/>
  <c r="C2224" i="20"/>
  <c r="D2230" i="20"/>
  <c r="E2224" i="20"/>
  <c r="D2232" i="20"/>
  <c r="D2233" i="20"/>
  <c r="E2230" i="20"/>
  <c r="A2238" i="20"/>
  <c r="E2218" i="20"/>
  <c r="D2219" i="20"/>
  <c r="E2235" i="20"/>
  <c r="C2228" i="20"/>
  <c r="E2234" i="20"/>
  <c r="C2232" i="20"/>
  <c r="C2234" i="20"/>
  <c r="C2233" i="20"/>
  <c r="C2235" i="20"/>
  <c r="BK52" i="24"/>
  <c r="BL52" i="24"/>
  <c r="BM52" i="24"/>
  <c r="DZ52" i="24"/>
  <c r="EA52" i="24"/>
  <c r="EB52" i="24"/>
  <c r="AU52" i="24"/>
  <c r="AV52" i="24"/>
  <c r="D52" i="24"/>
  <c r="CI52" i="24"/>
  <c r="CJ52" i="24"/>
  <c r="BR52" i="24"/>
  <c r="BS52" i="24"/>
  <c r="BT52" i="24"/>
  <c r="AX52" i="24"/>
  <c r="AY52" i="24"/>
  <c r="AZ52" i="24"/>
  <c r="AD52" i="24"/>
  <c r="AE52" i="24"/>
  <c r="AF52" i="24"/>
  <c r="EG52" i="24"/>
  <c r="EH52" i="24"/>
  <c r="AC52" i="24"/>
  <c r="BU52" i="24"/>
  <c r="BV52" i="24"/>
  <c r="BW52" i="24"/>
  <c r="DC52" i="24"/>
  <c r="DD52" i="24"/>
  <c r="EI52" i="24"/>
  <c r="W52" i="24"/>
  <c r="X52" i="24"/>
  <c r="Y52" i="24"/>
  <c r="BE52" i="24"/>
  <c r="BF52" i="24"/>
  <c r="DE52" i="24"/>
  <c r="I52" i="24"/>
  <c r="BG52" i="24"/>
  <c r="CO52" i="24"/>
  <c r="CP52" i="24"/>
  <c r="CQ52" i="24"/>
  <c r="EC52" i="24"/>
  <c r="ED52" i="24"/>
  <c r="EE52" i="24"/>
  <c r="CY52" i="24"/>
  <c r="CZ52" i="24"/>
  <c r="DA52" i="24"/>
  <c r="CA52" i="24"/>
  <c r="CK52" i="24"/>
  <c r="CS52" i="24"/>
  <c r="CT52" i="24"/>
  <c r="CB52" i="24"/>
  <c r="CC52" i="24"/>
  <c r="CD52" i="24"/>
  <c r="BO52" i="24"/>
  <c r="BP52" i="24"/>
  <c r="S52" i="24"/>
  <c r="E52" i="24"/>
  <c r="DO52" i="24"/>
  <c r="B53" i="24"/>
  <c r="AQ52" i="24"/>
  <c r="AR52" i="24"/>
  <c r="AS52" i="24"/>
  <c r="DI52" i="24"/>
  <c r="DJ52" i="24"/>
  <c r="DK52" i="24"/>
  <c r="DS52" i="24"/>
  <c r="DT52" i="24"/>
  <c r="DU52" i="24"/>
  <c r="BQ52" i="24"/>
  <c r="EM52" i="24"/>
  <c r="EN52" i="24"/>
  <c r="EO52" i="24"/>
  <c r="F52" i="24"/>
  <c r="BA52" i="24"/>
  <c r="BB52" i="24"/>
  <c r="BC52" i="24"/>
  <c r="CL52" i="24"/>
  <c r="CM52" i="24"/>
  <c r="CN52" i="24"/>
  <c r="DP52" i="24"/>
  <c r="DQ52" i="24"/>
  <c r="DR52" i="24"/>
  <c r="G52" i="24"/>
  <c r="H52" i="24"/>
  <c r="AK52" i="24"/>
  <c r="AL52" i="24"/>
  <c r="CE52" i="24"/>
  <c r="CF52" i="24"/>
  <c r="CG52" i="24"/>
  <c r="EJ52" i="24"/>
  <c r="EK52" i="24"/>
  <c r="EL52" i="24"/>
  <c r="AM52" i="24"/>
  <c r="BY52" i="24"/>
  <c r="BZ52" i="24"/>
  <c r="DM52" i="24"/>
  <c r="DN52" i="24"/>
  <c r="AG52" i="24"/>
  <c r="AH52" i="24"/>
  <c r="AI52" i="24"/>
  <c r="J52" i="24"/>
  <c r="K52" i="24"/>
  <c r="L52" i="24"/>
  <c r="T52" i="24"/>
  <c r="U52" i="24"/>
  <c r="V52" i="24"/>
  <c r="AA52" i="24"/>
  <c r="AB52" i="24"/>
  <c r="M52" i="24"/>
  <c r="N52" i="24"/>
  <c r="O52" i="24"/>
  <c r="CU52" i="24"/>
  <c r="Q52" i="24"/>
  <c r="R52" i="24"/>
  <c r="CV52" i="24"/>
  <c r="CW52" i="24"/>
  <c r="CX52" i="24"/>
  <c r="AW52" i="24"/>
  <c r="DW52" i="24"/>
  <c r="DX52" i="24"/>
  <c r="AN52" i="24"/>
  <c r="AO52" i="24"/>
  <c r="AP52" i="24"/>
  <c r="BH52" i="24"/>
  <c r="BI52" i="24"/>
  <c r="BJ52" i="24"/>
  <c r="C52" i="24"/>
  <c r="DF52" i="24"/>
  <c r="DG52" i="24"/>
  <c r="DH52" i="24"/>
  <c r="DY52" i="24"/>
  <c r="N57" i="18"/>
  <c r="A58" i="18"/>
  <c r="B57" i="18"/>
  <c r="AG57" i="18"/>
  <c r="P57" i="18"/>
  <c r="F57" i="18"/>
  <c r="U57" i="18"/>
  <c r="G57" i="18"/>
  <c r="T57" i="18"/>
  <c r="Y57" i="18"/>
  <c r="I57" i="18"/>
  <c r="H57" i="18"/>
  <c r="AB57" i="18"/>
  <c r="D57" i="18"/>
  <c r="C57" i="18"/>
  <c r="K57" i="18"/>
  <c r="J57" i="18"/>
  <c r="Q57" i="18"/>
  <c r="M57" i="18"/>
  <c r="L57" i="18"/>
  <c r="E57" i="18"/>
  <c r="O57" i="18"/>
  <c r="R57" i="18"/>
  <c r="S57" i="18"/>
  <c r="V56" i="11"/>
  <c r="AS58" i="13"/>
  <c r="L58" i="13"/>
  <c r="H58" i="13"/>
  <c r="V58" i="13"/>
  <c r="AQ58" i="13"/>
  <c r="N58" i="13"/>
  <c r="J58" i="13"/>
  <c r="AF58" i="13"/>
  <c r="G58" i="13"/>
  <c r="AP58" i="13"/>
  <c r="Y58" i="13"/>
  <c r="AM58" i="13"/>
  <c r="X58" i="13"/>
  <c r="E58" i="13"/>
  <c r="AJ58" i="13"/>
  <c r="K58" i="13"/>
  <c r="B58" i="13"/>
  <c r="AO58" i="13"/>
  <c r="AL58" i="13"/>
  <c r="I58" i="13"/>
  <c r="AK58" i="13"/>
  <c r="AE58" i="13"/>
  <c r="A59" i="13"/>
  <c r="AG58" i="13"/>
  <c r="T58" i="13"/>
  <c r="AI58" i="13"/>
  <c r="Q58" i="13"/>
  <c r="W58" i="13"/>
  <c r="F58" i="13"/>
  <c r="P58" i="13"/>
  <c r="Z58" i="13"/>
  <c r="AH58" i="13"/>
  <c r="C58" i="13"/>
  <c r="U58" i="13"/>
  <c r="AA58" i="13"/>
  <c r="AR58" i="13"/>
  <c r="AN58" i="13"/>
  <c r="O58" i="13"/>
  <c r="AC58" i="13"/>
  <c r="M58" i="13"/>
  <c r="D58" i="13"/>
  <c r="R58" i="13"/>
  <c r="BL58" i="13"/>
  <c r="AW58" i="13"/>
  <c r="AB58" i="13"/>
  <c r="AD58" i="13"/>
  <c r="S58" i="13"/>
  <c r="BC58" i="13"/>
  <c r="BE58" i="13"/>
  <c r="AV58" i="13"/>
  <c r="AY58" i="13"/>
  <c r="AZ58" i="13"/>
  <c r="B465" i="29"/>
  <c r="C431" i="29"/>
  <c r="C429" i="29"/>
  <c r="C427" i="29"/>
  <c r="C425" i="29"/>
  <c r="C423" i="29"/>
  <c r="C421" i="29"/>
  <c r="C419" i="29"/>
  <c r="D415" i="29"/>
  <c r="D431" i="29"/>
  <c r="D428" i="29"/>
  <c r="C426" i="29"/>
  <c r="D423" i="29"/>
  <c r="D420" i="29"/>
  <c r="C418" i="29"/>
  <c r="D430" i="29"/>
  <c r="C428" i="29"/>
  <c r="D425" i="29"/>
  <c r="D422" i="29"/>
  <c r="C420" i="29"/>
  <c r="F415" i="29"/>
  <c r="D426" i="29"/>
  <c r="D421" i="29"/>
  <c r="D414" i="29"/>
  <c r="C430" i="29"/>
  <c r="D424" i="29"/>
  <c r="D419" i="29"/>
  <c r="D429" i="29"/>
  <c r="C424" i="29"/>
  <c r="D418" i="29"/>
  <c r="D427" i="29"/>
  <c r="C422" i="29"/>
  <c r="F25" i="30"/>
  <c r="D25" i="30"/>
  <c r="B25" i="30"/>
  <c r="A26" i="30"/>
  <c r="C25" i="30"/>
  <c r="E25" i="30"/>
  <c r="AH55" i="11"/>
  <c r="BA58" i="13"/>
  <c r="AT58" i="13"/>
  <c r="B54" i="24"/>
  <c r="W53" i="24"/>
  <c r="X53" i="24"/>
  <c r="Y53" i="24"/>
  <c r="BU53" i="24"/>
  <c r="BV53" i="24"/>
  <c r="BW53" i="24"/>
  <c r="DF53" i="24"/>
  <c r="DG53" i="24"/>
  <c r="DH53" i="24"/>
  <c r="EJ53" i="24"/>
  <c r="EK53" i="24"/>
  <c r="EL53" i="24"/>
  <c r="AK53" i="24"/>
  <c r="AL53" i="24"/>
  <c r="BO53" i="24"/>
  <c r="BP53" i="24"/>
  <c r="DP53" i="24"/>
  <c r="DQ53" i="24"/>
  <c r="DR53" i="24"/>
  <c r="I53" i="24"/>
  <c r="BG53" i="24"/>
  <c r="CS53" i="24"/>
  <c r="CT53" i="24"/>
  <c r="EG53" i="24"/>
  <c r="EH53" i="24"/>
  <c r="DS53" i="24"/>
  <c r="DT53" i="24"/>
  <c r="DU53" i="24"/>
  <c r="F53" i="24"/>
  <c r="EI53" i="24"/>
  <c r="DM53" i="24"/>
  <c r="DN53" i="24"/>
  <c r="AG53" i="24"/>
  <c r="AH53" i="24"/>
  <c r="AI53" i="24"/>
  <c r="D53" i="24"/>
  <c r="DY53" i="24"/>
  <c r="S53" i="24"/>
  <c r="DC53" i="24"/>
  <c r="DD53" i="24"/>
  <c r="AN53" i="24"/>
  <c r="AO53" i="24"/>
  <c r="AP53" i="24"/>
  <c r="AW53" i="24"/>
  <c r="Q53" i="24"/>
  <c r="R53" i="24"/>
  <c r="CI53" i="24"/>
  <c r="CJ53" i="24"/>
  <c r="CA53" i="24"/>
  <c r="BA53" i="24"/>
  <c r="BB53" i="24"/>
  <c r="BC53" i="24"/>
  <c r="C53" i="24"/>
  <c r="AQ53" i="24"/>
  <c r="AR53" i="24"/>
  <c r="AS53" i="24"/>
  <c r="AD53" i="24"/>
  <c r="AE53" i="24"/>
  <c r="AF53" i="24"/>
  <c r="BR53" i="24"/>
  <c r="BS53" i="24"/>
  <c r="BT53" i="24"/>
  <c r="CO53" i="24"/>
  <c r="CP53" i="24"/>
  <c r="CQ53" i="24"/>
  <c r="EM53" i="24"/>
  <c r="EN53" i="24"/>
  <c r="EO53" i="24"/>
  <c r="AU53" i="24"/>
  <c r="AV53" i="24"/>
  <c r="M53" i="24"/>
  <c r="N53" i="24"/>
  <c r="O53" i="24"/>
  <c r="BK53" i="24"/>
  <c r="BL53" i="24"/>
  <c r="BM53" i="24"/>
  <c r="CV53" i="24"/>
  <c r="CW53" i="24"/>
  <c r="CX53" i="24"/>
  <c r="EC53" i="24"/>
  <c r="ED53" i="24"/>
  <c r="EE53" i="24"/>
  <c r="AA53" i="24"/>
  <c r="AB53" i="24"/>
  <c r="BE53" i="24"/>
  <c r="BF53" i="24"/>
  <c r="CY53" i="24"/>
  <c r="CZ53" i="24"/>
  <c r="DA53" i="24"/>
  <c r="E53" i="24"/>
  <c r="AM53" i="24"/>
  <c r="CK53" i="24"/>
  <c r="DZ53" i="24"/>
  <c r="EA53" i="24"/>
  <c r="EB53" i="24"/>
  <c r="CL53" i="24"/>
  <c r="CM53" i="24"/>
  <c r="CN53" i="24"/>
  <c r="CU53" i="24"/>
  <c r="DE53" i="24"/>
  <c r="CB53" i="24"/>
  <c r="CC53" i="24"/>
  <c r="CD53" i="24"/>
  <c r="CE53" i="24"/>
  <c r="CF53" i="24"/>
  <c r="CG53" i="24"/>
  <c r="DO53" i="24"/>
  <c r="BY53" i="24"/>
  <c r="BZ53" i="24"/>
  <c r="BQ53" i="24"/>
  <c r="T53" i="24"/>
  <c r="U53" i="24"/>
  <c r="V53" i="24"/>
  <c r="J53" i="24"/>
  <c r="K53" i="24"/>
  <c r="L53" i="24"/>
  <c r="G53" i="24"/>
  <c r="H53" i="24"/>
  <c r="DW53" i="24"/>
  <c r="DX53" i="24"/>
  <c r="AX53" i="24"/>
  <c r="AY53" i="24"/>
  <c r="AZ53" i="24"/>
  <c r="AC53" i="24"/>
  <c r="DI53" i="24"/>
  <c r="DJ53" i="24"/>
  <c r="DK53" i="24"/>
  <c r="BH53" i="24"/>
  <c r="BI53" i="24"/>
  <c r="BJ53" i="24"/>
  <c r="W56" i="18"/>
  <c r="AI56" i="18"/>
  <c r="E1473" i="25"/>
  <c r="C1472" i="25"/>
  <c r="D1466" i="25"/>
  <c r="D1465" i="25"/>
  <c r="E1471" i="25"/>
  <c r="C1466" i="25"/>
  <c r="F1466" i="25"/>
  <c r="E1464" i="25"/>
  <c r="C1463" i="25"/>
  <c r="F1463" i="25"/>
  <c r="E1463" i="25"/>
  <c r="F1474" i="25"/>
  <c r="C1465" i="25"/>
  <c r="F1464" i="25"/>
  <c r="D1458" i="25"/>
  <c r="F1465" i="25"/>
  <c r="C1471" i="25"/>
  <c r="F1469" i="25"/>
  <c r="D1475" i="25"/>
  <c r="E1469" i="25"/>
  <c r="C1468" i="25"/>
  <c r="F1473" i="25"/>
  <c r="F1470" i="25"/>
  <c r="E1467" i="25"/>
  <c r="D1470" i="25"/>
  <c r="B1509" i="25"/>
  <c r="C1475" i="25"/>
  <c r="D1472" i="25"/>
  <c r="D1471" i="25"/>
  <c r="C1462" i="25"/>
  <c r="E1470" i="25"/>
  <c r="D1468" i="25"/>
  <c r="E1474" i="25"/>
  <c r="F1475" i="25"/>
  <c r="E1465" i="25"/>
  <c r="C1474" i="25"/>
  <c r="D1462" i="25"/>
  <c r="D1464" i="25"/>
  <c r="E1466" i="25"/>
  <c r="E1462" i="25"/>
  <c r="C1464" i="25"/>
  <c r="F1462" i="25"/>
  <c r="E1472" i="25"/>
  <c r="D1463" i="25"/>
  <c r="F1467" i="25"/>
  <c r="D1459" i="25"/>
  <c r="D1474" i="25"/>
  <c r="D1473" i="25"/>
  <c r="E1475" i="25"/>
  <c r="C1470" i="25"/>
  <c r="F1459" i="25"/>
  <c r="E1468" i="25"/>
  <c r="C1467" i="25"/>
  <c r="F1471" i="25"/>
  <c r="F1468" i="25"/>
  <c r="D1469" i="25"/>
  <c r="C1473" i="25"/>
  <c r="D1467" i="25"/>
  <c r="C1469" i="25"/>
  <c r="F1472" i="25"/>
  <c r="BB58" i="13"/>
  <c r="BF58" i="13"/>
  <c r="AX58" i="13"/>
  <c r="AU58" i="13"/>
  <c r="W56" i="11"/>
  <c r="AH56" i="11"/>
  <c r="V57" i="18"/>
  <c r="E2270" i="20"/>
  <c r="E2264" i="20"/>
  <c r="E2279" i="20"/>
  <c r="E2269" i="20"/>
  <c r="E2268" i="20"/>
  <c r="E2274" i="20"/>
  <c r="D2269" i="20"/>
  <c r="E2278" i="20"/>
  <c r="A2283" i="20"/>
  <c r="C2266" i="20"/>
  <c r="E2271" i="20"/>
  <c r="E2263" i="20"/>
  <c r="D2264" i="20"/>
  <c r="D2266" i="20"/>
  <c r="D2280" i="20"/>
  <c r="D2263" i="20"/>
  <c r="C2272" i="20"/>
  <c r="E2277" i="20"/>
  <c r="F2341" i="20"/>
  <c r="C2264" i="20"/>
  <c r="D2265" i="20"/>
  <c r="E2266" i="20"/>
  <c r="C2274" i="20"/>
  <c r="D2273" i="20"/>
  <c r="D2278" i="20"/>
  <c r="E2265" i="20"/>
  <c r="E2273" i="20"/>
  <c r="D2274" i="20"/>
  <c r="D2267" i="20"/>
  <c r="C2259" i="20"/>
  <c r="C2269" i="20"/>
  <c r="E2275" i="20"/>
  <c r="E2272" i="20"/>
  <c r="C2270" i="20"/>
  <c r="D2268" i="20"/>
  <c r="D2279" i="20"/>
  <c r="D2271" i="20"/>
  <c r="D2275" i="20"/>
  <c r="A2286" i="20"/>
  <c r="E2267" i="20"/>
  <c r="C2273" i="20"/>
  <c r="C2276" i="20"/>
  <c r="D2270" i="20"/>
  <c r="C2268" i="20"/>
  <c r="D2272" i="20"/>
  <c r="E2276" i="20"/>
  <c r="E2259" i="20"/>
  <c r="C2263" i="20"/>
  <c r="C2258" i="20"/>
  <c r="A2284" i="20"/>
  <c r="C2275" i="20"/>
  <c r="C2267" i="20"/>
  <c r="D2276" i="20"/>
  <c r="C2265" i="20"/>
  <c r="D2277" i="20"/>
  <c r="E2280" i="20"/>
  <c r="A2285" i="20"/>
  <c r="C2271" i="20"/>
  <c r="C2278" i="20"/>
  <c r="C2277" i="20"/>
  <c r="C2279" i="20"/>
  <c r="C2280" i="20"/>
  <c r="V57" i="11"/>
  <c r="AH55" i="18"/>
  <c r="L59" i="13"/>
  <c r="B59" i="13"/>
  <c r="D59" i="13"/>
  <c r="H59" i="13"/>
  <c r="G59" i="13"/>
  <c r="AO59" i="13"/>
  <c r="K59" i="13"/>
  <c r="AA59" i="13"/>
  <c r="AC59" i="13"/>
  <c r="O59" i="13"/>
  <c r="AE59" i="13"/>
  <c r="F59" i="13"/>
  <c r="AM59" i="13"/>
  <c r="U59" i="13"/>
  <c r="BL59" i="13"/>
  <c r="AY59" i="13"/>
  <c r="AB59" i="13"/>
  <c r="AT59" i="13"/>
  <c r="AI59" i="13"/>
  <c r="AR59" i="13"/>
  <c r="T59" i="13"/>
  <c r="AW59" i="13"/>
  <c r="AS59" i="13"/>
  <c r="W59" i="13"/>
  <c r="AV59" i="13"/>
  <c r="E59" i="13"/>
  <c r="AU59" i="13"/>
  <c r="V59" i="13"/>
  <c r="I59" i="13"/>
  <c r="AG59" i="13"/>
  <c r="M59" i="13"/>
  <c r="J59" i="13"/>
  <c r="N59" i="13"/>
  <c r="AL59" i="13"/>
  <c r="AQ59" i="13"/>
  <c r="X59" i="13"/>
  <c r="Z59" i="13"/>
  <c r="P59" i="13"/>
  <c r="AN59" i="13"/>
  <c r="S59" i="13"/>
  <c r="AP59" i="13"/>
  <c r="Q59" i="13"/>
  <c r="Y59" i="13"/>
  <c r="AK59" i="13"/>
  <c r="AD59" i="13"/>
  <c r="C59" i="13"/>
  <c r="BF59" i="13"/>
  <c r="R59" i="13"/>
  <c r="AH59" i="13"/>
  <c r="AJ59" i="13"/>
  <c r="AF59" i="13"/>
  <c r="A60" i="13"/>
  <c r="AZ59" i="13"/>
  <c r="BA59" i="13"/>
  <c r="AX59" i="13"/>
  <c r="BE59" i="13"/>
  <c r="BB59" i="13"/>
  <c r="BC59" i="13"/>
  <c r="H58" i="11"/>
  <c r="M58" i="11"/>
  <c r="K58" i="11"/>
  <c r="T58" i="11"/>
  <c r="N58" i="11"/>
  <c r="D58" i="11"/>
  <c r="A59" i="11"/>
  <c r="AA58" i="11"/>
  <c r="Q58" i="11"/>
  <c r="J58" i="11"/>
  <c r="I58" i="11"/>
  <c r="U58" i="11"/>
  <c r="O58" i="11"/>
  <c r="P58" i="11"/>
  <c r="R58" i="11"/>
  <c r="S58" i="11"/>
  <c r="Y58" i="11"/>
  <c r="B58" i="11"/>
  <c r="AG58" i="11"/>
  <c r="F58" i="11"/>
  <c r="G58" i="11"/>
  <c r="C58" i="11"/>
  <c r="L58" i="11"/>
  <c r="E58" i="11"/>
  <c r="K60" i="10"/>
  <c r="I60" i="10"/>
  <c r="L60" i="10"/>
  <c r="E60" i="10"/>
  <c r="B60" i="10"/>
  <c r="A61" i="10"/>
  <c r="H60" i="10"/>
  <c r="J60" i="10"/>
  <c r="D60" i="10"/>
  <c r="M60" i="10"/>
  <c r="P60" i="10"/>
  <c r="C60" i="10"/>
  <c r="F60" i="10"/>
  <c r="G60" i="10"/>
  <c r="P58" i="18"/>
  <c r="L58" i="18"/>
  <c r="C58" i="18"/>
  <c r="R58" i="18"/>
  <c r="S58" i="18"/>
  <c r="AG58" i="18"/>
  <c r="F58" i="18"/>
  <c r="Y58" i="18"/>
  <c r="K58" i="18"/>
  <c r="Q58" i="18"/>
  <c r="M58" i="18"/>
  <c r="E58" i="18"/>
  <c r="T58" i="18"/>
  <c r="O58" i="18"/>
  <c r="H58" i="18"/>
  <c r="N58" i="18"/>
  <c r="D58" i="18"/>
  <c r="B58" i="18"/>
  <c r="U58" i="18"/>
  <c r="AB58" i="18"/>
  <c r="I58" i="18"/>
  <c r="G58" i="18"/>
  <c r="A59" i="18"/>
  <c r="J58" i="18"/>
  <c r="P462" i="21"/>
  <c r="Q474" i="21"/>
  <c r="Q461" i="21"/>
  <c r="P464" i="21"/>
  <c r="R472" i="21"/>
  <c r="P471" i="21"/>
  <c r="P469" i="21"/>
  <c r="P478" i="21"/>
  <c r="Q469" i="21"/>
  <c r="B486" i="21"/>
  <c r="Q472" i="21"/>
  <c r="Q475" i="21"/>
  <c r="P474" i="21"/>
  <c r="Q473" i="21"/>
  <c r="N480" i="21"/>
  <c r="R475" i="21"/>
  <c r="P468" i="21"/>
  <c r="P475" i="21"/>
  <c r="Q464" i="21"/>
  <c r="Q471" i="21"/>
  <c r="O458" i="21"/>
  <c r="R474" i="21"/>
  <c r="Q468" i="21"/>
  <c r="Q465" i="21"/>
  <c r="Q466" i="21"/>
  <c r="P476" i="21"/>
  <c r="P461" i="21"/>
  <c r="N481" i="21"/>
  <c r="R464" i="21"/>
  <c r="Q476" i="21"/>
  <c r="R470" i="21"/>
  <c r="R468" i="21"/>
  <c r="R463" i="21"/>
  <c r="Q478" i="21"/>
  <c r="R473" i="21"/>
  <c r="R471" i="21"/>
  <c r="Q467" i="21"/>
  <c r="R478" i="21"/>
  <c r="P466" i="21"/>
  <c r="R466" i="21"/>
  <c r="P463" i="21"/>
  <c r="P473" i="21"/>
  <c r="R465" i="21"/>
  <c r="R461" i="21"/>
  <c r="Q462" i="21"/>
  <c r="R476" i="21"/>
  <c r="Q470" i="21"/>
  <c r="N459" i="21"/>
  <c r="Q463" i="21"/>
  <c r="P467" i="21"/>
  <c r="P470" i="21"/>
  <c r="R469" i="21"/>
  <c r="P477" i="21"/>
  <c r="P465" i="21"/>
  <c r="N482" i="21"/>
  <c r="P472" i="21"/>
  <c r="R477" i="21"/>
  <c r="N483" i="21"/>
  <c r="R467" i="21"/>
  <c r="Q459" i="21"/>
  <c r="Q477" i="21"/>
  <c r="R462" i="21"/>
  <c r="A27" i="30"/>
  <c r="B26" i="30"/>
  <c r="E26" i="30"/>
  <c r="D26" i="30"/>
  <c r="C26" i="30"/>
  <c r="F26" i="30"/>
  <c r="D459" i="29"/>
  <c r="D457" i="29"/>
  <c r="D455" i="29"/>
  <c r="D453" i="29"/>
  <c r="D451" i="29"/>
  <c r="D449" i="29"/>
  <c r="D447" i="29"/>
  <c r="C459" i="29"/>
  <c r="D456" i="29"/>
  <c r="C454" i="29"/>
  <c r="C451" i="29"/>
  <c r="D448" i="29"/>
  <c r="D444" i="29"/>
  <c r="D458" i="29"/>
  <c r="C456" i="29"/>
  <c r="C453" i="29"/>
  <c r="D450" i="29"/>
  <c r="C448" i="29"/>
  <c r="B494" i="29"/>
  <c r="C458" i="29"/>
  <c r="D452" i="29"/>
  <c r="C447" i="29"/>
  <c r="C457" i="29"/>
  <c r="C452" i="29"/>
  <c r="F444" i="29"/>
  <c r="D460" i="29"/>
  <c r="C455" i="29"/>
  <c r="C450" i="29"/>
  <c r="C449" i="29"/>
  <c r="C460" i="29"/>
  <c r="D443" i="29"/>
  <c r="D454" i="29"/>
  <c r="AI56" i="11"/>
  <c r="AH56" i="18"/>
  <c r="R59" i="11"/>
  <c r="S59" i="11"/>
  <c r="C59" i="11"/>
  <c r="L59" i="11"/>
  <c r="H59" i="11"/>
  <c r="A60" i="11"/>
  <c r="T59" i="11"/>
  <c r="Q59" i="11"/>
  <c r="B59" i="11"/>
  <c r="G59" i="11"/>
  <c r="AG59" i="11"/>
  <c r="E59" i="11"/>
  <c r="I59" i="11"/>
  <c r="O59" i="11"/>
  <c r="M59" i="11"/>
  <c r="U59" i="11"/>
  <c r="J59" i="11"/>
  <c r="F59" i="11"/>
  <c r="P59" i="11"/>
  <c r="D59" i="11"/>
  <c r="K59" i="11"/>
  <c r="Y59" i="11"/>
  <c r="N59" i="11"/>
  <c r="AA59" i="11"/>
  <c r="W57" i="18"/>
  <c r="AH57" i="18"/>
  <c r="I59" i="18"/>
  <c r="L59" i="18"/>
  <c r="E59" i="18"/>
  <c r="C59" i="18"/>
  <c r="P59" i="18"/>
  <c r="K59" i="18"/>
  <c r="U59" i="18"/>
  <c r="T59" i="18"/>
  <c r="Y59" i="18"/>
  <c r="R59" i="18"/>
  <c r="S59" i="18"/>
  <c r="N59" i="18"/>
  <c r="D59" i="18"/>
  <c r="AB59" i="18"/>
  <c r="J59" i="18"/>
  <c r="Q59" i="18"/>
  <c r="H59" i="18"/>
  <c r="G59" i="18"/>
  <c r="F59" i="18"/>
  <c r="B59" i="18"/>
  <c r="M59" i="18"/>
  <c r="O59" i="18"/>
  <c r="AG59" i="18"/>
  <c r="A60" i="18"/>
  <c r="F60" i="13"/>
  <c r="AJ60" i="13"/>
  <c r="R60" i="13"/>
  <c r="S60" i="13"/>
  <c r="AP60" i="13"/>
  <c r="Z60" i="13"/>
  <c r="X60" i="13"/>
  <c r="AE60" i="13"/>
  <c r="N60" i="13"/>
  <c r="AR60" i="13"/>
  <c r="M60" i="13"/>
  <c r="Y60" i="13"/>
  <c r="D60" i="13"/>
  <c r="W60" i="13"/>
  <c r="AL60" i="13"/>
  <c r="Q60" i="13"/>
  <c r="AO60" i="13"/>
  <c r="O60" i="13"/>
  <c r="E60" i="13"/>
  <c r="K60" i="13"/>
  <c r="AN60" i="13"/>
  <c r="AQ60" i="13"/>
  <c r="C60" i="13"/>
  <c r="U60" i="13"/>
  <c r="I60" i="13"/>
  <c r="L60" i="13"/>
  <c r="AH60" i="13"/>
  <c r="AF60" i="13"/>
  <c r="AI60" i="13"/>
  <c r="AS60" i="13"/>
  <c r="H60" i="13"/>
  <c r="P60" i="13"/>
  <c r="BL60" i="13"/>
  <c r="BC60" i="13"/>
  <c r="AC60" i="13"/>
  <c r="G60" i="13"/>
  <c r="AK60" i="13"/>
  <c r="AM60" i="13"/>
  <c r="AG60" i="13"/>
  <c r="J60" i="13"/>
  <c r="AA60" i="13"/>
  <c r="A61" i="13"/>
  <c r="T60" i="13"/>
  <c r="B60" i="13"/>
  <c r="AD60" i="13"/>
  <c r="AB60" i="13"/>
  <c r="V60" i="13"/>
  <c r="AZ60" i="13"/>
  <c r="AX60" i="13"/>
  <c r="AW60" i="13"/>
  <c r="AY60" i="13"/>
  <c r="W57" i="11"/>
  <c r="AI57" i="11"/>
  <c r="E2312" i="20"/>
  <c r="D2312" i="20"/>
  <c r="D2313" i="20"/>
  <c r="E2325" i="20"/>
  <c r="C2311" i="20"/>
  <c r="E2316" i="20"/>
  <c r="E2313" i="20"/>
  <c r="C2303" i="20"/>
  <c r="D2321" i="20"/>
  <c r="C2308" i="20"/>
  <c r="C2304" i="20"/>
  <c r="D2320" i="20"/>
  <c r="C2309" i="20"/>
  <c r="C2315" i="20"/>
  <c r="E2304" i="20"/>
  <c r="E2309" i="20"/>
  <c r="D2309" i="20"/>
  <c r="E2315" i="20"/>
  <c r="D2319" i="20"/>
  <c r="E2324" i="20"/>
  <c r="D2310" i="20"/>
  <c r="C2310" i="20"/>
  <c r="D2316" i="20"/>
  <c r="A2328" i="20"/>
  <c r="E2308" i="20"/>
  <c r="D2314" i="20"/>
  <c r="D2322" i="20"/>
  <c r="C2318" i="20"/>
  <c r="C2319" i="20"/>
  <c r="E2318" i="20"/>
  <c r="A2330" i="20"/>
  <c r="C2314" i="20"/>
  <c r="E2319" i="20"/>
  <c r="D2325" i="20"/>
  <c r="C2321" i="20"/>
  <c r="F2386" i="20"/>
  <c r="D2315" i="20"/>
  <c r="D2317" i="20"/>
  <c r="E2320" i="20"/>
  <c r="E2311" i="20"/>
  <c r="E2322" i="20"/>
  <c r="D2308" i="20"/>
  <c r="E2314" i="20"/>
  <c r="A2329" i="20"/>
  <c r="C2316" i="20"/>
  <c r="D2318" i="20"/>
  <c r="D2324" i="20"/>
  <c r="C2317" i="20"/>
  <c r="E2317" i="20"/>
  <c r="C2320" i="20"/>
  <c r="A2331" i="20"/>
  <c r="E2310" i="20"/>
  <c r="C2313" i="20"/>
  <c r="E2323" i="20"/>
  <c r="C2312" i="20"/>
  <c r="D2311" i="20"/>
  <c r="E2321" i="20"/>
  <c r="D2323" i="20"/>
  <c r="C2324" i="20"/>
  <c r="C2323" i="20"/>
  <c r="C2325" i="20"/>
  <c r="C2322" i="20"/>
  <c r="F1493" i="25"/>
  <c r="D1497" i="25"/>
  <c r="F1495" i="25"/>
  <c r="E1498" i="25"/>
  <c r="E1495" i="25"/>
  <c r="D1504" i="25"/>
  <c r="F1502" i="25"/>
  <c r="C1497" i="25"/>
  <c r="C1496" i="25"/>
  <c r="D1494" i="25"/>
  <c r="C1492" i="25"/>
  <c r="D1491" i="25"/>
  <c r="C1503" i="25"/>
  <c r="C1502" i="25"/>
  <c r="D1498" i="25"/>
  <c r="C1500" i="25"/>
  <c r="D1493" i="25"/>
  <c r="F1491" i="25"/>
  <c r="D1488" i="25"/>
  <c r="F1504" i="25"/>
  <c r="D1500" i="25"/>
  <c r="F1498" i="25"/>
  <c r="E1504" i="25"/>
  <c r="E1501" i="25"/>
  <c r="F1500" i="25"/>
  <c r="D1503" i="25"/>
  <c r="F1501" i="25"/>
  <c r="C1495" i="25"/>
  <c r="C1494" i="25"/>
  <c r="F1496" i="25"/>
  <c r="D1487" i="25"/>
  <c r="C1491" i="25"/>
  <c r="F1488" i="25"/>
  <c r="E1492" i="25"/>
  <c r="E1494" i="25"/>
  <c r="E1500" i="25"/>
  <c r="B1538" i="25"/>
  <c r="F1503" i="25"/>
  <c r="C1499" i="25"/>
  <c r="C1498" i="25"/>
  <c r="C1493" i="25"/>
  <c r="D1496" i="25"/>
  <c r="F1494" i="25"/>
  <c r="E1496" i="25"/>
  <c r="E1493" i="25"/>
  <c r="F1492" i="25"/>
  <c r="D1499" i="25"/>
  <c r="F1497" i="25"/>
  <c r="E1502" i="25"/>
  <c r="E1499" i="25"/>
  <c r="C1501" i="25"/>
  <c r="D1501" i="25"/>
  <c r="F1499" i="25"/>
  <c r="E1503" i="25"/>
  <c r="E1497" i="25"/>
  <c r="D1492" i="25"/>
  <c r="C1504" i="25"/>
  <c r="D1502" i="25"/>
  <c r="D1495" i="25"/>
  <c r="E1491" i="25"/>
  <c r="E54" i="24"/>
  <c r="AG54" i="24"/>
  <c r="AH54" i="24"/>
  <c r="AI54" i="24"/>
  <c r="CE54" i="24"/>
  <c r="CF54" i="24"/>
  <c r="CG54" i="24"/>
  <c r="DP54" i="24"/>
  <c r="DQ54" i="24"/>
  <c r="DR54" i="24"/>
  <c r="G54" i="24"/>
  <c r="H54" i="24"/>
  <c r="AW54" i="24"/>
  <c r="CU54" i="24"/>
  <c r="EC54" i="24"/>
  <c r="ED54" i="24"/>
  <c r="EE54" i="24"/>
  <c r="BE54" i="24"/>
  <c r="BF54" i="24"/>
  <c r="DS54" i="24"/>
  <c r="DT54" i="24"/>
  <c r="DU54" i="24"/>
  <c r="AN54" i="24"/>
  <c r="AO54" i="24"/>
  <c r="AP54" i="24"/>
  <c r="DF54" i="24"/>
  <c r="DG54" i="24"/>
  <c r="DH54" i="24"/>
  <c r="BK54" i="24"/>
  <c r="BL54" i="24"/>
  <c r="BM54" i="24"/>
  <c r="Q54" i="24"/>
  <c r="R54" i="24"/>
  <c r="CB54" i="24"/>
  <c r="CC54" i="24"/>
  <c r="CD54" i="24"/>
  <c r="J54" i="24"/>
  <c r="K54" i="24"/>
  <c r="L54" i="24"/>
  <c r="M54" i="24"/>
  <c r="N54" i="24"/>
  <c r="O54" i="24"/>
  <c r="EJ54" i="24"/>
  <c r="EK54" i="24"/>
  <c r="EL54" i="24"/>
  <c r="AD54" i="24"/>
  <c r="AE54" i="24"/>
  <c r="AF54" i="24"/>
  <c r="DZ54" i="24"/>
  <c r="EA54" i="24"/>
  <c r="EB54" i="24"/>
  <c r="DY54" i="24"/>
  <c r="S54" i="24"/>
  <c r="BA54" i="24"/>
  <c r="BB54" i="24"/>
  <c r="BC54" i="24"/>
  <c r="CY54" i="24"/>
  <c r="CZ54" i="24"/>
  <c r="DA54" i="24"/>
  <c r="EI54" i="24"/>
  <c r="AC54" i="24"/>
  <c r="CA54" i="24"/>
  <c r="DM54" i="24"/>
  <c r="DN54" i="24"/>
  <c r="T54" i="24"/>
  <c r="U54" i="24"/>
  <c r="V54" i="24"/>
  <c r="CI54" i="24"/>
  <c r="CJ54" i="24"/>
  <c r="I54" i="24"/>
  <c r="BU54" i="24"/>
  <c r="BV54" i="24"/>
  <c r="BW54" i="24"/>
  <c r="EM54" i="24"/>
  <c r="EN54" i="24"/>
  <c r="EO54" i="24"/>
  <c r="CS54" i="24"/>
  <c r="CT54" i="24"/>
  <c r="AX54" i="24"/>
  <c r="AY54" i="24"/>
  <c r="AZ54" i="24"/>
  <c r="DO54" i="24"/>
  <c r="CO54" i="24"/>
  <c r="CP54" i="24"/>
  <c r="CQ54" i="24"/>
  <c r="DE54" i="24"/>
  <c r="BR54" i="24"/>
  <c r="BS54" i="24"/>
  <c r="BT54" i="24"/>
  <c r="BY54" i="24"/>
  <c r="BZ54" i="24"/>
  <c r="B55" i="24"/>
  <c r="AA54" i="24"/>
  <c r="AB54" i="24"/>
  <c r="BQ54" i="24"/>
  <c r="DI54" i="24"/>
  <c r="DJ54" i="24"/>
  <c r="DK54" i="24"/>
  <c r="C54" i="24"/>
  <c r="AM54" i="24"/>
  <c r="CK54" i="24"/>
  <c r="DW54" i="24"/>
  <c r="DX54" i="24"/>
  <c r="AK54" i="24"/>
  <c r="AL54" i="24"/>
  <c r="DC54" i="24"/>
  <c r="DD54" i="24"/>
  <c r="W54" i="24"/>
  <c r="X54" i="24"/>
  <c r="Y54" i="24"/>
  <c r="CL54" i="24"/>
  <c r="CM54" i="24"/>
  <c r="CN54" i="24"/>
  <c r="AU54" i="24"/>
  <c r="AV54" i="24"/>
  <c r="D54" i="24"/>
  <c r="BO54" i="24"/>
  <c r="BP54" i="24"/>
  <c r="EG54" i="24"/>
  <c r="EH54" i="24"/>
  <c r="AQ54" i="24"/>
  <c r="AR54" i="24"/>
  <c r="AS54" i="24"/>
  <c r="BG54" i="24"/>
  <c r="F54" i="24"/>
  <c r="BH54" i="24"/>
  <c r="BI54" i="24"/>
  <c r="BJ54" i="24"/>
  <c r="CV54" i="24"/>
  <c r="CW54" i="24"/>
  <c r="CX54" i="24"/>
  <c r="D493" i="21"/>
  <c r="E494" i="21"/>
  <c r="F497" i="21"/>
  <c r="E491" i="21"/>
  <c r="E503" i="21"/>
  <c r="F504" i="21"/>
  <c r="D502" i="21"/>
  <c r="D499" i="21"/>
  <c r="E505" i="21"/>
  <c r="E493" i="21"/>
  <c r="E489" i="21"/>
  <c r="E504" i="21"/>
  <c r="F494" i="21"/>
  <c r="F503" i="21"/>
  <c r="D495" i="21"/>
  <c r="D491" i="21"/>
  <c r="C486" i="21"/>
  <c r="F493" i="21"/>
  <c r="E499" i="21"/>
  <c r="D497" i="21"/>
  <c r="H486" i="21"/>
  <c r="E500" i="21"/>
  <c r="E506" i="21"/>
  <c r="F491" i="21"/>
  <c r="E492" i="21"/>
  <c r="F505" i="21"/>
  <c r="E487" i="21"/>
  <c r="E502" i="21"/>
  <c r="E498" i="21"/>
  <c r="D503" i="21"/>
  <c r="F506" i="21"/>
  <c r="D490" i="21"/>
  <c r="F498" i="21"/>
  <c r="E490" i="21"/>
  <c r="F492" i="21"/>
  <c r="F502" i="21"/>
  <c r="D494" i="21"/>
  <c r="E496" i="21"/>
  <c r="B509" i="21"/>
  <c r="F489" i="21"/>
  <c r="D500" i="21"/>
  <c r="B487" i="21"/>
  <c r="D496" i="21"/>
  <c r="F496" i="21"/>
  <c r="D489" i="21"/>
  <c r="B511" i="21"/>
  <c r="F500" i="21"/>
  <c r="F499" i="21"/>
  <c r="F490" i="21"/>
  <c r="B510" i="21"/>
  <c r="D504" i="21"/>
  <c r="F495" i="21"/>
  <c r="E497" i="21"/>
  <c r="D505" i="21"/>
  <c r="D492" i="21"/>
  <c r="D506" i="21"/>
  <c r="B508" i="21"/>
  <c r="D501" i="21"/>
  <c r="E495" i="21"/>
  <c r="D498" i="21"/>
  <c r="F501" i="21"/>
  <c r="E501" i="21"/>
  <c r="V58" i="18"/>
  <c r="H61" i="10"/>
  <c r="L61" i="10"/>
  <c r="C61" i="10"/>
  <c r="G61" i="10"/>
  <c r="E61" i="10"/>
  <c r="K61" i="10"/>
  <c r="M61" i="10"/>
  <c r="P61" i="10"/>
  <c r="J61" i="10"/>
  <c r="B61" i="10"/>
  <c r="A62" i="10"/>
  <c r="D61" i="10"/>
  <c r="F61" i="10"/>
  <c r="I61" i="10"/>
  <c r="V58" i="11"/>
  <c r="C488" i="29"/>
  <c r="C486" i="29"/>
  <c r="C484" i="29"/>
  <c r="C482" i="29"/>
  <c r="C480" i="29"/>
  <c r="C478" i="29"/>
  <c r="C476" i="29"/>
  <c r="D472" i="29"/>
  <c r="B523" i="29"/>
  <c r="D487" i="29"/>
  <c r="C485" i="29"/>
  <c r="D482" i="29"/>
  <c r="D479" i="29"/>
  <c r="C477" i="29"/>
  <c r="D489" i="29"/>
  <c r="C487" i="29"/>
  <c r="D484" i="29"/>
  <c r="D481" i="29"/>
  <c r="C479" i="29"/>
  <c r="D476" i="29"/>
  <c r="C489" i="29"/>
  <c r="D483" i="29"/>
  <c r="D478" i="29"/>
  <c r="D488" i="29"/>
  <c r="C483" i="29"/>
  <c r="D477" i="29"/>
  <c r="D486" i="29"/>
  <c r="C481" i="29"/>
  <c r="F473" i="29"/>
  <c r="D485" i="29"/>
  <c r="D480" i="29"/>
  <c r="D473" i="29"/>
  <c r="E27" i="30"/>
  <c r="C27" i="30"/>
  <c r="F27" i="30"/>
  <c r="B27" i="30"/>
  <c r="A28" i="30"/>
  <c r="D27" i="30"/>
  <c r="AI57" i="18"/>
  <c r="P60" i="18"/>
  <c r="Y60" i="18"/>
  <c r="AG60" i="18"/>
  <c r="B60" i="18"/>
  <c r="A61" i="18"/>
  <c r="T60" i="18"/>
  <c r="M60" i="18"/>
  <c r="N60" i="18"/>
  <c r="D60" i="18"/>
  <c r="I60" i="18"/>
  <c r="Q60" i="18"/>
  <c r="U60" i="18"/>
  <c r="K60" i="18"/>
  <c r="G60" i="18"/>
  <c r="H60" i="18"/>
  <c r="J60" i="18"/>
  <c r="O60" i="18"/>
  <c r="L60" i="18"/>
  <c r="C60" i="18"/>
  <c r="R60" i="18"/>
  <c r="S60" i="18"/>
  <c r="E60" i="18"/>
  <c r="F60" i="18"/>
  <c r="AB60" i="18"/>
  <c r="W58" i="11"/>
  <c r="AH58" i="11"/>
  <c r="G62" i="10"/>
  <c r="I62" i="10"/>
  <c r="D62" i="10"/>
  <c r="H62" i="10"/>
  <c r="B62" i="10"/>
  <c r="K62" i="10"/>
  <c r="L62" i="10"/>
  <c r="M62" i="10"/>
  <c r="P62" i="10"/>
  <c r="C62" i="10"/>
  <c r="E62" i="10"/>
  <c r="A63" i="10"/>
  <c r="F62" i="10"/>
  <c r="J62" i="10"/>
  <c r="L501" i="21"/>
  <c r="K493" i="21"/>
  <c r="L506" i="21"/>
  <c r="L490" i="21"/>
  <c r="L499" i="21"/>
  <c r="K500" i="21"/>
  <c r="H487" i="21"/>
  <c r="K489" i="21"/>
  <c r="K496" i="21"/>
  <c r="K495" i="21"/>
  <c r="J501" i="21"/>
  <c r="L494" i="21"/>
  <c r="L502" i="21"/>
  <c r="J492" i="21"/>
  <c r="J500" i="21"/>
  <c r="L503" i="21"/>
  <c r="K494" i="21"/>
  <c r="K498" i="21"/>
  <c r="H510" i="21"/>
  <c r="K487" i="21"/>
  <c r="L496" i="21"/>
  <c r="J491" i="21"/>
  <c r="H509" i="21"/>
  <c r="H508" i="21"/>
  <c r="L498" i="21"/>
  <c r="J497" i="21"/>
  <c r="J502" i="21"/>
  <c r="L497" i="21"/>
  <c r="K506" i="21"/>
  <c r="K501" i="21"/>
  <c r="K492" i="21"/>
  <c r="H511" i="21"/>
  <c r="K490" i="21"/>
  <c r="J490" i="21"/>
  <c r="J496" i="21"/>
  <c r="L504" i="21"/>
  <c r="L492" i="21"/>
  <c r="L505" i="21"/>
  <c r="J506" i="21"/>
  <c r="J503" i="21"/>
  <c r="J489" i="21"/>
  <c r="K504" i="21"/>
  <c r="L500" i="21"/>
  <c r="L489" i="21"/>
  <c r="L495" i="21"/>
  <c r="K491" i="21"/>
  <c r="J499" i="21"/>
  <c r="K503" i="21"/>
  <c r="N486" i="21"/>
  <c r="K497" i="21"/>
  <c r="L491" i="21"/>
  <c r="L493" i="21"/>
  <c r="K505" i="21"/>
  <c r="I486" i="21"/>
  <c r="J493" i="21"/>
  <c r="K499" i="21"/>
  <c r="J504" i="21"/>
  <c r="J505" i="21"/>
  <c r="J498" i="21"/>
  <c r="K502" i="21"/>
  <c r="J495" i="21"/>
  <c r="J494" i="21"/>
  <c r="E2361" i="20"/>
  <c r="C2354" i="20"/>
  <c r="E2357" i="20"/>
  <c r="E2349" i="20"/>
  <c r="C2356" i="20"/>
  <c r="D2353" i="20"/>
  <c r="A2375" i="20"/>
  <c r="D2357" i="20"/>
  <c r="D2364" i="20"/>
  <c r="A2374" i="20"/>
  <c r="E2369" i="20"/>
  <c r="E2354" i="20"/>
  <c r="E2353" i="20"/>
  <c r="C2349" i="20"/>
  <c r="D2362" i="20"/>
  <c r="E2366" i="20"/>
  <c r="E2363" i="20"/>
  <c r="E2368" i="20"/>
  <c r="D2359" i="20"/>
  <c r="C2348" i="20"/>
  <c r="D2368" i="20"/>
  <c r="D2370" i="20"/>
  <c r="D2358" i="20"/>
  <c r="C2357" i="20"/>
  <c r="C2363" i="20"/>
  <c r="D2356" i="20"/>
  <c r="E2356" i="20"/>
  <c r="A2376" i="20"/>
  <c r="E2360" i="20"/>
  <c r="C2358" i="20"/>
  <c r="C2360" i="20"/>
  <c r="E2362" i="20"/>
  <c r="E2355" i="20"/>
  <c r="C2366" i="20"/>
  <c r="C2353" i="20"/>
  <c r="D2360" i="20"/>
  <c r="D2365" i="20"/>
  <c r="C2365" i="20"/>
  <c r="A2373" i="20"/>
  <c r="D2361" i="20"/>
  <c r="C2355" i="20"/>
  <c r="E2367" i="20"/>
  <c r="D2355" i="20"/>
  <c r="D2366" i="20"/>
  <c r="E2370" i="20"/>
  <c r="E2358" i="20"/>
  <c r="D2354" i="20"/>
  <c r="F2431" i="20"/>
  <c r="C2362" i="20"/>
  <c r="D2369" i="20"/>
  <c r="C2361" i="20"/>
  <c r="D2363" i="20"/>
  <c r="E2359" i="20"/>
  <c r="D2367" i="20"/>
  <c r="C2364" i="20"/>
  <c r="E2365" i="20"/>
  <c r="E2364" i="20"/>
  <c r="C2359" i="20"/>
  <c r="C2367" i="20"/>
  <c r="C2369" i="20"/>
  <c r="C2368" i="20"/>
  <c r="C2370" i="20"/>
  <c r="AH57" i="11"/>
  <c r="BF60" i="13"/>
  <c r="AV60" i="13"/>
  <c r="BE60" i="13"/>
  <c r="BB60" i="13"/>
  <c r="W58" i="18"/>
  <c r="AH58" i="18"/>
  <c r="AI58" i="18"/>
  <c r="M55" i="24"/>
  <c r="N55" i="24"/>
  <c r="O55" i="24"/>
  <c r="AU55" i="24"/>
  <c r="AV55" i="24"/>
  <c r="CK55" i="24"/>
  <c r="EC55" i="24"/>
  <c r="ED55" i="24"/>
  <c r="EE55" i="24"/>
  <c r="Q55" i="24"/>
  <c r="R55" i="24"/>
  <c r="BG55" i="24"/>
  <c r="DE55" i="24"/>
  <c r="I55" i="24"/>
  <c r="BY55" i="24"/>
  <c r="BZ55" i="24"/>
  <c r="EM55" i="24"/>
  <c r="EN55" i="24"/>
  <c r="EO55" i="24"/>
  <c r="CB55" i="24"/>
  <c r="CC55" i="24"/>
  <c r="CD55" i="24"/>
  <c r="D55" i="24"/>
  <c r="DM55" i="24"/>
  <c r="DN55" i="24"/>
  <c r="AX55" i="24"/>
  <c r="AY55" i="24"/>
  <c r="AZ55" i="24"/>
  <c r="DP55" i="24"/>
  <c r="DQ55" i="24"/>
  <c r="DR55" i="24"/>
  <c r="EJ55" i="24"/>
  <c r="EK55" i="24"/>
  <c r="EL55" i="24"/>
  <c r="BQ55" i="24"/>
  <c r="W55" i="24"/>
  <c r="X55" i="24"/>
  <c r="Y55" i="24"/>
  <c r="CL55" i="24"/>
  <c r="CM55" i="24"/>
  <c r="CN55" i="24"/>
  <c r="CO55" i="24"/>
  <c r="CP55" i="24"/>
  <c r="CQ55" i="24"/>
  <c r="F55" i="24"/>
  <c r="BR55" i="24"/>
  <c r="BS55" i="24"/>
  <c r="BT55" i="24"/>
  <c r="BK55" i="24"/>
  <c r="BL55" i="24"/>
  <c r="BM55" i="24"/>
  <c r="AG55" i="24"/>
  <c r="AH55" i="24"/>
  <c r="AI55" i="24"/>
  <c r="AN55" i="24"/>
  <c r="AO55" i="24"/>
  <c r="AP55" i="24"/>
  <c r="DF55" i="24"/>
  <c r="DG55" i="24"/>
  <c r="DH55" i="24"/>
  <c r="B56" i="24"/>
  <c r="T55" i="24"/>
  <c r="U55" i="24"/>
  <c r="V55" i="24"/>
  <c r="BA55" i="24"/>
  <c r="BB55" i="24"/>
  <c r="BC55" i="24"/>
  <c r="CY55" i="24"/>
  <c r="CZ55" i="24"/>
  <c r="DA55" i="24"/>
  <c r="AA55" i="24"/>
  <c r="AB55" i="24"/>
  <c r="DO55" i="24"/>
  <c r="AC55" i="24"/>
  <c r="BO55" i="24"/>
  <c r="BP55" i="24"/>
  <c r="EI55" i="24"/>
  <c r="C55" i="24"/>
  <c r="DI55" i="24"/>
  <c r="DJ55" i="24"/>
  <c r="DK55" i="24"/>
  <c r="CA55" i="24"/>
  <c r="DC55" i="24"/>
  <c r="DD55" i="24"/>
  <c r="CE55" i="24"/>
  <c r="CF55" i="24"/>
  <c r="CG55" i="24"/>
  <c r="CI55" i="24"/>
  <c r="CJ55" i="24"/>
  <c r="AD55" i="24"/>
  <c r="AE55" i="24"/>
  <c r="AF55" i="24"/>
  <c r="E55" i="24"/>
  <c r="DY55" i="24"/>
  <c r="AQ55" i="24"/>
  <c r="AR55" i="24"/>
  <c r="AS55" i="24"/>
  <c r="S55" i="24"/>
  <c r="G55" i="24"/>
  <c r="H55" i="24"/>
  <c r="AM55" i="24"/>
  <c r="BU55" i="24"/>
  <c r="BV55" i="24"/>
  <c r="BW55" i="24"/>
  <c r="DS55" i="24"/>
  <c r="DT55" i="24"/>
  <c r="DU55" i="24"/>
  <c r="J55" i="24"/>
  <c r="K55" i="24"/>
  <c r="L55" i="24"/>
  <c r="AW55" i="24"/>
  <c r="CU55" i="24"/>
  <c r="EG55" i="24"/>
  <c r="EH55" i="24"/>
  <c r="BE55" i="24"/>
  <c r="BF55" i="24"/>
  <c r="DW55" i="24"/>
  <c r="DX55" i="24"/>
  <c r="BH55" i="24"/>
  <c r="BI55" i="24"/>
  <c r="BJ55" i="24"/>
  <c r="DZ55" i="24"/>
  <c r="EA55" i="24"/>
  <c r="EB55" i="24"/>
  <c r="CS55" i="24"/>
  <c r="CT55" i="24"/>
  <c r="AK55" i="24"/>
  <c r="AL55" i="24"/>
  <c r="CV55" i="24"/>
  <c r="CW55" i="24"/>
  <c r="CX55" i="24"/>
  <c r="C1525" i="25"/>
  <c r="E1524" i="25"/>
  <c r="D1526" i="25"/>
  <c r="D1525" i="25"/>
  <c r="C1520" i="25"/>
  <c r="D1517" i="25"/>
  <c r="F1531" i="25"/>
  <c r="B1567" i="25"/>
  <c r="E1525" i="25"/>
  <c r="F1517" i="25"/>
  <c r="D1516" i="25"/>
  <c r="F1532" i="25"/>
  <c r="F1529" i="25"/>
  <c r="C1530" i="25"/>
  <c r="F1527" i="25"/>
  <c r="E1520" i="25"/>
  <c r="C1532" i="25"/>
  <c r="E1531" i="25"/>
  <c r="F1523" i="25"/>
  <c r="E1521" i="25"/>
  <c r="E1530" i="25"/>
  <c r="F1521" i="25"/>
  <c r="D1527" i="25"/>
  <c r="D1532" i="25"/>
  <c r="C1527" i="25"/>
  <c r="D1529" i="25"/>
  <c r="C1533" i="25"/>
  <c r="F1528" i="25"/>
  <c r="F1525" i="25"/>
  <c r="C1528" i="25"/>
  <c r="D1531" i="25"/>
  <c r="F1522" i="25"/>
  <c r="D1530" i="25"/>
  <c r="C1529" i="25"/>
  <c r="E1528" i="25"/>
  <c r="F1520" i="25"/>
  <c r="D1533" i="25"/>
  <c r="C1524" i="25"/>
  <c r="E1523" i="25"/>
  <c r="D1524" i="25"/>
  <c r="D1523" i="25"/>
  <c r="E1533" i="25"/>
  <c r="D1520" i="25"/>
  <c r="C1523" i="25"/>
  <c r="E1522" i="25"/>
  <c r="D1522" i="25"/>
  <c r="D1521" i="25"/>
  <c r="D1528" i="25"/>
  <c r="C1521" i="25"/>
  <c r="F1533" i="25"/>
  <c r="F1526" i="25"/>
  <c r="C1526" i="25"/>
  <c r="C1531" i="25"/>
  <c r="F1524" i="25"/>
  <c r="E1529" i="25"/>
  <c r="E1532" i="25"/>
  <c r="E1527" i="25"/>
  <c r="C1522" i="25"/>
  <c r="E1526" i="25"/>
  <c r="F1530" i="25"/>
  <c r="AT60" i="13"/>
  <c r="V59" i="18"/>
  <c r="Q61" i="13"/>
  <c r="S61" i="13"/>
  <c r="N61" i="13"/>
  <c r="G61" i="13"/>
  <c r="BL61" i="13"/>
  <c r="AW61" i="13"/>
  <c r="P61" i="13"/>
  <c r="Z61" i="13"/>
  <c r="W61" i="13"/>
  <c r="D61" i="13"/>
  <c r="C61" i="13"/>
  <c r="F61" i="13"/>
  <c r="AC61" i="13"/>
  <c r="AP61" i="13"/>
  <c r="AR61" i="13"/>
  <c r="K61" i="13"/>
  <c r="AE61" i="13"/>
  <c r="AL61" i="13"/>
  <c r="J61" i="13"/>
  <c r="L61" i="13"/>
  <c r="E61" i="13"/>
  <c r="AS61" i="13"/>
  <c r="M61" i="13"/>
  <c r="H61" i="13"/>
  <c r="O61" i="13"/>
  <c r="T61" i="13"/>
  <c r="AB61" i="13"/>
  <c r="AH61" i="13"/>
  <c r="AG61" i="13"/>
  <c r="V61" i="13"/>
  <c r="AN61" i="13"/>
  <c r="AM61" i="13"/>
  <c r="AA61" i="13"/>
  <c r="Y61" i="13"/>
  <c r="R61" i="13"/>
  <c r="AI61" i="13"/>
  <c r="AO61" i="13"/>
  <c r="AK61" i="13"/>
  <c r="AJ61" i="13"/>
  <c r="AD61" i="13"/>
  <c r="X61" i="13"/>
  <c r="A62" i="13"/>
  <c r="AF61" i="13"/>
  <c r="AQ61" i="13"/>
  <c r="B61" i="13"/>
  <c r="U61" i="13"/>
  <c r="I61" i="13"/>
  <c r="BC61" i="13"/>
  <c r="AU61" i="13"/>
  <c r="BA61" i="13"/>
  <c r="AZ61" i="13"/>
  <c r="AY61" i="13"/>
  <c r="BB61" i="13"/>
  <c r="AV61" i="13"/>
  <c r="BE61" i="13"/>
  <c r="AX61" i="13"/>
  <c r="AU60" i="13"/>
  <c r="BA60" i="13"/>
  <c r="V59" i="11"/>
  <c r="F60" i="11"/>
  <c r="AA60" i="11"/>
  <c r="Y60" i="11"/>
  <c r="M60" i="11"/>
  <c r="Q60" i="11"/>
  <c r="P60" i="11"/>
  <c r="E60" i="11"/>
  <c r="R60" i="11"/>
  <c r="S60" i="11"/>
  <c r="I60" i="11"/>
  <c r="O60" i="11"/>
  <c r="U60" i="11"/>
  <c r="N60" i="11"/>
  <c r="H60" i="11"/>
  <c r="D60" i="11"/>
  <c r="AG60" i="11"/>
  <c r="G60" i="11"/>
  <c r="J60" i="11"/>
  <c r="L60" i="11"/>
  <c r="T60" i="11"/>
  <c r="C60" i="11"/>
  <c r="B60" i="11"/>
  <c r="A61" i="11"/>
  <c r="K60" i="11"/>
  <c r="A29" i="30"/>
  <c r="D28" i="30"/>
  <c r="C28" i="30"/>
  <c r="F28" i="30"/>
  <c r="E28" i="30"/>
  <c r="B28" i="30"/>
  <c r="B552" i="29"/>
  <c r="D518" i="29"/>
  <c r="D516" i="29"/>
  <c r="D514" i="29"/>
  <c r="D512" i="29"/>
  <c r="D510" i="29"/>
  <c r="D508" i="29"/>
  <c r="D506" i="29"/>
  <c r="F502" i="29"/>
  <c r="C518" i="29"/>
  <c r="D515" i="29"/>
  <c r="C513" i="29"/>
  <c r="C510" i="29"/>
  <c r="D507" i="29"/>
  <c r="C505" i="29"/>
  <c r="D517" i="29"/>
  <c r="C515" i="29"/>
  <c r="C512" i="29"/>
  <c r="D509" i="29"/>
  <c r="C507" i="29"/>
  <c r="D502" i="29"/>
  <c r="C516" i="29"/>
  <c r="C511" i="29"/>
  <c r="D505" i="29"/>
  <c r="C514" i="29"/>
  <c r="C509" i="29"/>
  <c r="D513" i="29"/>
  <c r="C508" i="29"/>
  <c r="D501" i="29"/>
  <c r="C517" i="29"/>
  <c r="D511" i="29"/>
  <c r="C506" i="29"/>
  <c r="AI58" i="11"/>
  <c r="W59" i="18"/>
  <c r="AI59" i="18"/>
  <c r="E56" i="24"/>
  <c r="AD56" i="24"/>
  <c r="AE56" i="24"/>
  <c r="AF56" i="24"/>
  <c r="DF56" i="24"/>
  <c r="DG56" i="24"/>
  <c r="DH56" i="24"/>
  <c r="I56" i="24"/>
  <c r="J56" i="24"/>
  <c r="K56" i="24"/>
  <c r="L56" i="24"/>
  <c r="AN56" i="24"/>
  <c r="AO56" i="24"/>
  <c r="AP56" i="24"/>
  <c r="CA56" i="24"/>
  <c r="DE56" i="24"/>
  <c r="C56" i="24"/>
  <c r="AK56" i="24"/>
  <c r="AL56" i="24"/>
  <c r="BU56" i="24"/>
  <c r="BV56" i="24"/>
  <c r="BW56" i="24"/>
  <c r="DY56" i="24"/>
  <c r="BK56" i="24"/>
  <c r="BL56" i="24"/>
  <c r="BM56" i="24"/>
  <c r="D56" i="24"/>
  <c r="CE56" i="24"/>
  <c r="CF56" i="24"/>
  <c r="CG56" i="24"/>
  <c r="F56" i="24"/>
  <c r="CY56" i="24"/>
  <c r="CZ56" i="24"/>
  <c r="DA56" i="24"/>
  <c r="W56" i="24"/>
  <c r="X56" i="24"/>
  <c r="Y56" i="24"/>
  <c r="DC56" i="24"/>
  <c r="DD56" i="24"/>
  <c r="T56" i="24"/>
  <c r="U56" i="24"/>
  <c r="V56" i="24"/>
  <c r="CV56" i="24"/>
  <c r="CW56" i="24"/>
  <c r="CX56" i="24"/>
  <c r="DP56" i="24"/>
  <c r="DQ56" i="24"/>
  <c r="DR56" i="24"/>
  <c r="DZ56" i="24"/>
  <c r="EA56" i="24"/>
  <c r="EB56" i="24"/>
  <c r="S56" i="24"/>
  <c r="AX56" i="24"/>
  <c r="AY56" i="24"/>
  <c r="AZ56" i="24"/>
  <c r="CI56" i="24"/>
  <c r="CJ56" i="24"/>
  <c r="DW56" i="24"/>
  <c r="DX56" i="24"/>
  <c r="G56" i="24"/>
  <c r="H56" i="24"/>
  <c r="AU56" i="24"/>
  <c r="AV56" i="24"/>
  <c r="CL56" i="24"/>
  <c r="CM56" i="24"/>
  <c r="CN56" i="24"/>
  <c r="EI56" i="24"/>
  <c r="CB56" i="24"/>
  <c r="CC56" i="24"/>
  <c r="CD56" i="24"/>
  <c r="Q56" i="24"/>
  <c r="R56" i="24"/>
  <c r="CU56" i="24"/>
  <c r="DO56" i="24"/>
  <c r="AM56" i="24"/>
  <c r="DS56" i="24"/>
  <c r="DT56" i="24"/>
  <c r="DU56" i="24"/>
  <c r="AG56" i="24"/>
  <c r="AH56" i="24"/>
  <c r="AI56" i="24"/>
  <c r="EM56" i="24"/>
  <c r="EN56" i="24"/>
  <c r="EO56" i="24"/>
  <c r="AQ56" i="24"/>
  <c r="AR56" i="24"/>
  <c r="AS56" i="24"/>
  <c r="CK56" i="24"/>
  <c r="B57" i="24"/>
  <c r="AA56" i="24"/>
  <c r="AB56" i="24"/>
  <c r="BH56" i="24"/>
  <c r="BI56" i="24"/>
  <c r="BJ56" i="24"/>
  <c r="CO56" i="24"/>
  <c r="CP56" i="24"/>
  <c r="CQ56" i="24"/>
  <c r="EC56" i="24"/>
  <c r="ED56" i="24"/>
  <c r="EE56" i="24"/>
  <c r="M56" i="24"/>
  <c r="N56" i="24"/>
  <c r="O56" i="24"/>
  <c r="BE56" i="24"/>
  <c r="BF56" i="24"/>
  <c r="DI56" i="24"/>
  <c r="DJ56" i="24"/>
  <c r="DK56" i="24"/>
  <c r="AC56" i="24"/>
  <c r="CS56" i="24"/>
  <c r="CT56" i="24"/>
  <c r="AW56" i="24"/>
  <c r="DM56" i="24"/>
  <c r="DN56" i="24"/>
  <c r="BA56" i="24"/>
  <c r="BB56" i="24"/>
  <c r="BC56" i="24"/>
  <c r="EG56" i="24"/>
  <c r="EH56" i="24"/>
  <c r="BG56" i="24"/>
  <c r="EJ56" i="24"/>
  <c r="EK56" i="24"/>
  <c r="EL56" i="24"/>
  <c r="BR56" i="24"/>
  <c r="BS56" i="24"/>
  <c r="BT56" i="24"/>
  <c r="BO56" i="24"/>
  <c r="BP56" i="24"/>
  <c r="BQ56" i="24"/>
  <c r="BY56" i="24"/>
  <c r="BZ56" i="24"/>
  <c r="D2406" i="20"/>
  <c r="E2403" i="20"/>
  <c r="C2404" i="20"/>
  <c r="C2393" i="20"/>
  <c r="E2410" i="20"/>
  <c r="C2403" i="20"/>
  <c r="D2398" i="20"/>
  <c r="D2413" i="20"/>
  <c r="E2394" i="20"/>
  <c r="C2408" i="20"/>
  <c r="E2414" i="20"/>
  <c r="D2405" i="20"/>
  <c r="C2400" i="20"/>
  <c r="A2419" i="20"/>
  <c r="E2404" i="20"/>
  <c r="E2405" i="20"/>
  <c r="E2408" i="20"/>
  <c r="E2413" i="20"/>
  <c r="D2410" i="20"/>
  <c r="A2420" i="20"/>
  <c r="D2408" i="20"/>
  <c r="F2476" i="20"/>
  <c r="C2394" i="20"/>
  <c r="A2418" i="20"/>
  <c r="C2402" i="20"/>
  <c r="C2406" i="20"/>
  <c r="D2407" i="20"/>
  <c r="C2411" i="20"/>
  <c r="D2412" i="20"/>
  <c r="E2407" i="20"/>
  <c r="D2411" i="20"/>
  <c r="D2409" i="20"/>
  <c r="E2401" i="20"/>
  <c r="E2411" i="20"/>
  <c r="D2401" i="20"/>
  <c r="E2400" i="20"/>
  <c r="C2399" i="20"/>
  <c r="C2409" i="20"/>
  <c r="D2399" i="20"/>
  <c r="D2400" i="20"/>
  <c r="E2415" i="20"/>
  <c r="E2406" i="20"/>
  <c r="D2404" i="20"/>
  <c r="C2398" i="20"/>
  <c r="D2403" i="20"/>
  <c r="E2412" i="20"/>
  <c r="E2402" i="20"/>
  <c r="E2398" i="20"/>
  <c r="C2405" i="20"/>
  <c r="A2421" i="20"/>
  <c r="E2399" i="20"/>
  <c r="E2409" i="20"/>
  <c r="D2402" i="20"/>
  <c r="D2415" i="20"/>
  <c r="C2410" i="20"/>
  <c r="C2401" i="20"/>
  <c r="C2407" i="20"/>
  <c r="D2414" i="20"/>
  <c r="C2412" i="20"/>
  <c r="C2414" i="20"/>
  <c r="C2413" i="20"/>
  <c r="C2415" i="20"/>
  <c r="K63" i="10"/>
  <c r="L63" i="10"/>
  <c r="M63" i="10"/>
  <c r="P63" i="10"/>
  <c r="J63" i="10"/>
  <c r="C63" i="10"/>
  <c r="F63" i="10"/>
  <c r="G63" i="10"/>
  <c r="D63" i="10"/>
  <c r="E63" i="10"/>
  <c r="I63" i="10"/>
  <c r="H63" i="10"/>
  <c r="B63" i="10"/>
  <c r="A64" i="10"/>
  <c r="N510" i="21"/>
  <c r="Q505" i="21"/>
  <c r="R495" i="21"/>
  <c r="Q489" i="21"/>
  <c r="P505" i="21"/>
  <c r="P504" i="21"/>
  <c r="Q506" i="21"/>
  <c r="Q493" i="21"/>
  <c r="N508" i="21"/>
  <c r="O486" i="21"/>
  <c r="P499" i="21"/>
  <c r="P502" i="21"/>
  <c r="Q499" i="21"/>
  <c r="P492" i="21"/>
  <c r="P501" i="21"/>
  <c r="Q501" i="21"/>
  <c r="R500" i="21"/>
  <c r="R493" i="21"/>
  <c r="P494" i="21"/>
  <c r="R499" i="21"/>
  <c r="Q490" i="21"/>
  <c r="P503" i="21"/>
  <c r="Q500" i="21"/>
  <c r="R489" i="21"/>
  <c r="R490" i="21"/>
  <c r="P490" i="21"/>
  <c r="P497" i="21"/>
  <c r="R492" i="21"/>
  <c r="Q494" i="21"/>
  <c r="R501" i="21"/>
  <c r="N487" i="21"/>
  <c r="Q492" i="21"/>
  <c r="Q503" i="21"/>
  <c r="R494" i="21"/>
  <c r="R503" i="21"/>
  <c r="R496" i="21"/>
  <c r="R506" i="21"/>
  <c r="P491" i="21"/>
  <c r="P495" i="21"/>
  <c r="Q487" i="21"/>
  <c r="N511" i="21"/>
  <c r="Q495" i="21"/>
  <c r="R502" i="21"/>
  <c r="P496" i="21"/>
  <c r="R491" i="21"/>
  <c r="Q502" i="21"/>
  <c r="Q496" i="21"/>
  <c r="P498" i="21"/>
  <c r="Q497" i="21"/>
  <c r="R497" i="21"/>
  <c r="R498" i="21"/>
  <c r="Q498" i="21"/>
  <c r="P500" i="21"/>
  <c r="P489" i="21"/>
  <c r="R504" i="21"/>
  <c r="P493" i="21"/>
  <c r="R505" i="21"/>
  <c r="Q504" i="21"/>
  <c r="Q491" i="21"/>
  <c r="P506" i="21"/>
  <c r="N509" i="21"/>
  <c r="V60" i="11"/>
  <c r="W59" i="11"/>
  <c r="AH59" i="11"/>
  <c r="E61" i="11"/>
  <c r="A62" i="11"/>
  <c r="O61" i="11"/>
  <c r="M61" i="11"/>
  <c r="B61" i="11"/>
  <c r="P61" i="11"/>
  <c r="AA61" i="11"/>
  <c r="D61" i="11"/>
  <c r="F61" i="11"/>
  <c r="AG61" i="11"/>
  <c r="Y61" i="11"/>
  <c r="C61" i="11"/>
  <c r="U61" i="11"/>
  <c r="R61" i="11"/>
  <c r="S61" i="11"/>
  <c r="I61" i="11"/>
  <c r="G61" i="11"/>
  <c r="J61" i="11"/>
  <c r="L61" i="11"/>
  <c r="Q61" i="11"/>
  <c r="N61" i="11"/>
  <c r="K61" i="11"/>
  <c r="H61" i="11"/>
  <c r="T61" i="11"/>
  <c r="BF61" i="13"/>
  <c r="AT61" i="13"/>
  <c r="F1546" i="25"/>
  <c r="E1559" i="25"/>
  <c r="E1558" i="25"/>
  <c r="B1596" i="25"/>
  <c r="D1562" i="25"/>
  <c r="E1557" i="25"/>
  <c r="E1556" i="25"/>
  <c r="F1558" i="25"/>
  <c r="D1557" i="25"/>
  <c r="D1545" i="25"/>
  <c r="C1562" i="25"/>
  <c r="F1553" i="25"/>
  <c r="D1552" i="25"/>
  <c r="C1553" i="25"/>
  <c r="C1552" i="25"/>
  <c r="F1560" i="25"/>
  <c r="D1559" i="25"/>
  <c r="E1551" i="25"/>
  <c r="E1550" i="25"/>
  <c r="F1559" i="25"/>
  <c r="D1558" i="25"/>
  <c r="E1549" i="25"/>
  <c r="D1546" i="25"/>
  <c r="F1554" i="25"/>
  <c r="D1553" i="25"/>
  <c r="C1555" i="25"/>
  <c r="C1554" i="25"/>
  <c r="F1549" i="25"/>
  <c r="E1561" i="25"/>
  <c r="E1560" i="25"/>
  <c r="F1556" i="25"/>
  <c r="D1555" i="25"/>
  <c r="C1559" i="25"/>
  <c r="C1558" i="25"/>
  <c r="F1555" i="25"/>
  <c r="D1554" i="25"/>
  <c r="C1557" i="25"/>
  <c r="C1556" i="25"/>
  <c r="F1550" i="25"/>
  <c r="D1549" i="25"/>
  <c r="E1562" i="25"/>
  <c r="F1561" i="25"/>
  <c r="D1560" i="25"/>
  <c r="E1553" i="25"/>
  <c r="E1552" i="25"/>
  <c r="F1552" i="25"/>
  <c r="D1551" i="25"/>
  <c r="C1551" i="25"/>
  <c r="C1550" i="25"/>
  <c r="F1551" i="25"/>
  <c r="D1550" i="25"/>
  <c r="C1549" i="25"/>
  <c r="F1562" i="25"/>
  <c r="D1561" i="25"/>
  <c r="E1555" i="25"/>
  <c r="E1554" i="25"/>
  <c r="F1557" i="25"/>
  <c r="D1556" i="25"/>
  <c r="C1561" i="25"/>
  <c r="C1560" i="25"/>
  <c r="V60" i="18"/>
  <c r="AR62" i="13"/>
  <c r="AL62" i="13"/>
  <c r="AI62" i="13"/>
  <c r="C62" i="13"/>
  <c r="T62" i="13"/>
  <c r="AF62" i="13"/>
  <c r="AP62" i="13"/>
  <c r="L62" i="13"/>
  <c r="K62" i="13"/>
  <c r="AO62" i="13"/>
  <c r="AD62" i="13"/>
  <c r="V62" i="13"/>
  <c r="AB62" i="13"/>
  <c r="BL62" i="13"/>
  <c r="AT62" i="13"/>
  <c r="AM62" i="13"/>
  <c r="U62" i="13"/>
  <c r="AH62" i="13"/>
  <c r="BF62" i="13"/>
  <c r="F62" i="13"/>
  <c r="AE62" i="13"/>
  <c r="J62" i="13"/>
  <c r="AJ62" i="13"/>
  <c r="X62" i="13"/>
  <c r="O62" i="13"/>
  <c r="W62" i="13"/>
  <c r="B62" i="13"/>
  <c r="H62" i="13"/>
  <c r="I62" i="13"/>
  <c r="AS62" i="13"/>
  <c r="M62" i="13"/>
  <c r="R62" i="13"/>
  <c r="AK62" i="13"/>
  <c r="E62" i="13"/>
  <c r="S62" i="13"/>
  <c r="G62" i="13"/>
  <c r="AA62" i="13"/>
  <c r="Q62" i="13"/>
  <c r="A63" i="13"/>
  <c r="AN62" i="13"/>
  <c r="D62" i="13"/>
  <c r="Z62" i="13"/>
  <c r="P62" i="13"/>
  <c r="N62" i="13"/>
  <c r="BA62" i="13"/>
  <c r="AC62" i="13"/>
  <c r="AG62" i="13"/>
  <c r="Y62" i="13"/>
  <c r="AQ62" i="13"/>
  <c r="BB62" i="13"/>
  <c r="AZ62" i="13"/>
  <c r="BE62" i="13"/>
  <c r="F61" i="18"/>
  <c r="H61" i="18"/>
  <c r="M61" i="18"/>
  <c r="D61" i="18"/>
  <c r="J61" i="18"/>
  <c r="L61" i="18"/>
  <c r="R61" i="18"/>
  <c r="S61" i="18"/>
  <c r="G61" i="18"/>
  <c r="I61" i="18"/>
  <c r="A62" i="18"/>
  <c r="O61" i="18"/>
  <c r="Y61" i="18"/>
  <c r="Q61" i="18"/>
  <c r="AG61" i="18"/>
  <c r="K61" i="18"/>
  <c r="E61" i="18"/>
  <c r="B61" i="18"/>
  <c r="T61" i="18"/>
  <c r="P61" i="18"/>
  <c r="AB61" i="18"/>
  <c r="N61" i="18"/>
  <c r="U61" i="18"/>
  <c r="C61" i="18"/>
  <c r="B581" i="29"/>
  <c r="C547" i="29"/>
  <c r="C545" i="29"/>
  <c r="C543" i="29"/>
  <c r="C541" i="29"/>
  <c r="C539" i="29"/>
  <c r="C537" i="29"/>
  <c r="C535" i="29"/>
  <c r="D531" i="29"/>
  <c r="D546" i="29"/>
  <c r="C544" i="29"/>
  <c r="D541" i="29"/>
  <c r="D538" i="29"/>
  <c r="C536" i="29"/>
  <c r="F531" i="29"/>
  <c r="C546" i="29"/>
  <c r="D543" i="29"/>
  <c r="D540" i="29"/>
  <c r="C538" i="29"/>
  <c r="D535" i="29"/>
  <c r="D542" i="29"/>
  <c r="D537" i="29"/>
  <c r="D547" i="29"/>
  <c r="C542" i="29"/>
  <c r="D536" i="29"/>
  <c r="D530" i="29"/>
  <c r="D545" i="29"/>
  <c r="C540" i="29"/>
  <c r="D534" i="29"/>
  <c r="D539" i="29"/>
  <c r="C534" i="29"/>
  <c r="D544" i="29"/>
  <c r="F29" i="30"/>
  <c r="D29" i="30"/>
  <c r="E29" i="30"/>
  <c r="A30" i="30"/>
  <c r="C29" i="30"/>
  <c r="B29" i="30"/>
  <c r="AU62" i="13"/>
  <c r="W60" i="18"/>
  <c r="AH60" i="18"/>
  <c r="H62" i="11"/>
  <c r="L62" i="11"/>
  <c r="O62" i="11"/>
  <c r="Q62" i="11"/>
  <c r="AA62" i="11"/>
  <c r="P62" i="11"/>
  <c r="J62" i="11"/>
  <c r="U62" i="11"/>
  <c r="E62" i="11"/>
  <c r="C62" i="11"/>
  <c r="AG62" i="11"/>
  <c r="K62" i="11"/>
  <c r="G62" i="11"/>
  <c r="M62" i="11"/>
  <c r="I62" i="11"/>
  <c r="D62" i="11"/>
  <c r="B62" i="11"/>
  <c r="F62" i="11"/>
  <c r="T62" i="11"/>
  <c r="Y62" i="11"/>
  <c r="N62" i="11"/>
  <c r="R62" i="11"/>
  <c r="S62" i="11"/>
  <c r="W60" i="11"/>
  <c r="AH60" i="11"/>
  <c r="F57" i="24"/>
  <c r="AG57" i="24"/>
  <c r="AH57" i="24"/>
  <c r="AI57" i="24"/>
  <c r="BQ57" i="24"/>
  <c r="CY57" i="24"/>
  <c r="CZ57" i="24"/>
  <c r="DA57" i="24"/>
  <c r="D57" i="24"/>
  <c r="AD57" i="24"/>
  <c r="AE57" i="24"/>
  <c r="AF57" i="24"/>
  <c r="BU57" i="24"/>
  <c r="BV57" i="24"/>
  <c r="BW57" i="24"/>
  <c r="DM57" i="24"/>
  <c r="DN57" i="24"/>
  <c r="AC57" i="24"/>
  <c r="CU57" i="24"/>
  <c r="AW57" i="24"/>
  <c r="G57" i="24"/>
  <c r="H57" i="24"/>
  <c r="CL57" i="24"/>
  <c r="CM57" i="24"/>
  <c r="CN57" i="24"/>
  <c r="J57" i="24"/>
  <c r="K57" i="24"/>
  <c r="L57" i="24"/>
  <c r="CO57" i="24"/>
  <c r="CP57" i="24"/>
  <c r="CQ57" i="24"/>
  <c r="M57" i="24"/>
  <c r="N57" i="24"/>
  <c r="O57" i="24"/>
  <c r="CA57" i="24"/>
  <c r="DO57" i="24"/>
  <c r="I57" i="24"/>
  <c r="AK57" i="24"/>
  <c r="AL57" i="24"/>
  <c r="CE57" i="24"/>
  <c r="CF57" i="24"/>
  <c r="CG57" i="24"/>
  <c r="AQ57" i="24"/>
  <c r="AR57" i="24"/>
  <c r="AS57" i="24"/>
  <c r="BO57" i="24"/>
  <c r="BP57" i="24"/>
  <c r="DC57" i="24"/>
  <c r="DD57" i="24"/>
  <c r="DF57" i="24"/>
  <c r="DG57" i="24"/>
  <c r="DH57" i="24"/>
  <c r="CK57" i="24"/>
  <c r="Q57" i="24"/>
  <c r="R57" i="24"/>
  <c r="BH57" i="24"/>
  <c r="BI57" i="24"/>
  <c r="BJ57" i="24"/>
  <c r="DP57" i="24"/>
  <c r="DQ57" i="24"/>
  <c r="DR57" i="24"/>
  <c r="AX57" i="24"/>
  <c r="AY57" i="24"/>
  <c r="AZ57" i="24"/>
  <c r="CV57" i="24"/>
  <c r="CW57" i="24"/>
  <c r="CX57" i="24"/>
  <c r="CI57" i="24"/>
  <c r="CJ57" i="24"/>
  <c r="DW57" i="24"/>
  <c r="DX57" i="24"/>
  <c r="S57" i="24"/>
  <c r="EC57" i="24"/>
  <c r="ED57" i="24"/>
  <c r="EE57" i="24"/>
  <c r="BA57" i="24"/>
  <c r="BB57" i="24"/>
  <c r="BC57" i="24"/>
  <c r="AA57" i="24"/>
  <c r="AB57" i="24"/>
  <c r="BG57" i="24"/>
  <c r="CS57" i="24"/>
  <c r="CT57" i="24"/>
  <c r="EI57" i="24"/>
  <c r="W57" i="24"/>
  <c r="X57" i="24"/>
  <c r="Y57" i="24"/>
  <c r="BK57" i="24"/>
  <c r="BL57" i="24"/>
  <c r="BM57" i="24"/>
  <c r="DE57" i="24"/>
  <c r="C57" i="24"/>
  <c r="CB57" i="24"/>
  <c r="CC57" i="24"/>
  <c r="CD57" i="24"/>
  <c r="E57" i="24"/>
  <c r="EG57" i="24"/>
  <c r="EH57" i="24"/>
  <c r="BR57" i="24"/>
  <c r="BS57" i="24"/>
  <c r="BT57" i="24"/>
  <c r="EJ57" i="24"/>
  <c r="EK57" i="24"/>
  <c r="EL57" i="24"/>
  <c r="BY57" i="24"/>
  <c r="BZ57" i="24"/>
  <c r="EM57" i="24"/>
  <c r="EN57" i="24"/>
  <c r="EO57" i="24"/>
  <c r="AN57" i="24"/>
  <c r="AO57" i="24"/>
  <c r="AP57" i="24"/>
  <c r="DS57" i="24"/>
  <c r="DT57" i="24"/>
  <c r="DU57" i="24"/>
  <c r="DI57" i="24"/>
  <c r="DJ57" i="24"/>
  <c r="DK57" i="24"/>
  <c r="T57" i="24"/>
  <c r="U57" i="24"/>
  <c r="V57" i="24"/>
  <c r="AM57" i="24"/>
  <c r="DY57" i="24"/>
  <c r="AU57" i="24"/>
  <c r="AV57" i="24"/>
  <c r="DZ57" i="24"/>
  <c r="EA57" i="24"/>
  <c r="EB57" i="24"/>
  <c r="BE57" i="24"/>
  <c r="BF57" i="24"/>
  <c r="A11" i="31"/>
  <c r="AB62" i="18"/>
  <c r="O62" i="18"/>
  <c r="K62" i="18"/>
  <c r="F62" i="18"/>
  <c r="Q62" i="18"/>
  <c r="I62" i="18"/>
  <c r="Y62" i="18"/>
  <c r="T62" i="18"/>
  <c r="G62" i="18"/>
  <c r="B62" i="18"/>
  <c r="E62" i="18"/>
  <c r="U62" i="18"/>
  <c r="AG62" i="18"/>
  <c r="N62" i="18"/>
  <c r="M62" i="18"/>
  <c r="P62" i="18"/>
  <c r="L62" i="18"/>
  <c r="C62" i="18"/>
  <c r="J62" i="18"/>
  <c r="H62" i="18"/>
  <c r="R62" i="18"/>
  <c r="S62" i="18"/>
  <c r="D62" i="18"/>
  <c r="AV62" i="13"/>
  <c r="D1583" i="25"/>
  <c r="C1581" i="25"/>
  <c r="F1579" i="25"/>
  <c r="E1584" i="25"/>
  <c r="D1578" i="25"/>
  <c r="F1590" i="25"/>
  <c r="E1583" i="25"/>
  <c r="C1590" i="25"/>
  <c r="D1589" i="25"/>
  <c r="C1587" i="25"/>
  <c r="F1585" i="25"/>
  <c r="E1578" i="25"/>
  <c r="D1584" i="25"/>
  <c r="C1578" i="25"/>
  <c r="E1585" i="25"/>
  <c r="D1579" i="25"/>
  <c r="F1591" i="25"/>
  <c r="E1587" i="25"/>
  <c r="D1590" i="25"/>
  <c r="C1588" i="25"/>
  <c r="F1586" i="25"/>
  <c r="E1582" i="25"/>
  <c r="F1588" i="25"/>
  <c r="D1585" i="25"/>
  <c r="C1583" i="25"/>
  <c r="F1581" i="25"/>
  <c r="E1580" i="25"/>
  <c r="D1580" i="25"/>
  <c r="F1584" i="25"/>
  <c r="D1591" i="25"/>
  <c r="C1589" i="25"/>
  <c r="F1587" i="25"/>
  <c r="E1586" i="25"/>
  <c r="D1586" i="25"/>
  <c r="C1584" i="25"/>
  <c r="F1582" i="25"/>
  <c r="E1588" i="25"/>
  <c r="F1580" i="25"/>
  <c r="D1581" i="25"/>
  <c r="C1579" i="25"/>
  <c r="F1575" i="25"/>
  <c r="D1574" i="25"/>
  <c r="C1586" i="25"/>
  <c r="E1591" i="25"/>
  <c r="D1587" i="25"/>
  <c r="C1585" i="25"/>
  <c r="F1583" i="25"/>
  <c r="E1581" i="25"/>
  <c r="D1582" i="25"/>
  <c r="C1580" i="25"/>
  <c r="F1578" i="25"/>
  <c r="D1575" i="25"/>
  <c r="E1590" i="25"/>
  <c r="C1591" i="25"/>
  <c r="F1589" i="25"/>
  <c r="E1579" i="25"/>
  <c r="D1588" i="25"/>
  <c r="C1582" i="25"/>
  <c r="E1589" i="25"/>
  <c r="AY62" i="13"/>
  <c r="BC62" i="13"/>
  <c r="V61" i="11"/>
  <c r="AI59" i="11"/>
  <c r="C64" i="10"/>
  <c r="K64" i="10"/>
  <c r="E64" i="10"/>
  <c r="H64" i="10"/>
  <c r="B64" i="10"/>
  <c r="G64" i="10"/>
  <c r="F64" i="10"/>
  <c r="I64" i="10"/>
  <c r="M64" i="10"/>
  <c r="P64" i="10"/>
  <c r="D64" i="10"/>
  <c r="L64" i="10"/>
  <c r="J64" i="10"/>
  <c r="AH59" i="18"/>
  <c r="V61" i="18"/>
  <c r="AP63" i="13"/>
  <c r="G63" i="13"/>
  <c r="Z63" i="13"/>
  <c r="AD63" i="13"/>
  <c r="J63" i="13"/>
  <c r="AO63" i="13"/>
  <c r="L63" i="13"/>
  <c r="AI63" i="13"/>
  <c r="U63" i="13"/>
  <c r="AG63" i="13"/>
  <c r="Q63" i="13"/>
  <c r="O63" i="13"/>
  <c r="Y63" i="13"/>
  <c r="I63" i="13"/>
  <c r="AJ63" i="13"/>
  <c r="AF63" i="13"/>
  <c r="T63" i="13"/>
  <c r="N63" i="13"/>
  <c r="BL63" i="13"/>
  <c r="BE63" i="13"/>
  <c r="E63" i="13"/>
  <c r="AM63" i="13"/>
  <c r="S63" i="13"/>
  <c r="AY63" i="13"/>
  <c r="K63" i="13"/>
  <c r="AL63" i="13"/>
  <c r="AH63" i="13"/>
  <c r="V63" i="13"/>
  <c r="R63" i="13"/>
  <c r="P63" i="13"/>
  <c r="D63" i="13"/>
  <c r="C63" i="13"/>
  <c r="AK63" i="13"/>
  <c r="AS63" i="13"/>
  <c r="W63" i="13"/>
  <c r="M63" i="13"/>
  <c r="AN63" i="13"/>
  <c r="AR63" i="13"/>
  <c r="X63" i="13"/>
  <c r="AB63" i="13"/>
  <c r="H63" i="13"/>
  <c r="F63" i="13"/>
  <c r="B63" i="13"/>
  <c r="AQ63" i="13"/>
  <c r="AE63" i="13"/>
  <c r="AA63" i="13"/>
  <c r="AC63" i="13"/>
  <c r="AZ63" i="13"/>
  <c r="AT63" i="13"/>
  <c r="AU63" i="13"/>
  <c r="BC63" i="13"/>
  <c r="BB63" i="13"/>
  <c r="AW63" i="13"/>
  <c r="AX63" i="13"/>
  <c r="BA63" i="13"/>
  <c r="AX62" i="13"/>
  <c r="AW62" i="13"/>
  <c r="C2449" i="20"/>
  <c r="D2446" i="20"/>
  <c r="C2453" i="20"/>
  <c r="E2450" i="20"/>
  <c r="C2448" i="20"/>
  <c r="D2445" i="20"/>
  <c r="D2457" i="20"/>
  <c r="E2445" i="20"/>
  <c r="C2443" i="20"/>
  <c r="E2454" i="20"/>
  <c r="E2459" i="20"/>
  <c r="D2459" i="20"/>
  <c r="D2460" i="20"/>
  <c r="E2449" i="20"/>
  <c r="E2458" i="20"/>
  <c r="C2456" i="20"/>
  <c r="E2453" i="20"/>
  <c r="A2464" i="20"/>
  <c r="C2446" i="20"/>
  <c r="D2443" i="20"/>
  <c r="D2453" i="20"/>
  <c r="D2456" i="20"/>
  <c r="D2455" i="20"/>
  <c r="D2448" i="20"/>
  <c r="A2463" i="20"/>
  <c r="C2438" i="20"/>
  <c r="E2444" i="20"/>
  <c r="D2450" i="20"/>
  <c r="D2452" i="20"/>
  <c r="C2445" i="20"/>
  <c r="D2449" i="20"/>
  <c r="C2447" i="20"/>
  <c r="D2444" i="20"/>
  <c r="C2454" i="20"/>
  <c r="A2466" i="20"/>
  <c r="E2448" i="20"/>
  <c r="C2439" i="20"/>
  <c r="E2457" i="20"/>
  <c r="C2451" i="20"/>
  <c r="A2465" i="20"/>
  <c r="E2439" i="20"/>
  <c r="E2447" i="20"/>
  <c r="E2452" i="20"/>
  <c r="D2447" i="20"/>
  <c r="E2456" i="20"/>
  <c r="C2450" i="20"/>
  <c r="D2451" i="20"/>
  <c r="D2458" i="20"/>
  <c r="E2451" i="20"/>
  <c r="E2443" i="20"/>
  <c r="E2446" i="20"/>
  <c r="C2455" i="20"/>
  <c r="C2452" i="20"/>
  <c r="E2460" i="20"/>
  <c r="D2454" i="20"/>
  <c r="E2455" i="20"/>
  <c r="C2444" i="20"/>
  <c r="C2458" i="20"/>
  <c r="C2460" i="20"/>
  <c r="C2457" i="20"/>
  <c r="C2459" i="20"/>
  <c r="A31" i="30"/>
  <c r="B30" i="30"/>
  <c r="E30" i="30"/>
  <c r="C30" i="30"/>
  <c r="D30" i="30"/>
  <c r="F30" i="30"/>
  <c r="B610" i="29"/>
  <c r="D575" i="29"/>
  <c r="D573" i="29"/>
  <c r="D571" i="29"/>
  <c r="D569" i="29"/>
  <c r="D567" i="29"/>
  <c r="D565" i="29"/>
  <c r="D563" i="29"/>
  <c r="D574" i="29"/>
  <c r="C572" i="29"/>
  <c r="C569" i="29"/>
  <c r="D566" i="29"/>
  <c r="C564" i="29"/>
  <c r="D576" i="29"/>
  <c r="C574" i="29"/>
  <c r="C571" i="29"/>
  <c r="D568" i="29"/>
  <c r="C566" i="29"/>
  <c r="C563" i="29"/>
  <c r="D559" i="29"/>
  <c r="C575" i="29"/>
  <c r="C570" i="29"/>
  <c r="D564" i="29"/>
  <c r="C573" i="29"/>
  <c r="C568" i="29"/>
  <c r="F560" i="29"/>
  <c r="D572" i="29"/>
  <c r="C567" i="29"/>
  <c r="D560" i="29"/>
  <c r="C565" i="29"/>
  <c r="C576" i="29"/>
  <c r="D570" i="29"/>
  <c r="W61" i="18"/>
  <c r="AI61" i="18"/>
  <c r="E11" i="31"/>
  <c r="G11" i="31"/>
  <c r="A12" i="31"/>
  <c r="D11" i="31"/>
  <c r="H11" i="31"/>
  <c r="C11" i="31"/>
  <c r="B11" i="31"/>
  <c r="F11" i="31"/>
  <c r="N77" i="11"/>
  <c r="M76" i="11"/>
  <c r="U76" i="11"/>
  <c r="X74" i="11"/>
  <c r="P9" i="19"/>
  <c r="V78" i="11"/>
  <c r="U78" i="11"/>
  <c r="U75" i="11"/>
  <c r="W76" i="11"/>
  <c r="O76" i="11"/>
  <c r="K78" i="11"/>
  <c r="U77" i="11"/>
  <c r="N76" i="11"/>
  <c r="X76" i="11"/>
  <c r="X78" i="11"/>
  <c r="O77" i="11"/>
  <c r="V76" i="11"/>
  <c r="V75" i="11"/>
  <c r="X75" i="11"/>
  <c r="W74" i="11"/>
  <c r="O9" i="19"/>
  <c r="O78" i="11"/>
  <c r="L77" i="11"/>
  <c r="L76" i="11"/>
  <c r="M77" i="11"/>
  <c r="W78" i="11"/>
  <c r="K76" i="11"/>
  <c r="P76" i="11"/>
  <c r="W75" i="11"/>
  <c r="U74" i="11"/>
  <c r="M9" i="19"/>
  <c r="K77" i="11"/>
  <c r="P77" i="11"/>
  <c r="V74" i="11"/>
  <c r="N9" i="19"/>
  <c r="X77" i="11"/>
  <c r="M78" i="11"/>
  <c r="W77" i="11"/>
  <c r="L78" i="11"/>
  <c r="V77" i="11"/>
  <c r="N78" i="11"/>
  <c r="V62" i="11"/>
  <c r="K80" i="18"/>
  <c r="K81" i="18"/>
  <c r="AI60" i="11"/>
  <c r="K80" i="11"/>
  <c r="K81" i="11"/>
  <c r="AI60" i="18"/>
  <c r="L76" i="18"/>
  <c r="K76" i="18"/>
  <c r="N78" i="18"/>
  <c r="M77" i="18"/>
  <c r="K78" i="18"/>
  <c r="K77" i="18"/>
  <c r="U75" i="18"/>
  <c r="U78" i="18"/>
  <c r="X75" i="18"/>
  <c r="O77" i="18"/>
  <c r="O76" i="18"/>
  <c r="X78" i="18"/>
  <c r="W76" i="18"/>
  <c r="M78" i="18"/>
  <c r="V75" i="18"/>
  <c r="N76" i="18"/>
  <c r="X77" i="18"/>
  <c r="V76" i="18"/>
  <c r="X76" i="18"/>
  <c r="U74" i="18"/>
  <c r="M10" i="19"/>
  <c r="N77" i="18"/>
  <c r="W77" i="18"/>
  <c r="L77" i="18"/>
  <c r="O78" i="18"/>
  <c r="W75" i="18"/>
  <c r="U76" i="18"/>
  <c r="X74" i="18"/>
  <c r="P10" i="19"/>
  <c r="V74" i="18"/>
  <c r="N10" i="19"/>
  <c r="W78" i="18"/>
  <c r="L78" i="18"/>
  <c r="V78" i="18"/>
  <c r="V77" i="18"/>
  <c r="U77" i="18"/>
  <c r="M76" i="18"/>
  <c r="W74" i="18"/>
  <c r="O10" i="19"/>
  <c r="AV63" i="13"/>
  <c r="BF63" i="13"/>
  <c r="W61" i="11"/>
  <c r="AH61" i="11"/>
  <c r="V62" i="18"/>
  <c r="C604" i="29"/>
  <c r="C602" i="29"/>
  <c r="C600" i="29"/>
  <c r="C598" i="29"/>
  <c r="C596" i="29"/>
  <c r="C594" i="29"/>
  <c r="C592" i="29"/>
  <c r="D588" i="29"/>
  <c r="D605" i="29"/>
  <c r="C603" i="29"/>
  <c r="D600" i="29"/>
  <c r="D597" i="29"/>
  <c r="C595" i="29"/>
  <c r="D592" i="29"/>
  <c r="B639" i="29"/>
  <c r="C605" i="29"/>
  <c r="D602" i="29"/>
  <c r="D599" i="29"/>
  <c r="C597" i="29"/>
  <c r="D594" i="29"/>
  <c r="F589" i="29"/>
  <c r="D601" i="29"/>
  <c r="D596" i="29"/>
  <c r="D589" i="29"/>
  <c r="C601" i="29"/>
  <c r="D595" i="29"/>
  <c r="D604" i="29"/>
  <c r="C599" i="29"/>
  <c r="D593" i="29"/>
  <c r="D603" i="29"/>
  <c r="D598" i="29"/>
  <c r="C593" i="29"/>
  <c r="E31" i="30"/>
  <c r="C31" i="30"/>
  <c r="F31" i="30"/>
  <c r="B31" i="30"/>
  <c r="A32" i="30"/>
  <c r="D31" i="30"/>
  <c r="AI61" i="11"/>
  <c r="W62" i="18"/>
  <c r="AH62" i="18"/>
  <c r="P78" i="11"/>
  <c r="P77" i="18"/>
  <c r="P76" i="18"/>
  <c r="W62" i="11"/>
  <c r="AI62" i="11"/>
  <c r="AH61" i="18"/>
  <c r="P78" i="18"/>
  <c r="E12" i="31"/>
  <c r="C12" i="31"/>
  <c r="H12" i="31"/>
  <c r="G12" i="31"/>
  <c r="A13" i="31"/>
  <c r="B12" i="31"/>
  <c r="D12" i="31"/>
  <c r="F12" i="31"/>
  <c r="D634" i="29"/>
  <c r="D632" i="29"/>
  <c r="D630" i="29"/>
  <c r="D628" i="29"/>
  <c r="D626" i="29"/>
  <c r="D624" i="29"/>
  <c r="D622" i="29"/>
  <c r="F618" i="29"/>
  <c r="D633" i="29"/>
  <c r="C631" i="29"/>
  <c r="C628" i="29"/>
  <c r="D625" i="29"/>
  <c r="C623" i="29"/>
  <c r="D618" i="29"/>
  <c r="C633" i="29"/>
  <c r="C630" i="29"/>
  <c r="D627" i="29"/>
  <c r="C625" i="29"/>
  <c r="C622" i="29"/>
  <c r="B668" i="29"/>
  <c r="C634" i="29"/>
  <c r="C629" i="29"/>
  <c r="D623" i="29"/>
  <c r="D617" i="29"/>
  <c r="C632" i="29"/>
  <c r="C627" i="29"/>
  <c r="D621" i="29"/>
  <c r="D631" i="29"/>
  <c r="C626" i="29"/>
  <c r="C621" i="29"/>
  <c r="D629" i="29"/>
  <c r="C624" i="29"/>
  <c r="A33" i="30"/>
  <c r="D32" i="30"/>
  <c r="C32" i="30"/>
  <c r="E32" i="30"/>
  <c r="B32" i="30"/>
  <c r="F32" i="30"/>
  <c r="E13" i="31"/>
  <c r="D13" i="31"/>
  <c r="C13" i="31"/>
  <c r="H13" i="31"/>
  <c r="G13" i="31"/>
  <c r="B13" i="31"/>
  <c r="A14" i="31"/>
  <c r="F13" i="31"/>
  <c r="AH62" i="11"/>
  <c r="K75" i="11"/>
  <c r="M74" i="11"/>
  <c r="G9" i="19"/>
  <c r="M75" i="11"/>
  <c r="O75" i="11"/>
  <c r="K74" i="11"/>
  <c r="L74" i="11"/>
  <c r="E9" i="19"/>
  <c r="O74" i="11"/>
  <c r="K9" i="19"/>
  <c r="N74" i="11"/>
  <c r="I9" i="19"/>
  <c r="L75" i="11"/>
  <c r="N75" i="11"/>
  <c r="AI62" i="18"/>
  <c r="M74" i="18"/>
  <c r="G10" i="19"/>
  <c r="O74" i="18"/>
  <c r="K10" i="19"/>
  <c r="M75" i="18"/>
  <c r="L74" i="18"/>
  <c r="E10" i="19"/>
  <c r="N75" i="18"/>
  <c r="K74" i="18"/>
  <c r="L75" i="18"/>
  <c r="O75" i="18"/>
  <c r="K75" i="18"/>
  <c r="P75" i="18"/>
  <c r="N74" i="18"/>
  <c r="I10" i="19"/>
  <c r="B697" i="29"/>
  <c r="C663" i="29"/>
  <c r="C661" i="29"/>
  <c r="C659" i="29"/>
  <c r="C657" i="29"/>
  <c r="C655" i="29"/>
  <c r="C653" i="29"/>
  <c r="C651" i="29"/>
  <c r="D647" i="29"/>
  <c r="C662" i="29"/>
  <c r="D659" i="29"/>
  <c r="D656" i="29"/>
  <c r="C654" i="29"/>
  <c r="D651" i="29"/>
  <c r="D661" i="29"/>
  <c r="D658" i="29"/>
  <c r="C656" i="29"/>
  <c r="D653" i="29"/>
  <c r="D650" i="29"/>
  <c r="D646" i="29"/>
  <c r="D660" i="29"/>
  <c r="D655" i="29"/>
  <c r="C650" i="29"/>
  <c r="C660" i="29"/>
  <c r="D654" i="29"/>
  <c r="F647" i="29"/>
  <c r="D663" i="29"/>
  <c r="C658" i="29"/>
  <c r="D652" i="29"/>
  <c r="D662" i="29"/>
  <c r="D657" i="29"/>
  <c r="C652" i="29"/>
  <c r="F33" i="30"/>
  <c r="D33" i="30"/>
  <c r="A34" i="30"/>
  <c r="E33" i="30"/>
  <c r="B33" i="30"/>
  <c r="C33" i="30"/>
  <c r="H14" i="31"/>
  <c r="F14" i="31"/>
  <c r="B14" i="31"/>
  <c r="C14" i="31"/>
  <c r="E14" i="31"/>
  <c r="D14" i="31"/>
  <c r="G14" i="31"/>
  <c r="A15" i="31"/>
  <c r="C10" i="19"/>
  <c r="P74" i="18"/>
  <c r="P74" i="11"/>
  <c r="C9" i="19"/>
  <c r="P75" i="11"/>
  <c r="A35" i="30"/>
  <c r="B34" i="30"/>
  <c r="E34" i="30"/>
  <c r="F34" i="30"/>
  <c r="D34" i="30"/>
  <c r="C34" i="30"/>
  <c r="B726" i="29"/>
  <c r="D691" i="29"/>
  <c r="D689" i="29"/>
  <c r="D687" i="29"/>
  <c r="D685" i="29"/>
  <c r="D683" i="29"/>
  <c r="D681" i="29"/>
  <c r="D679" i="29"/>
  <c r="D692" i="29"/>
  <c r="C690" i="29"/>
  <c r="C687" i="29"/>
  <c r="D684" i="29"/>
  <c r="C682" i="29"/>
  <c r="C679" i="29"/>
  <c r="D675" i="29"/>
  <c r="C692" i="29"/>
  <c r="C689" i="29"/>
  <c r="D686" i="29"/>
  <c r="C684" i="29"/>
  <c r="C681" i="29"/>
  <c r="F676" i="29"/>
  <c r="C688" i="29"/>
  <c r="D682" i="29"/>
  <c r="C691" i="29"/>
  <c r="C686" i="29"/>
  <c r="D680" i="29"/>
  <c r="D690" i="29"/>
  <c r="C685" i="29"/>
  <c r="C680" i="29"/>
  <c r="C683" i="29"/>
  <c r="D676" i="29"/>
  <c r="D688" i="29"/>
  <c r="E15" i="31"/>
  <c r="C15" i="31"/>
  <c r="H15" i="31"/>
  <c r="F15" i="31"/>
  <c r="G15" i="31"/>
  <c r="A16" i="31"/>
  <c r="B15" i="31"/>
  <c r="D15" i="31"/>
  <c r="B755" i="29"/>
  <c r="C720" i="29"/>
  <c r="C718" i="29"/>
  <c r="C716" i="29"/>
  <c r="C714" i="29"/>
  <c r="C712" i="29"/>
  <c r="C710" i="29"/>
  <c r="C708" i="29"/>
  <c r="D704" i="29"/>
  <c r="C721" i="29"/>
  <c r="D718" i="29"/>
  <c r="D715" i="29"/>
  <c r="C713" i="29"/>
  <c r="D710" i="29"/>
  <c r="F705" i="29"/>
  <c r="D720" i="29"/>
  <c r="D717" i="29"/>
  <c r="C715" i="29"/>
  <c r="D712" i="29"/>
  <c r="D709" i="29"/>
  <c r="D705" i="29"/>
  <c r="D721" i="29"/>
  <c r="D716" i="29"/>
  <c r="C711" i="29"/>
  <c r="D719" i="29"/>
  <c r="D714" i="29"/>
  <c r="C709" i="29"/>
  <c r="C719" i="29"/>
  <c r="D713" i="29"/>
  <c r="D708" i="29"/>
  <c r="D711" i="29"/>
  <c r="C717" i="29"/>
  <c r="E35" i="30"/>
  <c r="C35" i="30"/>
  <c r="F35" i="30"/>
  <c r="B35" i="30"/>
  <c r="A36" i="30"/>
  <c r="D35" i="30"/>
  <c r="D16" i="31"/>
  <c r="B16" i="31"/>
  <c r="A17" i="31"/>
  <c r="F16" i="31"/>
  <c r="H16" i="31"/>
  <c r="G16" i="31"/>
  <c r="E16" i="31"/>
  <c r="C16" i="31"/>
  <c r="A37" i="30"/>
  <c r="D36" i="30"/>
  <c r="C36" i="30"/>
  <c r="F36" i="30"/>
  <c r="E36" i="30"/>
  <c r="B36" i="30"/>
  <c r="D750" i="29"/>
  <c r="D748" i="29"/>
  <c r="D746" i="29"/>
  <c r="D744" i="29"/>
  <c r="D742" i="29"/>
  <c r="D740" i="29"/>
  <c r="D738" i="29"/>
  <c r="F734" i="29"/>
  <c r="C749" i="29"/>
  <c r="C746" i="29"/>
  <c r="D743" i="29"/>
  <c r="C741" i="29"/>
  <c r="C738" i="29"/>
  <c r="C748" i="29"/>
  <c r="D745" i="29"/>
  <c r="C743" i="29"/>
  <c r="C740" i="29"/>
  <c r="D737" i="29"/>
  <c r="D733" i="29"/>
  <c r="D747" i="29"/>
  <c r="C742" i="29"/>
  <c r="C737" i="29"/>
  <c r="B784" i="29"/>
  <c r="C747" i="29"/>
  <c r="D741" i="29"/>
  <c r="D734" i="29"/>
  <c r="C750" i="29"/>
  <c r="C745" i="29"/>
  <c r="D739" i="29"/>
  <c r="C739" i="29"/>
  <c r="D749" i="29"/>
  <c r="C744" i="29"/>
  <c r="D17" i="31"/>
  <c r="H17" i="31"/>
  <c r="C17" i="31"/>
  <c r="G17" i="31"/>
  <c r="B17" i="31"/>
  <c r="A18" i="31"/>
  <c r="F17" i="31"/>
  <c r="E17" i="31"/>
  <c r="B813" i="29"/>
  <c r="C779" i="29"/>
  <c r="C777" i="29"/>
  <c r="C775" i="29"/>
  <c r="C773" i="29"/>
  <c r="C771" i="29"/>
  <c r="C769" i="29"/>
  <c r="C767" i="29"/>
  <c r="D763" i="29"/>
  <c r="D777" i="29"/>
  <c r="D774" i="29"/>
  <c r="C772" i="29"/>
  <c r="D769" i="29"/>
  <c r="D766" i="29"/>
  <c r="D762" i="29"/>
  <c r="D779" i="29"/>
  <c r="D776" i="29"/>
  <c r="C774" i="29"/>
  <c r="D771" i="29"/>
  <c r="D768" i="29"/>
  <c r="C766" i="29"/>
  <c r="D775" i="29"/>
  <c r="C770" i="29"/>
  <c r="D778" i="29"/>
  <c r="D773" i="29"/>
  <c r="C768" i="29"/>
  <c r="C778" i="29"/>
  <c r="D772" i="29"/>
  <c r="D767" i="29"/>
  <c r="C776" i="29"/>
  <c r="D770" i="29"/>
  <c r="F763" i="29"/>
  <c r="F37" i="30"/>
  <c r="D37" i="30"/>
  <c r="E37" i="30"/>
  <c r="C37" i="30"/>
  <c r="B37" i="30"/>
  <c r="A38" i="30"/>
  <c r="B18" i="31"/>
  <c r="C18" i="31"/>
  <c r="G18" i="31"/>
  <c r="A19" i="31"/>
  <c r="H18" i="31"/>
  <c r="E18" i="31"/>
  <c r="D18" i="31"/>
  <c r="F18" i="31"/>
  <c r="A39" i="30"/>
  <c r="B38" i="30"/>
  <c r="E38" i="30"/>
  <c r="F38" i="30"/>
  <c r="C38" i="30"/>
  <c r="D38" i="30"/>
  <c r="D807" i="29"/>
  <c r="D805" i="29"/>
  <c r="D803" i="29"/>
  <c r="D801" i="29"/>
  <c r="D799" i="29"/>
  <c r="D797" i="29"/>
  <c r="D795" i="29"/>
  <c r="B842" i="29"/>
  <c r="C808" i="29"/>
  <c r="C805" i="29"/>
  <c r="D802" i="29"/>
  <c r="C800" i="29"/>
  <c r="C797" i="29"/>
  <c r="F792" i="29"/>
  <c r="C807" i="29"/>
  <c r="D804" i="29"/>
  <c r="C802" i="29"/>
  <c r="C799" i="29"/>
  <c r="D796" i="29"/>
  <c r="D792" i="29"/>
  <c r="D806" i="29"/>
  <c r="C801" i="29"/>
  <c r="C796" i="29"/>
  <c r="C806" i="29"/>
  <c r="D800" i="29"/>
  <c r="C795" i="29"/>
  <c r="C804" i="29"/>
  <c r="D798" i="29"/>
  <c r="C803" i="29"/>
  <c r="C798" i="29"/>
  <c r="D808" i="29"/>
  <c r="D791" i="29"/>
  <c r="A20" i="31"/>
  <c r="B19" i="31"/>
  <c r="H19" i="31"/>
  <c r="G19" i="31"/>
  <c r="D19" i="31"/>
  <c r="E19" i="31"/>
  <c r="C19" i="31"/>
  <c r="F19" i="31"/>
  <c r="B871" i="29"/>
  <c r="C836" i="29"/>
  <c r="C834" i="29"/>
  <c r="C832" i="29"/>
  <c r="C830" i="29"/>
  <c r="C828" i="29"/>
  <c r="C826" i="29"/>
  <c r="C824" i="29"/>
  <c r="D820" i="29"/>
  <c r="D836" i="29"/>
  <c r="D833" i="29"/>
  <c r="C831" i="29"/>
  <c r="D828" i="29"/>
  <c r="D825" i="29"/>
  <c r="D821" i="29"/>
  <c r="D835" i="29"/>
  <c r="C833" i="29"/>
  <c r="D830" i="29"/>
  <c r="D827" i="29"/>
  <c r="C825" i="29"/>
  <c r="D834" i="29"/>
  <c r="C829" i="29"/>
  <c r="F821" i="29"/>
  <c r="D837" i="29"/>
  <c r="D832" i="29"/>
  <c r="C827" i="29"/>
  <c r="C837" i="29"/>
  <c r="D831" i="29"/>
  <c r="D826" i="29"/>
  <c r="D824" i="29"/>
  <c r="C835" i="29"/>
  <c r="D829" i="29"/>
  <c r="E39" i="30"/>
  <c r="C39" i="30"/>
  <c r="F39" i="30"/>
  <c r="B39" i="30"/>
  <c r="A40" i="30"/>
  <c r="D39" i="30"/>
  <c r="D20" i="31"/>
  <c r="B20" i="31"/>
  <c r="H20" i="31"/>
  <c r="C20" i="31"/>
  <c r="F20" i="31"/>
  <c r="G20" i="31"/>
  <c r="E20" i="31"/>
  <c r="A21" i="31"/>
  <c r="A41" i="30"/>
  <c r="D40" i="30"/>
  <c r="C40" i="30"/>
  <c r="F40" i="30"/>
  <c r="B40" i="30"/>
  <c r="E40" i="30"/>
  <c r="C865" i="29"/>
  <c r="C863" i="29"/>
  <c r="C861" i="29"/>
  <c r="C859" i="29"/>
  <c r="C857" i="29"/>
  <c r="C855" i="29"/>
  <c r="B900" i="29"/>
  <c r="D866" i="29"/>
  <c r="D864" i="29"/>
  <c r="D862" i="29"/>
  <c r="D860" i="29"/>
  <c r="D858" i="29"/>
  <c r="D856" i="29"/>
  <c r="D854" i="29"/>
  <c r="F850" i="29"/>
  <c r="D865" i="29"/>
  <c r="D861" i="29"/>
  <c r="D857" i="29"/>
  <c r="D853" i="29"/>
  <c r="D849" i="29"/>
  <c r="C864" i="29"/>
  <c r="C860" i="29"/>
  <c r="C856" i="29"/>
  <c r="C853" i="29"/>
  <c r="D863" i="29"/>
  <c r="D855" i="29"/>
  <c r="C862" i="29"/>
  <c r="C854" i="29"/>
  <c r="D859" i="29"/>
  <c r="D850" i="29"/>
  <c r="C866" i="29"/>
  <c r="C858" i="29"/>
  <c r="B21" i="31"/>
  <c r="A22" i="31"/>
  <c r="F21" i="31"/>
  <c r="D21" i="31"/>
  <c r="G21" i="31"/>
  <c r="E21" i="31"/>
  <c r="H21" i="31"/>
  <c r="C21" i="31"/>
  <c r="B929" i="29"/>
  <c r="D895" i="29"/>
  <c r="D893" i="29"/>
  <c r="D891" i="29"/>
  <c r="D889" i="29"/>
  <c r="D887" i="29"/>
  <c r="D885" i="29"/>
  <c r="D883" i="29"/>
  <c r="F879" i="29"/>
  <c r="C895" i="29"/>
  <c r="C893" i="29"/>
  <c r="C891" i="29"/>
  <c r="C889" i="29"/>
  <c r="C887" i="29"/>
  <c r="C885" i="29"/>
  <c r="C883" i="29"/>
  <c r="D879" i="29"/>
  <c r="D892" i="29"/>
  <c r="D888" i="29"/>
  <c r="D884" i="29"/>
  <c r="C892" i="29"/>
  <c r="C888" i="29"/>
  <c r="C884" i="29"/>
  <c r="D878" i="29"/>
  <c r="C890" i="29"/>
  <c r="C882" i="29"/>
  <c r="D894" i="29"/>
  <c r="D886" i="29"/>
  <c r="C894" i="29"/>
  <c r="C886" i="29"/>
  <c r="D890" i="29"/>
  <c r="D882" i="29"/>
  <c r="F41" i="30"/>
  <c r="D41" i="30"/>
  <c r="E41" i="30"/>
  <c r="B41" i="30"/>
  <c r="C41" i="30"/>
  <c r="A42" i="30"/>
  <c r="E22" i="31"/>
  <c r="A23" i="31"/>
  <c r="D22" i="31"/>
  <c r="H22" i="31"/>
  <c r="F22" i="31"/>
  <c r="B22" i="31"/>
  <c r="C22" i="31"/>
  <c r="G22" i="31"/>
  <c r="A43" i="30"/>
  <c r="B42" i="30"/>
  <c r="E42" i="30"/>
  <c r="D42" i="30"/>
  <c r="C42" i="30"/>
  <c r="F42" i="30"/>
  <c r="C924" i="29"/>
  <c r="C922" i="29"/>
  <c r="C920" i="29"/>
  <c r="C918" i="29"/>
  <c r="C916" i="29"/>
  <c r="C914" i="29"/>
  <c r="C912" i="29"/>
  <c r="D908" i="29"/>
  <c r="D923" i="29"/>
  <c r="D921" i="29"/>
  <c r="D919" i="29"/>
  <c r="D917" i="29"/>
  <c r="D915" i="29"/>
  <c r="D913" i="29"/>
  <c r="D911" i="29"/>
  <c r="D924" i="29"/>
  <c r="D920" i="29"/>
  <c r="D916" i="29"/>
  <c r="D912" i="29"/>
  <c r="D907" i="29"/>
  <c r="B958" i="29"/>
  <c r="C923" i="29"/>
  <c r="C919" i="29"/>
  <c r="C915" i="29"/>
  <c r="C911" i="29"/>
  <c r="D922" i="29"/>
  <c r="D914" i="29"/>
  <c r="C921" i="29"/>
  <c r="C913" i="29"/>
  <c r="D918" i="29"/>
  <c r="F908" i="29"/>
  <c r="C917" i="29"/>
  <c r="G23" i="31"/>
  <c r="D23" i="31"/>
  <c r="B23" i="31"/>
  <c r="E23" i="31"/>
  <c r="C23" i="31"/>
  <c r="H23" i="31"/>
  <c r="F23" i="31"/>
  <c r="A24" i="31"/>
  <c r="D952" i="29"/>
  <c r="D950" i="29"/>
  <c r="D948" i="29"/>
  <c r="D946" i="29"/>
  <c r="D944" i="29"/>
  <c r="D942" i="29"/>
  <c r="D940" i="29"/>
  <c r="C952" i="29"/>
  <c r="C950" i="29"/>
  <c r="C948" i="29"/>
  <c r="C946" i="29"/>
  <c r="C944" i="29"/>
  <c r="C942" i="29"/>
  <c r="C940" i="29"/>
  <c r="D936" i="29"/>
  <c r="D951" i="29"/>
  <c r="D947" i="29"/>
  <c r="D943" i="29"/>
  <c r="F937" i="29"/>
  <c r="C951" i="29"/>
  <c r="C947" i="29"/>
  <c r="C943" i="29"/>
  <c r="D937" i="29"/>
  <c r="B987" i="29"/>
  <c r="D949" i="29"/>
  <c r="D941" i="29"/>
  <c r="C949" i="29"/>
  <c r="C941" i="29"/>
  <c r="D953" i="29"/>
  <c r="D945" i="29"/>
  <c r="C945" i="29"/>
  <c r="C953" i="29"/>
  <c r="E43" i="30"/>
  <c r="C43" i="30"/>
  <c r="F43" i="30"/>
  <c r="B43" i="30"/>
  <c r="A44" i="30"/>
  <c r="D43" i="30"/>
  <c r="C24" i="31"/>
  <c r="F24" i="31"/>
  <c r="H24" i="31"/>
  <c r="E24" i="31"/>
  <c r="G24" i="31"/>
  <c r="D24" i="31"/>
  <c r="A25" i="31"/>
  <c r="B24" i="31"/>
  <c r="B1016" i="29"/>
  <c r="C981" i="29"/>
  <c r="C979" i="29"/>
  <c r="C977" i="29"/>
  <c r="C975" i="29"/>
  <c r="C973" i="29"/>
  <c r="C971" i="29"/>
  <c r="C969" i="29"/>
  <c r="D965" i="29"/>
  <c r="D982" i="29"/>
  <c r="D980" i="29"/>
  <c r="D978" i="29"/>
  <c r="D976" i="29"/>
  <c r="D974" i="29"/>
  <c r="D972" i="29"/>
  <c r="D970" i="29"/>
  <c r="F966" i="29"/>
  <c r="D979" i="29"/>
  <c r="D975" i="29"/>
  <c r="D971" i="29"/>
  <c r="C982" i="29"/>
  <c r="C978" i="29"/>
  <c r="C974" i="29"/>
  <c r="C970" i="29"/>
  <c r="D981" i="29"/>
  <c r="D973" i="29"/>
  <c r="C980" i="29"/>
  <c r="C972" i="29"/>
  <c r="D977" i="29"/>
  <c r="D969" i="29"/>
  <c r="D966" i="29"/>
  <c r="C976" i="29"/>
  <c r="A45" i="30"/>
  <c r="D44" i="30"/>
  <c r="C44" i="30"/>
  <c r="F44" i="30"/>
  <c r="E44" i="30"/>
  <c r="B44" i="30"/>
  <c r="E25" i="31"/>
  <c r="H25" i="31"/>
  <c r="C25" i="31"/>
  <c r="G25" i="31"/>
  <c r="A26" i="31"/>
  <c r="F25" i="31"/>
  <c r="D25" i="31"/>
  <c r="B25" i="31"/>
  <c r="F45" i="30"/>
  <c r="D45" i="30"/>
  <c r="E45" i="30"/>
  <c r="A46" i="30"/>
  <c r="C45" i="30"/>
  <c r="B45" i="30"/>
  <c r="B1045" i="29"/>
  <c r="D1011" i="29"/>
  <c r="D1009" i="29"/>
  <c r="D1007" i="29"/>
  <c r="D1005" i="29"/>
  <c r="D1003" i="29"/>
  <c r="D1001" i="29"/>
  <c r="D999" i="29"/>
  <c r="F995" i="29"/>
  <c r="C1011" i="29"/>
  <c r="C1009" i="29"/>
  <c r="C1007" i="29"/>
  <c r="C1005" i="29"/>
  <c r="C1003" i="29"/>
  <c r="C1001" i="29"/>
  <c r="C999" i="29"/>
  <c r="D995" i="29"/>
  <c r="D1010" i="29"/>
  <c r="D1006" i="29"/>
  <c r="D1002" i="29"/>
  <c r="D998" i="29"/>
  <c r="C1010" i="29"/>
  <c r="C1006" i="29"/>
  <c r="C1002" i="29"/>
  <c r="C998" i="29"/>
  <c r="C1008" i="29"/>
  <c r="C1000" i="29"/>
  <c r="D1004" i="29"/>
  <c r="C1004" i="29"/>
  <c r="D994" i="29"/>
  <c r="D1000" i="29"/>
  <c r="D1008" i="29"/>
  <c r="A27" i="31"/>
  <c r="D26" i="31"/>
  <c r="H26" i="31"/>
  <c r="B26" i="31"/>
  <c r="C26" i="31"/>
  <c r="E26" i="31"/>
  <c r="G26" i="31"/>
  <c r="F26" i="31"/>
  <c r="A47" i="30"/>
  <c r="B46" i="30"/>
  <c r="E46" i="30"/>
  <c r="C46" i="30"/>
  <c r="F46" i="30"/>
  <c r="D46" i="30"/>
  <c r="C1040" i="29"/>
  <c r="C1038" i="29"/>
  <c r="C1036" i="29"/>
  <c r="C1034" i="29"/>
  <c r="C1032" i="29"/>
  <c r="C1030" i="29"/>
  <c r="C1028" i="29"/>
  <c r="D1024" i="29"/>
  <c r="B1074" i="29"/>
  <c r="D1039" i="29"/>
  <c r="D1037" i="29"/>
  <c r="D1035" i="29"/>
  <c r="D1033" i="29"/>
  <c r="D1031" i="29"/>
  <c r="D1029" i="29"/>
  <c r="D1027" i="29"/>
  <c r="D1038" i="29"/>
  <c r="D1034" i="29"/>
  <c r="D1030" i="29"/>
  <c r="F1024" i="29"/>
  <c r="C1037" i="29"/>
  <c r="C1033" i="29"/>
  <c r="C1029" i="29"/>
  <c r="D1040" i="29"/>
  <c r="D1032" i="29"/>
  <c r="C1039" i="29"/>
  <c r="C1031" i="29"/>
  <c r="D1023" i="29"/>
  <c r="D1036" i="29"/>
  <c r="D1028" i="29"/>
  <c r="C1027" i="29"/>
  <c r="C1035" i="29"/>
  <c r="A28" i="31"/>
  <c r="B27" i="31"/>
  <c r="G27" i="31"/>
  <c r="D27" i="31"/>
  <c r="H27" i="31"/>
  <c r="C27" i="31"/>
  <c r="E27" i="31"/>
  <c r="F27" i="31"/>
  <c r="D1068" i="29"/>
  <c r="D1066" i="29"/>
  <c r="D1064" i="29"/>
  <c r="D1062" i="29"/>
  <c r="D1060" i="29"/>
  <c r="D1058" i="29"/>
  <c r="D1056" i="29"/>
  <c r="C1068" i="29"/>
  <c r="C1066" i="29"/>
  <c r="C1064" i="29"/>
  <c r="C1062" i="29"/>
  <c r="C1060" i="29"/>
  <c r="C1058" i="29"/>
  <c r="C1056" i="29"/>
  <c r="D1052" i="29"/>
  <c r="D1069" i="29"/>
  <c r="D1065" i="29"/>
  <c r="D1061" i="29"/>
  <c r="D1057" i="29"/>
  <c r="C1069" i="29"/>
  <c r="C1065" i="29"/>
  <c r="C1061" i="29"/>
  <c r="C1057" i="29"/>
  <c r="D1063" i="29"/>
  <c r="F1053" i="29"/>
  <c r="C1063" i="29"/>
  <c r="D1053" i="29"/>
  <c r="B1103" i="29"/>
  <c r="D1067" i="29"/>
  <c r="D1059" i="29"/>
  <c r="C1059" i="29"/>
  <c r="C1067" i="29"/>
  <c r="E47" i="30"/>
  <c r="C47" i="30"/>
  <c r="F47" i="30"/>
  <c r="B47" i="30"/>
  <c r="A48" i="30"/>
  <c r="D47" i="30"/>
  <c r="A29" i="31"/>
  <c r="B28" i="31"/>
  <c r="D28" i="31"/>
  <c r="E28" i="31"/>
  <c r="C28" i="31"/>
  <c r="H28" i="31"/>
  <c r="G28" i="31"/>
  <c r="F28" i="31"/>
  <c r="A49" i="30"/>
  <c r="D48" i="30"/>
  <c r="C48" i="30"/>
  <c r="B48" i="30"/>
  <c r="F48" i="30"/>
  <c r="E48" i="30"/>
  <c r="C1097" i="29"/>
  <c r="C1095" i="29"/>
  <c r="C1093" i="29"/>
  <c r="C1091" i="29"/>
  <c r="C1089" i="29"/>
  <c r="C1087" i="29"/>
  <c r="C1085" i="29"/>
  <c r="D1081" i="29"/>
  <c r="D1098" i="29"/>
  <c r="D1096" i="29"/>
  <c r="D1094" i="29"/>
  <c r="D1092" i="29"/>
  <c r="D1090" i="29"/>
  <c r="D1088" i="29"/>
  <c r="D1086" i="29"/>
  <c r="F1082" i="29"/>
  <c r="B1132" i="29"/>
  <c r="D1097" i="29"/>
  <c r="D1093" i="29"/>
  <c r="D1089" i="29"/>
  <c r="D1085" i="29"/>
  <c r="C1096" i="29"/>
  <c r="C1092" i="29"/>
  <c r="C1088" i="29"/>
  <c r="D1082" i="29"/>
  <c r="D1091" i="29"/>
  <c r="C1098" i="29"/>
  <c r="C1090" i="29"/>
  <c r="D1095" i="29"/>
  <c r="D1087" i="29"/>
  <c r="C1086" i="29"/>
  <c r="C1094" i="29"/>
  <c r="H29" i="31"/>
  <c r="C29" i="31"/>
  <c r="G29" i="31"/>
  <c r="A30" i="31"/>
  <c r="D29" i="31"/>
  <c r="B29" i="31"/>
  <c r="F29" i="31"/>
  <c r="E29" i="31"/>
  <c r="B1161" i="29"/>
  <c r="D1127" i="29"/>
  <c r="D1125" i="29"/>
  <c r="D1123" i="29"/>
  <c r="D1121" i="29"/>
  <c r="D1119" i="29"/>
  <c r="D1117" i="29"/>
  <c r="D1115" i="29"/>
  <c r="F1111" i="29"/>
  <c r="C1127" i="29"/>
  <c r="C1125" i="29"/>
  <c r="C1123" i="29"/>
  <c r="C1121" i="29"/>
  <c r="C1119" i="29"/>
  <c r="C1117" i="29"/>
  <c r="C1115" i="29"/>
  <c r="D1111" i="29"/>
  <c r="D1124" i="29"/>
  <c r="D1120" i="29"/>
  <c r="D1116" i="29"/>
  <c r="C1124" i="29"/>
  <c r="C1120" i="29"/>
  <c r="C1116" i="29"/>
  <c r="D1110" i="29"/>
  <c r="C1126" i="29"/>
  <c r="C1118" i="29"/>
  <c r="D1122" i="29"/>
  <c r="D1114" i="29"/>
  <c r="C1122" i="29"/>
  <c r="C1114" i="29"/>
  <c r="D1118" i="29"/>
  <c r="D1126" i="29"/>
  <c r="F49" i="30"/>
  <c r="D49" i="30"/>
  <c r="A50" i="30"/>
  <c r="B49" i="30"/>
  <c r="E49" i="30"/>
  <c r="C49" i="30"/>
  <c r="E30" i="31"/>
  <c r="G30" i="31"/>
  <c r="A31" i="31"/>
  <c r="D30" i="31"/>
  <c r="C30" i="31"/>
  <c r="H30" i="31"/>
  <c r="F30" i="31"/>
  <c r="B30" i="31"/>
  <c r="A51" i="30"/>
  <c r="B50" i="30"/>
  <c r="E50" i="30"/>
  <c r="F50" i="30"/>
  <c r="D50" i="30"/>
  <c r="C50" i="30"/>
  <c r="B1190" i="29"/>
  <c r="C1156" i="29"/>
  <c r="C1154" i="29"/>
  <c r="C1152" i="29"/>
  <c r="C1150" i="29"/>
  <c r="C1148" i="29"/>
  <c r="C1146" i="29"/>
  <c r="C1144" i="29"/>
  <c r="D1140" i="29"/>
  <c r="D1155" i="29"/>
  <c r="D1153" i="29"/>
  <c r="D1151" i="29"/>
  <c r="D1149" i="29"/>
  <c r="D1147" i="29"/>
  <c r="D1145" i="29"/>
  <c r="D1143" i="29"/>
  <c r="D1156" i="29"/>
  <c r="D1152" i="29"/>
  <c r="D1148" i="29"/>
  <c r="D1144" i="29"/>
  <c r="D1139" i="29"/>
  <c r="C1155" i="29"/>
  <c r="C1151" i="29"/>
  <c r="C1147" i="29"/>
  <c r="C1143" i="29"/>
  <c r="D1150" i="29"/>
  <c r="F1140" i="29"/>
  <c r="C1149" i="29"/>
  <c r="D1154" i="29"/>
  <c r="D1146" i="29"/>
  <c r="C1145" i="29"/>
  <c r="C1153" i="29"/>
  <c r="E31" i="31"/>
  <c r="C31" i="31"/>
  <c r="F31" i="31"/>
  <c r="A32" i="31"/>
  <c r="B31" i="31"/>
  <c r="G31" i="31"/>
  <c r="D31" i="31"/>
  <c r="H31" i="31"/>
  <c r="D1184" i="29"/>
  <c r="D1182" i="29"/>
  <c r="D1180" i="29"/>
  <c r="D1178" i="29"/>
  <c r="D1176" i="29"/>
  <c r="D1174" i="29"/>
  <c r="D1172" i="29"/>
  <c r="B1219" i="29"/>
  <c r="C1184" i="29"/>
  <c r="C1182" i="29"/>
  <c r="C1180" i="29"/>
  <c r="C1178" i="29"/>
  <c r="C1176" i="29"/>
  <c r="C1174" i="29"/>
  <c r="C1172" i="29"/>
  <c r="D1168" i="29"/>
  <c r="D1183" i="29"/>
  <c r="D1179" i="29"/>
  <c r="D1175" i="29"/>
  <c r="F1169" i="29"/>
  <c r="C1183" i="29"/>
  <c r="C1179" i="29"/>
  <c r="C1175" i="29"/>
  <c r="D1169" i="29"/>
  <c r="D1185" i="29"/>
  <c r="D1177" i="29"/>
  <c r="C1185" i="29"/>
  <c r="C1177" i="29"/>
  <c r="D1181" i="29"/>
  <c r="D1173" i="29"/>
  <c r="C1173" i="29"/>
  <c r="C1181" i="29"/>
  <c r="E51" i="30"/>
  <c r="C51" i="30"/>
  <c r="F51" i="30"/>
  <c r="B51" i="30"/>
  <c r="A52" i="30"/>
  <c r="D51" i="30"/>
  <c r="H32" i="31"/>
  <c r="G32" i="31"/>
  <c r="B32" i="31"/>
  <c r="D32" i="31"/>
  <c r="A33" i="31"/>
  <c r="E32" i="31"/>
  <c r="C32" i="31"/>
  <c r="F32" i="31"/>
  <c r="C1213" i="29"/>
  <c r="C1211" i="29"/>
  <c r="C1209" i="29"/>
  <c r="C1207" i="29"/>
  <c r="C1205" i="29"/>
  <c r="C1203" i="29"/>
  <c r="C1201" i="29"/>
  <c r="D1197" i="29"/>
  <c r="D1214" i="29"/>
  <c r="D1212" i="29"/>
  <c r="D1210" i="29"/>
  <c r="D1208" i="29"/>
  <c r="D1206" i="29"/>
  <c r="D1204" i="29"/>
  <c r="D1202" i="29"/>
  <c r="F1198" i="29"/>
  <c r="D1211" i="29"/>
  <c r="D1207" i="29"/>
  <c r="D1203" i="29"/>
  <c r="B1248" i="29"/>
  <c r="C1214" i="29"/>
  <c r="C1210" i="29"/>
  <c r="C1206" i="29"/>
  <c r="C1202" i="29"/>
  <c r="D1209" i="29"/>
  <c r="D1201" i="29"/>
  <c r="C1208" i="29"/>
  <c r="D1198" i="29"/>
  <c r="D1213" i="29"/>
  <c r="D1205" i="29"/>
  <c r="C1204" i="29"/>
  <c r="C1212" i="29"/>
  <c r="A53" i="30"/>
  <c r="D52" i="30"/>
  <c r="C52" i="30"/>
  <c r="E52" i="30"/>
  <c r="B52" i="30"/>
  <c r="F52" i="30"/>
  <c r="H33" i="31"/>
  <c r="A34" i="31"/>
  <c r="F33" i="31"/>
  <c r="G33" i="31"/>
  <c r="B33" i="31"/>
  <c r="E33" i="31"/>
  <c r="D33" i="31"/>
  <c r="C33" i="31"/>
  <c r="F53" i="30"/>
  <c r="D53" i="30"/>
  <c r="E53" i="30"/>
  <c r="C53" i="30"/>
  <c r="B53" i="30"/>
  <c r="A54" i="30"/>
  <c r="B1277" i="29"/>
  <c r="D1243" i="29"/>
  <c r="D1241" i="29"/>
  <c r="D1239" i="29"/>
  <c r="D1237" i="29"/>
  <c r="D1235" i="29"/>
  <c r="D1233" i="29"/>
  <c r="D1231" i="29"/>
  <c r="F1227" i="29"/>
  <c r="C1243" i="29"/>
  <c r="C1241" i="29"/>
  <c r="C1239" i="29"/>
  <c r="C1237" i="29"/>
  <c r="C1235" i="29"/>
  <c r="C1233" i="29"/>
  <c r="C1231" i="29"/>
  <c r="D1227" i="29"/>
  <c r="D1242" i="29"/>
  <c r="D1238" i="29"/>
  <c r="D1234" i="29"/>
  <c r="D1230" i="29"/>
  <c r="C1242" i="29"/>
  <c r="C1238" i="29"/>
  <c r="C1234" i="29"/>
  <c r="C1230" i="29"/>
  <c r="C1236" i="29"/>
  <c r="D1226" i="29"/>
  <c r="D1240" i="29"/>
  <c r="D1232" i="29"/>
  <c r="C1240" i="29"/>
  <c r="C1232" i="29"/>
  <c r="D1236" i="29"/>
  <c r="E34" i="31"/>
  <c r="G34" i="31"/>
  <c r="A35" i="31"/>
  <c r="B34" i="31"/>
  <c r="C34" i="31"/>
  <c r="D34" i="31"/>
  <c r="H34" i="31"/>
  <c r="F34" i="31"/>
  <c r="C1272" i="29"/>
  <c r="C1270" i="29"/>
  <c r="C1268" i="29"/>
  <c r="C1266" i="29"/>
  <c r="C1264" i="29"/>
  <c r="C1262" i="29"/>
  <c r="C1260" i="29"/>
  <c r="D1256" i="29"/>
  <c r="D1271" i="29"/>
  <c r="D1269" i="29"/>
  <c r="D1267" i="29"/>
  <c r="D1265" i="29"/>
  <c r="D1263" i="29"/>
  <c r="D1261" i="29"/>
  <c r="D1259" i="29"/>
  <c r="D1270" i="29"/>
  <c r="D1266" i="29"/>
  <c r="D1262" i="29"/>
  <c r="F1256" i="29"/>
  <c r="C1269" i="29"/>
  <c r="C1265" i="29"/>
  <c r="C1261" i="29"/>
  <c r="B1306" i="29"/>
  <c r="D1268" i="29"/>
  <c r="D1260" i="29"/>
  <c r="C1267" i="29"/>
  <c r="C1259" i="29"/>
  <c r="D1272" i="29"/>
  <c r="D1264" i="29"/>
  <c r="C1263" i="29"/>
  <c r="D1255" i="29"/>
  <c r="C1271" i="29"/>
  <c r="A55" i="30"/>
  <c r="B54" i="30"/>
  <c r="E54" i="30"/>
  <c r="F54" i="30"/>
  <c r="C54" i="30"/>
  <c r="D54" i="30"/>
  <c r="E35" i="31"/>
  <c r="H35" i="31"/>
  <c r="F35" i="31"/>
  <c r="A36" i="31"/>
  <c r="B35" i="31"/>
  <c r="D35" i="31"/>
  <c r="C35" i="31"/>
  <c r="G35" i="31"/>
  <c r="B1335" i="29"/>
  <c r="D1300" i="29"/>
  <c r="D1298" i="29"/>
  <c r="D1296" i="29"/>
  <c r="D1294" i="29"/>
  <c r="D1292" i="29"/>
  <c r="D1290" i="29"/>
  <c r="D1288" i="29"/>
  <c r="C1300" i="29"/>
  <c r="C1298" i="29"/>
  <c r="C1296" i="29"/>
  <c r="C1294" i="29"/>
  <c r="C1292" i="29"/>
  <c r="C1290" i="29"/>
  <c r="C1288" i="29"/>
  <c r="D1284" i="29"/>
  <c r="D1301" i="29"/>
  <c r="D1297" i="29"/>
  <c r="D1293" i="29"/>
  <c r="D1289" i="29"/>
  <c r="C1301" i="29"/>
  <c r="C1297" i="29"/>
  <c r="C1293" i="29"/>
  <c r="C1289" i="29"/>
  <c r="D1299" i="29"/>
  <c r="D1291" i="29"/>
  <c r="C1299" i="29"/>
  <c r="C1291" i="29"/>
  <c r="D1295" i="29"/>
  <c r="F1285" i="29"/>
  <c r="D1285" i="29"/>
  <c r="C1295" i="29"/>
  <c r="E55" i="30"/>
  <c r="C55" i="30"/>
  <c r="F55" i="30"/>
  <c r="B55" i="30"/>
  <c r="A56" i="30"/>
  <c r="D55" i="30"/>
  <c r="C36" i="31"/>
  <c r="E36" i="31"/>
  <c r="A37" i="31"/>
  <c r="H36" i="31"/>
  <c r="G36" i="31"/>
  <c r="B36" i="31"/>
  <c r="F36" i="31"/>
  <c r="D36" i="31"/>
  <c r="A57" i="30"/>
  <c r="D56" i="30"/>
  <c r="C56" i="30"/>
  <c r="F56" i="30"/>
  <c r="B56" i="30"/>
  <c r="E56" i="30"/>
  <c r="C1329" i="29"/>
  <c r="C1327" i="29"/>
  <c r="C1325" i="29"/>
  <c r="C1323" i="29"/>
  <c r="C1321" i="29"/>
  <c r="C1319" i="29"/>
  <c r="C1317" i="29"/>
  <c r="D1313" i="29"/>
  <c r="B1364" i="29"/>
  <c r="D1330" i="29"/>
  <c r="D1328" i="29"/>
  <c r="D1326" i="29"/>
  <c r="D1324" i="29"/>
  <c r="D1322" i="29"/>
  <c r="D1320" i="29"/>
  <c r="D1318" i="29"/>
  <c r="F1314" i="29"/>
  <c r="D1329" i="29"/>
  <c r="D1325" i="29"/>
  <c r="D1321" i="29"/>
  <c r="D1317" i="29"/>
  <c r="C1328" i="29"/>
  <c r="C1324" i="29"/>
  <c r="C1320" i="29"/>
  <c r="D1314" i="29"/>
  <c r="D1327" i="29"/>
  <c r="D1319" i="29"/>
  <c r="C1326" i="29"/>
  <c r="C1318" i="29"/>
  <c r="D1323" i="29"/>
  <c r="C1322" i="29"/>
  <c r="C1330" i="29"/>
  <c r="A38" i="31"/>
  <c r="G37" i="31"/>
  <c r="E37" i="31"/>
  <c r="F37" i="31"/>
  <c r="D37" i="31"/>
  <c r="H37" i="31"/>
  <c r="B37" i="31"/>
  <c r="C37" i="31"/>
  <c r="B1393" i="29"/>
  <c r="D1359" i="29"/>
  <c r="D1357" i="29"/>
  <c r="D1355" i="29"/>
  <c r="D1353" i="29"/>
  <c r="D1351" i="29"/>
  <c r="D1349" i="29"/>
  <c r="D1347" i="29"/>
  <c r="F1343" i="29"/>
  <c r="C1359" i="29"/>
  <c r="C1357" i="29"/>
  <c r="C1355" i="29"/>
  <c r="C1353" i="29"/>
  <c r="C1351" i="29"/>
  <c r="C1349" i="29"/>
  <c r="C1347" i="29"/>
  <c r="D1343" i="29"/>
  <c r="D1356" i="29"/>
  <c r="D1352" i="29"/>
  <c r="D1348" i="29"/>
  <c r="C1356" i="29"/>
  <c r="C1352" i="29"/>
  <c r="C1348" i="29"/>
  <c r="D1342" i="29"/>
  <c r="C1354" i="29"/>
  <c r="C1346" i="29"/>
  <c r="D1358" i="29"/>
  <c r="D1350" i="29"/>
  <c r="C1358" i="29"/>
  <c r="C1350" i="29"/>
  <c r="D1346" i="29"/>
  <c r="D1354" i="29"/>
  <c r="F57" i="30"/>
  <c r="D57" i="30"/>
  <c r="B57" i="30"/>
  <c r="A58" i="30"/>
  <c r="E57" i="30"/>
  <c r="C57" i="30"/>
  <c r="H38" i="31"/>
  <c r="F38" i="31"/>
  <c r="G38" i="31"/>
  <c r="E38" i="31"/>
  <c r="B38" i="31"/>
  <c r="D38" i="31"/>
  <c r="A39" i="31"/>
  <c r="C38" i="31"/>
  <c r="A59" i="30"/>
  <c r="B58" i="30"/>
  <c r="E58" i="30"/>
  <c r="D58" i="30"/>
  <c r="C58" i="30"/>
  <c r="F58" i="30"/>
  <c r="C1388" i="29"/>
  <c r="C1386" i="29"/>
  <c r="C1384" i="29"/>
  <c r="C1382" i="29"/>
  <c r="C1380" i="29"/>
  <c r="C1378" i="29"/>
  <c r="C1376" i="29"/>
  <c r="D1372" i="29"/>
  <c r="D1387" i="29"/>
  <c r="D1385" i="29"/>
  <c r="D1383" i="29"/>
  <c r="D1381" i="29"/>
  <c r="D1379" i="29"/>
  <c r="D1377" i="29"/>
  <c r="D1375" i="29"/>
  <c r="D1388" i="29"/>
  <c r="D1384" i="29"/>
  <c r="D1380" i="29"/>
  <c r="D1376" i="29"/>
  <c r="D1371" i="29"/>
  <c r="C1387" i="29"/>
  <c r="C1383" i="29"/>
  <c r="C1379" i="29"/>
  <c r="C1375" i="29"/>
  <c r="D1386" i="29"/>
  <c r="D1378" i="29"/>
  <c r="C1385" i="29"/>
  <c r="C1377" i="29"/>
  <c r="D1382" i="29"/>
  <c r="F1372" i="29"/>
  <c r="C1381" i="29"/>
  <c r="B1422" i="29"/>
  <c r="C39" i="31"/>
  <c r="F39" i="31"/>
  <c r="D39" i="31"/>
  <c r="E39" i="31"/>
  <c r="A40" i="31"/>
  <c r="G39" i="31"/>
  <c r="H39" i="31"/>
  <c r="B39" i="31"/>
  <c r="D1416" i="29"/>
  <c r="D1414" i="29"/>
  <c r="D1412" i="29"/>
  <c r="D1410" i="29"/>
  <c r="D1408" i="29"/>
  <c r="D1406" i="29"/>
  <c r="D1404" i="29"/>
  <c r="C1416" i="29"/>
  <c r="C1414" i="29"/>
  <c r="C1412" i="29"/>
  <c r="C1410" i="29"/>
  <c r="C1408" i="29"/>
  <c r="C1406" i="29"/>
  <c r="C1404" i="29"/>
  <c r="D1400" i="29"/>
  <c r="B1451" i="29"/>
  <c r="D1415" i="29"/>
  <c r="D1411" i="29"/>
  <c r="D1407" i="29"/>
  <c r="F1401" i="29"/>
  <c r="C1415" i="29"/>
  <c r="C1411" i="29"/>
  <c r="C1407" i="29"/>
  <c r="D1401" i="29"/>
  <c r="D1413" i="29"/>
  <c r="D1405" i="29"/>
  <c r="C1413" i="29"/>
  <c r="C1405" i="29"/>
  <c r="D1417" i="29"/>
  <c r="D1409" i="29"/>
  <c r="C1417" i="29"/>
  <c r="C1409" i="29"/>
  <c r="E59" i="30"/>
  <c r="C59" i="30"/>
  <c r="F59" i="30"/>
  <c r="B59" i="30"/>
  <c r="A60" i="30"/>
  <c r="D59" i="30"/>
  <c r="D40" i="31"/>
  <c r="F40" i="31"/>
  <c r="G40" i="31"/>
  <c r="B40" i="31"/>
  <c r="E40" i="31"/>
  <c r="H40" i="31"/>
  <c r="A41" i="31"/>
  <c r="C40" i="31"/>
  <c r="D1446" i="29"/>
  <c r="D1444" i="29"/>
  <c r="D1442" i="29"/>
  <c r="D1440" i="29"/>
  <c r="B1480" i="29"/>
  <c r="C1444" i="29"/>
  <c r="D1441" i="29"/>
  <c r="C1439" i="29"/>
  <c r="C1437" i="29"/>
  <c r="C1435" i="29"/>
  <c r="C1433" i="29"/>
  <c r="D1429" i="29"/>
  <c r="C1446" i="29"/>
  <c r="D1443" i="29"/>
  <c r="C1441" i="29"/>
  <c r="D1438" i="29"/>
  <c r="D1436" i="29"/>
  <c r="D1434" i="29"/>
  <c r="F1430" i="29"/>
  <c r="C1445" i="29"/>
  <c r="D1439" i="29"/>
  <c r="D1435" i="29"/>
  <c r="C1443" i="29"/>
  <c r="C1438" i="29"/>
  <c r="C1434" i="29"/>
  <c r="D1437" i="29"/>
  <c r="D1445" i="29"/>
  <c r="C1436" i="29"/>
  <c r="C1442" i="29"/>
  <c r="D1433" i="29"/>
  <c r="C1440" i="29"/>
  <c r="D1430" i="29"/>
  <c r="A61" i="30"/>
  <c r="D60" i="30"/>
  <c r="C60" i="30"/>
  <c r="F60" i="30"/>
  <c r="E60" i="30"/>
  <c r="B60" i="30"/>
  <c r="E41" i="31"/>
  <c r="D41" i="31"/>
  <c r="G41" i="31"/>
  <c r="B41" i="31"/>
  <c r="F41" i="31"/>
  <c r="A42" i="31"/>
  <c r="H41" i="31"/>
  <c r="C41" i="31"/>
  <c r="F61" i="30"/>
  <c r="D61" i="30"/>
  <c r="E61" i="30"/>
  <c r="A62" i="30"/>
  <c r="C61" i="30"/>
  <c r="B61" i="30"/>
  <c r="B1509" i="29"/>
  <c r="C1475" i="29"/>
  <c r="C1473" i="29"/>
  <c r="C1471" i="29"/>
  <c r="C1469" i="29"/>
  <c r="C1467" i="29"/>
  <c r="C1465" i="29"/>
  <c r="C1463" i="29"/>
  <c r="D1459" i="29"/>
  <c r="D1475" i="29"/>
  <c r="D1472" i="29"/>
  <c r="C1470" i="29"/>
  <c r="D1467" i="29"/>
  <c r="D1464" i="29"/>
  <c r="C1462" i="29"/>
  <c r="D1474" i="29"/>
  <c r="C1472" i="29"/>
  <c r="D1469" i="29"/>
  <c r="D1466" i="29"/>
  <c r="C1464" i="29"/>
  <c r="F1459" i="29"/>
  <c r="D1471" i="29"/>
  <c r="C1466" i="29"/>
  <c r="D1470" i="29"/>
  <c r="D1465" i="29"/>
  <c r="D1458" i="29"/>
  <c r="C1468" i="29"/>
  <c r="C1474" i="29"/>
  <c r="D1463" i="29"/>
  <c r="D1473" i="29"/>
  <c r="D1462" i="29"/>
  <c r="D1468" i="29"/>
  <c r="C42" i="31"/>
  <c r="G42" i="31"/>
  <c r="A43" i="31"/>
  <c r="F42" i="31"/>
  <c r="H42" i="31"/>
  <c r="D42" i="31"/>
  <c r="E42" i="31"/>
  <c r="B42" i="31"/>
  <c r="A63" i="30"/>
  <c r="B62" i="30"/>
  <c r="E62" i="30"/>
  <c r="C62" i="30"/>
  <c r="D62" i="30"/>
  <c r="F62" i="30"/>
  <c r="D1503" i="29"/>
  <c r="D1501" i="29"/>
  <c r="D1499" i="29"/>
  <c r="D1497" i="29"/>
  <c r="D1495" i="29"/>
  <c r="D1493" i="29"/>
  <c r="D1491" i="29"/>
  <c r="C1503" i="29"/>
  <c r="D1500" i="29"/>
  <c r="C1498" i="29"/>
  <c r="C1495" i="29"/>
  <c r="D1492" i="29"/>
  <c r="D1488" i="29"/>
  <c r="B1538" i="29"/>
  <c r="D1502" i="29"/>
  <c r="C1500" i="29"/>
  <c r="C1497" i="29"/>
  <c r="D1494" i="29"/>
  <c r="C1492" i="29"/>
  <c r="C1504" i="29"/>
  <c r="D1498" i="29"/>
  <c r="C1493" i="29"/>
  <c r="D1487" i="29"/>
  <c r="C1502" i="29"/>
  <c r="D1496" i="29"/>
  <c r="C1491" i="29"/>
  <c r="C1496" i="29"/>
  <c r="D1504" i="29"/>
  <c r="C1494" i="29"/>
  <c r="C1501" i="29"/>
  <c r="F1488" i="29"/>
  <c r="C1499" i="29"/>
  <c r="G43" i="31"/>
  <c r="H43" i="31"/>
  <c r="F43" i="31"/>
  <c r="B43" i="31"/>
  <c r="C43" i="31"/>
  <c r="E43" i="31"/>
  <c r="A44" i="31"/>
  <c r="D43" i="31"/>
  <c r="C1532" i="29"/>
  <c r="C1530" i="29"/>
  <c r="C1528" i="29"/>
  <c r="C1526" i="29"/>
  <c r="C1524" i="29"/>
  <c r="C1522" i="29"/>
  <c r="C1520" i="29"/>
  <c r="D1516" i="29"/>
  <c r="D1531" i="29"/>
  <c r="C1529" i="29"/>
  <c r="D1526" i="29"/>
  <c r="D1523" i="29"/>
  <c r="C1521" i="29"/>
  <c r="D1533" i="29"/>
  <c r="C1531" i="29"/>
  <c r="D1528" i="29"/>
  <c r="D1525" i="29"/>
  <c r="C1523" i="29"/>
  <c r="D1520" i="29"/>
  <c r="D1529" i="29"/>
  <c r="D1524" i="29"/>
  <c r="D1517" i="29"/>
  <c r="B1567" i="29"/>
  <c r="C1533" i="29"/>
  <c r="D1527" i="29"/>
  <c r="D1522" i="29"/>
  <c r="D1532" i="29"/>
  <c r="C1527" i="29"/>
  <c r="D1521" i="29"/>
  <c r="D1530" i="29"/>
  <c r="C1525" i="29"/>
  <c r="F1517" i="29"/>
  <c r="E63" i="30"/>
  <c r="C63" i="30"/>
  <c r="F63" i="30"/>
  <c r="B63" i="30"/>
  <c r="A64" i="30"/>
  <c r="D63" i="30"/>
  <c r="D44" i="31"/>
  <c r="G44" i="31"/>
  <c r="A45" i="31"/>
  <c r="F44" i="31"/>
  <c r="E44" i="31"/>
  <c r="C44" i="31"/>
  <c r="H44" i="31"/>
  <c r="B44" i="31"/>
  <c r="D1562" i="29"/>
  <c r="D1560" i="29"/>
  <c r="D1558" i="29"/>
  <c r="D1556" i="29"/>
  <c r="D1554" i="29"/>
  <c r="D1552" i="29"/>
  <c r="D1550" i="29"/>
  <c r="F1546" i="29"/>
  <c r="C1562" i="29"/>
  <c r="D1559" i="29"/>
  <c r="C1557" i="29"/>
  <c r="C1554" i="29"/>
  <c r="D1551" i="29"/>
  <c r="C1549" i="29"/>
  <c r="D1561" i="29"/>
  <c r="C1559" i="29"/>
  <c r="C1556" i="29"/>
  <c r="D1553" i="29"/>
  <c r="C1551" i="29"/>
  <c r="D1546" i="29"/>
  <c r="C1561" i="29"/>
  <c r="D1555" i="29"/>
  <c r="C1550" i="29"/>
  <c r="C1560" i="29"/>
  <c r="C1555" i="29"/>
  <c r="D1549" i="29"/>
  <c r="B1596" i="29"/>
  <c r="C1558" i="29"/>
  <c r="C1553" i="29"/>
  <c r="C1552" i="29"/>
  <c r="D1545" i="29"/>
  <c r="D1557" i="29"/>
  <c r="A65" i="30"/>
  <c r="D64" i="30"/>
  <c r="C64" i="30"/>
  <c r="E64" i="30"/>
  <c r="B64" i="30"/>
  <c r="F64" i="30"/>
  <c r="B45" i="31"/>
  <c r="D45" i="31"/>
  <c r="H45" i="31"/>
  <c r="C45" i="31"/>
  <c r="A46" i="31"/>
  <c r="G45" i="31"/>
  <c r="E45" i="31"/>
  <c r="F45" i="31"/>
  <c r="D1590" i="29"/>
  <c r="D1588" i="29"/>
  <c r="D1586" i="29"/>
  <c r="D1584" i="29"/>
  <c r="D1582" i="29"/>
  <c r="D1580" i="29"/>
  <c r="D1578" i="29"/>
  <c r="D1575" i="29"/>
  <c r="C1590" i="29"/>
  <c r="D1587" i="29"/>
  <c r="C1585" i="29"/>
  <c r="C1582" i="29"/>
  <c r="D1579" i="29"/>
  <c r="D1589" i="29"/>
  <c r="C1587" i="29"/>
  <c r="C1584" i="29"/>
  <c r="D1581" i="29"/>
  <c r="C1579" i="29"/>
  <c r="C1588" i="29"/>
  <c r="C1583" i="29"/>
  <c r="F1575" i="29"/>
  <c r="D1591" i="29"/>
  <c r="C1586" i="29"/>
  <c r="C1581" i="29"/>
  <c r="C1591" i="29"/>
  <c r="D1585" i="29"/>
  <c r="C1580" i="29"/>
  <c r="D1574" i="29"/>
  <c r="C1578" i="29"/>
  <c r="C1589" i="29"/>
  <c r="D1583" i="29"/>
  <c r="F65" i="30"/>
  <c r="D65" i="30"/>
  <c r="E65" i="30"/>
  <c r="B65" i="30"/>
  <c r="C65" i="30"/>
  <c r="A47" i="31"/>
  <c r="G46" i="31"/>
  <c r="F46" i="31"/>
  <c r="D46" i="31"/>
  <c r="H46" i="31"/>
  <c r="E46" i="31"/>
  <c r="B46" i="31"/>
  <c r="C46" i="31"/>
  <c r="H47" i="31"/>
  <c r="B47" i="31"/>
  <c r="F47" i="31"/>
  <c r="E47" i="31"/>
  <c r="A48" i="31"/>
  <c r="D47" i="31"/>
  <c r="C47" i="31"/>
  <c r="G47" i="31"/>
  <c r="D48" i="31"/>
  <c r="F48" i="31"/>
  <c r="B48" i="31"/>
  <c r="G48" i="31"/>
  <c r="A49" i="31"/>
  <c r="H48" i="31"/>
  <c r="E48" i="31"/>
  <c r="C48" i="31"/>
  <c r="B49" i="31"/>
  <c r="F49" i="31"/>
  <c r="C49" i="31"/>
  <c r="H49" i="31"/>
  <c r="A50" i="31"/>
  <c r="G49" i="31"/>
  <c r="E49" i="31"/>
  <c r="D49" i="31"/>
  <c r="A51" i="31"/>
  <c r="F50" i="31"/>
  <c r="H50" i="31"/>
  <c r="D50" i="31"/>
  <c r="E50" i="31"/>
  <c r="B50" i="31"/>
  <c r="C50" i="31"/>
  <c r="G50" i="31"/>
  <c r="H51" i="31"/>
  <c r="F51" i="31"/>
  <c r="D51" i="31"/>
  <c r="C51" i="31"/>
  <c r="B51" i="31"/>
  <c r="G51" i="31"/>
  <c r="E51" i="31"/>
  <c r="A52" i="31"/>
  <c r="D52" i="31"/>
  <c r="G52" i="31"/>
  <c r="C52" i="31"/>
  <c r="E52" i="31"/>
  <c r="B52" i="31"/>
  <c r="H52" i="31"/>
  <c r="A53" i="31"/>
  <c r="F52" i="31"/>
  <c r="B53" i="31"/>
  <c r="D53" i="31"/>
  <c r="C53" i="31"/>
  <c r="H53" i="31"/>
  <c r="A54" i="31"/>
  <c r="G53" i="31"/>
  <c r="E53" i="31"/>
  <c r="F53" i="31"/>
  <c r="A55" i="31"/>
  <c r="G54" i="31"/>
  <c r="H54" i="31"/>
  <c r="F54" i="31"/>
  <c r="E54" i="31"/>
  <c r="B54" i="31"/>
  <c r="C54" i="31"/>
  <c r="D54" i="31"/>
  <c r="H55" i="31"/>
  <c r="B55" i="31"/>
  <c r="C55" i="31"/>
  <c r="F55" i="31"/>
  <c r="E55" i="31"/>
  <c r="A56" i="31"/>
  <c r="D55" i="31"/>
  <c r="G55" i="31"/>
  <c r="D56" i="31"/>
  <c r="F56" i="31"/>
  <c r="G56" i="31"/>
  <c r="B56" i="31"/>
  <c r="E56" i="31"/>
  <c r="C56" i="31"/>
  <c r="A57" i="31"/>
  <c r="H56" i="31"/>
  <c r="B57" i="31"/>
  <c r="F57" i="31"/>
  <c r="H57" i="31"/>
  <c r="C57" i="31"/>
  <c r="A58" i="31"/>
  <c r="D57" i="31"/>
  <c r="G57" i="31"/>
  <c r="E57" i="31"/>
  <c r="C58" i="31"/>
  <c r="F58" i="31"/>
  <c r="A59" i="31"/>
  <c r="D58" i="31"/>
  <c r="H58" i="31"/>
  <c r="G58" i="31"/>
  <c r="E58" i="31"/>
  <c r="B58" i="31"/>
  <c r="G59" i="31"/>
  <c r="E59" i="31"/>
  <c r="C59" i="31"/>
  <c r="B59" i="31"/>
  <c r="H59" i="31"/>
  <c r="A60" i="31"/>
  <c r="D59" i="31"/>
  <c r="F59" i="31"/>
  <c r="D60" i="31"/>
  <c r="F60" i="31"/>
  <c r="C60" i="31"/>
  <c r="E60" i="31"/>
  <c r="H60" i="31"/>
  <c r="A61" i="31"/>
  <c r="G60" i="31"/>
  <c r="B60" i="31"/>
  <c r="B61" i="31"/>
  <c r="D61" i="31"/>
  <c r="G61" i="31"/>
  <c r="C61" i="31"/>
  <c r="F61" i="31"/>
  <c r="H61" i="31"/>
  <c r="A62" i="31"/>
  <c r="E61" i="31"/>
  <c r="A63" i="31"/>
  <c r="F62" i="31"/>
  <c r="E62" i="31"/>
  <c r="G62" i="31"/>
  <c r="H62" i="31"/>
  <c r="B62" i="31"/>
  <c r="C62" i="31"/>
  <c r="D62" i="31"/>
  <c r="G63" i="31"/>
  <c r="E63" i="31"/>
  <c r="C63" i="31"/>
  <c r="A64" i="31"/>
  <c r="H63" i="31"/>
  <c r="F63" i="31"/>
  <c r="D63" i="31"/>
  <c r="B63" i="31"/>
  <c r="D64" i="31"/>
  <c r="E64" i="31"/>
  <c r="F64" i="31"/>
  <c r="B64" i="31"/>
  <c r="H64" i="31"/>
  <c r="C64" i="31"/>
  <c r="G64" i="31"/>
  <c r="A65" i="31"/>
  <c r="G65" i="31"/>
  <c r="C65" i="31"/>
  <c r="F65" i="31"/>
  <c r="H65" i="31"/>
  <c r="D65" i="31"/>
  <c r="B65" i="31"/>
  <c r="E65" i="31"/>
</calcChain>
</file>

<file path=xl/comments1.xml><?xml version="1.0" encoding="utf-8"?>
<comments xmlns="http://schemas.openxmlformats.org/spreadsheetml/2006/main">
  <authors>
    <author>TRUONG3A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TRUONG3A:</t>
        </r>
        <r>
          <rPr>
            <sz val="9"/>
            <color indexed="81"/>
            <rFont val="Tahoma"/>
            <family val="2"/>
          </rPr>
          <t xml:space="preserve">
Chọn học sinh cần in.</t>
        </r>
      </text>
    </comment>
    <comment ref="M7" authorId="0" shapeId="0">
      <text>
        <r>
          <rPr>
            <b/>
            <sz val="9"/>
            <color indexed="81"/>
            <rFont val="Tahoma"/>
            <family val="2"/>
          </rPr>
          <t>TRUONG3A:</t>
        </r>
        <r>
          <rPr>
            <sz val="9"/>
            <color indexed="81"/>
            <rFont val="Tahoma"/>
            <family val="2"/>
          </rPr>
          <t xml:space="preserve">
Nhập ngày in phiếu điểm
Nếu lấy ngày hiện tại thì để trống.</t>
        </r>
      </text>
    </comment>
  </commentList>
</comments>
</file>

<file path=xl/comments2.xml><?xml version="1.0" encoding="utf-8"?>
<comments xmlns="http://schemas.openxmlformats.org/spreadsheetml/2006/main">
  <authors>
    <author>TRUONG3A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>Chọn môn để xem điểm</t>
        </r>
      </text>
    </comment>
  </commentList>
</comments>
</file>

<file path=xl/sharedStrings.xml><?xml version="1.0" encoding="utf-8"?>
<sst xmlns="http://schemas.openxmlformats.org/spreadsheetml/2006/main" count="16094" uniqueCount="801">
  <si>
    <t>STT</t>
  </si>
  <si>
    <t>Họ và Tên học sinh</t>
  </si>
  <si>
    <t>Ngày sinh</t>
  </si>
  <si>
    <t>Điểm</t>
  </si>
  <si>
    <t>HK I</t>
  </si>
  <si>
    <t xml:space="preserve">Nữ </t>
  </si>
  <si>
    <t>x</t>
  </si>
  <si>
    <t>Lớp</t>
  </si>
  <si>
    <t>TB</t>
  </si>
  <si>
    <t>D.Tộc</t>
  </si>
  <si>
    <t>Học kỳ I</t>
  </si>
  <si>
    <t>Giỏi</t>
  </si>
  <si>
    <t>Khá</t>
  </si>
  <si>
    <t>Trung bình</t>
  </si>
  <si>
    <t>Yếu</t>
  </si>
  <si>
    <t>Kém</t>
  </si>
  <si>
    <t>Thống kê điểm</t>
  </si>
  <si>
    <t>Nam</t>
  </si>
  <si>
    <t>Nữ</t>
  </si>
  <si>
    <t>CỘNG HÒA XÃ HỘI CHỦ NGHĨA VIỆT NAM</t>
  </si>
  <si>
    <t>Họ và tên học sinh</t>
  </si>
  <si>
    <t>ĐIỂM TRUNG BÌNH  VÀ ĐÁNH GIÁ BẰNG NHẬN XÉT CÁC MÔN</t>
  </si>
  <si>
    <t>Quy đổi</t>
  </si>
  <si>
    <t>TB cm HKI</t>
  </si>
  <si>
    <t>XẾP LOẠI</t>
  </si>
  <si>
    <t>Danh hiệu</t>
  </si>
  <si>
    <t>Toán</t>
  </si>
  <si>
    <t>Vật lí</t>
  </si>
  <si>
    <t>Hóa học</t>
  </si>
  <si>
    <t>Sinh học</t>
  </si>
  <si>
    <t>Ngữ văn</t>
  </si>
  <si>
    <t>Lịch sử</t>
  </si>
  <si>
    <t>Địa lí</t>
  </si>
  <si>
    <t>Anh văn</t>
  </si>
  <si>
    <t>Công nghệ</t>
  </si>
  <si>
    <t>Thể dục</t>
  </si>
  <si>
    <t>Học lực</t>
  </si>
  <si>
    <t>Hạnh kiểm</t>
  </si>
  <si>
    <t>Tốt</t>
  </si>
  <si>
    <t>Tb</t>
  </si>
  <si>
    <t>8 =&gt;</t>
  </si>
  <si>
    <t>6.5 =&gt;</t>
  </si>
  <si>
    <t>5 =&gt;</t>
  </si>
  <si>
    <t>3.5 =&gt;</t>
  </si>
  <si>
    <t>0 =&gt;</t>
  </si>
  <si>
    <t>Chọn môn</t>
  </si>
  <si>
    <t>nhập điểm</t>
  </si>
  <si>
    <t>dd/mm/yyyy</t>
  </si>
  <si>
    <t>D.tộc</t>
  </si>
  <si>
    <t>Tổng</t>
  </si>
  <si>
    <t>B.trú</t>
  </si>
  <si>
    <t>SL</t>
  </si>
  <si>
    <t>Cộng</t>
  </si>
  <si>
    <t>CĐ</t>
  </si>
  <si>
    <t>Đạt</t>
  </si>
  <si>
    <t>Lớp :</t>
  </si>
  <si>
    <t>GVQN :</t>
  </si>
  <si>
    <t>Tỉnh, TP :</t>
  </si>
  <si>
    <t>Năm học</t>
  </si>
  <si>
    <t>Môn</t>
  </si>
  <si>
    <t>GDCD</t>
  </si>
  <si>
    <t>Tên trường:</t>
  </si>
  <si>
    <t>2019 - 2020</t>
  </si>
  <si>
    <t>Họ và Tên</t>
  </si>
  <si>
    <t>Môn:</t>
  </si>
  <si>
    <t>Lớp:</t>
  </si>
  <si>
    <t>Giáo viên:</t>
  </si>
  <si>
    <t>Ghi</t>
  </si>
  <si>
    <t>chú</t>
  </si>
  <si>
    <t>Giáo viên bộ môn</t>
  </si>
  <si>
    <t>Giáo viên Quản nhiệm</t>
  </si>
  <si>
    <t>Hạnh kiểm HKI</t>
  </si>
  <si>
    <t>MÔN HỌC</t>
  </si>
  <si>
    <t>HKI</t>
  </si>
  <si>
    <t>Số cột điểm</t>
  </si>
  <si>
    <t xml:space="preserve">Họ và tên học sinh: </t>
  </si>
  <si>
    <t>………………</t>
  </si>
  <si>
    <r>
      <t xml:space="preserve">- Ví dụ: Điểm lẻ 8.25 thì nhập </t>
    </r>
    <r>
      <rPr>
        <b/>
        <sz val="12"/>
        <color theme="1"/>
        <rFont val="Times New Roman"/>
        <family val="1"/>
      </rPr>
      <t xml:space="preserve">8.3
</t>
    </r>
    <r>
      <rPr>
        <sz val="12"/>
        <color theme="1"/>
        <rFont val="Times New Roman"/>
        <family val="1"/>
      </rPr>
      <t xml:space="preserve"> (không nhập 8.25)</t>
    </r>
  </si>
  <si>
    <t>Chọn học sinh để in PĐ</t>
  </si>
  <si>
    <t>Chọn người ký phiếu điểm</t>
  </si>
  <si>
    <t>Hàng 1</t>
  </si>
  <si>
    <t>Hàng 2</t>
  </si>
  <si>
    <t>Hàng 4</t>
  </si>
  <si>
    <t>Nếu muốn in phần nhận xét</t>
  </si>
  <si>
    <t>vào phiếu điểm thì Giáo viên</t>
  </si>
  <si>
    <t>Quản nhiệm ghi nhận xét vào</t>
  </si>
  <si>
    <t>các hàng tương ứng DiemHKI.</t>
  </si>
  <si>
    <t>PHẦN GHI NHẬN XÉT HỌC SINH</t>
  </si>
  <si>
    <t>Hàng 3</t>
  </si>
  <si>
    <t>Học lực:</t>
  </si>
  <si>
    <t>Hạnh kiểm:</t>
  </si>
  <si>
    <t>Số ngày nghỉ:</t>
  </si>
  <si>
    <t>Có phép:</t>
  </si>
  <si>
    <t>Không phép:</t>
  </si>
  <si>
    <t>Nhận xét của Giáo viên Quản nhiệm:</t>
  </si>
  <si>
    <t>&lt;-</t>
  </si>
  <si>
    <t xml:space="preserve">Giáo viên bộ môn </t>
  </si>
  <si>
    <t>HK II</t>
  </si>
  <si>
    <t>Cả năm</t>
  </si>
  <si>
    <t>Học kỳ II</t>
  </si>
  <si>
    <t xml:space="preserve">Kiểm tra HK II </t>
  </si>
  <si>
    <t>Nếu Giáo viên muốn in phiếu điểm</t>
  </si>
  <si>
    <t>của học sinh nghỉ học thì ghi lại lớp</t>
  </si>
  <si>
    <t>vào cột C, Sheet DiemHKI.</t>
  </si>
  <si>
    <t>CN</t>
  </si>
  <si>
    <t>TB cm HKII</t>
  </si>
  <si>
    <t xml:space="preserve">Học lực HKII </t>
  </si>
  <si>
    <t>Hạnh kiểm HKII</t>
  </si>
  <si>
    <t>HSTT</t>
  </si>
  <si>
    <t>HSG</t>
  </si>
  <si>
    <t>ĐIỂM TRUNG BÌNH VÀ ĐÁNH GIÁ BẰNG NHẬN XÉT CÁC MÔN</t>
  </si>
  <si>
    <t>ĐIỂM TRUNG BÌNH</t>
  </si>
  <si>
    <t>XẾP LOẠI HỌC LỰC</t>
  </si>
  <si>
    <t>XẾP LOẠI HẠNH KIỂM</t>
  </si>
  <si>
    <t>DANH HIỆU CN</t>
  </si>
  <si>
    <t>theo sĩ số lớp</t>
  </si>
  <si>
    <t>Lưu ý việc nhập điểm</t>
  </si>
  <si>
    <t>Danh hiệu:</t>
  </si>
  <si>
    <t>Chọn bản in</t>
  </si>
  <si>
    <t/>
  </si>
  <si>
    <t>Tin học</t>
  </si>
  <si>
    <t>GDQP-AN</t>
  </si>
  <si>
    <t>Nghề PT</t>
  </si>
  <si>
    <t>I. XẾP LOẠI HAI MẶT GIÁO DỤC HỌC KỲ I (Ghi bằng số liệu):</t>
  </si>
  <si>
    <t>Tổng số
học sinh</t>
  </si>
  <si>
    <t>Học tập</t>
  </si>
  <si>
    <t>Ghi chú</t>
  </si>
  <si>
    <t>T.Bình</t>
  </si>
  <si>
    <t>T. Bình</t>
  </si>
  <si>
    <t>T. Số</t>
  </si>
  <si>
    <t>II. ĐIỂM TRUNG BÌNH MÔN HỌC KỲ I (Ghi bằng số liệu):</t>
  </si>
  <si>
    <t>Khá</t>
  </si>
  <si>
    <t>Yếu</t>
  </si>
  <si>
    <t>Kém</t>
  </si>
  <si>
    <t>Đạt
(Đ)</t>
  </si>
  <si>
    <t>Chưa đạt
(CĐ)</t>
  </si>
  <si>
    <t>GDQP</t>
  </si>
  <si>
    <t>III. ĐIỂM KIỂM TRA MÔN HỌC KỲ I (Ghi bằng số liệu):</t>
  </si>
  <si>
    <t>Giáo viên quản nhiệm</t>
  </si>
  <si>
    <t xml:space="preserve">Ghi chú: </t>
  </si>
  <si>
    <t>(Ký &amp; ghi rõ họ tên)</t>
  </si>
  <si>
    <t>- Xếp loại học lực như sau:</t>
  </si>
  <si>
    <t>Giỏi: 8đ --&gt; 10 đ  ;  Khá: 6,5đ --&gt; 7,9đ</t>
  </si>
  <si>
    <t>Yếu: 3,5đ --&gt; 4,9đ  ; Kém: Các trường hợp còn lại</t>
  </si>
  <si>
    <t>- Gởi bản chính này về phòng Học vụ cơ sở 1 đúng ngày quy định.</t>
  </si>
  <si>
    <t xml:space="preserve"> Họ và tên: </t>
  </si>
  <si>
    <t>Ngày sinh:</t>
  </si>
  <si>
    <t>TRUNG BÌNH MÔN HK I</t>
  </si>
  <si>
    <t>GHI CHÚ</t>
  </si>
  <si>
    <t>TRUNG BÌNH HK I</t>
  </si>
  <si>
    <t>Xếp loại</t>
  </si>
  <si>
    <t>Học lực</t>
  </si>
  <si>
    <t>Hạnh kiểm</t>
  </si>
  <si>
    <t>Danh hiệu thi đua</t>
  </si>
  <si>
    <t>Hiệu trưởng</t>
  </si>
  <si>
    <t>2020 - 2021</t>
  </si>
  <si>
    <t>2021 - 2022</t>
  </si>
  <si>
    <t>2022 - 2023</t>
  </si>
  <si>
    <t>2023 - 2024</t>
  </si>
  <si>
    <t>2024 - 2025</t>
  </si>
  <si>
    <t>2025 - 2026</t>
  </si>
  <si>
    <t>2026 - 2027</t>
  </si>
  <si>
    <t>2027 - 2028</t>
  </si>
  <si>
    <t>2028 - 2029</t>
  </si>
  <si>
    <t>2029 - 2030</t>
  </si>
  <si>
    <t>TP. Hồ Chí Minh</t>
  </si>
  <si>
    <t>TH - THCS - THPT LÊ THÁNH TÔNG</t>
  </si>
  <si>
    <t>THCS VÀ THPT NGUYỄN KHUYẾN</t>
  </si>
  <si>
    <t>Tỉnh Bình Dương</t>
  </si>
  <si>
    <t>Nơi sinh</t>
  </si>
  <si>
    <t>8    =&gt;</t>
  </si>
  <si>
    <t>5    =&gt;</t>
  </si>
  <si>
    <t>0    =&gt;</t>
  </si>
  <si>
    <t>Ngày in phiếu điểm</t>
  </si>
  <si>
    <t>Định dạng ngày dd/mm/yyyy</t>
  </si>
  <si>
    <t>GVQN ghi nhận xét tương ứng với 4 hàng trong phiếu điểm.</t>
  </si>
  <si>
    <t>HKII</t>
  </si>
  <si>
    <t>Học lực cả năm:</t>
  </si>
  <si>
    <t>Hạnh kiểm cả năm:</t>
  </si>
  <si>
    <t>Độc lập - Tự do - Hạnh phúc</t>
  </si>
  <si>
    <t xml:space="preserve">Học lực 
cả năm </t>
  </si>
  <si>
    <t>Hạnh kiểm
cả năm</t>
  </si>
  <si>
    <t>TB cm Cả năm</t>
  </si>
  <si>
    <t>II.  ĐIỂM TRUNG BÌNH MÔN HỌC KỲ II VÀ CẢ NĂM (Ghi bằng số liệu):</t>
  </si>
  <si>
    <t>HK2</t>
  </si>
  <si>
    <t>III. KIỂM TRA MÔN HỌC KỲ II (Ghi bằng số liệu):</t>
  </si>
  <si>
    <t>I.  XẾP LOẠI HAI MẶT GIÁO DỤC HỌC KỲ II VÀ CẢ NĂM: (Ghi bằng số liệu):</t>
  </si>
  <si>
    <t>các hàng tương ứng DiemHKII.</t>
  </si>
  <si>
    <t>TB Học kỳ I</t>
  </si>
  <si>
    <t>TB Học kỳ II</t>
  </si>
  <si>
    <t>TB Cả năm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</si>
  <si>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</si>
  <si>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</si>
  <si>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</si>
  <si>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</si>
  <si>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</si>
  <si>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</si>
  <si>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</si>
  <si>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</si>
  <si>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</si>
  <si>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</si>
  <si>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</si>
  <si>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</si>
  <si>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</si>
  <si>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</si>
  <si>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Điểm trung bình</t>
  </si>
  <si>
    <t>Xếp loại học lực</t>
  </si>
  <si>
    <t>Xếp loại hạnh kiểm</t>
  </si>
  <si>
    <t>15</t>
  </si>
  <si>
    <t>16</t>
  </si>
  <si>
    <t>17</t>
  </si>
  <si>
    <t>18</t>
  </si>
  <si>
    <t xml:space="preserve">    Họ và tên học sinh:  </t>
  </si>
  <si>
    <t xml:space="preserve">    Sinh ngày: </t>
  </si>
  <si>
    <t>DANH HIỆU HKI</t>
  </si>
  <si>
    <t>DANH HIỆU HKII</t>
  </si>
  <si>
    <t xml:space="preserve">ĐIỂM TRUNG BÌNH CÁC MÔN </t>
  </si>
  <si>
    <t>ĐTB</t>
  </si>
  <si>
    <t>Khai báo thông tin Trường, Lớp, Giáo viên</t>
  </si>
  <si>
    <t xml:space="preserve">   Nhận xét của Giáo viên Quản nhiệm:</t>
  </si>
  <si>
    <t>&lt;=</t>
  </si>
  <si>
    <t>Lưu ý:</t>
  </si>
  <si>
    <t>MÔN TOÁN</t>
  </si>
  <si>
    <t>Kiểm tra</t>
  </si>
  <si>
    <t>TB Môn</t>
  </si>
  <si>
    <t>Điểm thường xuyên</t>
  </si>
  <si>
    <t>Trung 
bình
HKI</t>
  </si>
  <si>
    <t>Kiểm 
tra
HKI</t>
  </si>
  <si>
    <t>Kiểm tra HKI</t>
  </si>
  <si>
    <t>Trung bình HKI</t>
  </si>
  <si>
    <t>giữa kỳ</t>
  </si>
  <si>
    <t>2. Nếu copy cột điểm từ file khác, Thầy Cô vui lòng dán bằng Pate values.</t>
  </si>
  <si>
    <t>MÔN VẬT LÍ</t>
  </si>
  <si>
    <t>MÔN HÓA HỌC</t>
  </si>
  <si>
    <t>MÔN SINH HỌC</t>
  </si>
  <si>
    <t>MÔN TIN HỌC</t>
  </si>
  <si>
    <t>MÔN NGỮ VĂN</t>
  </si>
  <si>
    <t>MÔN LỊCH SỬ</t>
  </si>
  <si>
    <t>MÔN ĐỊA LÍ</t>
  </si>
  <si>
    <t>MÔN ANH VĂN</t>
  </si>
  <si>
    <t>MÔN GDCD</t>
  </si>
  <si>
    <t>MÔN CÔNG NGHỆ</t>
  </si>
  <si>
    <t>Đánh giá thường xuyên</t>
  </si>
  <si>
    <t>Đánh giá</t>
  </si>
  <si>
    <t>MÔN THỂ DỤC</t>
  </si>
  <si>
    <t>MÔN GDQP-AN</t>
  </si>
  <si>
    <t>MÔN NGHỀ PHỔ THÔNG</t>
  </si>
  <si>
    <t>Nhận xét</t>
  </si>
  <si>
    <t xml:space="preserve">TP. Hồ Chí Minh, ngày ……  tháng ……  năm 20…… </t>
  </si>
  <si>
    <t xml:space="preserve">Học lực
HKI </t>
  </si>
  <si>
    <t>Điểm TB các môn HKI:</t>
  </si>
  <si>
    <t>Ghi
chú</t>
  </si>
  <si>
    <t>Các bước thực hiện:</t>
  </si>
  <si>
    <t>2. Chọn tỉnh, thành phố, chọn trường, cơ sở.</t>
  </si>
  <si>
    <t>3. Nhập tên Giáo viên bộ môn.</t>
  </si>
  <si>
    <t>5. Nhập điểm.</t>
  </si>
  <si>
    <t>TP. Hồ Chí Minh, ngày …...  tháng …… năm 20……</t>
  </si>
  <si>
    <t xml:space="preserve">Trung bình 
HK II </t>
  </si>
  <si>
    <t>Trung bình
 cả năm</t>
  </si>
  <si>
    <t>MÔN NGHỀ PT</t>
  </si>
  <si>
    <t>Kiểm tra
 HK II</t>
  </si>
  <si>
    <t>Trung bình
HKI và Cả năm</t>
  </si>
  <si>
    <t xml:space="preserve">TP. Hồ Chí Minh, ngày ……   tháng ……  năm 20…… </t>
  </si>
  <si>
    <t>5. Nếu cần hỗ trợ, Thầy Cô có thể liên hệ Phòng Học vụ hoặc SĐT 0906889943.</t>
  </si>
  <si>
    <t>Ví dụ: 6.5   hoặc   6.7</t>
  </si>
  <si>
    <t>không dùng phân cách dấu phẩy (,) như 6,5 hay 6,7</t>
  </si>
  <si>
    <t>1. Các ô có tô màu là các ô có chứa công thức, Thầy Cô không nhập dữ liệu vào các ô này.</t>
  </si>
  <si>
    <t>4. Thầy Cô cần bật chức năng chạy Macro trong Excel để chạy được các chức năng trong file điểm.</t>
  </si>
  <si>
    <t>3. File điểm yêu cầu máy tính cài phân cách thập phân bằng dấu chấm (.)</t>
  </si>
  <si>
    <t>Điểm TB các môn:</t>
  </si>
  <si>
    <t xml:space="preserve">…………… </t>
  </si>
  <si>
    <t>Số cột điểm:</t>
  </si>
  <si>
    <t>DTB</t>
  </si>
  <si>
    <t>HL</t>
  </si>
  <si>
    <t>HK</t>
  </si>
  <si>
    <t>DH</t>
  </si>
  <si>
    <t>4. Vào Sheet DiemHKI và DiemHKII nhập thông tin học sinh.</t>
  </si>
  <si>
    <t>1. Thầy/Cô nhập thông tin Giáo viên Quản nhiệm, chọn năm học.</t>
  </si>
  <si>
    <t>cuối kỳ</t>
  </si>
  <si>
    <t>Xếp hạng</t>
  </si>
  <si>
    <t>Điểm bị khống chế</t>
  </si>
  <si>
    <t>Môn khác</t>
  </si>
  <si>
    <t>Toán, Văn, Anh</t>
  </si>
  <si>
    <t>Khối 10</t>
  </si>
  <si>
    <t>Khối 11</t>
  </si>
  <si>
    <t>Khối 12</t>
  </si>
  <si>
    <t xml:space="preserve"> 4</t>
  </si>
  <si>
    <t>Môn học</t>
  </si>
  <si>
    <t>KIỂM TRA SỐ CỘT ĐIỂM</t>
  </si>
  <si>
    <t>Điểm
giữa kỳ</t>
  </si>
  <si>
    <t>Điểm
cuối kỳ</t>
  </si>
  <si>
    <t>Điểm
thường xuyên</t>
  </si>
  <si>
    <t>Sĩ số HKI:</t>
  </si>
  <si>
    <t>Sĩ số HKII:</t>
  </si>
  <si>
    <t>Số cột điểm thường xuyên</t>
  </si>
  <si>
    <t>Nhận xét học kỳ I</t>
  </si>
  <si>
    <t>Nhận xét học kỳ II</t>
  </si>
  <si>
    <t>Nhận xét cả năm</t>
  </si>
  <si>
    <t>Điểm TB
 Học kỳ I</t>
  </si>
  <si>
    <t>Điểm TB
 Học kỳ II</t>
  </si>
  <si>
    <t>Điểm TB
Cả năm</t>
  </si>
  <si>
    <t>Phạm vi</t>
  </si>
  <si>
    <t>Mẫu nhận xét 1</t>
  </si>
  <si>
    <t>Mẫu nhận xét 2</t>
  </si>
  <si>
    <t>Mẫu nhận xét 3</t>
  </si>
  <si>
    <t>&gt;=9</t>
  </si>
  <si>
    <t>&gt;=8.5</t>
  </si>
  <si>
    <t>Ngoan, chăm chỉ và rất cố gắng.</t>
  </si>
  <si>
    <t>&gt;=8</t>
  </si>
  <si>
    <t>&gt;=7.5</t>
  </si>
  <si>
    <t>&gt;=7</t>
  </si>
  <si>
    <t>&gt;=6.5</t>
  </si>
  <si>
    <t>&gt;=6</t>
  </si>
  <si>
    <t>&gt;=5.5</t>
  </si>
  <si>
    <t>&gt;=5</t>
  </si>
  <si>
    <t>BẢNG ĐÁNH GIÁ NHẬN XÉT MÔN TOÁN</t>
  </si>
  <si>
    <t>&gt;=4.5</t>
  </si>
  <si>
    <t>&gt;=4</t>
  </si>
  <si>
    <t>&gt;=3.5</t>
  </si>
  <si>
    <t>&gt;=3</t>
  </si>
  <si>
    <t>&gt;=2.5</t>
  </si>
  <si>
    <t>&gt;=2</t>
  </si>
  <si>
    <t>Match</t>
  </si>
  <si>
    <t>Cố lên, sẽ có nhiều cơ hội.</t>
  </si>
  <si>
    <t>Cần tập trung vào công việc học tập.</t>
  </si>
  <si>
    <t>Có cố gắng, cần có phương pháp học tập tốt hơn.</t>
  </si>
  <si>
    <t>Học giỏi, năng động và sáng tạo trong học tập.</t>
  </si>
  <si>
    <t>Rất cố gắng, đáng khen.</t>
  </si>
  <si>
    <t>Tinh thần học tập tốt, năng động.</t>
  </si>
  <si>
    <t>Học khá, có sáng tạo và năng động.</t>
  </si>
  <si>
    <t>Cố gắng hơn nữa sẽ tiến bộ.</t>
  </si>
  <si>
    <t>Khá, cần rèn luyện phương pháp học tập.</t>
  </si>
  <si>
    <t>Cần sắp xếp công việc để tập trung vào việc học.</t>
  </si>
  <si>
    <t>Phải nỗ lực nhiều hơn.</t>
  </si>
  <si>
    <t>Cần phải cố gắng nhiều hơn.</t>
  </si>
  <si>
    <t>Được, cần tập trung hơn.</t>
  </si>
  <si>
    <t>Cần rèn luyện nhiều hơn trong học tập.</t>
  </si>
  <si>
    <t>Có tiến bộ, cần cố gắng hơn.</t>
  </si>
  <si>
    <t>Học giỏi, chăm ngoan.</t>
  </si>
  <si>
    <t>Chăm chỉ, năng động và sáng tạo.</t>
  </si>
  <si>
    <t>Rất ngoan, cố gắng có hiệu quả.</t>
  </si>
  <si>
    <t>Giỏi, có nhiều tiến bộ trong học tập.</t>
  </si>
  <si>
    <t>Cần cố gắng hơn sẽ đạt kết quả cao.</t>
  </si>
  <si>
    <t>Có cố gắng, cần tập trung sẽ hiệu quả hơn.</t>
  </si>
  <si>
    <t>Học khá, cần rèn luyện về chuyên cần.</t>
  </si>
  <si>
    <t>Cần khắc phục, rèn luyện hơn trong học tập.</t>
  </si>
  <si>
    <t>Tạm được.</t>
  </si>
  <si>
    <t>BẢNG ĐÁNH GIÁ NHẬN XÉT MÔN VẬT LÍ</t>
  </si>
  <si>
    <t>BẢNG ĐÁNH GIÁ NHẬN XÉT MÔN HÓA HỌC</t>
  </si>
  <si>
    <t>BẢNG ĐÁNH GIÁ NHẬN XÉT MÔN SINH HỌC</t>
  </si>
  <si>
    <t>BẢNG ĐÁNH GIÁ NHẬN XÉT MÔN TIN HỌC</t>
  </si>
  <si>
    <t>BẢNG ĐÁNH GIÁ NHẬN XÉT MÔN NGỮ VĂN</t>
  </si>
  <si>
    <t>BẢNG ĐÁNH GIÁ NHẬN XÉT MÔN LỊCH SỬ</t>
  </si>
  <si>
    <t>BẢNG ĐÁNH GIÁ NHẬN XÉT MÔN ĐỊA LÍ</t>
  </si>
  <si>
    <t>BẢNG ĐÁNH GIÁ NHẬN XÉT MÔN ANH VĂN</t>
  </si>
  <si>
    <t>BẢNG ĐÁNH GIÁ NHẬN XÉT MÔN GDCD</t>
  </si>
  <si>
    <t>BẢNG ĐÁNH GIÁ NHẬN XÉT MÔN CÔNG NGHỆ</t>
  </si>
  <si>
    <t>BẢNG ĐÁNH GIÁ NHẬN XÉT MÔN THỂ DỤC</t>
  </si>
  <si>
    <t>BẢNG ĐÁNH GIÁ NHẬN XÉT MÔN GDQP-AN</t>
  </si>
  <si>
    <t>BẢNG ĐÁNH GIÁ NHẬN XÉT MÔN NGHỀ PHỔ THÔNG</t>
  </si>
  <si>
    <t>Điểm TB
Học kỳ I</t>
  </si>
  <si>
    <t>Nhận xét cả năm học</t>
  </si>
  <si>
    <t>Ngày in, định dạng dd/mm/yyyy:</t>
  </si>
  <si>
    <t xml:space="preserve"> NHẬN XÉT MÔN TOÁN</t>
  </si>
  <si>
    <t xml:space="preserve"> NHẬN XÉT MÔN VẬT LÝ</t>
  </si>
  <si>
    <t xml:space="preserve"> NHẬN XÉT MÔN HÓA HỌC</t>
  </si>
  <si>
    <t xml:space="preserve"> NHẬN XÉT MÔN SINH HỌC</t>
  </si>
  <si>
    <t xml:space="preserve"> NHẬN XÉT MÔN TIN HỌC</t>
  </si>
  <si>
    <t xml:space="preserve"> NHẬN XÉT MÔN NGỮ VĂN</t>
  </si>
  <si>
    <t xml:space="preserve"> NHẬN XÉT MÔN LỊCH SỬ</t>
  </si>
  <si>
    <t xml:space="preserve"> NHẬN XÉT MÔN ĐỊA LÍ</t>
  </si>
  <si>
    <t xml:space="preserve"> NHẬN XÉT MÔN ANH VĂN</t>
  </si>
  <si>
    <t xml:space="preserve"> NHẬN XÉT MÔN GDCD</t>
  </si>
  <si>
    <t xml:space="preserve"> NHẬN XÉT MÔN CÔNG NGHỆ</t>
  </si>
  <si>
    <t xml:space="preserve"> NHẬN XÉT MÔN THỂ DỤC</t>
  </si>
  <si>
    <t xml:space="preserve"> NHẬN XÉT MÔN GDQP-AN</t>
  </si>
  <si>
    <t xml:space="preserve"> NHẬN XÉT MÔN NGHỀ PHỔ THÔNG</t>
  </si>
  <si>
    <t>HIỆU TRƯỞNG</t>
  </si>
  <si>
    <t>Hiệu trưởng:</t>
  </si>
  <si>
    <t>STT 2. Trang Phương An</t>
  </si>
  <si>
    <t>%</t>
  </si>
  <si>
    <t>Em chăm chỉ, chuyên cần, rất tích cực, rất đáng khen.</t>
  </si>
  <si>
    <t>Em học giỏi, chăm ngoan, tính tự giác cao, rất tốt.</t>
  </si>
  <si>
    <t>Em ngoan, tích cực, năng động, rất đáng khen.</t>
  </si>
  <si>
    <t>Em siêng năng, chủ động trong học tập, kết quả tốt.</t>
  </si>
  <si>
    <t>Em học tập tích cực, ngoan, luôn cố gắng, đáng khen.</t>
  </si>
  <si>
    <t>Em có tinh thần học tích cực, luôn phấn đấu, đáng khen.</t>
  </si>
  <si>
    <t>Em chăm học, luôn cố gắng nên nắm vững kiến thức.</t>
  </si>
  <si>
    <t>Em chăm chỉ, ngoan, luôn chú ý nghe giảng, tốt.</t>
  </si>
  <si>
    <t>Em có tích cực, cần cố gắng hơn nữa.</t>
  </si>
  <si>
    <t>Em ngoan, cần chú ý hơn nữa, kết quả sẽ tốt hơn.</t>
  </si>
  <si>
    <t>Em chăm, chuyên cần, cần phát huy.</t>
  </si>
  <si>
    <t>Em tích cực xây dựng bài, ngoan, đáng khen.</t>
  </si>
  <si>
    <t>Em có cố gắng, cần tập trung hơn.</t>
  </si>
  <si>
    <t>Em có tích cực học tập, cần cẩn thận hơn khi làm bài.</t>
  </si>
  <si>
    <t>Em học khá, chăm ngoan.</t>
  </si>
  <si>
    <t>Em học khá, tuy nhiên cần tích cực hơn.</t>
  </si>
  <si>
    <t>Em có chăm chỉ, ngoan, cần cố gắng hơn.</t>
  </si>
  <si>
    <t>Trách nhiệm em chưa cao trong học tập, vẫn có tiến bộ.</t>
  </si>
  <si>
    <t>Em học chăm, còn chậm, đã có cố gắng.</t>
  </si>
  <si>
    <t>Ngoan, cần tích cực hơn.</t>
  </si>
  <si>
    <t>Chưa tích cực lắm trong học tập, em học trung bình.</t>
  </si>
  <si>
    <t>Ngoan, chăm nhưng kết quả chưa cao.</t>
  </si>
  <si>
    <t>Em có trách nhiệm trong học tập, chưa tiến bộ.</t>
  </si>
  <si>
    <t>Ngoan, cần cố gắng nhiều.</t>
  </si>
  <si>
    <t>Chăm, em cần học tích cực hơn.</t>
  </si>
  <si>
    <t>Em có ý thức học nhưng khả năng đạt trung bình.</t>
  </si>
  <si>
    <t>Học giỏi, thông minh, cần phát huy.</t>
  </si>
  <si>
    <t>Kiến thức vững, tự học tốt, ngoan.</t>
  </si>
  <si>
    <t>Kiến thức vững, sáng tạo, tự học tốt.</t>
  </si>
  <si>
    <t>Học giỏi, ngoan, chuyên cần.</t>
  </si>
  <si>
    <t>Kiến thức vững, ngoan, tự học tốt.</t>
  </si>
  <si>
    <t>Kiến thức vững, chăm ngoan.</t>
  </si>
  <si>
    <t>Học giỏi, chuyên cần.</t>
  </si>
  <si>
    <t>Học giỏi, cầu tiến.</t>
  </si>
  <si>
    <t>Học giỏi, ý thức tốt.</t>
  </si>
  <si>
    <t>Học khá, rất tiến bộ.</t>
  </si>
  <si>
    <t>Ngoan, chăm, tiến bộ.</t>
  </si>
  <si>
    <t>Chăm chỉ, học khá, cầu tiến.</t>
  </si>
  <si>
    <t>Học khá, có tiến bộ, cần năng động hơn.</t>
  </si>
  <si>
    <t>Học khá, chăm ngoan, cần tích cực hơn.</t>
  </si>
  <si>
    <t>Học khá, cầu tiến, cần mạnh dạn hơn.</t>
  </si>
  <si>
    <t>Có cố gắng, ngoan, cần năng động hơn.</t>
  </si>
  <si>
    <t>Có tiến bộ, ngoan, cần tích cực hơn.</t>
  </si>
  <si>
    <t>Có cố gắng, chăm chỉ, cần năng động hơn.</t>
  </si>
  <si>
    <t>Chăm chỉ, ngoan, cần năng động hơn.</t>
  </si>
  <si>
    <t>Học khá nhưng cần làm bài cẩn thận hơn, ngoan.</t>
  </si>
  <si>
    <t>Có cố gắng, cần tích cực hơn.</t>
  </si>
  <si>
    <t>Ngoan, có cố gắng, cần tự giác hơn trong học tập.</t>
  </si>
  <si>
    <t>Ngoan, có cố gắng, cần chủ động hơn trong học tập.</t>
  </si>
  <si>
    <t>Ngoan, có cố gắng, cần tích cực hơn trong học tập.</t>
  </si>
  <si>
    <t>Có khả năng tự học và tự chủ bản thân, tích cực trong học tập.</t>
  </si>
  <si>
    <t>Tinh thần học tập tốt, năng động, sáng tạo.</t>
  </si>
  <si>
    <t>Có tiến bộ vượt bậc, chủ động trong giờ học, biết kết hợp kiến thức nhiều môn học.</t>
  </si>
  <si>
    <t>Hoàn thành khá tốt nội dung kiến thức bộ môn, cần rèn luyện thêm khả năng tự học.</t>
  </si>
  <si>
    <t>Lắng nghe, tương tác tốt, cần rèn luyện phương pháp tự học hiệu quả hơn.</t>
  </si>
  <si>
    <t>Ngoan, trung thực, cần rèn luyện hơn trong học tập</t>
  </si>
  <si>
    <t>Chăm chỉ, cần điều chỉnh phương pháp tiếp nhận kiến thức hiệu quả hơn.</t>
  </si>
  <si>
    <t>Hoàn thành cơ bản nội dung, yêu cầu của môn học, cần cố gắng hơn nữa.</t>
  </si>
  <si>
    <t>Hoàn thành cơ bản nội dung, yêu cầu của môn học, cần chủ động hơn trong việc học.</t>
  </si>
  <si>
    <t>Cố gắng, chuyên cần hơn trong học tập sẽ có kết quả tốt hơn.</t>
  </si>
  <si>
    <t>Cần chuyên cần hơn trong học tập sẽ có kết quả tốt hơn.</t>
  </si>
  <si>
    <t>Ngoan, chăm chỉ, tư duy tốt.</t>
  </si>
  <si>
    <t>Tạm, phải cố gắng thật nhiều.</t>
  </si>
  <si>
    <t>Có năng khiếu, tư duy nhạy bén, cảm nhận rất tốt văn bản.</t>
  </si>
  <si>
    <t>Học giỏi, chăm chỉ, cảm nhận tốt văn bản.</t>
  </si>
  <si>
    <t>Chủ động, có năng khiếu cảm nhận văn bản, viết văn.</t>
  </si>
  <si>
    <t>Cần tích cực, chủ động hơn.</t>
  </si>
  <si>
    <t>Cần chủ động hơn trong học tập, rèn thêm.</t>
  </si>
  <si>
    <t>Cần cố gắng nâng cao ý thức học tập và rèn luyện.</t>
  </si>
  <si>
    <t>Chăm ngoan, tích cực, chủ động tiếp thu bài học.</t>
  </si>
  <si>
    <t>Tiếp thu bài tốt, ghi nhớ nhanh các sự kiện lịch sử.</t>
  </si>
  <si>
    <t>Chăm học, tích cực phát biểu xây dựng bài.</t>
  </si>
  <si>
    <t>Em có khả năng tư duy, suy luận tốt.</t>
  </si>
  <si>
    <t>Em chăm chỉ, rất tích cực, đáng khen.</t>
  </si>
  <si>
    <t>Có ý thức học tốt, tích cực, năng động trong giờ học.</t>
  </si>
  <si>
    <t>Có năng lực tư duy lịch sử, chủ động tiếp thu bài học.</t>
  </si>
  <si>
    <t>Em ngoan, có nhiều tiến bộ trong học tập.</t>
  </si>
  <si>
    <t>Có thái độ học tập tích cực, rất đáng khen.</t>
  </si>
  <si>
    <t>Có cố gắng, cần chủ động hơn trong giờ học.</t>
  </si>
  <si>
    <t>Em ngoan, cần đầu tư thêm cho việc ôn bài cũ.</t>
  </si>
  <si>
    <t>Để đạt được kết quả cao em cần cố gắng hơn nữa.</t>
  </si>
  <si>
    <t>Em cần tập trung hơn nữa trong giờ học để đạt kết quả cao.</t>
  </si>
  <si>
    <t>Có cố gắng, cần phải ghi nhớ các sự kiện lịch sử.</t>
  </si>
  <si>
    <t>Em có cố gắng, cần tích cực phát biểu trong giờ học.</t>
  </si>
  <si>
    <t>Học khá, cần đầu tư thêm cho việc ôn bài cũ.</t>
  </si>
  <si>
    <t>Học khá, cần chủ động tiếp thu bài học.</t>
  </si>
  <si>
    <t>Cần tích cực tương tác với giáo viên để ghi nhớ bài học.</t>
  </si>
  <si>
    <t>Cố gắng hơn nữa trong học tập và ôn bài.</t>
  </si>
  <si>
    <t>Em cần tích cực rèn luyện, chăm chỉ hơn trong học tập.</t>
  </si>
  <si>
    <t>Em cần tập trung hơn nữa để làm bài đạt kết quả cao.</t>
  </si>
  <si>
    <t>Cần phải cố gắng hơn nữa.</t>
  </si>
  <si>
    <t>Nỗ lực hơn trong học tập môn Sử.</t>
  </si>
  <si>
    <t>Tạm được, cần tập trung ghi nhớ kiến thức môn học.</t>
  </si>
  <si>
    <t>Em cần phải cố gắng thật nhiều.</t>
  </si>
  <si>
    <t>Tạm được, chú ý nhớ các sự kiện lịch sử chính xác.</t>
  </si>
  <si>
    <t>Cần tích cực, cần cố gắng thật nhiều trong giờ học.</t>
  </si>
  <si>
    <t>Em rất ngoan, cố gắng có hiệu quả.</t>
  </si>
  <si>
    <t>Em có tư duy tốt, rất tích cực, giải quyết vấn đề tốt.</t>
  </si>
  <si>
    <t>Em có tư duy tốt, tích cực, vận dụng thực tế tốt.</t>
  </si>
  <si>
    <t>Em ngoan, chăm chỉ và rất cố gắng.</t>
  </si>
  <si>
    <t>Em chủ động giải quyết vấn đề, thảo luận, hợp tác tốt.</t>
  </si>
  <si>
    <t>Em giỏi, có nhiều tiến bộ trong học tập.</t>
  </si>
  <si>
    <t>Em chủ động học tập, thực hành tốt, chăm chỉ.</t>
  </si>
  <si>
    <t>Em chủ động thảo luận, hợp tác tốt, chăm chỉ.</t>
  </si>
  <si>
    <t>Em cần cố gắng hơn, sẽ đạt kết quả cao.</t>
  </si>
  <si>
    <t>Em cần chủ động học tập, chăm chỉ, thảo luận.</t>
  </si>
  <si>
    <t>Em có cố gắng, cần tập trung sẽ hiệu quả hơn.</t>
  </si>
  <si>
    <t>Em cần tập trung chủ động học tập sẽ hiệu quả hơn.</t>
  </si>
  <si>
    <t>Em cần chủ động thảo luận, hợp tác, chăm chỉ hơn.</t>
  </si>
  <si>
    <t>Em học khá, cần rèn luyện, chăm chỉ hơn.</t>
  </si>
  <si>
    <t>Em học khá, cần chủ động học tập.</t>
  </si>
  <si>
    <t>Em cần khắc phục rèn luyện hơn trong học tập.</t>
  </si>
  <si>
    <t>Em cần rèn luyện hơn trong học tập.</t>
  </si>
  <si>
    <t>Em cần chủ động rèn luyện nhiều hơn.</t>
  </si>
  <si>
    <t>Em cần cố gắng hơn.</t>
  </si>
  <si>
    <t>Em cần chăm chỉ hơn.</t>
  </si>
  <si>
    <t>Em cần luyện tập chăm chỉ hơn.</t>
  </si>
  <si>
    <t>Em phải cố gắng thật nhiều.</t>
  </si>
  <si>
    <t>Em cần cố gắng luyện tập nhiều.</t>
  </si>
  <si>
    <t>Em cần chủ động học tập nhiều.</t>
  </si>
  <si>
    <t>Em cần tập trung và chăm chỉ hơn.</t>
  </si>
  <si>
    <t>Em cần tập trung nhiều hơn.</t>
  </si>
  <si>
    <t>Em cần chủ động học tập, chăm chỉ nhiều hơn.</t>
  </si>
  <si>
    <t>Em cần nỗ lực nhiều hơn.</t>
  </si>
  <si>
    <t>Em thực sự cần chăm chỉ nhiều hơn.</t>
  </si>
  <si>
    <t>Em thực sự cần nỗ lực học tập hơn.</t>
  </si>
  <si>
    <t>Em cần chăm chỉ và nỗ lực nhiều hơn.</t>
  </si>
  <si>
    <t>Em thực sự cần chăm chỉ và luyện tập nhiều hơn.</t>
  </si>
  <si>
    <t>Em thực sự cần chủ động học tập và rèn luyện nhiều hơn.</t>
  </si>
  <si>
    <t>Hứng thú, có trách nhiệm học tập tốt.</t>
  </si>
  <si>
    <t>Chăm chỉ, học giỏi.</t>
  </si>
  <si>
    <t>Hứng thú, tích cực, học giỏi.</t>
  </si>
  <si>
    <t>Tích cực, chăm chỉ, học tốt.</t>
  </si>
  <si>
    <t>Tích cực, trách nhiệm học tốt.</t>
  </si>
  <si>
    <t>Chủ động, nhân ái, học giỏi.</t>
  </si>
  <si>
    <t>Năng động, có trách nhiệm học tốt.</t>
  </si>
  <si>
    <t>Có hứng thú, chủ động học tập, học tốt.</t>
  </si>
  <si>
    <t>Năng động, nhân ái, học giỏi.</t>
  </si>
  <si>
    <t>Học khá, cần chăm chỉ học hơn.</t>
  </si>
  <si>
    <t>Học khá, cần tích cực hơn.</t>
  </si>
  <si>
    <t>Học khá, cần chủ động tiếp thu kiến thức.</t>
  </si>
  <si>
    <t>Học khá, cần tập trung hơn.</t>
  </si>
  <si>
    <t>Học khá, cần chú ý hơn.</t>
  </si>
  <si>
    <t>Học khá, cần tích cực phát biểu hơn.</t>
  </si>
  <si>
    <t>Học giỏi, năng động, chăm ngoan.</t>
  </si>
  <si>
    <t>Năng động, sáng tạo trong học tập.</t>
  </si>
  <si>
    <t>Chăm ngoan, học tập tiến bộ.</t>
  </si>
  <si>
    <t>Học giỏi, tiếp thu bài tốt, chăm ngoan.</t>
  </si>
  <si>
    <t>Học tập có nhiều tiến bộ, năng động.</t>
  </si>
  <si>
    <t>Học tập tiến bộ, có nhiều cố gắng.</t>
  </si>
  <si>
    <t>Tiếp thu bài tốt, chăm ngoan.</t>
  </si>
  <si>
    <t>Chăm ngoan, tiến bộ nhanh.</t>
  </si>
  <si>
    <t>Học khá, có nhiều cố gắng.</t>
  </si>
  <si>
    <t>Có nhiều cố gắng trong học tập.</t>
  </si>
  <si>
    <t>Lực học khá, có cố gắng để tiến bộ.</t>
  </si>
  <si>
    <t>Có nhiều tiến bộ trong học tập.</t>
  </si>
  <si>
    <t>Có nhiều cố gắng, cần tập trung hơn.</t>
  </si>
  <si>
    <t>Học khá, tiếp thu bài tốt.</t>
  </si>
  <si>
    <t>Cần cố gắng nhiều hơn nữa.</t>
  </si>
  <si>
    <t>Cần rèn luyện chăm chỉ học tập hơn.</t>
  </si>
  <si>
    <t>Cần nhiều nỗ lực hơn trong học tập.</t>
  </si>
  <si>
    <t>Học trung bình, cần nỗ lực hơn nữa.</t>
  </si>
  <si>
    <t>Cần tập trung học tập hơn.</t>
  </si>
  <si>
    <t>Cần chú ý nhiều hơn nữa trong học tập.</t>
  </si>
  <si>
    <t>Cân rèn luyện tính chăm chỉ trong học tập</t>
  </si>
  <si>
    <t>Cần phải cố gắng thật nhiều trong học tập.</t>
  </si>
  <si>
    <t>Lực học trung bình, cần cố gắng hơn.</t>
  </si>
  <si>
    <t>Cần cố gắng nhiều hơn trong học tập.</t>
  </si>
  <si>
    <t>Cần phải cố gắng, rèn luyện nhiều.</t>
  </si>
  <si>
    <t>Chăm chỉ, cố gắng, rất ngoan.</t>
  </si>
  <si>
    <t>Rất ngoan, học có hiệu quả tốt.</t>
  </si>
  <si>
    <t>Siêng năng, lễ phép, thành thạo thực hành, học giỏi.</t>
  </si>
  <si>
    <t>Tích cực, năng động, nắm bài tốt, học giỏi.</t>
  </si>
  <si>
    <t>Ngoan, tích cực xây dựng bài, nắm chắc thực hành, học giỏi.</t>
  </si>
  <si>
    <t>Thái độ học tập tốt, nắm vững thực hành, học giỏi.</t>
  </si>
  <si>
    <t>Chăm học, ngoan, nắm chắc động tác thực hành, học giỏi.</t>
  </si>
  <si>
    <t>Chấp hành tốt, tiến bộ nhanh, thực hành thành thạo, học giỏi.</t>
  </si>
  <si>
    <t>Chăm chỉ luyện tập, nắm bài nhanh, học giỏi.</t>
  </si>
  <si>
    <t>Tự giác, chuyên cần, thực hành tốt, học giỏi.</t>
  </si>
  <si>
    <t>Nhanh nhạy, nhiều cố gắng, nắm tốt nội dung bài, học giỏi.</t>
  </si>
  <si>
    <t>Ngoan, nắm được nội dung. Cần cố gắng trong thực hành. Học khá.</t>
  </si>
  <si>
    <t>Hòa đồng, cần cố gắng mạnh dạn trong thực hành. Học khá</t>
  </si>
  <si>
    <t>Chăm ngoan, nắm được nội dung học, học khá.</t>
  </si>
  <si>
    <t>Phẩm chất tốt, có cố gắng. Cần mạnh dạn trong thực hành. Học khá.</t>
  </si>
  <si>
    <t>Hạnh kiểm tốt, thực hành chưa mạnh dạn, cần cố gắng. Học khá.</t>
  </si>
  <si>
    <t>Hòa đồng, chăm học. Thực hiện động tác chưa thành thục. Học khá.</t>
  </si>
  <si>
    <t>ĐIỂM TRUNG BÌNH MÔN VÀ NHẬN XÉT CỦA GIÁO VIÊN</t>
  </si>
  <si>
    <t>Nhận xét của Giáo viên bộ môn</t>
  </si>
  <si>
    <t>Giáo viên bộ môn
ký và ghi rõ họ tên</t>
  </si>
  <si>
    <t>Em luôn cố gắng học nên rất tiến bộ, đáng khen.</t>
  </si>
  <si>
    <t>Sáng tạo, hoạt động nhóm rất tốt, biết chia sẻ kết quả học tập với bạn.</t>
  </si>
  <si>
    <t>Ý thức học tập tốt, vận dụng tốt kiến thức học tập</t>
  </si>
  <si>
    <t>Ngoan, khă năng tiếp nhận kiến thức tốt, vận dụng tốt.</t>
  </si>
  <si>
    <t>Ngoan, khả năng tư duy tốt, có trách nhiệm, trình bày tốt.</t>
  </si>
  <si>
    <t>Ngoan, có khả năng quan sát và giải quyết tốt vấn đề.</t>
  </si>
  <si>
    <t>Ngoan, có cố gắng trong học tập.</t>
  </si>
  <si>
    <t xml:space="preserve">Năng động, tích cực trong học tập, cần phát huy hơn nữa. </t>
  </si>
  <si>
    <t>Tích cực đóng góp, xây dựng bài, có tiến bộ, cần cố gắng hơn.</t>
  </si>
  <si>
    <t>Hoàn thành khá tốt nội dung kiến thức bộ môn, cần mạnh dạn hơn trong giao tiếp .</t>
  </si>
  <si>
    <t>Hoàn thành khá tốt nội dung kiến thức bộ môn, cần tập trung hơn trong giờ học.</t>
  </si>
  <si>
    <t>Hoàn thành cơ bản nội dung, yêu cầu của môn học, cần cố gắng hơn trong việc luyện tập kiến thức.</t>
  </si>
  <si>
    <t>Cần nỗ lực hơn trong học tập, chú ý rèn luyện thêm phương pháp tự học.</t>
  </si>
  <si>
    <t>Cần tập trung hơn vào công việc học tập, chuyên cần hơn.</t>
  </si>
  <si>
    <t xml:space="preserve">Cần chăm chỉ học tập, mạnh dạn phát huy kiến thức. </t>
  </si>
  <si>
    <t>Học giỏi, tiếp thu nhanh, chăm ngoan.</t>
  </si>
  <si>
    <t>Có năng khiếu, tự tin, giao tiếp tốt và có khả năng làm việc nhóm.</t>
  </si>
  <si>
    <t>Chăm chỉ, chuyên cần, rất tích cực và năng động.</t>
  </si>
  <si>
    <t>Tích cực phát biểu trong giờ học, tương tác tốt với giáo viên và bạn bè.</t>
  </si>
  <si>
    <t>Tích cực trong hoạt động thảo luận nhóm, có kỹ năng nghe và giao tiếp tốt.</t>
  </si>
  <si>
    <t>Có khả năng nghe, nói và ngữ pháp vững.</t>
  </si>
  <si>
    <t>Chăm chỉ, tích cực phát biểu và phát âm tốt.</t>
  </si>
  <si>
    <t>Học giỏi, chăm ngoan, ý thức tự giác học tập, chuyên cần.</t>
  </si>
  <si>
    <t>Chăm chỉ và tích cực trong hoạt động thảo luận nhóm.</t>
  </si>
  <si>
    <t>Nắm vững kiến thức căn bản, cần phát huy khả năng tự học để trau dồi thêm kiến thức.</t>
  </si>
  <si>
    <t>Có nhiều cố gắng trong học tập, cần đầu tư thêm thời gian cho việc ôn tập bài học cũ.</t>
  </si>
  <si>
    <t>Biết sử dụng vốn từ phong phú để viết thành câu, đoạn văn ngắn.</t>
  </si>
  <si>
    <t>Diễn đạt rõ ràng, dễ hiểu. Cần học thêm từ vựng.</t>
  </si>
  <si>
    <t>Nắm được nội dung bài học và vận dụng làm bài tập tốt.</t>
  </si>
  <si>
    <t>Vận dụng kiến thức đã học vào bài kiểm tra.</t>
  </si>
  <si>
    <t>Chăm chỉ, và có khả năng tự học. Cần rèn thêm kỹ năng nghe.</t>
  </si>
  <si>
    <t>Có cố gắng, chăm học từ vựng. Cần rèn thêm kỹ năng đọc.</t>
  </si>
  <si>
    <t>Có tiến bộ và tích cực tham gia học tập theo nhóm.</t>
  </si>
  <si>
    <t>Mạnh dạn và tự tin. Cần rèn thêm ngữ pháp.</t>
  </si>
  <si>
    <t>Hòa đồng, ham học hỏi. Cần học thêm từ vựng.</t>
  </si>
  <si>
    <t>Tự học tốt, tự tin và hay phát biểu. Cần rèn thêm ngữ pháp.</t>
  </si>
  <si>
    <t>Chuẩn bị tốt bài học, bài làm. Cần rèn thêm từ vựng và ngữ pháp.</t>
  </si>
  <si>
    <t>Có sự tiến bộ khi giao tiếp. Nói to, rõ ràng. Cần luyện thêm mẫu câu.</t>
  </si>
  <si>
    <t>Hăng hái phát biểu. Cần học nhiều từ vựng.</t>
  </si>
  <si>
    <t>Có tiến bộ, chăm chú. Cần học thêm từ vựng.</t>
  </si>
  <si>
    <t>Chăm, có tiến bộ. Cần rèn thêm ngữ pháp.</t>
  </si>
  <si>
    <t>Tích cực tham gia hoạt động nhóm và trao đổi ý kiến với bạn. Cần rèn thêm ngữ pháp.</t>
  </si>
  <si>
    <t>Chăm chỉ, năng động và có hiệu quả, có năng khiếu về bộ môn Sinh học.</t>
  </si>
  <si>
    <t>Đam mê, chủ động, giỏi đều bốn kỹ năng.</t>
  </si>
  <si>
    <t>Chủ động, sáng tạo, có năng khiếu văn học nghệ thuật.</t>
  </si>
  <si>
    <t>Rất chủ động học tập, có năng khiếu văn chương.</t>
  </si>
  <si>
    <t>Hăng hái, chủ động, thực hành tốt bốn kỹ năng.</t>
  </si>
  <si>
    <t>Hăng hái, tích cực. Có năng khiếu.</t>
  </si>
  <si>
    <t>Tích cực học tập, nắm vững bốn kỹ năng.</t>
  </si>
  <si>
    <t>Có năng khiếu, tự giác, cảm nhận được văn bản.</t>
  </si>
  <si>
    <t>Có tinh thần học tập tốt, cần cố gắng rèn luyện thêm các kỹ năng.</t>
  </si>
  <si>
    <t>Cần chủ động hơn trong giờ học, rèn thêm kỹ năng viết.</t>
  </si>
  <si>
    <t>Học khá, cần chủ động rèn thêm kỹ năng diễn đạt.</t>
  </si>
  <si>
    <t>Có ý thức học tập tốt, cần nỗ lực rèn luyện thêm các kỹ năng.</t>
  </si>
  <si>
    <t>Cần tích cực rèn thêm kỹ năng đọc, viết.</t>
  </si>
  <si>
    <t>Cần nỗ lực hơn và rèn thêm kỹ năng đọc, viết.</t>
  </si>
  <si>
    <t>Cần nâng cao ý thức tự học và rèn thêm kỹ năng đọc, viết.</t>
  </si>
  <si>
    <t>Cần tích cực, chủ động hơn, rèn thêm kỹ năng đọc, viết.</t>
  </si>
  <si>
    <t>Cần chăm chỉ, nỗ lực nhiều hơn ở cả bốn kỹ năng, nhất là viết.</t>
  </si>
  <si>
    <t>Cần nâng cao ý thức học tập và nỗ lực rèn kỹ năng đọc, viết.</t>
  </si>
  <si>
    <t>Cần chủ động, tích cực và nỗ lực nhiều ở các kỹ năng làm bài.</t>
  </si>
  <si>
    <t>Cần nâng cao ý thức học bài, làm bài và nỗ lực rèn bốn kỹ năng.</t>
  </si>
  <si>
    <t>Cần nâng cao ý thức học tập và rèn luyện bốn kỹ năng.</t>
  </si>
  <si>
    <t>Cần tích cực, tự giác và nỗ lực nhiều ở cả bốn kỹ năng.</t>
  </si>
  <si>
    <t xml:space="preserve"> </t>
  </si>
  <si>
    <t>Em chủ động học tập, vận dụng thực tế tốt, chăm chỉ.</t>
  </si>
  <si>
    <t>Em học khá, cần chăm chỉ hơn và luyện tập tốt hơn.</t>
  </si>
  <si>
    <t>Cần cố gắng tập trung học tập hơn.</t>
  </si>
  <si>
    <t>Có ý thức tự giác học tập, chuyên cần và tích cực trong các hoạt động tập thể.</t>
  </si>
  <si>
    <t>Điểm TB môn</t>
  </si>
  <si>
    <t>Nhận xét của Giáo viên</t>
  </si>
  <si>
    <t>NX HKI</t>
  </si>
  <si>
    <t>Giáo viên Bộ môn</t>
  </si>
  <si>
    <t>ĐTB K2</t>
  </si>
  <si>
    <t>ĐTB CN</t>
  </si>
  <si>
    <t>NX CN</t>
  </si>
  <si>
    <t>NX HK2</t>
  </si>
  <si>
    <t>Thái độ học tập tốt, nắm vững thực hành.</t>
  </si>
  <si>
    <t>Chăm chỉ luyện tập, nắm bài nhanh.</t>
  </si>
  <si>
    <t>Ngoan, nắm được nội dung. Cần cố gắng trong thực hành.</t>
  </si>
  <si>
    <t>Phẩm chất tốt, có cố gắng. Cần mạnh dạn trong thực hành.</t>
  </si>
  <si>
    <t>Chăm học, ngoan, nắm chắc động tác thực hành.</t>
  </si>
  <si>
    <t>Tự giác, chuyên cần, thực hành tốt.</t>
  </si>
  <si>
    <t>Hòa đồng, cần cố gắng mạnh dạn trong thực hành.</t>
  </si>
  <si>
    <t>Hòa đồng, cần cố gắng mạnh dạn trong thực hành. Học khá.</t>
  </si>
  <si>
    <t>Hạnh kiểm tốt, thực hành chưa mạnh dạn, cần cố gắng.</t>
  </si>
  <si>
    <t xml:space="preserve">Hòa đồng, chăm học. Thực hiện động tác chưa thành thục. </t>
  </si>
  <si>
    <t>Chăm ngoan, nắm được nội dung học.</t>
  </si>
  <si>
    <t>Nhanh nhạy, nhiều cố gắng, nắm tốt nội dung bài.</t>
  </si>
  <si>
    <t>Chấp hành tốt, tiến bộ nhanh, thực hành thành thạo.</t>
  </si>
  <si>
    <t>Hòa đồng, chăm học. Thực hiện động tác chưa thành thục.</t>
  </si>
  <si>
    <t>ĐTB
HKII</t>
  </si>
  <si>
    <t>ĐTB
Cả năm</t>
  </si>
  <si>
    <t>Học trung bình. Có cố gắng nhưng còn thụ động. Ngoan.</t>
  </si>
  <si>
    <t>Học trung bình, ngoan. Cần tích cực hơn trong học tập.</t>
  </si>
  <si>
    <t>Kiến thức chưa vững, cần cố gắng nhiều hơn.</t>
  </si>
  <si>
    <t>Cần tự giác hơn trong học tập. Kiến thức chưa vững.</t>
  </si>
  <si>
    <t>Cố gắng hơn sẽ đạt được kết quả cao.</t>
  </si>
  <si>
    <t>Cần nắm vững lý thuyết, thuộc công thức, luyện tập nhiều hơn nữa.</t>
  </si>
  <si>
    <t>Tập trung nghe giảng, nắm vững kỹ năng, hiểu rõ lý thuyết sẽ đạt điểm cao hơn.</t>
  </si>
  <si>
    <t>Cần tự giác hơn trong học tập, kiến thức chưa vững.</t>
  </si>
  <si>
    <t>Cần tích cực hơn trong học tập</t>
  </si>
  <si>
    <t>Hòa đồng và có cố gắng. Cần học thêm từ vựng.</t>
  </si>
  <si>
    <t>Tập trung rèn từ vựng và rèn thêm ngữ pháp.</t>
  </si>
  <si>
    <t>Phải nỗ lực nhiều hơn trong việc học từ vựng và ngữ pháp.</t>
  </si>
  <si>
    <r>
      <rPr>
        <b/>
        <sz val="11"/>
        <color rgb="FF0070C0"/>
        <rFont val="Times New Roman"/>
        <family val="1"/>
      </rPr>
      <t>File điểm TT26 - 2020</t>
    </r>
    <r>
      <rPr>
        <b/>
        <sz val="11"/>
        <color theme="9" tint="-0.499984740745262"/>
        <rFont val="Times New Roman"/>
        <family val="1"/>
      </rPr>
      <t xml:space="preserve"> </t>
    </r>
    <r>
      <rPr>
        <b/>
        <sz val="11"/>
        <color rgb="FF0070C0"/>
        <rFont val="Times New Roman"/>
        <family val="1"/>
      </rPr>
      <t>(cập nhật nhận xét)</t>
    </r>
  </si>
  <si>
    <t>STT 4. Hoàng Quốc Bảo</t>
  </si>
  <si>
    <t>Ngoan. Cần rèn luyện thêm kỹ năng làm toán.</t>
  </si>
  <si>
    <t>Chưa nắm vững cấu trúc câu và các từ vựng. Cần chăm chỉ hơn.</t>
  </si>
  <si>
    <t>Sử dụng từ vựng còn chưa tốt, tiếp thu kiến thức còn chậm.</t>
  </si>
  <si>
    <t>it2021-itit2021</t>
  </si>
  <si>
    <t>12A1</t>
  </si>
  <si>
    <t>Phạm Huỳnh Hiệp</t>
  </si>
  <si>
    <t>An</t>
  </si>
  <si>
    <t>16/10/2004</t>
  </si>
  <si>
    <t>Long An</t>
  </si>
  <si>
    <t>Chử Ngọc</t>
  </si>
  <si>
    <t>Anh</t>
  </si>
  <si>
    <t>14/04/2004</t>
  </si>
  <si>
    <t>Lâm Đồng</t>
  </si>
  <si>
    <t>Lê Tuấn</t>
  </si>
  <si>
    <t>20/10/2004</t>
  </si>
  <si>
    <t>Kiên Giang</t>
  </si>
  <si>
    <t>Nguyễn Quách Mai</t>
  </si>
  <si>
    <t>12/05/2004</t>
  </si>
  <si>
    <t>Vũ Song</t>
  </si>
  <si>
    <t>20/04/2004</t>
  </si>
  <si>
    <t>Phan Gia</t>
  </si>
  <si>
    <t>Bảo</t>
  </si>
  <si>
    <t>27/10/2004</t>
  </si>
  <si>
    <t>Nguyễn Phúc</t>
  </si>
  <si>
    <t>Bình</t>
  </si>
  <si>
    <t>20/06/2004</t>
  </si>
  <si>
    <t>Tiền Giang</t>
  </si>
  <si>
    <t>Trần Lê</t>
  </si>
  <si>
    <t>Cường</t>
  </si>
  <si>
    <t>08/04/2004</t>
  </si>
  <si>
    <t>Đồng Nai</t>
  </si>
  <si>
    <t>Nguyễn Thanh</t>
  </si>
  <si>
    <t>Duyên</t>
  </si>
  <si>
    <t>16/11/2004</t>
  </si>
  <si>
    <t>Trương Đắc</t>
  </si>
  <si>
    <t>Điền</t>
  </si>
  <si>
    <t>08/05/2004</t>
  </si>
  <si>
    <t>Hồ Ngọc</t>
  </si>
  <si>
    <t>Hải</t>
  </si>
  <si>
    <t>25/10/2004</t>
  </si>
  <si>
    <t>Quảng Ngãi</t>
  </si>
  <si>
    <t>Hồ Sơn</t>
  </si>
  <si>
    <t>Hậu</t>
  </si>
  <si>
    <t>08/01/2004</t>
  </si>
  <si>
    <t>Bến Tre</t>
  </si>
  <si>
    <t xml:space="preserve">Nguyễn Thị Thu </t>
  </si>
  <si>
    <t>Hiền</t>
  </si>
  <si>
    <t>20/05/2004</t>
  </si>
  <si>
    <t>Thái Bình</t>
  </si>
  <si>
    <t>Lê Phan Ngọc</t>
  </si>
  <si>
    <t>Hiếu</t>
  </si>
  <si>
    <t>01/02/2004</t>
  </si>
  <si>
    <t>Trần Hoàng</t>
  </si>
  <si>
    <t>Hưng</t>
  </si>
  <si>
    <t>11/06/2004</t>
  </si>
  <si>
    <t>Bình Dương</t>
  </si>
  <si>
    <t>Trần Đăng</t>
  </si>
  <si>
    <t>Khải</t>
  </si>
  <si>
    <t>22/04/2004</t>
  </si>
  <si>
    <t>Nguyễn Huỳnh Phúc</t>
  </si>
  <si>
    <t>Khang</t>
  </si>
  <si>
    <t>14/12/2004</t>
  </si>
  <si>
    <t>Nguyễn Đăng</t>
  </si>
  <si>
    <t>Khoa</t>
  </si>
  <si>
    <t>07/11/2004</t>
  </si>
  <si>
    <t>Lê Tiến</t>
  </si>
  <si>
    <t>Khôi</t>
  </si>
  <si>
    <t>14/10/2004</t>
  </si>
  <si>
    <t>Lâm</t>
  </si>
  <si>
    <t>02/04/2004</t>
  </si>
  <si>
    <t>Bình Thuận</t>
  </si>
  <si>
    <t>Phạm Tấn</t>
  </si>
  <si>
    <t>Lộc</t>
  </si>
  <si>
    <t>05/07/2004</t>
  </si>
  <si>
    <t>Khánh Hòa</t>
  </si>
  <si>
    <t xml:space="preserve">Phạm Thị Khả </t>
  </si>
  <si>
    <t>My</t>
  </si>
  <si>
    <t>28/02/2004</t>
  </si>
  <si>
    <t>Lê</t>
  </si>
  <si>
    <t>Na</t>
  </si>
  <si>
    <t>29/02/2004</t>
  </si>
  <si>
    <t>Bình Định</t>
  </si>
  <si>
    <t>Quách Tống Minh</t>
  </si>
  <si>
    <t>Nhật</t>
  </si>
  <si>
    <t>01/12/2004</t>
  </si>
  <si>
    <t>Nguyễn Thục</t>
  </si>
  <si>
    <t>Nhi</t>
  </si>
  <si>
    <t>04/10/2004</t>
  </si>
  <si>
    <t>Trần Thị Hải</t>
  </si>
  <si>
    <t>Như</t>
  </si>
  <si>
    <t>17/08/2004</t>
  </si>
  <si>
    <t>Nguyễn Bá Nhật</t>
  </si>
  <si>
    <t>Quang</t>
  </si>
  <si>
    <t>18/07/2004</t>
  </si>
  <si>
    <t>Phan Trương Kiến</t>
  </si>
  <si>
    <t>Quốc</t>
  </si>
  <si>
    <t>03/12/2004</t>
  </si>
  <si>
    <t>Trần Thị Như</t>
  </si>
  <si>
    <t>Quỳnh</t>
  </si>
  <si>
    <t>28/01/2004</t>
  </si>
  <si>
    <t>Nguyễn Thái</t>
  </si>
  <si>
    <t>Sơn</t>
  </si>
  <si>
    <t>TP.Cần Thơ</t>
  </si>
  <si>
    <t>Đặng Hoàng</t>
  </si>
  <si>
    <t>Tân</t>
  </si>
  <si>
    <t>26/09/2004</t>
  </si>
  <si>
    <t>Quảng Ninh</t>
  </si>
  <si>
    <t>Hồ Quang</t>
  </si>
  <si>
    <t>Thành</t>
  </si>
  <si>
    <t>Gia Lai</t>
  </si>
  <si>
    <t>Trần Thịnh</t>
  </si>
  <si>
    <t>Thịnh</t>
  </si>
  <si>
    <t>18/08/2004</t>
  </si>
  <si>
    <t>Bạc Liêu</t>
  </si>
  <si>
    <t>Trần Kim Bảo</t>
  </si>
  <si>
    <t>Trân</t>
  </si>
  <si>
    <t>05/06/2004</t>
  </si>
  <si>
    <t>Phạm Đức</t>
  </si>
  <si>
    <t>Trung</t>
  </si>
  <si>
    <t>07/10/2004</t>
  </si>
  <si>
    <t>Võ Thủy</t>
  </si>
  <si>
    <t>Vân</t>
  </si>
  <si>
    <t>30/10/2004</t>
  </si>
  <si>
    <t>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</si>
</sst>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"/>
    <numFmt numFmtId="165" formatCode="0.0"/>
  </numFmts>
  <fonts count="52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name val="Times New Roman"/>
      <family val="1"/>
    </font>
    <font>
      <sz val="11"/>
      <name val="Times New Roman"/>
      <family val="1"/>
    </font>
    <font>
      <i/>
      <sz val="11"/>
      <color theme="1"/>
      <name val="Times New Roman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name val="VNI-Times"/>
    </font>
    <font>
      <b/>
      <i/>
      <sz val="11"/>
      <color theme="1"/>
      <name val="Times New Roman"/>
      <family val="1"/>
    </font>
    <font>
      <sz val="14"/>
      <color theme="1"/>
      <name val="Tahoma"/>
      <family val="2"/>
    </font>
    <font>
      <sz val="14"/>
      <color theme="1"/>
      <name val="Wingdings"/>
      <charset val="2"/>
    </font>
    <font>
      <sz val="9"/>
      <color indexed="81"/>
      <name val="Tahoma"/>
      <family val="2"/>
    </font>
    <font>
      <b/>
      <sz val="14"/>
      <color theme="1"/>
      <name val="Times New Roman"/>
      <family val="1"/>
    </font>
    <font>
      <i/>
      <sz val="12"/>
      <color theme="1"/>
      <name val="Times New Roman"/>
      <family val="1"/>
    </font>
    <font>
      <b/>
      <sz val="18"/>
      <color theme="1"/>
      <name val="Times New Roman"/>
      <family val="1"/>
    </font>
    <font>
      <sz val="8"/>
      <color theme="1"/>
      <name val="Times New Roman"/>
      <family val="1"/>
    </font>
    <font>
      <sz val="12"/>
      <name val="Times New Roman"/>
      <family val="1"/>
    </font>
    <font>
      <sz val="11.5"/>
      <name val="Times New Roman"/>
      <family val="1"/>
    </font>
    <font>
      <b/>
      <sz val="11.5"/>
      <name val="Times New Roman"/>
      <family val="1"/>
    </font>
    <font>
      <b/>
      <sz val="12"/>
      <name val="Times New Roman"/>
      <family val="1"/>
    </font>
    <font>
      <b/>
      <sz val="15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i/>
      <sz val="14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sz val="14"/>
      <color theme="1"/>
      <name val="Times New Roman"/>
      <family val="1"/>
    </font>
    <font>
      <sz val="13"/>
      <name val="Times New Roman"/>
      <family val="1"/>
    </font>
    <font>
      <i/>
      <sz val="13"/>
      <color theme="1"/>
      <name val="Times New Roman"/>
      <family val="1"/>
    </font>
    <font>
      <i/>
      <sz val="12"/>
      <name val="Times New Roman"/>
      <family val="1"/>
    </font>
    <font>
      <b/>
      <sz val="12.5"/>
      <color theme="1"/>
      <name val="Times New Roman"/>
      <family val="1"/>
    </font>
    <font>
      <sz val="12.5"/>
      <color theme="1"/>
      <name val="Times New Roman"/>
      <family val="1"/>
    </font>
    <font>
      <sz val="11"/>
      <color theme="0" tint="-4.9989318521683403E-2"/>
      <name val="Times New Roman"/>
      <family val="1"/>
    </font>
    <font>
      <b/>
      <sz val="11"/>
      <color theme="9" tint="-0.499984740745262"/>
      <name val="Times New Roman"/>
      <family val="1"/>
    </font>
    <font>
      <b/>
      <sz val="9"/>
      <color indexed="81"/>
      <name val="Tahoma"/>
      <family val="2"/>
    </font>
    <font>
      <i/>
      <sz val="11"/>
      <name val="Times New Roman"/>
      <family val="1"/>
    </font>
    <font>
      <sz val="11"/>
      <color theme="2"/>
      <name val="Times New Roman"/>
      <family val="1"/>
    </font>
    <font>
      <b/>
      <sz val="11"/>
      <color rgb="FFFFFF00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b/>
      <sz val="11"/>
      <color rgb="FF0070C0"/>
      <name val="Times New Roman"/>
      <family val="1"/>
    </font>
    <font>
      <sz val="11"/>
      <color theme="9" tint="0.39997558519241921"/>
      <name val="Times New Roman"/>
      <family val="1"/>
    </font>
    <font>
      <sz val="11"/>
      <color theme="1"/>
      <name val="Cambria"/>
      <family val="1"/>
      <scheme val="maj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4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medium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3" fillId="0" borderId="0"/>
    <xf numFmtId="0" fontId="22" fillId="0" borderId="0"/>
  </cellStyleXfs>
  <cellXfs count="1169">
    <xf numFmtId="0" fontId="0" fillId="0" borderId="0" xfId="0"/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0" borderId="33" xfId="0" applyFont="1" applyBorder="1" applyAlignment="1" applyProtection="1">
      <alignment horizontal="center" vertical="center" shrinkToFit="1"/>
      <protection hidden="1"/>
    </xf>
    <xf numFmtId="0" fontId="18" fillId="0" borderId="0" xfId="0" applyFont="1" applyAlignment="1" applyProtection="1">
      <alignment vertical="center"/>
      <protection hidden="1"/>
    </xf>
    <xf numFmtId="0" fontId="3" fillId="11" borderId="54" xfId="0" applyFont="1" applyFill="1" applyBorder="1" applyAlignment="1" applyProtection="1">
      <alignment horizontal="center" vertical="center"/>
      <protection hidden="1"/>
    </xf>
    <xf numFmtId="0" fontId="3" fillId="11" borderId="56" xfId="0" applyFont="1" applyFill="1" applyBorder="1" applyAlignment="1" applyProtection="1">
      <alignment horizontal="center" vertical="center"/>
      <protection hidden="1"/>
    </xf>
    <xf numFmtId="0" fontId="3" fillId="11" borderId="55" xfId="0" applyFont="1" applyFill="1" applyBorder="1" applyAlignment="1" applyProtection="1">
      <alignment horizontal="center" vertical="center"/>
      <protection hidden="1"/>
    </xf>
    <xf numFmtId="0" fontId="3" fillId="11" borderId="57" xfId="0" applyFont="1" applyFill="1" applyBorder="1" applyAlignment="1" applyProtection="1">
      <alignment horizontal="center" vertical="center"/>
      <protection hidden="1"/>
    </xf>
    <xf numFmtId="0" fontId="3" fillId="11" borderId="122" xfId="0" applyFont="1" applyFill="1" applyBorder="1" applyAlignment="1" applyProtection="1">
      <alignment horizontal="center" vertical="center"/>
      <protection hidden="1"/>
    </xf>
    <xf numFmtId="0" fontId="1" fillId="0" borderId="46" xfId="0" applyFont="1" applyBorder="1" applyAlignment="1" applyProtection="1">
      <alignment horizontal="center" vertical="center"/>
      <protection hidden="1"/>
    </xf>
    <xf numFmtId="0" fontId="1" fillId="0" borderId="115" xfId="0" applyFont="1" applyBorder="1" applyAlignment="1" applyProtection="1">
      <alignment horizontal="center" vertical="center" shrinkToFit="1"/>
      <protection hidden="1"/>
    </xf>
    <xf numFmtId="0" fontId="9" fillId="0" borderId="23" xfId="0" applyFont="1" applyBorder="1" applyAlignment="1" applyProtection="1">
      <alignment horizontal="left" vertical="center" shrinkToFit="1"/>
      <protection hidden="1"/>
    </xf>
    <xf numFmtId="0" fontId="9" fillId="0" borderId="25" xfId="0" applyFont="1" applyBorder="1" applyAlignment="1" applyProtection="1">
      <alignment horizontal="left" vertical="center" shrinkToFit="1"/>
      <protection hidden="1"/>
    </xf>
    <xf numFmtId="165" fontId="1" fillId="0" borderId="49" xfId="0" applyNumberFormat="1" applyFont="1" applyBorder="1" applyAlignment="1" applyProtection="1">
      <alignment horizontal="center" vertical="center" shrinkToFit="1"/>
      <protection hidden="1"/>
    </xf>
    <xf numFmtId="165" fontId="1" fillId="0" borderId="51" xfId="0" applyNumberFormat="1" applyFont="1" applyBorder="1" applyAlignment="1" applyProtection="1">
      <alignment horizontal="center" vertical="center" shrinkToFit="1"/>
      <protection hidden="1"/>
    </xf>
    <xf numFmtId="165" fontId="1" fillId="0" borderId="50" xfId="0" applyNumberFormat="1" applyFont="1" applyBorder="1" applyAlignment="1" applyProtection="1">
      <alignment horizontal="center" vertical="center" shrinkToFit="1"/>
      <protection hidden="1"/>
    </xf>
    <xf numFmtId="0" fontId="1" fillId="0" borderId="49" xfId="0" applyFont="1" applyBorder="1" applyAlignment="1" applyProtection="1">
      <alignment horizontal="center" vertical="center" shrinkToFit="1"/>
      <protection hidden="1"/>
    </xf>
    <xf numFmtId="0" fontId="1" fillId="0" borderId="51" xfId="0" applyFont="1" applyBorder="1" applyAlignment="1" applyProtection="1">
      <alignment horizontal="center" vertical="center" shrinkToFit="1"/>
      <protection hidden="1"/>
    </xf>
    <xf numFmtId="0" fontId="1" fillId="0" borderId="50" xfId="0" applyFont="1" applyBorder="1" applyAlignment="1" applyProtection="1">
      <alignment horizontal="center" vertical="center" shrinkToFit="1"/>
      <protection hidden="1"/>
    </xf>
    <xf numFmtId="165" fontId="2" fillId="0" borderId="50" xfId="0" applyNumberFormat="1" applyFont="1" applyBorder="1" applyAlignment="1" applyProtection="1">
      <alignment horizontal="center" vertical="center" shrinkToFit="1"/>
      <protection hidden="1"/>
    </xf>
    <xf numFmtId="0" fontId="1" fillId="0" borderId="36" xfId="0" applyFont="1" applyBorder="1" applyAlignment="1" applyProtection="1">
      <alignment horizontal="center" vertical="center" shrinkToFit="1"/>
      <protection hidden="1"/>
    </xf>
    <xf numFmtId="0" fontId="2" fillId="0" borderId="118" xfId="0" applyFont="1" applyBorder="1" applyAlignment="1" applyProtection="1">
      <alignment horizontal="center" vertical="center" shrinkToFit="1"/>
      <protection hidden="1"/>
    </xf>
    <xf numFmtId="0" fontId="2" fillId="0" borderId="50" xfId="0" applyFont="1" applyBorder="1" applyAlignment="1" applyProtection="1">
      <alignment horizontal="center" vertical="center" shrinkToFit="1"/>
      <protection hidden="1"/>
    </xf>
    <xf numFmtId="0" fontId="1" fillId="0" borderId="25" xfId="0" applyFont="1" applyBorder="1" applyAlignment="1" applyProtection="1">
      <alignment horizontal="center" vertical="center" shrinkToFit="1"/>
      <protection hidden="1"/>
    </xf>
    <xf numFmtId="0" fontId="1" fillId="0" borderId="0" xfId="0" applyFont="1" applyAlignment="1" applyProtection="1">
      <alignment horizontal="center" vertical="center" shrinkToFit="1"/>
      <protection hidden="1"/>
    </xf>
    <xf numFmtId="0" fontId="1" fillId="0" borderId="120" xfId="0" applyFont="1" applyBorder="1" applyAlignment="1" applyProtection="1">
      <alignment horizontal="center" vertical="center" shrinkToFit="1"/>
      <protection hidden="1"/>
    </xf>
    <xf numFmtId="0" fontId="9" fillId="0" borderId="59" xfId="0" applyFont="1" applyBorder="1" applyAlignment="1" applyProtection="1">
      <alignment horizontal="left" vertical="center" shrinkToFit="1"/>
      <protection hidden="1"/>
    </xf>
    <xf numFmtId="0" fontId="9" fillId="0" borderId="60" xfId="0" applyFont="1" applyBorder="1" applyAlignment="1" applyProtection="1">
      <alignment horizontal="left" vertical="center" shrinkToFit="1"/>
      <protection hidden="1"/>
    </xf>
    <xf numFmtId="165" fontId="1" fillId="0" borderId="61" xfId="0" applyNumberFormat="1" applyFont="1" applyBorder="1" applyAlignment="1" applyProtection="1">
      <alignment horizontal="center" vertical="center" shrinkToFit="1"/>
      <protection hidden="1"/>
    </xf>
    <xf numFmtId="165" fontId="1" fillId="0" borderId="33" xfId="0" applyNumberFormat="1" applyFont="1" applyBorder="1" applyAlignment="1" applyProtection="1">
      <alignment horizontal="center" vertical="center" shrinkToFit="1"/>
      <protection hidden="1"/>
    </xf>
    <xf numFmtId="165" fontId="1" fillId="0" borderId="62" xfId="0" applyNumberFormat="1" applyFont="1" applyBorder="1" applyAlignment="1" applyProtection="1">
      <alignment horizontal="center" vertical="center" shrinkToFit="1"/>
      <protection hidden="1"/>
    </xf>
    <xf numFmtId="0" fontId="1" fillId="0" borderId="61" xfId="0" applyFont="1" applyBorder="1" applyAlignment="1" applyProtection="1">
      <alignment horizontal="center" vertical="center" shrinkToFit="1"/>
      <protection hidden="1"/>
    </xf>
    <xf numFmtId="0" fontId="1" fillId="0" borderId="62" xfId="0" applyFont="1" applyBorder="1" applyAlignment="1" applyProtection="1">
      <alignment horizontal="center" vertical="center" shrinkToFit="1"/>
      <protection hidden="1"/>
    </xf>
    <xf numFmtId="165" fontId="2" fillId="0" borderId="62" xfId="0" applyNumberFormat="1" applyFont="1" applyBorder="1" applyAlignment="1" applyProtection="1">
      <alignment horizontal="center" vertical="center" shrinkToFit="1"/>
      <protection hidden="1"/>
    </xf>
    <xf numFmtId="0" fontId="1" fillId="0" borderId="35" xfId="0" applyFont="1" applyBorder="1" applyAlignment="1" applyProtection="1">
      <alignment horizontal="center" vertical="center" shrinkToFit="1"/>
      <protection hidden="1"/>
    </xf>
    <xf numFmtId="0" fontId="2" fillId="0" borderId="62" xfId="0" applyFont="1" applyBorder="1" applyAlignment="1" applyProtection="1">
      <alignment horizontal="center" vertical="center" shrinkToFit="1"/>
      <protection hidden="1"/>
    </xf>
    <xf numFmtId="0" fontId="1" fillId="0" borderId="60" xfId="0" applyFont="1" applyBorder="1" applyAlignment="1" applyProtection="1">
      <alignment horizontal="center" vertical="center" shrinkToFit="1"/>
      <protection hidden="1"/>
    </xf>
    <xf numFmtId="0" fontId="1" fillId="0" borderId="121" xfId="0" applyFont="1" applyBorder="1" applyAlignment="1" applyProtection="1">
      <alignment horizontal="center" vertical="center" shrinkToFit="1"/>
      <protection hidden="1"/>
    </xf>
    <xf numFmtId="0" fontId="9" fillId="0" borderId="53" xfId="0" applyFont="1" applyBorder="1" applyAlignment="1" applyProtection="1">
      <alignment horizontal="left" vertical="center" shrinkToFit="1"/>
      <protection hidden="1"/>
    </xf>
    <xf numFmtId="0" fontId="9" fillId="0" borderId="63" xfId="0" applyFont="1" applyBorder="1" applyAlignment="1" applyProtection="1">
      <alignment horizontal="left" vertical="center" shrinkToFit="1"/>
      <protection hidden="1"/>
    </xf>
    <xf numFmtId="165" fontId="1" fillId="0" borderId="54" xfId="0" applyNumberFormat="1" applyFont="1" applyBorder="1" applyAlignment="1" applyProtection="1">
      <alignment horizontal="center" vertical="center" shrinkToFit="1"/>
      <protection hidden="1"/>
    </xf>
    <xf numFmtId="165" fontId="1" fillId="0" borderId="56" xfId="0" applyNumberFormat="1" applyFont="1" applyBorder="1" applyAlignment="1" applyProtection="1">
      <alignment horizontal="center" vertical="center" shrinkToFit="1"/>
      <protection hidden="1"/>
    </xf>
    <xf numFmtId="165" fontId="1" fillId="0" borderId="55" xfId="0" applyNumberFormat="1" applyFont="1" applyBorder="1" applyAlignment="1" applyProtection="1">
      <alignment horizontal="center" vertical="center" shrinkToFit="1"/>
      <protection hidden="1"/>
    </xf>
    <xf numFmtId="0" fontId="1" fillId="0" borderId="54" xfId="0" applyFont="1" applyBorder="1" applyAlignment="1" applyProtection="1">
      <alignment horizontal="center" vertical="center" shrinkToFit="1"/>
      <protection hidden="1"/>
    </xf>
    <xf numFmtId="0" fontId="1" fillId="0" borderId="56" xfId="0" applyFont="1" applyBorder="1" applyAlignment="1" applyProtection="1">
      <alignment horizontal="center" vertical="center" shrinkToFit="1"/>
      <protection hidden="1"/>
    </xf>
    <xf numFmtId="0" fontId="1" fillId="0" borderId="55" xfId="0" applyFont="1" applyBorder="1" applyAlignment="1" applyProtection="1">
      <alignment horizontal="center" vertical="center" shrinkToFit="1"/>
      <protection hidden="1"/>
    </xf>
    <xf numFmtId="165" fontId="2" fillId="0" borderId="55" xfId="0" applyNumberFormat="1" applyFont="1" applyBorder="1" applyAlignment="1" applyProtection="1">
      <alignment horizontal="center" vertical="center" shrinkToFit="1"/>
      <protection hidden="1"/>
    </xf>
    <xf numFmtId="0" fontId="1" fillId="0" borderId="57" xfId="0" applyFont="1" applyBorder="1" applyAlignment="1" applyProtection="1">
      <alignment horizontal="center" vertical="center" shrinkToFit="1"/>
      <protection hidden="1"/>
    </xf>
    <xf numFmtId="0" fontId="2" fillId="0" borderId="122" xfId="0" applyFont="1" applyBorder="1" applyAlignment="1" applyProtection="1">
      <alignment horizontal="center" vertical="center" shrinkToFit="1"/>
      <protection hidden="1"/>
    </xf>
    <xf numFmtId="0" fontId="2" fillId="0" borderId="55" xfId="0" applyFont="1" applyBorder="1" applyAlignment="1" applyProtection="1">
      <alignment horizontal="center" vertical="center" shrinkToFit="1"/>
      <protection hidden="1"/>
    </xf>
    <xf numFmtId="0" fontId="1" fillId="0" borderId="63" xfId="0" applyFont="1" applyBorder="1" applyAlignment="1" applyProtection="1">
      <alignment horizontal="center" vertical="center" shrinkToFit="1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 vertical="center" indent="2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165" fontId="9" fillId="0" borderId="0" xfId="0" applyNumberFormat="1" applyFont="1" applyAlignment="1" applyProtection="1">
      <alignment horizontal="center" vertical="center"/>
      <protection hidden="1"/>
    </xf>
    <xf numFmtId="165" fontId="31" fillId="0" borderId="0" xfId="0" applyNumberFormat="1" applyFont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9" fillId="0" borderId="0" xfId="0" applyFont="1" applyProtection="1"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 shrinkToFit="1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left"/>
      <protection hidden="1"/>
    </xf>
    <xf numFmtId="0" fontId="38" fillId="0" borderId="33" xfId="0" quotePrefix="1" applyFont="1" applyBorder="1" applyAlignment="1" applyProtection="1">
      <alignment horizontal="center" vertical="center"/>
      <protection hidden="1"/>
    </xf>
    <xf numFmtId="0" fontId="38" fillId="0" borderId="33" xfId="0" applyFont="1" applyBorder="1" applyAlignment="1" applyProtection="1">
      <alignment horizontal="center" vertical="center"/>
      <protection hidden="1"/>
    </xf>
    <xf numFmtId="165" fontId="38" fillId="0" borderId="33" xfId="0" applyNumberFormat="1" applyFont="1" applyBorder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1" fillId="5" borderId="0" xfId="0" applyFont="1" applyFill="1" applyAlignment="1" applyProtection="1">
      <alignment horizontal="right" vertical="center"/>
      <protection hidden="1"/>
    </xf>
    <xf numFmtId="0" fontId="32" fillId="0" borderId="0" xfId="0" applyFont="1" applyProtection="1">
      <protection hidden="1"/>
    </xf>
    <xf numFmtId="165" fontId="37" fillId="0" borderId="33" xfId="0" applyNumberFormat="1" applyFont="1" applyBorder="1" applyAlignment="1" applyProtection="1">
      <alignment horizontal="center" vertical="center"/>
      <protection hidden="1"/>
    </xf>
    <xf numFmtId="0" fontId="1" fillId="0" borderId="33" xfId="0" quotePrefix="1" applyFont="1" applyBorder="1" applyAlignment="1" applyProtection="1">
      <alignment horizontal="center" vertical="center" shrinkToFit="1"/>
      <protection hidden="1"/>
    </xf>
    <xf numFmtId="165" fontId="2" fillId="0" borderId="33" xfId="0" applyNumberFormat="1" applyFont="1" applyBorder="1" applyAlignment="1" applyProtection="1">
      <alignment horizontal="center" vertical="center" shrinkToFit="1"/>
      <protection hidden="1"/>
    </xf>
    <xf numFmtId="0" fontId="10" fillId="0" borderId="33" xfId="0" applyFont="1" applyBorder="1" applyAlignment="1" applyProtection="1">
      <alignment horizontal="center" vertical="center" shrinkToFit="1"/>
      <protection hidden="1"/>
    </xf>
    <xf numFmtId="0" fontId="10" fillId="0" borderId="33" xfId="0" quotePrefix="1" applyFont="1" applyBorder="1" applyAlignment="1" applyProtection="1">
      <alignment horizontal="center" vertical="center" shrinkToFit="1"/>
      <protection hidden="1"/>
    </xf>
    <xf numFmtId="0" fontId="1" fillId="0" borderId="9" xfId="0" applyFont="1" applyBorder="1" applyAlignment="1" applyProtection="1">
      <alignment horizontal="left" vertical="center"/>
      <protection hidden="1"/>
    </xf>
    <xf numFmtId="0" fontId="1" fillId="0" borderId="15" xfId="0" applyFont="1" applyBorder="1" applyAlignment="1" applyProtection="1">
      <alignment horizontal="left" vertical="center"/>
      <protection hidden="1"/>
    </xf>
    <xf numFmtId="0" fontId="1" fillId="0" borderId="47" xfId="0" applyFont="1" applyBorder="1" applyAlignment="1" applyProtection="1">
      <alignment horizontal="left" vertical="center"/>
      <protection hidden="1"/>
    </xf>
    <xf numFmtId="0" fontId="2" fillId="0" borderId="33" xfId="0" applyFont="1" applyBorder="1" applyAlignment="1" applyProtection="1">
      <alignment shrinkToFit="1"/>
      <protection hidden="1"/>
    </xf>
    <xf numFmtId="0" fontId="1" fillId="7" borderId="0" xfId="0" applyFont="1" applyFill="1" applyAlignment="1" applyProtection="1">
      <alignment horizontal="left" vertical="center"/>
      <protection hidden="1"/>
    </xf>
    <xf numFmtId="0" fontId="1" fillId="7" borderId="0" xfId="0" applyFont="1" applyFill="1" applyAlignment="1" applyProtection="1">
      <alignment horizontal="center" vertical="center"/>
      <protection hidden="1"/>
    </xf>
    <xf numFmtId="0" fontId="1" fillId="7" borderId="0" xfId="0" applyFont="1" applyFill="1" applyAlignment="1" applyProtection="1">
      <alignment horizontal="center"/>
      <protection hidden="1"/>
    </xf>
    <xf numFmtId="0" fontId="9" fillId="7" borderId="0" xfId="0" applyFont="1" applyFill="1" applyAlignment="1" applyProtection="1">
      <alignment horizontal="center" vertical="center"/>
      <protection hidden="1"/>
    </xf>
    <xf numFmtId="0" fontId="2" fillId="4" borderId="26" xfId="0" applyFont="1" applyFill="1" applyBorder="1" applyAlignment="1" applyProtection="1">
      <alignment horizontal="center" vertical="center" shrinkToFit="1"/>
      <protection hidden="1"/>
    </xf>
    <xf numFmtId="0" fontId="2" fillId="4" borderId="37" xfId="0" applyFont="1" applyFill="1" applyBorder="1" applyAlignment="1" applyProtection="1">
      <alignment horizontal="center" vertical="center" shrinkToFit="1"/>
      <protection hidden="1"/>
    </xf>
    <xf numFmtId="0" fontId="1" fillId="4" borderId="93" xfId="0" applyFont="1" applyFill="1" applyBorder="1" applyAlignment="1" applyProtection="1">
      <alignment horizontal="center" vertical="center" shrinkToFit="1"/>
      <protection hidden="1"/>
    </xf>
    <xf numFmtId="0" fontId="1" fillId="0" borderId="66" xfId="0" applyFont="1" applyBorder="1" applyAlignment="1" applyProtection="1">
      <alignment horizontal="left" vertical="center" shrinkToFit="1"/>
      <protection hidden="1"/>
    </xf>
    <xf numFmtId="165" fontId="1" fillId="0" borderId="39" xfId="0" applyNumberFormat="1" applyFont="1" applyBorder="1" applyAlignment="1" applyProtection="1">
      <alignment horizontal="center" vertical="center" shrinkToFit="1"/>
      <protection hidden="1"/>
    </xf>
    <xf numFmtId="165" fontId="1" fillId="0" borderId="40" xfId="0" applyNumberFormat="1" applyFont="1" applyBorder="1" applyAlignment="1" applyProtection="1">
      <alignment horizontal="center" vertical="center" shrinkToFit="1"/>
      <protection hidden="1"/>
    </xf>
    <xf numFmtId="165" fontId="1" fillId="0" borderId="41" xfId="0" applyNumberFormat="1" applyFont="1" applyBorder="1" applyAlignment="1" applyProtection="1">
      <alignment horizontal="center" vertical="center" shrinkToFit="1"/>
      <protection hidden="1"/>
    </xf>
    <xf numFmtId="165" fontId="1" fillId="0" borderId="64" xfId="0" applyNumberFormat="1" applyFont="1" applyBorder="1" applyAlignment="1" applyProtection="1">
      <alignment horizontal="center" vertical="center" shrinkToFit="1"/>
      <protection hidden="1"/>
    </xf>
    <xf numFmtId="0" fontId="1" fillId="4" borderId="32" xfId="0" applyFont="1" applyFill="1" applyBorder="1" applyAlignment="1" applyProtection="1">
      <alignment horizontal="center" vertical="center" shrinkToFit="1"/>
      <protection hidden="1"/>
    </xf>
    <xf numFmtId="0" fontId="1" fillId="0" borderId="12" xfId="0" applyFont="1" applyBorder="1" applyAlignment="1" applyProtection="1">
      <alignment horizontal="left" vertical="center" shrinkToFit="1"/>
      <protection hidden="1"/>
    </xf>
    <xf numFmtId="165" fontId="1" fillId="0" borderId="18" xfId="0" applyNumberFormat="1" applyFont="1" applyBorder="1" applyAlignment="1" applyProtection="1">
      <alignment horizontal="center" vertical="center" shrinkToFit="1"/>
      <protection hidden="1"/>
    </xf>
    <xf numFmtId="165" fontId="1" fillId="0" borderId="1" xfId="0" applyNumberFormat="1" applyFont="1" applyBorder="1" applyAlignment="1" applyProtection="1">
      <alignment horizontal="center" vertical="center" shrinkToFit="1"/>
      <protection hidden="1"/>
    </xf>
    <xf numFmtId="165" fontId="1" fillId="0" borderId="13" xfId="0" applyNumberFormat="1" applyFont="1" applyBorder="1" applyAlignment="1" applyProtection="1">
      <alignment horizontal="center" vertical="center" shrinkToFit="1"/>
      <protection hidden="1"/>
    </xf>
    <xf numFmtId="165" fontId="1" fillId="0" borderId="3" xfId="0" applyNumberFormat="1" applyFont="1" applyBorder="1" applyAlignment="1" applyProtection="1">
      <alignment horizontal="center" vertical="center" shrinkToFit="1"/>
      <protection hidden="1"/>
    </xf>
    <xf numFmtId="0" fontId="1" fillId="4" borderId="95" xfId="0" applyFont="1" applyFill="1" applyBorder="1" applyAlignment="1" applyProtection="1">
      <alignment horizontal="center" vertical="center" shrinkToFit="1"/>
      <protection hidden="1"/>
    </xf>
    <xf numFmtId="0" fontId="1" fillId="0" borderId="97" xfId="0" applyFont="1" applyBorder="1" applyAlignment="1" applyProtection="1">
      <alignment horizontal="left" vertical="center" shrinkToFit="1"/>
      <protection hidden="1"/>
    </xf>
    <xf numFmtId="165" fontId="1" fillId="0" borderId="42" xfId="0" applyNumberFormat="1" applyFont="1" applyBorder="1" applyAlignment="1" applyProtection="1">
      <alignment horizontal="center" vertical="center" shrinkToFit="1"/>
      <protection hidden="1"/>
    </xf>
    <xf numFmtId="165" fontId="1" fillId="0" borderId="43" xfId="0" applyNumberFormat="1" applyFont="1" applyBorder="1" applyAlignment="1" applyProtection="1">
      <alignment horizontal="center" vertical="center" shrinkToFit="1"/>
      <protection hidden="1"/>
    </xf>
    <xf numFmtId="165" fontId="1" fillId="0" borderId="44" xfId="0" applyNumberFormat="1" applyFont="1" applyBorder="1" applyAlignment="1" applyProtection="1">
      <alignment horizontal="center" vertical="center" shrinkToFit="1"/>
      <protection hidden="1"/>
    </xf>
    <xf numFmtId="165" fontId="1" fillId="0" borderId="78" xfId="0" applyNumberFormat="1" applyFont="1" applyBorder="1" applyAlignment="1" applyProtection="1">
      <alignment horizontal="center" vertical="center" shrinkToFit="1"/>
      <protection hidden="1"/>
    </xf>
    <xf numFmtId="0" fontId="1" fillId="4" borderId="31" xfId="0" applyFont="1" applyFill="1" applyBorder="1" applyAlignment="1" applyProtection="1">
      <alignment horizontal="center" vertical="center" shrinkToFit="1"/>
      <protection hidden="1"/>
    </xf>
    <xf numFmtId="0" fontId="1" fillId="0" borderId="10" xfId="0" applyFont="1" applyBorder="1" applyAlignment="1" applyProtection="1">
      <alignment horizontal="left" vertical="center" shrinkToFit="1"/>
      <protection hidden="1"/>
    </xf>
    <xf numFmtId="165" fontId="1" fillId="0" borderId="17" xfId="0" applyNumberFormat="1" applyFont="1" applyBorder="1" applyAlignment="1" applyProtection="1">
      <alignment horizontal="center" vertical="center" shrinkToFit="1"/>
      <protection hidden="1"/>
    </xf>
    <xf numFmtId="165" fontId="1" fillId="0" borderId="4" xfId="0" applyNumberFormat="1" applyFont="1" applyBorder="1" applyAlignment="1" applyProtection="1">
      <alignment horizontal="center" vertical="center" shrinkToFit="1"/>
      <protection hidden="1"/>
    </xf>
    <xf numFmtId="165" fontId="1" fillId="0" borderId="11" xfId="0" applyNumberFormat="1" applyFont="1" applyBorder="1" applyAlignment="1" applyProtection="1">
      <alignment horizontal="center" vertical="center" shrinkToFit="1"/>
      <protection hidden="1"/>
    </xf>
    <xf numFmtId="165" fontId="1" fillId="0" borderId="6" xfId="0" applyNumberFormat="1" applyFont="1" applyBorder="1" applyAlignment="1" applyProtection="1">
      <alignment horizontal="center" vertical="center" shrinkToFit="1"/>
      <protection hidden="1"/>
    </xf>
    <xf numFmtId="0" fontId="1" fillId="0" borderId="12" xfId="0" applyFont="1" applyBorder="1" applyAlignment="1" applyProtection="1">
      <alignment horizontal="center" vertical="center" shrinkToFit="1"/>
      <protection hidden="1"/>
    </xf>
    <xf numFmtId="0" fontId="1" fillId="4" borderId="79" xfId="0" applyFont="1" applyFill="1" applyBorder="1" applyAlignment="1" applyProtection="1">
      <alignment horizontal="center" vertical="center" shrinkToFit="1"/>
      <protection hidden="1"/>
    </xf>
    <xf numFmtId="0" fontId="2" fillId="4" borderId="48" xfId="0" applyFont="1" applyFill="1" applyBorder="1" applyAlignment="1" applyProtection="1">
      <alignment horizontal="center" shrinkToFit="1"/>
      <protection hidden="1"/>
    </xf>
    <xf numFmtId="0" fontId="1" fillId="4" borderId="83" xfId="0" applyFont="1" applyFill="1" applyBorder="1" applyAlignment="1" applyProtection="1">
      <alignment horizontal="center" shrinkToFit="1"/>
      <protection hidden="1"/>
    </xf>
    <xf numFmtId="0" fontId="1" fillId="4" borderId="87" xfId="0" applyFont="1" applyFill="1" applyBorder="1" applyAlignment="1" applyProtection="1">
      <alignment horizontal="center" shrinkToFit="1"/>
      <protection hidden="1"/>
    </xf>
    <xf numFmtId="0" fontId="1" fillId="4" borderId="86" xfId="0" applyFont="1" applyFill="1" applyBorder="1" applyAlignment="1" applyProtection="1">
      <alignment horizontal="center" shrinkToFit="1"/>
      <protection hidden="1"/>
    </xf>
    <xf numFmtId="0" fontId="2" fillId="4" borderId="85" xfId="0" applyFont="1" applyFill="1" applyBorder="1" applyAlignment="1" applyProtection="1">
      <alignment horizontal="center" shrinkToFit="1"/>
      <protection hidden="1"/>
    </xf>
    <xf numFmtId="0" fontId="2" fillId="4" borderId="84" xfId="0" applyFont="1" applyFill="1" applyBorder="1" applyAlignment="1" applyProtection="1">
      <alignment horizontal="center" shrinkToFit="1"/>
      <protection hidden="1"/>
    </xf>
    <xf numFmtId="0" fontId="1" fillId="0" borderId="48" xfId="0" applyFont="1" applyBorder="1" applyAlignment="1" applyProtection="1">
      <alignment horizontal="center" shrinkToFit="1"/>
      <protection hidden="1"/>
    </xf>
    <xf numFmtId="0" fontId="1" fillId="0" borderId="83" xfId="0" applyFont="1" applyBorder="1" applyAlignment="1" applyProtection="1">
      <alignment horizontal="center" shrinkToFit="1"/>
      <protection hidden="1"/>
    </xf>
    <xf numFmtId="0" fontId="1" fillId="0" borderId="113" xfId="0" applyFont="1" applyBorder="1" applyAlignment="1" applyProtection="1">
      <alignment horizontal="center" shrinkToFit="1"/>
      <protection hidden="1"/>
    </xf>
    <xf numFmtId="0" fontId="1" fillId="0" borderId="84" xfId="0" applyFont="1" applyBorder="1" applyAlignment="1" applyProtection="1">
      <alignment horizontal="center" shrinkToFit="1"/>
      <protection hidden="1"/>
    </xf>
    <xf numFmtId="0" fontId="1" fillId="0" borderId="0" xfId="0" applyFont="1" applyAlignment="1" applyProtection="1">
      <alignment horizontal="center" shrinkToFit="1"/>
      <protection hidden="1"/>
    </xf>
    <xf numFmtId="0" fontId="1" fillId="4" borderId="64" xfId="0" applyFont="1" applyFill="1" applyBorder="1" applyAlignment="1" applyProtection="1">
      <alignment horizontal="center" shrinkToFit="1"/>
      <protection hidden="1"/>
    </xf>
    <xf numFmtId="0" fontId="1" fillId="4" borderId="40" xfId="0" applyFont="1" applyFill="1" applyBorder="1" applyAlignment="1" applyProtection="1">
      <alignment horizontal="center" shrinkToFit="1"/>
      <protection hidden="1"/>
    </xf>
    <xf numFmtId="0" fontId="1" fillId="4" borderId="65" xfId="0" applyFont="1" applyFill="1" applyBorder="1" applyAlignment="1" applyProtection="1">
      <alignment horizontal="center" shrinkToFit="1"/>
      <protection hidden="1"/>
    </xf>
    <xf numFmtId="0" fontId="1" fillId="4" borderId="41" xfId="0" applyFont="1" applyFill="1" applyBorder="1" applyAlignment="1" applyProtection="1">
      <alignment horizontal="left" shrinkToFit="1"/>
      <protection hidden="1"/>
    </xf>
    <xf numFmtId="1" fontId="1" fillId="4" borderId="39" xfId="0" applyNumberFormat="1" applyFont="1" applyFill="1" applyBorder="1" applyAlignment="1" applyProtection="1">
      <alignment horizontal="center" shrinkToFit="1"/>
      <protection hidden="1"/>
    </xf>
    <xf numFmtId="1" fontId="1" fillId="4" borderId="40" xfId="0" applyNumberFormat="1" applyFont="1" applyFill="1" applyBorder="1" applyAlignment="1" applyProtection="1">
      <alignment horizontal="center" shrinkToFit="1"/>
      <protection hidden="1"/>
    </xf>
    <xf numFmtId="1" fontId="2" fillId="4" borderId="41" xfId="0" applyNumberFormat="1" applyFont="1" applyFill="1" applyBorder="1" applyAlignment="1" applyProtection="1">
      <alignment horizontal="center" shrinkToFit="1"/>
      <protection hidden="1"/>
    </xf>
    <xf numFmtId="0" fontId="1" fillId="4" borderId="3" xfId="0" applyFont="1" applyFill="1" applyBorder="1" applyAlignment="1" applyProtection="1">
      <alignment horizontal="center" shrinkToFit="1"/>
      <protection hidden="1"/>
    </xf>
    <xf numFmtId="0" fontId="1" fillId="4" borderId="1" xfId="0" applyFont="1" applyFill="1" applyBorder="1" applyAlignment="1" applyProtection="1">
      <alignment horizontal="center" shrinkToFit="1"/>
      <protection hidden="1"/>
    </xf>
    <xf numFmtId="0" fontId="1" fillId="4" borderId="2" xfId="0" applyFont="1" applyFill="1" applyBorder="1" applyAlignment="1" applyProtection="1">
      <alignment horizontal="center" shrinkToFit="1"/>
      <protection hidden="1"/>
    </xf>
    <xf numFmtId="0" fontId="1" fillId="4" borderId="13" xfId="0" applyFont="1" applyFill="1" applyBorder="1" applyAlignment="1" applyProtection="1">
      <alignment horizontal="left" shrinkToFit="1"/>
      <protection hidden="1"/>
    </xf>
    <xf numFmtId="1" fontId="1" fillId="4" borderId="18" xfId="0" applyNumberFormat="1" applyFont="1" applyFill="1" applyBorder="1" applyAlignment="1" applyProtection="1">
      <alignment horizontal="center" shrinkToFit="1"/>
      <protection hidden="1"/>
    </xf>
    <xf numFmtId="1" fontId="1" fillId="4" borderId="1" xfId="0" applyNumberFormat="1" applyFont="1" applyFill="1" applyBorder="1" applyAlignment="1" applyProtection="1">
      <alignment horizontal="center" shrinkToFit="1"/>
      <protection hidden="1"/>
    </xf>
    <xf numFmtId="1" fontId="2" fillId="4" borderId="13" xfId="0" applyNumberFormat="1" applyFont="1" applyFill="1" applyBorder="1" applyAlignment="1" applyProtection="1">
      <alignment horizontal="center" shrinkToFit="1"/>
      <protection hidden="1"/>
    </xf>
    <xf numFmtId="1" fontId="1" fillId="4" borderId="42" xfId="0" applyNumberFormat="1" applyFont="1" applyFill="1" applyBorder="1" applyAlignment="1" applyProtection="1">
      <alignment horizontal="center" shrinkToFit="1"/>
      <protection hidden="1"/>
    </xf>
    <xf numFmtId="0" fontId="1" fillId="4" borderId="78" xfId="0" applyFont="1" applyFill="1" applyBorder="1" applyAlignment="1" applyProtection="1">
      <alignment horizontal="center" shrinkToFit="1"/>
      <protection hidden="1"/>
    </xf>
    <xf numFmtId="0" fontId="1" fillId="4" borderId="43" xfId="0" applyFont="1" applyFill="1" applyBorder="1" applyAlignment="1" applyProtection="1">
      <alignment horizontal="center" shrinkToFit="1"/>
      <protection hidden="1"/>
    </xf>
    <xf numFmtId="0" fontId="1" fillId="4" borderId="72" xfId="0" applyFont="1" applyFill="1" applyBorder="1" applyAlignment="1" applyProtection="1">
      <alignment horizontal="center" shrinkToFit="1"/>
      <protection hidden="1"/>
    </xf>
    <xf numFmtId="0" fontId="1" fillId="4" borderId="44" xfId="0" applyFont="1" applyFill="1" applyBorder="1" applyAlignment="1" applyProtection="1">
      <alignment horizontal="left" shrinkToFit="1"/>
      <protection hidden="1"/>
    </xf>
    <xf numFmtId="1" fontId="1" fillId="4" borderId="78" xfId="0" applyNumberFormat="1" applyFont="1" applyFill="1" applyBorder="1" applyAlignment="1" applyProtection="1">
      <alignment horizontal="center" shrinkToFit="1"/>
      <protection hidden="1"/>
    </xf>
    <xf numFmtId="1" fontId="2" fillId="4" borderId="92" xfId="0" applyNumberFormat="1" applyFont="1" applyFill="1" applyBorder="1" applyAlignment="1" applyProtection="1">
      <alignment horizontal="center" shrinkToFit="1"/>
      <protection hidden="1"/>
    </xf>
    <xf numFmtId="0" fontId="1" fillId="0" borderId="34" xfId="0" applyFont="1" applyBorder="1" applyAlignment="1" applyProtection="1">
      <alignment horizontal="center" vertical="center" shrinkToFit="1"/>
      <protection locked="0"/>
    </xf>
    <xf numFmtId="0" fontId="1" fillId="0" borderId="66" xfId="0" applyFont="1" applyBorder="1" applyAlignment="1" applyProtection="1">
      <alignment horizontal="left" vertical="center" shrinkToFit="1"/>
      <protection locked="0"/>
    </xf>
    <xf numFmtId="0" fontId="1" fillId="0" borderId="71" xfId="0" applyFont="1" applyBorder="1" applyAlignment="1" applyProtection="1">
      <alignment horizontal="left" vertical="center" shrinkToFit="1"/>
      <protection locked="0"/>
    </xf>
    <xf numFmtId="165" fontId="1" fillId="0" borderId="39" xfId="0" applyNumberFormat="1" applyFont="1" applyBorder="1" applyAlignment="1" applyProtection="1">
      <alignment horizontal="center" vertical="center" shrinkToFit="1"/>
      <protection locked="0"/>
    </xf>
    <xf numFmtId="165" fontId="1" fillId="0" borderId="40" xfId="0" applyNumberFormat="1" applyFont="1" applyBorder="1" applyAlignment="1" applyProtection="1">
      <alignment horizontal="center" vertical="center" shrinkToFit="1"/>
      <protection locked="0"/>
    </xf>
    <xf numFmtId="165" fontId="1" fillId="0" borderId="41" xfId="0" applyNumberFormat="1" applyFont="1" applyBorder="1" applyAlignment="1" applyProtection="1">
      <alignment horizontal="center" vertical="center" shrinkToFit="1"/>
      <protection locked="0"/>
    </xf>
    <xf numFmtId="165" fontId="1" fillId="0" borderId="64" xfId="0" applyNumberFormat="1" applyFont="1" applyBorder="1" applyAlignment="1" applyProtection="1">
      <alignment horizontal="center" vertical="center" shrinkToFit="1"/>
      <protection locked="0"/>
    </xf>
    <xf numFmtId="0" fontId="1" fillId="0" borderId="39" xfId="0" applyFont="1" applyBorder="1" applyAlignment="1" applyProtection="1">
      <alignment horizontal="center" vertical="center" shrinkToFit="1"/>
      <protection locked="0"/>
    </xf>
    <xf numFmtId="0" fontId="1" fillId="0" borderId="40" xfId="0" applyFont="1" applyBorder="1" applyAlignment="1" applyProtection="1">
      <alignment horizontal="center" vertical="center" shrinkToFit="1"/>
      <protection locked="0"/>
    </xf>
    <xf numFmtId="0" fontId="1" fillId="0" borderId="41" xfId="0" applyFont="1" applyBorder="1" applyAlignment="1" applyProtection="1">
      <alignment horizontal="center" vertical="center" shrinkToFit="1"/>
      <protection locked="0"/>
    </xf>
    <xf numFmtId="164" fontId="1" fillId="0" borderId="64" xfId="0" applyNumberFormat="1" applyFont="1" applyBorder="1" applyAlignment="1" applyProtection="1">
      <alignment horizontal="center" vertical="center" shrinkToFit="1"/>
      <protection locked="0"/>
    </xf>
    <xf numFmtId="49" fontId="1" fillId="0" borderId="32" xfId="0" applyNumberFormat="1" applyFont="1" applyBorder="1" applyAlignment="1" applyProtection="1">
      <alignment horizontal="center" vertical="center" shrinkToFit="1"/>
      <protection locked="0"/>
    </xf>
    <xf numFmtId="49" fontId="1" fillId="0" borderId="21" xfId="0" applyNumberFormat="1" applyFont="1" applyBorder="1" applyAlignment="1" applyProtection="1">
      <alignment horizontal="center" vertical="center" shrinkToFit="1"/>
      <protection locked="0"/>
    </xf>
    <xf numFmtId="49" fontId="1" fillId="0" borderId="7" xfId="0" applyNumberFormat="1" applyFont="1" applyBorder="1" applyAlignment="1" applyProtection="1">
      <alignment horizontal="center" vertical="center" shrinkToFit="1"/>
      <protection locked="0"/>
    </xf>
    <xf numFmtId="49" fontId="1" fillId="0" borderId="28" xfId="0" applyNumberFormat="1" applyFont="1" applyBorder="1" applyAlignment="1" applyProtection="1">
      <alignment horizontal="center" vertical="center" shrinkToFit="1"/>
      <protection locked="0"/>
    </xf>
    <xf numFmtId="0" fontId="1" fillId="0" borderId="21" xfId="0" applyFont="1" applyBorder="1" applyAlignment="1" applyProtection="1">
      <alignment horizontal="center" vertical="center" shrinkToFit="1"/>
      <protection locked="0"/>
    </xf>
    <xf numFmtId="0" fontId="1" fillId="0" borderId="12" xfId="0" applyFont="1" applyBorder="1" applyAlignment="1" applyProtection="1">
      <alignment horizontal="left" vertical="center" shrinkToFit="1"/>
      <protection locked="0"/>
    </xf>
    <xf numFmtId="0" fontId="1" fillId="0" borderId="7" xfId="0" applyFont="1" applyBorder="1" applyAlignment="1" applyProtection="1">
      <alignment horizontal="left" vertical="center" shrinkToFit="1"/>
      <protection locked="0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165" fontId="1" fillId="0" borderId="1" xfId="0" applyNumberFormat="1" applyFont="1" applyBorder="1" applyAlignment="1" applyProtection="1">
      <alignment horizontal="center" vertical="center" shrinkToFit="1"/>
      <protection locked="0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165" fontId="1" fillId="0" borderId="3" xfId="0" applyNumberFormat="1" applyFont="1" applyBorder="1" applyAlignment="1" applyProtection="1">
      <alignment horizontal="center" vertical="center" shrinkToFit="1"/>
      <protection locked="0"/>
    </xf>
    <xf numFmtId="165" fontId="1" fillId="0" borderId="21" xfId="0" applyNumberFormat="1" applyFont="1" applyBorder="1" applyAlignment="1" applyProtection="1">
      <alignment horizontal="center" vertical="center" shrinkToFit="1"/>
      <protection locked="0"/>
    </xf>
    <xf numFmtId="0" fontId="1" fillId="0" borderId="18" xfId="0" applyFont="1" applyBorder="1" applyAlignment="1" applyProtection="1">
      <alignment horizontal="center" vertical="center" shrinkToFit="1"/>
      <protection locked="0"/>
    </xf>
    <xf numFmtId="0" fontId="1" fillId="0" borderId="1" xfId="0" applyFont="1" applyBorder="1" applyAlignment="1" applyProtection="1">
      <alignment horizontal="center" vertical="center" shrinkToFit="1"/>
      <protection locked="0"/>
    </xf>
    <xf numFmtId="0" fontId="1" fillId="0" borderId="13" xfId="0" applyFont="1" applyBorder="1" applyAlignment="1" applyProtection="1">
      <alignment horizontal="center" vertical="center" shrinkToFit="1"/>
      <protection locked="0"/>
    </xf>
    <xf numFmtId="164" fontId="1" fillId="0" borderId="3" xfId="0" applyNumberFormat="1" applyFont="1" applyBorder="1" applyAlignment="1" applyProtection="1">
      <alignment horizontal="center" vertical="center" shrinkToFit="1"/>
      <protection locked="0"/>
    </xf>
    <xf numFmtId="164" fontId="1" fillId="0" borderId="21" xfId="0" applyNumberFormat="1" applyFont="1" applyBorder="1" applyAlignment="1" applyProtection="1">
      <alignment horizontal="center" vertical="center" shrinkToFit="1"/>
      <protection locked="0"/>
    </xf>
    <xf numFmtId="0" fontId="1" fillId="0" borderId="96" xfId="0" applyFont="1" applyBorder="1" applyAlignment="1" applyProtection="1">
      <alignment horizontal="center" vertical="center" shrinkToFit="1"/>
      <protection locked="0"/>
    </xf>
    <xf numFmtId="0" fontId="1" fillId="0" borderId="97" xfId="0" applyFont="1" applyBorder="1" applyAlignment="1" applyProtection="1">
      <alignment horizontal="left" vertical="center" shrinkToFit="1"/>
      <protection locked="0"/>
    </xf>
    <xf numFmtId="0" fontId="1" fillId="0" borderId="98" xfId="0" applyFont="1" applyBorder="1" applyAlignment="1" applyProtection="1">
      <alignment horizontal="left" vertical="center" shrinkToFit="1"/>
      <protection locked="0"/>
    </xf>
    <xf numFmtId="49" fontId="1" fillId="0" borderId="96" xfId="0" applyNumberFormat="1" applyFont="1" applyBorder="1" applyAlignment="1" applyProtection="1">
      <alignment horizontal="center" vertical="center" shrinkToFit="1"/>
      <protection locked="0"/>
    </xf>
    <xf numFmtId="49" fontId="1" fillId="0" borderId="98" xfId="0" applyNumberFormat="1" applyFont="1" applyBorder="1" applyAlignment="1" applyProtection="1">
      <alignment horizontal="center" vertical="center" shrinkToFit="1"/>
      <protection locked="0"/>
    </xf>
    <xf numFmtId="165" fontId="1" fillId="0" borderId="42" xfId="0" applyNumberFormat="1" applyFont="1" applyBorder="1" applyAlignment="1" applyProtection="1">
      <alignment horizontal="center" vertical="center" shrinkToFit="1"/>
      <protection locked="0"/>
    </xf>
    <xf numFmtId="165" fontId="1" fillId="0" borderId="43" xfId="0" applyNumberFormat="1" applyFont="1" applyBorder="1" applyAlignment="1" applyProtection="1">
      <alignment horizontal="center" vertical="center" shrinkToFit="1"/>
      <protection locked="0"/>
    </xf>
    <xf numFmtId="165" fontId="1" fillId="0" borderId="44" xfId="0" applyNumberFormat="1" applyFont="1" applyBorder="1" applyAlignment="1" applyProtection="1">
      <alignment horizontal="center" vertical="center" shrinkToFit="1"/>
      <protection locked="0"/>
    </xf>
    <xf numFmtId="165" fontId="1" fillId="0" borderId="78" xfId="0" applyNumberFormat="1" applyFont="1" applyBorder="1" applyAlignment="1" applyProtection="1">
      <alignment horizontal="center" vertical="center" shrinkToFit="1"/>
      <protection locked="0"/>
    </xf>
    <xf numFmtId="165" fontId="1" fillId="0" borderId="96" xfId="0" applyNumberFormat="1" applyFont="1" applyBorder="1" applyAlignment="1" applyProtection="1">
      <alignment horizontal="center" vertical="center" shrinkToFit="1"/>
      <protection locked="0"/>
    </xf>
    <xf numFmtId="0" fontId="1" fillId="0" borderId="102" xfId="0" applyFont="1" applyBorder="1" applyAlignment="1" applyProtection="1">
      <alignment horizontal="center" vertical="center" shrinkToFit="1"/>
      <protection locked="0"/>
    </xf>
    <xf numFmtId="0" fontId="1" fillId="0" borderId="103" xfId="0" applyFont="1" applyBorder="1" applyAlignment="1" applyProtection="1">
      <alignment horizontal="center" vertical="center" shrinkToFit="1"/>
      <protection locked="0"/>
    </xf>
    <xf numFmtId="0" fontId="1" fillId="0" borderId="104" xfId="0" applyFont="1" applyBorder="1" applyAlignment="1" applyProtection="1">
      <alignment horizontal="center" vertical="center" shrinkToFit="1"/>
      <protection locked="0"/>
    </xf>
    <xf numFmtId="164" fontId="1" fillId="0" borderId="100" xfId="0" applyNumberFormat="1" applyFont="1" applyBorder="1" applyAlignment="1" applyProtection="1">
      <alignment horizontal="center" vertical="center" shrinkToFit="1"/>
      <protection locked="0"/>
    </xf>
    <xf numFmtId="164" fontId="1" fillId="0" borderId="96" xfId="0" applyNumberFormat="1" applyFont="1" applyBorder="1" applyAlignment="1" applyProtection="1">
      <alignment horizontal="center" vertical="center" shrinkToFit="1"/>
      <protection locked="0"/>
    </xf>
    <xf numFmtId="49" fontId="1" fillId="0" borderId="95" xfId="0" applyNumberFormat="1" applyFont="1" applyBorder="1" applyAlignment="1" applyProtection="1">
      <alignment horizontal="center" vertical="center" shrinkToFit="1"/>
      <protection locked="0"/>
    </xf>
    <xf numFmtId="49" fontId="1" fillId="0" borderId="99" xfId="0" applyNumberFormat="1" applyFont="1" applyBorder="1" applyAlignment="1" applyProtection="1">
      <alignment horizontal="center" vertical="center" shrinkToFit="1"/>
      <protection locked="0"/>
    </xf>
    <xf numFmtId="0" fontId="1" fillId="0" borderId="20" xfId="0" applyFont="1" applyBorder="1" applyAlignment="1" applyProtection="1">
      <alignment horizontal="center" vertical="center" shrinkToFit="1"/>
      <protection locked="0"/>
    </xf>
    <xf numFmtId="0" fontId="1" fillId="0" borderId="10" xfId="0" applyFont="1" applyBorder="1" applyAlignment="1" applyProtection="1">
      <alignment horizontal="left" vertical="center" shrinkToFit="1"/>
      <protection locked="0"/>
    </xf>
    <xf numFmtId="0" fontId="1" fillId="0" borderId="16" xfId="0" applyFont="1" applyBorder="1" applyAlignment="1" applyProtection="1">
      <alignment horizontal="left" vertical="center" shrinkToFit="1"/>
      <protection locked="0"/>
    </xf>
    <xf numFmtId="49" fontId="1" fillId="0" borderId="20" xfId="0" applyNumberFormat="1" applyFont="1" applyBorder="1" applyAlignment="1" applyProtection="1">
      <alignment horizontal="center" vertical="center" shrinkToFit="1"/>
      <protection locked="0"/>
    </xf>
    <xf numFmtId="49" fontId="1" fillId="0" borderId="16" xfId="0" applyNumberFormat="1" applyFont="1" applyBorder="1" applyAlignment="1" applyProtection="1">
      <alignment horizontal="center" vertical="center" shrinkToFit="1"/>
      <protection locked="0"/>
    </xf>
    <xf numFmtId="165" fontId="1" fillId="0" borderId="17" xfId="0" applyNumberFormat="1" applyFont="1" applyBorder="1" applyAlignment="1" applyProtection="1">
      <alignment horizontal="center" vertical="center" shrinkToFit="1"/>
      <protection locked="0"/>
    </xf>
    <xf numFmtId="165" fontId="1" fillId="0" borderId="4" xfId="0" applyNumberFormat="1" applyFont="1" applyBorder="1" applyAlignment="1" applyProtection="1">
      <alignment horizontal="center" vertical="center" shrinkToFit="1"/>
      <protection locked="0"/>
    </xf>
    <xf numFmtId="165" fontId="1" fillId="0" borderId="11" xfId="0" applyNumberFormat="1" applyFont="1" applyBorder="1" applyAlignment="1" applyProtection="1">
      <alignment horizontal="center" vertical="center" shrinkToFit="1"/>
      <protection locked="0"/>
    </xf>
    <xf numFmtId="165" fontId="1" fillId="0" borderId="6" xfId="0" applyNumberFormat="1" applyFont="1" applyBorder="1" applyAlignment="1" applyProtection="1">
      <alignment horizontal="center" vertical="center" shrinkToFit="1"/>
      <protection locked="0"/>
    </xf>
    <xf numFmtId="165" fontId="1" fillId="0" borderId="20" xfId="0" applyNumberFormat="1" applyFont="1" applyBorder="1" applyAlignment="1" applyProtection="1">
      <alignment horizontal="center" vertical="center" shrinkToFit="1"/>
      <protection locked="0"/>
    </xf>
    <xf numFmtId="0" fontId="1" fillId="0" borderId="17" xfId="0" applyFont="1" applyBorder="1" applyAlignment="1" applyProtection="1">
      <alignment horizontal="center" vertical="center" shrinkToFit="1"/>
      <protection locked="0"/>
    </xf>
    <xf numFmtId="0" fontId="1" fillId="0" borderId="4" xfId="0" applyFont="1" applyBorder="1" applyAlignment="1" applyProtection="1">
      <alignment horizontal="center" vertical="center" shrinkToFit="1"/>
      <protection locked="0"/>
    </xf>
    <xf numFmtId="0" fontId="1" fillId="0" borderId="11" xfId="0" applyFont="1" applyBorder="1" applyAlignment="1" applyProtection="1">
      <alignment horizontal="center" vertical="center" shrinkToFit="1"/>
      <protection locked="0"/>
    </xf>
    <xf numFmtId="164" fontId="1" fillId="0" borderId="6" xfId="0" applyNumberFormat="1" applyFont="1" applyBorder="1" applyAlignment="1" applyProtection="1">
      <alignment horizontal="center" vertical="center" shrinkToFit="1"/>
      <protection locked="0"/>
    </xf>
    <xf numFmtId="164" fontId="1" fillId="0" borderId="20" xfId="0" applyNumberFormat="1" applyFont="1" applyBorder="1" applyAlignment="1" applyProtection="1">
      <alignment horizontal="center" vertical="center" shrinkToFit="1"/>
      <protection locked="0"/>
    </xf>
    <xf numFmtId="49" fontId="1" fillId="0" borderId="31" xfId="0" applyNumberFormat="1" applyFont="1" applyBorder="1" applyAlignment="1" applyProtection="1">
      <alignment horizontal="center" vertical="center" shrinkToFit="1"/>
      <protection locked="0"/>
    </xf>
    <xf numFmtId="49" fontId="1" fillId="0" borderId="27" xfId="0" applyNumberFormat="1" applyFont="1" applyBorder="1" applyAlignment="1" applyProtection="1">
      <alignment horizontal="center" vertical="center" shrinkToFit="1"/>
      <protection locked="0"/>
    </xf>
    <xf numFmtId="0" fontId="1" fillId="0" borderId="42" xfId="0" applyFont="1" applyBorder="1" applyAlignment="1" applyProtection="1">
      <alignment horizontal="center" vertical="center" shrinkToFit="1"/>
      <protection locked="0"/>
    </xf>
    <xf numFmtId="0" fontId="1" fillId="0" borderId="43" xfId="0" applyFont="1" applyBorder="1" applyAlignment="1" applyProtection="1">
      <alignment horizontal="center" vertical="center" shrinkToFit="1"/>
      <protection locked="0"/>
    </xf>
    <xf numFmtId="0" fontId="1" fillId="0" borderId="44" xfId="0" applyFont="1" applyBorder="1" applyAlignment="1" applyProtection="1">
      <alignment horizontal="center" vertical="center" shrinkToFit="1"/>
      <protection locked="0"/>
    </xf>
    <xf numFmtId="164" fontId="1" fillId="0" borderId="78" xfId="0" applyNumberFormat="1" applyFont="1" applyBorder="1" applyAlignment="1" applyProtection="1">
      <alignment horizontal="center" vertical="center" shrinkToFit="1"/>
      <protection locked="0"/>
    </xf>
    <xf numFmtId="0" fontId="1" fillId="0" borderId="12" xfId="0" applyFont="1" applyBorder="1" applyAlignment="1" applyProtection="1">
      <alignment horizontal="center" vertical="center" shrinkToFit="1"/>
      <protection locked="0"/>
    </xf>
    <xf numFmtId="0" fontId="1" fillId="0" borderId="74" xfId="0" applyFont="1" applyBorder="1" applyAlignment="1" applyProtection="1">
      <alignment horizontal="center" vertical="center" shrinkToFit="1"/>
      <protection locked="0"/>
    </xf>
    <xf numFmtId="0" fontId="1" fillId="0" borderId="80" xfId="0" applyFont="1" applyBorder="1" applyAlignment="1" applyProtection="1">
      <alignment horizontal="left" vertical="center" shrinkToFit="1"/>
      <protection locked="0"/>
    </xf>
    <xf numFmtId="0" fontId="1" fillId="0" borderId="81" xfId="0" applyFont="1" applyBorder="1" applyAlignment="1" applyProtection="1">
      <alignment horizontal="left" vertical="center" shrinkToFit="1"/>
      <protection locked="0"/>
    </xf>
    <xf numFmtId="49" fontId="1" fillId="0" borderId="74" xfId="0" applyNumberFormat="1" applyFont="1" applyBorder="1" applyAlignment="1" applyProtection="1">
      <alignment horizontal="center" vertical="center" shrinkToFit="1"/>
      <protection locked="0"/>
    </xf>
    <xf numFmtId="165" fontId="1" fillId="0" borderId="69" xfId="0" applyNumberFormat="1" applyFont="1" applyBorder="1" applyAlignment="1" applyProtection="1">
      <alignment horizontal="center" vertical="center" shrinkToFit="1"/>
      <protection locked="0"/>
    </xf>
    <xf numFmtId="165" fontId="1" fillId="0" borderId="73" xfId="0" applyNumberFormat="1" applyFont="1" applyBorder="1" applyAlignment="1" applyProtection="1">
      <alignment horizontal="center" vertical="center" shrinkToFit="1"/>
      <protection locked="0"/>
    </xf>
    <xf numFmtId="165" fontId="1" fillId="0" borderId="70" xfId="0" applyNumberFormat="1" applyFont="1" applyBorder="1" applyAlignment="1" applyProtection="1">
      <alignment horizontal="center" vertical="center" shrinkToFit="1"/>
      <protection locked="0"/>
    </xf>
    <xf numFmtId="165" fontId="1" fillId="0" borderId="67" xfId="0" applyNumberFormat="1" applyFont="1" applyBorder="1" applyAlignment="1" applyProtection="1">
      <alignment horizontal="center" vertical="center" shrinkToFit="1"/>
      <protection locked="0"/>
    </xf>
    <xf numFmtId="165" fontId="1" fillId="0" borderId="74" xfId="0" applyNumberFormat="1" applyFont="1" applyBorder="1" applyAlignment="1" applyProtection="1">
      <alignment horizontal="center" vertical="center" shrinkToFit="1"/>
      <protection locked="0"/>
    </xf>
    <xf numFmtId="0" fontId="1" fillId="0" borderId="69" xfId="0" applyFont="1" applyBorder="1" applyAlignment="1" applyProtection="1">
      <alignment horizontal="center" vertical="center" shrinkToFit="1"/>
      <protection locked="0"/>
    </xf>
    <xf numFmtId="0" fontId="1" fillId="0" borderId="73" xfId="0" applyFont="1" applyBorder="1" applyAlignment="1" applyProtection="1">
      <alignment horizontal="center" vertical="center" shrinkToFit="1"/>
      <protection locked="0"/>
    </xf>
    <xf numFmtId="0" fontId="1" fillId="0" borderId="70" xfId="0" applyFont="1" applyBorder="1" applyAlignment="1" applyProtection="1">
      <alignment horizontal="center" vertical="center" shrinkToFit="1"/>
      <protection locked="0"/>
    </xf>
    <xf numFmtId="164" fontId="1" fillId="0" borderId="67" xfId="0" applyNumberFormat="1" applyFont="1" applyBorder="1" applyAlignment="1" applyProtection="1">
      <alignment horizontal="center" vertical="center" shrinkToFit="1"/>
      <protection locked="0"/>
    </xf>
    <xf numFmtId="164" fontId="1" fillId="0" borderId="74" xfId="0" applyNumberFormat="1" applyFont="1" applyBorder="1" applyAlignment="1" applyProtection="1">
      <alignment horizontal="center" vertical="center" shrinkToFit="1"/>
      <protection locked="0"/>
    </xf>
    <xf numFmtId="49" fontId="1" fillId="0" borderId="111" xfId="0" applyNumberFormat="1" applyFont="1" applyBorder="1" applyAlignment="1" applyProtection="1">
      <alignment horizontal="center" vertical="center" shrinkToFit="1"/>
      <protection locked="0"/>
    </xf>
    <xf numFmtId="49" fontId="1" fillId="0" borderId="91" xfId="0" applyNumberFormat="1" applyFont="1" applyBorder="1" applyAlignment="1" applyProtection="1">
      <alignment horizontal="center" vertical="center" shrinkToFit="1"/>
      <protection locked="0"/>
    </xf>
    <xf numFmtId="49" fontId="1" fillId="0" borderId="112" xfId="0" applyNumberFormat="1" applyFont="1" applyBorder="1" applyAlignment="1" applyProtection="1">
      <alignment horizontal="center" vertical="center" shrinkToFit="1"/>
      <protection locked="0"/>
    </xf>
    <xf numFmtId="49" fontId="1" fillId="0" borderId="114" xfId="0" applyNumberFormat="1" applyFont="1" applyBorder="1" applyAlignment="1" applyProtection="1">
      <alignment horizontal="center" vertical="center" shrinkToFit="1"/>
      <protection locked="0"/>
    </xf>
    <xf numFmtId="1" fontId="1" fillId="4" borderId="90" xfId="0" applyNumberFormat="1" applyFont="1" applyFill="1" applyBorder="1" applyAlignment="1" applyProtection="1">
      <alignment horizontal="center" vertical="center" shrinkToFit="1"/>
      <protection hidden="1"/>
    </xf>
    <xf numFmtId="1" fontId="1" fillId="4" borderId="88" xfId="0" applyNumberFormat="1" applyFont="1" applyFill="1" applyBorder="1" applyAlignment="1" applyProtection="1">
      <alignment horizontal="center" vertical="center" shrinkToFit="1"/>
      <protection hidden="1"/>
    </xf>
    <xf numFmtId="1" fontId="1" fillId="4" borderId="89" xfId="0" applyNumberFormat="1" applyFont="1" applyFill="1" applyBorder="1" applyAlignment="1" applyProtection="1">
      <alignment horizontal="center" vertical="center" shrinkToFit="1"/>
      <protection hidden="1"/>
    </xf>
    <xf numFmtId="1" fontId="3" fillId="0" borderId="90" xfId="0" applyNumberFormat="1" applyFont="1" applyBorder="1" applyAlignment="1" applyProtection="1">
      <alignment horizontal="center" vertical="center" shrinkToFit="1"/>
      <protection hidden="1"/>
    </xf>
    <xf numFmtId="1" fontId="2" fillId="0" borderId="90" xfId="0" applyNumberFormat="1" applyFont="1" applyBorder="1" applyAlignment="1" applyProtection="1">
      <alignment horizontal="center" vertical="center" shrinkToFit="1"/>
      <protection hidden="1"/>
    </xf>
    <xf numFmtId="1" fontId="2" fillId="0" borderId="88" xfId="0" applyNumberFormat="1" applyFont="1" applyBorder="1" applyAlignment="1" applyProtection="1">
      <alignment horizontal="center" vertical="center" shrinkToFit="1"/>
      <protection hidden="1"/>
    </xf>
    <xf numFmtId="1" fontId="2" fillId="0" borderId="89" xfId="0" applyNumberFormat="1" applyFont="1" applyBorder="1" applyAlignment="1" applyProtection="1">
      <alignment horizontal="center" vertical="center" shrinkToFit="1"/>
      <protection hidden="1"/>
    </xf>
    <xf numFmtId="1" fontId="1" fillId="0" borderId="33" xfId="0" applyNumberFormat="1" applyFont="1" applyBorder="1" applyAlignment="1" applyProtection="1">
      <alignment horizontal="center" vertical="center" shrinkToFit="1"/>
      <protection hidden="1"/>
    </xf>
    <xf numFmtId="1" fontId="10" fillId="0" borderId="90" xfId="0" applyNumberFormat="1" applyFont="1" applyBorder="1" applyAlignment="1" applyProtection="1">
      <alignment horizontal="center" vertical="center" shrinkToFit="1"/>
      <protection hidden="1"/>
    </xf>
    <xf numFmtId="1" fontId="1" fillId="0" borderId="90" xfId="0" applyNumberFormat="1" applyFont="1" applyBorder="1" applyAlignment="1" applyProtection="1">
      <alignment horizontal="center" vertical="center" shrinkToFit="1"/>
      <protection hidden="1"/>
    </xf>
    <xf numFmtId="1" fontId="1" fillId="0" borderId="88" xfId="0" applyNumberFormat="1" applyFont="1" applyBorder="1" applyAlignment="1" applyProtection="1">
      <alignment horizontal="center" vertical="center" shrinkToFit="1"/>
      <protection hidden="1"/>
    </xf>
    <xf numFmtId="1" fontId="1" fillId="0" borderId="89" xfId="0" applyNumberFormat="1" applyFont="1" applyBorder="1" applyAlignment="1" applyProtection="1">
      <alignment horizontal="center" vertical="center" shrinkToFit="1"/>
      <protection hidden="1"/>
    </xf>
    <xf numFmtId="0" fontId="1" fillId="0" borderId="0" xfId="0" applyFont="1" applyProtection="1">
      <protection hidden="1"/>
    </xf>
    <xf numFmtId="0" fontId="2" fillId="7" borderId="0" xfId="0" applyFont="1" applyFill="1" applyAlignment="1" applyProtection="1">
      <alignment horizontal="center"/>
      <protection hidden="1"/>
    </xf>
    <xf numFmtId="0" fontId="1" fillId="7" borderId="0" xfId="0" applyFont="1" applyFill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0" fontId="1" fillId="0" borderId="66" xfId="0" applyFont="1" applyBorder="1" applyAlignment="1" applyProtection="1">
      <alignment horizontal="center" vertical="center" shrinkToFit="1"/>
      <protection hidden="1"/>
    </xf>
    <xf numFmtId="0" fontId="2" fillId="0" borderId="71" xfId="0" applyFont="1" applyBorder="1" applyAlignment="1" applyProtection="1">
      <alignment horizontal="left" vertical="center" shrinkToFit="1"/>
      <protection hidden="1"/>
    </xf>
    <xf numFmtId="164" fontId="2" fillId="0" borderId="10" xfId="0" applyNumberFormat="1" applyFont="1" applyBorder="1" applyAlignment="1" applyProtection="1">
      <alignment horizontal="center" vertical="center" shrinkToFit="1"/>
      <protection hidden="1"/>
    </xf>
    <xf numFmtId="164" fontId="2" fillId="0" borderId="20" xfId="0" applyNumberFormat="1" applyFont="1" applyBorder="1" applyAlignment="1" applyProtection="1">
      <alignment horizontal="center" vertical="center" shrinkToFit="1"/>
      <protection hidden="1"/>
    </xf>
    <xf numFmtId="0" fontId="2" fillId="0" borderId="7" xfId="0" applyFont="1" applyBorder="1" applyAlignment="1" applyProtection="1">
      <alignment horizontal="left" vertical="center" shrinkToFit="1"/>
      <protection hidden="1"/>
    </xf>
    <xf numFmtId="164" fontId="2" fillId="0" borderId="12" xfId="0" applyNumberFormat="1" applyFont="1" applyBorder="1" applyAlignment="1" applyProtection="1">
      <alignment horizontal="center" vertical="center" shrinkToFit="1"/>
      <protection hidden="1"/>
    </xf>
    <xf numFmtId="164" fontId="2" fillId="0" borderId="21" xfId="0" applyNumberFormat="1" applyFont="1" applyBorder="1" applyAlignment="1" applyProtection="1">
      <alignment horizontal="center" vertical="center" shrinkToFit="1"/>
      <protection hidden="1"/>
    </xf>
    <xf numFmtId="0" fontId="1" fillId="0" borderId="97" xfId="0" applyFont="1" applyBorder="1" applyAlignment="1" applyProtection="1">
      <alignment horizontal="center" vertical="center" shrinkToFit="1"/>
      <protection hidden="1"/>
    </xf>
    <xf numFmtId="0" fontId="2" fillId="0" borderId="98" xfId="0" applyFont="1" applyBorder="1" applyAlignment="1" applyProtection="1">
      <alignment horizontal="left" vertical="center" shrinkToFit="1"/>
      <protection hidden="1"/>
    </xf>
    <xf numFmtId="164" fontId="2" fillId="0" borderId="97" xfId="0" applyNumberFormat="1" applyFont="1" applyBorder="1" applyAlignment="1" applyProtection="1">
      <alignment horizontal="center" vertical="center" shrinkToFit="1"/>
      <protection hidden="1"/>
    </xf>
    <xf numFmtId="164" fontId="2" fillId="0" borderId="96" xfId="0" applyNumberFormat="1" applyFont="1" applyBorder="1" applyAlignment="1" applyProtection="1">
      <alignment horizontal="center" vertical="center" shrinkToFit="1"/>
      <protection hidden="1"/>
    </xf>
    <xf numFmtId="0" fontId="1" fillId="0" borderId="10" xfId="0" applyFont="1" applyBorder="1" applyAlignment="1" applyProtection="1">
      <alignment horizontal="center" vertical="center" shrinkToFit="1"/>
      <protection hidden="1"/>
    </xf>
    <xf numFmtId="0" fontId="2" fillId="0" borderId="16" xfId="0" applyFont="1" applyBorder="1" applyAlignment="1" applyProtection="1">
      <alignment horizontal="left" vertical="center" shrinkToFit="1"/>
      <protection hidden="1"/>
    </xf>
    <xf numFmtId="164" fontId="2" fillId="0" borderId="66" xfId="0" applyNumberFormat="1" applyFont="1" applyBorder="1" applyAlignment="1" applyProtection="1">
      <alignment horizontal="center" vertical="center" shrinkToFit="1"/>
      <protection hidden="1"/>
    </xf>
    <xf numFmtId="164" fontId="2" fillId="0" borderId="34" xfId="0" applyNumberFormat="1" applyFont="1" applyBorder="1" applyAlignment="1" applyProtection="1">
      <alignment horizontal="center" vertical="center" shrinkToFit="1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2" fillId="0" borderId="24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" fillId="0" borderId="105" xfId="0" applyFont="1" applyBorder="1" applyAlignment="1" applyProtection="1">
      <alignment horizontal="center" vertical="center" wrapText="1"/>
      <protection hidden="1"/>
    </xf>
    <xf numFmtId="0" fontId="2" fillId="14" borderId="56" xfId="0" applyFont="1" applyFill="1" applyBorder="1" applyAlignment="1" applyProtection="1">
      <alignment horizontal="center" vertical="center" wrapText="1"/>
      <protection hidden="1"/>
    </xf>
    <xf numFmtId="0" fontId="2" fillId="10" borderId="56" xfId="0" applyFont="1" applyFill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/>
      <protection hidden="1"/>
    </xf>
    <xf numFmtId="0" fontId="9" fillId="0" borderId="23" xfId="0" applyFont="1" applyBorder="1" applyAlignment="1" applyProtection="1">
      <alignment horizontal="left" vertical="center"/>
      <protection hidden="1"/>
    </xf>
    <xf numFmtId="0" fontId="9" fillId="0" borderId="25" xfId="0" applyFont="1" applyBorder="1" applyAlignment="1" applyProtection="1">
      <alignment horizontal="left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165" fontId="2" fillId="0" borderId="51" xfId="0" applyNumberFormat="1" applyFont="1" applyBorder="1" applyAlignment="1" applyProtection="1">
      <alignment horizontal="center" vertical="center"/>
      <protection hidden="1"/>
    </xf>
    <xf numFmtId="0" fontId="1" fillId="0" borderId="51" xfId="0" applyFont="1" applyBorder="1" applyAlignment="1" applyProtection="1">
      <alignment horizontal="center" vertical="center"/>
      <protection hidden="1"/>
    </xf>
    <xf numFmtId="0" fontId="1" fillId="0" borderId="50" xfId="0" applyFont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9" fillId="0" borderId="59" xfId="0" applyFont="1" applyBorder="1" applyAlignment="1" applyProtection="1">
      <alignment horizontal="left" vertical="center"/>
      <protection hidden="1"/>
    </xf>
    <xf numFmtId="0" fontId="9" fillId="0" borderId="60" xfId="0" applyFont="1" applyBorder="1" applyAlignment="1" applyProtection="1">
      <alignment horizontal="left" vertical="center"/>
      <protection hidden="1"/>
    </xf>
    <xf numFmtId="0" fontId="9" fillId="0" borderId="46" xfId="0" applyFont="1" applyBorder="1" applyAlignment="1" applyProtection="1">
      <alignment horizontal="center" vertical="center"/>
      <protection hidden="1"/>
    </xf>
    <xf numFmtId="165" fontId="1" fillId="0" borderId="61" xfId="0" applyNumberFormat="1" applyFont="1" applyBorder="1" applyAlignment="1" applyProtection="1">
      <alignment horizontal="center" vertical="center"/>
      <protection hidden="1"/>
    </xf>
    <xf numFmtId="165" fontId="1" fillId="0" borderId="33" xfId="0" applyNumberFormat="1" applyFont="1" applyBorder="1" applyAlignment="1" applyProtection="1">
      <alignment horizontal="center" vertical="center"/>
      <protection hidden="1"/>
    </xf>
    <xf numFmtId="165" fontId="1" fillId="0" borderId="62" xfId="0" applyNumberFormat="1" applyFont="1" applyBorder="1" applyAlignment="1" applyProtection="1">
      <alignment horizontal="center" vertical="center"/>
      <protection hidden="1"/>
    </xf>
    <xf numFmtId="165" fontId="2" fillId="0" borderId="33" xfId="0" applyNumberFormat="1" applyFont="1" applyBorder="1" applyAlignment="1" applyProtection="1">
      <alignment horizontal="center" vertical="center"/>
      <protection hidden="1"/>
    </xf>
    <xf numFmtId="0" fontId="1" fillId="0" borderId="62" xfId="0" applyFont="1" applyBorder="1" applyAlignment="1" applyProtection="1">
      <alignment horizontal="center" vertical="center"/>
      <protection hidden="1"/>
    </xf>
    <xf numFmtId="0" fontId="1" fillId="0" borderId="53" xfId="0" applyFont="1" applyBorder="1" applyAlignment="1" applyProtection="1">
      <alignment horizontal="center" vertical="center"/>
      <protection hidden="1"/>
    </xf>
    <xf numFmtId="0" fontId="9" fillId="0" borderId="53" xfId="0" applyFont="1" applyBorder="1" applyAlignment="1" applyProtection="1">
      <alignment horizontal="left" vertical="center"/>
      <protection hidden="1"/>
    </xf>
    <xf numFmtId="0" fontId="9" fillId="0" borderId="63" xfId="0" applyFont="1" applyBorder="1" applyAlignment="1" applyProtection="1">
      <alignment horizontal="left" vertical="center"/>
      <protection hidden="1"/>
    </xf>
    <xf numFmtId="0" fontId="9" fillId="0" borderId="105" xfId="0" applyFont="1" applyBorder="1" applyAlignment="1" applyProtection="1">
      <alignment horizontal="center" vertical="center"/>
      <protection hidden="1"/>
    </xf>
    <xf numFmtId="165" fontId="1" fillId="0" borderId="54" xfId="0" applyNumberFormat="1" applyFont="1" applyBorder="1" applyAlignment="1" applyProtection="1">
      <alignment horizontal="center" vertical="center"/>
      <protection hidden="1"/>
    </xf>
    <xf numFmtId="165" fontId="1" fillId="0" borderId="56" xfId="0" applyNumberFormat="1" applyFont="1" applyBorder="1" applyAlignment="1" applyProtection="1">
      <alignment horizontal="center" vertical="center"/>
      <protection hidden="1"/>
    </xf>
    <xf numFmtId="0" fontId="1" fillId="0" borderId="56" xfId="0" applyFont="1" applyBorder="1" applyAlignment="1" applyProtection="1">
      <alignment horizontal="center" vertical="center"/>
      <protection hidden="1"/>
    </xf>
    <xf numFmtId="165" fontId="1" fillId="0" borderId="55" xfId="0" applyNumberFormat="1" applyFont="1" applyBorder="1" applyAlignment="1" applyProtection="1">
      <alignment horizontal="center" vertical="center"/>
      <protection hidden="1"/>
    </xf>
    <xf numFmtId="165" fontId="2" fillId="0" borderId="56" xfId="0" applyNumberFormat="1" applyFont="1" applyBorder="1" applyAlignment="1" applyProtection="1">
      <alignment horizontal="center" vertical="center"/>
      <protection hidden="1"/>
    </xf>
    <xf numFmtId="0" fontId="1" fillId="0" borderId="55" xfId="0" applyFont="1" applyBorder="1" applyAlignment="1" applyProtection="1">
      <alignment horizontal="center" vertical="center"/>
      <protection hidden="1"/>
    </xf>
    <xf numFmtId="165" fontId="1" fillId="0" borderId="49" xfId="0" applyNumberFormat="1" applyFont="1" applyBorder="1" applyAlignment="1" applyProtection="1">
      <alignment horizontal="center" vertical="center"/>
      <protection hidden="1"/>
    </xf>
    <xf numFmtId="165" fontId="1" fillId="0" borderId="51" xfId="0" applyNumberFormat="1" applyFont="1" applyBorder="1" applyAlignment="1" applyProtection="1">
      <alignment horizontal="center" vertical="center"/>
      <protection hidden="1"/>
    </xf>
    <xf numFmtId="165" fontId="1" fillId="0" borderId="50" xfId="0" applyNumberFormat="1" applyFont="1" applyBorder="1" applyAlignment="1" applyProtection="1">
      <alignment horizontal="center" vertical="center"/>
      <protection hidden="1"/>
    </xf>
    <xf numFmtId="1" fontId="1" fillId="4" borderId="107" xfId="0" applyNumberFormat="1" applyFont="1" applyFill="1" applyBorder="1" applyAlignment="1" applyProtection="1">
      <alignment horizontal="center" vertical="center" shrinkToFit="1"/>
      <protection hidden="1"/>
    </xf>
    <xf numFmtId="1" fontId="1" fillId="4" borderId="108" xfId="0" applyNumberFormat="1" applyFont="1" applyFill="1" applyBorder="1" applyAlignment="1" applyProtection="1">
      <alignment horizontal="center" vertical="center" shrinkToFit="1"/>
      <protection hidden="1"/>
    </xf>
    <xf numFmtId="1" fontId="1" fillId="4" borderId="109" xfId="0" applyNumberFormat="1" applyFont="1" applyFill="1" applyBorder="1" applyAlignment="1" applyProtection="1">
      <alignment horizontal="center" vertical="center" shrinkToFit="1"/>
      <protection hidden="1"/>
    </xf>
    <xf numFmtId="0" fontId="2" fillId="2" borderId="19" xfId="0" applyFont="1" applyFill="1" applyBorder="1" applyAlignment="1" applyProtection="1">
      <alignment horizontal="center" vertical="center" shrinkToFit="1"/>
      <protection hidden="1"/>
    </xf>
    <xf numFmtId="1" fontId="2" fillId="0" borderId="33" xfId="0" applyNumberFormat="1" applyFont="1" applyBorder="1" applyAlignment="1" applyProtection="1">
      <alignment horizontal="center" vertical="center" shrinkToFit="1"/>
      <protection hidden="1"/>
    </xf>
    <xf numFmtId="1" fontId="3" fillId="0" borderId="33" xfId="0" applyNumberFormat="1" applyFont="1" applyBorder="1" applyAlignment="1" applyProtection="1">
      <alignment horizontal="center" vertical="center" shrinkToFit="1"/>
      <protection hidden="1"/>
    </xf>
    <xf numFmtId="1" fontId="10" fillId="0" borderId="33" xfId="0" applyNumberFormat="1" applyFont="1" applyBorder="1" applyAlignment="1" applyProtection="1">
      <alignment horizontal="center" vertical="center" shrinkToFit="1"/>
      <protection hidden="1"/>
    </xf>
    <xf numFmtId="0" fontId="23" fillId="0" borderId="0" xfId="3" applyFont="1" applyAlignment="1" applyProtection="1">
      <alignment vertical="center"/>
      <protection hidden="1"/>
    </xf>
    <xf numFmtId="0" fontId="24" fillId="0" borderId="0" xfId="3" applyFont="1" applyAlignment="1" applyProtection="1">
      <alignment vertical="center"/>
      <protection hidden="1"/>
    </xf>
    <xf numFmtId="0" fontId="24" fillId="0" borderId="0" xfId="3" applyFont="1" applyAlignment="1" applyProtection="1">
      <alignment horizontal="center" vertical="center"/>
      <protection hidden="1"/>
    </xf>
    <xf numFmtId="0" fontId="25" fillId="0" borderId="0" xfId="3" applyFont="1" applyAlignment="1" applyProtection="1">
      <alignment vertical="center"/>
      <protection hidden="1"/>
    </xf>
    <xf numFmtId="0" fontId="22" fillId="0" borderId="0" xfId="3" applyAlignment="1" applyProtection="1">
      <alignment vertical="center"/>
      <protection hidden="1"/>
    </xf>
    <xf numFmtId="0" fontId="27" fillId="0" borderId="90" xfId="3" applyFont="1" applyBorder="1" applyAlignment="1" applyProtection="1">
      <alignment horizontal="center" vertical="center" shrinkToFit="1"/>
      <protection hidden="1"/>
    </xf>
    <xf numFmtId="0" fontId="27" fillId="0" borderId="124" xfId="3" applyFont="1" applyBorder="1" applyAlignment="1" applyProtection="1">
      <alignment horizontal="center" vertical="center" shrinkToFit="1"/>
      <protection hidden="1"/>
    </xf>
    <xf numFmtId="0" fontId="27" fillId="0" borderId="89" xfId="3" applyFont="1" applyBorder="1" applyAlignment="1" applyProtection="1">
      <alignment horizontal="center" vertical="center" shrinkToFit="1"/>
      <protection hidden="1"/>
    </xf>
    <xf numFmtId="0" fontId="22" fillId="0" borderId="102" xfId="3" applyBorder="1" applyAlignment="1" applyProtection="1">
      <alignment horizontal="center" vertical="center"/>
      <protection hidden="1"/>
    </xf>
    <xf numFmtId="0" fontId="22" fillId="0" borderId="35" xfId="3" applyBorder="1" applyAlignment="1" applyProtection="1">
      <alignment horizontal="center" vertical="center" shrinkToFit="1"/>
      <protection hidden="1"/>
    </xf>
    <xf numFmtId="0" fontId="28" fillId="0" borderId="0" xfId="3" applyFont="1" applyAlignment="1" applyProtection="1">
      <alignment vertical="center"/>
      <protection hidden="1"/>
    </xf>
    <xf numFmtId="0" fontId="22" fillId="0" borderId="19" xfId="3" applyBorder="1" applyAlignment="1" applyProtection="1">
      <alignment horizontal="center" vertical="center"/>
      <protection hidden="1"/>
    </xf>
    <xf numFmtId="0" fontId="22" fillId="0" borderId="33" xfId="3" applyBorder="1" applyAlignment="1" applyProtection="1">
      <alignment horizontal="center" vertical="center"/>
      <protection hidden="1"/>
    </xf>
    <xf numFmtId="0" fontId="22" fillId="0" borderId="106" xfId="3" applyBorder="1" applyAlignment="1" applyProtection="1">
      <alignment horizontal="center" vertical="center"/>
      <protection hidden="1"/>
    </xf>
    <xf numFmtId="0" fontId="22" fillId="0" borderId="22" xfId="3" applyBorder="1" applyAlignment="1" applyProtection="1">
      <alignment horizontal="center" vertical="center"/>
      <protection hidden="1"/>
    </xf>
    <xf numFmtId="0" fontId="1" fillId="8" borderId="33" xfId="0" applyFont="1" applyFill="1" applyBorder="1" applyAlignment="1" applyProtection="1">
      <alignment horizontal="center" vertical="center"/>
      <protection hidden="1"/>
    </xf>
    <xf numFmtId="0" fontId="1" fillId="5" borderId="19" xfId="0" applyFont="1" applyFill="1" applyBorder="1" applyAlignment="1" applyProtection="1">
      <alignment horizontal="center"/>
      <protection hidden="1"/>
    </xf>
    <xf numFmtId="0" fontId="1" fillId="5" borderId="22" xfId="0" applyFont="1" applyFill="1" applyBorder="1" applyAlignment="1" applyProtection="1">
      <alignment horizontal="center"/>
      <protection hidden="1"/>
    </xf>
    <xf numFmtId="0" fontId="1" fillId="6" borderId="0" xfId="0" applyFont="1" applyFill="1" applyAlignment="1" applyProtection="1">
      <alignment horizontal="center"/>
      <protection hidden="1"/>
    </xf>
    <xf numFmtId="0" fontId="1" fillId="6" borderId="0" xfId="0" applyFont="1" applyFill="1" applyProtection="1">
      <protection hidden="1"/>
    </xf>
    <xf numFmtId="0" fontId="1" fillId="4" borderId="0" xfId="0" applyFont="1" applyFill="1" applyProtection="1">
      <protection hidden="1"/>
    </xf>
    <xf numFmtId="0" fontId="1" fillId="9" borderId="0" xfId="0" applyFont="1" applyFill="1" applyAlignment="1" applyProtection="1">
      <alignment horizontal="center"/>
      <protection hidden="1"/>
    </xf>
    <xf numFmtId="0" fontId="1" fillId="4" borderId="33" xfId="0" applyFont="1" applyFill="1" applyBorder="1" applyAlignment="1" applyProtection="1">
      <alignment horizontal="left" vertical="center"/>
      <protection locked="0"/>
    </xf>
    <xf numFmtId="14" fontId="1" fillId="11" borderId="22" xfId="0" applyNumberFormat="1" applyFont="1" applyFill="1" applyBorder="1" applyAlignment="1" applyProtection="1">
      <alignment horizontal="center"/>
      <protection locked="0"/>
    </xf>
    <xf numFmtId="0" fontId="1" fillId="4" borderId="33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hidden="1"/>
    </xf>
    <xf numFmtId="0" fontId="1" fillId="5" borderId="22" xfId="0" applyFont="1" applyFill="1" applyBorder="1" applyAlignment="1" applyProtection="1">
      <alignment horizontal="center" vertical="center"/>
      <protection hidden="1"/>
    </xf>
    <xf numFmtId="0" fontId="9" fillId="4" borderId="33" xfId="0" applyFont="1" applyFill="1" applyBorder="1" applyAlignment="1" applyProtection="1">
      <alignment horizontal="center" vertical="center"/>
      <protection locked="0"/>
    </xf>
    <xf numFmtId="0" fontId="1" fillId="4" borderId="71" xfId="0" applyFont="1" applyFill="1" applyBorder="1" applyAlignment="1" applyProtection="1">
      <alignment horizontal="center" vertical="center" shrinkToFit="1"/>
      <protection hidden="1"/>
    </xf>
    <xf numFmtId="0" fontId="1" fillId="4" borderId="7" xfId="0" applyFont="1" applyFill="1" applyBorder="1" applyAlignment="1" applyProtection="1">
      <alignment horizontal="center" vertical="center" shrinkToFit="1"/>
      <protection hidden="1"/>
    </xf>
    <xf numFmtId="0" fontId="1" fillId="4" borderId="98" xfId="0" applyFont="1" applyFill="1" applyBorder="1" applyAlignment="1" applyProtection="1">
      <alignment horizontal="center" vertical="center" shrinkToFit="1"/>
      <protection hidden="1"/>
    </xf>
    <xf numFmtId="0" fontId="1" fillId="4" borderId="16" xfId="0" applyFont="1" applyFill="1" applyBorder="1" applyAlignment="1" applyProtection="1">
      <alignment horizontal="center" vertical="center" shrinkToFit="1"/>
      <protection hidden="1"/>
    </xf>
    <xf numFmtId="0" fontId="1" fillId="4" borderId="81" xfId="0" applyFont="1" applyFill="1" applyBorder="1" applyAlignment="1" applyProtection="1">
      <alignment horizontal="center" vertical="center" shrinkToFit="1"/>
      <protection hidden="1"/>
    </xf>
    <xf numFmtId="0" fontId="2" fillId="4" borderId="113" xfId="0" applyFont="1" applyFill="1" applyBorder="1" applyAlignment="1" applyProtection="1">
      <alignment horizontal="center" shrinkToFit="1"/>
      <protection hidden="1"/>
    </xf>
    <xf numFmtId="0" fontId="1" fillId="4" borderId="131" xfId="0" applyFont="1" applyFill="1" applyBorder="1" applyAlignment="1" applyProtection="1">
      <alignment horizontal="center" shrinkToFit="1"/>
      <protection hidden="1"/>
    </xf>
    <xf numFmtId="0" fontId="2" fillId="4" borderId="110" xfId="0" applyFont="1" applyFill="1" applyBorder="1" applyAlignment="1" applyProtection="1">
      <alignment horizontal="center" shrinkToFit="1"/>
      <protection hidden="1"/>
    </xf>
    <xf numFmtId="1" fontId="1" fillId="4" borderId="65" xfId="0" applyNumberFormat="1" applyFont="1" applyFill="1" applyBorder="1" applyAlignment="1" applyProtection="1">
      <alignment horizontal="center" shrinkToFit="1"/>
      <protection hidden="1"/>
    </xf>
    <xf numFmtId="1" fontId="1" fillId="4" borderId="2" xfId="0" applyNumberFormat="1" applyFont="1" applyFill="1" applyBorder="1" applyAlignment="1" applyProtection="1">
      <alignment horizontal="center" shrinkToFit="1"/>
      <protection hidden="1"/>
    </xf>
    <xf numFmtId="1" fontId="1" fillId="4" borderId="98" xfId="0" applyNumberFormat="1" applyFont="1" applyFill="1" applyBorder="1" applyAlignment="1" applyProtection="1">
      <alignment horizontal="center" shrinkToFit="1"/>
      <protection hidden="1"/>
    </xf>
    <xf numFmtId="0" fontId="0" fillId="0" borderId="0" xfId="0" applyProtection="1">
      <protection hidden="1"/>
    </xf>
    <xf numFmtId="0" fontId="0" fillId="7" borderId="0" xfId="0" applyFill="1" applyProtection="1">
      <protection hidden="1"/>
    </xf>
    <xf numFmtId="0" fontId="1" fillId="0" borderId="0" xfId="0" applyFont="1" applyAlignment="1" applyProtection="1">
      <alignment horizontal="center" vertical="center"/>
      <protection locked="0"/>
    </xf>
    <xf numFmtId="0" fontId="1" fillId="10" borderId="51" xfId="0" applyFont="1" applyFill="1" applyBorder="1" applyAlignment="1" applyProtection="1">
      <alignment horizontal="center" vertical="center"/>
      <protection locked="0"/>
    </xf>
    <xf numFmtId="0" fontId="1" fillId="10" borderId="33" xfId="0" applyFont="1" applyFill="1" applyBorder="1" applyAlignment="1" applyProtection="1">
      <alignment horizontal="center" vertical="center"/>
      <protection locked="0"/>
    </xf>
    <xf numFmtId="0" fontId="1" fillId="10" borderId="56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hidden="1"/>
    </xf>
    <xf numFmtId="0" fontId="1" fillId="0" borderId="33" xfId="0" applyFont="1" applyBorder="1" applyAlignment="1" applyProtection="1">
      <alignment horizontal="center" vertical="center" shrinkToFit="1"/>
      <protection locked="0"/>
    </xf>
    <xf numFmtId="0" fontId="2" fillId="0" borderId="0" xfId="0" applyFont="1" applyProtection="1">
      <protection hidden="1"/>
    </xf>
    <xf numFmtId="0" fontId="1" fillId="0" borderId="34" xfId="0" applyFont="1" applyBorder="1" applyAlignment="1" applyProtection="1">
      <alignment horizontal="center" vertical="center" shrinkToFit="1"/>
      <protection hidden="1"/>
    </xf>
    <xf numFmtId="0" fontId="1" fillId="0" borderId="21" xfId="0" applyFont="1" applyBorder="1" applyAlignment="1" applyProtection="1">
      <alignment horizontal="center" vertical="center" shrinkToFit="1"/>
      <protection hidden="1"/>
    </xf>
    <xf numFmtId="0" fontId="1" fillId="0" borderId="96" xfId="0" applyFont="1" applyBorder="1" applyAlignment="1" applyProtection="1">
      <alignment horizontal="center" vertical="center" shrinkToFit="1"/>
      <protection hidden="1"/>
    </xf>
    <xf numFmtId="0" fontId="1" fillId="0" borderId="20" xfId="0" applyFont="1" applyBorder="1" applyAlignment="1" applyProtection="1">
      <alignment horizontal="center" vertical="center" shrinkToFit="1"/>
      <protection hidden="1"/>
    </xf>
    <xf numFmtId="165" fontId="1" fillId="0" borderId="16" xfId="0" applyNumberFormat="1" applyFont="1" applyBorder="1" applyAlignment="1" applyProtection="1">
      <alignment horizontal="center" vertical="center" shrinkToFit="1"/>
      <protection hidden="1"/>
    </xf>
    <xf numFmtId="165" fontId="1" fillId="0" borderId="7" xfId="0" applyNumberFormat="1" applyFont="1" applyBorder="1" applyAlignment="1" applyProtection="1">
      <alignment horizontal="center" vertical="center" shrinkToFit="1"/>
      <protection hidden="1"/>
    </xf>
    <xf numFmtId="165" fontId="1" fillId="0" borderId="98" xfId="0" applyNumberFormat="1" applyFont="1" applyBorder="1" applyAlignment="1" applyProtection="1">
      <alignment horizontal="center" vertical="center" shrinkToFit="1"/>
      <protection hidden="1"/>
    </xf>
    <xf numFmtId="165" fontId="1" fillId="0" borderId="71" xfId="0" applyNumberFormat="1" applyFont="1" applyBorder="1" applyAlignment="1" applyProtection="1">
      <alignment horizontal="center" vertical="center" shrinkToFit="1"/>
      <protection hidden="1"/>
    </xf>
    <xf numFmtId="165" fontId="1" fillId="0" borderId="34" xfId="0" applyNumberFormat="1" applyFont="1" applyBorder="1" applyAlignment="1" applyProtection="1">
      <alignment horizontal="center" vertical="center" shrinkToFit="1"/>
      <protection hidden="1"/>
    </xf>
    <xf numFmtId="165" fontId="1" fillId="0" borderId="21" xfId="0" applyNumberFormat="1" applyFont="1" applyBorder="1" applyAlignment="1" applyProtection="1">
      <alignment horizontal="center" vertical="center" shrinkToFit="1"/>
      <protection hidden="1"/>
    </xf>
    <xf numFmtId="165" fontId="1" fillId="0" borderId="96" xfId="0" applyNumberFormat="1" applyFont="1" applyBorder="1" applyAlignment="1" applyProtection="1">
      <alignment horizontal="center" vertical="center" shrinkToFit="1"/>
      <protection hidden="1"/>
    </xf>
    <xf numFmtId="165" fontId="1" fillId="0" borderId="20" xfId="0" applyNumberFormat="1" applyFont="1" applyBorder="1" applyAlignment="1" applyProtection="1">
      <alignment horizontal="center" vertical="center" shrinkToFit="1"/>
      <protection hidden="1"/>
    </xf>
    <xf numFmtId="165" fontId="1" fillId="0" borderId="140" xfId="0" applyNumberFormat="1" applyFont="1" applyBorder="1" applyAlignment="1" applyProtection="1">
      <alignment horizontal="center" vertical="center" shrinkToFit="1"/>
      <protection hidden="1"/>
    </xf>
    <xf numFmtId="165" fontId="1" fillId="0" borderId="141" xfId="0" applyNumberFormat="1" applyFont="1" applyBorder="1" applyAlignment="1" applyProtection="1">
      <alignment horizontal="center" vertical="center" shrinkToFit="1"/>
      <protection hidden="1"/>
    </xf>
    <xf numFmtId="165" fontId="1" fillId="0" borderId="92" xfId="0" applyNumberFormat="1" applyFont="1" applyBorder="1" applyAlignment="1" applyProtection="1">
      <alignment horizontal="center" vertical="center" shrinkToFit="1"/>
      <protection hidden="1"/>
    </xf>
    <xf numFmtId="165" fontId="1" fillId="0" borderId="142" xfId="0" applyNumberFormat="1" applyFont="1" applyBorder="1" applyAlignment="1" applyProtection="1">
      <alignment horizontal="center" vertical="center" shrinkToFit="1"/>
      <protection hidden="1"/>
    </xf>
    <xf numFmtId="165" fontId="2" fillId="0" borderId="34" xfId="0" applyNumberFormat="1" applyFont="1" applyBorder="1" applyAlignment="1" applyProtection="1">
      <alignment horizontal="center" vertical="center" shrinkToFit="1"/>
      <protection hidden="1"/>
    </xf>
    <xf numFmtId="165" fontId="2" fillId="0" borderId="21" xfId="0" applyNumberFormat="1" applyFont="1" applyBorder="1" applyAlignment="1" applyProtection="1">
      <alignment horizontal="center" vertical="center" shrinkToFit="1"/>
      <protection hidden="1"/>
    </xf>
    <xf numFmtId="165" fontId="2" fillId="0" borderId="96" xfId="0" applyNumberFormat="1" applyFont="1" applyBorder="1" applyAlignment="1" applyProtection="1">
      <alignment horizontal="center" vertical="center" shrinkToFit="1"/>
      <protection hidden="1"/>
    </xf>
    <xf numFmtId="165" fontId="2" fillId="0" borderId="20" xfId="0" applyNumberFormat="1" applyFont="1" applyBorder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shrinkToFit="1"/>
      <protection hidden="1"/>
    </xf>
    <xf numFmtId="0" fontId="1" fillId="0" borderId="0" xfId="0" applyFont="1" applyAlignment="1" applyProtection="1">
      <alignment shrinkToFit="1"/>
      <protection hidden="1"/>
    </xf>
    <xf numFmtId="0" fontId="1" fillId="0" borderId="8" xfId="0" applyFont="1" applyBorder="1" applyProtection="1">
      <protection hidden="1"/>
    </xf>
    <xf numFmtId="0" fontId="2" fillId="0" borderId="33" xfId="0" applyFont="1" applyBorder="1" applyAlignment="1" applyProtection="1">
      <alignment horizontal="center" vertical="center" shrinkToFit="1"/>
      <protection hidden="1"/>
    </xf>
    <xf numFmtId="0" fontId="2" fillId="0" borderId="22" xfId="0" applyFont="1" applyBorder="1" applyAlignment="1" applyProtection="1">
      <alignment horizontal="center" vertical="center" shrinkToFit="1"/>
      <protection hidden="1"/>
    </xf>
    <xf numFmtId="0" fontId="1" fillId="0" borderId="142" xfId="0" applyFont="1" applyBorder="1" applyAlignment="1" applyProtection="1">
      <alignment horizontal="center" vertical="center" shrinkToFit="1"/>
      <protection hidden="1"/>
    </xf>
    <xf numFmtId="0" fontId="1" fillId="0" borderId="141" xfId="0" applyFont="1" applyBorder="1" applyAlignment="1" applyProtection="1">
      <alignment horizontal="center" vertical="center" shrinkToFit="1"/>
      <protection hidden="1"/>
    </xf>
    <xf numFmtId="0" fontId="1" fillId="0" borderId="92" xfId="0" applyFont="1" applyBorder="1" applyAlignment="1" applyProtection="1">
      <alignment horizontal="center" vertical="center" shrinkToFit="1"/>
      <protection hidden="1"/>
    </xf>
    <xf numFmtId="0" fontId="1" fillId="0" borderId="33" xfId="0" applyFont="1" applyBorder="1" applyAlignment="1" applyProtection="1">
      <alignment vertical="center" shrinkToFit="1"/>
      <protection hidden="1"/>
    </xf>
    <xf numFmtId="0" fontId="1" fillId="0" borderId="33" xfId="0" applyFont="1" applyBorder="1" applyAlignment="1" applyProtection="1">
      <alignment shrinkToFit="1"/>
      <protection hidden="1"/>
    </xf>
    <xf numFmtId="0" fontId="21" fillId="0" borderId="33" xfId="0" applyFont="1" applyBorder="1" applyAlignment="1" applyProtection="1">
      <alignment horizontal="center" shrinkToFit="1"/>
      <protection hidden="1"/>
    </xf>
    <xf numFmtId="0" fontId="2" fillId="0" borderId="34" xfId="0" applyFont="1" applyBorder="1" applyAlignment="1" applyProtection="1">
      <alignment horizontal="center" vertical="center" shrinkToFit="1"/>
      <protection hidden="1"/>
    </xf>
    <xf numFmtId="0" fontId="2" fillId="0" borderId="21" xfId="0" applyFont="1" applyBorder="1" applyAlignment="1" applyProtection="1">
      <alignment horizontal="center" vertical="center" shrinkToFit="1"/>
      <protection hidden="1"/>
    </xf>
    <xf numFmtId="0" fontId="2" fillId="0" borderId="96" xfId="0" applyFont="1" applyBorder="1" applyAlignment="1" applyProtection="1">
      <alignment horizontal="center" vertical="center" shrinkToFit="1"/>
      <protection hidden="1"/>
    </xf>
    <xf numFmtId="0" fontId="2" fillId="3" borderId="33" xfId="0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4" borderId="0" xfId="0" applyFont="1" applyFill="1" applyAlignment="1" applyProtection="1">
      <alignment horizontal="center" vertical="center" shrinkToFit="1"/>
      <protection hidden="1"/>
    </xf>
    <xf numFmtId="0" fontId="3" fillId="0" borderId="0" xfId="0" applyFont="1" applyAlignment="1" applyProtection="1">
      <alignment horizontal="center" vertical="center" shrinkToFit="1"/>
      <protection hidden="1"/>
    </xf>
    <xf numFmtId="0" fontId="1" fillId="4" borderId="22" xfId="0" applyFont="1" applyFill="1" applyBorder="1" applyAlignment="1" applyProtection="1">
      <alignment horizontal="center" vertical="center" shrinkToFit="1"/>
      <protection hidden="1"/>
    </xf>
    <xf numFmtId="0" fontId="1" fillId="4" borderId="15" xfId="0" applyFont="1" applyFill="1" applyBorder="1" applyAlignment="1" applyProtection="1">
      <alignment horizontal="center" vertical="center" shrinkToFit="1"/>
      <protection hidden="1"/>
    </xf>
    <xf numFmtId="0" fontId="1" fillId="4" borderId="33" xfId="0" applyFont="1" applyFill="1" applyBorder="1" applyAlignment="1" applyProtection="1">
      <alignment horizontal="center" vertical="center" shrinkToFit="1"/>
      <protection hidden="1"/>
    </xf>
    <xf numFmtId="0" fontId="3" fillId="5" borderId="29" xfId="0" applyFont="1" applyFill="1" applyBorder="1" applyAlignment="1" applyProtection="1">
      <alignment horizontal="center" vertical="center" shrinkToFit="1"/>
      <protection hidden="1"/>
    </xf>
    <xf numFmtId="0" fontId="3" fillId="5" borderId="19" xfId="0" applyFont="1" applyFill="1" applyBorder="1" applyAlignment="1" applyProtection="1">
      <alignment horizontal="center" vertical="center" shrinkToFit="1"/>
      <protection hidden="1"/>
    </xf>
    <xf numFmtId="0" fontId="3" fillId="5" borderId="14" xfId="0" applyFont="1" applyFill="1" applyBorder="1" applyAlignment="1" applyProtection="1">
      <alignment horizontal="center" vertical="center" shrinkToFit="1"/>
      <protection hidden="1"/>
    </xf>
    <xf numFmtId="0" fontId="3" fillId="5" borderId="26" xfId="0" applyFont="1" applyFill="1" applyBorder="1" applyAlignment="1" applyProtection="1">
      <alignment horizontal="center" vertical="center" shrinkToFit="1"/>
      <protection hidden="1"/>
    </xf>
    <xf numFmtId="0" fontId="4" fillId="2" borderId="0" xfId="1" applyFill="1" applyAlignment="1" applyProtection="1">
      <alignment horizontal="center" vertical="center" shrinkToFit="1"/>
      <protection hidden="1"/>
    </xf>
    <xf numFmtId="165" fontId="2" fillId="4" borderId="66" xfId="0" applyNumberFormat="1" applyFont="1" applyFill="1" applyBorder="1" applyAlignment="1" applyProtection="1">
      <alignment horizontal="center" vertical="center" shrinkToFit="1"/>
      <protection hidden="1"/>
    </xf>
    <xf numFmtId="165" fontId="2" fillId="4" borderId="94" xfId="0" applyNumberFormat="1" applyFont="1" applyFill="1" applyBorder="1" applyAlignment="1" applyProtection="1">
      <alignment horizontal="center" vertical="center" shrinkToFit="1"/>
      <protection hidden="1"/>
    </xf>
    <xf numFmtId="0" fontId="1" fillId="2" borderId="0" xfId="0" applyFont="1" applyFill="1" applyAlignment="1" applyProtection="1">
      <alignment horizontal="center" vertical="center" shrinkToFit="1"/>
      <protection hidden="1"/>
    </xf>
    <xf numFmtId="165" fontId="2" fillId="4" borderId="12" xfId="0" applyNumberFormat="1" applyFont="1" applyFill="1" applyBorder="1" applyAlignment="1" applyProtection="1">
      <alignment horizontal="center" vertical="center" shrinkToFit="1"/>
      <protection hidden="1"/>
    </xf>
    <xf numFmtId="165" fontId="2" fillId="4" borderId="28" xfId="0" applyNumberFormat="1" applyFont="1" applyFill="1" applyBorder="1" applyAlignment="1" applyProtection="1">
      <alignment horizontal="center" vertical="center" shrinkToFit="1"/>
      <protection hidden="1"/>
    </xf>
    <xf numFmtId="165" fontId="2" fillId="4" borderId="97" xfId="0" applyNumberFormat="1" applyFont="1" applyFill="1" applyBorder="1" applyAlignment="1" applyProtection="1">
      <alignment horizontal="center" vertical="center" shrinkToFit="1"/>
      <protection hidden="1"/>
    </xf>
    <xf numFmtId="165" fontId="2" fillId="4" borderId="99" xfId="0" applyNumberFormat="1" applyFont="1" applyFill="1" applyBorder="1" applyAlignment="1" applyProtection="1">
      <alignment horizontal="center" vertical="center" shrinkToFit="1"/>
      <protection hidden="1"/>
    </xf>
    <xf numFmtId="165" fontId="2" fillId="4" borderId="10" xfId="0" applyNumberFormat="1" applyFont="1" applyFill="1" applyBorder="1" applyAlignment="1" applyProtection="1">
      <alignment horizontal="center" vertical="center" shrinkToFit="1"/>
      <protection hidden="1"/>
    </xf>
    <xf numFmtId="165" fontId="2" fillId="4" borderId="27" xfId="0" applyNumberFormat="1" applyFont="1" applyFill="1" applyBorder="1" applyAlignment="1" applyProtection="1">
      <alignment horizontal="center" vertical="center" shrinkToFit="1"/>
      <protection hidden="1"/>
    </xf>
    <xf numFmtId="0" fontId="6" fillId="2" borderId="0" xfId="0" applyFont="1" applyFill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165" fontId="2" fillId="4" borderId="80" xfId="0" applyNumberFormat="1" applyFont="1" applyFill="1" applyBorder="1" applyAlignment="1" applyProtection="1">
      <alignment horizontal="center" vertical="center" shrinkToFit="1"/>
      <protection hidden="1"/>
    </xf>
    <xf numFmtId="165" fontId="2" fillId="4" borderId="82" xfId="0" applyNumberFormat="1" applyFont="1" applyFill="1" applyBorder="1" applyAlignment="1" applyProtection="1">
      <alignment horizontal="center" vertical="center" shrinkToFit="1"/>
      <protection hidden="1"/>
    </xf>
    <xf numFmtId="165" fontId="1" fillId="0" borderId="65" xfId="0" applyNumberFormat="1" applyFont="1" applyBorder="1" applyAlignment="1" applyProtection="1">
      <alignment horizontal="center" vertical="center" shrinkToFit="1"/>
      <protection hidden="1"/>
    </xf>
    <xf numFmtId="165" fontId="1" fillId="0" borderId="2" xfId="0" applyNumberFormat="1" applyFont="1" applyBorder="1" applyAlignment="1" applyProtection="1">
      <alignment horizontal="center" vertical="center" shrinkToFit="1"/>
      <protection hidden="1"/>
    </xf>
    <xf numFmtId="165" fontId="1" fillId="0" borderId="72" xfId="0" applyNumberFormat="1" applyFont="1" applyBorder="1" applyAlignment="1" applyProtection="1">
      <alignment horizontal="center" vertical="center" shrinkToFit="1"/>
      <protection hidden="1"/>
    </xf>
    <xf numFmtId="165" fontId="1" fillId="0" borderId="5" xfId="0" applyNumberFormat="1" applyFont="1" applyBorder="1" applyAlignment="1" applyProtection="1">
      <alignment horizontal="center" vertical="center" shrinkToFit="1"/>
      <protection hidden="1"/>
    </xf>
    <xf numFmtId="0" fontId="2" fillId="4" borderId="0" xfId="0" applyFont="1" applyFill="1" applyAlignment="1" applyProtection="1">
      <alignment horizontal="center" shrinkToFit="1"/>
      <protection hidden="1"/>
    </xf>
    <xf numFmtId="1" fontId="2" fillId="4" borderId="0" xfId="0" applyNumberFormat="1" applyFont="1" applyFill="1" applyAlignment="1" applyProtection="1">
      <alignment horizontal="center" shrinkToFit="1"/>
      <protection hidden="1"/>
    </xf>
    <xf numFmtId="0" fontId="2" fillId="16" borderId="19" xfId="0" applyFont="1" applyFill="1" applyBorder="1" applyAlignment="1" applyProtection="1">
      <alignment horizontal="center" vertical="center" shrinkToFit="1"/>
      <protection hidden="1"/>
    </xf>
    <xf numFmtId="0" fontId="2" fillId="16" borderId="8" xfId="0" applyFont="1" applyFill="1" applyBorder="1" applyAlignment="1" applyProtection="1">
      <alignment horizontal="center" vertical="center" shrinkToFit="1"/>
      <protection hidden="1"/>
    </xf>
    <xf numFmtId="0" fontId="2" fillId="16" borderId="26" xfId="0" applyFont="1" applyFill="1" applyBorder="1" applyAlignment="1" applyProtection="1">
      <alignment horizontal="center" vertical="center" shrinkToFit="1"/>
      <protection hidden="1"/>
    </xf>
    <xf numFmtId="0" fontId="1" fillId="16" borderId="33" xfId="0" applyFont="1" applyFill="1" applyBorder="1" applyAlignment="1" applyProtection="1">
      <alignment horizontal="center" vertical="center" shrinkToFit="1"/>
      <protection hidden="1"/>
    </xf>
    <xf numFmtId="0" fontId="2" fillId="16" borderId="22" xfId="0" applyFont="1" applyFill="1" applyBorder="1" applyAlignment="1" applyProtection="1">
      <alignment horizontal="center" vertical="center" shrinkToFit="1"/>
      <protection hidden="1"/>
    </xf>
    <xf numFmtId="0" fontId="2" fillId="16" borderId="9" xfId="0" applyFont="1" applyFill="1" applyBorder="1" applyAlignment="1" applyProtection="1">
      <alignment horizontal="center" vertical="center" shrinkToFit="1"/>
      <protection hidden="1"/>
    </xf>
    <xf numFmtId="0" fontId="2" fillId="16" borderId="37" xfId="0" applyFont="1" applyFill="1" applyBorder="1" applyAlignment="1" applyProtection="1">
      <alignment horizontal="center" vertical="center" shrinkToFit="1"/>
      <protection hidden="1"/>
    </xf>
    <xf numFmtId="165" fontId="2" fillId="16" borderId="66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94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12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28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97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99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10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27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80" xfId="0" applyNumberFormat="1" applyFont="1" applyFill="1" applyBorder="1" applyAlignment="1" applyProtection="1">
      <alignment horizontal="center" vertical="center" shrinkToFit="1"/>
      <protection hidden="1"/>
    </xf>
    <xf numFmtId="165" fontId="2" fillId="16" borderId="82" xfId="0" applyNumberFormat="1" applyFont="1" applyFill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shrinkToFit="1"/>
      <protection hidden="1"/>
    </xf>
    <xf numFmtId="0" fontId="0" fillId="0" borderId="0" xfId="0" applyAlignment="1" applyProtection="1">
      <alignment horizontal="center" vertical="center"/>
      <protection hidden="1"/>
    </xf>
    <xf numFmtId="165" fontId="1" fillId="0" borderId="49" xfId="0" quotePrefix="1" applyNumberFormat="1" applyFont="1" applyBorder="1" applyAlignment="1" applyProtection="1">
      <alignment horizontal="center" vertical="center"/>
      <protection hidden="1"/>
    </xf>
    <xf numFmtId="0" fontId="2" fillId="0" borderId="14" xfId="0" applyFont="1" applyBorder="1" applyAlignment="1" applyProtection="1">
      <alignment horizontal="center" vertical="center" shrinkToFit="1"/>
      <protection hidden="1"/>
    </xf>
    <xf numFmtId="0" fontId="2" fillId="0" borderId="15" xfId="0" applyFont="1" applyBorder="1" applyAlignment="1" applyProtection="1">
      <alignment horizontal="center" vertical="center" shrinkToFit="1"/>
      <protection hidden="1"/>
    </xf>
    <xf numFmtId="165" fontId="2" fillId="0" borderId="71" xfId="0" applyNumberFormat="1" applyFont="1" applyBorder="1" applyAlignment="1" applyProtection="1">
      <alignment horizontal="center" vertical="center" shrinkToFit="1"/>
      <protection hidden="1"/>
    </xf>
    <xf numFmtId="165" fontId="2" fillId="0" borderId="7" xfId="0" applyNumberFormat="1" applyFont="1" applyBorder="1" applyAlignment="1" applyProtection="1">
      <alignment horizontal="center" vertical="center" shrinkToFit="1"/>
      <protection hidden="1"/>
    </xf>
    <xf numFmtId="165" fontId="2" fillId="0" borderId="98" xfId="0" applyNumberFormat="1" applyFont="1" applyBorder="1" applyAlignment="1" applyProtection="1">
      <alignment horizontal="center" vertical="center" shrinkToFit="1"/>
      <protection hidden="1"/>
    </xf>
    <xf numFmtId="0" fontId="1" fillId="0" borderId="33" xfId="0" applyFont="1" applyBorder="1" applyAlignment="1" applyProtection="1">
      <alignment horizontal="center" vertical="center"/>
      <protection locked="0"/>
    </xf>
    <xf numFmtId="49" fontId="1" fillId="0" borderId="71" xfId="0" applyNumberFormat="1" applyFont="1" applyBorder="1" applyAlignment="1" applyProtection="1">
      <alignment horizontal="left" vertical="center" shrinkToFit="1"/>
      <protection locked="0"/>
    </xf>
    <xf numFmtId="49" fontId="1" fillId="0" borderId="7" xfId="0" applyNumberFormat="1" applyFont="1" applyBorder="1" applyAlignment="1" applyProtection="1">
      <alignment horizontal="left" vertical="center" shrinkToFit="1"/>
      <protection locked="0"/>
    </xf>
    <xf numFmtId="49" fontId="1" fillId="0" borderId="98" xfId="0" applyNumberFormat="1" applyFont="1" applyBorder="1" applyAlignment="1" applyProtection="1">
      <alignment horizontal="left" vertical="center" shrinkToFit="1"/>
      <protection locked="0"/>
    </xf>
    <xf numFmtId="49" fontId="1" fillId="0" borderId="16" xfId="0" applyNumberFormat="1" applyFont="1" applyBorder="1" applyAlignment="1" applyProtection="1">
      <alignment horizontal="left" vertical="center" shrinkToFit="1"/>
      <protection locked="0"/>
    </xf>
    <xf numFmtId="49" fontId="1" fillId="0" borderId="81" xfId="0" applyNumberFormat="1" applyFont="1" applyBorder="1" applyAlignment="1" applyProtection="1">
      <alignment horizontal="left" vertical="center" shrinkToFit="1"/>
      <protection locked="0"/>
    </xf>
    <xf numFmtId="0" fontId="2" fillId="0" borderId="19" xfId="0" applyFont="1" applyBorder="1" applyAlignment="1" applyProtection="1">
      <alignment horizontal="center" vertical="center" shrinkToFit="1"/>
      <protection hidden="1"/>
    </xf>
    <xf numFmtId="0" fontId="2" fillId="0" borderId="8" xfId="0" applyFont="1" applyBorder="1" applyAlignment="1" applyProtection="1">
      <alignment horizontal="center" vertical="center" shrinkToFit="1"/>
      <protection hidden="1"/>
    </xf>
    <xf numFmtId="0" fontId="2" fillId="0" borderId="9" xfId="0" applyFont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shrinkToFit="1"/>
      <protection hidden="1"/>
    </xf>
    <xf numFmtId="0" fontId="2" fillId="0" borderId="54" xfId="0" applyFont="1" applyBorder="1" applyAlignment="1" applyProtection="1">
      <alignment horizontal="center" vertical="center" wrapText="1"/>
      <protection hidden="1"/>
    </xf>
    <xf numFmtId="0" fontId="2" fillId="0" borderId="55" xfId="0" applyFont="1" applyBorder="1" applyAlignment="1" applyProtection="1">
      <alignment horizontal="center" vertical="center" wrapText="1"/>
      <protection hidden="1"/>
    </xf>
    <xf numFmtId="0" fontId="2" fillId="0" borderId="56" xfId="0" applyFont="1" applyBorder="1" applyAlignment="1" applyProtection="1">
      <alignment horizontal="center" vertical="center" wrapText="1"/>
      <protection hidden="1"/>
    </xf>
    <xf numFmtId="0" fontId="1" fillId="0" borderId="33" xfId="0" applyFont="1" applyBorder="1" applyAlignment="1" applyProtection="1">
      <alignment horizontal="center" vertical="center"/>
      <protection hidden="1"/>
    </xf>
    <xf numFmtId="0" fontId="22" fillId="0" borderId="45" xfId="3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45" xfId="0" applyFont="1" applyBorder="1" applyAlignment="1" applyProtection="1">
      <alignment horizontal="center" vertical="center" shrinkToFit="1"/>
      <protection hidden="1"/>
    </xf>
    <xf numFmtId="0" fontId="2" fillId="4" borderId="19" xfId="0" applyFont="1" applyFill="1" applyBorder="1" applyAlignment="1" applyProtection="1">
      <alignment horizontal="center" vertical="center" shrinkToFit="1"/>
      <protection hidden="1"/>
    </xf>
    <xf numFmtId="0" fontId="2" fillId="4" borderId="22" xfId="0" applyFont="1" applyFill="1" applyBorder="1" applyAlignment="1" applyProtection="1">
      <alignment horizontal="center" vertical="center" shrinkToFit="1"/>
      <protection hidden="1"/>
    </xf>
    <xf numFmtId="0" fontId="2" fillId="4" borderId="8" xfId="0" applyFont="1" applyFill="1" applyBorder="1" applyAlignment="1" applyProtection="1">
      <alignment horizontal="center" vertical="center" shrinkToFit="1"/>
      <protection hidden="1"/>
    </xf>
    <xf numFmtId="0" fontId="2" fillId="4" borderId="9" xfId="0" applyFont="1" applyFill="1" applyBorder="1" applyAlignment="1" applyProtection="1">
      <alignment horizontal="center" vertical="center" shrinkToFit="1"/>
      <protection hidden="1"/>
    </xf>
    <xf numFmtId="0" fontId="2" fillId="5" borderId="75" xfId="0" applyFont="1" applyFill="1" applyBorder="1" applyAlignment="1" applyProtection="1">
      <alignment horizontal="center" vertical="center" shrinkToFit="1"/>
      <protection hidden="1"/>
    </xf>
    <xf numFmtId="0" fontId="1" fillId="0" borderId="45" xfId="0" applyFont="1" applyBorder="1" applyAlignment="1" applyProtection="1">
      <alignment horizontal="center" vertical="center"/>
      <protection hidden="1"/>
    </xf>
    <xf numFmtId="0" fontId="1" fillId="0" borderId="35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37" fillId="0" borderId="33" xfId="0" applyFont="1" applyBorder="1" applyAlignment="1" applyProtection="1">
      <alignment horizontal="center" vertical="center"/>
      <protection hidden="1"/>
    </xf>
    <xf numFmtId="0" fontId="2" fillId="0" borderId="33" xfId="0" applyFont="1" applyBorder="1" applyAlignment="1" applyProtection="1">
      <alignment horizontal="center"/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8" borderId="33" xfId="0" applyFont="1" applyFill="1" applyBorder="1" applyAlignment="1">
      <alignment horizontal="center" vertical="center"/>
    </xf>
    <xf numFmtId="0" fontId="1" fillId="7" borderId="0" xfId="0" applyFont="1" applyFill="1"/>
    <xf numFmtId="0" fontId="1" fillId="6" borderId="0" xfId="0" applyFont="1" applyFill="1" applyAlignment="1">
      <alignment horizontal="center"/>
    </xf>
    <xf numFmtId="0" fontId="2" fillId="4" borderId="19" xfId="0" applyFont="1" applyFill="1" applyBorder="1" applyAlignment="1">
      <alignment horizontal="center" vertical="center" shrinkToFit="1"/>
    </xf>
    <xf numFmtId="0" fontId="2" fillId="4" borderId="8" xfId="0" applyFont="1" applyFill="1" applyBorder="1" applyAlignment="1">
      <alignment horizontal="center" vertical="center" shrinkToFit="1"/>
    </xf>
    <xf numFmtId="0" fontId="2" fillId="4" borderId="26" xfId="0" applyFont="1" applyFill="1" applyBorder="1" applyAlignment="1">
      <alignment horizontal="center" vertical="center" shrinkToFit="1"/>
    </xf>
    <xf numFmtId="0" fontId="1" fillId="4" borderId="33" xfId="0" applyFont="1" applyFill="1" applyBorder="1" applyAlignment="1">
      <alignment horizontal="center" vertical="center" shrinkToFit="1"/>
    </xf>
    <xf numFmtId="0" fontId="2" fillId="4" borderId="22" xfId="0" applyFont="1" applyFill="1" applyBorder="1" applyAlignment="1">
      <alignment horizontal="center" vertical="center" shrinkToFit="1"/>
    </xf>
    <xf numFmtId="0" fontId="2" fillId="4" borderId="9" xfId="0" applyFont="1" applyFill="1" applyBorder="1" applyAlignment="1">
      <alignment horizontal="center" vertical="center" shrinkToFit="1"/>
    </xf>
    <xf numFmtId="0" fontId="2" fillId="4" borderId="37" xfId="0" applyFont="1" applyFill="1" applyBorder="1" applyAlignment="1">
      <alignment horizontal="center" vertical="center" shrinkToFit="1"/>
    </xf>
    <xf numFmtId="0" fontId="1" fillId="6" borderId="0" xfId="0" applyFont="1" applyFill="1"/>
    <xf numFmtId="0" fontId="1" fillId="4" borderId="19" xfId="0" applyFont="1" applyFill="1" applyBorder="1"/>
    <xf numFmtId="0" fontId="1" fillId="4" borderId="106" xfId="0" applyFont="1" applyFill="1" applyBorder="1"/>
    <xf numFmtId="0" fontId="1" fillId="4" borderId="22" xfId="0" applyFont="1" applyFill="1" applyBorder="1"/>
    <xf numFmtId="0" fontId="1" fillId="5" borderId="19" xfId="0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1" fillId="0" borderId="90" xfId="0" applyFont="1" applyBorder="1" applyAlignment="1">
      <alignment horizontal="center" vertical="center" shrinkToFit="1"/>
    </xf>
    <xf numFmtId="0" fontId="1" fillId="0" borderId="89" xfId="0" applyFont="1" applyBorder="1" applyAlignment="1">
      <alignment horizontal="center" vertical="center" shrinkToFit="1"/>
    </xf>
    <xf numFmtId="0" fontId="1" fillId="0" borderId="88" xfId="0" applyFont="1" applyBorder="1" applyAlignment="1">
      <alignment horizontal="center" vertical="center" shrinkToFit="1"/>
    </xf>
    <xf numFmtId="0" fontId="1" fillId="9" borderId="0" xfId="0" applyFont="1" applyFill="1" applyAlignment="1">
      <alignment horizontal="center"/>
    </xf>
    <xf numFmtId="0" fontId="23" fillId="0" borderId="0" xfId="3" applyFont="1" applyAlignment="1">
      <alignment horizontal="left" vertical="center"/>
    </xf>
    <xf numFmtId="0" fontId="23" fillId="0" borderId="0" xfId="3" applyFont="1" applyAlignment="1">
      <alignment vertical="center"/>
    </xf>
    <xf numFmtId="0" fontId="23" fillId="0" borderId="0" xfId="3" applyFont="1" applyAlignment="1">
      <alignment horizontal="center" vertical="center"/>
    </xf>
    <xf numFmtId="0" fontId="24" fillId="0" borderId="0" xfId="3" applyFont="1" applyAlignment="1">
      <alignment horizontal="left" vertical="center"/>
    </xf>
    <xf numFmtId="0" fontId="24" fillId="0" borderId="0" xfId="3" applyFont="1" applyAlignment="1">
      <alignment vertical="center"/>
    </xf>
    <xf numFmtId="0" fontId="24" fillId="0" borderId="0" xfId="3" applyFont="1" applyAlignment="1">
      <alignment horizontal="center" vertical="center"/>
    </xf>
    <xf numFmtId="0" fontId="25" fillId="0" borderId="0" xfId="3" applyFont="1" applyAlignment="1">
      <alignment vertical="center"/>
    </xf>
    <xf numFmtId="0" fontId="25" fillId="0" borderId="0" xfId="3" applyFont="1" applyAlignment="1">
      <alignment horizontal="center" vertical="center"/>
    </xf>
    <xf numFmtId="0" fontId="22" fillId="0" borderId="0" xfId="3" applyAlignment="1">
      <alignment vertical="center"/>
    </xf>
    <xf numFmtId="0" fontId="22" fillId="0" borderId="0" xfId="3" applyAlignment="1">
      <alignment horizontal="center" vertical="center"/>
    </xf>
    <xf numFmtId="0" fontId="26" fillId="0" borderId="0" xfId="3" applyFont="1" applyAlignment="1">
      <alignment horizontal="center" vertical="center"/>
    </xf>
    <xf numFmtId="0" fontId="5" fillId="0" borderId="33" xfId="3" applyFont="1" applyBorder="1" applyAlignment="1">
      <alignment horizontal="center" vertical="center"/>
    </xf>
    <xf numFmtId="0" fontId="22" fillId="0" borderId="33" xfId="3" applyBorder="1" applyAlignment="1">
      <alignment horizontal="center" vertical="center"/>
    </xf>
    <xf numFmtId="0" fontId="22" fillId="0" borderId="8" xfId="3" applyBorder="1" applyAlignment="1">
      <alignment horizontal="center" vertical="center"/>
    </xf>
    <xf numFmtId="0" fontId="22" fillId="0" borderId="19" xfId="3" applyBorder="1" applyAlignment="1">
      <alignment horizontal="center" vertical="center"/>
    </xf>
    <xf numFmtId="0" fontId="22" fillId="0" borderId="45" xfId="3" applyBorder="1" applyAlignment="1">
      <alignment horizontal="center" vertical="center"/>
    </xf>
    <xf numFmtId="1" fontId="1" fillId="5" borderId="19" xfId="0" applyNumberFormat="1" applyFont="1" applyFill="1" applyBorder="1" applyAlignment="1">
      <alignment horizontal="center" vertical="center" shrinkToFit="1"/>
    </xf>
    <xf numFmtId="0" fontId="1" fillId="5" borderId="19" xfId="0" applyFont="1" applyFill="1" applyBorder="1" applyAlignment="1">
      <alignment horizontal="center" vertical="center" shrinkToFit="1"/>
    </xf>
    <xf numFmtId="0" fontId="1" fillId="5" borderId="19" xfId="0" applyFont="1" applyFill="1" applyBorder="1" applyAlignment="1">
      <alignment horizontal="center" shrinkToFit="1"/>
    </xf>
    <xf numFmtId="0" fontId="27" fillId="0" borderId="33" xfId="3" applyFont="1" applyBorder="1" applyAlignment="1">
      <alignment horizontal="center" vertical="center"/>
    </xf>
    <xf numFmtId="0" fontId="27" fillId="5" borderId="33" xfId="3" applyFont="1" applyFill="1" applyBorder="1" applyAlignment="1">
      <alignment horizontal="center" vertical="center"/>
    </xf>
    <xf numFmtId="0" fontId="28" fillId="0" borderId="0" xfId="3" applyFont="1" applyAlignment="1">
      <alignment vertical="center"/>
    </xf>
    <xf numFmtId="0" fontId="27" fillId="0" borderId="33" xfId="3" applyFont="1" applyBorder="1" applyAlignment="1">
      <alignment horizontal="center" vertical="center" wrapText="1"/>
    </xf>
    <xf numFmtId="0" fontId="28" fillId="0" borderId="0" xfId="3" applyFont="1" applyAlignment="1">
      <alignment horizontal="center" vertical="center"/>
    </xf>
    <xf numFmtId="0" fontId="22" fillId="0" borderId="33" xfId="3" applyBorder="1" applyAlignment="1">
      <alignment vertical="center"/>
    </xf>
    <xf numFmtId="0" fontId="22" fillId="0" borderId="33" xfId="3" quotePrefix="1" applyBorder="1" applyAlignment="1">
      <alignment horizontal="center" vertical="center"/>
    </xf>
    <xf numFmtId="0" fontId="22" fillId="5" borderId="33" xfId="3" applyFill="1" applyBorder="1" applyAlignment="1">
      <alignment horizontal="center" vertical="center"/>
    </xf>
    <xf numFmtId="0" fontId="22" fillId="0" borderId="106" xfId="3" applyBorder="1" applyAlignment="1">
      <alignment horizontal="center" vertical="center"/>
    </xf>
    <xf numFmtId="0" fontId="22" fillId="0" borderId="22" xfId="3" applyBorder="1" applyAlignment="1">
      <alignment horizontal="center" vertical="center"/>
    </xf>
    <xf numFmtId="0" fontId="25" fillId="0" borderId="33" xfId="3" applyFont="1" applyBorder="1" applyAlignment="1">
      <alignment horizontal="center" vertical="center" wrapText="1"/>
    </xf>
    <xf numFmtId="0" fontId="25" fillId="0" borderId="33" xfId="3" applyFont="1" applyBorder="1" applyAlignment="1">
      <alignment horizontal="center" vertical="center"/>
    </xf>
    <xf numFmtId="164" fontId="1" fillId="4" borderId="20" xfId="0" applyNumberFormat="1" applyFont="1" applyFill="1" applyBorder="1" applyAlignment="1" applyProtection="1">
      <alignment horizontal="center" vertical="center" shrinkToFit="1"/>
      <protection hidden="1"/>
    </xf>
    <xf numFmtId="164" fontId="1" fillId="4" borderId="21" xfId="0" applyNumberFormat="1" applyFont="1" applyFill="1" applyBorder="1" applyAlignment="1" applyProtection="1">
      <alignment horizontal="center" vertical="center" shrinkToFit="1"/>
      <protection hidden="1"/>
    </xf>
    <xf numFmtId="164" fontId="1" fillId="4" borderId="96" xfId="0" applyNumberFormat="1" applyFont="1" applyFill="1" applyBorder="1" applyAlignment="1" applyProtection="1">
      <alignment horizontal="center" vertical="center" shrinkToFit="1"/>
      <protection hidden="1"/>
    </xf>
    <xf numFmtId="164" fontId="1" fillId="4" borderId="74" xfId="0" applyNumberFormat="1" applyFont="1" applyFill="1" applyBorder="1" applyAlignment="1" applyProtection="1">
      <alignment horizontal="center" vertical="center" shrinkToFit="1"/>
      <protection hidden="1"/>
    </xf>
    <xf numFmtId="0" fontId="1" fillId="5" borderId="90" xfId="0" applyFont="1" applyFill="1" applyBorder="1" applyAlignment="1" applyProtection="1">
      <alignment horizontal="center" vertical="center" shrinkToFit="1"/>
      <protection hidden="1"/>
    </xf>
    <xf numFmtId="1" fontId="3" fillId="0" borderId="17" xfId="0" applyNumberFormat="1" applyFont="1" applyBorder="1" applyAlignment="1" applyProtection="1">
      <alignment horizontal="center" vertical="center" shrinkToFit="1"/>
      <protection hidden="1"/>
    </xf>
    <xf numFmtId="1" fontId="2" fillId="0" borderId="4" xfId="0" applyNumberFormat="1" applyFont="1" applyBorder="1" applyAlignment="1" applyProtection="1">
      <alignment horizontal="center" vertical="center" shrinkToFit="1"/>
      <protection hidden="1"/>
    </xf>
    <xf numFmtId="1" fontId="2" fillId="0" borderId="11" xfId="0" applyNumberFormat="1" applyFont="1" applyBorder="1" applyAlignment="1" applyProtection="1">
      <alignment horizontal="center" vertical="center" shrinkToFit="1"/>
      <protection hidden="1"/>
    </xf>
    <xf numFmtId="1" fontId="10" fillId="0" borderId="18" xfId="0" applyNumberFormat="1" applyFont="1" applyBorder="1" applyAlignment="1" applyProtection="1">
      <alignment horizontal="center" vertical="center" shrinkToFit="1"/>
      <protection hidden="1"/>
    </xf>
    <xf numFmtId="1" fontId="1" fillId="0" borderId="1" xfId="0" applyNumberFormat="1" applyFont="1" applyBorder="1" applyAlignment="1" applyProtection="1">
      <alignment horizontal="center" vertical="center" shrinkToFit="1"/>
      <protection hidden="1"/>
    </xf>
    <xf numFmtId="1" fontId="1" fillId="0" borderId="13" xfId="0" applyNumberFormat="1" applyFont="1" applyBorder="1" applyAlignment="1" applyProtection="1">
      <alignment horizontal="center" vertical="center" shrinkToFit="1"/>
      <protection hidden="1"/>
    </xf>
    <xf numFmtId="1" fontId="10" fillId="0" borderId="42" xfId="0" applyNumberFormat="1" applyFont="1" applyBorder="1" applyAlignment="1" applyProtection="1">
      <alignment horizontal="center" vertical="center" shrinkToFit="1"/>
      <protection hidden="1"/>
    </xf>
    <xf numFmtId="1" fontId="1" fillId="0" borderId="43" xfId="0" applyNumberFormat="1" applyFont="1" applyBorder="1" applyAlignment="1" applyProtection="1">
      <alignment horizontal="center" vertical="center" shrinkToFit="1"/>
      <protection hidden="1"/>
    </xf>
    <xf numFmtId="1" fontId="1" fillId="0" borderId="44" xfId="0" applyNumberFormat="1" applyFont="1" applyBorder="1" applyAlignment="1" applyProtection="1">
      <alignment horizontal="center" vertical="center" shrinkToFit="1"/>
      <protection hidden="1"/>
    </xf>
    <xf numFmtId="49" fontId="1" fillId="0" borderId="34" xfId="0" applyNumberFormat="1" applyFont="1" applyBorder="1" applyAlignment="1" applyProtection="1">
      <alignment horizontal="center" vertical="center" shrinkToFit="1"/>
      <protection locked="0"/>
    </xf>
    <xf numFmtId="0" fontId="1" fillId="0" borderId="71" xfId="0" applyFont="1" applyBorder="1" applyAlignment="1" applyProtection="1">
      <alignment horizontal="center" vertical="center" shrinkToFit="1"/>
      <protection locked="0"/>
    </xf>
    <xf numFmtId="165" fontId="1" fillId="0" borderId="65" xfId="0" applyNumberFormat="1" applyFont="1" applyBorder="1" applyAlignment="1" applyProtection="1">
      <alignment horizontal="center" vertical="center" shrinkToFit="1"/>
      <protection locked="0"/>
    </xf>
    <xf numFmtId="165" fontId="1" fillId="0" borderId="34" xfId="0" applyNumberFormat="1" applyFont="1" applyBorder="1" applyAlignment="1" applyProtection="1">
      <alignment horizontal="center" vertical="center" shrinkToFit="1"/>
      <protection locked="0"/>
    </xf>
    <xf numFmtId="0" fontId="1" fillId="0" borderId="7" xfId="0" applyFont="1" applyBorder="1" applyAlignment="1" applyProtection="1">
      <alignment horizontal="center" vertical="center" shrinkToFit="1"/>
      <protection locked="0"/>
    </xf>
    <xf numFmtId="165" fontId="1" fillId="0" borderId="2" xfId="0" applyNumberFormat="1" applyFont="1" applyBorder="1" applyAlignment="1" applyProtection="1">
      <alignment horizontal="center" vertical="center" shrinkToFit="1"/>
      <protection locked="0"/>
    </xf>
    <xf numFmtId="0" fontId="1" fillId="0" borderId="98" xfId="0" applyFont="1" applyBorder="1" applyAlignment="1" applyProtection="1">
      <alignment horizontal="center" vertical="center" shrinkToFit="1"/>
      <protection locked="0"/>
    </xf>
    <xf numFmtId="165" fontId="1" fillId="0" borderId="72" xfId="0" applyNumberFormat="1" applyFont="1" applyBorder="1" applyAlignment="1" applyProtection="1">
      <alignment horizontal="center" vertical="center" shrinkToFit="1"/>
      <protection locked="0"/>
    </xf>
    <xf numFmtId="0" fontId="1" fillId="0" borderId="16" xfId="0" applyFont="1" applyBorder="1" applyAlignment="1" applyProtection="1">
      <alignment horizontal="center" vertical="center" shrinkToFit="1"/>
      <protection locked="0"/>
    </xf>
    <xf numFmtId="165" fontId="1" fillId="0" borderId="5" xfId="0" applyNumberFormat="1" applyFont="1" applyBorder="1" applyAlignment="1" applyProtection="1">
      <alignment horizontal="center" vertical="center" shrinkToFit="1"/>
      <protection locked="0"/>
    </xf>
    <xf numFmtId="0" fontId="1" fillId="0" borderId="81" xfId="0" applyFont="1" applyBorder="1" applyAlignment="1" applyProtection="1">
      <alignment horizontal="center" vertical="center" shrinkToFit="1"/>
      <protection locked="0"/>
    </xf>
    <xf numFmtId="0" fontId="1" fillId="0" borderId="91" xfId="0" applyFont="1" applyBorder="1" applyAlignment="1" applyProtection="1">
      <alignment horizontal="center" vertical="center" shrinkToFit="1"/>
      <protection locked="0"/>
    </xf>
    <xf numFmtId="165" fontId="1" fillId="0" borderId="68" xfId="0" applyNumberFormat="1" applyFont="1" applyBorder="1" applyAlignment="1" applyProtection="1">
      <alignment horizontal="center" vertical="center" shrinkToFit="1"/>
      <protection locked="0"/>
    </xf>
    <xf numFmtId="165" fontId="1" fillId="0" borderId="91" xfId="0" applyNumberFormat="1" applyFont="1" applyBorder="1" applyAlignment="1" applyProtection="1">
      <alignment horizontal="center" vertical="center" shrinkToFit="1"/>
      <protection locked="0"/>
    </xf>
    <xf numFmtId="49" fontId="1" fillId="0" borderId="93" xfId="0" applyNumberFormat="1" applyFont="1" applyBorder="1" applyAlignment="1" applyProtection="1">
      <alignment horizontal="center" vertical="center" shrinkToFit="1"/>
      <protection locked="0"/>
    </xf>
    <xf numFmtId="49" fontId="1" fillId="0" borderId="71" xfId="0" applyNumberFormat="1" applyFont="1" applyBorder="1" applyAlignment="1" applyProtection="1">
      <alignment horizontal="center" vertical="center" shrinkToFit="1"/>
      <protection locked="0"/>
    </xf>
    <xf numFmtId="49" fontId="1" fillId="0" borderId="94" xfId="0" applyNumberFormat="1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8" borderId="33" xfId="0" applyFont="1" applyFill="1" applyBorder="1" applyAlignment="1">
      <alignment horizontal="center" vertical="center"/>
    </xf>
    <xf numFmtId="0" fontId="9" fillId="0" borderId="19" xfId="0" applyFont="1" applyBorder="1" applyAlignment="1">
      <alignment horizontal="center"/>
    </xf>
    <xf numFmtId="0" fontId="9" fillId="3" borderId="22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22" fontId="9" fillId="0" borderId="0" xfId="0" applyNumberFormat="1" applyFont="1" applyAlignment="1">
      <alignment horizontal="center" vertical="center"/>
    </xf>
    <xf numFmtId="0" fontId="2" fillId="4" borderId="138" xfId="0" applyFont="1" applyFill="1" applyBorder="1" applyAlignment="1" applyProtection="1">
      <alignment horizontal="center" vertical="center" shrinkToFit="1"/>
      <protection hidden="1"/>
    </xf>
    <xf numFmtId="0" fontId="2" fillId="4" borderId="139" xfId="0" applyFont="1" applyFill="1" applyBorder="1" applyAlignment="1" applyProtection="1">
      <alignment horizontal="center" vertical="center" shrinkToFit="1"/>
      <protection hidden="1"/>
    </xf>
    <xf numFmtId="0" fontId="1" fillId="0" borderId="90" xfId="0" applyFont="1" applyBorder="1" applyAlignment="1" applyProtection="1">
      <alignment horizontal="center" vertical="center" shrinkToFit="1"/>
      <protection hidden="1"/>
    </xf>
    <xf numFmtId="0" fontId="1" fillId="0" borderId="88" xfId="0" applyFont="1" applyBorder="1" applyAlignment="1" applyProtection="1">
      <alignment horizontal="center" vertical="center" shrinkToFit="1"/>
      <protection hidden="1"/>
    </xf>
    <xf numFmtId="0" fontId="1" fillId="0" borderId="89" xfId="0" applyFont="1" applyBorder="1" applyAlignment="1" applyProtection="1">
      <alignment horizontal="center" vertical="center" shrinkToFit="1"/>
      <protection hidden="1"/>
    </xf>
    <xf numFmtId="0" fontId="2" fillId="0" borderId="77" xfId="0" applyFont="1" applyBorder="1" applyAlignment="1" applyProtection="1">
      <alignment horizontal="center" vertical="center" shrinkToFit="1"/>
      <protection hidden="1"/>
    </xf>
    <xf numFmtId="0" fontId="2" fillId="0" borderId="106" xfId="0" applyFont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center" vertical="center" shrinkToFit="1"/>
      <protection hidden="1"/>
    </xf>
    <xf numFmtId="0" fontId="22" fillId="0" borderId="0" xfId="3" applyAlignment="1" applyProtection="1">
      <alignment horizontal="center" vertical="center"/>
      <protection hidden="1"/>
    </xf>
    <xf numFmtId="1" fontId="1" fillId="5" borderId="19" xfId="0" applyNumberFormat="1" applyFont="1" applyFill="1" applyBorder="1" applyAlignment="1" applyProtection="1">
      <alignment horizontal="center" vertical="center" shrinkToFit="1"/>
      <protection hidden="1"/>
    </xf>
    <xf numFmtId="0" fontId="1" fillId="5" borderId="19" xfId="0" applyFont="1" applyFill="1" applyBorder="1" applyAlignment="1" applyProtection="1">
      <alignment horizontal="center" vertical="center" shrinkToFit="1"/>
      <protection hidden="1"/>
    </xf>
    <xf numFmtId="0" fontId="1" fillId="5" borderId="19" xfId="0" applyFont="1" applyFill="1" applyBorder="1" applyAlignment="1" applyProtection="1">
      <alignment horizontal="center" shrinkToFit="1"/>
      <protection hidden="1"/>
    </xf>
    <xf numFmtId="0" fontId="28" fillId="0" borderId="0" xfId="3" quotePrefix="1" applyFont="1" applyAlignment="1" applyProtection="1">
      <alignment vertical="center"/>
      <protection hidden="1"/>
    </xf>
    <xf numFmtId="0" fontId="2" fillId="15" borderId="19" xfId="0" applyFont="1" applyFill="1" applyBorder="1" applyAlignment="1" applyProtection="1">
      <alignment horizontal="center" vertical="center" shrinkToFit="1"/>
      <protection hidden="1"/>
    </xf>
    <xf numFmtId="0" fontId="2" fillId="15" borderId="138" xfId="0" applyFont="1" applyFill="1" applyBorder="1" applyAlignment="1" applyProtection="1">
      <alignment horizontal="center" vertical="center" shrinkToFit="1"/>
      <protection hidden="1"/>
    </xf>
    <xf numFmtId="0" fontId="1" fillId="15" borderId="33" xfId="0" applyFont="1" applyFill="1" applyBorder="1" applyAlignment="1" applyProtection="1">
      <alignment horizontal="center" vertical="center" shrinkToFit="1"/>
      <protection hidden="1"/>
    </xf>
    <xf numFmtId="0" fontId="2" fillId="15" borderId="22" xfId="0" applyFont="1" applyFill="1" applyBorder="1" applyAlignment="1" applyProtection="1">
      <alignment horizontal="center" vertical="center" shrinkToFit="1"/>
      <protection hidden="1"/>
    </xf>
    <xf numFmtId="0" fontId="2" fillId="15" borderId="139" xfId="0" applyFont="1" applyFill="1" applyBorder="1" applyAlignment="1" applyProtection="1">
      <alignment horizontal="center" vertical="center" shrinkToFit="1"/>
      <protection hidden="1"/>
    </xf>
    <xf numFmtId="165" fontId="2" fillId="15" borderId="94" xfId="0" applyNumberFormat="1" applyFont="1" applyFill="1" applyBorder="1" applyAlignment="1" applyProtection="1">
      <alignment horizontal="center" vertical="center" shrinkToFit="1"/>
      <protection hidden="1"/>
    </xf>
    <xf numFmtId="164" fontId="2" fillId="15" borderId="94" xfId="0" applyNumberFormat="1" applyFont="1" applyFill="1" applyBorder="1" applyAlignment="1" applyProtection="1">
      <alignment horizontal="center" vertical="center" shrinkToFit="1"/>
      <protection hidden="1"/>
    </xf>
    <xf numFmtId="165" fontId="2" fillId="15" borderId="28" xfId="0" applyNumberFormat="1" applyFont="1" applyFill="1" applyBorder="1" applyAlignment="1" applyProtection="1">
      <alignment horizontal="center" vertical="center" shrinkToFit="1"/>
      <protection hidden="1"/>
    </xf>
    <xf numFmtId="164" fontId="2" fillId="15" borderId="28" xfId="0" applyNumberFormat="1" applyFont="1" applyFill="1" applyBorder="1" applyAlignment="1" applyProtection="1">
      <alignment horizontal="center" vertical="center" shrinkToFit="1"/>
      <protection hidden="1"/>
    </xf>
    <xf numFmtId="165" fontId="2" fillId="15" borderId="99" xfId="0" applyNumberFormat="1" applyFont="1" applyFill="1" applyBorder="1" applyAlignment="1" applyProtection="1">
      <alignment horizontal="center" vertical="center" shrinkToFit="1"/>
      <protection hidden="1"/>
    </xf>
    <xf numFmtId="164" fontId="2" fillId="15" borderId="99" xfId="0" applyNumberFormat="1" applyFont="1" applyFill="1" applyBorder="1" applyAlignment="1" applyProtection="1">
      <alignment horizontal="center" vertical="center" shrinkToFit="1"/>
      <protection hidden="1"/>
    </xf>
    <xf numFmtId="165" fontId="2" fillId="15" borderId="27" xfId="0" applyNumberFormat="1" applyFont="1" applyFill="1" applyBorder="1" applyAlignment="1" applyProtection="1">
      <alignment horizontal="center" vertical="center" shrinkToFit="1"/>
      <protection hidden="1"/>
    </xf>
    <xf numFmtId="164" fontId="2" fillId="15" borderId="27" xfId="0" applyNumberFormat="1" applyFont="1" applyFill="1" applyBorder="1" applyAlignment="1" applyProtection="1">
      <alignment horizontal="center" vertical="center" shrinkToFit="1"/>
      <protection hidden="1"/>
    </xf>
    <xf numFmtId="165" fontId="2" fillId="15" borderId="82" xfId="0" applyNumberFormat="1" applyFont="1" applyFill="1" applyBorder="1" applyAlignment="1" applyProtection="1">
      <alignment horizontal="center" vertical="center" shrinkToFit="1"/>
      <protection hidden="1"/>
    </xf>
    <xf numFmtId="164" fontId="2" fillId="15" borderId="82" xfId="0" applyNumberFormat="1" applyFont="1" applyFill="1" applyBorder="1" applyAlignment="1" applyProtection="1">
      <alignment horizontal="center" vertical="center" shrinkToFit="1"/>
      <protection hidden="1"/>
    </xf>
    <xf numFmtId="0" fontId="1" fillId="4" borderId="110" xfId="0" applyFont="1" applyFill="1" applyBorder="1" applyAlignment="1" applyProtection="1">
      <alignment horizontal="center" shrinkToFit="1"/>
      <protection hidden="1"/>
    </xf>
    <xf numFmtId="0" fontId="2" fillId="4" borderId="87" xfId="0" applyFont="1" applyFill="1" applyBorder="1" applyAlignment="1" applyProtection="1">
      <alignment horizontal="center" shrinkToFit="1"/>
      <protection hidden="1"/>
    </xf>
    <xf numFmtId="0" fontId="2" fillId="4" borderId="86" xfId="0" applyFont="1" applyFill="1" applyBorder="1" applyAlignment="1" applyProtection="1">
      <alignment horizontal="center" shrinkToFit="1"/>
      <protection hidden="1"/>
    </xf>
    <xf numFmtId="0" fontId="2" fillId="4" borderId="83" xfId="0" applyFont="1" applyFill="1" applyBorder="1" applyAlignment="1" applyProtection="1">
      <alignment horizontal="center" shrinkToFit="1"/>
      <protection hidden="1"/>
    </xf>
    <xf numFmtId="0" fontId="1" fillId="4" borderId="64" xfId="0" applyFont="1" applyFill="1" applyBorder="1" applyAlignment="1" applyProtection="1">
      <alignment horizontal="left" indent="2" shrinkToFit="1"/>
      <protection hidden="1"/>
    </xf>
    <xf numFmtId="1" fontId="2" fillId="4" borderId="65" xfId="0" applyNumberFormat="1" applyFont="1" applyFill="1" applyBorder="1" applyAlignment="1" applyProtection="1">
      <alignment horizontal="center" shrinkToFit="1"/>
      <protection hidden="1"/>
    </xf>
    <xf numFmtId="0" fontId="1" fillId="4" borderId="3" xfId="0" applyFont="1" applyFill="1" applyBorder="1" applyAlignment="1" applyProtection="1">
      <alignment horizontal="left" indent="2" shrinkToFit="1"/>
      <protection hidden="1"/>
    </xf>
    <xf numFmtId="1" fontId="1" fillId="4" borderId="43" xfId="0" applyNumberFormat="1" applyFont="1" applyFill="1" applyBorder="1" applyAlignment="1" applyProtection="1">
      <alignment horizontal="center" shrinkToFit="1"/>
      <protection hidden="1"/>
    </xf>
    <xf numFmtId="1" fontId="2" fillId="4" borderId="72" xfId="0" applyNumberFormat="1" applyFont="1" applyFill="1" applyBorder="1" applyAlignment="1" applyProtection="1">
      <alignment horizontal="center" shrinkToFit="1"/>
      <protection hidden="1"/>
    </xf>
    <xf numFmtId="0" fontId="1" fillId="4" borderId="78" xfId="0" applyFont="1" applyFill="1" applyBorder="1" applyAlignment="1" applyProtection="1">
      <alignment horizontal="left" indent="2" shrinkToFit="1"/>
      <protection hidden="1"/>
    </xf>
    <xf numFmtId="1" fontId="3" fillId="0" borderId="39" xfId="0" applyNumberFormat="1" applyFont="1" applyBorder="1" applyAlignment="1" applyProtection="1">
      <alignment horizontal="center" vertical="center" shrinkToFit="1"/>
      <protection hidden="1"/>
    </xf>
    <xf numFmtId="1" fontId="2" fillId="0" borderId="39" xfId="0" applyNumberFormat="1" applyFont="1" applyBorder="1" applyAlignment="1" applyProtection="1">
      <alignment horizontal="center" vertical="center" shrinkToFit="1"/>
      <protection hidden="1"/>
    </xf>
    <xf numFmtId="1" fontId="2" fillId="0" borderId="40" xfId="0" applyNumberFormat="1" applyFont="1" applyBorder="1" applyAlignment="1" applyProtection="1">
      <alignment horizontal="center" vertical="center" shrinkToFit="1"/>
      <protection hidden="1"/>
    </xf>
    <xf numFmtId="1" fontId="2" fillId="0" borderId="41" xfId="0" applyNumberFormat="1" applyFont="1" applyBorder="1" applyAlignment="1" applyProtection="1">
      <alignment horizontal="center" vertical="center" shrinkToFit="1"/>
      <protection hidden="1"/>
    </xf>
    <xf numFmtId="1" fontId="1" fillId="0" borderId="18" xfId="0" applyNumberFormat="1" applyFont="1" applyBorder="1" applyAlignment="1" applyProtection="1">
      <alignment horizontal="center" vertical="center" shrinkToFit="1"/>
      <protection hidden="1"/>
    </xf>
    <xf numFmtId="1" fontId="1" fillId="0" borderId="42" xfId="0" applyNumberFormat="1" applyFont="1" applyBorder="1" applyAlignment="1" applyProtection="1">
      <alignment horizontal="center" vertical="center" shrinkToFit="1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1" fillId="6" borderId="19" xfId="0" applyFont="1" applyFill="1" applyBorder="1" applyAlignment="1" applyProtection="1">
      <alignment horizontal="center" vertical="center"/>
      <protection hidden="1"/>
    </xf>
    <xf numFmtId="0" fontId="2" fillId="6" borderId="33" xfId="0" applyFont="1" applyFill="1" applyBorder="1" applyAlignment="1" applyProtection="1">
      <alignment horizontal="center" vertical="center"/>
      <protection hidden="1"/>
    </xf>
    <xf numFmtId="0" fontId="1" fillId="5" borderId="33" xfId="0" applyFont="1" applyFill="1" applyBorder="1" applyAlignment="1" applyProtection="1">
      <alignment horizontal="center" vertical="center"/>
      <protection hidden="1"/>
    </xf>
    <xf numFmtId="0" fontId="1" fillId="6" borderId="106" xfId="0" applyFont="1" applyFill="1" applyBorder="1" applyAlignment="1" applyProtection="1">
      <alignment horizontal="center" vertical="center"/>
      <protection hidden="1"/>
    </xf>
    <xf numFmtId="0" fontId="1" fillId="6" borderId="22" xfId="0" applyFont="1" applyFill="1" applyBorder="1" applyAlignment="1" applyProtection="1">
      <alignment horizontal="center" vertical="center"/>
      <protection hidden="1"/>
    </xf>
    <xf numFmtId="0" fontId="1" fillId="12" borderId="0" xfId="0" applyFont="1" applyFill="1" applyAlignment="1" applyProtection="1">
      <alignment horizontal="center" vertical="center"/>
      <protection hidden="1"/>
    </xf>
    <xf numFmtId="0" fontId="1" fillId="7" borderId="14" xfId="0" applyFont="1" applyFill="1" applyBorder="1" applyAlignment="1" applyProtection="1">
      <alignment horizontal="center" vertical="center"/>
      <protection hidden="1"/>
    </xf>
    <xf numFmtId="0" fontId="1" fillId="7" borderId="19" xfId="0" applyFont="1" applyFill="1" applyBorder="1" applyAlignment="1" applyProtection="1">
      <alignment horizontal="center" vertical="center"/>
      <protection hidden="1"/>
    </xf>
    <xf numFmtId="0" fontId="1" fillId="6" borderId="33" xfId="0" applyFont="1" applyFill="1" applyBorder="1" applyAlignment="1" applyProtection="1">
      <alignment horizontal="center" vertical="center"/>
      <protection hidden="1"/>
    </xf>
    <xf numFmtId="0" fontId="1" fillId="7" borderId="106" xfId="0" applyFont="1" applyFill="1" applyBorder="1" applyAlignment="1" applyProtection="1">
      <alignment horizontal="center" vertical="center"/>
      <protection hidden="1"/>
    </xf>
    <xf numFmtId="0" fontId="1" fillId="7" borderId="15" xfId="0" applyFont="1" applyFill="1" applyBorder="1" applyAlignment="1" applyProtection="1">
      <alignment horizontal="center" vertical="center"/>
      <protection hidden="1"/>
    </xf>
    <xf numFmtId="0" fontId="1" fillId="7" borderId="22" xfId="0" applyFont="1" applyFill="1" applyBorder="1" applyAlignment="1" applyProtection="1">
      <alignment horizontal="center" vertical="center"/>
      <protection hidden="1"/>
    </xf>
    <xf numFmtId="0" fontId="1" fillId="0" borderId="14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134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4" borderId="14" xfId="0" applyFont="1" applyFill="1" applyBorder="1" applyAlignment="1" applyProtection="1">
      <alignment horizontal="center" vertical="center" shrinkToFit="1"/>
      <protection hidden="1"/>
    </xf>
    <xf numFmtId="0" fontId="2" fillId="4" borderId="15" xfId="0" applyFont="1" applyFill="1" applyBorder="1" applyAlignment="1" applyProtection="1">
      <alignment horizontal="center" vertical="center" shrinkToFit="1"/>
      <protection hidden="1"/>
    </xf>
    <xf numFmtId="0" fontId="0" fillId="0" borderId="0" xfId="0" applyProtection="1">
      <protection locked="0"/>
    </xf>
    <xf numFmtId="0" fontId="2" fillId="11" borderId="33" xfId="0" applyFont="1" applyFill="1" applyBorder="1" applyAlignment="1" applyProtection="1">
      <alignment horizontal="center" vertical="center" wrapText="1"/>
      <protection hidden="1"/>
    </xf>
    <xf numFmtId="0" fontId="1" fillId="0" borderId="129" xfId="0" applyFont="1" applyBorder="1" applyAlignment="1" applyProtection="1">
      <alignment horizontal="center" vertical="center"/>
      <protection hidden="1"/>
    </xf>
    <xf numFmtId="0" fontId="1" fillId="0" borderId="133" xfId="0" applyFont="1" applyBorder="1" applyAlignment="1" applyProtection="1">
      <alignment horizontal="center" vertical="center"/>
      <protection hidden="1"/>
    </xf>
    <xf numFmtId="0" fontId="1" fillId="0" borderId="129" xfId="0" applyFont="1" applyBorder="1" applyAlignment="1" applyProtection="1">
      <alignment horizontal="center" vertical="center" wrapText="1"/>
      <protection hidden="1"/>
    </xf>
    <xf numFmtId="0" fontId="1" fillId="0" borderId="133" xfId="0" applyFont="1" applyBorder="1" applyAlignment="1" applyProtection="1">
      <alignment horizontal="center" vertical="center" wrapText="1"/>
      <protection hidden="1"/>
    </xf>
    <xf numFmtId="0" fontId="1" fillId="0" borderId="106" xfId="0" applyFont="1" applyBorder="1" applyAlignment="1" applyProtection="1">
      <alignment horizontal="center" vertical="center"/>
      <protection hidden="1"/>
    </xf>
    <xf numFmtId="0" fontId="1" fillId="0" borderId="128" xfId="0" applyFont="1" applyBorder="1" applyAlignment="1" applyProtection="1">
      <alignment horizontal="center" vertical="center" wrapText="1"/>
      <protection hidden="1"/>
    </xf>
    <xf numFmtId="0" fontId="1" fillId="0" borderId="125" xfId="0" applyFont="1" applyBorder="1" applyAlignment="1" applyProtection="1">
      <alignment horizontal="center" vertical="center" wrapText="1"/>
      <protection hidden="1"/>
    </xf>
    <xf numFmtId="0" fontId="1" fillId="0" borderId="76" xfId="0" applyFont="1" applyBorder="1" applyAlignment="1" applyProtection="1">
      <alignment horizontal="center" vertical="center"/>
      <protection hidden="1"/>
    </xf>
    <xf numFmtId="0" fontId="2" fillId="18" borderId="33" xfId="0" applyFont="1" applyFill="1" applyBorder="1" applyAlignment="1" applyProtection="1">
      <alignment horizontal="center" vertical="center" wrapText="1"/>
      <protection hidden="1"/>
    </xf>
    <xf numFmtId="0" fontId="2" fillId="5" borderId="33" xfId="0" applyFont="1" applyFill="1" applyBorder="1" applyAlignment="1" applyProtection="1">
      <alignment horizontal="center" vertical="center"/>
      <protection hidden="1"/>
    </xf>
    <xf numFmtId="0" fontId="2" fillId="11" borderId="22" xfId="0" applyFont="1" applyFill="1" applyBorder="1" applyAlignment="1" applyProtection="1">
      <alignment horizontal="center" vertical="center"/>
      <protection hidden="1"/>
    </xf>
    <xf numFmtId="0" fontId="2" fillId="5" borderId="46" xfId="0" applyFont="1" applyFill="1" applyBorder="1" applyAlignment="1" applyProtection="1">
      <alignment horizontal="center" vertical="center"/>
      <protection hidden="1"/>
    </xf>
    <xf numFmtId="0" fontId="1" fillId="18" borderId="33" xfId="0" applyFont="1" applyFill="1" applyBorder="1" applyAlignment="1" applyProtection="1">
      <alignment horizontal="center" vertical="center"/>
      <protection hidden="1"/>
    </xf>
    <xf numFmtId="0" fontId="1" fillId="5" borderId="0" xfId="0" applyFont="1" applyFill="1" applyAlignment="1" applyProtection="1">
      <alignment horizontal="center" shrinkToFit="1"/>
      <protection hidden="1"/>
    </xf>
    <xf numFmtId="0" fontId="1" fillId="20" borderId="0" xfId="0" applyFont="1" applyFill="1" applyAlignment="1" applyProtection="1">
      <alignment horizontal="center" shrinkToFit="1"/>
      <protection hidden="1"/>
    </xf>
    <xf numFmtId="0" fontId="1" fillId="17" borderId="0" xfId="0" applyFont="1" applyFill="1" applyAlignment="1" applyProtection="1">
      <alignment horizontal="center" shrinkToFit="1"/>
      <protection hidden="1"/>
    </xf>
    <xf numFmtId="0" fontId="1" fillId="3" borderId="0" xfId="0" applyFont="1" applyFill="1" applyAlignment="1" applyProtection="1">
      <alignment horizontal="center" shrinkToFit="1"/>
      <protection hidden="1"/>
    </xf>
    <xf numFmtId="0" fontId="1" fillId="18" borderId="33" xfId="0" applyFont="1" applyFill="1" applyBorder="1" applyAlignment="1" applyProtection="1">
      <alignment horizontal="center" vertical="center" shrinkToFit="1"/>
      <protection hidden="1"/>
    </xf>
    <xf numFmtId="0" fontId="43" fillId="0" borderId="0" xfId="0" applyFont="1" applyAlignment="1" applyProtection="1">
      <alignment horizontal="center" vertical="center"/>
      <protection hidden="1"/>
    </xf>
    <xf numFmtId="0" fontId="1" fillId="14" borderId="0" xfId="0" applyFont="1" applyFill="1" applyAlignment="1" applyProtection="1">
      <alignment horizontal="center" shrinkToFit="1"/>
      <protection hidden="1"/>
    </xf>
    <xf numFmtId="0" fontId="1" fillId="7" borderId="0" xfId="0" applyFont="1" applyFill="1" applyAlignment="1" applyProtection="1">
      <alignment horizontal="center" shrinkToFit="1"/>
      <protection hidden="1"/>
    </xf>
    <xf numFmtId="0" fontId="1" fillId="19" borderId="0" xfId="0" applyFont="1" applyFill="1" applyAlignment="1" applyProtection="1">
      <alignment horizontal="center" shrinkToFit="1"/>
      <protection hidden="1"/>
    </xf>
    <xf numFmtId="0" fontId="1" fillId="0" borderId="22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1" fillId="0" borderId="128" xfId="0" applyFont="1" applyBorder="1" applyAlignment="1" applyProtection="1">
      <alignment horizontal="center" vertical="center"/>
      <protection hidden="1"/>
    </xf>
    <xf numFmtId="0" fontId="1" fillId="0" borderId="50" xfId="0" applyFont="1" applyBorder="1" applyAlignment="1" applyProtection="1">
      <alignment horizontal="center" vertical="center" wrapText="1"/>
      <protection hidden="1"/>
    </xf>
    <xf numFmtId="0" fontId="3" fillId="0" borderId="56" xfId="0" applyFont="1" applyBorder="1" applyAlignment="1" applyProtection="1">
      <alignment horizontal="center" vertical="center" wrapText="1"/>
      <protection hidden="1"/>
    </xf>
    <xf numFmtId="0" fontId="2" fillId="0" borderId="133" xfId="0" applyFont="1" applyBorder="1" applyAlignment="1" applyProtection="1">
      <alignment horizontal="center" vertical="center" wrapText="1"/>
      <protection hidden="1"/>
    </xf>
    <xf numFmtId="0" fontId="1" fillId="0" borderId="125" xfId="0" applyFont="1" applyBorder="1" applyAlignment="1" applyProtection="1">
      <alignment horizontal="center" vertical="center"/>
      <protection hidden="1"/>
    </xf>
    <xf numFmtId="0" fontId="1" fillId="0" borderId="54" xfId="0" applyFont="1" applyBorder="1" applyAlignment="1" applyProtection="1">
      <alignment horizontal="center" vertical="center" wrapText="1"/>
      <protection hidden="1"/>
    </xf>
    <xf numFmtId="0" fontId="1" fillId="0" borderId="55" xfId="0" applyFont="1" applyBorder="1" applyAlignment="1" applyProtection="1">
      <alignment horizontal="center" vertical="center" wrapText="1"/>
      <protection hidden="1"/>
    </xf>
    <xf numFmtId="165" fontId="1" fillId="0" borderId="22" xfId="0" applyNumberFormat="1" applyFont="1" applyBorder="1" applyAlignment="1" applyProtection="1">
      <alignment horizontal="center" vertical="center"/>
      <protection hidden="1"/>
    </xf>
    <xf numFmtId="165" fontId="1" fillId="0" borderId="37" xfId="0" applyNumberFormat="1" applyFont="1" applyBorder="1" applyAlignment="1" applyProtection="1">
      <alignment horizontal="center" vertical="center"/>
      <protection hidden="1"/>
    </xf>
    <xf numFmtId="0" fontId="1" fillId="0" borderId="143" xfId="0" quotePrefix="1" applyFont="1" applyBorder="1" applyAlignment="1" applyProtection="1">
      <alignment horizontal="center" vertical="center" shrinkToFit="1"/>
      <protection hidden="1"/>
    </xf>
    <xf numFmtId="165" fontId="1" fillId="0" borderId="77" xfId="0" applyNumberFormat="1" applyFont="1" applyBorder="1" applyAlignment="1" applyProtection="1">
      <alignment horizontal="center" vertical="center" shrinkToFit="1"/>
      <protection hidden="1"/>
    </xf>
    <xf numFmtId="165" fontId="1" fillId="0" borderId="0" xfId="0" applyNumberFormat="1" applyFont="1" applyAlignment="1" applyProtection="1">
      <alignment horizontal="center" vertical="center"/>
      <protection hidden="1"/>
    </xf>
    <xf numFmtId="0" fontId="1" fillId="0" borderId="76" xfId="0" applyFont="1" applyBorder="1" applyAlignment="1" applyProtection="1">
      <alignment horizontal="center" vertical="center" shrinkToFit="1"/>
      <protection hidden="1"/>
    </xf>
    <xf numFmtId="165" fontId="1" fillId="0" borderId="76" xfId="0" quotePrefix="1" applyNumberFormat="1" applyFont="1" applyBorder="1" applyAlignment="1" applyProtection="1">
      <alignment horizontal="center" vertical="center" shrinkToFit="1"/>
      <protection hidden="1"/>
    </xf>
    <xf numFmtId="165" fontId="1" fillId="0" borderId="77" xfId="0" quotePrefix="1" applyNumberFormat="1" applyFont="1" applyBorder="1" applyAlignment="1" applyProtection="1">
      <alignment horizontal="center" vertical="center" shrinkToFit="1"/>
      <protection hidden="1"/>
    </xf>
    <xf numFmtId="0" fontId="1" fillId="0" borderId="15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 shrinkToFit="1"/>
      <protection hidden="1"/>
    </xf>
    <xf numFmtId="165" fontId="1" fillId="0" borderId="47" xfId="0" applyNumberFormat="1" applyFont="1" applyBorder="1" applyAlignment="1" applyProtection="1">
      <alignment horizontal="center" vertical="center" shrinkToFit="1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8" fillId="0" borderId="125" xfId="0" applyFont="1" applyBorder="1" applyAlignment="1" applyProtection="1">
      <alignment horizontal="center" vertical="center"/>
      <protection hidden="1"/>
    </xf>
    <xf numFmtId="0" fontId="11" fillId="0" borderId="126" xfId="0" applyFont="1" applyBorder="1" applyAlignment="1" applyProtection="1">
      <alignment horizontal="center" vertical="center"/>
      <protection hidden="1"/>
    </xf>
    <xf numFmtId="0" fontId="11" fillId="0" borderId="128" xfId="0" applyFont="1" applyBorder="1" applyAlignment="1" applyProtection="1">
      <alignment horizontal="center" vertical="center"/>
      <protection hidden="1"/>
    </xf>
    <xf numFmtId="0" fontId="11" fillId="0" borderId="129" xfId="0" applyFont="1" applyBorder="1" applyAlignment="1" applyProtection="1">
      <alignment horizontal="center" vertical="center"/>
      <protection hidden="1"/>
    </xf>
    <xf numFmtId="0" fontId="31" fillId="0" borderId="23" xfId="0" applyFont="1" applyBorder="1" applyAlignment="1" applyProtection="1">
      <alignment horizontal="center" vertical="center"/>
      <protection hidden="1"/>
    </xf>
    <xf numFmtId="165" fontId="31" fillId="0" borderId="115" xfId="0" quotePrefix="1" applyNumberFormat="1" applyFont="1" applyBorder="1" applyAlignment="1" applyProtection="1">
      <alignment horizontal="center" vertical="center"/>
      <protection hidden="1"/>
    </xf>
    <xf numFmtId="0" fontId="31" fillId="0" borderId="25" xfId="0" applyFont="1" applyBorder="1" applyAlignment="1" applyProtection="1">
      <alignment horizontal="center" vertical="center"/>
      <protection hidden="1"/>
    </xf>
    <xf numFmtId="0" fontId="31" fillId="0" borderId="59" xfId="0" applyFont="1" applyBorder="1" applyAlignment="1" applyProtection="1">
      <alignment horizontal="center" vertical="center"/>
      <protection hidden="1"/>
    </xf>
    <xf numFmtId="165" fontId="31" fillId="0" borderId="120" xfId="0" applyNumberFormat="1" applyFont="1" applyBorder="1" applyAlignment="1" applyProtection="1">
      <alignment horizontal="center" vertical="center"/>
      <protection hidden="1"/>
    </xf>
    <xf numFmtId="0" fontId="31" fillId="0" borderId="60" xfId="0" applyFont="1" applyBorder="1" applyAlignment="1" applyProtection="1">
      <alignment horizontal="center" vertical="center"/>
      <protection hidden="1"/>
    </xf>
    <xf numFmtId="0" fontId="31" fillId="0" borderId="53" xfId="0" applyFont="1" applyBorder="1" applyAlignment="1" applyProtection="1">
      <alignment horizontal="center" vertical="center"/>
      <protection hidden="1"/>
    </xf>
    <xf numFmtId="165" fontId="31" fillId="0" borderId="121" xfId="0" applyNumberFormat="1" applyFont="1" applyBorder="1" applyAlignment="1" applyProtection="1">
      <alignment horizontal="center" vertical="center"/>
      <protection hidden="1"/>
    </xf>
    <xf numFmtId="0" fontId="31" fillId="0" borderId="63" xfId="0" applyFont="1" applyBorder="1" applyAlignment="1" applyProtection="1">
      <alignment horizontal="center" vertical="center"/>
      <protection hidden="1"/>
    </xf>
    <xf numFmtId="0" fontId="9" fillId="0" borderId="48" xfId="0" applyFont="1" applyBorder="1" applyAlignment="1" applyProtection="1">
      <alignment horizontal="center" vertical="center"/>
      <protection hidden="1"/>
    </xf>
    <xf numFmtId="165" fontId="18" fillId="0" borderId="113" xfId="0" applyNumberFormat="1" applyFont="1" applyBorder="1" applyAlignment="1" applyProtection="1">
      <alignment horizontal="center" vertical="center"/>
      <protection hidden="1"/>
    </xf>
    <xf numFmtId="0" fontId="9" fillId="0" borderId="130" xfId="0" applyFont="1" applyBorder="1" applyAlignment="1" applyProtection="1">
      <alignment horizontal="center" vertical="center"/>
      <protection hidden="1"/>
    </xf>
    <xf numFmtId="0" fontId="32" fillId="0" borderId="23" xfId="0" quotePrefix="1" applyFont="1" applyBorder="1" applyAlignment="1" applyProtection="1">
      <alignment horizontal="center" vertical="center"/>
      <protection hidden="1"/>
    </xf>
    <xf numFmtId="0" fontId="32" fillId="0" borderId="24" xfId="0" applyFont="1" applyBorder="1" applyAlignment="1" applyProtection="1">
      <alignment horizontal="center" vertical="center"/>
      <protection hidden="1"/>
    </xf>
    <xf numFmtId="0" fontId="32" fillId="0" borderId="115" xfId="0" applyFont="1" applyBorder="1" applyAlignment="1" applyProtection="1">
      <alignment horizontal="center" vertical="center"/>
      <protection hidden="1"/>
    </xf>
    <xf numFmtId="0" fontId="34" fillId="0" borderId="59" xfId="2" applyFont="1" applyBorder="1" applyAlignment="1" applyProtection="1">
      <alignment horizontal="center" vertical="center"/>
      <protection hidden="1"/>
    </xf>
    <xf numFmtId="0" fontId="31" fillId="0" borderId="46" xfId="0" applyFont="1" applyBorder="1" applyAlignment="1" applyProtection="1">
      <alignment horizontal="center" vertical="center"/>
      <protection hidden="1"/>
    </xf>
    <xf numFmtId="0" fontId="31" fillId="0" borderId="120" xfId="0" applyFont="1" applyBorder="1" applyAlignment="1" applyProtection="1">
      <alignment horizontal="center" vertical="center"/>
      <protection hidden="1"/>
    </xf>
    <xf numFmtId="0" fontId="34" fillId="0" borderId="53" xfId="2" applyFont="1" applyBorder="1" applyAlignment="1" applyProtection="1">
      <alignment horizontal="center" vertical="center"/>
      <protection hidden="1"/>
    </xf>
    <xf numFmtId="0" fontId="31" fillId="0" borderId="105" xfId="0" applyFont="1" applyBorder="1" applyAlignment="1" applyProtection="1">
      <alignment horizontal="center" vertical="center"/>
      <protection hidden="1"/>
    </xf>
    <xf numFmtId="0" fontId="31" fillId="0" borderId="121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vertical="center"/>
      <protection hidden="1"/>
    </xf>
    <xf numFmtId="0" fontId="9" fillId="4" borderId="0" xfId="0" applyFont="1" applyFill="1" applyAlignment="1" applyProtection="1">
      <alignment horizontal="center" vertical="center"/>
      <protection hidden="1"/>
    </xf>
    <xf numFmtId="0" fontId="32" fillId="4" borderId="0" xfId="0" applyFont="1" applyFill="1" applyAlignment="1" applyProtection="1">
      <alignment vertical="center"/>
      <protection hidden="1"/>
    </xf>
    <xf numFmtId="0" fontId="10" fillId="4" borderId="0" xfId="0" applyFont="1" applyFill="1" applyAlignment="1" applyProtection="1">
      <alignment horizontal="center" vertical="center"/>
      <protection hidden="1"/>
    </xf>
    <xf numFmtId="0" fontId="1" fillId="0" borderId="76" xfId="0" quotePrefix="1" applyFont="1" applyBorder="1" applyAlignment="1" applyProtection="1">
      <alignment horizontal="center" vertical="center" shrinkToFit="1"/>
      <protection hidden="1"/>
    </xf>
    <xf numFmtId="165" fontId="1" fillId="0" borderId="39" xfId="0" applyNumberFormat="1" applyFont="1" applyBorder="1" applyAlignment="1" applyProtection="1">
      <alignment horizontal="center" vertical="center"/>
      <protection hidden="1"/>
    </xf>
    <xf numFmtId="165" fontId="1" fillId="0" borderId="40" xfId="0" applyNumberFormat="1" applyFont="1" applyBorder="1" applyAlignment="1" applyProtection="1">
      <alignment horizontal="center" vertical="center"/>
      <protection hidden="1"/>
    </xf>
    <xf numFmtId="165" fontId="1" fillId="0" borderId="41" xfId="0" applyNumberFormat="1" applyFont="1" applyBorder="1" applyAlignment="1" applyProtection="1">
      <alignment horizontal="center" vertical="center"/>
      <protection hidden="1"/>
    </xf>
    <xf numFmtId="165" fontId="1" fillId="0" borderId="66" xfId="0" applyNumberFormat="1" applyFont="1" applyBorder="1" applyAlignment="1" applyProtection="1">
      <alignment horizontal="center" vertical="center"/>
      <protection hidden="1"/>
    </xf>
    <xf numFmtId="165" fontId="1" fillId="0" borderId="34" xfId="0" applyNumberFormat="1" applyFont="1" applyBorder="1" applyAlignment="1" applyProtection="1">
      <alignment horizontal="center" vertical="center"/>
      <protection hidden="1"/>
    </xf>
    <xf numFmtId="165" fontId="1" fillId="0" borderId="71" xfId="0" applyNumberFormat="1" applyFont="1" applyBorder="1" applyAlignment="1" applyProtection="1">
      <alignment horizontal="center" vertical="center"/>
      <protection hidden="1"/>
    </xf>
    <xf numFmtId="165" fontId="2" fillId="0" borderId="71" xfId="0" applyNumberFormat="1" applyFont="1" applyBorder="1" applyAlignment="1" applyProtection="1">
      <alignment horizontal="center" vertical="center"/>
      <protection hidden="1"/>
    </xf>
    <xf numFmtId="0" fontId="7" fillId="0" borderId="34" xfId="0" applyFont="1" applyBorder="1" applyAlignment="1" applyProtection="1">
      <alignment horizontal="center" vertical="center" shrinkToFit="1"/>
      <protection hidden="1"/>
    </xf>
    <xf numFmtId="0" fontId="7" fillId="0" borderId="142" xfId="0" applyFont="1" applyBorder="1" applyAlignment="1" applyProtection="1">
      <alignment horizontal="center" vertical="center" shrinkToFit="1"/>
      <protection hidden="1"/>
    </xf>
    <xf numFmtId="165" fontId="1" fillId="0" borderId="18" xfId="0" applyNumberFormat="1" applyFont="1" applyBorder="1" applyAlignment="1" applyProtection="1">
      <alignment horizontal="center" vertical="center"/>
      <protection hidden="1"/>
    </xf>
    <xf numFmtId="165" fontId="1" fillId="0" borderId="1" xfId="0" applyNumberFormat="1" applyFont="1" applyBorder="1" applyAlignment="1" applyProtection="1">
      <alignment horizontal="center" vertical="center"/>
      <protection hidden="1"/>
    </xf>
    <xf numFmtId="165" fontId="1" fillId="0" borderId="13" xfId="0" applyNumberFormat="1" applyFont="1" applyBorder="1" applyAlignment="1" applyProtection="1">
      <alignment horizontal="center" vertical="center"/>
      <protection hidden="1"/>
    </xf>
    <xf numFmtId="165" fontId="1" fillId="0" borderId="12" xfId="0" applyNumberFormat="1" applyFont="1" applyBorder="1" applyAlignment="1" applyProtection="1">
      <alignment horizontal="center" vertical="center"/>
      <protection hidden="1"/>
    </xf>
    <xf numFmtId="165" fontId="1" fillId="0" borderId="21" xfId="0" applyNumberFormat="1" applyFont="1" applyBorder="1" applyAlignment="1" applyProtection="1">
      <alignment horizontal="center" vertical="center"/>
      <protection hidden="1"/>
    </xf>
    <xf numFmtId="165" fontId="1" fillId="0" borderId="7" xfId="0" applyNumberFormat="1" applyFont="1" applyBorder="1" applyAlignment="1" applyProtection="1">
      <alignment horizontal="center" vertical="center"/>
      <protection hidden="1"/>
    </xf>
    <xf numFmtId="165" fontId="2" fillId="0" borderId="7" xfId="0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center" vertical="center" shrinkToFit="1"/>
      <protection hidden="1"/>
    </xf>
    <xf numFmtId="0" fontId="7" fillId="0" borderId="141" xfId="0" applyFont="1" applyBorder="1" applyAlignment="1" applyProtection="1">
      <alignment horizontal="center" vertical="center" shrinkToFit="1"/>
      <protection hidden="1"/>
    </xf>
    <xf numFmtId="165" fontId="1" fillId="0" borderId="42" xfId="0" applyNumberFormat="1" applyFont="1" applyBorder="1" applyAlignment="1" applyProtection="1">
      <alignment horizontal="center" vertical="center"/>
      <protection hidden="1"/>
    </xf>
    <xf numFmtId="165" fontId="1" fillId="0" borderId="43" xfId="0" applyNumberFormat="1" applyFont="1" applyBorder="1" applyAlignment="1" applyProtection="1">
      <alignment horizontal="center" vertical="center"/>
      <protection hidden="1"/>
    </xf>
    <xf numFmtId="165" fontId="1" fillId="0" borderId="44" xfId="0" applyNumberFormat="1" applyFont="1" applyBorder="1" applyAlignment="1" applyProtection="1">
      <alignment horizontal="center" vertical="center"/>
      <protection hidden="1"/>
    </xf>
    <xf numFmtId="165" fontId="1" fillId="0" borderId="97" xfId="0" applyNumberFormat="1" applyFont="1" applyBorder="1" applyAlignment="1" applyProtection="1">
      <alignment horizontal="center" vertical="center"/>
      <protection hidden="1"/>
    </xf>
    <xf numFmtId="165" fontId="1" fillId="0" borderId="96" xfId="0" applyNumberFormat="1" applyFont="1" applyBorder="1" applyAlignment="1" applyProtection="1">
      <alignment horizontal="center" vertical="center"/>
      <protection hidden="1"/>
    </xf>
    <xf numFmtId="165" fontId="1" fillId="0" borderId="98" xfId="0" applyNumberFormat="1" applyFont="1" applyBorder="1" applyAlignment="1" applyProtection="1">
      <alignment horizontal="center" vertical="center"/>
      <protection hidden="1"/>
    </xf>
    <xf numFmtId="165" fontId="2" fillId="0" borderId="98" xfId="0" applyNumberFormat="1" applyFont="1" applyBorder="1" applyAlignment="1" applyProtection="1">
      <alignment horizontal="center" vertical="center"/>
      <protection hidden="1"/>
    </xf>
    <xf numFmtId="0" fontId="7" fillId="0" borderId="96" xfId="0" applyFont="1" applyBorder="1" applyAlignment="1" applyProtection="1">
      <alignment horizontal="center" vertical="center" shrinkToFit="1"/>
      <protection hidden="1"/>
    </xf>
    <xf numFmtId="0" fontId="7" fillId="0" borderId="92" xfId="0" applyFont="1" applyBorder="1" applyAlignment="1" applyProtection="1">
      <alignment horizontal="center" vertical="center" shrinkToFit="1"/>
      <protection hidden="1"/>
    </xf>
    <xf numFmtId="0" fontId="7" fillId="0" borderId="33" xfId="0" applyFont="1" applyBorder="1" applyAlignment="1" applyProtection="1">
      <alignment horizontal="center" vertical="center" shrinkToFit="1"/>
      <protection hidden="1"/>
    </xf>
    <xf numFmtId="0" fontId="1" fillId="0" borderId="33" xfId="0" applyFont="1" applyBorder="1" applyProtection="1">
      <protection hidden="1"/>
    </xf>
    <xf numFmtId="0" fontId="7" fillId="0" borderId="33" xfId="0" applyFont="1" applyBorder="1" applyAlignment="1" applyProtection="1">
      <alignment horizontal="center" vertical="center"/>
      <protection hidden="1"/>
    </xf>
    <xf numFmtId="0" fontId="6" fillId="0" borderId="0" xfId="2" applyFont="1" applyProtection="1">
      <protection hidden="1"/>
    </xf>
    <xf numFmtId="0" fontId="1" fillId="0" borderId="49" xfId="0" applyFont="1" applyBorder="1" applyAlignment="1" applyProtection="1">
      <alignment vertical="center" wrapText="1"/>
      <protection hidden="1"/>
    </xf>
    <xf numFmtId="0" fontId="1" fillId="0" borderId="50" xfId="0" applyFont="1" applyBorder="1" applyAlignment="1" applyProtection="1">
      <alignment vertical="center" wrapText="1"/>
      <protection hidden="1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4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  <protection locked="0"/>
    </xf>
    <xf numFmtId="0" fontId="1" fillId="0" borderId="33" xfId="0" applyFont="1" applyBorder="1" applyAlignment="1" applyProtection="1">
      <alignment horizontal="center" shrinkToFit="1"/>
      <protection locked="0"/>
    </xf>
    <xf numFmtId="0" fontId="1" fillId="0" borderId="45" xfId="0" applyFont="1" applyBorder="1" applyAlignment="1" applyProtection="1">
      <alignment shrinkToFit="1"/>
      <protection locked="0"/>
    </xf>
    <xf numFmtId="0" fontId="1" fillId="0" borderId="35" xfId="0" applyFont="1" applyBorder="1" applyAlignment="1" applyProtection="1">
      <alignment shrinkToFit="1"/>
      <protection locked="0"/>
    </xf>
    <xf numFmtId="0" fontId="1" fillId="0" borderId="33" xfId="0" applyFont="1" applyBorder="1" applyAlignment="1" applyProtection="1">
      <alignment shrinkToFit="1"/>
      <protection locked="0"/>
    </xf>
    <xf numFmtId="0" fontId="1" fillId="0" borderId="0" xfId="0" applyFont="1" applyAlignment="1" applyProtection="1">
      <alignment horizontal="center" shrinkToFit="1"/>
      <protection locked="0"/>
    </xf>
    <xf numFmtId="0" fontId="1" fillId="0" borderId="0" xfId="0" applyFont="1" applyAlignment="1" applyProtection="1">
      <alignment shrinkToFit="1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2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1" fillId="0" borderId="0" xfId="0" applyFont="1" applyAlignment="1">
      <alignment horizontal="center" vertical="center"/>
    </xf>
    <xf numFmtId="0" fontId="2" fillId="5" borderId="45" xfId="0" applyFont="1" applyFill="1" applyBorder="1" applyAlignment="1">
      <alignment horizontal="center" vertical="center"/>
    </xf>
    <xf numFmtId="0" fontId="2" fillId="5" borderId="35" xfId="0" applyFont="1" applyFill="1" applyBorder="1" applyAlignment="1">
      <alignment horizontal="center" vertical="center"/>
    </xf>
    <xf numFmtId="0" fontId="2" fillId="5" borderId="9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0" borderId="66" xfId="0" applyFont="1" applyBorder="1" applyAlignment="1">
      <alignment horizontal="center" vertical="center" shrinkToFit="1"/>
    </xf>
    <xf numFmtId="0" fontId="1" fillId="0" borderId="66" xfId="0" applyFont="1" applyBorder="1" applyAlignment="1">
      <alignment horizontal="left" vertical="center" shrinkToFit="1"/>
    </xf>
    <xf numFmtId="0" fontId="1" fillId="0" borderId="142" xfId="0" applyFont="1" applyBorder="1" applyAlignment="1">
      <alignment horizontal="left" vertical="center" shrinkToFit="1"/>
    </xf>
    <xf numFmtId="0" fontId="1" fillId="0" borderId="142" xfId="0" applyFont="1" applyBorder="1" applyAlignment="1">
      <alignment horizontal="center" vertical="center" shrinkToFit="1"/>
    </xf>
    <xf numFmtId="165" fontId="2" fillId="0" borderId="64" xfId="0" applyNumberFormat="1" applyFont="1" applyBorder="1" applyAlignment="1">
      <alignment horizontal="center" vertical="center" shrinkToFit="1"/>
    </xf>
    <xf numFmtId="0" fontId="1" fillId="0" borderId="41" xfId="0" applyFont="1" applyBorder="1" applyAlignment="1">
      <alignment horizontal="left" vertical="center" shrinkToFit="1"/>
    </xf>
    <xf numFmtId="0" fontId="1" fillId="0" borderId="12" xfId="0" applyFont="1" applyBorder="1" applyAlignment="1">
      <alignment horizontal="center" vertical="center" shrinkToFit="1"/>
    </xf>
    <xf numFmtId="0" fontId="1" fillId="0" borderId="12" xfId="0" applyFont="1" applyBorder="1" applyAlignment="1">
      <alignment horizontal="left" vertical="center" shrinkToFit="1"/>
    </xf>
    <xf numFmtId="0" fontId="1" fillId="0" borderId="141" xfId="0" applyFont="1" applyBorder="1" applyAlignment="1">
      <alignment horizontal="left" vertical="center" shrinkToFit="1"/>
    </xf>
    <xf numFmtId="0" fontId="1" fillId="0" borderId="141" xfId="0" applyFont="1" applyBorder="1" applyAlignment="1">
      <alignment horizontal="center" vertical="center" shrinkToFit="1"/>
    </xf>
    <xf numFmtId="165" fontId="2" fillId="0" borderId="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left" vertical="center" shrinkToFit="1"/>
    </xf>
    <xf numFmtId="0" fontId="1" fillId="0" borderId="97" xfId="0" applyFont="1" applyBorder="1" applyAlignment="1">
      <alignment horizontal="center" vertical="center" shrinkToFit="1"/>
    </xf>
    <xf numFmtId="0" fontId="1" fillId="0" borderId="97" xfId="0" applyFont="1" applyBorder="1" applyAlignment="1">
      <alignment horizontal="left" vertical="center" shrinkToFit="1"/>
    </xf>
    <xf numFmtId="0" fontId="1" fillId="0" borderId="92" xfId="0" applyFont="1" applyBorder="1" applyAlignment="1">
      <alignment horizontal="left" vertical="center" shrinkToFit="1"/>
    </xf>
    <xf numFmtId="0" fontId="1" fillId="0" borderId="92" xfId="0" applyFont="1" applyBorder="1" applyAlignment="1">
      <alignment horizontal="center" vertical="center" shrinkToFit="1"/>
    </xf>
    <xf numFmtId="165" fontId="2" fillId="0" borderId="78" xfId="0" applyNumberFormat="1" applyFont="1" applyBorder="1" applyAlignment="1">
      <alignment horizontal="center" vertical="center" shrinkToFit="1"/>
    </xf>
    <xf numFmtId="0" fontId="1" fillId="0" borderId="44" xfId="0" applyFont="1" applyBorder="1" applyAlignment="1">
      <alignment horizontal="left" vertical="center" shrinkToFit="1"/>
    </xf>
    <xf numFmtId="165" fontId="2" fillId="0" borderId="6" xfId="0" applyNumberFormat="1" applyFont="1" applyBorder="1" applyAlignment="1">
      <alignment horizontal="center" vertical="center" shrinkToFit="1"/>
    </xf>
    <xf numFmtId="0" fontId="1" fillId="0" borderId="0" xfId="0" applyFont="1" applyAlignment="1">
      <alignment horizontal="left" vertical="center" shrinkToFit="1"/>
    </xf>
    <xf numFmtId="0" fontId="1" fillId="0" borderId="33" xfId="0" applyFont="1" applyBorder="1" applyAlignment="1">
      <alignment horizontal="center" vertical="center"/>
    </xf>
    <xf numFmtId="0" fontId="11" fillId="0" borderId="33" xfId="0" applyFont="1" applyBorder="1" applyAlignment="1">
      <alignment shrinkToFit="1"/>
    </xf>
    <xf numFmtId="0" fontId="0" fillId="0" borderId="33" xfId="0" applyBorder="1" applyAlignment="1">
      <alignment shrinkToFit="1"/>
    </xf>
    <xf numFmtId="0" fontId="1" fillId="0" borderId="33" xfId="0" applyFont="1" applyBorder="1" applyAlignment="1">
      <alignment horizontal="center" vertical="center" shrinkToFit="1"/>
    </xf>
    <xf numFmtId="0" fontId="0" fillId="0" borderId="33" xfId="0" applyBorder="1" applyAlignment="1">
      <alignment horizontal="center" shrinkToFit="1"/>
    </xf>
    <xf numFmtId="0" fontId="2" fillId="5" borderId="46" xfId="0" applyFont="1" applyFill="1" applyBorder="1" applyAlignment="1">
      <alignment horizontal="center" vertical="center" wrapText="1"/>
    </xf>
    <xf numFmtId="1" fontId="2" fillId="0" borderId="71" xfId="0" applyNumberFormat="1" applyFon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" fontId="2" fillId="0" borderId="98" xfId="0" applyNumberFormat="1" applyFont="1" applyBorder="1" applyAlignment="1">
      <alignment horizontal="center" vertical="center" shrinkToFit="1"/>
    </xf>
    <xf numFmtId="1" fontId="2" fillId="0" borderId="16" xfId="0" applyNumberFormat="1" applyFont="1" applyBorder="1" applyAlignment="1">
      <alignment horizontal="center" vertical="center" shrinkToFit="1"/>
    </xf>
    <xf numFmtId="0" fontId="44" fillId="22" borderId="0" xfId="0" applyFont="1" applyFill="1" applyAlignment="1">
      <alignment horizontal="center" vertical="center" wrapText="1"/>
    </xf>
    <xf numFmtId="0" fontId="1" fillId="23" borderId="35" xfId="0" applyFont="1" applyFill="1" applyBorder="1" applyAlignment="1">
      <alignment horizontal="center" vertical="center"/>
    </xf>
    <xf numFmtId="0" fontId="1" fillId="21" borderId="35" xfId="0" applyFont="1" applyFill="1" applyBorder="1" applyAlignment="1">
      <alignment horizontal="center" vertical="center"/>
    </xf>
    <xf numFmtId="1" fontId="1" fillId="23" borderId="0" xfId="0" applyNumberFormat="1" applyFont="1" applyFill="1" applyAlignment="1">
      <alignment horizontal="center" vertical="center" shrinkToFit="1"/>
    </xf>
    <xf numFmtId="0" fontId="1" fillId="23" borderId="0" xfId="0" applyFont="1" applyFill="1" applyAlignment="1">
      <alignment horizontal="center" vertical="center" shrinkToFit="1"/>
    </xf>
    <xf numFmtId="0" fontId="1" fillId="23" borderId="0" xfId="0" applyFont="1" applyFill="1" applyAlignment="1">
      <alignment horizontal="left" vertical="center" shrinkToFit="1"/>
    </xf>
    <xf numFmtId="0" fontId="11" fillId="0" borderId="33" xfId="0" applyFont="1" applyBorder="1" applyAlignment="1" applyProtection="1">
      <alignment horizontal="center" vertical="center"/>
      <protection hidden="1"/>
    </xf>
    <xf numFmtId="0" fontId="11" fillId="0" borderId="33" xfId="0" applyFont="1" applyBorder="1" applyAlignment="1" applyProtection="1">
      <alignment horizontal="center" vertical="center" wrapText="1"/>
      <protection hidden="1"/>
    </xf>
    <xf numFmtId="0" fontId="9" fillId="0" borderId="33" xfId="0" quotePrefix="1" applyFont="1" applyBorder="1" applyAlignment="1" applyProtection="1">
      <alignment horizontal="center" vertical="center"/>
      <protection hidden="1"/>
    </xf>
    <xf numFmtId="0" fontId="9" fillId="0" borderId="33" xfId="0" applyFont="1" applyBorder="1" applyAlignment="1" applyProtection="1">
      <alignment horizontal="center" vertical="center"/>
      <protection hidden="1"/>
    </xf>
    <xf numFmtId="165" fontId="9" fillId="0" borderId="33" xfId="0" applyNumberFormat="1" applyFont="1" applyBorder="1" applyAlignment="1" applyProtection="1">
      <alignment horizontal="center" vertical="center"/>
      <protection hidden="1"/>
    </xf>
    <xf numFmtId="0" fontId="2" fillId="0" borderId="33" xfId="0" applyFont="1" applyBorder="1" applyAlignment="1" applyProtection="1">
      <alignment horizontal="center" vertical="center" wrapText="1"/>
      <protection hidden="1"/>
    </xf>
    <xf numFmtId="14" fontId="9" fillId="11" borderId="33" xfId="0" applyNumberFormat="1" applyFont="1" applyFill="1" applyBorder="1" applyAlignment="1" applyProtection="1">
      <alignment horizontal="center" vertical="center"/>
      <protection hidden="1"/>
    </xf>
    <xf numFmtId="165" fontId="9" fillId="0" borderId="33" xfId="0" applyNumberFormat="1" applyFont="1" applyBorder="1" applyAlignment="1" applyProtection="1">
      <alignment horizontal="left" vertical="center" wrapText="1"/>
      <protection hidden="1"/>
    </xf>
    <xf numFmtId="0" fontId="1" fillId="5" borderId="35" xfId="0" applyFont="1" applyFill="1" applyBorder="1" applyAlignment="1">
      <alignment horizontal="center" vertical="center"/>
    </xf>
    <xf numFmtId="0" fontId="9" fillId="5" borderId="45" xfId="0" applyFont="1" applyFill="1" applyBorder="1" applyAlignment="1" applyProtection="1">
      <alignment horizontal="right" vertical="center" shrinkToFit="1"/>
      <protection hidden="1"/>
    </xf>
    <xf numFmtId="0" fontId="9" fillId="4" borderId="0" xfId="0" applyFont="1" applyFill="1" applyAlignment="1" applyProtection="1">
      <alignment horizontal="right" vertical="center"/>
      <protection hidden="1"/>
    </xf>
    <xf numFmtId="0" fontId="9" fillId="5" borderId="45" xfId="0" applyFont="1" applyFill="1" applyBorder="1" applyAlignment="1" applyProtection="1">
      <alignment vertical="center" shrinkToFit="1"/>
      <protection hidden="1"/>
    </xf>
    <xf numFmtId="0" fontId="9" fillId="0" borderId="33" xfId="0" applyFont="1" applyBorder="1" applyAlignment="1" applyProtection="1">
      <alignment horizontal="center" vertical="center" shrinkToFit="1"/>
      <protection hidden="1"/>
    </xf>
    <xf numFmtId="0" fontId="19" fillId="0" borderId="0" xfId="0" applyFont="1" applyAlignment="1" applyProtection="1">
      <alignment vertical="center" shrinkToFit="1"/>
      <protection hidden="1"/>
    </xf>
    <xf numFmtId="0" fontId="10" fillId="5" borderId="0" xfId="0" applyFont="1" applyFill="1" applyAlignment="1" applyProtection="1">
      <alignment horizontal="center" vertical="center"/>
      <protection hidden="1"/>
    </xf>
    <xf numFmtId="0" fontId="1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2" fillId="0" borderId="101" xfId="3" applyBorder="1" applyAlignment="1" applyProtection="1">
      <alignment horizontal="center" vertical="center"/>
      <protection hidden="1"/>
    </xf>
    <xf numFmtId="0" fontId="22" fillId="0" borderId="90" xfId="3" applyBorder="1" applyAlignment="1" applyProtection="1">
      <alignment horizontal="center" vertical="center"/>
      <protection hidden="1"/>
    </xf>
    <xf numFmtId="0" fontId="22" fillId="0" borderId="89" xfId="3" applyBorder="1" applyAlignment="1" applyProtection="1">
      <alignment horizontal="center" vertical="center"/>
      <protection hidden="1"/>
    </xf>
    <xf numFmtId="0" fontId="1" fillId="24" borderId="0" xfId="0" applyFont="1" applyFill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2" fillId="0" borderId="0" xfId="0" applyFont="1" applyAlignment="1" applyProtection="1">
      <alignment vertical="center" shrinkToFit="1"/>
      <protection hidden="1"/>
    </xf>
    <xf numFmtId="165" fontId="1" fillId="0" borderId="66" xfId="0" applyNumberFormat="1" applyFont="1" applyBorder="1" applyAlignment="1" applyProtection="1">
      <alignment horizontal="center" vertical="center" shrinkToFit="1"/>
      <protection hidden="1"/>
    </xf>
    <xf numFmtId="165" fontId="1" fillId="0" borderId="12" xfId="0" applyNumberFormat="1" applyFont="1" applyBorder="1" applyAlignment="1" applyProtection="1">
      <alignment horizontal="center" vertical="center" shrinkToFit="1"/>
      <protection hidden="1"/>
    </xf>
    <xf numFmtId="165" fontId="1" fillId="0" borderId="97" xfId="0" applyNumberFormat="1" applyFont="1" applyBorder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horizontal="center" vertical="center" shrinkToFit="1"/>
      <protection hidden="1"/>
    </xf>
    <xf numFmtId="0" fontId="1" fillId="12" borderId="0" xfId="0" applyFont="1" applyFill="1" applyAlignment="1" applyProtection="1">
      <alignment horizontal="center" vertical="top"/>
      <protection hidden="1"/>
    </xf>
    <xf numFmtId="165" fontId="1" fillId="0" borderId="66" xfId="0" applyNumberFormat="1" applyFont="1" applyBorder="1" applyAlignment="1" applyProtection="1">
      <alignment horizontal="left" vertical="center" wrapText="1" indent="1" shrinkToFit="1"/>
      <protection hidden="1"/>
    </xf>
    <xf numFmtId="165" fontId="1" fillId="0" borderId="12" xfId="0" applyNumberFormat="1" applyFont="1" applyBorder="1" applyAlignment="1" applyProtection="1">
      <alignment horizontal="left" vertical="center" wrapText="1" indent="1" shrinkToFit="1"/>
      <protection hidden="1"/>
    </xf>
    <xf numFmtId="165" fontId="1" fillId="0" borderId="97" xfId="0" applyNumberFormat="1" applyFont="1" applyBorder="1" applyAlignment="1" applyProtection="1">
      <alignment horizontal="left" vertical="center" wrapText="1" indent="1" shrinkToFit="1"/>
      <protection hidden="1"/>
    </xf>
    <xf numFmtId="0" fontId="1" fillId="5" borderId="0" xfId="0" applyFont="1" applyFill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 shrinkToFit="1"/>
      <protection hidden="1"/>
    </xf>
    <xf numFmtId="165" fontId="1" fillId="0" borderId="10" xfId="0" applyNumberFormat="1" applyFont="1" applyBorder="1" applyAlignment="1" applyProtection="1">
      <alignment horizontal="center" vertical="center" shrinkToFit="1"/>
      <protection hidden="1"/>
    </xf>
    <xf numFmtId="165" fontId="1" fillId="0" borderId="10" xfId="0" applyNumberFormat="1" applyFont="1" applyBorder="1" applyAlignment="1" applyProtection="1">
      <alignment horizontal="left" vertical="center" wrapText="1" indent="1" shrinkToFit="1"/>
      <protection hidden="1"/>
    </xf>
    <xf numFmtId="0" fontId="11" fillId="0" borderId="0" xfId="0" applyFont="1" applyProtection="1">
      <protection hidden="1"/>
    </xf>
    <xf numFmtId="0" fontId="2" fillId="5" borderId="89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left" vertical="center" shrinkToFit="1"/>
    </xf>
    <xf numFmtId="0" fontId="1" fillId="0" borderId="33" xfId="0" applyFont="1" applyBorder="1" applyAlignment="1">
      <alignment horizontal="left" vertical="center"/>
    </xf>
    <xf numFmtId="0" fontId="0" fillId="0" borderId="33" xfId="0" applyBorder="1" applyAlignment="1">
      <alignment horizontal="left" shrinkToFit="1"/>
    </xf>
    <xf numFmtId="0" fontId="32" fillId="0" borderId="0" xfId="0" applyFont="1" applyAlignment="1" applyProtection="1">
      <alignment shrinkToFit="1"/>
      <protection hidden="1"/>
    </xf>
    <xf numFmtId="0" fontId="0" fillId="5" borderId="33" xfId="0" applyFill="1" applyBorder="1" applyAlignment="1">
      <alignment shrinkToFit="1"/>
    </xf>
    <xf numFmtId="0" fontId="48" fillId="13" borderId="0" xfId="0" applyFont="1" applyFill="1" applyAlignment="1" applyProtection="1">
      <alignment horizontal="center" vertical="center"/>
      <protection hidden="1"/>
    </xf>
    <xf numFmtId="0" fontId="1" fillId="13" borderId="14" xfId="0" applyFont="1" applyFill="1" applyBorder="1" applyAlignment="1" applyProtection="1">
      <alignment horizontal="center" vertical="center"/>
      <protection hidden="1"/>
    </xf>
    <xf numFmtId="0" fontId="48" fillId="13" borderId="14" xfId="0" applyFont="1" applyFill="1" applyBorder="1" applyAlignment="1">
      <alignment horizontal="left" vertical="center"/>
    </xf>
    <xf numFmtId="165" fontId="1" fillId="3" borderId="39" xfId="0" applyNumberFormat="1" applyFont="1" applyFill="1" applyBorder="1" applyAlignment="1" applyProtection="1">
      <alignment horizontal="center" vertical="center" shrinkToFit="1"/>
      <protection locked="0"/>
    </xf>
    <xf numFmtId="165" fontId="1" fillId="3" borderId="18" xfId="0" applyNumberFormat="1" applyFont="1" applyFill="1" applyBorder="1" applyAlignment="1" applyProtection="1">
      <alignment horizontal="center" vertical="center" shrinkToFit="1"/>
      <protection locked="0"/>
    </xf>
    <xf numFmtId="165" fontId="1" fillId="3" borderId="42" xfId="0" applyNumberFormat="1" applyFont="1" applyFill="1" applyBorder="1" applyAlignment="1" applyProtection="1">
      <alignment horizontal="center" vertical="center" shrinkToFit="1"/>
      <protection locked="0"/>
    </xf>
    <xf numFmtId="165" fontId="1" fillId="3" borderId="17" xfId="0" applyNumberFormat="1" applyFont="1" applyFill="1" applyBorder="1" applyAlignment="1" applyProtection="1">
      <alignment horizontal="center" vertical="center" shrinkToFit="1"/>
      <protection locked="0"/>
    </xf>
    <xf numFmtId="165" fontId="49" fillId="3" borderId="75" xfId="0" applyNumberFormat="1" applyFont="1" applyFill="1" applyBorder="1" applyAlignment="1" applyProtection="1">
      <alignment horizontal="center" vertical="center"/>
      <protection locked="0"/>
    </xf>
    <xf numFmtId="165" fontId="49" fillId="3" borderId="77" xfId="0" applyNumberFormat="1" applyFont="1" applyFill="1" applyBorder="1" applyAlignment="1" applyProtection="1">
      <alignment horizontal="center" vertical="center"/>
      <protection locked="0"/>
    </xf>
    <xf numFmtId="165" fontId="49" fillId="3" borderId="47" xfId="0" applyNumberFormat="1" applyFont="1" applyFill="1" applyBorder="1" applyAlignment="1" applyProtection="1">
      <alignment horizontal="center" vertical="center"/>
      <protection locked="0"/>
    </xf>
    <xf numFmtId="165" fontId="49" fillId="3" borderId="0" xfId="0" applyNumberFormat="1" applyFont="1" applyFill="1" applyAlignment="1" applyProtection="1">
      <alignment horizontal="center" vertical="center"/>
      <protection locked="0"/>
    </xf>
    <xf numFmtId="165" fontId="1" fillId="21" borderId="3" xfId="0" applyNumberFormat="1" applyFont="1" applyFill="1" applyBorder="1" applyAlignment="1" applyProtection="1">
      <alignment horizontal="center" vertical="center" shrinkToFit="1"/>
      <protection locked="0"/>
    </xf>
    <xf numFmtId="0" fontId="2" fillId="5" borderId="33" xfId="0" applyFont="1" applyFill="1" applyBorder="1" applyAlignment="1" applyProtection="1">
      <alignment horizontal="center" vertical="center"/>
      <protection hidden="1"/>
    </xf>
    <xf numFmtId="0" fontId="2" fillId="11" borderId="19" xfId="0" applyFont="1" applyFill="1" applyBorder="1" applyAlignment="1" applyProtection="1">
      <alignment horizontal="center" vertical="center"/>
      <protection hidden="1"/>
    </xf>
    <xf numFmtId="0" fontId="2" fillId="11" borderId="22" xfId="0" applyFont="1" applyFill="1" applyBorder="1" applyAlignment="1" applyProtection="1">
      <alignment horizontal="center" vertical="center"/>
      <protection hidden="1"/>
    </xf>
    <xf numFmtId="0" fontId="5" fillId="6" borderId="33" xfId="0" applyFont="1" applyFill="1" applyBorder="1" applyAlignment="1" applyProtection="1">
      <alignment horizontal="center" vertical="center"/>
      <protection hidden="1"/>
    </xf>
    <xf numFmtId="0" fontId="2" fillId="7" borderId="19" xfId="0" applyFont="1" applyFill="1" applyBorder="1" applyAlignment="1" applyProtection="1">
      <alignment horizontal="center" vertical="center"/>
      <protection hidden="1"/>
    </xf>
    <xf numFmtId="0" fontId="2" fillId="7" borderId="106" xfId="0" applyFont="1" applyFill="1" applyBorder="1" applyAlignment="1" applyProtection="1">
      <alignment horizontal="center" vertical="center"/>
      <protection hidden="1"/>
    </xf>
    <xf numFmtId="0" fontId="2" fillId="7" borderId="22" xfId="0" applyFont="1" applyFill="1" applyBorder="1" applyAlignment="1" applyProtection="1">
      <alignment horizontal="center" vertical="center"/>
      <protection hidden="1"/>
    </xf>
    <xf numFmtId="0" fontId="2" fillId="6" borderId="19" xfId="0" applyFont="1" applyFill="1" applyBorder="1" applyAlignment="1" applyProtection="1">
      <alignment horizontal="center" vertical="center"/>
      <protection hidden="1"/>
    </xf>
    <xf numFmtId="0" fontId="2" fillId="6" borderId="106" xfId="0" applyFont="1" applyFill="1" applyBorder="1" applyAlignment="1" applyProtection="1">
      <alignment horizontal="center" vertical="center"/>
      <protection hidden="1"/>
    </xf>
    <xf numFmtId="0" fontId="2" fillId="6" borderId="22" xfId="0" applyFont="1" applyFill="1" applyBorder="1" applyAlignment="1" applyProtection="1">
      <alignment horizontal="center" vertical="center"/>
      <protection hidden="1"/>
    </xf>
    <xf numFmtId="0" fontId="40" fillId="13" borderId="135" xfId="0" applyFont="1" applyFill="1" applyBorder="1" applyAlignment="1" applyProtection="1">
      <alignment horizontal="center" vertical="center"/>
      <protection hidden="1"/>
    </xf>
    <xf numFmtId="0" fontId="40" fillId="13" borderId="136" xfId="0" applyFont="1" applyFill="1" applyBorder="1" applyAlignment="1" applyProtection="1">
      <alignment horizontal="center" vertical="center"/>
      <protection hidden="1"/>
    </xf>
    <xf numFmtId="0" fontId="40" fillId="13" borderId="137" xfId="0" applyFont="1" applyFill="1" applyBorder="1" applyAlignment="1" applyProtection="1">
      <alignment horizontal="center" vertical="center"/>
      <protection hidden="1"/>
    </xf>
    <xf numFmtId="0" fontId="2" fillId="5" borderId="45" xfId="0" applyFont="1" applyFill="1" applyBorder="1" applyAlignment="1" applyProtection="1">
      <alignment horizontal="center" vertical="center"/>
      <protection hidden="1"/>
    </xf>
    <xf numFmtId="0" fontId="2" fillId="5" borderId="46" xfId="0" applyFont="1" applyFill="1" applyBorder="1" applyAlignment="1" applyProtection="1">
      <alignment horizontal="center" vertical="center"/>
      <protection hidden="1"/>
    </xf>
    <xf numFmtId="0" fontId="2" fillId="5" borderId="35" xfId="0" applyFont="1" applyFill="1" applyBorder="1" applyAlignment="1" applyProtection="1">
      <alignment horizontal="center" vertical="center"/>
      <protection hidden="1"/>
    </xf>
    <xf numFmtId="0" fontId="2" fillId="11" borderId="45" xfId="0" applyFont="1" applyFill="1" applyBorder="1" applyAlignment="1" applyProtection="1">
      <alignment horizontal="center" vertical="center"/>
      <protection hidden="1"/>
    </xf>
    <xf numFmtId="0" fontId="2" fillId="11" borderId="46" xfId="0" applyFont="1" applyFill="1" applyBorder="1" applyAlignment="1" applyProtection="1">
      <alignment horizontal="center" vertical="center"/>
      <protection hidden="1"/>
    </xf>
    <xf numFmtId="0" fontId="2" fillId="11" borderId="35" xfId="0" applyFont="1" applyFill="1" applyBorder="1" applyAlignment="1" applyProtection="1">
      <alignment horizontal="center" vertical="center"/>
      <protection hidden="1"/>
    </xf>
    <xf numFmtId="0" fontId="1" fillId="0" borderId="19" xfId="0" applyFont="1" applyBorder="1" applyAlignment="1" applyProtection="1">
      <alignment horizontal="center" vertical="center" wrapText="1" shrinkToFit="1"/>
      <protection hidden="1"/>
    </xf>
    <xf numFmtId="0" fontId="1" fillId="0" borderId="76" xfId="0" applyFont="1" applyBorder="1" applyAlignment="1" applyProtection="1">
      <alignment horizontal="center" vertical="center" wrapText="1" shrinkToFit="1"/>
      <protection hidden="1"/>
    </xf>
    <xf numFmtId="0" fontId="1" fillId="0" borderId="9" xfId="0" applyFont="1" applyBorder="1" applyAlignment="1" applyProtection="1">
      <alignment horizontal="center" vertical="center" wrapText="1" shrinkToFit="1"/>
      <protection hidden="1"/>
    </xf>
    <xf numFmtId="0" fontId="2" fillId="15" borderId="33" xfId="0" applyFont="1" applyFill="1" applyBorder="1" applyAlignment="1" applyProtection="1">
      <alignment horizontal="center" vertical="center" shrinkToFit="1"/>
      <protection hidden="1"/>
    </xf>
    <xf numFmtId="0" fontId="2" fillId="15" borderId="24" xfId="0" applyFont="1" applyFill="1" applyBorder="1" applyAlignment="1" applyProtection="1">
      <alignment horizontal="center" vertical="center"/>
      <protection hidden="1"/>
    </xf>
    <xf numFmtId="0" fontId="2" fillId="15" borderId="128" xfId="0" applyFont="1" applyFill="1" applyBorder="1" applyAlignment="1" applyProtection="1">
      <alignment horizontal="center" vertical="center"/>
      <protection hidden="1"/>
    </xf>
    <xf numFmtId="0" fontId="2" fillId="15" borderId="25" xfId="0" applyFont="1" applyFill="1" applyBorder="1" applyAlignment="1" applyProtection="1">
      <alignment horizontal="center" vertical="center"/>
      <protection hidden="1"/>
    </xf>
    <xf numFmtId="0" fontId="2" fillId="4" borderId="19" xfId="0" applyFont="1" applyFill="1" applyBorder="1" applyAlignment="1" applyProtection="1">
      <alignment horizontal="center" vertical="center" shrinkToFit="1"/>
      <protection hidden="1"/>
    </xf>
    <xf numFmtId="0" fontId="2" fillId="4" borderId="22" xfId="0" applyFont="1" applyFill="1" applyBorder="1" applyAlignment="1" applyProtection="1">
      <alignment horizontal="center" vertical="center" shrinkToFit="1"/>
      <protection hidden="1"/>
    </xf>
    <xf numFmtId="0" fontId="2" fillId="4" borderId="46" xfId="0" applyFont="1" applyFill="1" applyBorder="1" applyAlignment="1" applyProtection="1">
      <alignment horizontal="center" shrinkToFit="1"/>
      <protection hidden="1"/>
    </xf>
    <xf numFmtId="0" fontId="2" fillId="4" borderId="35" xfId="0" applyFont="1" applyFill="1" applyBorder="1" applyAlignment="1" applyProtection="1">
      <alignment horizontal="center" shrinkToFit="1"/>
      <protection hidden="1"/>
    </xf>
    <xf numFmtId="0" fontId="2" fillId="4" borderId="24" xfId="0" applyFont="1" applyFill="1" applyBorder="1" applyAlignment="1" applyProtection="1">
      <alignment horizontal="center" vertical="center"/>
      <protection hidden="1"/>
    </xf>
    <xf numFmtId="0" fontId="2" fillId="4" borderId="128" xfId="0" applyFont="1" applyFill="1" applyBorder="1" applyAlignment="1" applyProtection="1">
      <alignment horizontal="center" vertical="center"/>
      <protection hidden="1"/>
    </xf>
    <xf numFmtId="0" fontId="2" fillId="4" borderId="25" xfId="0" applyFont="1" applyFill="1" applyBorder="1" applyAlignment="1" applyProtection="1">
      <alignment horizontal="center" vertical="center"/>
      <protection hidden="1"/>
    </xf>
    <xf numFmtId="0" fontId="2" fillId="4" borderId="33" xfId="0" applyFont="1" applyFill="1" applyBorder="1" applyAlignment="1" applyProtection="1">
      <alignment horizontal="center" vertical="center" shrinkToFit="1"/>
      <protection hidden="1"/>
    </xf>
    <xf numFmtId="0" fontId="2" fillId="4" borderId="45" xfId="0" applyFont="1" applyFill="1" applyBorder="1" applyAlignment="1" applyProtection="1">
      <alignment horizontal="center" shrinkToFit="1"/>
      <protection hidden="1"/>
    </xf>
    <xf numFmtId="0" fontId="2" fillId="4" borderId="23" xfId="0" applyFont="1" applyFill="1" applyBorder="1" applyAlignment="1" applyProtection="1">
      <alignment horizontal="center" vertical="center"/>
      <protection hidden="1"/>
    </xf>
    <xf numFmtId="0" fontId="2" fillId="4" borderId="36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 wrapText="1"/>
      <protection hidden="1"/>
    </xf>
    <xf numFmtId="0" fontId="2" fillId="0" borderId="38" xfId="0" applyFont="1" applyBorder="1" applyAlignment="1" applyProtection="1">
      <alignment horizontal="center" vertical="center" shrinkToFit="1"/>
      <protection hidden="1"/>
    </xf>
    <xf numFmtId="0" fontId="2" fillId="13" borderId="8" xfId="0" applyFont="1" applyFill="1" applyBorder="1" applyAlignment="1" applyProtection="1">
      <alignment horizontal="center" shrinkToFit="1"/>
      <protection hidden="1"/>
    </xf>
    <xf numFmtId="0" fontId="2" fillId="13" borderId="14" xfId="0" applyFont="1" applyFill="1" applyBorder="1" applyAlignment="1" applyProtection="1">
      <alignment horizontal="center" shrinkToFit="1"/>
      <protection hidden="1"/>
    </xf>
    <xf numFmtId="0" fontId="2" fillId="13" borderId="75" xfId="0" applyFont="1" applyFill="1" applyBorder="1" applyAlignment="1" applyProtection="1">
      <alignment horizontal="center" shrinkToFit="1"/>
      <protection hidden="1"/>
    </xf>
    <xf numFmtId="0" fontId="2" fillId="4" borderId="29" xfId="0" applyFont="1" applyFill="1" applyBorder="1" applyAlignment="1" applyProtection="1">
      <alignment horizontal="center" vertical="center" shrinkToFit="1"/>
      <protection hidden="1"/>
    </xf>
    <xf numFmtId="0" fontId="2" fillId="4" borderId="30" xfId="0" applyFont="1" applyFill="1" applyBorder="1" applyAlignment="1" applyProtection="1">
      <alignment horizontal="center" vertical="center" shrinkToFit="1"/>
      <protection hidden="1"/>
    </xf>
    <xf numFmtId="0" fontId="2" fillId="4" borderId="8" xfId="0" applyFont="1" applyFill="1" applyBorder="1" applyAlignment="1" applyProtection="1">
      <alignment horizontal="center" vertical="center" shrinkToFit="1"/>
      <protection hidden="1"/>
    </xf>
    <xf numFmtId="0" fontId="2" fillId="4" borderId="14" xfId="0" applyFont="1" applyFill="1" applyBorder="1" applyAlignment="1" applyProtection="1">
      <alignment horizontal="center" vertical="center" shrinkToFit="1"/>
      <protection hidden="1"/>
    </xf>
    <xf numFmtId="0" fontId="2" fillId="4" borderId="9" xfId="0" applyFont="1" applyFill="1" applyBorder="1" applyAlignment="1" applyProtection="1">
      <alignment horizontal="center" vertical="center" shrinkToFit="1"/>
      <protection hidden="1"/>
    </xf>
    <xf numFmtId="0" fontId="2" fillId="4" borderId="15" xfId="0" applyFont="1" applyFill="1" applyBorder="1" applyAlignment="1" applyProtection="1">
      <alignment horizontal="center" vertical="center" shrinkToFit="1"/>
      <protection hidden="1"/>
    </xf>
    <xf numFmtId="0" fontId="9" fillId="4" borderId="8" xfId="0" quotePrefix="1" applyFont="1" applyFill="1" applyBorder="1" applyAlignment="1" applyProtection="1">
      <alignment horizontal="center" vertical="center" wrapText="1"/>
      <protection hidden="1"/>
    </xf>
    <xf numFmtId="0" fontId="9" fillId="4" borderId="14" xfId="0" quotePrefix="1" applyFont="1" applyFill="1" applyBorder="1" applyAlignment="1" applyProtection="1">
      <alignment horizontal="center" vertical="center" wrapText="1"/>
      <protection hidden="1"/>
    </xf>
    <xf numFmtId="0" fontId="9" fillId="4" borderId="75" xfId="0" quotePrefix="1" applyFont="1" applyFill="1" applyBorder="1" applyAlignment="1" applyProtection="1">
      <alignment horizontal="center" vertical="center" wrapText="1"/>
      <protection hidden="1"/>
    </xf>
    <xf numFmtId="0" fontId="9" fillId="4" borderId="76" xfId="0" quotePrefix="1" applyFont="1" applyFill="1" applyBorder="1" applyAlignment="1" applyProtection="1">
      <alignment horizontal="center" vertical="center" wrapText="1"/>
      <protection hidden="1"/>
    </xf>
    <xf numFmtId="0" fontId="9" fillId="4" borderId="0" xfId="0" quotePrefix="1" applyFont="1" applyFill="1" applyAlignment="1" applyProtection="1">
      <alignment horizontal="center" vertical="center" wrapText="1"/>
      <protection hidden="1"/>
    </xf>
    <xf numFmtId="0" fontId="9" fillId="4" borderId="77" xfId="0" quotePrefix="1" applyFont="1" applyFill="1" applyBorder="1" applyAlignment="1" applyProtection="1">
      <alignment horizontal="center" vertical="center" wrapText="1"/>
      <protection hidden="1"/>
    </xf>
    <xf numFmtId="0" fontId="9" fillId="4" borderId="9" xfId="0" quotePrefix="1" applyFont="1" applyFill="1" applyBorder="1" applyAlignment="1" applyProtection="1">
      <alignment horizontal="center" vertical="center" wrapText="1"/>
      <protection hidden="1"/>
    </xf>
    <xf numFmtId="0" fontId="9" fillId="4" borderId="15" xfId="0" quotePrefix="1" applyFont="1" applyFill="1" applyBorder="1" applyAlignment="1" applyProtection="1">
      <alignment horizontal="center" vertical="center" wrapText="1"/>
      <protection hidden="1"/>
    </xf>
    <xf numFmtId="0" fontId="9" fillId="4" borderId="47" xfId="0" quotePrefix="1" applyFont="1" applyFill="1" applyBorder="1" applyAlignment="1" applyProtection="1">
      <alignment horizontal="center" vertical="center" wrapText="1"/>
      <protection hidden="1"/>
    </xf>
    <xf numFmtId="0" fontId="1" fillId="0" borderId="45" xfId="0" applyFont="1" applyBorder="1" applyAlignment="1" applyProtection="1">
      <alignment horizontal="center" shrinkToFit="1"/>
      <protection hidden="1"/>
    </xf>
    <xf numFmtId="0" fontId="1" fillId="0" borderId="46" xfId="0" applyFont="1" applyBorder="1" applyAlignment="1" applyProtection="1">
      <alignment horizontal="center" shrinkToFit="1"/>
      <protection hidden="1"/>
    </xf>
    <xf numFmtId="0" fontId="1" fillId="0" borderId="35" xfId="0" applyFont="1" applyBorder="1" applyAlignment="1" applyProtection="1">
      <alignment horizontal="center" shrinkToFit="1"/>
      <protection hidden="1"/>
    </xf>
    <xf numFmtId="0" fontId="2" fillId="7" borderId="49" xfId="0" applyFont="1" applyFill="1" applyBorder="1" applyAlignment="1" applyProtection="1">
      <alignment horizontal="center" vertical="center"/>
      <protection hidden="1"/>
    </xf>
    <xf numFmtId="0" fontId="2" fillId="7" borderId="51" xfId="0" applyFont="1" applyFill="1" applyBorder="1" applyAlignment="1" applyProtection="1">
      <alignment horizontal="center" vertical="center"/>
      <protection hidden="1"/>
    </xf>
    <xf numFmtId="0" fontId="2" fillId="7" borderId="50" xfId="0" applyFont="1" applyFill="1" applyBorder="1" applyAlignment="1" applyProtection="1">
      <alignment horizontal="center" vertical="center"/>
      <protection hidden="1"/>
    </xf>
    <xf numFmtId="0" fontId="3" fillId="5" borderId="59" xfId="0" applyFont="1" applyFill="1" applyBorder="1" applyAlignment="1" applyProtection="1">
      <alignment horizontal="center" vertical="center" shrinkToFit="1"/>
      <protection hidden="1"/>
    </xf>
    <xf numFmtId="0" fontId="3" fillId="5" borderId="46" xfId="0" applyFont="1" applyFill="1" applyBorder="1" applyAlignment="1" applyProtection="1">
      <alignment horizontal="center" vertical="center" shrinkToFit="1"/>
      <protection hidden="1"/>
    </xf>
    <xf numFmtId="0" fontId="3" fillId="5" borderId="60" xfId="0" applyFont="1" applyFill="1" applyBorder="1" applyAlignment="1" applyProtection="1">
      <alignment horizontal="center" vertical="center" shrinkToFit="1"/>
      <protection hidden="1"/>
    </xf>
    <xf numFmtId="0" fontId="1" fillId="0" borderId="0" xfId="0" applyFont="1" applyAlignment="1" applyProtection="1">
      <alignment horizontal="center" shrinkToFit="1"/>
      <protection hidden="1"/>
    </xf>
    <xf numFmtId="0" fontId="2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 vertical="center" shrinkToFit="1"/>
      <protection hidden="1"/>
    </xf>
    <xf numFmtId="0" fontId="7" fillId="0" borderId="0" xfId="0" applyFont="1" applyAlignment="1" applyProtection="1">
      <alignment horizontal="center" shrinkToFit="1"/>
      <protection hidden="1"/>
    </xf>
    <xf numFmtId="0" fontId="2" fillId="0" borderId="33" xfId="0" applyFont="1" applyBorder="1" applyAlignment="1" applyProtection="1">
      <alignment horizontal="center" vertical="center" shrinkToFit="1"/>
      <protection hidden="1"/>
    </xf>
    <xf numFmtId="0" fontId="2" fillId="0" borderId="19" xfId="0" applyFont="1" applyBorder="1" applyAlignment="1" applyProtection="1">
      <alignment horizontal="center" vertical="center" shrinkToFit="1"/>
      <protection hidden="1"/>
    </xf>
    <xf numFmtId="0" fontId="2" fillId="0" borderId="22" xfId="0" applyFont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left" vertical="center" shrinkToFit="1"/>
      <protection hidden="1"/>
    </xf>
    <xf numFmtId="0" fontId="2" fillId="0" borderId="0" xfId="0" applyFont="1" applyAlignment="1" applyProtection="1">
      <alignment horizontal="center" shrinkToFit="1"/>
      <protection hidden="1"/>
    </xf>
    <xf numFmtId="0" fontId="8" fillId="0" borderId="0" xfId="0" applyFont="1" applyAlignment="1" applyProtection="1">
      <alignment horizontal="center"/>
      <protection hidden="1"/>
    </xf>
    <xf numFmtId="0" fontId="2" fillId="0" borderId="8" xfId="0" applyFont="1" applyBorder="1" applyAlignment="1" applyProtection="1">
      <alignment horizontal="center" vertical="center" shrinkToFit="1"/>
      <protection hidden="1"/>
    </xf>
    <xf numFmtId="0" fontId="2" fillId="0" borderId="9" xfId="0" applyFont="1" applyBorder="1" applyAlignment="1" applyProtection="1">
      <alignment horizontal="center" vertical="center" shrinkToFit="1"/>
      <protection hidden="1"/>
    </xf>
    <xf numFmtId="0" fontId="2" fillId="0" borderId="19" xfId="0" applyFont="1" applyBorder="1" applyAlignment="1" applyProtection="1">
      <alignment horizontal="center"/>
      <protection hidden="1"/>
    </xf>
    <xf numFmtId="0" fontId="2" fillId="0" borderId="22" xfId="0" applyFont="1" applyBorder="1" applyAlignment="1" applyProtection="1">
      <alignment horizontal="center"/>
      <protection hidden="1"/>
    </xf>
    <xf numFmtId="0" fontId="1" fillId="0" borderId="33" xfId="0" applyFont="1" applyBorder="1" applyAlignment="1" applyProtection="1">
      <alignment horizontal="center" vertical="center" wrapText="1" shrinkToFit="1"/>
      <protection hidden="1"/>
    </xf>
    <xf numFmtId="0" fontId="2" fillId="5" borderId="45" xfId="0" applyFont="1" applyFill="1" applyBorder="1" applyAlignment="1" applyProtection="1">
      <alignment horizontal="center" vertical="center" shrinkToFit="1"/>
      <protection hidden="1"/>
    </xf>
    <xf numFmtId="0" fontId="2" fillId="5" borderId="46" xfId="0" applyFont="1" applyFill="1" applyBorder="1" applyAlignment="1" applyProtection="1">
      <alignment horizontal="center" vertical="center" shrinkToFit="1"/>
      <protection hidden="1"/>
    </xf>
    <xf numFmtId="0" fontId="2" fillId="5" borderId="35" xfId="0" applyFont="1" applyFill="1" applyBorder="1" applyAlignment="1" applyProtection="1">
      <alignment horizontal="center" vertical="center" shrinkToFit="1"/>
      <protection hidden="1"/>
    </xf>
    <xf numFmtId="0" fontId="1" fillId="0" borderId="33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 wrapText="1" shrinkToFit="1"/>
      <protection hidden="1"/>
    </xf>
    <xf numFmtId="0" fontId="1" fillId="0" borderId="75" xfId="0" applyFont="1" applyBorder="1" applyAlignment="1" applyProtection="1">
      <alignment horizontal="center" vertical="center" wrapText="1" shrinkToFit="1"/>
      <protection hidden="1"/>
    </xf>
    <xf numFmtId="0" fontId="1" fillId="0" borderId="77" xfId="0" applyFont="1" applyBorder="1" applyAlignment="1" applyProtection="1">
      <alignment horizontal="center" vertical="center" wrapText="1" shrinkToFit="1"/>
      <protection hidden="1"/>
    </xf>
    <xf numFmtId="0" fontId="1" fillId="0" borderId="47" xfId="0" applyFont="1" applyBorder="1" applyAlignment="1" applyProtection="1">
      <alignment horizontal="center" vertical="center" wrapText="1" shrinkToFit="1"/>
      <protection hidden="1"/>
    </xf>
    <xf numFmtId="0" fontId="2" fillId="0" borderId="52" xfId="0" applyFont="1" applyBorder="1" applyAlignment="1" applyProtection="1">
      <alignment horizontal="center" vertical="center" wrapText="1"/>
      <protection hidden="1"/>
    </xf>
    <xf numFmtId="0" fontId="2" fillId="0" borderId="58" xfId="0" applyFont="1" applyBorder="1" applyAlignment="1" applyProtection="1">
      <alignment horizontal="center" vertical="center" wrapText="1"/>
      <protection hidden="1"/>
    </xf>
    <xf numFmtId="0" fontId="3" fillId="0" borderId="23" xfId="0" applyFont="1" applyBorder="1" applyAlignment="1" applyProtection="1">
      <alignment horizontal="center" vertical="center" wrapText="1"/>
      <protection hidden="1"/>
    </xf>
    <xf numFmtId="0" fontId="3" fillId="0" borderId="53" xfId="0" applyFont="1" applyBorder="1" applyAlignment="1" applyProtection="1">
      <alignment horizontal="center" vertical="center" wrapText="1"/>
      <protection hidden="1"/>
    </xf>
    <xf numFmtId="0" fontId="2" fillId="0" borderId="49" xfId="0" applyFont="1" applyBorder="1" applyAlignment="1" applyProtection="1">
      <alignment horizontal="center" vertical="center" wrapText="1"/>
      <protection hidden="1"/>
    </xf>
    <xf numFmtId="0" fontId="2" fillId="0" borderId="50" xfId="0" applyFont="1" applyBorder="1" applyAlignment="1" applyProtection="1">
      <alignment horizontal="center" vertical="center" wrapText="1"/>
      <protection hidden="1"/>
    </xf>
    <xf numFmtId="0" fontId="2" fillId="0" borderId="54" xfId="0" applyFont="1" applyBorder="1" applyAlignment="1" applyProtection="1">
      <alignment horizontal="center" vertical="center" wrapText="1"/>
      <protection hidden="1"/>
    </xf>
    <xf numFmtId="0" fontId="2" fillId="0" borderId="55" xfId="0" applyFont="1" applyBorder="1" applyAlignment="1" applyProtection="1">
      <alignment horizontal="center" vertical="center" wrapText="1"/>
      <protection hidden="1"/>
    </xf>
    <xf numFmtId="0" fontId="2" fillId="0" borderId="51" xfId="0" applyFont="1" applyBorder="1" applyAlignment="1" applyProtection="1">
      <alignment horizontal="center" vertical="center" wrapText="1"/>
      <protection hidden="1"/>
    </xf>
    <xf numFmtId="0" fontId="2" fillId="0" borderId="56" xfId="0" applyFont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25" fillId="0" borderId="33" xfId="3" applyFont="1" applyBorder="1" applyAlignment="1" applyProtection="1">
      <alignment horizontal="center" vertical="center" wrapText="1"/>
      <protection hidden="1"/>
    </xf>
    <xf numFmtId="0" fontId="25" fillId="0" borderId="45" xfId="3" applyFont="1" applyBorder="1" applyAlignment="1" applyProtection="1">
      <alignment horizontal="center" vertical="center" wrapText="1"/>
      <protection hidden="1"/>
    </xf>
    <xf numFmtId="0" fontId="25" fillId="0" borderId="45" xfId="3" applyFont="1" applyBorder="1" applyAlignment="1" applyProtection="1">
      <alignment horizontal="center" vertical="center"/>
      <protection hidden="1"/>
    </xf>
    <xf numFmtId="0" fontId="25" fillId="0" borderId="8" xfId="3" applyFont="1" applyBorder="1" applyAlignment="1" applyProtection="1">
      <alignment horizontal="center" vertical="center"/>
      <protection hidden="1"/>
    </xf>
    <xf numFmtId="0" fontId="25" fillId="0" borderId="14" xfId="3" applyFont="1" applyBorder="1" applyAlignment="1" applyProtection="1">
      <alignment horizontal="center" vertical="center"/>
      <protection hidden="1"/>
    </xf>
    <xf numFmtId="0" fontId="25" fillId="0" borderId="75" xfId="3" applyFont="1" applyBorder="1" applyAlignment="1" applyProtection="1">
      <alignment horizontal="center" vertical="center"/>
      <protection hidden="1"/>
    </xf>
    <xf numFmtId="0" fontId="25" fillId="0" borderId="19" xfId="3" applyFont="1" applyBorder="1" applyAlignment="1" applyProtection="1">
      <alignment horizontal="center" vertical="center"/>
      <protection hidden="1"/>
    </xf>
    <xf numFmtId="0" fontId="25" fillId="0" borderId="19" xfId="3" applyFont="1" applyBorder="1" applyAlignment="1" applyProtection="1">
      <alignment horizontal="center" vertical="center" wrapText="1"/>
      <protection hidden="1"/>
    </xf>
    <xf numFmtId="0" fontId="25" fillId="0" borderId="77" xfId="3" applyFont="1" applyBorder="1" applyAlignment="1" applyProtection="1">
      <alignment horizontal="center" vertical="center" wrapText="1"/>
      <protection hidden="1"/>
    </xf>
    <xf numFmtId="0" fontId="25" fillId="0" borderId="47" xfId="3" applyFont="1" applyBorder="1" applyAlignment="1" applyProtection="1">
      <alignment horizontal="center" vertical="center" wrapText="1"/>
      <protection hidden="1"/>
    </xf>
    <xf numFmtId="0" fontId="25" fillId="0" borderId="8" xfId="3" applyFont="1" applyBorder="1" applyAlignment="1" applyProtection="1">
      <alignment horizontal="center" vertical="center" shrinkToFit="1"/>
      <protection hidden="1"/>
    </xf>
    <xf numFmtId="0" fontId="25" fillId="0" borderId="14" xfId="3" applyFont="1" applyBorder="1" applyAlignment="1" applyProtection="1">
      <alignment horizontal="center" vertical="center" shrinkToFit="1"/>
      <protection hidden="1"/>
    </xf>
    <xf numFmtId="0" fontId="25" fillId="0" borderId="75" xfId="3" applyFont="1" applyBorder="1" applyAlignment="1" applyProtection="1">
      <alignment horizontal="center" vertical="center" shrinkToFit="1"/>
      <protection hidden="1"/>
    </xf>
    <xf numFmtId="0" fontId="26" fillId="0" borderId="0" xfId="3" applyFont="1" applyAlignment="1" applyProtection="1">
      <alignment horizontal="center" vertical="center"/>
      <protection hidden="1"/>
    </xf>
    <xf numFmtId="0" fontId="25" fillId="0" borderId="33" xfId="3" applyFont="1" applyBorder="1" applyAlignment="1" applyProtection="1">
      <alignment horizontal="center" vertical="center"/>
      <protection hidden="1"/>
    </xf>
    <xf numFmtId="0" fontId="25" fillId="0" borderId="22" xfId="3" applyFont="1" applyBorder="1" applyAlignment="1" applyProtection="1">
      <alignment horizontal="center" vertical="center" wrapText="1"/>
      <protection hidden="1"/>
    </xf>
    <xf numFmtId="0" fontId="22" fillId="0" borderId="45" xfId="3" applyBorder="1" applyAlignment="1" applyProtection="1">
      <alignment horizontal="center" vertical="center"/>
      <protection hidden="1"/>
    </xf>
    <xf numFmtId="0" fontId="22" fillId="0" borderId="35" xfId="3" applyBorder="1" applyAlignment="1" applyProtection="1">
      <alignment horizontal="center" vertical="center"/>
      <protection hidden="1"/>
    </xf>
    <xf numFmtId="0" fontId="22" fillId="0" borderId="45" xfId="3" applyBorder="1" applyAlignment="1" applyProtection="1">
      <alignment horizontal="left" vertical="center"/>
      <protection hidden="1"/>
    </xf>
    <xf numFmtId="0" fontId="22" fillId="0" borderId="46" xfId="3" applyBorder="1" applyAlignment="1" applyProtection="1">
      <alignment horizontal="left" vertical="center"/>
      <protection hidden="1"/>
    </xf>
    <xf numFmtId="0" fontId="22" fillId="0" borderId="35" xfId="3" applyBorder="1" applyAlignment="1" applyProtection="1">
      <alignment horizontal="left" vertical="center"/>
      <protection hidden="1"/>
    </xf>
    <xf numFmtId="0" fontId="25" fillId="0" borderId="22" xfId="3" applyFont="1" applyBorder="1" applyAlignment="1" applyProtection="1">
      <alignment horizontal="center" vertical="center"/>
      <protection hidden="1"/>
    </xf>
    <xf numFmtId="0" fontId="25" fillId="0" borderId="9" xfId="3" applyFont="1" applyBorder="1" applyAlignment="1" applyProtection="1">
      <alignment horizontal="center" vertical="center"/>
      <protection hidden="1"/>
    </xf>
    <xf numFmtId="0" fontId="25" fillId="0" borderId="47" xfId="3" applyFont="1" applyBorder="1" applyAlignment="1" applyProtection="1">
      <alignment horizontal="center" vertical="center"/>
      <protection hidden="1"/>
    </xf>
    <xf numFmtId="0" fontId="25" fillId="0" borderId="15" xfId="3" applyFont="1" applyBorder="1" applyAlignment="1" applyProtection="1">
      <alignment horizontal="center" vertical="center"/>
      <protection hidden="1"/>
    </xf>
    <xf numFmtId="0" fontId="25" fillId="0" borderId="8" xfId="3" applyFont="1" applyBorder="1" applyAlignment="1" applyProtection="1">
      <alignment horizontal="center" vertical="center" wrapText="1"/>
      <protection hidden="1"/>
    </xf>
    <xf numFmtId="0" fontId="25" fillId="0" borderId="75" xfId="3" applyFont="1" applyBorder="1" applyAlignment="1" applyProtection="1">
      <alignment horizontal="center" vertical="center" wrapText="1"/>
      <protection hidden="1"/>
    </xf>
    <xf numFmtId="0" fontId="25" fillId="0" borderId="9" xfId="3" applyFont="1" applyBorder="1" applyAlignment="1" applyProtection="1">
      <alignment horizontal="center" vertical="center" wrapText="1"/>
      <protection hidden="1"/>
    </xf>
    <xf numFmtId="0" fontId="36" fillId="0" borderId="0" xfId="3" quotePrefix="1" applyFont="1" applyAlignment="1" applyProtection="1">
      <alignment horizontal="center"/>
      <protection locked="0"/>
    </xf>
    <xf numFmtId="0" fontId="36" fillId="0" borderId="0" xfId="3" applyFont="1" applyAlignment="1" applyProtection="1">
      <alignment horizontal="center"/>
      <protection locked="0"/>
    </xf>
    <xf numFmtId="0" fontId="25" fillId="0" borderId="0" xfId="3" applyFont="1" applyAlignment="1" applyProtection="1">
      <alignment horizontal="center" vertical="center"/>
      <protection hidden="1"/>
    </xf>
    <xf numFmtId="0" fontId="29" fillId="0" borderId="0" xfId="3" applyFont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2" fillId="0" borderId="22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2" fillId="0" borderId="33" xfId="0" applyFont="1" applyBorder="1" applyAlignment="1" applyProtection="1">
      <alignment horizontal="center" vertical="center" wrapText="1"/>
      <protection hidden="1"/>
    </xf>
    <xf numFmtId="14" fontId="7" fillId="0" borderId="0" xfId="0" applyNumberFormat="1" applyFont="1" applyAlignment="1" applyProtection="1">
      <alignment horizontal="center"/>
      <protection hidden="1"/>
    </xf>
    <xf numFmtId="0" fontId="2" fillId="0" borderId="0" xfId="0" quotePrefix="1" applyFont="1" applyAlignment="1" applyProtection="1">
      <alignment horizontal="center"/>
      <protection hidden="1"/>
    </xf>
    <xf numFmtId="0" fontId="15" fillId="3" borderId="19" xfId="0" applyFont="1" applyFill="1" applyBorder="1" applyAlignment="1" applyProtection="1">
      <alignment horizontal="center" vertical="center"/>
      <protection hidden="1"/>
    </xf>
    <xf numFmtId="0" fontId="16" fillId="3" borderId="22" xfId="0" applyFont="1" applyFill="1" applyBorder="1" applyAlignment="1" applyProtection="1">
      <alignment horizontal="center" vertical="center"/>
      <protection hidden="1"/>
    </xf>
    <xf numFmtId="0" fontId="2" fillId="0" borderId="45" xfId="0" applyFont="1" applyBorder="1" applyAlignment="1" applyProtection="1">
      <alignment horizontal="center" vertical="center" shrinkToFit="1"/>
      <protection hidden="1"/>
    </xf>
    <xf numFmtId="0" fontId="2" fillId="0" borderId="35" xfId="0" applyFont="1" applyBorder="1" applyAlignment="1" applyProtection="1">
      <alignment horizontal="center" vertical="center" shrinkToFit="1"/>
      <protection hidden="1"/>
    </xf>
    <xf numFmtId="0" fontId="2" fillId="0" borderId="19" xfId="0" applyFont="1" applyBorder="1" applyAlignment="1" applyProtection="1">
      <alignment horizontal="center" vertical="center" wrapText="1"/>
      <protection hidden="1"/>
    </xf>
    <xf numFmtId="0" fontId="2" fillId="0" borderId="106" xfId="0" applyFont="1" applyBorder="1" applyAlignment="1" applyProtection="1">
      <alignment horizontal="center" vertical="center" wrapText="1"/>
      <protection hidden="1"/>
    </xf>
    <xf numFmtId="0" fontId="11" fillId="0" borderId="0" xfId="0" applyFont="1" applyAlignment="1" applyProtection="1">
      <alignment horizontal="left" vertical="center"/>
      <protection hidden="1"/>
    </xf>
    <xf numFmtId="0" fontId="2" fillId="0" borderId="46" xfId="0" applyFont="1" applyBorder="1" applyAlignment="1" applyProtection="1">
      <alignment horizontal="center" vertical="center" shrinkToFit="1"/>
      <protection hidden="1"/>
    </xf>
    <xf numFmtId="0" fontId="11" fillId="0" borderId="48" xfId="0" applyFont="1" applyBorder="1" applyAlignment="1" applyProtection="1">
      <alignment horizontal="center" vertical="center"/>
      <protection hidden="1"/>
    </xf>
    <xf numFmtId="0" fontId="11" fillId="0" borderId="127" xfId="0" applyFont="1" applyBorder="1" applyAlignment="1" applyProtection="1">
      <alignment horizontal="center" vertical="center"/>
      <protection hidden="1"/>
    </xf>
    <xf numFmtId="0" fontId="31" fillId="0" borderId="59" xfId="0" applyFont="1" applyBorder="1" applyAlignment="1" applyProtection="1">
      <alignment horizontal="center" vertical="center"/>
      <protection hidden="1"/>
    </xf>
    <xf numFmtId="0" fontId="31" fillId="0" borderId="60" xfId="0" applyFont="1" applyBorder="1" applyAlignment="1" applyProtection="1">
      <alignment horizontal="center" vertical="center"/>
      <protection hidden="1"/>
    </xf>
    <xf numFmtId="0" fontId="31" fillId="0" borderId="53" xfId="0" applyFont="1" applyBorder="1" applyAlignment="1" applyProtection="1">
      <alignment horizontal="center" vertical="center"/>
      <protection hidden="1"/>
    </xf>
    <xf numFmtId="0" fontId="31" fillId="0" borderId="63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left" vertical="center"/>
      <protection hidden="1"/>
    </xf>
    <xf numFmtId="0" fontId="18" fillId="0" borderId="0" xfId="0" applyFont="1" applyAlignment="1" applyProtection="1">
      <alignment horizontal="right" vertical="center"/>
      <protection hidden="1"/>
    </xf>
    <xf numFmtId="0" fontId="31" fillId="0" borderId="23" xfId="0" applyFont="1" applyBorder="1" applyAlignment="1" applyProtection="1">
      <alignment horizontal="center" vertical="center"/>
      <protection hidden="1"/>
    </xf>
    <xf numFmtId="0" fontId="31" fillId="0" borderId="25" xfId="0" applyFont="1" applyBorder="1" applyAlignment="1" applyProtection="1">
      <alignment horizontal="center" vertical="center"/>
      <protection hidden="1"/>
    </xf>
    <xf numFmtId="0" fontId="32" fillId="0" borderId="49" xfId="0" applyFont="1" applyBorder="1" applyAlignment="1" applyProtection="1">
      <alignment horizontal="center" vertical="center"/>
      <protection hidden="1"/>
    </xf>
    <xf numFmtId="0" fontId="32" fillId="0" borderId="50" xfId="0" applyFont="1" applyBorder="1" applyAlignment="1" applyProtection="1">
      <alignment horizontal="center" vertical="center"/>
      <protection hidden="1"/>
    </xf>
    <xf numFmtId="0" fontId="34" fillId="0" borderId="61" xfId="2" applyFont="1" applyBorder="1" applyAlignment="1" applyProtection="1">
      <alignment horizontal="center" vertical="center"/>
      <protection hidden="1"/>
    </xf>
    <xf numFmtId="0" fontId="34" fillId="0" borderId="62" xfId="2" applyFont="1" applyBorder="1" applyAlignment="1" applyProtection="1">
      <alignment horizontal="center" vertical="center"/>
      <protection hidden="1"/>
    </xf>
    <xf numFmtId="0" fontId="34" fillId="0" borderId="54" xfId="2" applyFont="1" applyBorder="1" applyAlignment="1" applyProtection="1">
      <alignment horizontal="center" vertical="center"/>
      <protection hidden="1"/>
    </xf>
    <xf numFmtId="0" fontId="34" fillId="0" borderId="55" xfId="2" applyFont="1" applyBorder="1" applyAlignment="1" applyProtection="1">
      <alignment horizontal="center" vertical="center"/>
      <protection hidden="1"/>
    </xf>
    <xf numFmtId="14" fontId="35" fillId="0" borderId="0" xfId="0" quotePrefix="1" applyNumberFormat="1" applyFont="1" applyAlignment="1" applyProtection="1">
      <alignment horizontal="center" vertical="center"/>
      <protection hidden="1"/>
    </xf>
    <xf numFmtId="14" fontId="35" fillId="0" borderId="0" xfId="0" applyNumberFormat="1" applyFont="1" applyAlignment="1" applyProtection="1">
      <alignment horizontal="center" vertical="center"/>
      <protection hidden="1"/>
    </xf>
    <xf numFmtId="0" fontId="1" fillId="0" borderId="106" xfId="0" applyFont="1" applyBorder="1" applyAlignment="1" applyProtection="1">
      <alignment horizontal="center" vertical="center" wrapText="1" shrinkToFit="1"/>
      <protection hidden="1"/>
    </xf>
    <xf numFmtId="0" fontId="1" fillId="0" borderId="22" xfId="0" applyFont="1" applyBorder="1" applyAlignment="1" applyProtection="1">
      <alignment horizontal="center" vertical="center" wrapText="1" shrinkToFit="1"/>
      <protection hidden="1"/>
    </xf>
    <xf numFmtId="0" fontId="2" fillId="4" borderId="118" xfId="0" applyFont="1" applyFill="1" applyBorder="1" applyAlignment="1" applyProtection="1">
      <alignment horizontal="center" vertical="center"/>
      <protection hidden="1"/>
    </xf>
    <xf numFmtId="0" fontId="2" fillId="16" borderId="118" xfId="0" applyFont="1" applyFill="1" applyBorder="1" applyAlignment="1" applyProtection="1">
      <alignment horizontal="center" vertical="center"/>
      <protection hidden="1"/>
    </xf>
    <xf numFmtId="0" fontId="2" fillId="16" borderId="24" xfId="0" applyFont="1" applyFill="1" applyBorder="1" applyAlignment="1" applyProtection="1">
      <alignment horizontal="center" vertical="center"/>
      <protection hidden="1"/>
    </xf>
    <xf numFmtId="0" fontId="2" fillId="16" borderId="25" xfId="0" applyFont="1" applyFill="1" applyBorder="1" applyAlignment="1" applyProtection="1">
      <alignment horizontal="center" vertical="center"/>
      <protection hidden="1"/>
    </xf>
    <xf numFmtId="0" fontId="2" fillId="16" borderId="33" xfId="0" applyFont="1" applyFill="1" applyBorder="1" applyAlignment="1" applyProtection="1">
      <alignment horizontal="center" vertical="center" shrinkToFit="1"/>
      <protection hidden="1"/>
    </xf>
    <xf numFmtId="0" fontId="2" fillId="3" borderId="8" xfId="0" applyFont="1" applyFill="1" applyBorder="1" applyAlignment="1" applyProtection="1">
      <alignment horizontal="center" shrinkToFit="1"/>
      <protection hidden="1"/>
    </xf>
    <xf numFmtId="0" fontId="2" fillId="3" borderId="14" xfId="0" applyFont="1" applyFill="1" applyBorder="1" applyAlignment="1" applyProtection="1">
      <alignment horizontal="center" shrinkToFit="1"/>
      <protection hidden="1"/>
    </xf>
    <xf numFmtId="0" fontId="2" fillId="3" borderId="75" xfId="0" applyFont="1" applyFill="1" applyBorder="1" applyAlignment="1" applyProtection="1">
      <alignment horizontal="center" shrinkToFit="1"/>
      <protection hidden="1"/>
    </xf>
    <xf numFmtId="0" fontId="1" fillId="0" borderId="106" xfId="0" applyFont="1" applyBorder="1" applyAlignment="1" applyProtection="1">
      <alignment horizontal="center" vertical="center" shrinkToFit="1"/>
      <protection hidden="1"/>
    </xf>
    <xf numFmtId="0" fontId="1" fillId="0" borderId="22" xfId="0" applyFont="1" applyBorder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horizontal="center" shrinkToFit="1"/>
      <protection locked="0"/>
    </xf>
    <xf numFmtId="0" fontId="1" fillId="0" borderId="19" xfId="0" applyFont="1" applyBorder="1" applyAlignment="1" applyProtection="1">
      <alignment horizontal="center" vertical="center"/>
      <protection hidden="1"/>
    </xf>
    <xf numFmtId="0" fontId="1" fillId="0" borderId="22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shrinkToFit="1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75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47" xfId="0" applyFont="1" applyBorder="1" applyAlignment="1" applyProtection="1">
      <alignment horizontal="center" vertical="center"/>
      <protection hidden="1"/>
    </xf>
    <xf numFmtId="0" fontId="2" fillId="5" borderId="8" xfId="0" applyFont="1" applyFill="1" applyBorder="1" applyAlignment="1" applyProtection="1">
      <alignment horizontal="center" vertical="center" shrinkToFit="1"/>
      <protection hidden="1"/>
    </xf>
    <xf numFmtId="0" fontId="2" fillId="5" borderId="14" xfId="0" applyFont="1" applyFill="1" applyBorder="1" applyAlignment="1" applyProtection="1">
      <alignment horizontal="center" vertical="center" shrinkToFit="1"/>
      <protection hidden="1"/>
    </xf>
    <xf numFmtId="0" fontId="2" fillId="5" borderId="75" xfId="0" applyFont="1" applyFill="1" applyBorder="1" applyAlignment="1" applyProtection="1">
      <alignment horizontal="center" vertical="center" shrinkToFit="1"/>
      <protection hidden="1"/>
    </xf>
    <xf numFmtId="0" fontId="3" fillId="11" borderId="129" xfId="0" applyFont="1" applyFill="1" applyBorder="1" applyAlignment="1" applyProtection="1">
      <alignment horizontal="center" vertical="center" wrapText="1"/>
      <protection hidden="1"/>
    </xf>
    <xf numFmtId="0" fontId="3" fillId="11" borderId="132" xfId="0" applyFont="1" applyFill="1" applyBorder="1" applyAlignment="1" applyProtection="1">
      <alignment horizontal="center" vertical="center" wrapText="1"/>
      <protection hidden="1"/>
    </xf>
    <xf numFmtId="0" fontId="3" fillId="11" borderId="133" xfId="0" applyFont="1" applyFill="1" applyBorder="1" applyAlignment="1" applyProtection="1">
      <alignment horizontal="center" vertical="center" wrapText="1"/>
      <protection hidden="1"/>
    </xf>
    <xf numFmtId="0" fontId="3" fillId="11" borderId="119" xfId="0" applyFont="1" applyFill="1" applyBorder="1" applyAlignment="1" applyProtection="1">
      <alignment horizontal="center" vertical="center" wrapText="1"/>
      <protection hidden="1"/>
    </xf>
    <xf numFmtId="0" fontId="3" fillId="11" borderId="38" xfId="0" applyFont="1" applyFill="1" applyBorder="1" applyAlignment="1" applyProtection="1">
      <alignment horizontal="center" vertical="center" wrapText="1"/>
      <protection hidden="1"/>
    </xf>
    <xf numFmtId="0" fontId="3" fillId="11" borderId="123" xfId="0" applyFont="1" applyFill="1" applyBorder="1" applyAlignment="1" applyProtection="1">
      <alignment horizontal="center" vertical="center" wrapText="1"/>
      <protection hidden="1"/>
    </xf>
    <xf numFmtId="0" fontId="2" fillId="11" borderId="49" xfId="0" applyFont="1" applyFill="1" applyBorder="1" applyAlignment="1" applyProtection="1">
      <alignment horizontal="center" vertical="center"/>
      <protection hidden="1"/>
    </xf>
    <xf numFmtId="0" fontId="2" fillId="11" borderId="51" xfId="0" applyFont="1" applyFill="1" applyBorder="1" applyAlignment="1" applyProtection="1">
      <alignment horizontal="center" vertical="center"/>
      <protection hidden="1"/>
    </xf>
    <xf numFmtId="0" fontId="2" fillId="11" borderId="50" xfId="0" applyFont="1" applyFill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" fillId="11" borderId="49" xfId="0" applyFont="1" applyFill="1" applyBorder="1" applyAlignment="1" applyProtection="1">
      <alignment horizontal="center" vertical="center" wrapText="1"/>
      <protection hidden="1"/>
    </xf>
    <xf numFmtId="0" fontId="2" fillId="11" borderId="51" xfId="0" applyFont="1" applyFill="1" applyBorder="1" applyAlignment="1" applyProtection="1">
      <alignment horizontal="center" vertical="center" wrapText="1"/>
      <protection hidden="1"/>
    </xf>
    <xf numFmtId="0" fontId="2" fillId="11" borderId="50" xfId="0" applyFont="1" applyFill="1" applyBorder="1" applyAlignment="1" applyProtection="1">
      <alignment horizontal="center" vertical="center" wrapText="1"/>
      <protection hidden="1"/>
    </xf>
    <xf numFmtId="0" fontId="2" fillId="11" borderId="61" xfId="0" applyFont="1" applyFill="1" applyBorder="1" applyAlignment="1" applyProtection="1">
      <alignment horizontal="center" vertical="center" wrapText="1"/>
      <protection hidden="1"/>
    </xf>
    <xf numFmtId="0" fontId="2" fillId="11" borderId="33" xfId="0" applyFont="1" applyFill="1" applyBorder="1" applyAlignment="1" applyProtection="1">
      <alignment horizontal="center" vertical="center" wrapText="1"/>
      <protection hidden="1"/>
    </xf>
    <xf numFmtId="0" fontId="2" fillId="11" borderId="62" xfId="0" applyFont="1" applyFill="1" applyBorder="1" applyAlignment="1" applyProtection="1">
      <alignment horizontal="center" vertical="center" wrapText="1"/>
      <protection hidden="1"/>
    </xf>
    <xf numFmtId="0" fontId="2" fillId="11" borderId="36" xfId="0" applyFont="1" applyFill="1" applyBorder="1" applyAlignment="1" applyProtection="1">
      <alignment horizontal="center" vertical="center" wrapText="1"/>
      <protection hidden="1"/>
    </xf>
    <xf numFmtId="0" fontId="2" fillId="11" borderId="118" xfId="0" applyFont="1" applyFill="1" applyBorder="1" applyAlignment="1" applyProtection="1">
      <alignment horizontal="center" vertical="center" wrapText="1"/>
      <protection hidden="1"/>
    </xf>
    <xf numFmtId="0" fontId="2" fillId="11" borderId="35" xfId="0" applyFont="1" applyFill="1" applyBorder="1" applyAlignment="1" applyProtection="1">
      <alignment horizontal="center" vertical="center" wrapText="1"/>
      <protection hidden="1"/>
    </xf>
    <xf numFmtId="0" fontId="2" fillId="11" borderId="45" xfId="0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/>
      <protection hidden="1"/>
    </xf>
    <xf numFmtId="0" fontId="2" fillId="11" borderId="115" xfId="0" applyFont="1" applyFill="1" applyBorder="1" applyAlignment="1" applyProtection="1">
      <alignment horizontal="center" vertical="center"/>
      <protection hidden="1"/>
    </xf>
    <xf numFmtId="0" fontId="2" fillId="11" borderId="120" xfId="0" applyFont="1" applyFill="1" applyBorder="1" applyAlignment="1" applyProtection="1">
      <alignment horizontal="center" vertical="center"/>
      <protection hidden="1"/>
    </xf>
    <xf numFmtId="0" fontId="2" fillId="11" borderId="121" xfId="0" applyFont="1" applyFill="1" applyBorder="1" applyAlignment="1" applyProtection="1">
      <alignment horizontal="center" vertical="center"/>
      <protection hidden="1"/>
    </xf>
    <xf numFmtId="0" fontId="11" fillId="11" borderId="49" xfId="0" applyFont="1" applyFill="1" applyBorder="1" applyAlignment="1" applyProtection="1">
      <alignment horizontal="center" vertical="center"/>
      <protection hidden="1"/>
    </xf>
    <xf numFmtId="0" fontId="11" fillId="11" borderId="50" xfId="0" applyFont="1" applyFill="1" applyBorder="1" applyAlignment="1" applyProtection="1">
      <alignment horizontal="center" vertical="center"/>
      <protection hidden="1"/>
    </xf>
    <xf numFmtId="0" fontId="11" fillId="11" borderId="61" xfId="0" applyFont="1" applyFill="1" applyBorder="1" applyAlignment="1" applyProtection="1">
      <alignment horizontal="center" vertical="center"/>
      <protection hidden="1"/>
    </xf>
    <xf numFmtId="0" fontId="11" fillId="11" borderId="62" xfId="0" applyFont="1" applyFill="1" applyBorder="1" applyAlignment="1" applyProtection="1">
      <alignment horizontal="center" vertical="center"/>
      <protection hidden="1"/>
    </xf>
    <xf numFmtId="0" fontId="11" fillId="11" borderId="54" xfId="0" applyFont="1" applyFill="1" applyBorder="1" applyAlignment="1" applyProtection="1">
      <alignment horizontal="center" vertical="center"/>
      <protection hidden="1"/>
    </xf>
    <xf numFmtId="0" fontId="11" fillId="11" borderId="55" xfId="0" applyFont="1" applyFill="1" applyBorder="1" applyAlignment="1" applyProtection="1">
      <alignment horizontal="center" vertical="center"/>
      <protection hidden="1"/>
    </xf>
    <xf numFmtId="0" fontId="11" fillId="11" borderId="116" xfId="0" applyFont="1" applyFill="1" applyBorder="1" applyAlignment="1" applyProtection="1">
      <alignment horizontal="center" vertical="center"/>
      <protection hidden="1"/>
    </xf>
    <xf numFmtId="0" fontId="11" fillId="11" borderId="117" xfId="0" applyFont="1" applyFill="1" applyBorder="1" applyAlignment="1" applyProtection="1">
      <alignment horizontal="center" vertical="center"/>
      <protection hidden="1"/>
    </xf>
    <xf numFmtId="0" fontId="11" fillId="11" borderId="52" xfId="0" applyFont="1" applyFill="1" applyBorder="1" applyAlignment="1" applyProtection="1">
      <alignment horizontal="center" vertical="center"/>
      <protection hidden="1"/>
    </xf>
    <xf numFmtId="0" fontId="42" fillId="0" borderId="0" xfId="3" applyFont="1" applyAlignment="1" applyProtection="1">
      <alignment horizontal="center" shrinkToFit="1"/>
      <protection locked="0"/>
    </xf>
    <xf numFmtId="0" fontId="22" fillId="0" borderId="45" xfId="3" applyBorder="1" applyAlignment="1">
      <alignment horizontal="center" vertical="center"/>
    </xf>
    <xf numFmtId="0" fontId="22" fillId="0" borderId="35" xfId="3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9" fillId="0" borderId="0" xfId="3" applyFont="1" applyAlignment="1">
      <alignment horizontal="center" vertical="center"/>
    </xf>
    <xf numFmtId="0" fontId="25" fillId="0" borderId="33" xfId="3" applyFont="1" applyBorder="1" applyAlignment="1">
      <alignment horizontal="center" vertical="center"/>
    </xf>
    <xf numFmtId="0" fontId="25" fillId="0" borderId="45" xfId="3" applyFont="1" applyBorder="1" applyAlignment="1">
      <alignment horizontal="center" vertical="center" wrapText="1"/>
    </xf>
    <xf numFmtId="0" fontId="25" fillId="0" borderId="35" xfId="3" applyFont="1" applyBorder="1" applyAlignment="1">
      <alignment horizontal="center" vertical="center" wrapText="1"/>
    </xf>
    <xf numFmtId="0" fontId="22" fillId="0" borderId="33" xfId="3" applyBorder="1" applyAlignment="1">
      <alignment horizontal="center" vertical="center"/>
    </xf>
    <xf numFmtId="0" fontId="25" fillId="0" borderId="45" xfId="3" applyFont="1" applyBorder="1" applyAlignment="1">
      <alignment horizontal="center" vertical="center"/>
    </xf>
    <xf numFmtId="0" fontId="25" fillId="0" borderId="35" xfId="3" applyFont="1" applyBorder="1" applyAlignment="1">
      <alignment horizontal="center" vertical="center"/>
    </xf>
    <xf numFmtId="0" fontId="25" fillId="0" borderId="19" xfId="3" applyFont="1" applyBorder="1" applyAlignment="1">
      <alignment horizontal="center" vertical="center" wrapText="1"/>
    </xf>
    <xf numFmtId="0" fontId="25" fillId="0" borderId="22" xfId="3" applyFont="1" applyBorder="1" applyAlignment="1">
      <alignment horizontal="center" vertical="center" wrapText="1"/>
    </xf>
    <xf numFmtId="0" fontId="25" fillId="0" borderId="19" xfId="3" applyFont="1" applyBorder="1" applyAlignment="1">
      <alignment horizontal="center" vertical="center"/>
    </xf>
    <xf numFmtId="0" fontId="25" fillId="0" borderId="22" xfId="3" applyFont="1" applyBorder="1" applyAlignment="1">
      <alignment horizontal="center" vertical="center"/>
    </xf>
    <xf numFmtId="0" fontId="25" fillId="0" borderId="8" xfId="3" applyFont="1" applyBorder="1" applyAlignment="1">
      <alignment horizontal="center" vertical="center"/>
    </xf>
    <xf numFmtId="0" fontId="25" fillId="0" borderId="75" xfId="3" applyFont="1" applyBorder="1" applyAlignment="1">
      <alignment horizontal="center" vertical="center"/>
    </xf>
    <xf numFmtId="0" fontId="25" fillId="0" borderId="9" xfId="3" applyFont="1" applyBorder="1" applyAlignment="1">
      <alignment horizontal="center" vertical="center"/>
    </xf>
    <xf numFmtId="0" fontId="25" fillId="0" borderId="47" xfId="3" applyFont="1" applyBorder="1" applyAlignment="1">
      <alignment horizontal="center" vertical="center"/>
    </xf>
    <xf numFmtId="0" fontId="5" fillId="0" borderId="45" xfId="3" applyFont="1" applyBorder="1" applyAlignment="1">
      <alignment horizontal="center" vertical="center"/>
    </xf>
    <xf numFmtId="0" fontId="5" fillId="0" borderId="35" xfId="3" applyFont="1" applyBorder="1" applyAlignment="1">
      <alignment horizontal="center" vertical="center"/>
    </xf>
    <xf numFmtId="0" fontId="22" fillId="0" borderId="19" xfId="3" applyBorder="1" applyAlignment="1">
      <alignment horizontal="center" vertical="center"/>
    </xf>
    <xf numFmtId="0" fontId="22" fillId="0" borderId="22" xfId="3" applyBorder="1" applyAlignment="1">
      <alignment horizontal="center" vertical="center"/>
    </xf>
    <xf numFmtId="1" fontId="22" fillId="0" borderId="45" xfId="3" applyNumberFormat="1" applyBorder="1" applyAlignment="1">
      <alignment horizontal="center" vertical="center"/>
    </xf>
    <xf numFmtId="0" fontId="23" fillId="0" borderId="0" xfId="3" applyFont="1" applyAlignment="1">
      <alignment horizontal="center" shrinkToFit="1"/>
    </xf>
    <xf numFmtId="0" fontId="24" fillId="0" borderId="0" xfId="3" applyFont="1" applyAlignment="1">
      <alignment horizontal="center" vertical="center" shrinkToFit="1"/>
    </xf>
    <xf numFmtId="0" fontId="26" fillId="0" borderId="0" xfId="3" applyFont="1" applyAlignment="1">
      <alignment horizontal="center"/>
    </xf>
    <xf numFmtId="0" fontId="25" fillId="0" borderId="33" xfId="3" applyFont="1" applyBorder="1" applyAlignment="1">
      <alignment horizontal="center" vertical="center" wrapText="1"/>
    </xf>
    <xf numFmtId="0" fontId="25" fillId="0" borderId="46" xfId="3" applyFont="1" applyBorder="1" applyAlignment="1">
      <alignment horizontal="center" vertical="center"/>
    </xf>
    <xf numFmtId="0" fontId="25" fillId="0" borderId="0" xfId="3" applyFont="1" applyAlignment="1">
      <alignment horizontal="center" vertical="center" shrinkToFit="1"/>
    </xf>
    <xf numFmtId="0" fontId="1" fillId="0" borderId="45" xfId="0" applyFont="1" applyBorder="1" applyAlignment="1" applyProtection="1">
      <alignment horizontal="center" vertical="center"/>
      <protection hidden="1"/>
    </xf>
    <xf numFmtId="0" fontId="1" fillId="0" borderId="35" xfId="0" applyFont="1" applyBorder="1" applyAlignment="1" applyProtection="1">
      <alignment horizontal="center" vertical="center"/>
      <protection hidden="1"/>
    </xf>
    <xf numFmtId="0" fontId="1" fillId="0" borderId="45" xfId="0" applyFont="1" applyBorder="1" applyAlignment="1" applyProtection="1">
      <alignment horizontal="center"/>
      <protection hidden="1"/>
    </xf>
    <xf numFmtId="0" fontId="1" fillId="0" borderId="35" xfId="0" applyFont="1" applyBorder="1" applyAlignment="1" applyProtection="1">
      <alignment horizontal="center"/>
      <protection hidden="1"/>
    </xf>
    <xf numFmtId="0" fontId="21" fillId="0" borderId="33" xfId="0" applyFont="1" applyBorder="1" applyAlignment="1" applyProtection="1">
      <alignment horizontal="center"/>
      <protection hidden="1"/>
    </xf>
    <xf numFmtId="0" fontId="2" fillId="0" borderId="33" xfId="0" applyFont="1" applyBorder="1" applyAlignment="1" applyProtection="1">
      <alignment horizontal="center" vertical="center"/>
      <protection hidden="1"/>
    </xf>
    <xf numFmtId="0" fontId="2" fillId="4" borderId="33" xfId="0" applyFont="1" applyFill="1" applyBorder="1" applyAlignment="1">
      <alignment horizontal="center" vertical="center" shrinkToFit="1"/>
    </xf>
    <xf numFmtId="0" fontId="2" fillId="0" borderId="22" xfId="0" applyFont="1" applyBorder="1" applyAlignment="1" applyProtection="1">
      <alignment horizontal="center" vertical="center" wrapText="1"/>
      <protection hidden="1"/>
    </xf>
    <xf numFmtId="0" fontId="2" fillId="0" borderId="45" xfId="0" applyFont="1" applyBorder="1" applyAlignment="1" applyProtection="1">
      <alignment horizontal="center" vertical="center"/>
      <protection hidden="1"/>
    </xf>
    <xf numFmtId="0" fontId="2" fillId="0" borderId="35" xfId="0" applyFont="1" applyBorder="1" applyAlignment="1" applyProtection="1">
      <alignment horizontal="center" vertical="center"/>
      <protection hidden="1"/>
    </xf>
    <xf numFmtId="0" fontId="15" fillId="4" borderId="19" xfId="0" applyFont="1" applyFill="1" applyBorder="1" applyAlignment="1">
      <alignment horizontal="center" vertical="center"/>
    </xf>
    <xf numFmtId="0" fontId="16" fillId="4" borderId="22" xfId="0" applyFont="1" applyFill="1" applyBorder="1" applyAlignment="1">
      <alignment horizontal="center" vertical="center"/>
    </xf>
    <xf numFmtId="0" fontId="2" fillId="0" borderId="9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 vertical="center" indent="2"/>
      <protection hidden="1"/>
    </xf>
    <xf numFmtId="0" fontId="9" fillId="0" borderId="0" xfId="0" applyFont="1" applyAlignment="1" applyProtection="1">
      <alignment horizontal="center" shrinkToFit="1"/>
      <protection hidden="1"/>
    </xf>
    <xf numFmtId="0" fontId="11" fillId="0" borderId="0" xfId="0" applyFont="1" applyAlignment="1" applyProtection="1">
      <alignment horizontal="center" shrinkToFit="1"/>
      <protection hidden="1"/>
    </xf>
    <xf numFmtId="0" fontId="11" fillId="0" borderId="0" xfId="0" applyFont="1" applyAlignment="1" applyProtection="1">
      <alignment horizontal="center" vertical="center" shrinkToFit="1"/>
      <protection hidden="1"/>
    </xf>
    <xf numFmtId="0" fontId="32" fillId="0" borderId="0" xfId="0" applyFont="1" applyAlignment="1" applyProtection="1">
      <alignment horizontal="left" indent="5"/>
      <protection hidden="1"/>
    </xf>
    <xf numFmtId="0" fontId="9" fillId="0" borderId="0" xfId="0" applyFont="1" applyAlignment="1" applyProtection="1">
      <alignment horizontal="left"/>
      <protection hidden="1"/>
    </xf>
    <xf numFmtId="0" fontId="32" fillId="0" borderId="0" xfId="0" applyFont="1" applyAlignment="1" applyProtection="1">
      <alignment horizontal="center"/>
      <protection hidden="1"/>
    </xf>
    <xf numFmtId="0" fontId="37" fillId="0" borderId="33" xfId="0" applyFont="1" applyBorder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horizontal="center" shrinkToFit="1"/>
      <protection hidden="1"/>
    </xf>
    <xf numFmtId="0" fontId="2" fillId="0" borderId="15" xfId="0" applyFont="1" applyBorder="1" applyAlignment="1" applyProtection="1">
      <alignment horizontal="center" shrinkToFit="1"/>
      <protection hidden="1"/>
    </xf>
    <xf numFmtId="0" fontId="2" fillId="0" borderId="15" xfId="0" applyFont="1" applyBorder="1" applyAlignment="1" applyProtection="1">
      <alignment shrinkToFit="1"/>
      <protection hidden="1"/>
    </xf>
    <xf numFmtId="0" fontId="0" fillId="0" borderId="47" xfId="0" applyBorder="1" applyAlignment="1" applyProtection="1">
      <alignment shrinkToFit="1"/>
      <protection hidden="1"/>
    </xf>
    <xf numFmtId="0" fontId="2" fillId="0" borderId="8" xfId="0" applyFont="1" applyBorder="1" applyAlignment="1" applyProtection="1">
      <alignment horizontal="center" shrinkToFit="1"/>
      <protection hidden="1"/>
    </xf>
    <xf numFmtId="0" fontId="2" fillId="0" borderId="14" xfId="0" applyFont="1" applyBorder="1" applyAlignment="1" applyProtection="1">
      <alignment horizontal="center" shrinkToFit="1"/>
      <protection hidden="1"/>
    </xf>
    <xf numFmtId="0" fontId="2" fillId="0" borderId="75" xfId="0" applyFont="1" applyBorder="1" applyAlignment="1" applyProtection="1">
      <alignment horizontal="center" shrinkToFit="1"/>
      <protection hidden="1"/>
    </xf>
    <xf numFmtId="0" fontId="10" fillId="0" borderId="76" xfId="0" applyFont="1" applyBorder="1" applyAlignment="1" applyProtection="1">
      <alignment horizontal="left" vertical="center" indent="2" shrinkToFit="1"/>
      <protection hidden="1"/>
    </xf>
    <xf numFmtId="0" fontId="10" fillId="0" borderId="0" xfId="0" applyFont="1" applyAlignment="1" applyProtection="1">
      <alignment horizontal="left" vertical="center" indent="2" shrinkToFit="1"/>
      <protection hidden="1"/>
    </xf>
    <xf numFmtId="0" fontId="10" fillId="0" borderId="77" xfId="0" applyFont="1" applyBorder="1" applyAlignment="1" applyProtection="1">
      <alignment horizontal="left" vertical="center" indent="2" shrinkToFit="1"/>
      <protection hidden="1"/>
    </xf>
    <xf numFmtId="0" fontId="3" fillId="0" borderId="8" xfId="0" applyFont="1" applyBorder="1" applyAlignment="1" applyProtection="1">
      <alignment horizontal="center" vertical="center" shrinkToFit="1"/>
      <protection hidden="1"/>
    </xf>
    <xf numFmtId="0" fontId="3" fillId="0" borderId="14" xfId="0" applyFont="1" applyBorder="1" applyAlignment="1" applyProtection="1">
      <alignment horizontal="center" vertical="center" shrinkToFit="1"/>
      <protection hidden="1"/>
    </xf>
    <xf numFmtId="0" fontId="3" fillId="0" borderId="75" xfId="0" applyFont="1" applyBorder="1" applyAlignment="1" applyProtection="1">
      <alignment horizontal="center" vertical="center" shrinkToFit="1"/>
      <protection hidden="1"/>
    </xf>
    <xf numFmtId="0" fontId="18" fillId="5" borderId="45" xfId="0" applyFont="1" applyFill="1" applyBorder="1" applyAlignment="1">
      <alignment horizontal="center" vertical="center"/>
    </xf>
    <xf numFmtId="0" fontId="18" fillId="5" borderId="46" xfId="0" applyFont="1" applyFill="1" applyBorder="1" applyAlignment="1">
      <alignment horizontal="center" vertical="center"/>
    </xf>
    <xf numFmtId="0" fontId="18" fillId="21" borderId="45" xfId="0" applyFont="1" applyFill="1" applyBorder="1" applyAlignment="1">
      <alignment horizontal="center" vertical="center"/>
    </xf>
    <xf numFmtId="0" fontId="18" fillId="21" borderId="46" xfId="0" applyFont="1" applyFill="1" applyBorder="1" applyAlignment="1">
      <alignment horizontal="center" vertical="center"/>
    </xf>
    <xf numFmtId="0" fontId="2" fillId="5" borderId="90" xfId="0" applyFont="1" applyFill="1" applyBorder="1" applyAlignment="1">
      <alignment horizontal="center" vertical="center"/>
    </xf>
    <xf numFmtId="0" fontId="2" fillId="5" borderId="89" xfId="0" applyFont="1" applyFill="1" applyBorder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4" borderId="0" xfId="0" applyFont="1" applyFill="1" applyAlignment="1" applyProtection="1">
      <alignment horizontal="center" vertical="center"/>
      <protection locked="0"/>
    </xf>
    <xf numFmtId="0" fontId="9" fillId="4" borderId="0" xfId="0" applyFont="1" applyFill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left" indent="2"/>
      <protection hidden="1"/>
    </xf>
    <xf numFmtId="0" fontId="11" fillId="0" borderId="45" xfId="0" applyFont="1" applyBorder="1" applyAlignment="1" applyProtection="1">
      <alignment horizontal="center" vertical="center"/>
      <protection hidden="1"/>
    </xf>
    <xf numFmtId="0" fontId="11" fillId="0" borderId="35" xfId="0" applyFont="1" applyBorder="1" applyAlignment="1" applyProtection="1">
      <alignment horizontal="center" vertical="center"/>
      <protection hidden="1"/>
    </xf>
    <xf numFmtId="165" fontId="9" fillId="0" borderId="45" xfId="0" applyNumberFormat="1" applyFont="1" applyBorder="1" applyAlignment="1" applyProtection="1">
      <alignment horizontal="left" vertical="center" wrapText="1"/>
      <protection hidden="1"/>
    </xf>
    <xf numFmtId="165" fontId="9" fillId="0" borderId="35" xfId="0" applyNumberFormat="1" applyFont="1" applyBorder="1" applyAlignment="1" applyProtection="1">
      <alignment horizontal="left" vertical="center" wrapText="1"/>
      <protection hidden="1"/>
    </xf>
    <xf numFmtId="0" fontId="19" fillId="0" borderId="0" xfId="0" applyFont="1" applyAlignment="1" applyProtection="1">
      <alignment horizontal="center" vertical="center" shrinkToFit="1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8" fillId="23" borderId="45" xfId="0" applyFont="1" applyFill="1" applyBorder="1" applyAlignment="1">
      <alignment horizontal="center" vertical="center"/>
    </xf>
    <xf numFmtId="0" fontId="18" fillId="23" borderId="46" xfId="0" applyFont="1" applyFill="1" applyBorder="1" applyAlignment="1">
      <alignment horizontal="center" vertical="center"/>
    </xf>
    <xf numFmtId="0" fontId="32" fillId="0" borderId="0" xfId="0" applyFont="1" applyAlignment="1" applyProtection="1">
      <alignment horizontal="left" shrinkToFit="1"/>
      <protection hidden="1"/>
    </xf>
    <xf numFmtId="0" fontId="32" fillId="0" borderId="0" xfId="0" applyFont="1" applyAlignment="1" applyProtection="1">
      <alignment horizontal="left"/>
      <protection hidden="1"/>
    </xf>
  </cellXfs>
  <cellStyles count="4">
    <cellStyle name="Hyperlink" xfId="1" builtinId="8"/>
    <cellStyle name="Normal" xfId="0" builtinId="0"/>
    <cellStyle name="Normal 2" xfId="3"/>
    <cellStyle name="Normal_Mau phieu diem NK" xfId="2"/>
  </cellStyles>
  <dxfs count="551"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rgb="FF0D03CD"/>
      </font>
    </dxf>
    <dxf>
      <fill>
        <patternFill>
          <bgColor theme="9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ont>
        <color rgb="FF0D03CD"/>
      </font>
    </dxf>
    <dxf>
      <fill>
        <patternFill>
          <bgColor theme="9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ont>
        <color rgb="FF0D03CD"/>
      </font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rgb="FF0D03CD"/>
      </font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FFCC"/>
      <color rgb="FFCCFF66"/>
      <color rgb="FF2208BC"/>
      <color rgb="FF958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144780</xdr:rowOff>
        </xdr:from>
        <xdr:to>
          <xdr:col>7</xdr:col>
          <xdr:colOff>1127760</xdr:colOff>
          <xdr:row>6</xdr:row>
          <xdr:rowOff>403860</xdr:rowOff>
        </xdr:to>
        <xdr:sp macro="" textlink="">
          <xdr:nvSpPr>
            <xdr:cNvPr id="11296" name="Button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0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Sĩ số 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7</xdr:row>
          <xdr:rowOff>22860</xdr:rowOff>
        </xdr:from>
        <xdr:to>
          <xdr:col>7</xdr:col>
          <xdr:colOff>1127760</xdr:colOff>
          <xdr:row>8</xdr:row>
          <xdr:rowOff>45720</xdr:rowOff>
        </xdr:to>
        <xdr:sp macro="" textlink="">
          <xdr:nvSpPr>
            <xdr:cNvPr id="11297" name="Button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00000000-0008-0000-0000-00002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Sĩ số 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8</xdr:row>
          <xdr:rowOff>83820</xdr:rowOff>
        </xdr:from>
        <xdr:to>
          <xdr:col>7</xdr:col>
          <xdr:colOff>1127760</xdr:colOff>
          <xdr:row>9</xdr:row>
          <xdr:rowOff>114300</xdr:rowOff>
        </xdr:to>
        <xdr:sp macro="" textlink="">
          <xdr:nvSpPr>
            <xdr:cNvPr id="11298" name="Button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00000000-0008-0000-0000-00002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Sĩ số 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9</xdr:row>
          <xdr:rowOff>152400</xdr:rowOff>
        </xdr:from>
        <xdr:to>
          <xdr:col>7</xdr:col>
          <xdr:colOff>1127760</xdr:colOff>
          <xdr:row>10</xdr:row>
          <xdr:rowOff>182880</xdr:rowOff>
        </xdr:to>
        <xdr:sp macro="" textlink="">
          <xdr:nvSpPr>
            <xdr:cNvPr id="11299" name="Button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0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Sĩ số 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11</xdr:row>
          <xdr:rowOff>0</xdr:rowOff>
        </xdr:from>
        <xdr:to>
          <xdr:col>7</xdr:col>
          <xdr:colOff>1127760</xdr:colOff>
          <xdr:row>12</xdr:row>
          <xdr:rowOff>30480</xdr:rowOff>
        </xdr:to>
        <xdr:sp macro="" textlink="">
          <xdr:nvSpPr>
            <xdr:cNvPr id="11300" name="Button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0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Sĩ số 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6</xdr:row>
          <xdr:rowOff>106680</xdr:rowOff>
        </xdr:from>
        <xdr:to>
          <xdr:col>4</xdr:col>
          <xdr:colOff>1943100</xdr:colOff>
          <xdr:row>7</xdr:row>
          <xdr:rowOff>83820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0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Học kỳ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</xdr:row>
          <xdr:rowOff>182880</xdr:rowOff>
        </xdr:from>
        <xdr:to>
          <xdr:col>4</xdr:col>
          <xdr:colOff>1943100</xdr:colOff>
          <xdr:row>9</xdr:row>
          <xdr:rowOff>7620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0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Phiếu điểm bộ môn HKI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9</xdr:row>
          <xdr:rowOff>114300</xdr:rowOff>
        </xdr:from>
        <xdr:to>
          <xdr:col>4</xdr:col>
          <xdr:colOff>1943100</xdr:colOff>
          <xdr:row>10</xdr:row>
          <xdr:rowOff>175260</xdr:rowOff>
        </xdr:to>
        <xdr:sp macro="" textlink="">
          <xdr:nvSpPr>
            <xdr:cNvPr id="11303" name="Button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00000000-0008-0000-0000-00002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Bảng tổng hợp Học kỳ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11</xdr:row>
          <xdr:rowOff>68580</xdr:rowOff>
        </xdr:from>
        <xdr:to>
          <xdr:col>4</xdr:col>
          <xdr:colOff>1943100</xdr:colOff>
          <xdr:row>12</xdr:row>
          <xdr:rowOff>121920</xdr:rowOff>
        </xdr:to>
        <xdr:sp macro="" textlink="">
          <xdr:nvSpPr>
            <xdr:cNvPr id="11304" name="Button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00000000-0008-0000-0000-00002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Phiếu báo điểm Học kỳ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13</xdr:row>
          <xdr:rowOff>68580</xdr:rowOff>
        </xdr:from>
        <xdr:to>
          <xdr:col>4</xdr:col>
          <xdr:colOff>1950720</xdr:colOff>
          <xdr:row>14</xdr:row>
          <xdr:rowOff>121920</xdr:rowOff>
        </xdr:to>
        <xdr:sp macro="" textlink="">
          <xdr:nvSpPr>
            <xdr:cNvPr id="11310" name="Button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0000000-0008-0000-0000-00002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Học kỳ 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14</xdr:row>
          <xdr:rowOff>182880</xdr:rowOff>
        </xdr:from>
        <xdr:to>
          <xdr:col>4</xdr:col>
          <xdr:colOff>1950720</xdr:colOff>
          <xdr:row>16</xdr:row>
          <xdr:rowOff>7620</xdr:rowOff>
        </xdr:to>
        <xdr:sp macro="" textlink="">
          <xdr:nvSpPr>
            <xdr:cNvPr id="11311" name="Button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0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Phiếu điểm bộ môn HKII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16</xdr:row>
          <xdr:rowOff>83820</xdr:rowOff>
        </xdr:from>
        <xdr:to>
          <xdr:col>4</xdr:col>
          <xdr:colOff>1950720</xdr:colOff>
          <xdr:row>17</xdr:row>
          <xdr:rowOff>144780</xdr:rowOff>
        </xdr:to>
        <xdr:sp macro="" textlink="">
          <xdr:nvSpPr>
            <xdr:cNvPr id="11312" name="Button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0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Bảng tổng hợp Học kỳ 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18</xdr:row>
          <xdr:rowOff>60960</xdr:rowOff>
        </xdr:from>
        <xdr:to>
          <xdr:col>4</xdr:col>
          <xdr:colOff>1950720</xdr:colOff>
          <xdr:row>19</xdr:row>
          <xdr:rowOff>114300</xdr:rowOff>
        </xdr:to>
        <xdr:sp macro="" textlink="">
          <xdr:nvSpPr>
            <xdr:cNvPr id="11313" name="Button 49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00000000-0008-0000-0000-00003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Phiếu báo điểm năm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19</xdr:row>
          <xdr:rowOff>160020</xdr:rowOff>
        </xdr:from>
        <xdr:to>
          <xdr:col>4</xdr:col>
          <xdr:colOff>1950720</xdr:colOff>
          <xdr:row>20</xdr:row>
          <xdr:rowOff>220980</xdr:rowOff>
        </xdr:to>
        <xdr:sp macro="" textlink="">
          <xdr:nvSpPr>
            <xdr:cNvPr id="11314" name="Button 50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00000000-0008-0000-0000-00003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Phiếu điểm ghi Học bạ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28575</xdr:colOff>
      <xdr:row>13</xdr:row>
      <xdr:rowOff>66675</xdr:rowOff>
    </xdr:from>
    <xdr:to>
      <xdr:col>7</xdr:col>
      <xdr:colOff>1152526</xdr:colOff>
      <xdr:row>15</xdr:row>
      <xdr:rowOff>161925</xdr:rowOff>
    </xdr:to>
    <xdr:sp macro="[0]!Copydiemlop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153150" y="3533775"/>
          <a:ext cx="1123951" cy="5524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Cập</a:t>
          </a:r>
          <a:r>
            <a:rPr lang="en-US" sz="1100" baseline="0"/>
            <a:t> nhật điểm từ file cũ.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99060</xdr:rowOff>
        </xdr:from>
        <xdr:to>
          <xdr:col>0</xdr:col>
          <xdr:colOff>906780</xdr:colOff>
          <xdr:row>4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Toán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152400</xdr:rowOff>
        </xdr:from>
        <xdr:to>
          <xdr:col>0</xdr:col>
          <xdr:colOff>906780</xdr:colOff>
          <xdr:row>6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Vật lí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7620</xdr:rowOff>
        </xdr:from>
        <xdr:to>
          <xdr:col>0</xdr:col>
          <xdr:colOff>906780</xdr:colOff>
          <xdr:row>7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Hóa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29</xdr:row>
          <xdr:rowOff>68580</xdr:rowOff>
        </xdr:from>
        <xdr:to>
          <xdr:col>0</xdr:col>
          <xdr:colOff>899160</xdr:colOff>
          <xdr:row>30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Hướng dẫn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99060</xdr:rowOff>
        </xdr:from>
        <xdr:to>
          <xdr:col>0</xdr:col>
          <xdr:colOff>906780</xdr:colOff>
          <xdr:row>9</xdr:row>
          <xdr:rowOff>144780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Tin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152400</xdr:rowOff>
        </xdr:from>
        <xdr:to>
          <xdr:col>0</xdr:col>
          <xdr:colOff>906780</xdr:colOff>
          <xdr:row>11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Ngữ văn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11</xdr:row>
          <xdr:rowOff>7620</xdr:rowOff>
        </xdr:from>
        <xdr:to>
          <xdr:col>0</xdr:col>
          <xdr:colOff>906780</xdr:colOff>
          <xdr:row>12</xdr:row>
          <xdr:rowOff>45720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Lịch sử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</xdr:row>
          <xdr:rowOff>60960</xdr:rowOff>
        </xdr:from>
        <xdr:to>
          <xdr:col>0</xdr:col>
          <xdr:colOff>906780</xdr:colOff>
          <xdr:row>8</xdr:row>
          <xdr:rowOff>106680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Sinh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106680</xdr:rowOff>
        </xdr:from>
        <xdr:to>
          <xdr:col>0</xdr:col>
          <xdr:colOff>906780</xdr:colOff>
          <xdr:row>14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Anh văn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14</xdr:row>
          <xdr:rowOff>160020</xdr:rowOff>
        </xdr:from>
        <xdr:to>
          <xdr:col>0</xdr:col>
          <xdr:colOff>906780</xdr:colOff>
          <xdr:row>16</xdr:row>
          <xdr:rowOff>7620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GDCD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22860</xdr:rowOff>
        </xdr:from>
        <xdr:to>
          <xdr:col>0</xdr:col>
          <xdr:colOff>906780</xdr:colOff>
          <xdr:row>17</xdr:row>
          <xdr:rowOff>60960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Công nghệ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60960</xdr:rowOff>
        </xdr:from>
        <xdr:to>
          <xdr:col>0</xdr:col>
          <xdr:colOff>906780</xdr:colOff>
          <xdr:row>13</xdr:row>
          <xdr:rowOff>106680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Địa lí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18</xdr:row>
          <xdr:rowOff>121920</xdr:rowOff>
        </xdr:from>
        <xdr:to>
          <xdr:col>0</xdr:col>
          <xdr:colOff>906780</xdr:colOff>
          <xdr:row>19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GDQP-AN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19</xdr:row>
          <xdr:rowOff>182880</xdr:rowOff>
        </xdr:from>
        <xdr:to>
          <xdr:col>0</xdr:col>
          <xdr:colOff>906780</xdr:colOff>
          <xdr:row>21</xdr:row>
          <xdr:rowOff>30480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Nghề  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23</xdr:row>
          <xdr:rowOff>7620</xdr:rowOff>
        </xdr:from>
        <xdr:to>
          <xdr:col>0</xdr:col>
          <xdr:colOff>906780</xdr:colOff>
          <xdr:row>24</xdr:row>
          <xdr:rowOff>45720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 phiếu điểm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17</xdr:row>
          <xdr:rowOff>68580</xdr:rowOff>
        </xdr:from>
        <xdr:to>
          <xdr:col>0</xdr:col>
          <xdr:colOff>906780</xdr:colOff>
          <xdr:row>18</xdr:row>
          <xdr:rowOff>114300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Thể dục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27</xdr:row>
          <xdr:rowOff>7620</xdr:rowOff>
        </xdr:from>
        <xdr:to>
          <xdr:col>0</xdr:col>
          <xdr:colOff>899160</xdr:colOff>
          <xdr:row>28</xdr:row>
          <xdr:rowOff>60960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Xóa hết điểm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21</xdr:row>
          <xdr:rowOff>45720</xdr:rowOff>
        </xdr:from>
        <xdr:to>
          <xdr:col>0</xdr:col>
          <xdr:colOff>906780</xdr:colOff>
          <xdr:row>22</xdr:row>
          <xdr:rowOff>99060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Ghi nhận xét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24</xdr:row>
          <xdr:rowOff>175260</xdr:rowOff>
        </xdr:from>
        <xdr:to>
          <xdr:col>0</xdr:col>
          <xdr:colOff>899160</xdr:colOff>
          <xdr:row>26</xdr:row>
          <xdr:rowOff>60960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Bảng TH HKI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60960</xdr:rowOff>
        </xdr:from>
        <xdr:to>
          <xdr:col>14</xdr:col>
          <xdr:colOff>518160</xdr:colOff>
          <xdr:row>3</xdr:row>
          <xdr:rowOff>220980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4</xdr:row>
          <xdr:rowOff>38100</xdr:rowOff>
        </xdr:from>
        <xdr:to>
          <xdr:col>14</xdr:col>
          <xdr:colOff>525780</xdr:colOff>
          <xdr:row>5</xdr:row>
          <xdr:rowOff>182880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2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Hướng dẫn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1</xdr:row>
          <xdr:rowOff>121920</xdr:rowOff>
        </xdr:from>
        <xdr:to>
          <xdr:col>27</xdr:col>
          <xdr:colOff>0</xdr:colOff>
          <xdr:row>3</xdr:row>
          <xdr:rowOff>45720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99060</xdr:rowOff>
        </xdr:from>
        <xdr:to>
          <xdr:col>26</xdr:col>
          <xdr:colOff>1188720</xdr:colOff>
          <xdr:row>3</xdr:row>
          <xdr:rowOff>403860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3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Hướng dẫn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38100</xdr:colOff>
      <xdr:row>1</xdr:row>
      <xdr:rowOff>104775</xdr:rowOff>
    </xdr:from>
    <xdr:to>
      <xdr:col>20</xdr:col>
      <xdr:colOff>57150</xdr:colOff>
      <xdr:row>2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6372225" y="304800"/>
          <a:ext cx="64770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Times New Roman"/>
              <a:cs typeface="Times New Roman"/>
            </a:rPr>
            <a:t>MẪU 2</a:t>
          </a:r>
        </a:p>
      </xdr:txBody>
    </xdr:sp>
    <xdr:clientData/>
  </xdr:twoCellAnchor>
  <xdr:twoCellAnchor>
    <xdr:from>
      <xdr:col>0</xdr:col>
      <xdr:colOff>9525</xdr:colOff>
      <xdr:row>50</xdr:row>
      <xdr:rowOff>161925</xdr:rowOff>
    </xdr:from>
    <xdr:to>
      <xdr:col>12</xdr:col>
      <xdr:colOff>228600</xdr:colOff>
      <xdr:row>55</xdr:row>
      <xdr:rowOff>180975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9525" y="10372725"/>
          <a:ext cx="4667250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27</xdr:row>
      <xdr:rowOff>247650</xdr:rowOff>
    </xdr:from>
    <xdr:to>
      <xdr:col>9</xdr:col>
      <xdr:colOff>733425</xdr:colOff>
      <xdr:row>27</xdr:row>
      <xdr:rowOff>247650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2657475" y="6172200"/>
          <a:ext cx="42005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28</xdr:row>
      <xdr:rowOff>247650</xdr:rowOff>
    </xdr:from>
    <xdr:to>
      <xdr:col>9</xdr:col>
      <xdr:colOff>742950</xdr:colOff>
      <xdr:row>28</xdr:row>
      <xdr:rowOff>247650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2657475" y="6429375"/>
          <a:ext cx="4210050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29</xdr:row>
      <xdr:rowOff>247650</xdr:rowOff>
    </xdr:from>
    <xdr:to>
      <xdr:col>10</xdr:col>
      <xdr:colOff>19050</xdr:colOff>
      <xdr:row>30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2667000" y="6686550"/>
          <a:ext cx="4229100" cy="9525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30</xdr:row>
      <xdr:rowOff>247650</xdr:rowOff>
    </xdr:from>
    <xdr:to>
      <xdr:col>10</xdr:col>
      <xdr:colOff>0</xdr:colOff>
      <xdr:row>31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2676525" y="6943725"/>
          <a:ext cx="4200525" cy="9525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388620</xdr:colOff>
          <xdr:row>31</xdr:row>
          <xdr:rowOff>0</xdr:rowOff>
        </xdr:from>
        <xdr:to>
          <xdr:col>12</xdr:col>
          <xdr:colOff>1257300</xdr:colOff>
          <xdr:row>32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Ghi nhận xét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115649</xdr:colOff>
      <xdr:row>37</xdr:row>
      <xdr:rowOff>209550</xdr:rowOff>
    </xdr:from>
    <xdr:to>
      <xdr:col>4</xdr:col>
      <xdr:colOff>1068149</xdr:colOff>
      <xdr:row>37</xdr:row>
      <xdr:rowOff>209550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15649" y="89820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36</xdr:row>
      <xdr:rowOff>0</xdr:rowOff>
    </xdr:from>
    <xdr:to>
      <xdr:col>4</xdr:col>
      <xdr:colOff>1067091</xdr:colOff>
      <xdr:row>36</xdr:row>
      <xdr:rowOff>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135758" y="8657897"/>
          <a:ext cx="6350730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240533</xdr:colOff>
      <xdr:row>34</xdr:row>
      <xdr:rowOff>180975</xdr:rowOff>
    </xdr:from>
    <xdr:to>
      <xdr:col>4</xdr:col>
      <xdr:colOff>1171866</xdr:colOff>
      <xdr:row>34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240533" y="8267700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37</xdr:row>
      <xdr:rowOff>0</xdr:rowOff>
    </xdr:from>
    <xdr:to>
      <xdr:col>4</xdr:col>
      <xdr:colOff>1077674</xdr:colOff>
      <xdr:row>37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>
          <a:off x="125174" y="8887810"/>
          <a:ext cx="6371897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84</xdr:row>
      <xdr:rowOff>209550</xdr:rowOff>
    </xdr:from>
    <xdr:to>
      <xdr:col>4</xdr:col>
      <xdr:colOff>1068149</xdr:colOff>
      <xdr:row>84</xdr:row>
      <xdr:rowOff>209550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115649" y="89820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83</xdr:row>
      <xdr:rowOff>0</xdr:rowOff>
    </xdr:from>
    <xdr:to>
      <xdr:col>4</xdr:col>
      <xdr:colOff>1067091</xdr:colOff>
      <xdr:row>83</xdr:row>
      <xdr:rowOff>1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>
          <a:off x="135758" y="85439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82</xdr:row>
      <xdr:rowOff>0</xdr:rowOff>
    </xdr:from>
    <xdr:to>
      <xdr:col>4</xdr:col>
      <xdr:colOff>1067091</xdr:colOff>
      <xdr:row>82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CxnSpPr/>
      </xdr:nvCxnSpPr>
      <xdr:spPr>
        <a:xfrm>
          <a:off x="135758" y="83153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84</xdr:row>
      <xdr:rowOff>0</xdr:rowOff>
    </xdr:from>
    <xdr:to>
      <xdr:col>4</xdr:col>
      <xdr:colOff>1077674</xdr:colOff>
      <xdr:row>84</xdr:row>
      <xdr:rowOff>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125174" y="87725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131</xdr:row>
      <xdr:rowOff>209550</xdr:rowOff>
    </xdr:from>
    <xdr:to>
      <xdr:col>4</xdr:col>
      <xdr:colOff>1068149</xdr:colOff>
      <xdr:row>131</xdr:row>
      <xdr:rowOff>209550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130</xdr:row>
      <xdr:rowOff>0</xdr:rowOff>
    </xdr:from>
    <xdr:to>
      <xdr:col>4</xdr:col>
      <xdr:colOff>1067091</xdr:colOff>
      <xdr:row>130</xdr:row>
      <xdr:rowOff>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129</xdr:row>
      <xdr:rowOff>0</xdr:rowOff>
    </xdr:from>
    <xdr:to>
      <xdr:col>4</xdr:col>
      <xdr:colOff>1067091</xdr:colOff>
      <xdr:row>129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131</xdr:row>
      <xdr:rowOff>0</xdr:rowOff>
    </xdr:from>
    <xdr:to>
      <xdr:col>4</xdr:col>
      <xdr:colOff>1077674</xdr:colOff>
      <xdr:row>131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178</xdr:row>
      <xdr:rowOff>209550</xdr:rowOff>
    </xdr:from>
    <xdr:to>
      <xdr:col>4</xdr:col>
      <xdr:colOff>1068149</xdr:colOff>
      <xdr:row>178</xdr:row>
      <xdr:rowOff>209550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177</xdr:row>
      <xdr:rowOff>0</xdr:rowOff>
    </xdr:from>
    <xdr:to>
      <xdr:col>4</xdr:col>
      <xdr:colOff>1067091</xdr:colOff>
      <xdr:row>177</xdr:row>
      <xdr:rowOff>1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176</xdr:row>
      <xdr:rowOff>0</xdr:rowOff>
    </xdr:from>
    <xdr:to>
      <xdr:col>4</xdr:col>
      <xdr:colOff>1067091</xdr:colOff>
      <xdr:row>176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178</xdr:row>
      <xdr:rowOff>0</xdr:rowOff>
    </xdr:from>
    <xdr:to>
      <xdr:col>4</xdr:col>
      <xdr:colOff>1077674</xdr:colOff>
      <xdr:row>178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225</xdr:row>
      <xdr:rowOff>209550</xdr:rowOff>
    </xdr:from>
    <xdr:to>
      <xdr:col>4</xdr:col>
      <xdr:colOff>1068149</xdr:colOff>
      <xdr:row>225</xdr:row>
      <xdr:rowOff>209550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224</xdr:row>
      <xdr:rowOff>0</xdr:rowOff>
    </xdr:from>
    <xdr:to>
      <xdr:col>4</xdr:col>
      <xdr:colOff>1067091</xdr:colOff>
      <xdr:row>224</xdr:row>
      <xdr:rowOff>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223</xdr:row>
      <xdr:rowOff>0</xdr:rowOff>
    </xdr:from>
    <xdr:to>
      <xdr:col>4</xdr:col>
      <xdr:colOff>1067091</xdr:colOff>
      <xdr:row>223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225</xdr:row>
      <xdr:rowOff>0</xdr:rowOff>
    </xdr:from>
    <xdr:to>
      <xdr:col>4</xdr:col>
      <xdr:colOff>1077674</xdr:colOff>
      <xdr:row>225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272</xdr:row>
      <xdr:rowOff>209550</xdr:rowOff>
    </xdr:from>
    <xdr:to>
      <xdr:col>4</xdr:col>
      <xdr:colOff>1068149</xdr:colOff>
      <xdr:row>272</xdr:row>
      <xdr:rowOff>209550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271</xdr:row>
      <xdr:rowOff>0</xdr:rowOff>
    </xdr:from>
    <xdr:to>
      <xdr:col>4</xdr:col>
      <xdr:colOff>1067091</xdr:colOff>
      <xdr:row>271</xdr:row>
      <xdr:rowOff>1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270</xdr:row>
      <xdr:rowOff>0</xdr:rowOff>
    </xdr:from>
    <xdr:to>
      <xdr:col>4</xdr:col>
      <xdr:colOff>1067091</xdr:colOff>
      <xdr:row>270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272</xdr:row>
      <xdr:rowOff>0</xdr:rowOff>
    </xdr:from>
    <xdr:to>
      <xdr:col>4</xdr:col>
      <xdr:colOff>1077674</xdr:colOff>
      <xdr:row>272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319</xdr:row>
      <xdr:rowOff>209550</xdr:rowOff>
    </xdr:from>
    <xdr:to>
      <xdr:col>4</xdr:col>
      <xdr:colOff>1068149</xdr:colOff>
      <xdr:row>319</xdr:row>
      <xdr:rowOff>209550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318</xdr:row>
      <xdr:rowOff>0</xdr:rowOff>
    </xdr:from>
    <xdr:to>
      <xdr:col>4</xdr:col>
      <xdr:colOff>1067091</xdr:colOff>
      <xdr:row>318</xdr:row>
      <xdr:rowOff>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317</xdr:row>
      <xdr:rowOff>0</xdr:rowOff>
    </xdr:from>
    <xdr:to>
      <xdr:col>4</xdr:col>
      <xdr:colOff>1067091</xdr:colOff>
      <xdr:row>317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319</xdr:row>
      <xdr:rowOff>0</xdr:rowOff>
    </xdr:from>
    <xdr:to>
      <xdr:col>4</xdr:col>
      <xdr:colOff>1077674</xdr:colOff>
      <xdr:row>319</xdr:row>
      <xdr:rowOff>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366</xdr:row>
      <xdr:rowOff>209550</xdr:rowOff>
    </xdr:from>
    <xdr:to>
      <xdr:col>4</xdr:col>
      <xdr:colOff>1068149</xdr:colOff>
      <xdr:row>366</xdr:row>
      <xdr:rowOff>209550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365</xdr:row>
      <xdr:rowOff>0</xdr:rowOff>
    </xdr:from>
    <xdr:to>
      <xdr:col>4</xdr:col>
      <xdr:colOff>1067091</xdr:colOff>
      <xdr:row>365</xdr:row>
      <xdr:rowOff>1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364</xdr:row>
      <xdr:rowOff>0</xdr:rowOff>
    </xdr:from>
    <xdr:to>
      <xdr:col>4</xdr:col>
      <xdr:colOff>1067091</xdr:colOff>
      <xdr:row>364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366</xdr:row>
      <xdr:rowOff>0</xdr:rowOff>
    </xdr:from>
    <xdr:to>
      <xdr:col>4</xdr:col>
      <xdr:colOff>1077674</xdr:colOff>
      <xdr:row>366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413</xdr:row>
      <xdr:rowOff>209550</xdr:rowOff>
    </xdr:from>
    <xdr:to>
      <xdr:col>4</xdr:col>
      <xdr:colOff>1068149</xdr:colOff>
      <xdr:row>413</xdr:row>
      <xdr:rowOff>209550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412</xdr:row>
      <xdr:rowOff>0</xdr:rowOff>
    </xdr:from>
    <xdr:to>
      <xdr:col>4</xdr:col>
      <xdr:colOff>1067091</xdr:colOff>
      <xdr:row>412</xdr:row>
      <xdr:rowOff>1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411</xdr:row>
      <xdr:rowOff>0</xdr:rowOff>
    </xdr:from>
    <xdr:to>
      <xdr:col>4</xdr:col>
      <xdr:colOff>1067091</xdr:colOff>
      <xdr:row>411</xdr:row>
      <xdr:rowOff>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413</xdr:row>
      <xdr:rowOff>0</xdr:rowOff>
    </xdr:from>
    <xdr:to>
      <xdr:col>4</xdr:col>
      <xdr:colOff>1077674</xdr:colOff>
      <xdr:row>413</xdr:row>
      <xdr:rowOff>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460</xdr:row>
      <xdr:rowOff>209550</xdr:rowOff>
    </xdr:from>
    <xdr:to>
      <xdr:col>4</xdr:col>
      <xdr:colOff>1068149</xdr:colOff>
      <xdr:row>460</xdr:row>
      <xdr:rowOff>209550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459</xdr:row>
      <xdr:rowOff>0</xdr:rowOff>
    </xdr:from>
    <xdr:to>
      <xdr:col>4</xdr:col>
      <xdr:colOff>1067091</xdr:colOff>
      <xdr:row>459</xdr:row>
      <xdr:rowOff>1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458</xdr:row>
      <xdr:rowOff>0</xdr:rowOff>
    </xdr:from>
    <xdr:to>
      <xdr:col>4</xdr:col>
      <xdr:colOff>1067091</xdr:colOff>
      <xdr:row>458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460</xdr:row>
      <xdr:rowOff>0</xdr:rowOff>
    </xdr:from>
    <xdr:to>
      <xdr:col>4</xdr:col>
      <xdr:colOff>1077674</xdr:colOff>
      <xdr:row>460</xdr:row>
      <xdr:rowOff>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507</xdr:row>
      <xdr:rowOff>209550</xdr:rowOff>
    </xdr:from>
    <xdr:to>
      <xdr:col>4</xdr:col>
      <xdr:colOff>1068149</xdr:colOff>
      <xdr:row>507</xdr:row>
      <xdr:rowOff>209550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506</xdr:row>
      <xdr:rowOff>0</xdr:rowOff>
    </xdr:from>
    <xdr:to>
      <xdr:col>4</xdr:col>
      <xdr:colOff>1067091</xdr:colOff>
      <xdr:row>506</xdr:row>
      <xdr:rowOff>1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505</xdr:row>
      <xdr:rowOff>0</xdr:rowOff>
    </xdr:from>
    <xdr:to>
      <xdr:col>4</xdr:col>
      <xdr:colOff>1067091</xdr:colOff>
      <xdr:row>505</xdr:row>
      <xdr:rowOff>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507</xdr:row>
      <xdr:rowOff>0</xdr:rowOff>
    </xdr:from>
    <xdr:to>
      <xdr:col>4</xdr:col>
      <xdr:colOff>1077674</xdr:colOff>
      <xdr:row>507</xdr:row>
      <xdr:rowOff>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554</xdr:row>
      <xdr:rowOff>209550</xdr:rowOff>
    </xdr:from>
    <xdr:to>
      <xdr:col>4</xdr:col>
      <xdr:colOff>1068149</xdr:colOff>
      <xdr:row>554</xdr:row>
      <xdr:rowOff>209550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CxnSpPr/>
      </xdr:nvCxnSpPr>
      <xdr:spPr>
        <a:xfrm>
          <a:off x="115649" y="30927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553</xdr:row>
      <xdr:rowOff>0</xdr:rowOff>
    </xdr:from>
    <xdr:to>
      <xdr:col>4</xdr:col>
      <xdr:colOff>1067091</xdr:colOff>
      <xdr:row>553</xdr:row>
      <xdr:rowOff>1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CxnSpPr/>
      </xdr:nvCxnSpPr>
      <xdr:spPr>
        <a:xfrm>
          <a:off x="135758" y="30489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552</xdr:row>
      <xdr:rowOff>0</xdr:rowOff>
    </xdr:from>
    <xdr:to>
      <xdr:col>4</xdr:col>
      <xdr:colOff>1067091</xdr:colOff>
      <xdr:row>552</xdr:row>
      <xdr:rowOff>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CxnSpPr/>
      </xdr:nvCxnSpPr>
      <xdr:spPr>
        <a:xfrm>
          <a:off x="135758" y="30260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554</xdr:row>
      <xdr:rowOff>0</xdr:rowOff>
    </xdr:from>
    <xdr:to>
      <xdr:col>4</xdr:col>
      <xdr:colOff>1077674</xdr:colOff>
      <xdr:row>554</xdr:row>
      <xdr:rowOff>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CxnSpPr/>
      </xdr:nvCxnSpPr>
      <xdr:spPr>
        <a:xfrm>
          <a:off x="125174" y="30718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601</xdr:row>
      <xdr:rowOff>209550</xdr:rowOff>
    </xdr:from>
    <xdr:to>
      <xdr:col>4</xdr:col>
      <xdr:colOff>1068149</xdr:colOff>
      <xdr:row>601</xdr:row>
      <xdr:rowOff>209550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CxnSpPr/>
      </xdr:nvCxnSpPr>
      <xdr:spPr>
        <a:xfrm>
          <a:off x="115649" y="41900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600</xdr:row>
      <xdr:rowOff>0</xdr:rowOff>
    </xdr:from>
    <xdr:to>
      <xdr:col>4</xdr:col>
      <xdr:colOff>1067091</xdr:colOff>
      <xdr:row>600</xdr:row>
      <xdr:rowOff>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CxnSpPr/>
      </xdr:nvCxnSpPr>
      <xdr:spPr>
        <a:xfrm>
          <a:off x="135758" y="41462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599</xdr:row>
      <xdr:rowOff>0</xdr:rowOff>
    </xdr:from>
    <xdr:to>
      <xdr:col>4</xdr:col>
      <xdr:colOff>1067091</xdr:colOff>
      <xdr:row>599</xdr:row>
      <xdr:rowOff>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CxnSpPr/>
      </xdr:nvCxnSpPr>
      <xdr:spPr>
        <a:xfrm>
          <a:off x="135758" y="41233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601</xdr:row>
      <xdr:rowOff>0</xdr:rowOff>
    </xdr:from>
    <xdr:to>
      <xdr:col>4</xdr:col>
      <xdr:colOff>1077674</xdr:colOff>
      <xdr:row>601</xdr:row>
      <xdr:rowOff>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CxnSpPr/>
      </xdr:nvCxnSpPr>
      <xdr:spPr>
        <a:xfrm>
          <a:off x="125174" y="41690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648</xdr:row>
      <xdr:rowOff>209550</xdr:rowOff>
    </xdr:from>
    <xdr:to>
      <xdr:col>4</xdr:col>
      <xdr:colOff>1068149</xdr:colOff>
      <xdr:row>648</xdr:row>
      <xdr:rowOff>209550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/>
      </xdr:nvCxnSpPr>
      <xdr:spPr>
        <a:xfrm>
          <a:off x="115649" y="52873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647</xdr:row>
      <xdr:rowOff>0</xdr:rowOff>
    </xdr:from>
    <xdr:to>
      <xdr:col>4</xdr:col>
      <xdr:colOff>1067091</xdr:colOff>
      <xdr:row>647</xdr:row>
      <xdr:rowOff>1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CxnSpPr/>
      </xdr:nvCxnSpPr>
      <xdr:spPr>
        <a:xfrm>
          <a:off x="135758" y="52435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646</xdr:row>
      <xdr:rowOff>0</xdr:rowOff>
    </xdr:from>
    <xdr:to>
      <xdr:col>4</xdr:col>
      <xdr:colOff>1067091</xdr:colOff>
      <xdr:row>646</xdr:row>
      <xdr:rowOff>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CxnSpPr/>
      </xdr:nvCxnSpPr>
      <xdr:spPr>
        <a:xfrm>
          <a:off x="135758" y="52206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648</xdr:row>
      <xdr:rowOff>0</xdr:rowOff>
    </xdr:from>
    <xdr:to>
      <xdr:col>4</xdr:col>
      <xdr:colOff>1077674</xdr:colOff>
      <xdr:row>648</xdr:row>
      <xdr:rowOff>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CxnSpPr/>
      </xdr:nvCxnSpPr>
      <xdr:spPr>
        <a:xfrm>
          <a:off x="125174" y="52663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695</xdr:row>
      <xdr:rowOff>209550</xdr:rowOff>
    </xdr:from>
    <xdr:to>
      <xdr:col>4</xdr:col>
      <xdr:colOff>1068149</xdr:colOff>
      <xdr:row>695</xdr:row>
      <xdr:rowOff>209550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CxnSpPr/>
      </xdr:nvCxnSpPr>
      <xdr:spPr>
        <a:xfrm>
          <a:off x="115649" y="638460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694</xdr:row>
      <xdr:rowOff>0</xdr:rowOff>
    </xdr:from>
    <xdr:to>
      <xdr:col>4</xdr:col>
      <xdr:colOff>1067091</xdr:colOff>
      <xdr:row>694</xdr:row>
      <xdr:rowOff>1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CxnSpPr/>
      </xdr:nvCxnSpPr>
      <xdr:spPr>
        <a:xfrm>
          <a:off x="135758" y="634079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693</xdr:row>
      <xdr:rowOff>0</xdr:rowOff>
    </xdr:from>
    <xdr:to>
      <xdr:col>4</xdr:col>
      <xdr:colOff>1067091</xdr:colOff>
      <xdr:row>693</xdr:row>
      <xdr:rowOff>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CxnSpPr/>
      </xdr:nvCxnSpPr>
      <xdr:spPr>
        <a:xfrm>
          <a:off x="135758" y="631793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695</xdr:row>
      <xdr:rowOff>0</xdr:rowOff>
    </xdr:from>
    <xdr:to>
      <xdr:col>4</xdr:col>
      <xdr:colOff>1077674</xdr:colOff>
      <xdr:row>695</xdr:row>
      <xdr:rowOff>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CxnSpPr/>
      </xdr:nvCxnSpPr>
      <xdr:spPr>
        <a:xfrm>
          <a:off x="125174" y="636365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742</xdr:row>
      <xdr:rowOff>209550</xdr:rowOff>
    </xdr:from>
    <xdr:to>
      <xdr:col>4</xdr:col>
      <xdr:colOff>1068149</xdr:colOff>
      <xdr:row>742</xdr:row>
      <xdr:rowOff>209550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/>
      </xdr:nvCxnSpPr>
      <xdr:spPr>
        <a:xfrm>
          <a:off x="115649" y="74818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741</xdr:row>
      <xdr:rowOff>0</xdr:rowOff>
    </xdr:from>
    <xdr:to>
      <xdr:col>4</xdr:col>
      <xdr:colOff>1067091</xdr:colOff>
      <xdr:row>741</xdr:row>
      <xdr:rowOff>1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CxnSpPr/>
      </xdr:nvCxnSpPr>
      <xdr:spPr>
        <a:xfrm>
          <a:off x="135758" y="74380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740</xdr:row>
      <xdr:rowOff>0</xdr:rowOff>
    </xdr:from>
    <xdr:to>
      <xdr:col>4</xdr:col>
      <xdr:colOff>1067091</xdr:colOff>
      <xdr:row>740</xdr:row>
      <xdr:rowOff>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CxnSpPr/>
      </xdr:nvCxnSpPr>
      <xdr:spPr>
        <a:xfrm>
          <a:off x="135758" y="74152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742</xdr:row>
      <xdr:rowOff>0</xdr:rowOff>
    </xdr:from>
    <xdr:to>
      <xdr:col>4</xdr:col>
      <xdr:colOff>1077674</xdr:colOff>
      <xdr:row>742</xdr:row>
      <xdr:rowOff>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CxnSpPr/>
      </xdr:nvCxnSpPr>
      <xdr:spPr>
        <a:xfrm>
          <a:off x="125174" y="74609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789</xdr:row>
      <xdr:rowOff>209550</xdr:rowOff>
    </xdr:from>
    <xdr:to>
      <xdr:col>4</xdr:col>
      <xdr:colOff>1068149</xdr:colOff>
      <xdr:row>789</xdr:row>
      <xdr:rowOff>209550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CxnSpPr/>
      </xdr:nvCxnSpPr>
      <xdr:spPr>
        <a:xfrm>
          <a:off x="115649" y="85791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788</xdr:row>
      <xdr:rowOff>0</xdr:rowOff>
    </xdr:from>
    <xdr:to>
      <xdr:col>4</xdr:col>
      <xdr:colOff>1067091</xdr:colOff>
      <xdr:row>788</xdr:row>
      <xdr:rowOff>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CxnSpPr/>
      </xdr:nvCxnSpPr>
      <xdr:spPr>
        <a:xfrm>
          <a:off x="135758" y="85353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787</xdr:row>
      <xdr:rowOff>0</xdr:rowOff>
    </xdr:from>
    <xdr:to>
      <xdr:col>4</xdr:col>
      <xdr:colOff>1067091</xdr:colOff>
      <xdr:row>787</xdr:row>
      <xdr:rowOff>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CxnSpPr/>
      </xdr:nvCxnSpPr>
      <xdr:spPr>
        <a:xfrm>
          <a:off x="135758" y="85124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789</xdr:row>
      <xdr:rowOff>0</xdr:rowOff>
    </xdr:from>
    <xdr:to>
      <xdr:col>4</xdr:col>
      <xdr:colOff>1077674</xdr:colOff>
      <xdr:row>789</xdr:row>
      <xdr:rowOff>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CxnSpPr/>
      </xdr:nvCxnSpPr>
      <xdr:spPr>
        <a:xfrm>
          <a:off x="125174" y="85582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836</xdr:row>
      <xdr:rowOff>209550</xdr:rowOff>
    </xdr:from>
    <xdr:to>
      <xdr:col>4</xdr:col>
      <xdr:colOff>1068149</xdr:colOff>
      <xdr:row>836</xdr:row>
      <xdr:rowOff>209550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CxnSpPr/>
      </xdr:nvCxnSpPr>
      <xdr:spPr>
        <a:xfrm>
          <a:off x="115649" y="96764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835</xdr:row>
      <xdr:rowOff>0</xdr:rowOff>
    </xdr:from>
    <xdr:to>
      <xdr:col>4</xdr:col>
      <xdr:colOff>1067091</xdr:colOff>
      <xdr:row>835</xdr:row>
      <xdr:rowOff>1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CxnSpPr/>
      </xdr:nvCxnSpPr>
      <xdr:spPr>
        <a:xfrm>
          <a:off x="135758" y="96326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834</xdr:row>
      <xdr:rowOff>0</xdr:rowOff>
    </xdr:from>
    <xdr:to>
      <xdr:col>4</xdr:col>
      <xdr:colOff>1067091</xdr:colOff>
      <xdr:row>834</xdr:row>
      <xdr:rowOff>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CxnSpPr/>
      </xdr:nvCxnSpPr>
      <xdr:spPr>
        <a:xfrm>
          <a:off x="135758" y="96097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836</xdr:row>
      <xdr:rowOff>0</xdr:rowOff>
    </xdr:from>
    <xdr:to>
      <xdr:col>4</xdr:col>
      <xdr:colOff>1077674</xdr:colOff>
      <xdr:row>836</xdr:row>
      <xdr:rowOff>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CxnSpPr/>
      </xdr:nvCxnSpPr>
      <xdr:spPr>
        <a:xfrm>
          <a:off x="125174" y="96554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883</xdr:row>
      <xdr:rowOff>209550</xdr:rowOff>
    </xdr:from>
    <xdr:to>
      <xdr:col>4</xdr:col>
      <xdr:colOff>1068149</xdr:colOff>
      <xdr:row>883</xdr:row>
      <xdr:rowOff>209550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CxnSpPr/>
      </xdr:nvCxnSpPr>
      <xdr:spPr>
        <a:xfrm>
          <a:off x="115649" y="107737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882</xdr:row>
      <xdr:rowOff>0</xdr:rowOff>
    </xdr:from>
    <xdr:to>
      <xdr:col>4</xdr:col>
      <xdr:colOff>1067091</xdr:colOff>
      <xdr:row>882</xdr:row>
      <xdr:rowOff>1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CxnSpPr/>
      </xdr:nvCxnSpPr>
      <xdr:spPr>
        <a:xfrm>
          <a:off x="135758" y="107299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881</xdr:row>
      <xdr:rowOff>0</xdr:rowOff>
    </xdr:from>
    <xdr:to>
      <xdr:col>4</xdr:col>
      <xdr:colOff>1067091</xdr:colOff>
      <xdr:row>881</xdr:row>
      <xdr:rowOff>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CxnSpPr/>
      </xdr:nvCxnSpPr>
      <xdr:spPr>
        <a:xfrm>
          <a:off x="135758" y="107070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883</xdr:row>
      <xdr:rowOff>0</xdr:rowOff>
    </xdr:from>
    <xdr:to>
      <xdr:col>4</xdr:col>
      <xdr:colOff>1077674</xdr:colOff>
      <xdr:row>883</xdr:row>
      <xdr:rowOff>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CxnSpPr/>
      </xdr:nvCxnSpPr>
      <xdr:spPr>
        <a:xfrm>
          <a:off x="125174" y="107527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930</xdr:row>
      <xdr:rowOff>209550</xdr:rowOff>
    </xdr:from>
    <xdr:to>
      <xdr:col>4</xdr:col>
      <xdr:colOff>1068149</xdr:colOff>
      <xdr:row>930</xdr:row>
      <xdr:rowOff>209550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929</xdr:row>
      <xdr:rowOff>0</xdr:rowOff>
    </xdr:from>
    <xdr:to>
      <xdr:col>4</xdr:col>
      <xdr:colOff>1067091</xdr:colOff>
      <xdr:row>929</xdr:row>
      <xdr:rowOff>1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928</xdr:row>
      <xdr:rowOff>0</xdr:rowOff>
    </xdr:from>
    <xdr:to>
      <xdr:col>4</xdr:col>
      <xdr:colOff>1067091</xdr:colOff>
      <xdr:row>928</xdr:row>
      <xdr:rowOff>0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930</xdr:row>
      <xdr:rowOff>0</xdr:rowOff>
    </xdr:from>
    <xdr:to>
      <xdr:col>4</xdr:col>
      <xdr:colOff>1077674</xdr:colOff>
      <xdr:row>930</xdr:row>
      <xdr:rowOff>0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977</xdr:row>
      <xdr:rowOff>209550</xdr:rowOff>
    </xdr:from>
    <xdr:to>
      <xdr:col>4</xdr:col>
      <xdr:colOff>1068149</xdr:colOff>
      <xdr:row>977</xdr:row>
      <xdr:rowOff>209550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CxnSpPr/>
      </xdr:nvCxnSpPr>
      <xdr:spPr>
        <a:xfrm>
          <a:off x="115649" y="30927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976</xdr:row>
      <xdr:rowOff>0</xdr:rowOff>
    </xdr:from>
    <xdr:to>
      <xdr:col>4</xdr:col>
      <xdr:colOff>1067091</xdr:colOff>
      <xdr:row>976</xdr:row>
      <xdr:rowOff>1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CxnSpPr/>
      </xdr:nvCxnSpPr>
      <xdr:spPr>
        <a:xfrm>
          <a:off x="135758" y="30489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975</xdr:row>
      <xdr:rowOff>0</xdr:rowOff>
    </xdr:from>
    <xdr:to>
      <xdr:col>4</xdr:col>
      <xdr:colOff>1067091</xdr:colOff>
      <xdr:row>975</xdr:row>
      <xdr:rowOff>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CxnSpPr/>
      </xdr:nvCxnSpPr>
      <xdr:spPr>
        <a:xfrm>
          <a:off x="135758" y="30260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977</xdr:row>
      <xdr:rowOff>0</xdr:rowOff>
    </xdr:from>
    <xdr:to>
      <xdr:col>4</xdr:col>
      <xdr:colOff>1077674</xdr:colOff>
      <xdr:row>977</xdr:row>
      <xdr:rowOff>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CxnSpPr/>
      </xdr:nvCxnSpPr>
      <xdr:spPr>
        <a:xfrm>
          <a:off x="125174" y="30718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1024</xdr:row>
      <xdr:rowOff>209550</xdr:rowOff>
    </xdr:from>
    <xdr:to>
      <xdr:col>4</xdr:col>
      <xdr:colOff>1068149</xdr:colOff>
      <xdr:row>1024</xdr:row>
      <xdr:rowOff>209550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CxnSpPr/>
      </xdr:nvCxnSpPr>
      <xdr:spPr>
        <a:xfrm>
          <a:off x="115649" y="41900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1023</xdr:row>
      <xdr:rowOff>0</xdr:rowOff>
    </xdr:from>
    <xdr:to>
      <xdr:col>4</xdr:col>
      <xdr:colOff>1067091</xdr:colOff>
      <xdr:row>1023</xdr:row>
      <xdr:rowOff>1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CxnSpPr/>
      </xdr:nvCxnSpPr>
      <xdr:spPr>
        <a:xfrm>
          <a:off x="135758" y="41462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1022</xdr:row>
      <xdr:rowOff>0</xdr:rowOff>
    </xdr:from>
    <xdr:to>
      <xdr:col>4</xdr:col>
      <xdr:colOff>1067091</xdr:colOff>
      <xdr:row>1022</xdr:row>
      <xdr:rowOff>0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/>
      </xdr:nvCxnSpPr>
      <xdr:spPr>
        <a:xfrm>
          <a:off x="135758" y="41233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1024</xdr:row>
      <xdr:rowOff>0</xdr:rowOff>
    </xdr:from>
    <xdr:to>
      <xdr:col>4</xdr:col>
      <xdr:colOff>1077674</xdr:colOff>
      <xdr:row>1024</xdr:row>
      <xdr:rowOff>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CxnSpPr/>
      </xdr:nvCxnSpPr>
      <xdr:spPr>
        <a:xfrm>
          <a:off x="125174" y="41690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1071</xdr:row>
      <xdr:rowOff>209550</xdr:rowOff>
    </xdr:from>
    <xdr:to>
      <xdr:col>4</xdr:col>
      <xdr:colOff>1068149</xdr:colOff>
      <xdr:row>1071</xdr:row>
      <xdr:rowOff>209550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CxnSpPr/>
      </xdr:nvCxnSpPr>
      <xdr:spPr>
        <a:xfrm>
          <a:off x="115649" y="52873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1070</xdr:row>
      <xdr:rowOff>0</xdr:rowOff>
    </xdr:from>
    <xdr:to>
      <xdr:col>4</xdr:col>
      <xdr:colOff>1067091</xdr:colOff>
      <xdr:row>1070</xdr:row>
      <xdr:rowOff>1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CxnSpPr/>
      </xdr:nvCxnSpPr>
      <xdr:spPr>
        <a:xfrm>
          <a:off x="135758" y="52435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1069</xdr:row>
      <xdr:rowOff>0</xdr:rowOff>
    </xdr:from>
    <xdr:to>
      <xdr:col>4</xdr:col>
      <xdr:colOff>1067091</xdr:colOff>
      <xdr:row>1069</xdr:row>
      <xdr:rowOff>0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CxnSpPr/>
      </xdr:nvCxnSpPr>
      <xdr:spPr>
        <a:xfrm>
          <a:off x="135758" y="52206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1071</xdr:row>
      <xdr:rowOff>0</xdr:rowOff>
    </xdr:from>
    <xdr:to>
      <xdr:col>4</xdr:col>
      <xdr:colOff>1077674</xdr:colOff>
      <xdr:row>1071</xdr:row>
      <xdr:rowOff>0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CxnSpPr/>
      </xdr:nvCxnSpPr>
      <xdr:spPr>
        <a:xfrm>
          <a:off x="125174" y="52663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1118</xdr:row>
      <xdr:rowOff>209550</xdr:rowOff>
    </xdr:from>
    <xdr:to>
      <xdr:col>4</xdr:col>
      <xdr:colOff>1068149</xdr:colOff>
      <xdr:row>1118</xdr:row>
      <xdr:rowOff>209550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CxnSpPr/>
      </xdr:nvCxnSpPr>
      <xdr:spPr>
        <a:xfrm>
          <a:off x="115649" y="638460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1117</xdr:row>
      <xdr:rowOff>0</xdr:rowOff>
    </xdr:from>
    <xdr:to>
      <xdr:col>4</xdr:col>
      <xdr:colOff>1067091</xdr:colOff>
      <xdr:row>1117</xdr:row>
      <xdr:rowOff>1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CxnSpPr/>
      </xdr:nvCxnSpPr>
      <xdr:spPr>
        <a:xfrm>
          <a:off x="135758" y="634079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1116</xdr:row>
      <xdr:rowOff>0</xdr:rowOff>
    </xdr:from>
    <xdr:to>
      <xdr:col>4</xdr:col>
      <xdr:colOff>1067091</xdr:colOff>
      <xdr:row>1116</xdr:row>
      <xdr:rowOff>0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CxnSpPr/>
      </xdr:nvCxnSpPr>
      <xdr:spPr>
        <a:xfrm>
          <a:off x="135758" y="631793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1118</xdr:row>
      <xdr:rowOff>0</xdr:rowOff>
    </xdr:from>
    <xdr:to>
      <xdr:col>4</xdr:col>
      <xdr:colOff>1077674</xdr:colOff>
      <xdr:row>1118</xdr:row>
      <xdr:rowOff>0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CxnSpPr/>
      </xdr:nvCxnSpPr>
      <xdr:spPr>
        <a:xfrm>
          <a:off x="125174" y="636365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1165</xdr:row>
      <xdr:rowOff>209550</xdr:rowOff>
    </xdr:from>
    <xdr:to>
      <xdr:col>4</xdr:col>
      <xdr:colOff>1068149</xdr:colOff>
      <xdr:row>1165</xdr:row>
      <xdr:rowOff>209550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CxnSpPr/>
      </xdr:nvCxnSpPr>
      <xdr:spPr>
        <a:xfrm>
          <a:off x="115649" y="74818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1164</xdr:row>
      <xdr:rowOff>0</xdr:rowOff>
    </xdr:from>
    <xdr:to>
      <xdr:col>4</xdr:col>
      <xdr:colOff>1067091</xdr:colOff>
      <xdr:row>1164</xdr:row>
      <xdr:rowOff>1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CxnSpPr/>
      </xdr:nvCxnSpPr>
      <xdr:spPr>
        <a:xfrm>
          <a:off x="135758" y="74380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1163</xdr:row>
      <xdr:rowOff>0</xdr:rowOff>
    </xdr:from>
    <xdr:to>
      <xdr:col>4</xdr:col>
      <xdr:colOff>1067091</xdr:colOff>
      <xdr:row>1163</xdr:row>
      <xdr:rowOff>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CxnSpPr/>
      </xdr:nvCxnSpPr>
      <xdr:spPr>
        <a:xfrm>
          <a:off x="135758" y="74152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1165</xdr:row>
      <xdr:rowOff>0</xdr:rowOff>
    </xdr:from>
    <xdr:to>
      <xdr:col>4</xdr:col>
      <xdr:colOff>1077674</xdr:colOff>
      <xdr:row>1165</xdr:row>
      <xdr:rowOff>0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CxnSpPr/>
      </xdr:nvCxnSpPr>
      <xdr:spPr>
        <a:xfrm>
          <a:off x="125174" y="74609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1212</xdr:row>
      <xdr:rowOff>209550</xdr:rowOff>
    </xdr:from>
    <xdr:to>
      <xdr:col>4</xdr:col>
      <xdr:colOff>1068149</xdr:colOff>
      <xdr:row>1212</xdr:row>
      <xdr:rowOff>209550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CxnSpPr/>
      </xdr:nvCxnSpPr>
      <xdr:spPr>
        <a:xfrm>
          <a:off x="115649" y="85791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1211</xdr:row>
      <xdr:rowOff>0</xdr:rowOff>
    </xdr:from>
    <xdr:to>
      <xdr:col>4</xdr:col>
      <xdr:colOff>1067091</xdr:colOff>
      <xdr:row>1211</xdr:row>
      <xdr:rowOff>1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CxnSpPr/>
      </xdr:nvCxnSpPr>
      <xdr:spPr>
        <a:xfrm>
          <a:off x="135758" y="85353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1210</xdr:row>
      <xdr:rowOff>0</xdr:rowOff>
    </xdr:from>
    <xdr:to>
      <xdr:col>4</xdr:col>
      <xdr:colOff>1067091</xdr:colOff>
      <xdr:row>1210</xdr:row>
      <xdr:rowOff>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CxnSpPr/>
      </xdr:nvCxnSpPr>
      <xdr:spPr>
        <a:xfrm>
          <a:off x="135758" y="85124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1212</xdr:row>
      <xdr:rowOff>0</xdr:rowOff>
    </xdr:from>
    <xdr:to>
      <xdr:col>4</xdr:col>
      <xdr:colOff>1077674</xdr:colOff>
      <xdr:row>1212</xdr:row>
      <xdr:rowOff>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/>
      </xdr:nvCxnSpPr>
      <xdr:spPr>
        <a:xfrm>
          <a:off x="125174" y="85582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1259</xdr:row>
      <xdr:rowOff>209550</xdr:rowOff>
    </xdr:from>
    <xdr:to>
      <xdr:col>4</xdr:col>
      <xdr:colOff>1068149</xdr:colOff>
      <xdr:row>1259</xdr:row>
      <xdr:rowOff>209550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/>
      </xdr:nvCxnSpPr>
      <xdr:spPr>
        <a:xfrm>
          <a:off x="115649" y="96764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1258</xdr:row>
      <xdr:rowOff>0</xdr:rowOff>
    </xdr:from>
    <xdr:to>
      <xdr:col>4</xdr:col>
      <xdr:colOff>1067091</xdr:colOff>
      <xdr:row>1258</xdr:row>
      <xdr:rowOff>1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CxnSpPr/>
      </xdr:nvCxnSpPr>
      <xdr:spPr>
        <a:xfrm>
          <a:off x="135758" y="96326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1257</xdr:row>
      <xdr:rowOff>0</xdr:rowOff>
    </xdr:from>
    <xdr:to>
      <xdr:col>4</xdr:col>
      <xdr:colOff>1067091</xdr:colOff>
      <xdr:row>1257</xdr:row>
      <xdr:rowOff>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CxnSpPr/>
      </xdr:nvCxnSpPr>
      <xdr:spPr>
        <a:xfrm>
          <a:off x="135758" y="96097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1259</xdr:row>
      <xdr:rowOff>0</xdr:rowOff>
    </xdr:from>
    <xdr:to>
      <xdr:col>4</xdr:col>
      <xdr:colOff>1077674</xdr:colOff>
      <xdr:row>1259</xdr:row>
      <xdr:rowOff>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CxnSpPr/>
      </xdr:nvCxnSpPr>
      <xdr:spPr>
        <a:xfrm>
          <a:off x="125174" y="96554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1306</xdr:row>
      <xdr:rowOff>209550</xdr:rowOff>
    </xdr:from>
    <xdr:to>
      <xdr:col>4</xdr:col>
      <xdr:colOff>1068149</xdr:colOff>
      <xdr:row>1306</xdr:row>
      <xdr:rowOff>209550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CxnSpPr/>
      </xdr:nvCxnSpPr>
      <xdr:spPr>
        <a:xfrm>
          <a:off x="115649" y="107737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1305</xdr:row>
      <xdr:rowOff>0</xdr:rowOff>
    </xdr:from>
    <xdr:to>
      <xdr:col>4</xdr:col>
      <xdr:colOff>1067091</xdr:colOff>
      <xdr:row>1305</xdr:row>
      <xdr:rowOff>1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/>
      </xdr:nvCxnSpPr>
      <xdr:spPr>
        <a:xfrm>
          <a:off x="135758" y="107299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1304</xdr:row>
      <xdr:rowOff>0</xdr:rowOff>
    </xdr:from>
    <xdr:to>
      <xdr:col>4</xdr:col>
      <xdr:colOff>1067091</xdr:colOff>
      <xdr:row>1304</xdr:row>
      <xdr:rowOff>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CxnSpPr/>
      </xdr:nvCxnSpPr>
      <xdr:spPr>
        <a:xfrm>
          <a:off x="135758" y="107070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1306</xdr:row>
      <xdr:rowOff>0</xdr:rowOff>
    </xdr:from>
    <xdr:to>
      <xdr:col>4</xdr:col>
      <xdr:colOff>1077674</xdr:colOff>
      <xdr:row>1306</xdr:row>
      <xdr:rowOff>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CxnSpPr/>
      </xdr:nvCxnSpPr>
      <xdr:spPr>
        <a:xfrm>
          <a:off x="125174" y="107527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1353</xdr:row>
      <xdr:rowOff>209550</xdr:rowOff>
    </xdr:from>
    <xdr:to>
      <xdr:col>4</xdr:col>
      <xdr:colOff>1068149</xdr:colOff>
      <xdr:row>1353</xdr:row>
      <xdr:rowOff>209550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1352</xdr:row>
      <xdr:rowOff>0</xdr:rowOff>
    </xdr:from>
    <xdr:to>
      <xdr:col>4</xdr:col>
      <xdr:colOff>1067091</xdr:colOff>
      <xdr:row>1352</xdr:row>
      <xdr:rowOff>1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1351</xdr:row>
      <xdr:rowOff>0</xdr:rowOff>
    </xdr:from>
    <xdr:to>
      <xdr:col>4</xdr:col>
      <xdr:colOff>1067091</xdr:colOff>
      <xdr:row>1351</xdr:row>
      <xdr:rowOff>0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1353</xdr:row>
      <xdr:rowOff>0</xdr:rowOff>
    </xdr:from>
    <xdr:to>
      <xdr:col>4</xdr:col>
      <xdr:colOff>1077674</xdr:colOff>
      <xdr:row>1353</xdr:row>
      <xdr:rowOff>0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1400</xdr:row>
      <xdr:rowOff>209550</xdr:rowOff>
    </xdr:from>
    <xdr:to>
      <xdr:col>4</xdr:col>
      <xdr:colOff>1068149</xdr:colOff>
      <xdr:row>1400</xdr:row>
      <xdr:rowOff>209550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CxnSpPr/>
      </xdr:nvCxnSpPr>
      <xdr:spPr>
        <a:xfrm>
          <a:off x="115649" y="30927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1399</xdr:row>
      <xdr:rowOff>0</xdr:rowOff>
    </xdr:from>
    <xdr:to>
      <xdr:col>4</xdr:col>
      <xdr:colOff>1067091</xdr:colOff>
      <xdr:row>1399</xdr:row>
      <xdr:rowOff>1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CxnSpPr/>
      </xdr:nvCxnSpPr>
      <xdr:spPr>
        <a:xfrm>
          <a:off x="135758" y="30489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1398</xdr:row>
      <xdr:rowOff>0</xdr:rowOff>
    </xdr:from>
    <xdr:to>
      <xdr:col>4</xdr:col>
      <xdr:colOff>1067091</xdr:colOff>
      <xdr:row>1398</xdr:row>
      <xdr:rowOff>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CxnSpPr/>
      </xdr:nvCxnSpPr>
      <xdr:spPr>
        <a:xfrm>
          <a:off x="135758" y="30260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1400</xdr:row>
      <xdr:rowOff>0</xdr:rowOff>
    </xdr:from>
    <xdr:to>
      <xdr:col>4</xdr:col>
      <xdr:colOff>1077674</xdr:colOff>
      <xdr:row>1400</xdr:row>
      <xdr:rowOff>0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CxnSpPr/>
      </xdr:nvCxnSpPr>
      <xdr:spPr>
        <a:xfrm>
          <a:off x="125174" y="30718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1447</xdr:row>
      <xdr:rowOff>209550</xdr:rowOff>
    </xdr:from>
    <xdr:to>
      <xdr:col>4</xdr:col>
      <xdr:colOff>1068149</xdr:colOff>
      <xdr:row>1447</xdr:row>
      <xdr:rowOff>209550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CxnSpPr/>
      </xdr:nvCxnSpPr>
      <xdr:spPr>
        <a:xfrm>
          <a:off x="115649" y="41900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1446</xdr:row>
      <xdr:rowOff>0</xdr:rowOff>
    </xdr:from>
    <xdr:to>
      <xdr:col>4</xdr:col>
      <xdr:colOff>1067091</xdr:colOff>
      <xdr:row>1446</xdr:row>
      <xdr:rowOff>1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CxnSpPr/>
      </xdr:nvCxnSpPr>
      <xdr:spPr>
        <a:xfrm>
          <a:off x="135758" y="41462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1445</xdr:row>
      <xdr:rowOff>0</xdr:rowOff>
    </xdr:from>
    <xdr:to>
      <xdr:col>4</xdr:col>
      <xdr:colOff>1067091</xdr:colOff>
      <xdr:row>1445</xdr:row>
      <xdr:rowOff>0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CxnSpPr/>
      </xdr:nvCxnSpPr>
      <xdr:spPr>
        <a:xfrm>
          <a:off x="135758" y="41233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1447</xdr:row>
      <xdr:rowOff>0</xdr:rowOff>
    </xdr:from>
    <xdr:to>
      <xdr:col>4</xdr:col>
      <xdr:colOff>1077674</xdr:colOff>
      <xdr:row>1447</xdr:row>
      <xdr:rowOff>0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CxnSpPr/>
      </xdr:nvCxnSpPr>
      <xdr:spPr>
        <a:xfrm>
          <a:off x="125174" y="41690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1494</xdr:row>
      <xdr:rowOff>209550</xdr:rowOff>
    </xdr:from>
    <xdr:to>
      <xdr:col>4</xdr:col>
      <xdr:colOff>1068149</xdr:colOff>
      <xdr:row>1494</xdr:row>
      <xdr:rowOff>209550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CxnSpPr/>
      </xdr:nvCxnSpPr>
      <xdr:spPr>
        <a:xfrm>
          <a:off x="115649" y="52873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1493</xdr:row>
      <xdr:rowOff>0</xdr:rowOff>
    </xdr:from>
    <xdr:to>
      <xdr:col>4</xdr:col>
      <xdr:colOff>1067091</xdr:colOff>
      <xdr:row>1493</xdr:row>
      <xdr:rowOff>1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CxnSpPr/>
      </xdr:nvCxnSpPr>
      <xdr:spPr>
        <a:xfrm>
          <a:off x="135758" y="52435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1492</xdr:row>
      <xdr:rowOff>0</xdr:rowOff>
    </xdr:from>
    <xdr:to>
      <xdr:col>4</xdr:col>
      <xdr:colOff>1067091</xdr:colOff>
      <xdr:row>1492</xdr:row>
      <xdr:rowOff>0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CxnSpPr/>
      </xdr:nvCxnSpPr>
      <xdr:spPr>
        <a:xfrm>
          <a:off x="135758" y="52206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1494</xdr:row>
      <xdr:rowOff>0</xdr:rowOff>
    </xdr:from>
    <xdr:to>
      <xdr:col>4</xdr:col>
      <xdr:colOff>1077674</xdr:colOff>
      <xdr:row>1494</xdr:row>
      <xdr:rowOff>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25174" y="52663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1541</xdr:row>
      <xdr:rowOff>209550</xdr:rowOff>
    </xdr:from>
    <xdr:to>
      <xdr:col>4</xdr:col>
      <xdr:colOff>1068149</xdr:colOff>
      <xdr:row>1541</xdr:row>
      <xdr:rowOff>209550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CxnSpPr/>
      </xdr:nvCxnSpPr>
      <xdr:spPr>
        <a:xfrm>
          <a:off x="115649" y="638460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1540</xdr:row>
      <xdr:rowOff>0</xdr:rowOff>
    </xdr:from>
    <xdr:to>
      <xdr:col>4</xdr:col>
      <xdr:colOff>1067091</xdr:colOff>
      <xdr:row>1540</xdr:row>
      <xdr:rowOff>1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CxnSpPr/>
      </xdr:nvCxnSpPr>
      <xdr:spPr>
        <a:xfrm>
          <a:off x="135758" y="634079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1539</xdr:row>
      <xdr:rowOff>0</xdr:rowOff>
    </xdr:from>
    <xdr:to>
      <xdr:col>4</xdr:col>
      <xdr:colOff>1067091</xdr:colOff>
      <xdr:row>1539</xdr:row>
      <xdr:rowOff>0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CxnSpPr/>
      </xdr:nvCxnSpPr>
      <xdr:spPr>
        <a:xfrm>
          <a:off x="135758" y="631793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1541</xdr:row>
      <xdr:rowOff>0</xdr:rowOff>
    </xdr:from>
    <xdr:to>
      <xdr:col>4</xdr:col>
      <xdr:colOff>1077674</xdr:colOff>
      <xdr:row>1541</xdr:row>
      <xdr:rowOff>0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CxnSpPr/>
      </xdr:nvCxnSpPr>
      <xdr:spPr>
        <a:xfrm>
          <a:off x="125174" y="636365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1588</xdr:row>
      <xdr:rowOff>209550</xdr:rowOff>
    </xdr:from>
    <xdr:to>
      <xdr:col>4</xdr:col>
      <xdr:colOff>1068149</xdr:colOff>
      <xdr:row>1588</xdr:row>
      <xdr:rowOff>209550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CxnSpPr/>
      </xdr:nvCxnSpPr>
      <xdr:spPr>
        <a:xfrm>
          <a:off x="115649" y="74818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1587</xdr:row>
      <xdr:rowOff>0</xdr:rowOff>
    </xdr:from>
    <xdr:to>
      <xdr:col>4</xdr:col>
      <xdr:colOff>1067091</xdr:colOff>
      <xdr:row>1587</xdr:row>
      <xdr:rowOff>1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135758" y="74380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1586</xdr:row>
      <xdr:rowOff>0</xdr:rowOff>
    </xdr:from>
    <xdr:to>
      <xdr:col>4</xdr:col>
      <xdr:colOff>1067091</xdr:colOff>
      <xdr:row>1586</xdr:row>
      <xdr:rowOff>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CxnSpPr/>
      </xdr:nvCxnSpPr>
      <xdr:spPr>
        <a:xfrm>
          <a:off x="135758" y="74152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1588</xdr:row>
      <xdr:rowOff>0</xdr:rowOff>
    </xdr:from>
    <xdr:to>
      <xdr:col>4</xdr:col>
      <xdr:colOff>1077674</xdr:colOff>
      <xdr:row>1588</xdr:row>
      <xdr:rowOff>0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CxnSpPr/>
      </xdr:nvCxnSpPr>
      <xdr:spPr>
        <a:xfrm>
          <a:off x="125174" y="74609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1635</xdr:row>
      <xdr:rowOff>209550</xdr:rowOff>
    </xdr:from>
    <xdr:to>
      <xdr:col>4</xdr:col>
      <xdr:colOff>1068149</xdr:colOff>
      <xdr:row>1635</xdr:row>
      <xdr:rowOff>209550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CxnSpPr/>
      </xdr:nvCxnSpPr>
      <xdr:spPr>
        <a:xfrm>
          <a:off x="115649" y="85791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1634</xdr:row>
      <xdr:rowOff>0</xdr:rowOff>
    </xdr:from>
    <xdr:to>
      <xdr:col>4</xdr:col>
      <xdr:colOff>1067091</xdr:colOff>
      <xdr:row>1634</xdr:row>
      <xdr:rowOff>1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CxnSpPr/>
      </xdr:nvCxnSpPr>
      <xdr:spPr>
        <a:xfrm>
          <a:off x="135758" y="85353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1633</xdr:row>
      <xdr:rowOff>0</xdr:rowOff>
    </xdr:from>
    <xdr:to>
      <xdr:col>4</xdr:col>
      <xdr:colOff>1067091</xdr:colOff>
      <xdr:row>1633</xdr:row>
      <xdr:rowOff>0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CxnSpPr/>
      </xdr:nvCxnSpPr>
      <xdr:spPr>
        <a:xfrm>
          <a:off x="135758" y="85124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1635</xdr:row>
      <xdr:rowOff>0</xdr:rowOff>
    </xdr:from>
    <xdr:to>
      <xdr:col>4</xdr:col>
      <xdr:colOff>1077674</xdr:colOff>
      <xdr:row>1635</xdr:row>
      <xdr:rowOff>0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CxnSpPr/>
      </xdr:nvCxnSpPr>
      <xdr:spPr>
        <a:xfrm>
          <a:off x="125174" y="85582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1682</xdr:row>
      <xdr:rowOff>209550</xdr:rowOff>
    </xdr:from>
    <xdr:to>
      <xdr:col>4</xdr:col>
      <xdr:colOff>1068149</xdr:colOff>
      <xdr:row>1682</xdr:row>
      <xdr:rowOff>209550</xdr:rowOff>
    </xdr:to>
    <xdr:cxnSp macro="">
      <xdr:nvCxnSpPr>
        <xdr:cNvPr id="143" name="Straight Connector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CxnSpPr/>
      </xdr:nvCxnSpPr>
      <xdr:spPr>
        <a:xfrm>
          <a:off x="115649" y="96764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1681</xdr:row>
      <xdr:rowOff>0</xdr:rowOff>
    </xdr:from>
    <xdr:to>
      <xdr:col>4</xdr:col>
      <xdr:colOff>1067091</xdr:colOff>
      <xdr:row>1681</xdr:row>
      <xdr:rowOff>1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/>
      </xdr:nvCxnSpPr>
      <xdr:spPr>
        <a:xfrm>
          <a:off x="135758" y="96326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1680</xdr:row>
      <xdr:rowOff>0</xdr:rowOff>
    </xdr:from>
    <xdr:to>
      <xdr:col>4</xdr:col>
      <xdr:colOff>1067091</xdr:colOff>
      <xdr:row>1680</xdr:row>
      <xdr:rowOff>0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CxnSpPr/>
      </xdr:nvCxnSpPr>
      <xdr:spPr>
        <a:xfrm>
          <a:off x="135758" y="96097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1682</xdr:row>
      <xdr:rowOff>0</xdr:rowOff>
    </xdr:from>
    <xdr:to>
      <xdr:col>4</xdr:col>
      <xdr:colOff>1077674</xdr:colOff>
      <xdr:row>1682</xdr:row>
      <xdr:rowOff>0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CxnSpPr/>
      </xdr:nvCxnSpPr>
      <xdr:spPr>
        <a:xfrm>
          <a:off x="125174" y="96554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1729</xdr:row>
      <xdr:rowOff>209550</xdr:rowOff>
    </xdr:from>
    <xdr:to>
      <xdr:col>4</xdr:col>
      <xdr:colOff>1068149</xdr:colOff>
      <xdr:row>1729</xdr:row>
      <xdr:rowOff>209550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CxnSpPr/>
      </xdr:nvCxnSpPr>
      <xdr:spPr>
        <a:xfrm>
          <a:off x="115649" y="107737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1728</xdr:row>
      <xdr:rowOff>0</xdr:rowOff>
    </xdr:from>
    <xdr:to>
      <xdr:col>4</xdr:col>
      <xdr:colOff>1067091</xdr:colOff>
      <xdr:row>1728</xdr:row>
      <xdr:rowOff>1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CxnSpPr/>
      </xdr:nvCxnSpPr>
      <xdr:spPr>
        <a:xfrm>
          <a:off x="135758" y="107299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1727</xdr:row>
      <xdr:rowOff>0</xdr:rowOff>
    </xdr:from>
    <xdr:to>
      <xdr:col>4</xdr:col>
      <xdr:colOff>1067091</xdr:colOff>
      <xdr:row>1727</xdr:row>
      <xdr:rowOff>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CxnSpPr/>
      </xdr:nvCxnSpPr>
      <xdr:spPr>
        <a:xfrm>
          <a:off x="135758" y="107070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1729</xdr:row>
      <xdr:rowOff>0</xdr:rowOff>
    </xdr:from>
    <xdr:to>
      <xdr:col>4</xdr:col>
      <xdr:colOff>1077674</xdr:colOff>
      <xdr:row>1729</xdr:row>
      <xdr:rowOff>0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/>
      </xdr:nvCxnSpPr>
      <xdr:spPr>
        <a:xfrm>
          <a:off x="125174" y="107527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1776</xdr:row>
      <xdr:rowOff>209550</xdr:rowOff>
    </xdr:from>
    <xdr:to>
      <xdr:col>4</xdr:col>
      <xdr:colOff>1068149</xdr:colOff>
      <xdr:row>1776</xdr:row>
      <xdr:rowOff>209550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1775</xdr:row>
      <xdr:rowOff>0</xdr:rowOff>
    </xdr:from>
    <xdr:to>
      <xdr:col>4</xdr:col>
      <xdr:colOff>1067091</xdr:colOff>
      <xdr:row>1775</xdr:row>
      <xdr:rowOff>1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1774</xdr:row>
      <xdr:rowOff>0</xdr:rowOff>
    </xdr:from>
    <xdr:to>
      <xdr:col>4</xdr:col>
      <xdr:colOff>1067091</xdr:colOff>
      <xdr:row>1774</xdr:row>
      <xdr:rowOff>0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1776</xdr:row>
      <xdr:rowOff>0</xdr:rowOff>
    </xdr:from>
    <xdr:to>
      <xdr:col>4</xdr:col>
      <xdr:colOff>1077674</xdr:colOff>
      <xdr:row>1776</xdr:row>
      <xdr:rowOff>0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1823</xdr:row>
      <xdr:rowOff>209550</xdr:rowOff>
    </xdr:from>
    <xdr:to>
      <xdr:col>4</xdr:col>
      <xdr:colOff>1068149</xdr:colOff>
      <xdr:row>1823</xdr:row>
      <xdr:rowOff>209550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CxnSpPr/>
      </xdr:nvCxnSpPr>
      <xdr:spPr>
        <a:xfrm>
          <a:off x="115649" y="30927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1822</xdr:row>
      <xdr:rowOff>0</xdr:rowOff>
    </xdr:from>
    <xdr:to>
      <xdr:col>4</xdr:col>
      <xdr:colOff>1067091</xdr:colOff>
      <xdr:row>1822</xdr:row>
      <xdr:rowOff>1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CxnSpPr/>
      </xdr:nvCxnSpPr>
      <xdr:spPr>
        <a:xfrm>
          <a:off x="135758" y="30489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1821</xdr:row>
      <xdr:rowOff>0</xdr:rowOff>
    </xdr:from>
    <xdr:to>
      <xdr:col>4</xdr:col>
      <xdr:colOff>1067091</xdr:colOff>
      <xdr:row>1821</xdr:row>
      <xdr:rowOff>0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CxnSpPr/>
      </xdr:nvCxnSpPr>
      <xdr:spPr>
        <a:xfrm>
          <a:off x="135758" y="30260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1823</xdr:row>
      <xdr:rowOff>0</xdr:rowOff>
    </xdr:from>
    <xdr:to>
      <xdr:col>4</xdr:col>
      <xdr:colOff>1077674</xdr:colOff>
      <xdr:row>1823</xdr:row>
      <xdr:rowOff>0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CxnSpPr/>
      </xdr:nvCxnSpPr>
      <xdr:spPr>
        <a:xfrm>
          <a:off x="125174" y="30718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1870</xdr:row>
      <xdr:rowOff>209550</xdr:rowOff>
    </xdr:from>
    <xdr:to>
      <xdr:col>4</xdr:col>
      <xdr:colOff>1068149</xdr:colOff>
      <xdr:row>1870</xdr:row>
      <xdr:rowOff>209550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CxnSpPr/>
      </xdr:nvCxnSpPr>
      <xdr:spPr>
        <a:xfrm>
          <a:off x="115649" y="41900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1869</xdr:row>
      <xdr:rowOff>0</xdr:rowOff>
    </xdr:from>
    <xdr:to>
      <xdr:col>4</xdr:col>
      <xdr:colOff>1067091</xdr:colOff>
      <xdr:row>1869</xdr:row>
      <xdr:rowOff>1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CxnSpPr/>
      </xdr:nvCxnSpPr>
      <xdr:spPr>
        <a:xfrm>
          <a:off x="135758" y="41462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1868</xdr:row>
      <xdr:rowOff>0</xdr:rowOff>
    </xdr:from>
    <xdr:to>
      <xdr:col>4</xdr:col>
      <xdr:colOff>1067091</xdr:colOff>
      <xdr:row>1868</xdr:row>
      <xdr:rowOff>0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CxnSpPr/>
      </xdr:nvCxnSpPr>
      <xdr:spPr>
        <a:xfrm>
          <a:off x="135758" y="41233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1870</xdr:row>
      <xdr:rowOff>0</xdr:rowOff>
    </xdr:from>
    <xdr:to>
      <xdr:col>4</xdr:col>
      <xdr:colOff>1077674</xdr:colOff>
      <xdr:row>1870</xdr:row>
      <xdr:rowOff>0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CxnSpPr/>
      </xdr:nvCxnSpPr>
      <xdr:spPr>
        <a:xfrm>
          <a:off x="125174" y="41690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1917</xdr:row>
      <xdr:rowOff>209550</xdr:rowOff>
    </xdr:from>
    <xdr:to>
      <xdr:col>4</xdr:col>
      <xdr:colOff>1068149</xdr:colOff>
      <xdr:row>1917</xdr:row>
      <xdr:rowOff>209550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CxnSpPr/>
      </xdr:nvCxnSpPr>
      <xdr:spPr>
        <a:xfrm>
          <a:off x="115649" y="52873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1916</xdr:row>
      <xdr:rowOff>0</xdr:rowOff>
    </xdr:from>
    <xdr:to>
      <xdr:col>4</xdr:col>
      <xdr:colOff>1067091</xdr:colOff>
      <xdr:row>1916</xdr:row>
      <xdr:rowOff>1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CxnSpPr/>
      </xdr:nvCxnSpPr>
      <xdr:spPr>
        <a:xfrm>
          <a:off x="135758" y="52435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1915</xdr:row>
      <xdr:rowOff>0</xdr:rowOff>
    </xdr:from>
    <xdr:to>
      <xdr:col>4</xdr:col>
      <xdr:colOff>1067091</xdr:colOff>
      <xdr:row>1915</xdr:row>
      <xdr:rowOff>0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CxnSpPr/>
      </xdr:nvCxnSpPr>
      <xdr:spPr>
        <a:xfrm>
          <a:off x="135758" y="52206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1917</xdr:row>
      <xdr:rowOff>0</xdr:rowOff>
    </xdr:from>
    <xdr:to>
      <xdr:col>4</xdr:col>
      <xdr:colOff>1077674</xdr:colOff>
      <xdr:row>1917</xdr:row>
      <xdr:rowOff>0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CxnSpPr/>
      </xdr:nvCxnSpPr>
      <xdr:spPr>
        <a:xfrm>
          <a:off x="125174" y="52663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1964</xdr:row>
      <xdr:rowOff>209550</xdr:rowOff>
    </xdr:from>
    <xdr:to>
      <xdr:col>4</xdr:col>
      <xdr:colOff>1068149</xdr:colOff>
      <xdr:row>1964</xdr:row>
      <xdr:rowOff>209550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CxnSpPr/>
      </xdr:nvCxnSpPr>
      <xdr:spPr>
        <a:xfrm>
          <a:off x="115649" y="638460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1963</xdr:row>
      <xdr:rowOff>0</xdr:rowOff>
    </xdr:from>
    <xdr:to>
      <xdr:col>4</xdr:col>
      <xdr:colOff>1067091</xdr:colOff>
      <xdr:row>1963</xdr:row>
      <xdr:rowOff>1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CxnSpPr/>
      </xdr:nvCxnSpPr>
      <xdr:spPr>
        <a:xfrm>
          <a:off x="135758" y="634079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1962</xdr:row>
      <xdr:rowOff>0</xdr:rowOff>
    </xdr:from>
    <xdr:to>
      <xdr:col>4</xdr:col>
      <xdr:colOff>1067091</xdr:colOff>
      <xdr:row>1962</xdr:row>
      <xdr:rowOff>0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CxnSpPr/>
      </xdr:nvCxnSpPr>
      <xdr:spPr>
        <a:xfrm>
          <a:off x="135758" y="631793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1964</xdr:row>
      <xdr:rowOff>0</xdr:rowOff>
    </xdr:from>
    <xdr:to>
      <xdr:col>4</xdr:col>
      <xdr:colOff>1077674</xdr:colOff>
      <xdr:row>1964</xdr:row>
      <xdr:rowOff>0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CxnSpPr/>
      </xdr:nvCxnSpPr>
      <xdr:spPr>
        <a:xfrm>
          <a:off x="125174" y="636365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2011</xdr:row>
      <xdr:rowOff>209550</xdr:rowOff>
    </xdr:from>
    <xdr:to>
      <xdr:col>4</xdr:col>
      <xdr:colOff>1068149</xdr:colOff>
      <xdr:row>2011</xdr:row>
      <xdr:rowOff>209550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CxnSpPr/>
      </xdr:nvCxnSpPr>
      <xdr:spPr>
        <a:xfrm>
          <a:off x="115649" y="74818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2010</xdr:row>
      <xdr:rowOff>0</xdr:rowOff>
    </xdr:from>
    <xdr:to>
      <xdr:col>4</xdr:col>
      <xdr:colOff>1067091</xdr:colOff>
      <xdr:row>2010</xdr:row>
      <xdr:rowOff>1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CxnSpPr/>
      </xdr:nvCxnSpPr>
      <xdr:spPr>
        <a:xfrm>
          <a:off x="135758" y="74380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2009</xdr:row>
      <xdr:rowOff>0</xdr:rowOff>
    </xdr:from>
    <xdr:to>
      <xdr:col>4</xdr:col>
      <xdr:colOff>1067091</xdr:colOff>
      <xdr:row>2009</xdr:row>
      <xdr:rowOff>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CxnSpPr/>
      </xdr:nvCxnSpPr>
      <xdr:spPr>
        <a:xfrm>
          <a:off x="135758" y="74152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2011</xdr:row>
      <xdr:rowOff>0</xdr:rowOff>
    </xdr:from>
    <xdr:to>
      <xdr:col>4</xdr:col>
      <xdr:colOff>1077674</xdr:colOff>
      <xdr:row>2011</xdr:row>
      <xdr:rowOff>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CxnSpPr/>
      </xdr:nvCxnSpPr>
      <xdr:spPr>
        <a:xfrm>
          <a:off x="125174" y="74609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2058</xdr:row>
      <xdr:rowOff>209550</xdr:rowOff>
    </xdr:from>
    <xdr:to>
      <xdr:col>4</xdr:col>
      <xdr:colOff>1068149</xdr:colOff>
      <xdr:row>2058</xdr:row>
      <xdr:rowOff>209550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CxnSpPr/>
      </xdr:nvCxnSpPr>
      <xdr:spPr>
        <a:xfrm>
          <a:off x="115649" y="85791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2057</xdr:row>
      <xdr:rowOff>0</xdr:rowOff>
    </xdr:from>
    <xdr:to>
      <xdr:col>4</xdr:col>
      <xdr:colOff>1067091</xdr:colOff>
      <xdr:row>2057</xdr:row>
      <xdr:rowOff>1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CxnSpPr/>
      </xdr:nvCxnSpPr>
      <xdr:spPr>
        <a:xfrm>
          <a:off x="135758" y="85353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2056</xdr:row>
      <xdr:rowOff>0</xdr:rowOff>
    </xdr:from>
    <xdr:to>
      <xdr:col>4</xdr:col>
      <xdr:colOff>1067091</xdr:colOff>
      <xdr:row>2056</xdr:row>
      <xdr:rowOff>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CxnSpPr/>
      </xdr:nvCxnSpPr>
      <xdr:spPr>
        <a:xfrm>
          <a:off x="135758" y="85124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2058</xdr:row>
      <xdr:rowOff>0</xdr:rowOff>
    </xdr:from>
    <xdr:to>
      <xdr:col>4</xdr:col>
      <xdr:colOff>1077674</xdr:colOff>
      <xdr:row>2058</xdr:row>
      <xdr:rowOff>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CxnSpPr/>
      </xdr:nvCxnSpPr>
      <xdr:spPr>
        <a:xfrm>
          <a:off x="125174" y="85582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2105</xdr:row>
      <xdr:rowOff>209550</xdr:rowOff>
    </xdr:from>
    <xdr:to>
      <xdr:col>4</xdr:col>
      <xdr:colOff>1068149</xdr:colOff>
      <xdr:row>2105</xdr:row>
      <xdr:rowOff>209550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CxnSpPr/>
      </xdr:nvCxnSpPr>
      <xdr:spPr>
        <a:xfrm>
          <a:off x="115649" y="96764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2104</xdr:row>
      <xdr:rowOff>0</xdr:rowOff>
    </xdr:from>
    <xdr:to>
      <xdr:col>4</xdr:col>
      <xdr:colOff>1067091</xdr:colOff>
      <xdr:row>2104</xdr:row>
      <xdr:rowOff>1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CxnSpPr/>
      </xdr:nvCxnSpPr>
      <xdr:spPr>
        <a:xfrm>
          <a:off x="135758" y="96326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2103</xdr:row>
      <xdr:rowOff>0</xdr:rowOff>
    </xdr:from>
    <xdr:to>
      <xdr:col>4</xdr:col>
      <xdr:colOff>1067091</xdr:colOff>
      <xdr:row>2103</xdr:row>
      <xdr:rowOff>0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CxnSpPr/>
      </xdr:nvCxnSpPr>
      <xdr:spPr>
        <a:xfrm>
          <a:off x="135758" y="96097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2105</xdr:row>
      <xdr:rowOff>0</xdr:rowOff>
    </xdr:from>
    <xdr:to>
      <xdr:col>4</xdr:col>
      <xdr:colOff>1077674</xdr:colOff>
      <xdr:row>2105</xdr:row>
      <xdr:rowOff>0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CxnSpPr/>
      </xdr:nvCxnSpPr>
      <xdr:spPr>
        <a:xfrm>
          <a:off x="125174" y="96554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2152</xdr:row>
      <xdr:rowOff>209550</xdr:rowOff>
    </xdr:from>
    <xdr:to>
      <xdr:col>4</xdr:col>
      <xdr:colOff>1068149</xdr:colOff>
      <xdr:row>2152</xdr:row>
      <xdr:rowOff>209550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CxnSpPr/>
      </xdr:nvCxnSpPr>
      <xdr:spPr>
        <a:xfrm>
          <a:off x="115649" y="107737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2151</xdr:row>
      <xdr:rowOff>0</xdr:rowOff>
    </xdr:from>
    <xdr:to>
      <xdr:col>4</xdr:col>
      <xdr:colOff>1067091</xdr:colOff>
      <xdr:row>2151</xdr:row>
      <xdr:rowOff>1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CxnSpPr/>
      </xdr:nvCxnSpPr>
      <xdr:spPr>
        <a:xfrm>
          <a:off x="135758" y="107299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2150</xdr:row>
      <xdr:rowOff>0</xdr:rowOff>
    </xdr:from>
    <xdr:to>
      <xdr:col>4</xdr:col>
      <xdr:colOff>1067091</xdr:colOff>
      <xdr:row>2150</xdr:row>
      <xdr:rowOff>0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CxnSpPr/>
      </xdr:nvCxnSpPr>
      <xdr:spPr>
        <a:xfrm>
          <a:off x="135758" y="107070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2152</xdr:row>
      <xdr:rowOff>0</xdr:rowOff>
    </xdr:from>
    <xdr:to>
      <xdr:col>4</xdr:col>
      <xdr:colOff>1077674</xdr:colOff>
      <xdr:row>2152</xdr:row>
      <xdr:rowOff>0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CxnSpPr/>
      </xdr:nvCxnSpPr>
      <xdr:spPr>
        <a:xfrm>
          <a:off x="125174" y="107527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2199</xdr:row>
      <xdr:rowOff>209550</xdr:rowOff>
    </xdr:from>
    <xdr:to>
      <xdr:col>4</xdr:col>
      <xdr:colOff>1068149</xdr:colOff>
      <xdr:row>2199</xdr:row>
      <xdr:rowOff>209550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CxnSpPr/>
      </xdr:nvCxnSpPr>
      <xdr:spPr>
        <a:xfrm>
          <a:off x="115649" y="19954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2198</xdr:row>
      <xdr:rowOff>0</xdr:rowOff>
    </xdr:from>
    <xdr:to>
      <xdr:col>4</xdr:col>
      <xdr:colOff>1067091</xdr:colOff>
      <xdr:row>2198</xdr:row>
      <xdr:rowOff>1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CxnSpPr/>
      </xdr:nvCxnSpPr>
      <xdr:spPr>
        <a:xfrm>
          <a:off x="135758" y="19516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2197</xdr:row>
      <xdr:rowOff>0</xdr:rowOff>
    </xdr:from>
    <xdr:to>
      <xdr:col>4</xdr:col>
      <xdr:colOff>1067091</xdr:colOff>
      <xdr:row>2197</xdr:row>
      <xdr:rowOff>0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CxnSpPr/>
      </xdr:nvCxnSpPr>
      <xdr:spPr>
        <a:xfrm>
          <a:off x="135758" y="19288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2199</xdr:row>
      <xdr:rowOff>0</xdr:rowOff>
    </xdr:from>
    <xdr:to>
      <xdr:col>4</xdr:col>
      <xdr:colOff>1077674</xdr:colOff>
      <xdr:row>2199</xdr:row>
      <xdr:rowOff>0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CxnSpPr/>
      </xdr:nvCxnSpPr>
      <xdr:spPr>
        <a:xfrm>
          <a:off x="125174" y="19745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2246</xdr:row>
      <xdr:rowOff>209550</xdr:rowOff>
    </xdr:from>
    <xdr:to>
      <xdr:col>4</xdr:col>
      <xdr:colOff>1068149</xdr:colOff>
      <xdr:row>2246</xdr:row>
      <xdr:rowOff>209550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CxnSpPr/>
      </xdr:nvCxnSpPr>
      <xdr:spPr>
        <a:xfrm>
          <a:off x="115649" y="30927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2245</xdr:row>
      <xdr:rowOff>0</xdr:rowOff>
    </xdr:from>
    <xdr:to>
      <xdr:col>4</xdr:col>
      <xdr:colOff>1067091</xdr:colOff>
      <xdr:row>2245</xdr:row>
      <xdr:rowOff>1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CxnSpPr/>
      </xdr:nvCxnSpPr>
      <xdr:spPr>
        <a:xfrm>
          <a:off x="135758" y="30489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2244</xdr:row>
      <xdr:rowOff>0</xdr:rowOff>
    </xdr:from>
    <xdr:to>
      <xdr:col>4</xdr:col>
      <xdr:colOff>1067091</xdr:colOff>
      <xdr:row>2244</xdr:row>
      <xdr:rowOff>0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CxnSpPr/>
      </xdr:nvCxnSpPr>
      <xdr:spPr>
        <a:xfrm>
          <a:off x="135758" y="30260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2246</xdr:row>
      <xdr:rowOff>0</xdr:rowOff>
    </xdr:from>
    <xdr:to>
      <xdr:col>4</xdr:col>
      <xdr:colOff>1077674</xdr:colOff>
      <xdr:row>2246</xdr:row>
      <xdr:rowOff>0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CxnSpPr/>
      </xdr:nvCxnSpPr>
      <xdr:spPr>
        <a:xfrm>
          <a:off x="125174" y="30718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2293</xdr:row>
      <xdr:rowOff>209550</xdr:rowOff>
    </xdr:from>
    <xdr:to>
      <xdr:col>4</xdr:col>
      <xdr:colOff>1068149</xdr:colOff>
      <xdr:row>2293</xdr:row>
      <xdr:rowOff>209550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CxnSpPr/>
      </xdr:nvCxnSpPr>
      <xdr:spPr>
        <a:xfrm>
          <a:off x="115649" y="41900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2292</xdr:row>
      <xdr:rowOff>0</xdr:rowOff>
    </xdr:from>
    <xdr:to>
      <xdr:col>4</xdr:col>
      <xdr:colOff>1067091</xdr:colOff>
      <xdr:row>2292</xdr:row>
      <xdr:rowOff>1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CxnSpPr/>
      </xdr:nvCxnSpPr>
      <xdr:spPr>
        <a:xfrm>
          <a:off x="135758" y="41462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2291</xdr:row>
      <xdr:rowOff>0</xdr:rowOff>
    </xdr:from>
    <xdr:to>
      <xdr:col>4</xdr:col>
      <xdr:colOff>1067091</xdr:colOff>
      <xdr:row>2291</xdr:row>
      <xdr:rowOff>0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CxnSpPr/>
      </xdr:nvCxnSpPr>
      <xdr:spPr>
        <a:xfrm>
          <a:off x="135758" y="41233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2293</xdr:row>
      <xdr:rowOff>0</xdr:rowOff>
    </xdr:from>
    <xdr:to>
      <xdr:col>4</xdr:col>
      <xdr:colOff>1077674</xdr:colOff>
      <xdr:row>2293</xdr:row>
      <xdr:rowOff>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CxnSpPr/>
      </xdr:nvCxnSpPr>
      <xdr:spPr>
        <a:xfrm>
          <a:off x="125174" y="41690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2340</xdr:row>
      <xdr:rowOff>209550</xdr:rowOff>
    </xdr:from>
    <xdr:to>
      <xdr:col>4</xdr:col>
      <xdr:colOff>1068149</xdr:colOff>
      <xdr:row>2340</xdr:row>
      <xdr:rowOff>209550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CxnSpPr/>
      </xdr:nvCxnSpPr>
      <xdr:spPr>
        <a:xfrm>
          <a:off x="115649" y="52873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2339</xdr:row>
      <xdr:rowOff>0</xdr:rowOff>
    </xdr:from>
    <xdr:to>
      <xdr:col>4</xdr:col>
      <xdr:colOff>1067091</xdr:colOff>
      <xdr:row>2339</xdr:row>
      <xdr:rowOff>1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CxnSpPr/>
      </xdr:nvCxnSpPr>
      <xdr:spPr>
        <a:xfrm>
          <a:off x="135758" y="52435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2338</xdr:row>
      <xdr:rowOff>0</xdr:rowOff>
    </xdr:from>
    <xdr:to>
      <xdr:col>4</xdr:col>
      <xdr:colOff>1067091</xdr:colOff>
      <xdr:row>2338</xdr:row>
      <xdr:rowOff>0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CxnSpPr/>
      </xdr:nvCxnSpPr>
      <xdr:spPr>
        <a:xfrm>
          <a:off x="135758" y="52206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2340</xdr:row>
      <xdr:rowOff>0</xdr:rowOff>
    </xdr:from>
    <xdr:to>
      <xdr:col>4</xdr:col>
      <xdr:colOff>1077674</xdr:colOff>
      <xdr:row>2340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CxnSpPr/>
      </xdr:nvCxnSpPr>
      <xdr:spPr>
        <a:xfrm>
          <a:off x="125174" y="52663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2387</xdr:row>
      <xdr:rowOff>209550</xdr:rowOff>
    </xdr:from>
    <xdr:to>
      <xdr:col>4</xdr:col>
      <xdr:colOff>1068149</xdr:colOff>
      <xdr:row>2387</xdr:row>
      <xdr:rowOff>209550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CxnSpPr/>
      </xdr:nvCxnSpPr>
      <xdr:spPr>
        <a:xfrm>
          <a:off x="115649" y="638460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2386</xdr:row>
      <xdr:rowOff>0</xdr:rowOff>
    </xdr:from>
    <xdr:to>
      <xdr:col>4</xdr:col>
      <xdr:colOff>1067091</xdr:colOff>
      <xdr:row>2386</xdr:row>
      <xdr:rowOff>1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CxnSpPr/>
      </xdr:nvCxnSpPr>
      <xdr:spPr>
        <a:xfrm>
          <a:off x="135758" y="634079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2385</xdr:row>
      <xdr:rowOff>0</xdr:rowOff>
    </xdr:from>
    <xdr:to>
      <xdr:col>4</xdr:col>
      <xdr:colOff>1067091</xdr:colOff>
      <xdr:row>2385</xdr:row>
      <xdr:rowOff>0</xdr:rowOff>
    </xdr:to>
    <xdr:cxnSp macro="">
      <xdr:nvCxnSpPr>
        <xdr:cNvPr id="205" name="Straight Connector 204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CxnSpPr/>
      </xdr:nvCxnSpPr>
      <xdr:spPr>
        <a:xfrm>
          <a:off x="135758" y="631793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2387</xdr:row>
      <xdr:rowOff>0</xdr:rowOff>
    </xdr:from>
    <xdr:to>
      <xdr:col>4</xdr:col>
      <xdr:colOff>1077674</xdr:colOff>
      <xdr:row>2387</xdr:row>
      <xdr:rowOff>0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CxnSpPr/>
      </xdr:nvCxnSpPr>
      <xdr:spPr>
        <a:xfrm>
          <a:off x="125174" y="636365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2434</xdr:row>
      <xdr:rowOff>209550</xdr:rowOff>
    </xdr:from>
    <xdr:to>
      <xdr:col>4</xdr:col>
      <xdr:colOff>1068149</xdr:colOff>
      <xdr:row>2434</xdr:row>
      <xdr:rowOff>209550</xdr:rowOff>
    </xdr:to>
    <xdr:cxnSp macro="">
      <xdr:nvCxnSpPr>
        <xdr:cNvPr id="207" name="Straight Connector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CxnSpPr/>
      </xdr:nvCxnSpPr>
      <xdr:spPr>
        <a:xfrm>
          <a:off x="115649" y="748188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2433</xdr:row>
      <xdr:rowOff>0</xdr:rowOff>
    </xdr:from>
    <xdr:to>
      <xdr:col>4</xdr:col>
      <xdr:colOff>1067091</xdr:colOff>
      <xdr:row>2433</xdr:row>
      <xdr:rowOff>1</xdr:rowOff>
    </xdr:to>
    <xdr:cxnSp macro="">
      <xdr:nvCxnSpPr>
        <xdr:cNvPr id="208" name="Straight Connector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CxnSpPr/>
      </xdr:nvCxnSpPr>
      <xdr:spPr>
        <a:xfrm>
          <a:off x="135758" y="743807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2432</xdr:row>
      <xdr:rowOff>0</xdr:rowOff>
    </xdr:from>
    <xdr:to>
      <xdr:col>4</xdr:col>
      <xdr:colOff>1067091</xdr:colOff>
      <xdr:row>2432</xdr:row>
      <xdr:rowOff>0</xdr:rowOff>
    </xdr:to>
    <xdr:cxnSp macro="">
      <xdr:nvCxnSpPr>
        <xdr:cNvPr id="209" name="Straight Connector 208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CxnSpPr/>
      </xdr:nvCxnSpPr>
      <xdr:spPr>
        <a:xfrm>
          <a:off x="135758" y="741521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2434</xdr:row>
      <xdr:rowOff>0</xdr:rowOff>
    </xdr:from>
    <xdr:to>
      <xdr:col>4</xdr:col>
      <xdr:colOff>1077674</xdr:colOff>
      <xdr:row>2434</xdr:row>
      <xdr:rowOff>0</xdr:rowOff>
    </xdr:to>
    <xdr:cxnSp macro="">
      <xdr:nvCxnSpPr>
        <xdr:cNvPr id="210" name="Straight Connector 209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CxnSpPr/>
      </xdr:nvCxnSpPr>
      <xdr:spPr>
        <a:xfrm>
          <a:off x="125174" y="746093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2481</xdr:row>
      <xdr:rowOff>209550</xdr:rowOff>
    </xdr:from>
    <xdr:to>
      <xdr:col>4</xdr:col>
      <xdr:colOff>1068149</xdr:colOff>
      <xdr:row>2481</xdr:row>
      <xdr:rowOff>209550</xdr:rowOff>
    </xdr:to>
    <xdr:cxnSp macro="">
      <xdr:nvCxnSpPr>
        <xdr:cNvPr id="211" name="Straight Connector 210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CxnSpPr/>
      </xdr:nvCxnSpPr>
      <xdr:spPr>
        <a:xfrm>
          <a:off x="115649" y="857916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2480</xdr:row>
      <xdr:rowOff>0</xdr:rowOff>
    </xdr:from>
    <xdr:to>
      <xdr:col>4</xdr:col>
      <xdr:colOff>1067091</xdr:colOff>
      <xdr:row>2480</xdr:row>
      <xdr:rowOff>1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CxnSpPr/>
      </xdr:nvCxnSpPr>
      <xdr:spPr>
        <a:xfrm>
          <a:off x="135758" y="853535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2479</xdr:row>
      <xdr:rowOff>0</xdr:rowOff>
    </xdr:from>
    <xdr:to>
      <xdr:col>4</xdr:col>
      <xdr:colOff>1067091</xdr:colOff>
      <xdr:row>2479</xdr:row>
      <xdr:rowOff>0</xdr:rowOff>
    </xdr:to>
    <xdr:cxnSp macro="">
      <xdr:nvCxnSpPr>
        <xdr:cNvPr id="213" name="Straight Connector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CxnSpPr/>
      </xdr:nvCxnSpPr>
      <xdr:spPr>
        <a:xfrm>
          <a:off x="135758" y="851249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2481</xdr:row>
      <xdr:rowOff>0</xdr:rowOff>
    </xdr:from>
    <xdr:to>
      <xdr:col>4</xdr:col>
      <xdr:colOff>1077674</xdr:colOff>
      <xdr:row>2481</xdr:row>
      <xdr:rowOff>0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CxnSpPr/>
      </xdr:nvCxnSpPr>
      <xdr:spPr>
        <a:xfrm>
          <a:off x="125174" y="855821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2528</xdr:row>
      <xdr:rowOff>209550</xdr:rowOff>
    </xdr:from>
    <xdr:to>
      <xdr:col>4</xdr:col>
      <xdr:colOff>1068149</xdr:colOff>
      <xdr:row>2528</xdr:row>
      <xdr:rowOff>209550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CxnSpPr/>
      </xdr:nvCxnSpPr>
      <xdr:spPr>
        <a:xfrm>
          <a:off x="115649" y="967644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2527</xdr:row>
      <xdr:rowOff>0</xdr:rowOff>
    </xdr:from>
    <xdr:to>
      <xdr:col>4</xdr:col>
      <xdr:colOff>1067091</xdr:colOff>
      <xdr:row>2527</xdr:row>
      <xdr:rowOff>1</xdr:rowOff>
    </xdr:to>
    <xdr:cxnSp macro="">
      <xdr:nvCxnSpPr>
        <xdr:cNvPr id="216" name="Straight Connector 215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CxnSpPr/>
      </xdr:nvCxnSpPr>
      <xdr:spPr>
        <a:xfrm>
          <a:off x="135758" y="963263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2526</xdr:row>
      <xdr:rowOff>0</xdr:rowOff>
    </xdr:from>
    <xdr:to>
      <xdr:col>4</xdr:col>
      <xdr:colOff>1067091</xdr:colOff>
      <xdr:row>2526</xdr:row>
      <xdr:rowOff>0</xdr:rowOff>
    </xdr:to>
    <xdr:cxnSp macro="">
      <xdr:nvCxnSpPr>
        <xdr:cNvPr id="217" name="Straight Connector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CxnSpPr/>
      </xdr:nvCxnSpPr>
      <xdr:spPr>
        <a:xfrm>
          <a:off x="135758" y="960977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2528</xdr:row>
      <xdr:rowOff>0</xdr:rowOff>
    </xdr:from>
    <xdr:to>
      <xdr:col>4</xdr:col>
      <xdr:colOff>1077674</xdr:colOff>
      <xdr:row>2528</xdr:row>
      <xdr:rowOff>0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CxnSpPr/>
      </xdr:nvCxnSpPr>
      <xdr:spPr>
        <a:xfrm>
          <a:off x="125174" y="965549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115649</xdr:colOff>
      <xdr:row>2575</xdr:row>
      <xdr:rowOff>209550</xdr:rowOff>
    </xdr:from>
    <xdr:to>
      <xdr:col>4</xdr:col>
      <xdr:colOff>1068149</xdr:colOff>
      <xdr:row>2575</xdr:row>
      <xdr:rowOff>209550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CxnSpPr/>
      </xdr:nvCxnSpPr>
      <xdr:spPr>
        <a:xfrm>
          <a:off x="115649" y="10773727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2574</xdr:row>
      <xdr:rowOff>0</xdr:rowOff>
    </xdr:from>
    <xdr:to>
      <xdr:col>4</xdr:col>
      <xdr:colOff>1067091</xdr:colOff>
      <xdr:row>2574</xdr:row>
      <xdr:rowOff>1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CxnSpPr/>
      </xdr:nvCxnSpPr>
      <xdr:spPr>
        <a:xfrm>
          <a:off x="135758" y="107299125"/>
          <a:ext cx="6351058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135758</xdr:colOff>
      <xdr:row>2573</xdr:row>
      <xdr:rowOff>0</xdr:rowOff>
    </xdr:from>
    <xdr:to>
      <xdr:col>4</xdr:col>
      <xdr:colOff>1067091</xdr:colOff>
      <xdr:row>2573</xdr:row>
      <xdr:rowOff>0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CxnSpPr/>
      </xdr:nvCxnSpPr>
      <xdr:spPr>
        <a:xfrm>
          <a:off x="135758" y="107070525"/>
          <a:ext cx="6351058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125174</xdr:colOff>
      <xdr:row>2575</xdr:row>
      <xdr:rowOff>0</xdr:rowOff>
    </xdr:from>
    <xdr:to>
      <xdr:col>4</xdr:col>
      <xdr:colOff>1077674</xdr:colOff>
      <xdr:row>2575</xdr:row>
      <xdr:rowOff>0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CxnSpPr/>
      </xdr:nvCxnSpPr>
      <xdr:spPr>
        <a:xfrm>
          <a:off x="125174" y="107527725"/>
          <a:ext cx="637222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11</xdr:row>
          <xdr:rowOff>99060</xdr:rowOff>
        </xdr:from>
        <xdr:to>
          <xdr:col>6</xdr:col>
          <xdr:colOff>1684020</xdr:colOff>
          <xdr:row>12</xdr:row>
          <xdr:rowOff>99060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12</xdr:row>
          <xdr:rowOff>190500</xdr:rowOff>
        </xdr:from>
        <xdr:to>
          <xdr:col>6</xdr:col>
          <xdr:colOff>1699260</xdr:colOff>
          <xdr:row>13</xdr:row>
          <xdr:rowOff>228600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Hướng dẫn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2588</xdr:row>
          <xdr:rowOff>38100</xdr:rowOff>
        </xdr:from>
        <xdr:to>
          <xdr:col>3</xdr:col>
          <xdr:colOff>1935480</xdr:colOff>
          <xdr:row>2588</xdr:row>
          <xdr:rowOff>259080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6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đầu trang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22860</xdr:rowOff>
        </xdr:from>
        <xdr:to>
          <xdr:col>3</xdr:col>
          <xdr:colOff>1165860</xdr:colOff>
          <xdr:row>1</xdr:row>
          <xdr:rowOff>114300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6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Kéo lên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1173480</xdr:colOff>
          <xdr:row>0</xdr:row>
          <xdr:rowOff>22860</xdr:rowOff>
        </xdr:from>
        <xdr:to>
          <xdr:col>4</xdr:col>
          <xdr:colOff>106680</xdr:colOff>
          <xdr:row>1</xdr:row>
          <xdr:rowOff>114300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6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trang đầu</a:t>
              </a:r>
            </a:p>
            <a:p>
              <a:pPr algn="ctr" rtl="0">
                <a:defRPr sz="1000"/>
              </a:pPr>
              <a:endPara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0</xdr:row>
          <xdr:rowOff>22860</xdr:rowOff>
        </xdr:from>
        <xdr:to>
          <xdr:col>5</xdr:col>
          <xdr:colOff>83820</xdr:colOff>
          <xdr:row>1</xdr:row>
          <xdr:rowOff>114300</xdr:rowOff>
        </xdr:to>
        <xdr:sp macro="" textlink="">
          <xdr:nvSpPr>
            <xdr:cNvPr id="20489" name="Button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6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Kéo xuống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99060</xdr:rowOff>
        </xdr:from>
        <xdr:to>
          <xdr:col>0</xdr:col>
          <xdr:colOff>906780</xdr:colOff>
          <xdr:row>4</xdr:row>
          <xdr:rowOff>144780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Toán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152400</xdr:rowOff>
        </xdr:from>
        <xdr:to>
          <xdr:col>0</xdr:col>
          <xdr:colOff>906780</xdr:colOff>
          <xdr:row>6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Vật lí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7620</xdr:rowOff>
        </xdr:from>
        <xdr:to>
          <xdr:col>0</xdr:col>
          <xdr:colOff>906780</xdr:colOff>
          <xdr:row>7</xdr:row>
          <xdr:rowOff>45720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Hóa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29</xdr:row>
          <xdr:rowOff>68580</xdr:rowOff>
        </xdr:from>
        <xdr:to>
          <xdr:col>0</xdr:col>
          <xdr:colOff>899160</xdr:colOff>
          <xdr:row>30</xdr:row>
          <xdr:rowOff>114300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7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Hướng dẫn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175260</xdr:rowOff>
        </xdr:from>
        <xdr:to>
          <xdr:col>0</xdr:col>
          <xdr:colOff>906780</xdr:colOff>
          <xdr:row>11</xdr:row>
          <xdr:rowOff>22860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7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Ngữ văn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11</xdr:row>
          <xdr:rowOff>30480</xdr:rowOff>
        </xdr:from>
        <xdr:to>
          <xdr:col>0</xdr:col>
          <xdr:colOff>906780</xdr:colOff>
          <xdr:row>12</xdr:row>
          <xdr:rowOff>76200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7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Lịch sử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83820</xdr:rowOff>
        </xdr:from>
        <xdr:to>
          <xdr:col>0</xdr:col>
          <xdr:colOff>906780</xdr:colOff>
          <xdr:row>13</xdr:row>
          <xdr:rowOff>121920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7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Địa lí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</xdr:row>
          <xdr:rowOff>60960</xdr:rowOff>
        </xdr:from>
        <xdr:to>
          <xdr:col>0</xdr:col>
          <xdr:colOff>906780</xdr:colOff>
          <xdr:row>8</xdr:row>
          <xdr:rowOff>106680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7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Sinh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14</xdr:row>
          <xdr:rowOff>182880</xdr:rowOff>
        </xdr:from>
        <xdr:to>
          <xdr:col>0</xdr:col>
          <xdr:colOff>906780</xdr:colOff>
          <xdr:row>16</xdr:row>
          <xdr:rowOff>30480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7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GDCD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38100</xdr:rowOff>
        </xdr:from>
        <xdr:to>
          <xdr:col>0</xdr:col>
          <xdr:colOff>906780</xdr:colOff>
          <xdr:row>17</xdr:row>
          <xdr:rowOff>83820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7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Công nghệ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17</xdr:row>
          <xdr:rowOff>99060</xdr:rowOff>
        </xdr:from>
        <xdr:to>
          <xdr:col>0</xdr:col>
          <xdr:colOff>906780</xdr:colOff>
          <xdr:row>18</xdr:row>
          <xdr:rowOff>137160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7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Thể dục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137160</xdr:rowOff>
        </xdr:from>
        <xdr:to>
          <xdr:col>0</xdr:col>
          <xdr:colOff>906780</xdr:colOff>
          <xdr:row>14</xdr:row>
          <xdr:rowOff>182880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7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Anh văn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18</xdr:row>
          <xdr:rowOff>144780</xdr:rowOff>
        </xdr:from>
        <xdr:to>
          <xdr:col>0</xdr:col>
          <xdr:colOff>906780</xdr:colOff>
          <xdr:row>19</xdr:row>
          <xdr:rowOff>190500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7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GGPQ-AN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114300</xdr:rowOff>
        </xdr:from>
        <xdr:to>
          <xdr:col>0</xdr:col>
          <xdr:colOff>906780</xdr:colOff>
          <xdr:row>9</xdr:row>
          <xdr:rowOff>160020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7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Tin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24</xdr:row>
          <xdr:rowOff>182880</xdr:rowOff>
        </xdr:from>
        <xdr:to>
          <xdr:col>0</xdr:col>
          <xdr:colOff>906780</xdr:colOff>
          <xdr:row>26</xdr:row>
          <xdr:rowOff>22860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7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 phiếu điểm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0</xdr:rowOff>
        </xdr:from>
        <xdr:to>
          <xdr:col>0</xdr:col>
          <xdr:colOff>906780</xdr:colOff>
          <xdr:row>21</xdr:row>
          <xdr:rowOff>45720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7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Nghề 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27</xdr:row>
          <xdr:rowOff>7620</xdr:rowOff>
        </xdr:from>
        <xdr:to>
          <xdr:col>0</xdr:col>
          <xdr:colOff>899160</xdr:colOff>
          <xdr:row>28</xdr:row>
          <xdr:rowOff>60960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7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Xóa hết điểm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21</xdr:row>
          <xdr:rowOff>60960</xdr:rowOff>
        </xdr:from>
        <xdr:to>
          <xdr:col>0</xdr:col>
          <xdr:colOff>906780</xdr:colOff>
          <xdr:row>22</xdr:row>
          <xdr:rowOff>106680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7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Ghi nhận xét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</xdr:row>
          <xdr:rowOff>60960</xdr:rowOff>
        </xdr:from>
        <xdr:to>
          <xdr:col>16</xdr:col>
          <xdr:colOff>518160</xdr:colOff>
          <xdr:row>3</xdr:row>
          <xdr:rowOff>220980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8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HKII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60960</xdr:colOff>
          <xdr:row>1</xdr:row>
          <xdr:rowOff>0</xdr:rowOff>
        </xdr:from>
        <xdr:to>
          <xdr:col>24</xdr:col>
          <xdr:colOff>426720</xdr:colOff>
          <xdr:row>2</xdr:row>
          <xdr:rowOff>114300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HKII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68580</xdr:colOff>
          <xdr:row>1</xdr:row>
          <xdr:rowOff>38100</xdr:rowOff>
        </xdr:from>
        <xdr:to>
          <xdr:col>24</xdr:col>
          <xdr:colOff>441960</xdr:colOff>
          <xdr:row>2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HKII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373380</xdr:colOff>
          <xdr:row>62</xdr:row>
          <xdr:rowOff>76200</xdr:rowOff>
        </xdr:from>
        <xdr:to>
          <xdr:col>60</xdr:col>
          <xdr:colOff>83820</xdr:colOff>
          <xdr:row>63</xdr:row>
          <xdr:rowOff>114300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175260</xdr:colOff>
          <xdr:row>1</xdr:row>
          <xdr:rowOff>76200</xdr:rowOff>
        </xdr:from>
        <xdr:to>
          <xdr:col>52</xdr:col>
          <xdr:colOff>60960</xdr:colOff>
          <xdr:row>2</xdr:row>
          <xdr:rowOff>182880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HKII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219075</xdr:rowOff>
    </xdr:from>
    <xdr:to>
      <xdr:col>18</xdr:col>
      <xdr:colOff>342900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6219825" y="219075"/>
          <a:ext cx="790575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Times New Roman"/>
              <a:cs typeface="Times New Roman"/>
            </a:rPr>
            <a:t>MẪU 2</a:t>
          </a:r>
        </a:p>
      </xdr:txBody>
    </xdr:sp>
    <xdr:clientData/>
  </xdr:twoCellAnchor>
  <xdr:twoCellAnchor>
    <xdr:from>
      <xdr:col>0</xdr:col>
      <xdr:colOff>76200</xdr:colOff>
      <xdr:row>43</xdr:row>
      <xdr:rowOff>104775</xdr:rowOff>
    </xdr:from>
    <xdr:to>
      <xdr:col>10</xdr:col>
      <xdr:colOff>123825</xdr:colOff>
      <xdr:row>47</xdr:row>
      <xdr:rowOff>47625</xdr:rowOff>
    </xdr:to>
    <xdr:sp macro="" textlink="">
      <xdr:nvSpPr>
        <xdr:cNvPr id="3" name="Text Box 5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76200" y="9363075"/>
          <a:ext cx="3609975" cy="9525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1">
            <a:defRPr sz="1000"/>
          </a:pPr>
          <a:r>
            <a:rPr lang="vi-VN" sz="1100" b="0" i="0" strike="noStrike">
              <a:solidFill>
                <a:srgbClr val="000000"/>
              </a:solidFill>
            </a:rPr>
            <a:t> </a:t>
          </a:r>
          <a:r>
            <a:rPr lang="vi-VN" sz="1100" b="1" i="0" strike="noStrike">
              <a:solidFill>
                <a:srgbClr val="000000"/>
              </a:solidFill>
              <a:latin typeface="+mj-lt"/>
            </a:rPr>
            <a:t>Ghi chú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:</a:t>
          </a:r>
        </a:p>
        <a:p>
          <a:pPr algn="l" rtl="1">
            <a:defRPr sz="1000"/>
          </a:pPr>
          <a:r>
            <a:rPr lang="vi-VN" sz="1100" b="0" i="0" strike="noStrike">
              <a:solidFill>
                <a:srgbClr val="000000"/>
              </a:solidFill>
              <a:latin typeface="+mj-lt"/>
            </a:rPr>
            <a:t>- Xếp loại học lực như sau:</a:t>
          </a:r>
        </a:p>
        <a:p>
          <a:pPr algn="l" rtl="1">
            <a:defRPr sz="1000"/>
          </a:pPr>
          <a:r>
            <a:rPr lang="en-US" sz="1100" b="0" i="0" strike="noStrike">
              <a:solidFill>
                <a:srgbClr val="000000"/>
              </a:solidFill>
              <a:latin typeface="+mj-lt"/>
            </a:rPr>
            <a:t>        </a:t>
          </a:r>
          <a:r>
            <a:rPr lang="vi-VN" sz="1100" b="1" i="0" strike="noStrike">
              <a:solidFill>
                <a:srgbClr val="000000"/>
              </a:solidFill>
              <a:latin typeface="+mj-lt"/>
            </a:rPr>
            <a:t>Giỏi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: 8đ </a:t>
          </a:r>
          <a:r>
            <a:rPr lang="en-US" sz="1100" b="0" i="0" strike="noStrike" baseline="0">
              <a:solidFill>
                <a:srgbClr val="000000"/>
              </a:solidFill>
              <a:latin typeface="+mj-lt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+mj-lt"/>
              <a:sym typeface="Wingdings 3"/>
            </a:rPr>
            <a:t> 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10đ ; </a:t>
          </a:r>
          <a:r>
            <a:rPr lang="vi-VN" sz="1100" b="1" i="0" strike="noStrike">
              <a:solidFill>
                <a:srgbClr val="000000"/>
              </a:solidFill>
              <a:latin typeface="+mj-lt"/>
            </a:rPr>
            <a:t>Khá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: 6,5đ </a:t>
          </a:r>
          <a:r>
            <a:rPr lang="vi-VN" sz="1100" b="0" i="0" strike="noStrike">
              <a:solidFill>
                <a:srgbClr val="000000"/>
              </a:solidFill>
              <a:latin typeface="+mj-lt"/>
              <a:sym typeface="Wingdings 3"/>
            </a:rPr>
            <a:t></a:t>
          </a:r>
          <a:r>
            <a:rPr lang="en-US" sz="1100" b="0" i="0" strike="noStrike">
              <a:solidFill>
                <a:srgbClr val="000000"/>
              </a:solidFill>
              <a:latin typeface="+mj-lt"/>
              <a:sym typeface="Wingdings 3"/>
            </a:rPr>
            <a:t> 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7,9đ ; </a:t>
          </a:r>
          <a:r>
            <a:rPr lang="vi-VN" sz="1100" b="1" i="0" strike="noStrike">
              <a:solidFill>
                <a:srgbClr val="000000"/>
              </a:solidFill>
              <a:latin typeface="+mj-lt"/>
            </a:rPr>
            <a:t>T.bình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: 5đ </a:t>
          </a:r>
          <a:r>
            <a:rPr lang="vi-VN" sz="1100" b="0" i="0" strike="noStrike">
              <a:solidFill>
                <a:srgbClr val="000000"/>
              </a:solidFill>
              <a:latin typeface="+mj-lt"/>
              <a:sym typeface="Wingdings 3"/>
            </a:rPr>
            <a:t></a:t>
          </a:r>
          <a:r>
            <a:rPr lang="en-US" sz="1100" b="0" i="0" strike="noStrike">
              <a:solidFill>
                <a:srgbClr val="000000"/>
              </a:solidFill>
              <a:latin typeface="+mj-lt"/>
              <a:sym typeface="Wingdings 3"/>
            </a:rPr>
            <a:t>  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6,4đ</a:t>
          </a:r>
          <a:endParaRPr lang="vi-VN" sz="1100" b="0" i="0" strike="noStrike">
            <a:solidFill>
              <a:srgbClr val="000000"/>
            </a:solidFill>
            <a:latin typeface="+mj-lt"/>
            <a:cs typeface="Times New Roman"/>
          </a:endParaRPr>
        </a:p>
        <a:p>
          <a:pPr algn="l" rtl="1">
            <a:defRPr sz="1000"/>
          </a:pPr>
          <a:r>
            <a:rPr lang="en-US" sz="1100" b="0" i="0" strike="noStrike">
              <a:solidFill>
                <a:srgbClr val="000000"/>
              </a:solidFill>
              <a:latin typeface="+mj-lt"/>
            </a:rPr>
            <a:t>        </a:t>
          </a:r>
          <a:r>
            <a:rPr lang="vi-VN" sz="1100" b="1" i="0" strike="noStrike">
              <a:solidFill>
                <a:srgbClr val="000000"/>
              </a:solidFill>
              <a:latin typeface="+mj-lt"/>
            </a:rPr>
            <a:t>Yếu: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 3,5đ </a:t>
          </a:r>
          <a:r>
            <a:rPr lang="vi-VN" sz="1100" b="0" i="0" strike="noStrike">
              <a:solidFill>
                <a:srgbClr val="000000"/>
              </a:solidFill>
              <a:latin typeface="+mj-lt"/>
              <a:sym typeface="Wingdings 3"/>
            </a:rPr>
            <a:t>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 4,9đ ; </a:t>
          </a:r>
          <a:r>
            <a:rPr lang="vi-VN" sz="1100" b="1" i="0" strike="noStrike">
              <a:solidFill>
                <a:srgbClr val="000000"/>
              </a:solidFill>
              <a:latin typeface="+mj-lt"/>
            </a:rPr>
            <a:t>Kém</a:t>
          </a:r>
          <a:r>
            <a:rPr lang="vi-VN" sz="1100" b="0" i="0" strike="noStrike">
              <a:solidFill>
                <a:srgbClr val="000000"/>
              </a:solidFill>
              <a:latin typeface="+mj-lt"/>
            </a:rPr>
            <a:t>: Các trường hợp còn lại</a:t>
          </a:r>
          <a:r>
            <a:rPr lang="en-US" sz="1100" b="0" i="0" strike="noStrike">
              <a:solidFill>
                <a:srgbClr val="000000"/>
              </a:solidFill>
              <a:latin typeface="+mj-lt"/>
            </a:rPr>
            <a:t>.</a:t>
          </a:r>
          <a:endParaRPr lang="vi-VN" sz="1100" b="0" i="0" strike="noStrike">
            <a:solidFill>
              <a:srgbClr val="000000"/>
            </a:solidFill>
            <a:latin typeface="+mj-lt"/>
          </a:endParaRPr>
        </a:p>
        <a:p>
          <a:pPr algn="l" rtl="1">
            <a:defRPr sz="1000"/>
          </a:pPr>
          <a:r>
            <a:rPr lang="vi-VN" sz="1100" b="0" i="0" strike="noStrike">
              <a:solidFill>
                <a:srgbClr val="000000"/>
              </a:solidFill>
              <a:latin typeface="+mj-lt"/>
            </a:rPr>
            <a:t>- Gởi bản chính này cho học vụ cơ sở 1 đúng ngày quy định</a:t>
          </a:r>
          <a:r>
            <a:rPr lang="en-US" sz="1100" b="0" i="0" strike="noStrike">
              <a:solidFill>
                <a:srgbClr val="000000"/>
              </a:solidFill>
              <a:latin typeface="+mj-lt"/>
            </a:rPr>
            <a:t>.</a:t>
          </a:r>
          <a:endParaRPr lang="vi-VN" sz="1100" b="0" i="0" strike="noStrike">
            <a:solidFill>
              <a:srgbClr val="000000"/>
            </a:solidFill>
            <a:latin typeface="+mj-lt"/>
          </a:endParaRPr>
        </a:p>
        <a:p>
          <a:pPr algn="l" rtl="1">
            <a:defRPr sz="1000"/>
          </a:pPr>
          <a:endParaRPr lang="vi-VN" sz="1100" b="0" i="0" strike="noStrike">
            <a:solidFill>
              <a:srgbClr val="000000"/>
            </a:solidFill>
            <a:latin typeface="+mj-lt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28</xdr:row>
      <xdr:rowOff>0</xdr:rowOff>
    </xdr:from>
    <xdr:to>
      <xdr:col>12</xdr:col>
      <xdr:colOff>0</xdr:colOff>
      <xdr:row>28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>
        <a:xfrm>
          <a:off x="3495675" y="7010400"/>
          <a:ext cx="3000375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29</xdr:row>
      <xdr:rowOff>0</xdr:rowOff>
    </xdr:from>
    <xdr:to>
      <xdr:col>12</xdr:col>
      <xdr:colOff>9525</xdr:colOff>
      <xdr:row>29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>
        <a:xfrm>
          <a:off x="3495675" y="7267575"/>
          <a:ext cx="3009900" cy="0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</xdr:colOff>
      <xdr:row>30</xdr:row>
      <xdr:rowOff>0</xdr:rowOff>
    </xdr:from>
    <xdr:to>
      <xdr:col>12</xdr:col>
      <xdr:colOff>19050</xdr:colOff>
      <xdr:row>30</xdr:row>
      <xdr:rowOff>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 flipV="1">
          <a:off x="3505200" y="7524750"/>
          <a:ext cx="3009900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297180</xdr:colOff>
          <xdr:row>31</xdr:row>
          <xdr:rowOff>22860</xdr:rowOff>
        </xdr:from>
        <xdr:to>
          <xdr:col>14</xdr:col>
          <xdr:colOff>1722120</xdr:colOff>
          <xdr:row>32</xdr:row>
          <xdr:rowOff>76200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Ghi nhận xét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289560</xdr:colOff>
          <xdr:row>5</xdr:row>
          <xdr:rowOff>68580</xdr:rowOff>
        </xdr:from>
        <xdr:to>
          <xdr:col>14</xdr:col>
          <xdr:colOff>1699260</xdr:colOff>
          <xdr:row>6</xdr:row>
          <xdr:rowOff>198120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95250</xdr:colOff>
      <xdr:row>30</xdr:row>
      <xdr:rowOff>247650</xdr:rowOff>
    </xdr:from>
    <xdr:to>
      <xdr:col>12</xdr:col>
      <xdr:colOff>19050</xdr:colOff>
      <xdr:row>30</xdr:row>
      <xdr:rowOff>247651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CxnSpPr/>
      </xdr:nvCxnSpPr>
      <xdr:spPr>
        <a:xfrm flipV="1">
          <a:off x="3505200" y="7772400"/>
          <a:ext cx="3009900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904875</xdr:colOff>
      <xdr:row>3</xdr:row>
      <xdr:rowOff>0</xdr:rowOff>
    </xdr:from>
    <xdr:to>
      <xdr:col>5</xdr:col>
      <xdr:colOff>257175</xdr:colOff>
      <xdr:row>3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>
        <a:xfrm>
          <a:off x="4086225" y="504825"/>
          <a:ext cx="15811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3</xdr:row>
      <xdr:rowOff>9525</xdr:rowOff>
    </xdr:from>
    <xdr:to>
      <xdr:col>2</xdr:col>
      <xdr:colOff>400050</xdr:colOff>
      <xdr:row>3</xdr:row>
      <xdr:rowOff>9525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CxnSpPr/>
      </xdr:nvCxnSpPr>
      <xdr:spPr>
        <a:xfrm>
          <a:off x="733425" y="514350"/>
          <a:ext cx="17335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32</xdr:row>
      <xdr:rowOff>180975</xdr:rowOff>
    </xdr:from>
    <xdr:to>
      <xdr:col>6</xdr:col>
      <xdr:colOff>0</xdr:colOff>
      <xdr:row>32</xdr:row>
      <xdr:rowOff>180976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CxnSpPr/>
      </xdr:nvCxnSpPr>
      <xdr:spPr>
        <a:xfrm flipV="1">
          <a:off x="221483" y="782002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33</xdr:row>
      <xdr:rowOff>190500</xdr:rowOff>
    </xdr:from>
    <xdr:to>
      <xdr:col>5</xdr:col>
      <xdr:colOff>1112017</xdr:colOff>
      <xdr:row>33</xdr:row>
      <xdr:rowOff>190501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CxnSpPr/>
      </xdr:nvCxnSpPr>
      <xdr:spPr>
        <a:xfrm flipV="1">
          <a:off x="219075" y="8067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34</xdr:row>
      <xdr:rowOff>180975</xdr:rowOff>
    </xdr:from>
    <xdr:to>
      <xdr:col>5</xdr:col>
      <xdr:colOff>1112017</xdr:colOff>
      <xdr:row>34</xdr:row>
      <xdr:rowOff>180976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CxnSpPr/>
      </xdr:nvCxnSpPr>
      <xdr:spPr>
        <a:xfrm flipV="1">
          <a:off x="219075" y="8296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35</xdr:row>
      <xdr:rowOff>180975</xdr:rowOff>
    </xdr:from>
    <xdr:to>
      <xdr:col>5</xdr:col>
      <xdr:colOff>1102492</xdr:colOff>
      <xdr:row>35</xdr:row>
      <xdr:rowOff>180976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CxnSpPr/>
      </xdr:nvCxnSpPr>
      <xdr:spPr>
        <a:xfrm flipV="1">
          <a:off x="209550" y="85344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48</xdr:row>
      <xdr:rowOff>0</xdr:rowOff>
    </xdr:from>
    <xdr:to>
      <xdr:col>5</xdr:col>
      <xdr:colOff>257175</xdr:colOff>
      <xdr:row>48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CxnSpPr/>
      </xdr:nvCxnSpPr>
      <xdr:spPr>
        <a:xfrm>
          <a:off x="4019550" y="504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48</xdr:row>
      <xdr:rowOff>9525</xdr:rowOff>
    </xdr:from>
    <xdr:to>
      <xdr:col>2</xdr:col>
      <xdr:colOff>400050</xdr:colOff>
      <xdr:row>48</xdr:row>
      <xdr:rowOff>9525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CxnSpPr/>
      </xdr:nvCxnSpPr>
      <xdr:spPr>
        <a:xfrm>
          <a:off x="742950" y="514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77</xdr:row>
      <xdr:rowOff>180975</xdr:rowOff>
    </xdr:from>
    <xdr:to>
      <xdr:col>6</xdr:col>
      <xdr:colOff>0</xdr:colOff>
      <xdr:row>77</xdr:row>
      <xdr:rowOff>180976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CxnSpPr/>
      </xdr:nvCxnSpPr>
      <xdr:spPr>
        <a:xfrm flipV="1">
          <a:off x="221483" y="8039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78</xdr:row>
      <xdr:rowOff>190500</xdr:rowOff>
    </xdr:from>
    <xdr:to>
      <xdr:col>5</xdr:col>
      <xdr:colOff>1112017</xdr:colOff>
      <xdr:row>78</xdr:row>
      <xdr:rowOff>190501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CxnSpPr/>
      </xdr:nvCxnSpPr>
      <xdr:spPr>
        <a:xfrm flipV="1">
          <a:off x="219075" y="8286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79</xdr:row>
      <xdr:rowOff>180975</xdr:rowOff>
    </xdr:from>
    <xdr:to>
      <xdr:col>5</xdr:col>
      <xdr:colOff>1112017</xdr:colOff>
      <xdr:row>79</xdr:row>
      <xdr:rowOff>180976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CxnSpPr/>
      </xdr:nvCxnSpPr>
      <xdr:spPr>
        <a:xfrm flipV="1">
          <a:off x="219075" y="8515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80</xdr:row>
      <xdr:rowOff>180975</xdr:rowOff>
    </xdr:from>
    <xdr:to>
      <xdr:col>5</xdr:col>
      <xdr:colOff>1102492</xdr:colOff>
      <xdr:row>80</xdr:row>
      <xdr:rowOff>180976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CxnSpPr/>
      </xdr:nvCxnSpPr>
      <xdr:spPr>
        <a:xfrm flipV="1">
          <a:off x="209550" y="8753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93</xdr:row>
      <xdr:rowOff>0</xdr:rowOff>
    </xdr:from>
    <xdr:to>
      <xdr:col>5</xdr:col>
      <xdr:colOff>257175</xdr:colOff>
      <xdr:row>93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93</xdr:row>
      <xdr:rowOff>9525</xdr:rowOff>
    </xdr:from>
    <xdr:to>
      <xdr:col>2</xdr:col>
      <xdr:colOff>400050</xdr:colOff>
      <xdr:row>93</xdr:row>
      <xdr:rowOff>9525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122</xdr:row>
      <xdr:rowOff>180975</xdr:rowOff>
    </xdr:from>
    <xdr:to>
      <xdr:col>6</xdr:col>
      <xdr:colOff>0</xdr:colOff>
      <xdr:row>122</xdr:row>
      <xdr:rowOff>180976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123</xdr:row>
      <xdr:rowOff>190500</xdr:rowOff>
    </xdr:from>
    <xdr:to>
      <xdr:col>5</xdr:col>
      <xdr:colOff>1112017</xdr:colOff>
      <xdr:row>123</xdr:row>
      <xdr:rowOff>190501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124</xdr:row>
      <xdr:rowOff>180975</xdr:rowOff>
    </xdr:from>
    <xdr:to>
      <xdr:col>5</xdr:col>
      <xdr:colOff>1112017</xdr:colOff>
      <xdr:row>124</xdr:row>
      <xdr:rowOff>180976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125</xdr:row>
      <xdr:rowOff>180975</xdr:rowOff>
    </xdr:from>
    <xdr:to>
      <xdr:col>5</xdr:col>
      <xdr:colOff>1102492</xdr:colOff>
      <xdr:row>125</xdr:row>
      <xdr:rowOff>180976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138</xdr:row>
      <xdr:rowOff>0</xdr:rowOff>
    </xdr:from>
    <xdr:to>
      <xdr:col>5</xdr:col>
      <xdr:colOff>257175</xdr:colOff>
      <xdr:row>138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138</xdr:row>
      <xdr:rowOff>9525</xdr:rowOff>
    </xdr:from>
    <xdr:to>
      <xdr:col>2</xdr:col>
      <xdr:colOff>400050</xdr:colOff>
      <xdr:row>138</xdr:row>
      <xdr:rowOff>9525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167</xdr:row>
      <xdr:rowOff>180975</xdr:rowOff>
    </xdr:from>
    <xdr:to>
      <xdr:col>6</xdr:col>
      <xdr:colOff>0</xdr:colOff>
      <xdr:row>167</xdr:row>
      <xdr:rowOff>180976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168</xdr:row>
      <xdr:rowOff>190500</xdr:rowOff>
    </xdr:from>
    <xdr:to>
      <xdr:col>5</xdr:col>
      <xdr:colOff>1112017</xdr:colOff>
      <xdr:row>168</xdr:row>
      <xdr:rowOff>190501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169</xdr:row>
      <xdr:rowOff>180975</xdr:rowOff>
    </xdr:from>
    <xdr:to>
      <xdr:col>5</xdr:col>
      <xdr:colOff>1112017</xdr:colOff>
      <xdr:row>169</xdr:row>
      <xdr:rowOff>180976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170</xdr:row>
      <xdr:rowOff>180975</xdr:rowOff>
    </xdr:from>
    <xdr:to>
      <xdr:col>5</xdr:col>
      <xdr:colOff>1102492</xdr:colOff>
      <xdr:row>170</xdr:row>
      <xdr:rowOff>180976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183</xdr:row>
      <xdr:rowOff>0</xdr:rowOff>
    </xdr:from>
    <xdr:to>
      <xdr:col>5</xdr:col>
      <xdr:colOff>257175</xdr:colOff>
      <xdr:row>183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183</xdr:row>
      <xdr:rowOff>9525</xdr:rowOff>
    </xdr:from>
    <xdr:to>
      <xdr:col>2</xdr:col>
      <xdr:colOff>400050</xdr:colOff>
      <xdr:row>183</xdr:row>
      <xdr:rowOff>9525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212</xdr:row>
      <xdr:rowOff>180975</xdr:rowOff>
    </xdr:from>
    <xdr:to>
      <xdr:col>6</xdr:col>
      <xdr:colOff>0</xdr:colOff>
      <xdr:row>212</xdr:row>
      <xdr:rowOff>180976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213</xdr:row>
      <xdr:rowOff>190500</xdr:rowOff>
    </xdr:from>
    <xdr:to>
      <xdr:col>5</xdr:col>
      <xdr:colOff>1112017</xdr:colOff>
      <xdr:row>213</xdr:row>
      <xdr:rowOff>190501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214</xdr:row>
      <xdr:rowOff>180975</xdr:rowOff>
    </xdr:from>
    <xdr:to>
      <xdr:col>5</xdr:col>
      <xdr:colOff>1112017</xdr:colOff>
      <xdr:row>214</xdr:row>
      <xdr:rowOff>180976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215</xdr:row>
      <xdr:rowOff>180975</xdr:rowOff>
    </xdr:from>
    <xdr:to>
      <xdr:col>5</xdr:col>
      <xdr:colOff>1102492</xdr:colOff>
      <xdr:row>215</xdr:row>
      <xdr:rowOff>180976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228</xdr:row>
      <xdr:rowOff>0</xdr:rowOff>
    </xdr:from>
    <xdr:to>
      <xdr:col>5</xdr:col>
      <xdr:colOff>257175</xdr:colOff>
      <xdr:row>228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228</xdr:row>
      <xdr:rowOff>9525</xdr:rowOff>
    </xdr:from>
    <xdr:to>
      <xdr:col>2</xdr:col>
      <xdr:colOff>400050</xdr:colOff>
      <xdr:row>228</xdr:row>
      <xdr:rowOff>9525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257</xdr:row>
      <xdr:rowOff>180975</xdr:rowOff>
    </xdr:from>
    <xdr:to>
      <xdr:col>6</xdr:col>
      <xdr:colOff>0</xdr:colOff>
      <xdr:row>257</xdr:row>
      <xdr:rowOff>180976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258</xdr:row>
      <xdr:rowOff>190500</xdr:rowOff>
    </xdr:from>
    <xdr:to>
      <xdr:col>5</xdr:col>
      <xdr:colOff>1112017</xdr:colOff>
      <xdr:row>258</xdr:row>
      <xdr:rowOff>190501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259</xdr:row>
      <xdr:rowOff>180975</xdr:rowOff>
    </xdr:from>
    <xdr:to>
      <xdr:col>5</xdr:col>
      <xdr:colOff>1112017</xdr:colOff>
      <xdr:row>259</xdr:row>
      <xdr:rowOff>180976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260</xdr:row>
      <xdr:rowOff>180975</xdr:rowOff>
    </xdr:from>
    <xdr:to>
      <xdr:col>5</xdr:col>
      <xdr:colOff>1102492</xdr:colOff>
      <xdr:row>260</xdr:row>
      <xdr:rowOff>180976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273</xdr:row>
      <xdr:rowOff>0</xdr:rowOff>
    </xdr:from>
    <xdr:to>
      <xdr:col>5</xdr:col>
      <xdr:colOff>257175</xdr:colOff>
      <xdr:row>273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273</xdr:row>
      <xdr:rowOff>9525</xdr:rowOff>
    </xdr:from>
    <xdr:to>
      <xdr:col>2</xdr:col>
      <xdr:colOff>400050</xdr:colOff>
      <xdr:row>273</xdr:row>
      <xdr:rowOff>9525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302</xdr:row>
      <xdr:rowOff>180975</xdr:rowOff>
    </xdr:from>
    <xdr:to>
      <xdr:col>6</xdr:col>
      <xdr:colOff>0</xdr:colOff>
      <xdr:row>302</xdr:row>
      <xdr:rowOff>180976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303</xdr:row>
      <xdr:rowOff>190500</xdr:rowOff>
    </xdr:from>
    <xdr:to>
      <xdr:col>5</xdr:col>
      <xdr:colOff>1112017</xdr:colOff>
      <xdr:row>303</xdr:row>
      <xdr:rowOff>190501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304</xdr:row>
      <xdr:rowOff>180975</xdr:rowOff>
    </xdr:from>
    <xdr:to>
      <xdr:col>5</xdr:col>
      <xdr:colOff>1112017</xdr:colOff>
      <xdr:row>304</xdr:row>
      <xdr:rowOff>180976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305</xdr:row>
      <xdr:rowOff>180975</xdr:rowOff>
    </xdr:from>
    <xdr:to>
      <xdr:col>5</xdr:col>
      <xdr:colOff>1102492</xdr:colOff>
      <xdr:row>305</xdr:row>
      <xdr:rowOff>180976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318</xdr:row>
      <xdr:rowOff>0</xdr:rowOff>
    </xdr:from>
    <xdr:to>
      <xdr:col>5</xdr:col>
      <xdr:colOff>257175</xdr:colOff>
      <xdr:row>318</xdr:row>
      <xdr:rowOff>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318</xdr:row>
      <xdr:rowOff>9525</xdr:rowOff>
    </xdr:from>
    <xdr:to>
      <xdr:col>2</xdr:col>
      <xdr:colOff>400050</xdr:colOff>
      <xdr:row>318</xdr:row>
      <xdr:rowOff>9525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347</xdr:row>
      <xdr:rowOff>180975</xdr:rowOff>
    </xdr:from>
    <xdr:to>
      <xdr:col>6</xdr:col>
      <xdr:colOff>0</xdr:colOff>
      <xdr:row>347</xdr:row>
      <xdr:rowOff>180976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348</xdr:row>
      <xdr:rowOff>190500</xdr:rowOff>
    </xdr:from>
    <xdr:to>
      <xdr:col>5</xdr:col>
      <xdr:colOff>1112017</xdr:colOff>
      <xdr:row>348</xdr:row>
      <xdr:rowOff>190501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349</xdr:row>
      <xdr:rowOff>180975</xdr:rowOff>
    </xdr:from>
    <xdr:to>
      <xdr:col>5</xdr:col>
      <xdr:colOff>1112017</xdr:colOff>
      <xdr:row>349</xdr:row>
      <xdr:rowOff>180976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350</xdr:row>
      <xdr:rowOff>180975</xdr:rowOff>
    </xdr:from>
    <xdr:to>
      <xdr:col>5</xdr:col>
      <xdr:colOff>1102492</xdr:colOff>
      <xdr:row>350</xdr:row>
      <xdr:rowOff>180976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363</xdr:row>
      <xdr:rowOff>0</xdr:rowOff>
    </xdr:from>
    <xdr:to>
      <xdr:col>5</xdr:col>
      <xdr:colOff>257175</xdr:colOff>
      <xdr:row>363</xdr:row>
      <xdr:rowOff>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363</xdr:row>
      <xdr:rowOff>9525</xdr:rowOff>
    </xdr:from>
    <xdr:to>
      <xdr:col>2</xdr:col>
      <xdr:colOff>400050</xdr:colOff>
      <xdr:row>363</xdr:row>
      <xdr:rowOff>9525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392</xdr:row>
      <xdr:rowOff>180975</xdr:rowOff>
    </xdr:from>
    <xdr:to>
      <xdr:col>6</xdr:col>
      <xdr:colOff>0</xdr:colOff>
      <xdr:row>392</xdr:row>
      <xdr:rowOff>180976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393</xdr:row>
      <xdr:rowOff>190500</xdr:rowOff>
    </xdr:from>
    <xdr:to>
      <xdr:col>5</xdr:col>
      <xdr:colOff>1112017</xdr:colOff>
      <xdr:row>393</xdr:row>
      <xdr:rowOff>190501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394</xdr:row>
      <xdr:rowOff>180975</xdr:rowOff>
    </xdr:from>
    <xdr:to>
      <xdr:col>5</xdr:col>
      <xdr:colOff>1112017</xdr:colOff>
      <xdr:row>394</xdr:row>
      <xdr:rowOff>180976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395</xdr:row>
      <xdr:rowOff>180975</xdr:rowOff>
    </xdr:from>
    <xdr:to>
      <xdr:col>5</xdr:col>
      <xdr:colOff>1102492</xdr:colOff>
      <xdr:row>395</xdr:row>
      <xdr:rowOff>180976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408</xdr:row>
      <xdr:rowOff>0</xdr:rowOff>
    </xdr:from>
    <xdr:to>
      <xdr:col>5</xdr:col>
      <xdr:colOff>257175</xdr:colOff>
      <xdr:row>408</xdr:row>
      <xdr:rowOff>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408</xdr:row>
      <xdr:rowOff>9525</xdr:rowOff>
    </xdr:from>
    <xdr:to>
      <xdr:col>2</xdr:col>
      <xdr:colOff>400050</xdr:colOff>
      <xdr:row>408</xdr:row>
      <xdr:rowOff>9525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437</xdr:row>
      <xdr:rowOff>180975</xdr:rowOff>
    </xdr:from>
    <xdr:to>
      <xdr:col>6</xdr:col>
      <xdr:colOff>0</xdr:colOff>
      <xdr:row>437</xdr:row>
      <xdr:rowOff>180976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438</xdr:row>
      <xdr:rowOff>190500</xdr:rowOff>
    </xdr:from>
    <xdr:to>
      <xdr:col>5</xdr:col>
      <xdr:colOff>1112017</xdr:colOff>
      <xdr:row>438</xdr:row>
      <xdr:rowOff>190501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439</xdr:row>
      <xdr:rowOff>180975</xdr:rowOff>
    </xdr:from>
    <xdr:to>
      <xdr:col>5</xdr:col>
      <xdr:colOff>1112017</xdr:colOff>
      <xdr:row>439</xdr:row>
      <xdr:rowOff>180976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440</xdr:row>
      <xdr:rowOff>180975</xdr:rowOff>
    </xdr:from>
    <xdr:to>
      <xdr:col>5</xdr:col>
      <xdr:colOff>1102492</xdr:colOff>
      <xdr:row>440</xdr:row>
      <xdr:rowOff>180976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453</xdr:row>
      <xdr:rowOff>0</xdr:rowOff>
    </xdr:from>
    <xdr:to>
      <xdr:col>5</xdr:col>
      <xdr:colOff>257175</xdr:colOff>
      <xdr:row>453</xdr:row>
      <xdr:rowOff>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453</xdr:row>
      <xdr:rowOff>9525</xdr:rowOff>
    </xdr:from>
    <xdr:to>
      <xdr:col>2</xdr:col>
      <xdr:colOff>400050</xdr:colOff>
      <xdr:row>453</xdr:row>
      <xdr:rowOff>9525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482</xdr:row>
      <xdr:rowOff>180975</xdr:rowOff>
    </xdr:from>
    <xdr:to>
      <xdr:col>6</xdr:col>
      <xdr:colOff>0</xdr:colOff>
      <xdr:row>482</xdr:row>
      <xdr:rowOff>180976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483</xdr:row>
      <xdr:rowOff>190500</xdr:rowOff>
    </xdr:from>
    <xdr:to>
      <xdr:col>5</xdr:col>
      <xdr:colOff>1112017</xdr:colOff>
      <xdr:row>483</xdr:row>
      <xdr:rowOff>190501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484</xdr:row>
      <xdr:rowOff>180975</xdr:rowOff>
    </xdr:from>
    <xdr:to>
      <xdr:col>5</xdr:col>
      <xdr:colOff>1112017</xdr:colOff>
      <xdr:row>484</xdr:row>
      <xdr:rowOff>180976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485</xdr:row>
      <xdr:rowOff>180975</xdr:rowOff>
    </xdr:from>
    <xdr:to>
      <xdr:col>5</xdr:col>
      <xdr:colOff>1102492</xdr:colOff>
      <xdr:row>485</xdr:row>
      <xdr:rowOff>180976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498</xdr:row>
      <xdr:rowOff>0</xdr:rowOff>
    </xdr:from>
    <xdr:to>
      <xdr:col>5</xdr:col>
      <xdr:colOff>257175</xdr:colOff>
      <xdr:row>498</xdr:row>
      <xdr:rowOff>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498</xdr:row>
      <xdr:rowOff>9525</xdr:rowOff>
    </xdr:from>
    <xdr:to>
      <xdr:col>2</xdr:col>
      <xdr:colOff>400050</xdr:colOff>
      <xdr:row>498</xdr:row>
      <xdr:rowOff>9525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527</xdr:row>
      <xdr:rowOff>180975</xdr:rowOff>
    </xdr:from>
    <xdr:to>
      <xdr:col>6</xdr:col>
      <xdr:colOff>0</xdr:colOff>
      <xdr:row>527</xdr:row>
      <xdr:rowOff>180976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528</xdr:row>
      <xdr:rowOff>190500</xdr:rowOff>
    </xdr:from>
    <xdr:to>
      <xdr:col>5</xdr:col>
      <xdr:colOff>1112017</xdr:colOff>
      <xdr:row>528</xdr:row>
      <xdr:rowOff>190501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529</xdr:row>
      <xdr:rowOff>180975</xdr:rowOff>
    </xdr:from>
    <xdr:to>
      <xdr:col>5</xdr:col>
      <xdr:colOff>1112017</xdr:colOff>
      <xdr:row>529</xdr:row>
      <xdr:rowOff>180976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530</xdr:row>
      <xdr:rowOff>180975</xdr:rowOff>
    </xdr:from>
    <xdr:to>
      <xdr:col>5</xdr:col>
      <xdr:colOff>1102492</xdr:colOff>
      <xdr:row>530</xdr:row>
      <xdr:rowOff>180976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543</xdr:row>
      <xdr:rowOff>0</xdr:rowOff>
    </xdr:from>
    <xdr:to>
      <xdr:col>5</xdr:col>
      <xdr:colOff>257175</xdr:colOff>
      <xdr:row>543</xdr:row>
      <xdr:rowOff>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CxnSpPr/>
      </xdr:nvCxnSpPr>
      <xdr:spPr>
        <a:xfrm>
          <a:off x="4019550" y="21688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543</xdr:row>
      <xdr:rowOff>9525</xdr:rowOff>
    </xdr:from>
    <xdr:to>
      <xdr:col>2</xdr:col>
      <xdr:colOff>400050</xdr:colOff>
      <xdr:row>543</xdr:row>
      <xdr:rowOff>9525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CxnSpPr/>
      </xdr:nvCxnSpPr>
      <xdr:spPr>
        <a:xfrm>
          <a:off x="742950" y="21697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572</xdr:row>
      <xdr:rowOff>180975</xdr:rowOff>
    </xdr:from>
    <xdr:to>
      <xdr:col>6</xdr:col>
      <xdr:colOff>0</xdr:colOff>
      <xdr:row>572</xdr:row>
      <xdr:rowOff>180976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CxnSpPr/>
      </xdr:nvCxnSpPr>
      <xdr:spPr>
        <a:xfrm flipV="1">
          <a:off x="221483" y="29222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573</xdr:row>
      <xdr:rowOff>190500</xdr:rowOff>
    </xdr:from>
    <xdr:to>
      <xdr:col>5</xdr:col>
      <xdr:colOff>1112017</xdr:colOff>
      <xdr:row>573</xdr:row>
      <xdr:rowOff>190501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CxnSpPr/>
      </xdr:nvCxnSpPr>
      <xdr:spPr>
        <a:xfrm flipV="1">
          <a:off x="219075" y="29470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574</xdr:row>
      <xdr:rowOff>180975</xdr:rowOff>
    </xdr:from>
    <xdr:to>
      <xdr:col>5</xdr:col>
      <xdr:colOff>1112017</xdr:colOff>
      <xdr:row>574</xdr:row>
      <xdr:rowOff>180976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CxnSpPr/>
      </xdr:nvCxnSpPr>
      <xdr:spPr>
        <a:xfrm flipV="1">
          <a:off x="219075" y="29698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575</xdr:row>
      <xdr:rowOff>180975</xdr:rowOff>
    </xdr:from>
    <xdr:to>
      <xdr:col>5</xdr:col>
      <xdr:colOff>1102492</xdr:colOff>
      <xdr:row>575</xdr:row>
      <xdr:rowOff>180976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CxnSpPr/>
      </xdr:nvCxnSpPr>
      <xdr:spPr>
        <a:xfrm flipV="1">
          <a:off x="209550" y="29937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588</xdr:row>
      <xdr:rowOff>0</xdr:rowOff>
    </xdr:from>
    <xdr:to>
      <xdr:col>5</xdr:col>
      <xdr:colOff>257175</xdr:colOff>
      <xdr:row>588</xdr:row>
      <xdr:rowOff>0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CxnSpPr/>
      </xdr:nvCxnSpPr>
      <xdr:spPr>
        <a:xfrm>
          <a:off x="4019550" y="32280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588</xdr:row>
      <xdr:rowOff>9525</xdr:rowOff>
    </xdr:from>
    <xdr:to>
      <xdr:col>2</xdr:col>
      <xdr:colOff>400050</xdr:colOff>
      <xdr:row>588</xdr:row>
      <xdr:rowOff>9525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CxnSpPr/>
      </xdr:nvCxnSpPr>
      <xdr:spPr>
        <a:xfrm>
          <a:off x="742950" y="32289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617</xdr:row>
      <xdr:rowOff>180975</xdr:rowOff>
    </xdr:from>
    <xdr:to>
      <xdr:col>6</xdr:col>
      <xdr:colOff>0</xdr:colOff>
      <xdr:row>617</xdr:row>
      <xdr:rowOff>180976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CxnSpPr/>
      </xdr:nvCxnSpPr>
      <xdr:spPr>
        <a:xfrm flipV="1">
          <a:off x="221483" y="39814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618</xdr:row>
      <xdr:rowOff>190500</xdr:rowOff>
    </xdr:from>
    <xdr:to>
      <xdr:col>5</xdr:col>
      <xdr:colOff>1112017</xdr:colOff>
      <xdr:row>618</xdr:row>
      <xdr:rowOff>190501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CxnSpPr/>
      </xdr:nvCxnSpPr>
      <xdr:spPr>
        <a:xfrm flipV="1">
          <a:off x="219075" y="40062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619</xdr:row>
      <xdr:rowOff>180975</xdr:rowOff>
    </xdr:from>
    <xdr:to>
      <xdr:col>5</xdr:col>
      <xdr:colOff>1112017</xdr:colOff>
      <xdr:row>619</xdr:row>
      <xdr:rowOff>180976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CxnSpPr/>
      </xdr:nvCxnSpPr>
      <xdr:spPr>
        <a:xfrm flipV="1">
          <a:off x="219075" y="40290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620</xdr:row>
      <xdr:rowOff>180975</xdr:rowOff>
    </xdr:from>
    <xdr:to>
      <xdr:col>5</xdr:col>
      <xdr:colOff>1102492</xdr:colOff>
      <xdr:row>620</xdr:row>
      <xdr:rowOff>180976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CxnSpPr/>
      </xdr:nvCxnSpPr>
      <xdr:spPr>
        <a:xfrm flipV="1">
          <a:off x="209550" y="40528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633</xdr:row>
      <xdr:rowOff>0</xdr:rowOff>
    </xdr:from>
    <xdr:to>
      <xdr:col>5</xdr:col>
      <xdr:colOff>257175</xdr:colOff>
      <xdr:row>633</xdr:row>
      <xdr:rowOff>0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CxnSpPr/>
      </xdr:nvCxnSpPr>
      <xdr:spPr>
        <a:xfrm>
          <a:off x="4019550" y="42872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633</xdr:row>
      <xdr:rowOff>9525</xdr:rowOff>
    </xdr:from>
    <xdr:to>
      <xdr:col>2</xdr:col>
      <xdr:colOff>400050</xdr:colOff>
      <xdr:row>633</xdr:row>
      <xdr:rowOff>9525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CxnSpPr/>
      </xdr:nvCxnSpPr>
      <xdr:spPr>
        <a:xfrm>
          <a:off x="742950" y="42881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662</xdr:row>
      <xdr:rowOff>180975</xdr:rowOff>
    </xdr:from>
    <xdr:to>
      <xdr:col>6</xdr:col>
      <xdr:colOff>0</xdr:colOff>
      <xdr:row>662</xdr:row>
      <xdr:rowOff>180976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CxnSpPr/>
      </xdr:nvCxnSpPr>
      <xdr:spPr>
        <a:xfrm flipV="1">
          <a:off x="221483" y="50406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663</xdr:row>
      <xdr:rowOff>190500</xdr:rowOff>
    </xdr:from>
    <xdr:to>
      <xdr:col>5</xdr:col>
      <xdr:colOff>1112017</xdr:colOff>
      <xdr:row>663</xdr:row>
      <xdr:rowOff>190501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CxnSpPr/>
      </xdr:nvCxnSpPr>
      <xdr:spPr>
        <a:xfrm flipV="1">
          <a:off x="219075" y="50653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664</xdr:row>
      <xdr:rowOff>180975</xdr:rowOff>
    </xdr:from>
    <xdr:to>
      <xdr:col>5</xdr:col>
      <xdr:colOff>1112017</xdr:colOff>
      <xdr:row>664</xdr:row>
      <xdr:rowOff>180976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CxnSpPr/>
      </xdr:nvCxnSpPr>
      <xdr:spPr>
        <a:xfrm flipV="1">
          <a:off x="219075" y="50882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665</xdr:row>
      <xdr:rowOff>180975</xdr:rowOff>
    </xdr:from>
    <xdr:to>
      <xdr:col>5</xdr:col>
      <xdr:colOff>1102492</xdr:colOff>
      <xdr:row>665</xdr:row>
      <xdr:rowOff>180976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CxnSpPr/>
      </xdr:nvCxnSpPr>
      <xdr:spPr>
        <a:xfrm flipV="1">
          <a:off x="209550" y="51120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678</xdr:row>
      <xdr:rowOff>0</xdr:rowOff>
    </xdr:from>
    <xdr:to>
      <xdr:col>5</xdr:col>
      <xdr:colOff>257175</xdr:colOff>
      <xdr:row>678</xdr:row>
      <xdr:rowOff>0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678</xdr:row>
      <xdr:rowOff>9525</xdr:rowOff>
    </xdr:from>
    <xdr:to>
      <xdr:col>2</xdr:col>
      <xdr:colOff>400050</xdr:colOff>
      <xdr:row>678</xdr:row>
      <xdr:rowOff>9525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707</xdr:row>
      <xdr:rowOff>180975</xdr:rowOff>
    </xdr:from>
    <xdr:to>
      <xdr:col>6</xdr:col>
      <xdr:colOff>0</xdr:colOff>
      <xdr:row>707</xdr:row>
      <xdr:rowOff>180976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708</xdr:row>
      <xdr:rowOff>190500</xdr:rowOff>
    </xdr:from>
    <xdr:to>
      <xdr:col>5</xdr:col>
      <xdr:colOff>1112017</xdr:colOff>
      <xdr:row>708</xdr:row>
      <xdr:rowOff>190501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709</xdr:row>
      <xdr:rowOff>180975</xdr:rowOff>
    </xdr:from>
    <xdr:to>
      <xdr:col>5</xdr:col>
      <xdr:colOff>1112017</xdr:colOff>
      <xdr:row>709</xdr:row>
      <xdr:rowOff>180976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710</xdr:row>
      <xdr:rowOff>180975</xdr:rowOff>
    </xdr:from>
    <xdr:to>
      <xdr:col>5</xdr:col>
      <xdr:colOff>1102492</xdr:colOff>
      <xdr:row>710</xdr:row>
      <xdr:rowOff>180976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723</xdr:row>
      <xdr:rowOff>0</xdr:rowOff>
    </xdr:from>
    <xdr:to>
      <xdr:col>5</xdr:col>
      <xdr:colOff>257175</xdr:colOff>
      <xdr:row>723</xdr:row>
      <xdr:rowOff>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CxnSpPr/>
      </xdr:nvCxnSpPr>
      <xdr:spPr>
        <a:xfrm>
          <a:off x="4019550" y="64055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723</xdr:row>
      <xdr:rowOff>9525</xdr:rowOff>
    </xdr:from>
    <xdr:to>
      <xdr:col>2</xdr:col>
      <xdr:colOff>400050</xdr:colOff>
      <xdr:row>723</xdr:row>
      <xdr:rowOff>9525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CxnSpPr/>
      </xdr:nvCxnSpPr>
      <xdr:spPr>
        <a:xfrm>
          <a:off x="742950" y="64065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752</xdr:row>
      <xdr:rowOff>180975</xdr:rowOff>
    </xdr:from>
    <xdr:to>
      <xdr:col>6</xdr:col>
      <xdr:colOff>0</xdr:colOff>
      <xdr:row>752</xdr:row>
      <xdr:rowOff>180976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CxnSpPr/>
      </xdr:nvCxnSpPr>
      <xdr:spPr>
        <a:xfrm flipV="1">
          <a:off x="221483" y="71589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753</xdr:row>
      <xdr:rowOff>190500</xdr:rowOff>
    </xdr:from>
    <xdr:to>
      <xdr:col>5</xdr:col>
      <xdr:colOff>1112017</xdr:colOff>
      <xdr:row>753</xdr:row>
      <xdr:rowOff>190501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E00-000068000000}"/>
            </a:ext>
          </a:extLst>
        </xdr:cNvPr>
        <xdr:cNvCxnSpPr/>
      </xdr:nvCxnSpPr>
      <xdr:spPr>
        <a:xfrm flipV="1">
          <a:off x="219075" y="71837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754</xdr:row>
      <xdr:rowOff>180975</xdr:rowOff>
    </xdr:from>
    <xdr:to>
      <xdr:col>5</xdr:col>
      <xdr:colOff>1112017</xdr:colOff>
      <xdr:row>754</xdr:row>
      <xdr:rowOff>180976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E00-000069000000}"/>
            </a:ext>
          </a:extLst>
        </xdr:cNvPr>
        <xdr:cNvCxnSpPr/>
      </xdr:nvCxnSpPr>
      <xdr:spPr>
        <a:xfrm flipV="1">
          <a:off x="219075" y="72066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755</xdr:row>
      <xdr:rowOff>180975</xdr:rowOff>
    </xdr:from>
    <xdr:to>
      <xdr:col>5</xdr:col>
      <xdr:colOff>1102492</xdr:colOff>
      <xdr:row>755</xdr:row>
      <xdr:rowOff>180976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0E00-00006A000000}"/>
            </a:ext>
          </a:extLst>
        </xdr:cNvPr>
        <xdr:cNvCxnSpPr/>
      </xdr:nvCxnSpPr>
      <xdr:spPr>
        <a:xfrm flipV="1">
          <a:off x="209550" y="72304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768</xdr:row>
      <xdr:rowOff>0</xdr:rowOff>
    </xdr:from>
    <xdr:to>
      <xdr:col>5</xdr:col>
      <xdr:colOff>257175</xdr:colOff>
      <xdr:row>768</xdr:row>
      <xdr:rowOff>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E00-00006B000000}"/>
            </a:ext>
          </a:extLst>
        </xdr:cNvPr>
        <xdr:cNvCxnSpPr/>
      </xdr:nvCxnSpPr>
      <xdr:spPr>
        <a:xfrm>
          <a:off x="4019550" y="74647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768</xdr:row>
      <xdr:rowOff>9525</xdr:rowOff>
    </xdr:from>
    <xdr:to>
      <xdr:col>2</xdr:col>
      <xdr:colOff>400050</xdr:colOff>
      <xdr:row>768</xdr:row>
      <xdr:rowOff>9525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E00-00006C000000}"/>
            </a:ext>
          </a:extLst>
        </xdr:cNvPr>
        <xdr:cNvCxnSpPr/>
      </xdr:nvCxnSpPr>
      <xdr:spPr>
        <a:xfrm>
          <a:off x="742950" y="74656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797</xdr:row>
      <xdr:rowOff>180975</xdr:rowOff>
    </xdr:from>
    <xdr:to>
      <xdr:col>6</xdr:col>
      <xdr:colOff>0</xdr:colOff>
      <xdr:row>797</xdr:row>
      <xdr:rowOff>180976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0E00-00006D000000}"/>
            </a:ext>
          </a:extLst>
        </xdr:cNvPr>
        <xdr:cNvCxnSpPr/>
      </xdr:nvCxnSpPr>
      <xdr:spPr>
        <a:xfrm flipV="1">
          <a:off x="221483" y="82181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798</xdr:row>
      <xdr:rowOff>190500</xdr:rowOff>
    </xdr:from>
    <xdr:to>
      <xdr:col>5</xdr:col>
      <xdr:colOff>1112017</xdr:colOff>
      <xdr:row>798</xdr:row>
      <xdr:rowOff>190501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E00-00006E000000}"/>
            </a:ext>
          </a:extLst>
        </xdr:cNvPr>
        <xdr:cNvCxnSpPr/>
      </xdr:nvCxnSpPr>
      <xdr:spPr>
        <a:xfrm flipV="1">
          <a:off x="219075" y="82429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799</xdr:row>
      <xdr:rowOff>180975</xdr:rowOff>
    </xdr:from>
    <xdr:to>
      <xdr:col>5</xdr:col>
      <xdr:colOff>1112017</xdr:colOff>
      <xdr:row>799</xdr:row>
      <xdr:rowOff>180976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E00-00006F000000}"/>
            </a:ext>
          </a:extLst>
        </xdr:cNvPr>
        <xdr:cNvCxnSpPr/>
      </xdr:nvCxnSpPr>
      <xdr:spPr>
        <a:xfrm flipV="1">
          <a:off x="219075" y="82657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800</xdr:row>
      <xdr:rowOff>180975</xdr:rowOff>
    </xdr:from>
    <xdr:to>
      <xdr:col>5</xdr:col>
      <xdr:colOff>1102492</xdr:colOff>
      <xdr:row>800</xdr:row>
      <xdr:rowOff>180976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E00-000070000000}"/>
            </a:ext>
          </a:extLst>
        </xdr:cNvPr>
        <xdr:cNvCxnSpPr/>
      </xdr:nvCxnSpPr>
      <xdr:spPr>
        <a:xfrm flipV="1">
          <a:off x="209550" y="82896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813</xdr:row>
      <xdr:rowOff>0</xdr:rowOff>
    </xdr:from>
    <xdr:to>
      <xdr:col>5</xdr:col>
      <xdr:colOff>257175</xdr:colOff>
      <xdr:row>813</xdr:row>
      <xdr:rowOff>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E00-000071000000}"/>
            </a:ext>
          </a:extLst>
        </xdr:cNvPr>
        <xdr:cNvCxnSpPr/>
      </xdr:nvCxnSpPr>
      <xdr:spPr>
        <a:xfrm>
          <a:off x="4019550" y="85239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813</xdr:row>
      <xdr:rowOff>9525</xdr:rowOff>
    </xdr:from>
    <xdr:to>
      <xdr:col>2</xdr:col>
      <xdr:colOff>400050</xdr:colOff>
      <xdr:row>813</xdr:row>
      <xdr:rowOff>9525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E00-000072000000}"/>
            </a:ext>
          </a:extLst>
        </xdr:cNvPr>
        <xdr:cNvCxnSpPr/>
      </xdr:nvCxnSpPr>
      <xdr:spPr>
        <a:xfrm>
          <a:off x="742950" y="85248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842</xdr:row>
      <xdr:rowOff>180975</xdr:rowOff>
    </xdr:from>
    <xdr:to>
      <xdr:col>6</xdr:col>
      <xdr:colOff>0</xdr:colOff>
      <xdr:row>842</xdr:row>
      <xdr:rowOff>180976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E00-000073000000}"/>
            </a:ext>
          </a:extLst>
        </xdr:cNvPr>
        <xdr:cNvCxnSpPr/>
      </xdr:nvCxnSpPr>
      <xdr:spPr>
        <a:xfrm flipV="1">
          <a:off x="221483" y="92773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843</xdr:row>
      <xdr:rowOff>190500</xdr:rowOff>
    </xdr:from>
    <xdr:to>
      <xdr:col>5</xdr:col>
      <xdr:colOff>1112017</xdr:colOff>
      <xdr:row>843</xdr:row>
      <xdr:rowOff>190501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E00-000074000000}"/>
            </a:ext>
          </a:extLst>
        </xdr:cNvPr>
        <xdr:cNvCxnSpPr/>
      </xdr:nvCxnSpPr>
      <xdr:spPr>
        <a:xfrm flipV="1">
          <a:off x="219075" y="93021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844</xdr:row>
      <xdr:rowOff>180975</xdr:rowOff>
    </xdr:from>
    <xdr:to>
      <xdr:col>5</xdr:col>
      <xdr:colOff>1112017</xdr:colOff>
      <xdr:row>844</xdr:row>
      <xdr:rowOff>180976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E00-000075000000}"/>
            </a:ext>
          </a:extLst>
        </xdr:cNvPr>
        <xdr:cNvCxnSpPr/>
      </xdr:nvCxnSpPr>
      <xdr:spPr>
        <a:xfrm flipV="1">
          <a:off x="219075" y="93249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845</xdr:row>
      <xdr:rowOff>180975</xdr:rowOff>
    </xdr:from>
    <xdr:to>
      <xdr:col>5</xdr:col>
      <xdr:colOff>1102492</xdr:colOff>
      <xdr:row>845</xdr:row>
      <xdr:rowOff>180976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E00-000076000000}"/>
            </a:ext>
          </a:extLst>
        </xdr:cNvPr>
        <xdr:cNvCxnSpPr/>
      </xdr:nvCxnSpPr>
      <xdr:spPr>
        <a:xfrm flipV="1">
          <a:off x="209550" y="93487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858</xdr:row>
      <xdr:rowOff>0</xdr:rowOff>
    </xdr:from>
    <xdr:to>
      <xdr:col>5</xdr:col>
      <xdr:colOff>257175</xdr:colOff>
      <xdr:row>858</xdr:row>
      <xdr:rowOff>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E00-000077000000}"/>
            </a:ext>
          </a:extLst>
        </xdr:cNvPr>
        <xdr:cNvCxnSpPr/>
      </xdr:nvCxnSpPr>
      <xdr:spPr>
        <a:xfrm>
          <a:off x="4019550" y="95831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858</xdr:row>
      <xdr:rowOff>9525</xdr:rowOff>
    </xdr:from>
    <xdr:to>
      <xdr:col>2</xdr:col>
      <xdr:colOff>400050</xdr:colOff>
      <xdr:row>858</xdr:row>
      <xdr:rowOff>9525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E00-000078000000}"/>
            </a:ext>
          </a:extLst>
        </xdr:cNvPr>
        <xdr:cNvCxnSpPr/>
      </xdr:nvCxnSpPr>
      <xdr:spPr>
        <a:xfrm>
          <a:off x="742950" y="95840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887</xdr:row>
      <xdr:rowOff>180975</xdr:rowOff>
    </xdr:from>
    <xdr:to>
      <xdr:col>6</xdr:col>
      <xdr:colOff>0</xdr:colOff>
      <xdr:row>887</xdr:row>
      <xdr:rowOff>180976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CxnSpPr/>
      </xdr:nvCxnSpPr>
      <xdr:spPr>
        <a:xfrm flipV="1">
          <a:off x="221483" y="103365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888</xdr:row>
      <xdr:rowOff>190500</xdr:rowOff>
    </xdr:from>
    <xdr:to>
      <xdr:col>5</xdr:col>
      <xdr:colOff>1112017</xdr:colOff>
      <xdr:row>888</xdr:row>
      <xdr:rowOff>190501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CxnSpPr/>
      </xdr:nvCxnSpPr>
      <xdr:spPr>
        <a:xfrm flipV="1">
          <a:off x="219075" y="103612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889</xdr:row>
      <xdr:rowOff>180975</xdr:rowOff>
    </xdr:from>
    <xdr:to>
      <xdr:col>5</xdr:col>
      <xdr:colOff>1112017</xdr:colOff>
      <xdr:row>889</xdr:row>
      <xdr:rowOff>180976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E00-00007B000000}"/>
            </a:ext>
          </a:extLst>
        </xdr:cNvPr>
        <xdr:cNvCxnSpPr/>
      </xdr:nvCxnSpPr>
      <xdr:spPr>
        <a:xfrm flipV="1">
          <a:off x="219075" y="103841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890</xdr:row>
      <xdr:rowOff>180975</xdr:rowOff>
    </xdr:from>
    <xdr:to>
      <xdr:col>5</xdr:col>
      <xdr:colOff>1102492</xdr:colOff>
      <xdr:row>890</xdr:row>
      <xdr:rowOff>180976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E00-00007C000000}"/>
            </a:ext>
          </a:extLst>
        </xdr:cNvPr>
        <xdr:cNvCxnSpPr/>
      </xdr:nvCxnSpPr>
      <xdr:spPr>
        <a:xfrm flipV="1">
          <a:off x="209550" y="104079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903</xdr:row>
      <xdr:rowOff>0</xdr:rowOff>
    </xdr:from>
    <xdr:to>
      <xdr:col>5</xdr:col>
      <xdr:colOff>257175</xdr:colOff>
      <xdr:row>903</xdr:row>
      <xdr:rowOff>0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E00-00007D000000}"/>
            </a:ext>
          </a:extLst>
        </xdr:cNvPr>
        <xdr:cNvCxnSpPr/>
      </xdr:nvCxnSpPr>
      <xdr:spPr>
        <a:xfrm>
          <a:off x="4019550" y="106422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903</xdr:row>
      <xdr:rowOff>9525</xdr:rowOff>
    </xdr:from>
    <xdr:to>
      <xdr:col>2</xdr:col>
      <xdr:colOff>400050</xdr:colOff>
      <xdr:row>903</xdr:row>
      <xdr:rowOff>9525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E00-00007E000000}"/>
            </a:ext>
          </a:extLst>
        </xdr:cNvPr>
        <xdr:cNvCxnSpPr/>
      </xdr:nvCxnSpPr>
      <xdr:spPr>
        <a:xfrm>
          <a:off x="742950" y="106432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932</xdr:row>
      <xdr:rowOff>180975</xdr:rowOff>
    </xdr:from>
    <xdr:to>
      <xdr:col>6</xdr:col>
      <xdr:colOff>0</xdr:colOff>
      <xdr:row>932</xdr:row>
      <xdr:rowOff>180976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E00-00007F000000}"/>
            </a:ext>
          </a:extLst>
        </xdr:cNvPr>
        <xdr:cNvCxnSpPr/>
      </xdr:nvCxnSpPr>
      <xdr:spPr>
        <a:xfrm flipV="1">
          <a:off x="221483" y="113957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933</xdr:row>
      <xdr:rowOff>190500</xdr:rowOff>
    </xdr:from>
    <xdr:to>
      <xdr:col>5</xdr:col>
      <xdr:colOff>1112017</xdr:colOff>
      <xdr:row>933</xdr:row>
      <xdr:rowOff>190501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E00-000080000000}"/>
            </a:ext>
          </a:extLst>
        </xdr:cNvPr>
        <xdr:cNvCxnSpPr/>
      </xdr:nvCxnSpPr>
      <xdr:spPr>
        <a:xfrm flipV="1">
          <a:off x="219075" y="114204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934</xdr:row>
      <xdr:rowOff>180975</xdr:rowOff>
    </xdr:from>
    <xdr:to>
      <xdr:col>5</xdr:col>
      <xdr:colOff>1112017</xdr:colOff>
      <xdr:row>934</xdr:row>
      <xdr:rowOff>180976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CxnSpPr/>
      </xdr:nvCxnSpPr>
      <xdr:spPr>
        <a:xfrm flipV="1">
          <a:off x="219075" y="114433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935</xdr:row>
      <xdr:rowOff>180975</xdr:rowOff>
    </xdr:from>
    <xdr:to>
      <xdr:col>5</xdr:col>
      <xdr:colOff>1102492</xdr:colOff>
      <xdr:row>935</xdr:row>
      <xdr:rowOff>180976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E00-000082000000}"/>
            </a:ext>
          </a:extLst>
        </xdr:cNvPr>
        <xdr:cNvCxnSpPr/>
      </xdr:nvCxnSpPr>
      <xdr:spPr>
        <a:xfrm flipV="1">
          <a:off x="209550" y="114671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948</xdr:row>
      <xdr:rowOff>0</xdr:rowOff>
    </xdr:from>
    <xdr:to>
      <xdr:col>5</xdr:col>
      <xdr:colOff>257175</xdr:colOff>
      <xdr:row>948</xdr:row>
      <xdr:rowOff>0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E00-00008300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948</xdr:row>
      <xdr:rowOff>9525</xdr:rowOff>
    </xdr:from>
    <xdr:to>
      <xdr:col>2</xdr:col>
      <xdr:colOff>400050</xdr:colOff>
      <xdr:row>948</xdr:row>
      <xdr:rowOff>9525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E00-00008400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977</xdr:row>
      <xdr:rowOff>180975</xdr:rowOff>
    </xdr:from>
    <xdr:to>
      <xdr:col>6</xdr:col>
      <xdr:colOff>0</xdr:colOff>
      <xdr:row>977</xdr:row>
      <xdr:rowOff>180976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E00-00008500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978</xdr:row>
      <xdr:rowOff>190500</xdr:rowOff>
    </xdr:from>
    <xdr:to>
      <xdr:col>5</xdr:col>
      <xdr:colOff>1112017</xdr:colOff>
      <xdr:row>978</xdr:row>
      <xdr:rowOff>190501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E00-00008600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979</xdr:row>
      <xdr:rowOff>180975</xdr:rowOff>
    </xdr:from>
    <xdr:to>
      <xdr:col>5</xdr:col>
      <xdr:colOff>1112017</xdr:colOff>
      <xdr:row>979</xdr:row>
      <xdr:rowOff>180976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00000000-0008-0000-0E00-00008700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980</xdr:row>
      <xdr:rowOff>180975</xdr:rowOff>
    </xdr:from>
    <xdr:to>
      <xdr:col>5</xdr:col>
      <xdr:colOff>1102492</xdr:colOff>
      <xdr:row>980</xdr:row>
      <xdr:rowOff>180976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E00-00008800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993</xdr:row>
      <xdr:rowOff>0</xdr:rowOff>
    </xdr:from>
    <xdr:to>
      <xdr:col>5</xdr:col>
      <xdr:colOff>257175</xdr:colOff>
      <xdr:row>993</xdr:row>
      <xdr:rowOff>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E00-000089000000}"/>
            </a:ext>
          </a:extLst>
        </xdr:cNvPr>
        <xdr:cNvCxnSpPr/>
      </xdr:nvCxnSpPr>
      <xdr:spPr>
        <a:xfrm>
          <a:off x="4019550" y="21688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993</xdr:row>
      <xdr:rowOff>9525</xdr:rowOff>
    </xdr:from>
    <xdr:to>
      <xdr:col>2</xdr:col>
      <xdr:colOff>400050</xdr:colOff>
      <xdr:row>993</xdr:row>
      <xdr:rowOff>9525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E00-00008A000000}"/>
            </a:ext>
          </a:extLst>
        </xdr:cNvPr>
        <xdr:cNvCxnSpPr/>
      </xdr:nvCxnSpPr>
      <xdr:spPr>
        <a:xfrm>
          <a:off x="742950" y="21697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1022</xdr:row>
      <xdr:rowOff>180975</xdr:rowOff>
    </xdr:from>
    <xdr:to>
      <xdr:col>6</xdr:col>
      <xdr:colOff>0</xdr:colOff>
      <xdr:row>1022</xdr:row>
      <xdr:rowOff>180976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E00-00008B000000}"/>
            </a:ext>
          </a:extLst>
        </xdr:cNvPr>
        <xdr:cNvCxnSpPr/>
      </xdr:nvCxnSpPr>
      <xdr:spPr>
        <a:xfrm flipV="1">
          <a:off x="221483" y="29222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1023</xdr:row>
      <xdr:rowOff>190500</xdr:rowOff>
    </xdr:from>
    <xdr:to>
      <xdr:col>5</xdr:col>
      <xdr:colOff>1112017</xdr:colOff>
      <xdr:row>1023</xdr:row>
      <xdr:rowOff>190501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E00-00008C000000}"/>
            </a:ext>
          </a:extLst>
        </xdr:cNvPr>
        <xdr:cNvCxnSpPr/>
      </xdr:nvCxnSpPr>
      <xdr:spPr>
        <a:xfrm flipV="1">
          <a:off x="219075" y="29470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1024</xdr:row>
      <xdr:rowOff>180975</xdr:rowOff>
    </xdr:from>
    <xdr:to>
      <xdr:col>5</xdr:col>
      <xdr:colOff>1112017</xdr:colOff>
      <xdr:row>1024</xdr:row>
      <xdr:rowOff>180976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E00-00008D000000}"/>
            </a:ext>
          </a:extLst>
        </xdr:cNvPr>
        <xdr:cNvCxnSpPr/>
      </xdr:nvCxnSpPr>
      <xdr:spPr>
        <a:xfrm flipV="1">
          <a:off x="219075" y="29698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1025</xdr:row>
      <xdr:rowOff>180975</xdr:rowOff>
    </xdr:from>
    <xdr:to>
      <xdr:col>5</xdr:col>
      <xdr:colOff>1102492</xdr:colOff>
      <xdr:row>1025</xdr:row>
      <xdr:rowOff>180976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00000000-0008-0000-0E00-00008E000000}"/>
            </a:ext>
          </a:extLst>
        </xdr:cNvPr>
        <xdr:cNvCxnSpPr/>
      </xdr:nvCxnSpPr>
      <xdr:spPr>
        <a:xfrm flipV="1">
          <a:off x="209550" y="29937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1038</xdr:row>
      <xdr:rowOff>0</xdr:rowOff>
    </xdr:from>
    <xdr:to>
      <xdr:col>5</xdr:col>
      <xdr:colOff>257175</xdr:colOff>
      <xdr:row>1038</xdr:row>
      <xdr:rowOff>0</xdr:rowOff>
    </xdr:to>
    <xdr:cxnSp macro="">
      <xdr:nvCxnSpPr>
        <xdr:cNvPr id="143" name="Straight Connector 142">
          <a:extLst>
            <a:ext uri="{FF2B5EF4-FFF2-40B4-BE49-F238E27FC236}">
              <a16:creationId xmlns:a16="http://schemas.microsoft.com/office/drawing/2014/main" id="{00000000-0008-0000-0E00-00008F000000}"/>
            </a:ext>
          </a:extLst>
        </xdr:cNvPr>
        <xdr:cNvCxnSpPr/>
      </xdr:nvCxnSpPr>
      <xdr:spPr>
        <a:xfrm>
          <a:off x="4019550" y="32280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1038</xdr:row>
      <xdr:rowOff>9525</xdr:rowOff>
    </xdr:from>
    <xdr:to>
      <xdr:col>2</xdr:col>
      <xdr:colOff>400050</xdr:colOff>
      <xdr:row>1038</xdr:row>
      <xdr:rowOff>9525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00000000-0008-0000-0E00-000090000000}"/>
            </a:ext>
          </a:extLst>
        </xdr:cNvPr>
        <xdr:cNvCxnSpPr/>
      </xdr:nvCxnSpPr>
      <xdr:spPr>
        <a:xfrm>
          <a:off x="742950" y="32289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1067</xdr:row>
      <xdr:rowOff>180975</xdr:rowOff>
    </xdr:from>
    <xdr:to>
      <xdr:col>6</xdr:col>
      <xdr:colOff>0</xdr:colOff>
      <xdr:row>1067</xdr:row>
      <xdr:rowOff>180976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00000000-0008-0000-0E00-000091000000}"/>
            </a:ext>
          </a:extLst>
        </xdr:cNvPr>
        <xdr:cNvCxnSpPr/>
      </xdr:nvCxnSpPr>
      <xdr:spPr>
        <a:xfrm flipV="1">
          <a:off x="221483" y="39814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1068</xdr:row>
      <xdr:rowOff>190500</xdr:rowOff>
    </xdr:from>
    <xdr:to>
      <xdr:col>5</xdr:col>
      <xdr:colOff>1112017</xdr:colOff>
      <xdr:row>1068</xdr:row>
      <xdr:rowOff>190501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00000000-0008-0000-0E00-000092000000}"/>
            </a:ext>
          </a:extLst>
        </xdr:cNvPr>
        <xdr:cNvCxnSpPr/>
      </xdr:nvCxnSpPr>
      <xdr:spPr>
        <a:xfrm flipV="1">
          <a:off x="219075" y="40062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1069</xdr:row>
      <xdr:rowOff>180975</xdr:rowOff>
    </xdr:from>
    <xdr:to>
      <xdr:col>5</xdr:col>
      <xdr:colOff>1112017</xdr:colOff>
      <xdr:row>1069</xdr:row>
      <xdr:rowOff>180976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0000000-0008-0000-0E00-000093000000}"/>
            </a:ext>
          </a:extLst>
        </xdr:cNvPr>
        <xdr:cNvCxnSpPr/>
      </xdr:nvCxnSpPr>
      <xdr:spPr>
        <a:xfrm flipV="1">
          <a:off x="219075" y="40290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1070</xdr:row>
      <xdr:rowOff>180975</xdr:rowOff>
    </xdr:from>
    <xdr:to>
      <xdr:col>5</xdr:col>
      <xdr:colOff>1102492</xdr:colOff>
      <xdr:row>1070</xdr:row>
      <xdr:rowOff>180976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E00-000094000000}"/>
            </a:ext>
          </a:extLst>
        </xdr:cNvPr>
        <xdr:cNvCxnSpPr/>
      </xdr:nvCxnSpPr>
      <xdr:spPr>
        <a:xfrm flipV="1">
          <a:off x="209550" y="40528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1083</xdr:row>
      <xdr:rowOff>0</xdr:rowOff>
    </xdr:from>
    <xdr:to>
      <xdr:col>5</xdr:col>
      <xdr:colOff>257175</xdr:colOff>
      <xdr:row>1083</xdr:row>
      <xdr:rowOff>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E00-000095000000}"/>
            </a:ext>
          </a:extLst>
        </xdr:cNvPr>
        <xdr:cNvCxnSpPr/>
      </xdr:nvCxnSpPr>
      <xdr:spPr>
        <a:xfrm>
          <a:off x="4019550" y="42872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1083</xdr:row>
      <xdr:rowOff>9525</xdr:rowOff>
    </xdr:from>
    <xdr:to>
      <xdr:col>2</xdr:col>
      <xdr:colOff>400050</xdr:colOff>
      <xdr:row>1083</xdr:row>
      <xdr:rowOff>9525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E00-000096000000}"/>
            </a:ext>
          </a:extLst>
        </xdr:cNvPr>
        <xdr:cNvCxnSpPr/>
      </xdr:nvCxnSpPr>
      <xdr:spPr>
        <a:xfrm>
          <a:off x="742950" y="42881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1112</xdr:row>
      <xdr:rowOff>180975</xdr:rowOff>
    </xdr:from>
    <xdr:to>
      <xdr:col>6</xdr:col>
      <xdr:colOff>0</xdr:colOff>
      <xdr:row>1112</xdr:row>
      <xdr:rowOff>180976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00000000-0008-0000-0E00-000097000000}"/>
            </a:ext>
          </a:extLst>
        </xdr:cNvPr>
        <xdr:cNvCxnSpPr/>
      </xdr:nvCxnSpPr>
      <xdr:spPr>
        <a:xfrm flipV="1">
          <a:off x="221483" y="50406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1113</xdr:row>
      <xdr:rowOff>190500</xdr:rowOff>
    </xdr:from>
    <xdr:to>
      <xdr:col>5</xdr:col>
      <xdr:colOff>1112017</xdr:colOff>
      <xdr:row>1113</xdr:row>
      <xdr:rowOff>190501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E00-000098000000}"/>
            </a:ext>
          </a:extLst>
        </xdr:cNvPr>
        <xdr:cNvCxnSpPr/>
      </xdr:nvCxnSpPr>
      <xdr:spPr>
        <a:xfrm flipV="1">
          <a:off x="219075" y="50653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1114</xdr:row>
      <xdr:rowOff>180975</xdr:rowOff>
    </xdr:from>
    <xdr:to>
      <xdr:col>5</xdr:col>
      <xdr:colOff>1112017</xdr:colOff>
      <xdr:row>1114</xdr:row>
      <xdr:rowOff>180976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E00-000099000000}"/>
            </a:ext>
          </a:extLst>
        </xdr:cNvPr>
        <xdr:cNvCxnSpPr/>
      </xdr:nvCxnSpPr>
      <xdr:spPr>
        <a:xfrm flipV="1">
          <a:off x="219075" y="50882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1115</xdr:row>
      <xdr:rowOff>180975</xdr:rowOff>
    </xdr:from>
    <xdr:to>
      <xdr:col>5</xdr:col>
      <xdr:colOff>1102492</xdr:colOff>
      <xdr:row>1115</xdr:row>
      <xdr:rowOff>180976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CxnSpPr/>
      </xdr:nvCxnSpPr>
      <xdr:spPr>
        <a:xfrm flipV="1">
          <a:off x="209550" y="51120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1128</xdr:row>
      <xdr:rowOff>0</xdr:rowOff>
    </xdr:from>
    <xdr:to>
      <xdr:col>5</xdr:col>
      <xdr:colOff>257175</xdr:colOff>
      <xdr:row>1128</xdr:row>
      <xdr:rowOff>0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E00-00009B00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1128</xdr:row>
      <xdr:rowOff>9525</xdr:rowOff>
    </xdr:from>
    <xdr:to>
      <xdr:col>2</xdr:col>
      <xdr:colOff>400050</xdr:colOff>
      <xdr:row>1128</xdr:row>
      <xdr:rowOff>9525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E00-00009C00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1157</xdr:row>
      <xdr:rowOff>180975</xdr:rowOff>
    </xdr:from>
    <xdr:to>
      <xdr:col>6</xdr:col>
      <xdr:colOff>0</xdr:colOff>
      <xdr:row>1157</xdr:row>
      <xdr:rowOff>180976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1158</xdr:row>
      <xdr:rowOff>190500</xdr:rowOff>
    </xdr:from>
    <xdr:to>
      <xdr:col>5</xdr:col>
      <xdr:colOff>1112017</xdr:colOff>
      <xdr:row>1158</xdr:row>
      <xdr:rowOff>190501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E00-00009E00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1159</xdr:row>
      <xdr:rowOff>180975</xdr:rowOff>
    </xdr:from>
    <xdr:to>
      <xdr:col>5</xdr:col>
      <xdr:colOff>1112017</xdr:colOff>
      <xdr:row>1159</xdr:row>
      <xdr:rowOff>180976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0000000-0008-0000-0E00-00009F00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1160</xdr:row>
      <xdr:rowOff>180975</xdr:rowOff>
    </xdr:from>
    <xdr:to>
      <xdr:col>5</xdr:col>
      <xdr:colOff>1102492</xdr:colOff>
      <xdr:row>1160</xdr:row>
      <xdr:rowOff>180976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1173</xdr:row>
      <xdr:rowOff>0</xdr:rowOff>
    </xdr:from>
    <xdr:to>
      <xdr:col>5</xdr:col>
      <xdr:colOff>257175</xdr:colOff>
      <xdr:row>1173</xdr:row>
      <xdr:rowOff>0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E00-0000A1000000}"/>
            </a:ext>
          </a:extLst>
        </xdr:cNvPr>
        <xdr:cNvCxnSpPr/>
      </xdr:nvCxnSpPr>
      <xdr:spPr>
        <a:xfrm>
          <a:off x="4019550" y="64055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1173</xdr:row>
      <xdr:rowOff>9525</xdr:rowOff>
    </xdr:from>
    <xdr:to>
      <xdr:col>2</xdr:col>
      <xdr:colOff>400050</xdr:colOff>
      <xdr:row>1173</xdr:row>
      <xdr:rowOff>9525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E00-0000A2000000}"/>
            </a:ext>
          </a:extLst>
        </xdr:cNvPr>
        <xdr:cNvCxnSpPr/>
      </xdr:nvCxnSpPr>
      <xdr:spPr>
        <a:xfrm>
          <a:off x="742950" y="64065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1202</xdr:row>
      <xdr:rowOff>180975</xdr:rowOff>
    </xdr:from>
    <xdr:to>
      <xdr:col>6</xdr:col>
      <xdr:colOff>0</xdr:colOff>
      <xdr:row>1202</xdr:row>
      <xdr:rowOff>180976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E00-0000A3000000}"/>
            </a:ext>
          </a:extLst>
        </xdr:cNvPr>
        <xdr:cNvCxnSpPr/>
      </xdr:nvCxnSpPr>
      <xdr:spPr>
        <a:xfrm flipV="1">
          <a:off x="221483" y="71589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1203</xdr:row>
      <xdr:rowOff>190500</xdr:rowOff>
    </xdr:from>
    <xdr:to>
      <xdr:col>5</xdr:col>
      <xdr:colOff>1112017</xdr:colOff>
      <xdr:row>1203</xdr:row>
      <xdr:rowOff>190501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E00-0000A4000000}"/>
            </a:ext>
          </a:extLst>
        </xdr:cNvPr>
        <xdr:cNvCxnSpPr/>
      </xdr:nvCxnSpPr>
      <xdr:spPr>
        <a:xfrm flipV="1">
          <a:off x="219075" y="71837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1204</xdr:row>
      <xdr:rowOff>180975</xdr:rowOff>
    </xdr:from>
    <xdr:to>
      <xdr:col>5</xdr:col>
      <xdr:colOff>1112017</xdr:colOff>
      <xdr:row>1204</xdr:row>
      <xdr:rowOff>180976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E00-0000A5000000}"/>
            </a:ext>
          </a:extLst>
        </xdr:cNvPr>
        <xdr:cNvCxnSpPr/>
      </xdr:nvCxnSpPr>
      <xdr:spPr>
        <a:xfrm flipV="1">
          <a:off x="219075" y="72066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1205</xdr:row>
      <xdr:rowOff>180975</xdr:rowOff>
    </xdr:from>
    <xdr:to>
      <xdr:col>5</xdr:col>
      <xdr:colOff>1102492</xdr:colOff>
      <xdr:row>1205</xdr:row>
      <xdr:rowOff>180976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E00-0000A6000000}"/>
            </a:ext>
          </a:extLst>
        </xdr:cNvPr>
        <xdr:cNvCxnSpPr/>
      </xdr:nvCxnSpPr>
      <xdr:spPr>
        <a:xfrm flipV="1">
          <a:off x="209550" y="72304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1218</xdr:row>
      <xdr:rowOff>0</xdr:rowOff>
    </xdr:from>
    <xdr:to>
      <xdr:col>5</xdr:col>
      <xdr:colOff>257175</xdr:colOff>
      <xdr:row>1218</xdr:row>
      <xdr:rowOff>0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E00-0000A7000000}"/>
            </a:ext>
          </a:extLst>
        </xdr:cNvPr>
        <xdr:cNvCxnSpPr/>
      </xdr:nvCxnSpPr>
      <xdr:spPr>
        <a:xfrm>
          <a:off x="4019550" y="74647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1218</xdr:row>
      <xdr:rowOff>9525</xdr:rowOff>
    </xdr:from>
    <xdr:to>
      <xdr:col>2</xdr:col>
      <xdr:colOff>400050</xdr:colOff>
      <xdr:row>1218</xdr:row>
      <xdr:rowOff>9525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E00-0000A8000000}"/>
            </a:ext>
          </a:extLst>
        </xdr:cNvPr>
        <xdr:cNvCxnSpPr/>
      </xdr:nvCxnSpPr>
      <xdr:spPr>
        <a:xfrm>
          <a:off x="742950" y="74656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1247</xdr:row>
      <xdr:rowOff>180975</xdr:rowOff>
    </xdr:from>
    <xdr:to>
      <xdr:col>6</xdr:col>
      <xdr:colOff>0</xdr:colOff>
      <xdr:row>1247</xdr:row>
      <xdr:rowOff>180976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E00-0000A9000000}"/>
            </a:ext>
          </a:extLst>
        </xdr:cNvPr>
        <xdr:cNvCxnSpPr/>
      </xdr:nvCxnSpPr>
      <xdr:spPr>
        <a:xfrm flipV="1">
          <a:off x="221483" y="82181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1248</xdr:row>
      <xdr:rowOff>190500</xdr:rowOff>
    </xdr:from>
    <xdr:to>
      <xdr:col>5</xdr:col>
      <xdr:colOff>1112017</xdr:colOff>
      <xdr:row>1248</xdr:row>
      <xdr:rowOff>190501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id="{00000000-0008-0000-0E00-0000AA000000}"/>
            </a:ext>
          </a:extLst>
        </xdr:cNvPr>
        <xdr:cNvCxnSpPr/>
      </xdr:nvCxnSpPr>
      <xdr:spPr>
        <a:xfrm flipV="1">
          <a:off x="219075" y="82429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1249</xdr:row>
      <xdr:rowOff>180975</xdr:rowOff>
    </xdr:from>
    <xdr:to>
      <xdr:col>5</xdr:col>
      <xdr:colOff>1112017</xdr:colOff>
      <xdr:row>1249</xdr:row>
      <xdr:rowOff>180976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E00-0000AB000000}"/>
            </a:ext>
          </a:extLst>
        </xdr:cNvPr>
        <xdr:cNvCxnSpPr/>
      </xdr:nvCxnSpPr>
      <xdr:spPr>
        <a:xfrm flipV="1">
          <a:off x="219075" y="82657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1250</xdr:row>
      <xdr:rowOff>180975</xdr:rowOff>
    </xdr:from>
    <xdr:to>
      <xdr:col>5</xdr:col>
      <xdr:colOff>1102492</xdr:colOff>
      <xdr:row>1250</xdr:row>
      <xdr:rowOff>180976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E00-0000AC000000}"/>
            </a:ext>
          </a:extLst>
        </xdr:cNvPr>
        <xdr:cNvCxnSpPr/>
      </xdr:nvCxnSpPr>
      <xdr:spPr>
        <a:xfrm flipV="1">
          <a:off x="209550" y="82896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1263</xdr:row>
      <xdr:rowOff>0</xdr:rowOff>
    </xdr:from>
    <xdr:to>
      <xdr:col>5</xdr:col>
      <xdr:colOff>257175</xdr:colOff>
      <xdr:row>1263</xdr:row>
      <xdr:rowOff>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E00-0000AD000000}"/>
            </a:ext>
          </a:extLst>
        </xdr:cNvPr>
        <xdr:cNvCxnSpPr/>
      </xdr:nvCxnSpPr>
      <xdr:spPr>
        <a:xfrm>
          <a:off x="4019550" y="85239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1263</xdr:row>
      <xdr:rowOff>9525</xdr:rowOff>
    </xdr:from>
    <xdr:to>
      <xdr:col>2</xdr:col>
      <xdr:colOff>400050</xdr:colOff>
      <xdr:row>1263</xdr:row>
      <xdr:rowOff>9525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E00-0000AE000000}"/>
            </a:ext>
          </a:extLst>
        </xdr:cNvPr>
        <xdr:cNvCxnSpPr/>
      </xdr:nvCxnSpPr>
      <xdr:spPr>
        <a:xfrm>
          <a:off x="742950" y="85248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1292</xdr:row>
      <xdr:rowOff>180975</xdr:rowOff>
    </xdr:from>
    <xdr:to>
      <xdr:col>6</xdr:col>
      <xdr:colOff>0</xdr:colOff>
      <xdr:row>1292</xdr:row>
      <xdr:rowOff>180976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E00-0000AF000000}"/>
            </a:ext>
          </a:extLst>
        </xdr:cNvPr>
        <xdr:cNvCxnSpPr/>
      </xdr:nvCxnSpPr>
      <xdr:spPr>
        <a:xfrm flipV="1">
          <a:off x="221483" y="92773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1293</xdr:row>
      <xdr:rowOff>190500</xdr:rowOff>
    </xdr:from>
    <xdr:to>
      <xdr:col>5</xdr:col>
      <xdr:colOff>1112017</xdr:colOff>
      <xdr:row>1293</xdr:row>
      <xdr:rowOff>190501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E00-0000B0000000}"/>
            </a:ext>
          </a:extLst>
        </xdr:cNvPr>
        <xdr:cNvCxnSpPr/>
      </xdr:nvCxnSpPr>
      <xdr:spPr>
        <a:xfrm flipV="1">
          <a:off x="219075" y="93021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1294</xdr:row>
      <xdr:rowOff>180975</xdr:rowOff>
    </xdr:from>
    <xdr:to>
      <xdr:col>5</xdr:col>
      <xdr:colOff>1112017</xdr:colOff>
      <xdr:row>1294</xdr:row>
      <xdr:rowOff>180976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E00-0000B1000000}"/>
            </a:ext>
          </a:extLst>
        </xdr:cNvPr>
        <xdr:cNvCxnSpPr/>
      </xdr:nvCxnSpPr>
      <xdr:spPr>
        <a:xfrm flipV="1">
          <a:off x="219075" y="93249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1295</xdr:row>
      <xdr:rowOff>180975</xdr:rowOff>
    </xdr:from>
    <xdr:to>
      <xdr:col>5</xdr:col>
      <xdr:colOff>1102492</xdr:colOff>
      <xdr:row>1295</xdr:row>
      <xdr:rowOff>180976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00000000-0008-0000-0E00-0000B2000000}"/>
            </a:ext>
          </a:extLst>
        </xdr:cNvPr>
        <xdr:cNvCxnSpPr/>
      </xdr:nvCxnSpPr>
      <xdr:spPr>
        <a:xfrm flipV="1">
          <a:off x="209550" y="93487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1308</xdr:row>
      <xdr:rowOff>0</xdr:rowOff>
    </xdr:from>
    <xdr:to>
      <xdr:col>5</xdr:col>
      <xdr:colOff>257175</xdr:colOff>
      <xdr:row>1308</xdr:row>
      <xdr:rowOff>0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00000000-0008-0000-0E00-0000B3000000}"/>
            </a:ext>
          </a:extLst>
        </xdr:cNvPr>
        <xdr:cNvCxnSpPr/>
      </xdr:nvCxnSpPr>
      <xdr:spPr>
        <a:xfrm>
          <a:off x="4019550" y="95831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1308</xdr:row>
      <xdr:rowOff>9525</xdr:rowOff>
    </xdr:from>
    <xdr:to>
      <xdr:col>2</xdr:col>
      <xdr:colOff>400050</xdr:colOff>
      <xdr:row>1308</xdr:row>
      <xdr:rowOff>9525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00000000-0008-0000-0E00-0000B4000000}"/>
            </a:ext>
          </a:extLst>
        </xdr:cNvPr>
        <xdr:cNvCxnSpPr/>
      </xdr:nvCxnSpPr>
      <xdr:spPr>
        <a:xfrm>
          <a:off x="742950" y="95840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1337</xdr:row>
      <xdr:rowOff>180975</xdr:rowOff>
    </xdr:from>
    <xdr:to>
      <xdr:col>6</xdr:col>
      <xdr:colOff>0</xdr:colOff>
      <xdr:row>1337</xdr:row>
      <xdr:rowOff>180976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E00-0000B5000000}"/>
            </a:ext>
          </a:extLst>
        </xdr:cNvPr>
        <xdr:cNvCxnSpPr/>
      </xdr:nvCxnSpPr>
      <xdr:spPr>
        <a:xfrm flipV="1">
          <a:off x="221483" y="103365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1338</xdr:row>
      <xdr:rowOff>190500</xdr:rowOff>
    </xdr:from>
    <xdr:to>
      <xdr:col>5</xdr:col>
      <xdr:colOff>1112017</xdr:colOff>
      <xdr:row>1338</xdr:row>
      <xdr:rowOff>190501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E00-0000B6000000}"/>
            </a:ext>
          </a:extLst>
        </xdr:cNvPr>
        <xdr:cNvCxnSpPr/>
      </xdr:nvCxnSpPr>
      <xdr:spPr>
        <a:xfrm flipV="1">
          <a:off x="219075" y="103612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1339</xdr:row>
      <xdr:rowOff>180975</xdr:rowOff>
    </xdr:from>
    <xdr:to>
      <xdr:col>5</xdr:col>
      <xdr:colOff>1112017</xdr:colOff>
      <xdr:row>1339</xdr:row>
      <xdr:rowOff>180976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00000000-0008-0000-0E00-0000B7000000}"/>
            </a:ext>
          </a:extLst>
        </xdr:cNvPr>
        <xdr:cNvCxnSpPr/>
      </xdr:nvCxnSpPr>
      <xdr:spPr>
        <a:xfrm flipV="1">
          <a:off x="219075" y="103841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1340</xdr:row>
      <xdr:rowOff>180975</xdr:rowOff>
    </xdr:from>
    <xdr:to>
      <xdr:col>5</xdr:col>
      <xdr:colOff>1102492</xdr:colOff>
      <xdr:row>1340</xdr:row>
      <xdr:rowOff>180976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0000000-0008-0000-0E00-0000B8000000}"/>
            </a:ext>
          </a:extLst>
        </xdr:cNvPr>
        <xdr:cNvCxnSpPr/>
      </xdr:nvCxnSpPr>
      <xdr:spPr>
        <a:xfrm flipV="1">
          <a:off x="209550" y="104079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1353</xdr:row>
      <xdr:rowOff>0</xdr:rowOff>
    </xdr:from>
    <xdr:to>
      <xdr:col>5</xdr:col>
      <xdr:colOff>257175</xdr:colOff>
      <xdr:row>1353</xdr:row>
      <xdr:rowOff>0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CxnSpPr/>
      </xdr:nvCxnSpPr>
      <xdr:spPr>
        <a:xfrm>
          <a:off x="4019550" y="106422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1353</xdr:row>
      <xdr:rowOff>9525</xdr:rowOff>
    </xdr:from>
    <xdr:to>
      <xdr:col>2</xdr:col>
      <xdr:colOff>400050</xdr:colOff>
      <xdr:row>1353</xdr:row>
      <xdr:rowOff>9525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E00-0000BA000000}"/>
            </a:ext>
          </a:extLst>
        </xdr:cNvPr>
        <xdr:cNvCxnSpPr/>
      </xdr:nvCxnSpPr>
      <xdr:spPr>
        <a:xfrm>
          <a:off x="742950" y="106432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1382</xdr:row>
      <xdr:rowOff>180975</xdr:rowOff>
    </xdr:from>
    <xdr:to>
      <xdr:col>6</xdr:col>
      <xdr:colOff>0</xdr:colOff>
      <xdr:row>1382</xdr:row>
      <xdr:rowOff>180976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E00-0000BB000000}"/>
            </a:ext>
          </a:extLst>
        </xdr:cNvPr>
        <xdr:cNvCxnSpPr/>
      </xdr:nvCxnSpPr>
      <xdr:spPr>
        <a:xfrm flipV="1">
          <a:off x="221483" y="113957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1383</xdr:row>
      <xdr:rowOff>190500</xdr:rowOff>
    </xdr:from>
    <xdr:to>
      <xdr:col>5</xdr:col>
      <xdr:colOff>1112017</xdr:colOff>
      <xdr:row>1383</xdr:row>
      <xdr:rowOff>190501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00000000-0008-0000-0E00-0000BC000000}"/>
            </a:ext>
          </a:extLst>
        </xdr:cNvPr>
        <xdr:cNvCxnSpPr/>
      </xdr:nvCxnSpPr>
      <xdr:spPr>
        <a:xfrm flipV="1">
          <a:off x="219075" y="114204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1384</xdr:row>
      <xdr:rowOff>180975</xdr:rowOff>
    </xdr:from>
    <xdr:to>
      <xdr:col>5</xdr:col>
      <xdr:colOff>1112017</xdr:colOff>
      <xdr:row>1384</xdr:row>
      <xdr:rowOff>180976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00000000-0008-0000-0E00-0000BD000000}"/>
            </a:ext>
          </a:extLst>
        </xdr:cNvPr>
        <xdr:cNvCxnSpPr/>
      </xdr:nvCxnSpPr>
      <xdr:spPr>
        <a:xfrm flipV="1">
          <a:off x="219075" y="114433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1385</xdr:row>
      <xdr:rowOff>180975</xdr:rowOff>
    </xdr:from>
    <xdr:to>
      <xdr:col>5</xdr:col>
      <xdr:colOff>1102492</xdr:colOff>
      <xdr:row>1385</xdr:row>
      <xdr:rowOff>180976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00000000-0008-0000-0E00-0000BE000000}"/>
            </a:ext>
          </a:extLst>
        </xdr:cNvPr>
        <xdr:cNvCxnSpPr/>
      </xdr:nvCxnSpPr>
      <xdr:spPr>
        <a:xfrm flipV="1">
          <a:off x="209550" y="114671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1398</xdr:row>
      <xdr:rowOff>0</xdr:rowOff>
    </xdr:from>
    <xdr:to>
      <xdr:col>5</xdr:col>
      <xdr:colOff>257175</xdr:colOff>
      <xdr:row>1398</xdr:row>
      <xdr:rowOff>0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00000000-0008-0000-0E00-0000BF00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1398</xdr:row>
      <xdr:rowOff>9525</xdr:rowOff>
    </xdr:from>
    <xdr:to>
      <xdr:col>2</xdr:col>
      <xdr:colOff>400050</xdr:colOff>
      <xdr:row>1398</xdr:row>
      <xdr:rowOff>9525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00000000-0008-0000-0E00-0000C000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1427</xdr:row>
      <xdr:rowOff>180975</xdr:rowOff>
    </xdr:from>
    <xdr:to>
      <xdr:col>6</xdr:col>
      <xdr:colOff>0</xdr:colOff>
      <xdr:row>1427</xdr:row>
      <xdr:rowOff>180976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00000000-0008-0000-0E00-0000C100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1428</xdr:row>
      <xdr:rowOff>190500</xdr:rowOff>
    </xdr:from>
    <xdr:to>
      <xdr:col>5</xdr:col>
      <xdr:colOff>1112017</xdr:colOff>
      <xdr:row>1428</xdr:row>
      <xdr:rowOff>190501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00000000-0008-0000-0E00-0000C200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1429</xdr:row>
      <xdr:rowOff>180975</xdr:rowOff>
    </xdr:from>
    <xdr:to>
      <xdr:col>5</xdr:col>
      <xdr:colOff>1112017</xdr:colOff>
      <xdr:row>1429</xdr:row>
      <xdr:rowOff>180976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00000000-0008-0000-0E00-0000C300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1430</xdr:row>
      <xdr:rowOff>180975</xdr:rowOff>
    </xdr:from>
    <xdr:to>
      <xdr:col>5</xdr:col>
      <xdr:colOff>1102492</xdr:colOff>
      <xdr:row>1430</xdr:row>
      <xdr:rowOff>180976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00000000-0008-0000-0E00-0000C400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1443</xdr:row>
      <xdr:rowOff>0</xdr:rowOff>
    </xdr:from>
    <xdr:to>
      <xdr:col>5</xdr:col>
      <xdr:colOff>257175</xdr:colOff>
      <xdr:row>1443</xdr:row>
      <xdr:rowOff>0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CxnSpPr/>
      </xdr:nvCxnSpPr>
      <xdr:spPr>
        <a:xfrm>
          <a:off x="4019550" y="21688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1443</xdr:row>
      <xdr:rowOff>9525</xdr:rowOff>
    </xdr:from>
    <xdr:to>
      <xdr:col>2</xdr:col>
      <xdr:colOff>400050</xdr:colOff>
      <xdr:row>1443</xdr:row>
      <xdr:rowOff>9525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00000000-0008-0000-0E00-0000C6000000}"/>
            </a:ext>
          </a:extLst>
        </xdr:cNvPr>
        <xdr:cNvCxnSpPr/>
      </xdr:nvCxnSpPr>
      <xdr:spPr>
        <a:xfrm>
          <a:off x="742950" y="21697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1472</xdr:row>
      <xdr:rowOff>180975</xdr:rowOff>
    </xdr:from>
    <xdr:to>
      <xdr:col>6</xdr:col>
      <xdr:colOff>0</xdr:colOff>
      <xdr:row>1472</xdr:row>
      <xdr:rowOff>180976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00000000-0008-0000-0E00-0000C7000000}"/>
            </a:ext>
          </a:extLst>
        </xdr:cNvPr>
        <xdr:cNvCxnSpPr/>
      </xdr:nvCxnSpPr>
      <xdr:spPr>
        <a:xfrm flipV="1">
          <a:off x="221483" y="29222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1473</xdr:row>
      <xdr:rowOff>190500</xdr:rowOff>
    </xdr:from>
    <xdr:to>
      <xdr:col>5</xdr:col>
      <xdr:colOff>1112017</xdr:colOff>
      <xdr:row>1473</xdr:row>
      <xdr:rowOff>190501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CxnSpPr/>
      </xdr:nvCxnSpPr>
      <xdr:spPr>
        <a:xfrm flipV="1">
          <a:off x="219075" y="29470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1474</xdr:row>
      <xdr:rowOff>180975</xdr:rowOff>
    </xdr:from>
    <xdr:to>
      <xdr:col>5</xdr:col>
      <xdr:colOff>1112017</xdr:colOff>
      <xdr:row>1474</xdr:row>
      <xdr:rowOff>180976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E00-0000C9000000}"/>
            </a:ext>
          </a:extLst>
        </xdr:cNvPr>
        <xdr:cNvCxnSpPr/>
      </xdr:nvCxnSpPr>
      <xdr:spPr>
        <a:xfrm flipV="1">
          <a:off x="219075" y="29698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1475</xdr:row>
      <xdr:rowOff>180975</xdr:rowOff>
    </xdr:from>
    <xdr:to>
      <xdr:col>5</xdr:col>
      <xdr:colOff>1102492</xdr:colOff>
      <xdr:row>1475</xdr:row>
      <xdr:rowOff>180976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E00-0000CA000000}"/>
            </a:ext>
          </a:extLst>
        </xdr:cNvPr>
        <xdr:cNvCxnSpPr/>
      </xdr:nvCxnSpPr>
      <xdr:spPr>
        <a:xfrm flipV="1">
          <a:off x="209550" y="29937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1488</xdr:row>
      <xdr:rowOff>0</xdr:rowOff>
    </xdr:from>
    <xdr:to>
      <xdr:col>5</xdr:col>
      <xdr:colOff>257175</xdr:colOff>
      <xdr:row>1488</xdr:row>
      <xdr:rowOff>0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00000000-0008-0000-0E00-0000CB000000}"/>
            </a:ext>
          </a:extLst>
        </xdr:cNvPr>
        <xdr:cNvCxnSpPr/>
      </xdr:nvCxnSpPr>
      <xdr:spPr>
        <a:xfrm>
          <a:off x="4019550" y="32280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1488</xdr:row>
      <xdr:rowOff>9525</xdr:rowOff>
    </xdr:from>
    <xdr:to>
      <xdr:col>2</xdr:col>
      <xdr:colOff>400050</xdr:colOff>
      <xdr:row>1488</xdr:row>
      <xdr:rowOff>9525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00000000-0008-0000-0E00-0000CC000000}"/>
            </a:ext>
          </a:extLst>
        </xdr:cNvPr>
        <xdr:cNvCxnSpPr/>
      </xdr:nvCxnSpPr>
      <xdr:spPr>
        <a:xfrm>
          <a:off x="742950" y="32289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1517</xdr:row>
      <xdr:rowOff>180975</xdr:rowOff>
    </xdr:from>
    <xdr:to>
      <xdr:col>6</xdr:col>
      <xdr:colOff>0</xdr:colOff>
      <xdr:row>1517</xdr:row>
      <xdr:rowOff>180976</xdr:rowOff>
    </xdr:to>
    <xdr:cxnSp macro="">
      <xdr:nvCxnSpPr>
        <xdr:cNvPr id="205" name="Straight Connector 204">
          <a:extLst>
            <a:ext uri="{FF2B5EF4-FFF2-40B4-BE49-F238E27FC236}">
              <a16:creationId xmlns:a16="http://schemas.microsoft.com/office/drawing/2014/main" id="{00000000-0008-0000-0E00-0000CD000000}"/>
            </a:ext>
          </a:extLst>
        </xdr:cNvPr>
        <xdr:cNvCxnSpPr/>
      </xdr:nvCxnSpPr>
      <xdr:spPr>
        <a:xfrm flipV="1">
          <a:off x="221483" y="39814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1518</xdr:row>
      <xdr:rowOff>190500</xdr:rowOff>
    </xdr:from>
    <xdr:to>
      <xdr:col>5</xdr:col>
      <xdr:colOff>1112017</xdr:colOff>
      <xdr:row>1518</xdr:row>
      <xdr:rowOff>190501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00000000-0008-0000-0E00-0000CE000000}"/>
            </a:ext>
          </a:extLst>
        </xdr:cNvPr>
        <xdr:cNvCxnSpPr/>
      </xdr:nvCxnSpPr>
      <xdr:spPr>
        <a:xfrm flipV="1">
          <a:off x="219075" y="40062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1519</xdr:row>
      <xdr:rowOff>180975</xdr:rowOff>
    </xdr:from>
    <xdr:to>
      <xdr:col>5</xdr:col>
      <xdr:colOff>1112017</xdr:colOff>
      <xdr:row>1519</xdr:row>
      <xdr:rowOff>180976</xdr:rowOff>
    </xdr:to>
    <xdr:cxnSp macro="">
      <xdr:nvCxnSpPr>
        <xdr:cNvPr id="207" name="Straight Connector 206">
          <a:extLst>
            <a:ext uri="{FF2B5EF4-FFF2-40B4-BE49-F238E27FC236}">
              <a16:creationId xmlns:a16="http://schemas.microsoft.com/office/drawing/2014/main" id="{00000000-0008-0000-0E00-0000CF000000}"/>
            </a:ext>
          </a:extLst>
        </xdr:cNvPr>
        <xdr:cNvCxnSpPr/>
      </xdr:nvCxnSpPr>
      <xdr:spPr>
        <a:xfrm flipV="1">
          <a:off x="219075" y="40290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1520</xdr:row>
      <xdr:rowOff>180975</xdr:rowOff>
    </xdr:from>
    <xdr:to>
      <xdr:col>5</xdr:col>
      <xdr:colOff>1102492</xdr:colOff>
      <xdr:row>1520</xdr:row>
      <xdr:rowOff>180976</xdr:rowOff>
    </xdr:to>
    <xdr:cxnSp macro="">
      <xdr:nvCxnSpPr>
        <xdr:cNvPr id="208" name="Straight Connector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CxnSpPr/>
      </xdr:nvCxnSpPr>
      <xdr:spPr>
        <a:xfrm flipV="1">
          <a:off x="209550" y="40528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1533</xdr:row>
      <xdr:rowOff>0</xdr:rowOff>
    </xdr:from>
    <xdr:to>
      <xdr:col>5</xdr:col>
      <xdr:colOff>257175</xdr:colOff>
      <xdr:row>1533</xdr:row>
      <xdr:rowOff>0</xdr:rowOff>
    </xdr:to>
    <xdr:cxnSp macro="">
      <xdr:nvCxnSpPr>
        <xdr:cNvPr id="209" name="Straight Connector 208">
          <a:extLst>
            <a:ext uri="{FF2B5EF4-FFF2-40B4-BE49-F238E27FC236}">
              <a16:creationId xmlns:a16="http://schemas.microsoft.com/office/drawing/2014/main" id="{00000000-0008-0000-0E00-0000D1000000}"/>
            </a:ext>
          </a:extLst>
        </xdr:cNvPr>
        <xdr:cNvCxnSpPr/>
      </xdr:nvCxnSpPr>
      <xdr:spPr>
        <a:xfrm>
          <a:off x="4019550" y="42872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1533</xdr:row>
      <xdr:rowOff>9525</xdr:rowOff>
    </xdr:from>
    <xdr:to>
      <xdr:col>2</xdr:col>
      <xdr:colOff>400050</xdr:colOff>
      <xdr:row>1533</xdr:row>
      <xdr:rowOff>9525</xdr:rowOff>
    </xdr:to>
    <xdr:cxnSp macro="">
      <xdr:nvCxnSpPr>
        <xdr:cNvPr id="210" name="Straight Connector 209">
          <a:extLst>
            <a:ext uri="{FF2B5EF4-FFF2-40B4-BE49-F238E27FC236}">
              <a16:creationId xmlns:a16="http://schemas.microsoft.com/office/drawing/2014/main" id="{00000000-0008-0000-0E00-0000D2000000}"/>
            </a:ext>
          </a:extLst>
        </xdr:cNvPr>
        <xdr:cNvCxnSpPr/>
      </xdr:nvCxnSpPr>
      <xdr:spPr>
        <a:xfrm>
          <a:off x="742950" y="42881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1562</xdr:row>
      <xdr:rowOff>180975</xdr:rowOff>
    </xdr:from>
    <xdr:to>
      <xdr:col>6</xdr:col>
      <xdr:colOff>0</xdr:colOff>
      <xdr:row>1562</xdr:row>
      <xdr:rowOff>180976</xdr:rowOff>
    </xdr:to>
    <xdr:cxnSp macro="">
      <xdr:nvCxnSpPr>
        <xdr:cNvPr id="211" name="Straight Connector 210">
          <a:extLst>
            <a:ext uri="{FF2B5EF4-FFF2-40B4-BE49-F238E27FC236}">
              <a16:creationId xmlns:a16="http://schemas.microsoft.com/office/drawing/2014/main" id="{00000000-0008-0000-0E00-0000D3000000}"/>
            </a:ext>
          </a:extLst>
        </xdr:cNvPr>
        <xdr:cNvCxnSpPr/>
      </xdr:nvCxnSpPr>
      <xdr:spPr>
        <a:xfrm flipV="1">
          <a:off x="221483" y="50406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1563</xdr:row>
      <xdr:rowOff>190500</xdr:rowOff>
    </xdr:from>
    <xdr:to>
      <xdr:col>5</xdr:col>
      <xdr:colOff>1112017</xdr:colOff>
      <xdr:row>1563</xdr:row>
      <xdr:rowOff>190501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00000000-0008-0000-0E00-0000D4000000}"/>
            </a:ext>
          </a:extLst>
        </xdr:cNvPr>
        <xdr:cNvCxnSpPr/>
      </xdr:nvCxnSpPr>
      <xdr:spPr>
        <a:xfrm flipV="1">
          <a:off x="219075" y="50653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1564</xdr:row>
      <xdr:rowOff>180975</xdr:rowOff>
    </xdr:from>
    <xdr:to>
      <xdr:col>5</xdr:col>
      <xdr:colOff>1112017</xdr:colOff>
      <xdr:row>1564</xdr:row>
      <xdr:rowOff>180976</xdr:rowOff>
    </xdr:to>
    <xdr:cxnSp macro="">
      <xdr:nvCxnSpPr>
        <xdr:cNvPr id="213" name="Straight Connector 212">
          <a:extLst>
            <a:ext uri="{FF2B5EF4-FFF2-40B4-BE49-F238E27FC236}">
              <a16:creationId xmlns:a16="http://schemas.microsoft.com/office/drawing/2014/main" id="{00000000-0008-0000-0E00-0000D5000000}"/>
            </a:ext>
          </a:extLst>
        </xdr:cNvPr>
        <xdr:cNvCxnSpPr/>
      </xdr:nvCxnSpPr>
      <xdr:spPr>
        <a:xfrm flipV="1">
          <a:off x="219075" y="50882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1565</xdr:row>
      <xdr:rowOff>180975</xdr:rowOff>
    </xdr:from>
    <xdr:to>
      <xdr:col>5</xdr:col>
      <xdr:colOff>1102492</xdr:colOff>
      <xdr:row>1565</xdr:row>
      <xdr:rowOff>180976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0000000-0008-0000-0E00-0000D6000000}"/>
            </a:ext>
          </a:extLst>
        </xdr:cNvPr>
        <xdr:cNvCxnSpPr/>
      </xdr:nvCxnSpPr>
      <xdr:spPr>
        <a:xfrm flipV="1">
          <a:off x="209550" y="51120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1578</xdr:row>
      <xdr:rowOff>0</xdr:rowOff>
    </xdr:from>
    <xdr:to>
      <xdr:col>5</xdr:col>
      <xdr:colOff>257175</xdr:colOff>
      <xdr:row>1578</xdr:row>
      <xdr:rowOff>0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00000000-0008-0000-0E00-0000D700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1578</xdr:row>
      <xdr:rowOff>9525</xdr:rowOff>
    </xdr:from>
    <xdr:to>
      <xdr:col>2</xdr:col>
      <xdr:colOff>400050</xdr:colOff>
      <xdr:row>1578</xdr:row>
      <xdr:rowOff>9525</xdr:rowOff>
    </xdr:to>
    <xdr:cxnSp macro="">
      <xdr:nvCxnSpPr>
        <xdr:cNvPr id="216" name="Straight Connector 215">
          <a:extLst>
            <a:ext uri="{FF2B5EF4-FFF2-40B4-BE49-F238E27FC236}">
              <a16:creationId xmlns:a16="http://schemas.microsoft.com/office/drawing/2014/main" id="{00000000-0008-0000-0E00-0000D800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1607</xdr:row>
      <xdr:rowOff>180975</xdr:rowOff>
    </xdr:from>
    <xdr:to>
      <xdr:col>6</xdr:col>
      <xdr:colOff>0</xdr:colOff>
      <xdr:row>1607</xdr:row>
      <xdr:rowOff>180976</xdr:rowOff>
    </xdr:to>
    <xdr:cxnSp macro="">
      <xdr:nvCxnSpPr>
        <xdr:cNvPr id="217" name="Straight Connector 216">
          <a:extLst>
            <a:ext uri="{FF2B5EF4-FFF2-40B4-BE49-F238E27FC236}">
              <a16:creationId xmlns:a16="http://schemas.microsoft.com/office/drawing/2014/main" id="{00000000-0008-0000-0E00-0000D900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1608</xdr:row>
      <xdr:rowOff>190500</xdr:rowOff>
    </xdr:from>
    <xdr:to>
      <xdr:col>5</xdr:col>
      <xdr:colOff>1112017</xdr:colOff>
      <xdr:row>1608</xdr:row>
      <xdr:rowOff>190501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00000000-0008-0000-0E00-0000DA00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1609</xdr:row>
      <xdr:rowOff>180975</xdr:rowOff>
    </xdr:from>
    <xdr:to>
      <xdr:col>5</xdr:col>
      <xdr:colOff>1112017</xdr:colOff>
      <xdr:row>1609</xdr:row>
      <xdr:rowOff>180976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00000000-0008-0000-0E00-0000DB00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1610</xdr:row>
      <xdr:rowOff>180975</xdr:rowOff>
    </xdr:from>
    <xdr:to>
      <xdr:col>5</xdr:col>
      <xdr:colOff>1102492</xdr:colOff>
      <xdr:row>1610</xdr:row>
      <xdr:rowOff>180976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E00-0000DC00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1623</xdr:row>
      <xdr:rowOff>0</xdr:rowOff>
    </xdr:from>
    <xdr:to>
      <xdr:col>5</xdr:col>
      <xdr:colOff>257175</xdr:colOff>
      <xdr:row>1623</xdr:row>
      <xdr:rowOff>0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E00-0000DD000000}"/>
            </a:ext>
          </a:extLst>
        </xdr:cNvPr>
        <xdr:cNvCxnSpPr/>
      </xdr:nvCxnSpPr>
      <xdr:spPr>
        <a:xfrm>
          <a:off x="4019550" y="64055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1623</xdr:row>
      <xdr:rowOff>9525</xdr:rowOff>
    </xdr:from>
    <xdr:to>
      <xdr:col>2</xdr:col>
      <xdr:colOff>400050</xdr:colOff>
      <xdr:row>1623</xdr:row>
      <xdr:rowOff>9525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E00-0000DE000000}"/>
            </a:ext>
          </a:extLst>
        </xdr:cNvPr>
        <xdr:cNvCxnSpPr/>
      </xdr:nvCxnSpPr>
      <xdr:spPr>
        <a:xfrm>
          <a:off x="742950" y="64065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1652</xdr:row>
      <xdr:rowOff>180975</xdr:rowOff>
    </xdr:from>
    <xdr:to>
      <xdr:col>6</xdr:col>
      <xdr:colOff>0</xdr:colOff>
      <xdr:row>1652</xdr:row>
      <xdr:rowOff>180976</xdr:rowOff>
    </xdr:to>
    <xdr:cxnSp macro="">
      <xdr:nvCxnSpPr>
        <xdr:cNvPr id="223" name="Straight Connector 222">
          <a:extLst>
            <a:ext uri="{FF2B5EF4-FFF2-40B4-BE49-F238E27FC236}">
              <a16:creationId xmlns:a16="http://schemas.microsoft.com/office/drawing/2014/main" id="{00000000-0008-0000-0E00-0000DF000000}"/>
            </a:ext>
          </a:extLst>
        </xdr:cNvPr>
        <xdr:cNvCxnSpPr/>
      </xdr:nvCxnSpPr>
      <xdr:spPr>
        <a:xfrm flipV="1">
          <a:off x="221483" y="71589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1653</xdr:row>
      <xdr:rowOff>190500</xdr:rowOff>
    </xdr:from>
    <xdr:to>
      <xdr:col>5</xdr:col>
      <xdr:colOff>1112017</xdr:colOff>
      <xdr:row>1653</xdr:row>
      <xdr:rowOff>190501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00000000-0008-0000-0E00-0000E0000000}"/>
            </a:ext>
          </a:extLst>
        </xdr:cNvPr>
        <xdr:cNvCxnSpPr/>
      </xdr:nvCxnSpPr>
      <xdr:spPr>
        <a:xfrm flipV="1">
          <a:off x="219075" y="71837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1654</xdr:row>
      <xdr:rowOff>180975</xdr:rowOff>
    </xdr:from>
    <xdr:to>
      <xdr:col>5</xdr:col>
      <xdr:colOff>1112017</xdr:colOff>
      <xdr:row>1654</xdr:row>
      <xdr:rowOff>180976</xdr:rowOff>
    </xdr:to>
    <xdr:cxnSp macro="">
      <xdr:nvCxnSpPr>
        <xdr:cNvPr id="225" name="Straight Connector 224">
          <a:extLst>
            <a:ext uri="{FF2B5EF4-FFF2-40B4-BE49-F238E27FC236}">
              <a16:creationId xmlns:a16="http://schemas.microsoft.com/office/drawing/2014/main" id="{00000000-0008-0000-0E00-0000E1000000}"/>
            </a:ext>
          </a:extLst>
        </xdr:cNvPr>
        <xdr:cNvCxnSpPr/>
      </xdr:nvCxnSpPr>
      <xdr:spPr>
        <a:xfrm flipV="1">
          <a:off x="219075" y="72066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1655</xdr:row>
      <xdr:rowOff>180975</xdr:rowOff>
    </xdr:from>
    <xdr:to>
      <xdr:col>5</xdr:col>
      <xdr:colOff>1102492</xdr:colOff>
      <xdr:row>1655</xdr:row>
      <xdr:rowOff>180976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E00-0000E2000000}"/>
            </a:ext>
          </a:extLst>
        </xdr:cNvPr>
        <xdr:cNvCxnSpPr/>
      </xdr:nvCxnSpPr>
      <xdr:spPr>
        <a:xfrm flipV="1">
          <a:off x="209550" y="72304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1668</xdr:row>
      <xdr:rowOff>0</xdr:rowOff>
    </xdr:from>
    <xdr:to>
      <xdr:col>5</xdr:col>
      <xdr:colOff>257175</xdr:colOff>
      <xdr:row>1668</xdr:row>
      <xdr:rowOff>0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00000000-0008-0000-0E00-0000E3000000}"/>
            </a:ext>
          </a:extLst>
        </xdr:cNvPr>
        <xdr:cNvCxnSpPr/>
      </xdr:nvCxnSpPr>
      <xdr:spPr>
        <a:xfrm>
          <a:off x="4019550" y="74647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1668</xdr:row>
      <xdr:rowOff>9525</xdr:rowOff>
    </xdr:from>
    <xdr:to>
      <xdr:col>2</xdr:col>
      <xdr:colOff>400050</xdr:colOff>
      <xdr:row>1668</xdr:row>
      <xdr:rowOff>9525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E00-0000E4000000}"/>
            </a:ext>
          </a:extLst>
        </xdr:cNvPr>
        <xdr:cNvCxnSpPr/>
      </xdr:nvCxnSpPr>
      <xdr:spPr>
        <a:xfrm>
          <a:off x="742950" y="74656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1697</xdr:row>
      <xdr:rowOff>180975</xdr:rowOff>
    </xdr:from>
    <xdr:to>
      <xdr:col>6</xdr:col>
      <xdr:colOff>0</xdr:colOff>
      <xdr:row>1697</xdr:row>
      <xdr:rowOff>180976</xdr:rowOff>
    </xdr:to>
    <xdr:cxnSp macro="">
      <xdr:nvCxnSpPr>
        <xdr:cNvPr id="229" name="Straight Connector 228">
          <a:extLst>
            <a:ext uri="{FF2B5EF4-FFF2-40B4-BE49-F238E27FC236}">
              <a16:creationId xmlns:a16="http://schemas.microsoft.com/office/drawing/2014/main" id="{00000000-0008-0000-0E00-0000E5000000}"/>
            </a:ext>
          </a:extLst>
        </xdr:cNvPr>
        <xdr:cNvCxnSpPr/>
      </xdr:nvCxnSpPr>
      <xdr:spPr>
        <a:xfrm flipV="1">
          <a:off x="221483" y="82181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1698</xdr:row>
      <xdr:rowOff>190500</xdr:rowOff>
    </xdr:from>
    <xdr:to>
      <xdr:col>5</xdr:col>
      <xdr:colOff>1112017</xdr:colOff>
      <xdr:row>1698</xdr:row>
      <xdr:rowOff>190501</xdr:rowOff>
    </xdr:to>
    <xdr:cxnSp macro="">
      <xdr:nvCxnSpPr>
        <xdr:cNvPr id="230" name="Straight Connector 229">
          <a:extLst>
            <a:ext uri="{FF2B5EF4-FFF2-40B4-BE49-F238E27FC236}">
              <a16:creationId xmlns:a16="http://schemas.microsoft.com/office/drawing/2014/main" id="{00000000-0008-0000-0E00-0000E6000000}"/>
            </a:ext>
          </a:extLst>
        </xdr:cNvPr>
        <xdr:cNvCxnSpPr/>
      </xdr:nvCxnSpPr>
      <xdr:spPr>
        <a:xfrm flipV="1">
          <a:off x="219075" y="82429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1699</xdr:row>
      <xdr:rowOff>180975</xdr:rowOff>
    </xdr:from>
    <xdr:to>
      <xdr:col>5</xdr:col>
      <xdr:colOff>1112017</xdr:colOff>
      <xdr:row>1699</xdr:row>
      <xdr:rowOff>180976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id="{00000000-0008-0000-0E00-0000E7000000}"/>
            </a:ext>
          </a:extLst>
        </xdr:cNvPr>
        <xdr:cNvCxnSpPr/>
      </xdr:nvCxnSpPr>
      <xdr:spPr>
        <a:xfrm flipV="1">
          <a:off x="219075" y="82657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1700</xdr:row>
      <xdr:rowOff>180975</xdr:rowOff>
    </xdr:from>
    <xdr:to>
      <xdr:col>5</xdr:col>
      <xdr:colOff>1102492</xdr:colOff>
      <xdr:row>1700</xdr:row>
      <xdr:rowOff>180976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00000000-0008-0000-0E00-0000E8000000}"/>
            </a:ext>
          </a:extLst>
        </xdr:cNvPr>
        <xdr:cNvCxnSpPr/>
      </xdr:nvCxnSpPr>
      <xdr:spPr>
        <a:xfrm flipV="1">
          <a:off x="209550" y="82896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1713</xdr:row>
      <xdr:rowOff>0</xdr:rowOff>
    </xdr:from>
    <xdr:to>
      <xdr:col>5</xdr:col>
      <xdr:colOff>257175</xdr:colOff>
      <xdr:row>1713</xdr:row>
      <xdr:rowOff>0</xdr:rowOff>
    </xdr:to>
    <xdr:cxnSp macro="">
      <xdr:nvCxnSpPr>
        <xdr:cNvPr id="233" name="Straight Connector 232">
          <a:extLst>
            <a:ext uri="{FF2B5EF4-FFF2-40B4-BE49-F238E27FC236}">
              <a16:creationId xmlns:a16="http://schemas.microsoft.com/office/drawing/2014/main" id="{00000000-0008-0000-0E00-0000E9000000}"/>
            </a:ext>
          </a:extLst>
        </xdr:cNvPr>
        <xdr:cNvCxnSpPr/>
      </xdr:nvCxnSpPr>
      <xdr:spPr>
        <a:xfrm>
          <a:off x="4019550" y="85239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1713</xdr:row>
      <xdr:rowOff>9525</xdr:rowOff>
    </xdr:from>
    <xdr:to>
      <xdr:col>2</xdr:col>
      <xdr:colOff>400050</xdr:colOff>
      <xdr:row>1713</xdr:row>
      <xdr:rowOff>9525</xdr:rowOff>
    </xdr:to>
    <xdr:cxnSp macro="">
      <xdr:nvCxnSpPr>
        <xdr:cNvPr id="234" name="Straight Connector 233">
          <a:extLst>
            <a:ext uri="{FF2B5EF4-FFF2-40B4-BE49-F238E27FC236}">
              <a16:creationId xmlns:a16="http://schemas.microsoft.com/office/drawing/2014/main" id="{00000000-0008-0000-0E00-0000EA000000}"/>
            </a:ext>
          </a:extLst>
        </xdr:cNvPr>
        <xdr:cNvCxnSpPr/>
      </xdr:nvCxnSpPr>
      <xdr:spPr>
        <a:xfrm>
          <a:off x="742950" y="85248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1742</xdr:row>
      <xdr:rowOff>180975</xdr:rowOff>
    </xdr:from>
    <xdr:to>
      <xdr:col>6</xdr:col>
      <xdr:colOff>0</xdr:colOff>
      <xdr:row>1742</xdr:row>
      <xdr:rowOff>180976</xdr:rowOff>
    </xdr:to>
    <xdr:cxnSp macro="">
      <xdr:nvCxnSpPr>
        <xdr:cNvPr id="235" name="Straight Connector 234">
          <a:extLst>
            <a:ext uri="{FF2B5EF4-FFF2-40B4-BE49-F238E27FC236}">
              <a16:creationId xmlns:a16="http://schemas.microsoft.com/office/drawing/2014/main" id="{00000000-0008-0000-0E00-0000EB000000}"/>
            </a:ext>
          </a:extLst>
        </xdr:cNvPr>
        <xdr:cNvCxnSpPr/>
      </xdr:nvCxnSpPr>
      <xdr:spPr>
        <a:xfrm flipV="1">
          <a:off x="221483" y="92773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1743</xdr:row>
      <xdr:rowOff>190500</xdr:rowOff>
    </xdr:from>
    <xdr:to>
      <xdr:col>5</xdr:col>
      <xdr:colOff>1112017</xdr:colOff>
      <xdr:row>1743</xdr:row>
      <xdr:rowOff>190501</xdr:rowOff>
    </xdr:to>
    <xdr:cxnSp macro="">
      <xdr:nvCxnSpPr>
        <xdr:cNvPr id="236" name="Straight Connector 235">
          <a:extLst>
            <a:ext uri="{FF2B5EF4-FFF2-40B4-BE49-F238E27FC236}">
              <a16:creationId xmlns:a16="http://schemas.microsoft.com/office/drawing/2014/main" id="{00000000-0008-0000-0E00-0000EC000000}"/>
            </a:ext>
          </a:extLst>
        </xdr:cNvPr>
        <xdr:cNvCxnSpPr/>
      </xdr:nvCxnSpPr>
      <xdr:spPr>
        <a:xfrm flipV="1">
          <a:off x="219075" y="93021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1744</xdr:row>
      <xdr:rowOff>180975</xdr:rowOff>
    </xdr:from>
    <xdr:to>
      <xdr:col>5</xdr:col>
      <xdr:colOff>1112017</xdr:colOff>
      <xdr:row>1744</xdr:row>
      <xdr:rowOff>180976</xdr:rowOff>
    </xdr:to>
    <xdr:cxnSp macro="">
      <xdr:nvCxnSpPr>
        <xdr:cNvPr id="237" name="Straight Connector 236">
          <a:extLst>
            <a:ext uri="{FF2B5EF4-FFF2-40B4-BE49-F238E27FC236}">
              <a16:creationId xmlns:a16="http://schemas.microsoft.com/office/drawing/2014/main" id="{00000000-0008-0000-0E00-0000ED000000}"/>
            </a:ext>
          </a:extLst>
        </xdr:cNvPr>
        <xdr:cNvCxnSpPr/>
      </xdr:nvCxnSpPr>
      <xdr:spPr>
        <a:xfrm flipV="1">
          <a:off x="219075" y="93249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1745</xdr:row>
      <xdr:rowOff>180975</xdr:rowOff>
    </xdr:from>
    <xdr:to>
      <xdr:col>5</xdr:col>
      <xdr:colOff>1102492</xdr:colOff>
      <xdr:row>1745</xdr:row>
      <xdr:rowOff>180976</xdr:rowOff>
    </xdr:to>
    <xdr:cxnSp macro="">
      <xdr:nvCxnSpPr>
        <xdr:cNvPr id="238" name="Straight Connector 237">
          <a:extLst>
            <a:ext uri="{FF2B5EF4-FFF2-40B4-BE49-F238E27FC236}">
              <a16:creationId xmlns:a16="http://schemas.microsoft.com/office/drawing/2014/main" id="{00000000-0008-0000-0E00-0000EE000000}"/>
            </a:ext>
          </a:extLst>
        </xdr:cNvPr>
        <xdr:cNvCxnSpPr/>
      </xdr:nvCxnSpPr>
      <xdr:spPr>
        <a:xfrm flipV="1">
          <a:off x="209550" y="93487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1758</xdr:row>
      <xdr:rowOff>0</xdr:rowOff>
    </xdr:from>
    <xdr:to>
      <xdr:col>5</xdr:col>
      <xdr:colOff>257175</xdr:colOff>
      <xdr:row>1758</xdr:row>
      <xdr:rowOff>0</xdr:rowOff>
    </xdr:to>
    <xdr:cxnSp macro="">
      <xdr:nvCxnSpPr>
        <xdr:cNvPr id="239" name="Straight Connector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CxnSpPr/>
      </xdr:nvCxnSpPr>
      <xdr:spPr>
        <a:xfrm>
          <a:off x="4019550" y="95831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1758</xdr:row>
      <xdr:rowOff>9525</xdr:rowOff>
    </xdr:from>
    <xdr:to>
      <xdr:col>2</xdr:col>
      <xdr:colOff>400050</xdr:colOff>
      <xdr:row>1758</xdr:row>
      <xdr:rowOff>9525</xdr:rowOff>
    </xdr:to>
    <xdr:cxnSp macro="">
      <xdr:nvCxnSpPr>
        <xdr:cNvPr id="240" name="Straight Connector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CxnSpPr/>
      </xdr:nvCxnSpPr>
      <xdr:spPr>
        <a:xfrm>
          <a:off x="742950" y="95840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1787</xdr:row>
      <xdr:rowOff>180975</xdr:rowOff>
    </xdr:from>
    <xdr:to>
      <xdr:col>6</xdr:col>
      <xdr:colOff>0</xdr:colOff>
      <xdr:row>1787</xdr:row>
      <xdr:rowOff>180976</xdr:rowOff>
    </xdr:to>
    <xdr:cxnSp macro="">
      <xdr:nvCxnSpPr>
        <xdr:cNvPr id="241" name="Straight Connector 240">
          <a:extLst>
            <a:ext uri="{FF2B5EF4-FFF2-40B4-BE49-F238E27FC236}">
              <a16:creationId xmlns:a16="http://schemas.microsoft.com/office/drawing/2014/main" id="{00000000-0008-0000-0E00-0000F1000000}"/>
            </a:ext>
          </a:extLst>
        </xdr:cNvPr>
        <xdr:cNvCxnSpPr/>
      </xdr:nvCxnSpPr>
      <xdr:spPr>
        <a:xfrm flipV="1">
          <a:off x="221483" y="103365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1788</xdr:row>
      <xdr:rowOff>190500</xdr:rowOff>
    </xdr:from>
    <xdr:to>
      <xdr:col>5</xdr:col>
      <xdr:colOff>1112017</xdr:colOff>
      <xdr:row>1788</xdr:row>
      <xdr:rowOff>190501</xdr:rowOff>
    </xdr:to>
    <xdr:cxnSp macro="">
      <xdr:nvCxnSpPr>
        <xdr:cNvPr id="242" name="Straight Connector 241">
          <a:extLst>
            <a:ext uri="{FF2B5EF4-FFF2-40B4-BE49-F238E27FC236}">
              <a16:creationId xmlns:a16="http://schemas.microsoft.com/office/drawing/2014/main" id="{00000000-0008-0000-0E00-0000F2000000}"/>
            </a:ext>
          </a:extLst>
        </xdr:cNvPr>
        <xdr:cNvCxnSpPr/>
      </xdr:nvCxnSpPr>
      <xdr:spPr>
        <a:xfrm flipV="1">
          <a:off x="219075" y="103612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1789</xdr:row>
      <xdr:rowOff>180975</xdr:rowOff>
    </xdr:from>
    <xdr:to>
      <xdr:col>5</xdr:col>
      <xdr:colOff>1112017</xdr:colOff>
      <xdr:row>1789</xdr:row>
      <xdr:rowOff>180976</xdr:rowOff>
    </xdr:to>
    <xdr:cxnSp macro="">
      <xdr:nvCxnSpPr>
        <xdr:cNvPr id="243" name="Straight Connector 242">
          <a:extLst>
            <a:ext uri="{FF2B5EF4-FFF2-40B4-BE49-F238E27FC236}">
              <a16:creationId xmlns:a16="http://schemas.microsoft.com/office/drawing/2014/main" id="{00000000-0008-0000-0E00-0000F3000000}"/>
            </a:ext>
          </a:extLst>
        </xdr:cNvPr>
        <xdr:cNvCxnSpPr/>
      </xdr:nvCxnSpPr>
      <xdr:spPr>
        <a:xfrm flipV="1">
          <a:off x="219075" y="103841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1790</xdr:row>
      <xdr:rowOff>180975</xdr:rowOff>
    </xdr:from>
    <xdr:to>
      <xdr:col>5</xdr:col>
      <xdr:colOff>1102492</xdr:colOff>
      <xdr:row>1790</xdr:row>
      <xdr:rowOff>180976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E00-0000F4000000}"/>
            </a:ext>
          </a:extLst>
        </xdr:cNvPr>
        <xdr:cNvCxnSpPr/>
      </xdr:nvCxnSpPr>
      <xdr:spPr>
        <a:xfrm flipV="1">
          <a:off x="209550" y="104079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1803</xdr:row>
      <xdr:rowOff>0</xdr:rowOff>
    </xdr:from>
    <xdr:to>
      <xdr:col>5</xdr:col>
      <xdr:colOff>257175</xdr:colOff>
      <xdr:row>1803</xdr:row>
      <xdr:rowOff>0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00000000-0008-0000-0E00-0000F5000000}"/>
            </a:ext>
          </a:extLst>
        </xdr:cNvPr>
        <xdr:cNvCxnSpPr/>
      </xdr:nvCxnSpPr>
      <xdr:spPr>
        <a:xfrm>
          <a:off x="4019550" y="106422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1803</xdr:row>
      <xdr:rowOff>9525</xdr:rowOff>
    </xdr:from>
    <xdr:to>
      <xdr:col>2</xdr:col>
      <xdr:colOff>400050</xdr:colOff>
      <xdr:row>1803</xdr:row>
      <xdr:rowOff>9525</xdr:rowOff>
    </xdr:to>
    <xdr:cxnSp macro="">
      <xdr:nvCxnSpPr>
        <xdr:cNvPr id="246" name="Straight Connector 245">
          <a:extLst>
            <a:ext uri="{FF2B5EF4-FFF2-40B4-BE49-F238E27FC236}">
              <a16:creationId xmlns:a16="http://schemas.microsoft.com/office/drawing/2014/main" id="{00000000-0008-0000-0E00-0000F6000000}"/>
            </a:ext>
          </a:extLst>
        </xdr:cNvPr>
        <xdr:cNvCxnSpPr/>
      </xdr:nvCxnSpPr>
      <xdr:spPr>
        <a:xfrm>
          <a:off x="742950" y="106432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1832</xdr:row>
      <xdr:rowOff>180975</xdr:rowOff>
    </xdr:from>
    <xdr:to>
      <xdr:col>6</xdr:col>
      <xdr:colOff>0</xdr:colOff>
      <xdr:row>1832</xdr:row>
      <xdr:rowOff>180976</xdr:rowOff>
    </xdr:to>
    <xdr:cxnSp macro="">
      <xdr:nvCxnSpPr>
        <xdr:cNvPr id="247" name="Straight Connector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CxnSpPr/>
      </xdr:nvCxnSpPr>
      <xdr:spPr>
        <a:xfrm flipV="1">
          <a:off x="221483" y="113957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1833</xdr:row>
      <xdr:rowOff>190500</xdr:rowOff>
    </xdr:from>
    <xdr:to>
      <xdr:col>5</xdr:col>
      <xdr:colOff>1112017</xdr:colOff>
      <xdr:row>1833</xdr:row>
      <xdr:rowOff>190501</xdr:rowOff>
    </xdr:to>
    <xdr:cxnSp macro="">
      <xdr:nvCxnSpPr>
        <xdr:cNvPr id="248" name="Straight Connector 247">
          <a:extLst>
            <a:ext uri="{FF2B5EF4-FFF2-40B4-BE49-F238E27FC236}">
              <a16:creationId xmlns:a16="http://schemas.microsoft.com/office/drawing/2014/main" id="{00000000-0008-0000-0E00-0000F8000000}"/>
            </a:ext>
          </a:extLst>
        </xdr:cNvPr>
        <xdr:cNvCxnSpPr/>
      </xdr:nvCxnSpPr>
      <xdr:spPr>
        <a:xfrm flipV="1">
          <a:off x="219075" y="114204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1834</xdr:row>
      <xdr:rowOff>180975</xdr:rowOff>
    </xdr:from>
    <xdr:to>
      <xdr:col>5</xdr:col>
      <xdr:colOff>1112017</xdr:colOff>
      <xdr:row>1834</xdr:row>
      <xdr:rowOff>180976</xdr:rowOff>
    </xdr:to>
    <xdr:cxnSp macro="">
      <xdr:nvCxnSpPr>
        <xdr:cNvPr id="249" name="Straight Connector 248">
          <a:extLst>
            <a:ext uri="{FF2B5EF4-FFF2-40B4-BE49-F238E27FC236}">
              <a16:creationId xmlns:a16="http://schemas.microsoft.com/office/drawing/2014/main" id="{00000000-0008-0000-0E00-0000F9000000}"/>
            </a:ext>
          </a:extLst>
        </xdr:cNvPr>
        <xdr:cNvCxnSpPr/>
      </xdr:nvCxnSpPr>
      <xdr:spPr>
        <a:xfrm flipV="1">
          <a:off x="219075" y="114433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1835</xdr:row>
      <xdr:rowOff>180975</xdr:rowOff>
    </xdr:from>
    <xdr:to>
      <xdr:col>5</xdr:col>
      <xdr:colOff>1102492</xdr:colOff>
      <xdr:row>1835</xdr:row>
      <xdr:rowOff>180976</xdr:rowOff>
    </xdr:to>
    <xdr:cxnSp macro="">
      <xdr:nvCxnSpPr>
        <xdr:cNvPr id="250" name="Straight Connector 249">
          <a:extLst>
            <a:ext uri="{FF2B5EF4-FFF2-40B4-BE49-F238E27FC236}">
              <a16:creationId xmlns:a16="http://schemas.microsoft.com/office/drawing/2014/main" id="{00000000-0008-0000-0E00-0000FA000000}"/>
            </a:ext>
          </a:extLst>
        </xdr:cNvPr>
        <xdr:cNvCxnSpPr/>
      </xdr:nvCxnSpPr>
      <xdr:spPr>
        <a:xfrm flipV="1">
          <a:off x="209550" y="114671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1848</xdr:row>
      <xdr:rowOff>0</xdr:rowOff>
    </xdr:from>
    <xdr:to>
      <xdr:col>5</xdr:col>
      <xdr:colOff>257175</xdr:colOff>
      <xdr:row>1848</xdr:row>
      <xdr:rowOff>0</xdr:rowOff>
    </xdr:to>
    <xdr:cxnSp macro="">
      <xdr:nvCxnSpPr>
        <xdr:cNvPr id="251" name="Straight Connector 250">
          <a:extLst>
            <a:ext uri="{FF2B5EF4-FFF2-40B4-BE49-F238E27FC236}">
              <a16:creationId xmlns:a16="http://schemas.microsoft.com/office/drawing/2014/main" id="{00000000-0008-0000-0E00-0000FB00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1848</xdr:row>
      <xdr:rowOff>9525</xdr:rowOff>
    </xdr:from>
    <xdr:to>
      <xdr:col>2</xdr:col>
      <xdr:colOff>400050</xdr:colOff>
      <xdr:row>1848</xdr:row>
      <xdr:rowOff>9525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E00-0000FC00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1877</xdr:row>
      <xdr:rowOff>180975</xdr:rowOff>
    </xdr:from>
    <xdr:to>
      <xdr:col>6</xdr:col>
      <xdr:colOff>0</xdr:colOff>
      <xdr:row>1877</xdr:row>
      <xdr:rowOff>180976</xdr:rowOff>
    </xdr:to>
    <xdr:cxnSp macro="">
      <xdr:nvCxnSpPr>
        <xdr:cNvPr id="253" name="Straight Connector 252">
          <a:extLst>
            <a:ext uri="{FF2B5EF4-FFF2-40B4-BE49-F238E27FC236}">
              <a16:creationId xmlns:a16="http://schemas.microsoft.com/office/drawing/2014/main" id="{00000000-0008-0000-0E00-0000FD00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1878</xdr:row>
      <xdr:rowOff>190500</xdr:rowOff>
    </xdr:from>
    <xdr:to>
      <xdr:col>5</xdr:col>
      <xdr:colOff>1112017</xdr:colOff>
      <xdr:row>1878</xdr:row>
      <xdr:rowOff>190501</xdr:rowOff>
    </xdr:to>
    <xdr:cxnSp macro="">
      <xdr:nvCxnSpPr>
        <xdr:cNvPr id="254" name="Straight Connector 253">
          <a:extLst>
            <a:ext uri="{FF2B5EF4-FFF2-40B4-BE49-F238E27FC236}">
              <a16:creationId xmlns:a16="http://schemas.microsoft.com/office/drawing/2014/main" id="{00000000-0008-0000-0E00-0000FE00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1879</xdr:row>
      <xdr:rowOff>180975</xdr:rowOff>
    </xdr:from>
    <xdr:to>
      <xdr:col>5</xdr:col>
      <xdr:colOff>1112017</xdr:colOff>
      <xdr:row>1879</xdr:row>
      <xdr:rowOff>180976</xdr:rowOff>
    </xdr:to>
    <xdr:cxnSp macro="">
      <xdr:nvCxnSpPr>
        <xdr:cNvPr id="255" name="Straight Connector 254">
          <a:extLst>
            <a:ext uri="{FF2B5EF4-FFF2-40B4-BE49-F238E27FC236}">
              <a16:creationId xmlns:a16="http://schemas.microsoft.com/office/drawing/2014/main" id="{00000000-0008-0000-0E00-0000FF00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1880</xdr:row>
      <xdr:rowOff>180975</xdr:rowOff>
    </xdr:from>
    <xdr:to>
      <xdr:col>5</xdr:col>
      <xdr:colOff>1102492</xdr:colOff>
      <xdr:row>1880</xdr:row>
      <xdr:rowOff>180976</xdr:rowOff>
    </xdr:to>
    <xdr:cxnSp macro="">
      <xdr:nvCxnSpPr>
        <xdr:cNvPr id="256" name="Straight Connector 255">
          <a:extLst>
            <a:ext uri="{FF2B5EF4-FFF2-40B4-BE49-F238E27FC236}">
              <a16:creationId xmlns:a16="http://schemas.microsoft.com/office/drawing/2014/main" id="{00000000-0008-0000-0E00-00000001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1893</xdr:row>
      <xdr:rowOff>0</xdr:rowOff>
    </xdr:from>
    <xdr:to>
      <xdr:col>5</xdr:col>
      <xdr:colOff>257175</xdr:colOff>
      <xdr:row>1893</xdr:row>
      <xdr:rowOff>0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id="{00000000-0008-0000-0E00-000001010000}"/>
            </a:ext>
          </a:extLst>
        </xdr:cNvPr>
        <xdr:cNvCxnSpPr/>
      </xdr:nvCxnSpPr>
      <xdr:spPr>
        <a:xfrm>
          <a:off x="4019550" y="21688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1893</xdr:row>
      <xdr:rowOff>9525</xdr:rowOff>
    </xdr:from>
    <xdr:to>
      <xdr:col>2</xdr:col>
      <xdr:colOff>400050</xdr:colOff>
      <xdr:row>1893</xdr:row>
      <xdr:rowOff>9525</xdr:rowOff>
    </xdr:to>
    <xdr:cxnSp macro="">
      <xdr:nvCxnSpPr>
        <xdr:cNvPr id="258" name="Straight Connector 257">
          <a:extLst>
            <a:ext uri="{FF2B5EF4-FFF2-40B4-BE49-F238E27FC236}">
              <a16:creationId xmlns:a16="http://schemas.microsoft.com/office/drawing/2014/main" id="{00000000-0008-0000-0E00-000002010000}"/>
            </a:ext>
          </a:extLst>
        </xdr:cNvPr>
        <xdr:cNvCxnSpPr/>
      </xdr:nvCxnSpPr>
      <xdr:spPr>
        <a:xfrm>
          <a:off x="742950" y="21697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1922</xdr:row>
      <xdr:rowOff>180975</xdr:rowOff>
    </xdr:from>
    <xdr:to>
      <xdr:col>6</xdr:col>
      <xdr:colOff>0</xdr:colOff>
      <xdr:row>1922</xdr:row>
      <xdr:rowOff>180976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00000000-0008-0000-0E00-000003010000}"/>
            </a:ext>
          </a:extLst>
        </xdr:cNvPr>
        <xdr:cNvCxnSpPr/>
      </xdr:nvCxnSpPr>
      <xdr:spPr>
        <a:xfrm flipV="1">
          <a:off x="221483" y="29222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1923</xdr:row>
      <xdr:rowOff>190500</xdr:rowOff>
    </xdr:from>
    <xdr:to>
      <xdr:col>5</xdr:col>
      <xdr:colOff>1112017</xdr:colOff>
      <xdr:row>1923</xdr:row>
      <xdr:rowOff>190501</xdr:rowOff>
    </xdr:to>
    <xdr:cxnSp macro="">
      <xdr:nvCxnSpPr>
        <xdr:cNvPr id="260" name="Straight Connector 259">
          <a:extLst>
            <a:ext uri="{FF2B5EF4-FFF2-40B4-BE49-F238E27FC236}">
              <a16:creationId xmlns:a16="http://schemas.microsoft.com/office/drawing/2014/main" id="{00000000-0008-0000-0E00-000004010000}"/>
            </a:ext>
          </a:extLst>
        </xdr:cNvPr>
        <xdr:cNvCxnSpPr/>
      </xdr:nvCxnSpPr>
      <xdr:spPr>
        <a:xfrm flipV="1">
          <a:off x="219075" y="29470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1924</xdr:row>
      <xdr:rowOff>180975</xdr:rowOff>
    </xdr:from>
    <xdr:to>
      <xdr:col>5</xdr:col>
      <xdr:colOff>1112017</xdr:colOff>
      <xdr:row>1924</xdr:row>
      <xdr:rowOff>180976</xdr:rowOff>
    </xdr:to>
    <xdr:cxnSp macro="">
      <xdr:nvCxnSpPr>
        <xdr:cNvPr id="261" name="Straight Connector 260">
          <a:extLst>
            <a:ext uri="{FF2B5EF4-FFF2-40B4-BE49-F238E27FC236}">
              <a16:creationId xmlns:a16="http://schemas.microsoft.com/office/drawing/2014/main" id="{00000000-0008-0000-0E00-000005010000}"/>
            </a:ext>
          </a:extLst>
        </xdr:cNvPr>
        <xdr:cNvCxnSpPr/>
      </xdr:nvCxnSpPr>
      <xdr:spPr>
        <a:xfrm flipV="1">
          <a:off x="219075" y="29698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1925</xdr:row>
      <xdr:rowOff>180975</xdr:rowOff>
    </xdr:from>
    <xdr:to>
      <xdr:col>5</xdr:col>
      <xdr:colOff>1102492</xdr:colOff>
      <xdr:row>1925</xdr:row>
      <xdr:rowOff>180976</xdr:rowOff>
    </xdr:to>
    <xdr:cxnSp macro="">
      <xdr:nvCxnSpPr>
        <xdr:cNvPr id="262" name="Straight Connector 261">
          <a:extLst>
            <a:ext uri="{FF2B5EF4-FFF2-40B4-BE49-F238E27FC236}">
              <a16:creationId xmlns:a16="http://schemas.microsoft.com/office/drawing/2014/main" id="{00000000-0008-0000-0E00-000006010000}"/>
            </a:ext>
          </a:extLst>
        </xdr:cNvPr>
        <xdr:cNvCxnSpPr/>
      </xdr:nvCxnSpPr>
      <xdr:spPr>
        <a:xfrm flipV="1">
          <a:off x="209550" y="29937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1938</xdr:row>
      <xdr:rowOff>0</xdr:rowOff>
    </xdr:from>
    <xdr:to>
      <xdr:col>5</xdr:col>
      <xdr:colOff>257175</xdr:colOff>
      <xdr:row>1938</xdr:row>
      <xdr:rowOff>0</xdr:rowOff>
    </xdr:to>
    <xdr:cxnSp macro="">
      <xdr:nvCxnSpPr>
        <xdr:cNvPr id="263" name="Straight Connector 262">
          <a:extLst>
            <a:ext uri="{FF2B5EF4-FFF2-40B4-BE49-F238E27FC236}">
              <a16:creationId xmlns:a16="http://schemas.microsoft.com/office/drawing/2014/main" id="{00000000-0008-0000-0E00-000007010000}"/>
            </a:ext>
          </a:extLst>
        </xdr:cNvPr>
        <xdr:cNvCxnSpPr/>
      </xdr:nvCxnSpPr>
      <xdr:spPr>
        <a:xfrm>
          <a:off x="4019550" y="32280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1938</xdr:row>
      <xdr:rowOff>9525</xdr:rowOff>
    </xdr:from>
    <xdr:to>
      <xdr:col>2</xdr:col>
      <xdr:colOff>400050</xdr:colOff>
      <xdr:row>1938</xdr:row>
      <xdr:rowOff>9525</xdr:rowOff>
    </xdr:to>
    <xdr:cxnSp macro="">
      <xdr:nvCxnSpPr>
        <xdr:cNvPr id="264" name="Straight Connector 263">
          <a:extLst>
            <a:ext uri="{FF2B5EF4-FFF2-40B4-BE49-F238E27FC236}">
              <a16:creationId xmlns:a16="http://schemas.microsoft.com/office/drawing/2014/main" id="{00000000-0008-0000-0E00-000008010000}"/>
            </a:ext>
          </a:extLst>
        </xdr:cNvPr>
        <xdr:cNvCxnSpPr/>
      </xdr:nvCxnSpPr>
      <xdr:spPr>
        <a:xfrm>
          <a:off x="742950" y="32289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1967</xdr:row>
      <xdr:rowOff>180975</xdr:rowOff>
    </xdr:from>
    <xdr:to>
      <xdr:col>6</xdr:col>
      <xdr:colOff>0</xdr:colOff>
      <xdr:row>1967</xdr:row>
      <xdr:rowOff>180976</xdr:rowOff>
    </xdr:to>
    <xdr:cxnSp macro="">
      <xdr:nvCxnSpPr>
        <xdr:cNvPr id="265" name="Straight Connector 264">
          <a:extLst>
            <a:ext uri="{FF2B5EF4-FFF2-40B4-BE49-F238E27FC236}">
              <a16:creationId xmlns:a16="http://schemas.microsoft.com/office/drawing/2014/main" id="{00000000-0008-0000-0E00-000009010000}"/>
            </a:ext>
          </a:extLst>
        </xdr:cNvPr>
        <xdr:cNvCxnSpPr/>
      </xdr:nvCxnSpPr>
      <xdr:spPr>
        <a:xfrm flipV="1">
          <a:off x="221483" y="39814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1968</xdr:row>
      <xdr:rowOff>190500</xdr:rowOff>
    </xdr:from>
    <xdr:to>
      <xdr:col>5</xdr:col>
      <xdr:colOff>1112017</xdr:colOff>
      <xdr:row>1968</xdr:row>
      <xdr:rowOff>190501</xdr:rowOff>
    </xdr:to>
    <xdr:cxnSp macro="">
      <xdr:nvCxnSpPr>
        <xdr:cNvPr id="266" name="Straight Connector 265">
          <a:extLst>
            <a:ext uri="{FF2B5EF4-FFF2-40B4-BE49-F238E27FC236}">
              <a16:creationId xmlns:a16="http://schemas.microsoft.com/office/drawing/2014/main" id="{00000000-0008-0000-0E00-00000A010000}"/>
            </a:ext>
          </a:extLst>
        </xdr:cNvPr>
        <xdr:cNvCxnSpPr/>
      </xdr:nvCxnSpPr>
      <xdr:spPr>
        <a:xfrm flipV="1">
          <a:off x="219075" y="40062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1969</xdr:row>
      <xdr:rowOff>180975</xdr:rowOff>
    </xdr:from>
    <xdr:to>
      <xdr:col>5</xdr:col>
      <xdr:colOff>1112017</xdr:colOff>
      <xdr:row>1969</xdr:row>
      <xdr:rowOff>180976</xdr:rowOff>
    </xdr:to>
    <xdr:cxnSp macro="">
      <xdr:nvCxnSpPr>
        <xdr:cNvPr id="267" name="Straight Connector 266">
          <a:extLst>
            <a:ext uri="{FF2B5EF4-FFF2-40B4-BE49-F238E27FC236}">
              <a16:creationId xmlns:a16="http://schemas.microsoft.com/office/drawing/2014/main" id="{00000000-0008-0000-0E00-00000B010000}"/>
            </a:ext>
          </a:extLst>
        </xdr:cNvPr>
        <xdr:cNvCxnSpPr/>
      </xdr:nvCxnSpPr>
      <xdr:spPr>
        <a:xfrm flipV="1">
          <a:off x="219075" y="40290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1970</xdr:row>
      <xdr:rowOff>180975</xdr:rowOff>
    </xdr:from>
    <xdr:to>
      <xdr:col>5</xdr:col>
      <xdr:colOff>1102492</xdr:colOff>
      <xdr:row>1970</xdr:row>
      <xdr:rowOff>180976</xdr:rowOff>
    </xdr:to>
    <xdr:cxnSp macro="">
      <xdr:nvCxnSpPr>
        <xdr:cNvPr id="268" name="Straight Connector 267">
          <a:extLst>
            <a:ext uri="{FF2B5EF4-FFF2-40B4-BE49-F238E27FC236}">
              <a16:creationId xmlns:a16="http://schemas.microsoft.com/office/drawing/2014/main" id="{00000000-0008-0000-0E00-00000C010000}"/>
            </a:ext>
          </a:extLst>
        </xdr:cNvPr>
        <xdr:cNvCxnSpPr/>
      </xdr:nvCxnSpPr>
      <xdr:spPr>
        <a:xfrm flipV="1">
          <a:off x="209550" y="40528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1983</xdr:row>
      <xdr:rowOff>0</xdr:rowOff>
    </xdr:from>
    <xdr:to>
      <xdr:col>5</xdr:col>
      <xdr:colOff>257175</xdr:colOff>
      <xdr:row>1983</xdr:row>
      <xdr:rowOff>0</xdr:rowOff>
    </xdr:to>
    <xdr:cxnSp macro="">
      <xdr:nvCxnSpPr>
        <xdr:cNvPr id="269" name="Straight Connector 268">
          <a:extLst>
            <a:ext uri="{FF2B5EF4-FFF2-40B4-BE49-F238E27FC236}">
              <a16:creationId xmlns:a16="http://schemas.microsoft.com/office/drawing/2014/main" id="{00000000-0008-0000-0E00-00000D010000}"/>
            </a:ext>
          </a:extLst>
        </xdr:cNvPr>
        <xdr:cNvCxnSpPr/>
      </xdr:nvCxnSpPr>
      <xdr:spPr>
        <a:xfrm>
          <a:off x="4019550" y="42872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1983</xdr:row>
      <xdr:rowOff>9525</xdr:rowOff>
    </xdr:from>
    <xdr:to>
      <xdr:col>2</xdr:col>
      <xdr:colOff>400050</xdr:colOff>
      <xdr:row>1983</xdr:row>
      <xdr:rowOff>9525</xdr:rowOff>
    </xdr:to>
    <xdr:cxnSp macro="">
      <xdr:nvCxnSpPr>
        <xdr:cNvPr id="270" name="Straight Connector 269">
          <a:extLst>
            <a:ext uri="{FF2B5EF4-FFF2-40B4-BE49-F238E27FC236}">
              <a16:creationId xmlns:a16="http://schemas.microsoft.com/office/drawing/2014/main" id="{00000000-0008-0000-0E00-00000E010000}"/>
            </a:ext>
          </a:extLst>
        </xdr:cNvPr>
        <xdr:cNvCxnSpPr/>
      </xdr:nvCxnSpPr>
      <xdr:spPr>
        <a:xfrm>
          <a:off x="742950" y="42881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2012</xdr:row>
      <xdr:rowOff>180975</xdr:rowOff>
    </xdr:from>
    <xdr:to>
      <xdr:col>6</xdr:col>
      <xdr:colOff>0</xdr:colOff>
      <xdr:row>2012</xdr:row>
      <xdr:rowOff>180976</xdr:rowOff>
    </xdr:to>
    <xdr:cxnSp macro="">
      <xdr:nvCxnSpPr>
        <xdr:cNvPr id="271" name="Straight Connector 270">
          <a:extLst>
            <a:ext uri="{FF2B5EF4-FFF2-40B4-BE49-F238E27FC236}">
              <a16:creationId xmlns:a16="http://schemas.microsoft.com/office/drawing/2014/main" id="{00000000-0008-0000-0E00-00000F010000}"/>
            </a:ext>
          </a:extLst>
        </xdr:cNvPr>
        <xdr:cNvCxnSpPr/>
      </xdr:nvCxnSpPr>
      <xdr:spPr>
        <a:xfrm flipV="1">
          <a:off x="221483" y="50406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2013</xdr:row>
      <xdr:rowOff>190500</xdr:rowOff>
    </xdr:from>
    <xdr:to>
      <xdr:col>5</xdr:col>
      <xdr:colOff>1112017</xdr:colOff>
      <xdr:row>2013</xdr:row>
      <xdr:rowOff>190501</xdr:rowOff>
    </xdr:to>
    <xdr:cxnSp macro="">
      <xdr:nvCxnSpPr>
        <xdr:cNvPr id="272" name="Straight Connector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CxnSpPr/>
      </xdr:nvCxnSpPr>
      <xdr:spPr>
        <a:xfrm flipV="1">
          <a:off x="219075" y="50653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2014</xdr:row>
      <xdr:rowOff>180975</xdr:rowOff>
    </xdr:from>
    <xdr:to>
      <xdr:col>5</xdr:col>
      <xdr:colOff>1112017</xdr:colOff>
      <xdr:row>2014</xdr:row>
      <xdr:rowOff>180976</xdr:rowOff>
    </xdr:to>
    <xdr:cxnSp macro="">
      <xdr:nvCxnSpPr>
        <xdr:cNvPr id="273" name="Straight Connector 272">
          <a:extLst>
            <a:ext uri="{FF2B5EF4-FFF2-40B4-BE49-F238E27FC236}">
              <a16:creationId xmlns:a16="http://schemas.microsoft.com/office/drawing/2014/main" id="{00000000-0008-0000-0E00-000011010000}"/>
            </a:ext>
          </a:extLst>
        </xdr:cNvPr>
        <xdr:cNvCxnSpPr/>
      </xdr:nvCxnSpPr>
      <xdr:spPr>
        <a:xfrm flipV="1">
          <a:off x="219075" y="50882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2015</xdr:row>
      <xdr:rowOff>180975</xdr:rowOff>
    </xdr:from>
    <xdr:to>
      <xdr:col>5</xdr:col>
      <xdr:colOff>1102492</xdr:colOff>
      <xdr:row>2015</xdr:row>
      <xdr:rowOff>180976</xdr:rowOff>
    </xdr:to>
    <xdr:cxnSp macro="">
      <xdr:nvCxnSpPr>
        <xdr:cNvPr id="274" name="Straight Connector 273">
          <a:extLst>
            <a:ext uri="{FF2B5EF4-FFF2-40B4-BE49-F238E27FC236}">
              <a16:creationId xmlns:a16="http://schemas.microsoft.com/office/drawing/2014/main" id="{00000000-0008-0000-0E00-000012010000}"/>
            </a:ext>
          </a:extLst>
        </xdr:cNvPr>
        <xdr:cNvCxnSpPr/>
      </xdr:nvCxnSpPr>
      <xdr:spPr>
        <a:xfrm flipV="1">
          <a:off x="209550" y="51120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2028</xdr:row>
      <xdr:rowOff>0</xdr:rowOff>
    </xdr:from>
    <xdr:to>
      <xdr:col>5</xdr:col>
      <xdr:colOff>257175</xdr:colOff>
      <xdr:row>2028</xdr:row>
      <xdr:rowOff>0</xdr:rowOff>
    </xdr:to>
    <xdr:cxnSp macro="">
      <xdr:nvCxnSpPr>
        <xdr:cNvPr id="275" name="Straight Connector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CxnSpPr/>
      </xdr:nvCxnSpPr>
      <xdr:spPr>
        <a:xfrm>
          <a:off x="4019550" y="53463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2028</xdr:row>
      <xdr:rowOff>9525</xdr:rowOff>
    </xdr:from>
    <xdr:to>
      <xdr:col>2</xdr:col>
      <xdr:colOff>400050</xdr:colOff>
      <xdr:row>2028</xdr:row>
      <xdr:rowOff>9525</xdr:rowOff>
    </xdr:to>
    <xdr:cxnSp macro="">
      <xdr:nvCxnSpPr>
        <xdr:cNvPr id="276" name="Straight Connector 275">
          <a:extLst>
            <a:ext uri="{FF2B5EF4-FFF2-40B4-BE49-F238E27FC236}">
              <a16:creationId xmlns:a16="http://schemas.microsoft.com/office/drawing/2014/main" id="{00000000-0008-0000-0E00-000014010000}"/>
            </a:ext>
          </a:extLst>
        </xdr:cNvPr>
        <xdr:cNvCxnSpPr/>
      </xdr:nvCxnSpPr>
      <xdr:spPr>
        <a:xfrm>
          <a:off x="742950" y="53473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2057</xdr:row>
      <xdr:rowOff>180975</xdr:rowOff>
    </xdr:from>
    <xdr:to>
      <xdr:col>6</xdr:col>
      <xdr:colOff>0</xdr:colOff>
      <xdr:row>2057</xdr:row>
      <xdr:rowOff>180976</xdr:rowOff>
    </xdr:to>
    <xdr:cxnSp macro="">
      <xdr:nvCxnSpPr>
        <xdr:cNvPr id="277" name="Straight Connector 276">
          <a:extLst>
            <a:ext uri="{FF2B5EF4-FFF2-40B4-BE49-F238E27FC236}">
              <a16:creationId xmlns:a16="http://schemas.microsoft.com/office/drawing/2014/main" id="{00000000-0008-0000-0E00-000015010000}"/>
            </a:ext>
          </a:extLst>
        </xdr:cNvPr>
        <xdr:cNvCxnSpPr/>
      </xdr:nvCxnSpPr>
      <xdr:spPr>
        <a:xfrm flipV="1">
          <a:off x="221483" y="60998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2058</xdr:row>
      <xdr:rowOff>190500</xdr:rowOff>
    </xdr:from>
    <xdr:to>
      <xdr:col>5</xdr:col>
      <xdr:colOff>1112017</xdr:colOff>
      <xdr:row>2058</xdr:row>
      <xdr:rowOff>190501</xdr:rowOff>
    </xdr:to>
    <xdr:cxnSp macro="">
      <xdr:nvCxnSpPr>
        <xdr:cNvPr id="278" name="Straight Connector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CxnSpPr/>
      </xdr:nvCxnSpPr>
      <xdr:spPr>
        <a:xfrm flipV="1">
          <a:off x="219075" y="61245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2059</xdr:row>
      <xdr:rowOff>180975</xdr:rowOff>
    </xdr:from>
    <xdr:to>
      <xdr:col>5</xdr:col>
      <xdr:colOff>1112017</xdr:colOff>
      <xdr:row>2059</xdr:row>
      <xdr:rowOff>180976</xdr:rowOff>
    </xdr:to>
    <xdr:cxnSp macro="">
      <xdr:nvCxnSpPr>
        <xdr:cNvPr id="279" name="Straight Connector 278">
          <a:extLst>
            <a:ext uri="{FF2B5EF4-FFF2-40B4-BE49-F238E27FC236}">
              <a16:creationId xmlns:a16="http://schemas.microsoft.com/office/drawing/2014/main" id="{00000000-0008-0000-0E00-000017010000}"/>
            </a:ext>
          </a:extLst>
        </xdr:cNvPr>
        <xdr:cNvCxnSpPr/>
      </xdr:nvCxnSpPr>
      <xdr:spPr>
        <a:xfrm flipV="1">
          <a:off x="219075" y="61474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2060</xdr:row>
      <xdr:rowOff>180975</xdr:rowOff>
    </xdr:from>
    <xdr:to>
      <xdr:col>5</xdr:col>
      <xdr:colOff>1102492</xdr:colOff>
      <xdr:row>2060</xdr:row>
      <xdr:rowOff>180976</xdr:rowOff>
    </xdr:to>
    <xdr:cxnSp macro="">
      <xdr:nvCxnSpPr>
        <xdr:cNvPr id="280" name="Straight Connector 279">
          <a:extLst>
            <a:ext uri="{FF2B5EF4-FFF2-40B4-BE49-F238E27FC236}">
              <a16:creationId xmlns:a16="http://schemas.microsoft.com/office/drawing/2014/main" id="{00000000-0008-0000-0E00-000018010000}"/>
            </a:ext>
          </a:extLst>
        </xdr:cNvPr>
        <xdr:cNvCxnSpPr/>
      </xdr:nvCxnSpPr>
      <xdr:spPr>
        <a:xfrm flipV="1">
          <a:off x="209550" y="61712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2073</xdr:row>
      <xdr:rowOff>0</xdr:rowOff>
    </xdr:from>
    <xdr:to>
      <xdr:col>5</xdr:col>
      <xdr:colOff>257175</xdr:colOff>
      <xdr:row>2073</xdr:row>
      <xdr:rowOff>0</xdr:rowOff>
    </xdr:to>
    <xdr:cxnSp macro="">
      <xdr:nvCxnSpPr>
        <xdr:cNvPr id="281" name="Straight Connector 280">
          <a:extLst>
            <a:ext uri="{FF2B5EF4-FFF2-40B4-BE49-F238E27FC236}">
              <a16:creationId xmlns:a16="http://schemas.microsoft.com/office/drawing/2014/main" id="{00000000-0008-0000-0E00-000019010000}"/>
            </a:ext>
          </a:extLst>
        </xdr:cNvPr>
        <xdr:cNvCxnSpPr/>
      </xdr:nvCxnSpPr>
      <xdr:spPr>
        <a:xfrm>
          <a:off x="4019550" y="64055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2073</xdr:row>
      <xdr:rowOff>9525</xdr:rowOff>
    </xdr:from>
    <xdr:to>
      <xdr:col>2</xdr:col>
      <xdr:colOff>400050</xdr:colOff>
      <xdr:row>2073</xdr:row>
      <xdr:rowOff>9525</xdr:rowOff>
    </xdr:to>
    <xdr:cxnSp macro="">
      <xdr:nvCxnSpPr>
        <xdr:cNvPr id="282" name="Straight Connector 281">
          <a:extLst>
            <a:ext uri="{FF2B5EF4-FFF2-40B4-BE49-F238E27FC236}">
              <a16:creationId xmlns:a16="http://schemas.microsoft.com/office/drawing/2014/main" id="{00000000-0008-0000-0E00-00001A010000}"/>
            </a:ext>
          </a:extLst>
        </xdr:cNvPr>
        <xdr:cNvCxnSpPr/>
      </xdr:nvCxnSpPr>
      <xdr:spPr>
        <a:xfrm>
          <a:off x="742950" y="64065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2102</xdr:row>
      <xdr:rowOff>180975</xdr:rowOff>
    </xdr:from>
    <xdr:to>
      <xdr:col>6</xdr:col>
      <xdr:colOff>0</xdr:colOff>
      <xdr:row>2102</xdr:row>
      <xdr:rowOff>180976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id="{00000000-0008-0000-0E00-00001B010000}"/>
            </a:ext>
          </a:extLst>
        </xdr:cNvPr>
        <xdr:cNvCxnSpPr/>
      </xdr:nvCxnSpPr>
      <xdr:spPr>
        <a:xfrm flipV="1">
          <a:off x="221483" y="71589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2103</xdr:row>
      <xdr:rowOff>190500</xdr:rowOff>
    </xdr:from>
    <xdr:to>
      <xdr:col>5</xdr:col>
      <xdr:colOff>1112017</xdr:colOff>
      <xdr:row>2103</xdr:row>
      <xdr:rowOff>190501</xdr:rowOff>
    </xdr:to>
    <xdr:cxnSp macro="">
      <xdr:nvCxnSpPr>
        <xdr:cNvPr id="284" name="Straight Connector 283">
          <a:extLst>
            <a:ext uri="{FF2B5EF4-FFF2-40B4-BE49-F238E27FC236}">
              <a16:creationId xmlns:a16="http://schemas.microsoft.com/office/drawing/2014/main" id="{00000000-0008-0000-0E00-00001C010000}"/>
            </a:ext>
          </a:extLst>
        </xdr:cNvPr>
        <xdr:cNvCxnSpPr/>
      </xdr:nvCxnSpPr>
      <xdr:spPr>
        <a:xfrm flipV="1">
          <a:off x="219075" y="71837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2104</xdr:row>
      <xdr:rowOff>180975</xdr:rowOff>
    </xdr:from>
    <xdr:to>
      <xdr:col>5</xdr:col>
      <xdr:colOff>1112017</xdr:colOff>
      <xdr:row>2104</xdr:row>
      <xdr:rowOff>180976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E00-00001D010000}"/>
            </a:ext>
          </a:extLst>
        </xdr:cNvPr>
        <xdr:cNvCxnSpPr/>
      </xdr:nvCxnSpPr>
      <xdr:spPr>
        <a:xfrm flipV="1">
          <a:off x="219075" y="72066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2105</xdr:row>
      <xdr:rowOff>180975</xdr:rowOff>
    </xdr:from>
    <xdr:to>
      <xdr:col>5</xdr:col>
      <xdr:colOff>1102492</xdr:colOff>
      <xdr:row>2105</xdr:row>
      <xdr:rowOff>180976</xdr:rowOff>
    </xdr:to>
    <xdr:cxnSp macro="">
      <xdr:nvCxnSpPr>
        <xdr:cNvPr id="286" name="Straight Connector 285">
          <a:extLst>
            <a:ext uri="{FF2B5EF4-FFF2-40B4-BE49-F238E27FC236}">
              <a16:creationId xmlns:a16="http://schemas.microsoft.com/office/drawing/2014/main" id="{00000000-0008-0000-0E00-00001E010000}"/>
            </a:ext>
          </a:extLst>
        </xdr:cNvPr>
        <xdr:cNvCxnSpPr/>
      </xdr:nvCxnSpPr>
      <xdr:spPr>
        <a:xfrm flipV="1">
          <a:off x="209550" y="72304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2118</xdr:row>
      <xdr:rowOff>0</xdr:rowOff>
    </xdr:from>
    <xdr:to>
      <xdr:col>5</xdr:col>
      <xdr:colOff>257175</xdr:colOff>
      <xdr:row>2118</xdr:row>
      <xdr:rowOff>0</xdr:rowOff>
    </xdr:to>
    <xdr:cxnSp macro="">
      <xdr:nvCxnSpPr>
        <xdr:cNvPr id="287" name="Straight Connector 286">
          <a:extLst>
            <a:ext uri="{FF2B5EF4-FFF2-40B4-BE49-F238E27FC236}">
              <a16:creationId xmlns:a16="http://schemas.microsoft.com/office/drawing/2014/main" id="{00000000-0008-0000-0E00-00001F010000}"/>
            </a:ext>
          </a:extLst>
        </xdr:cNvPr>
        <xdr:cNvCxnSpPr/>
      </xdr:nvCxnSpPr>
      <xdr:spPr>
        <a:xfrm>
          <a:off x="4019550" y="74647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2118</xdr:row>
      <xdr:rowOff>9525</xdr:rowOff>
    </xdr:from>
    <xdr:to>
      <xdr:col>2</xdr:col>
      <xdr:colOff>400050</xdr:colOff>
      <xdr:row>2118</xdr:row>
      <xdr:rowOff>9525</xdr:rowOff>
    </xdr:to>
    <xdr:cxnSp macro="">
      <xdr:nvCxnSpPr>
        <xdr:cNvPr id="288" name="Straight Connector 287">
          <a:extLst>
            <a:ext uri="{FF2B5EF4-FFF2-40B4-BE49-F238E27FC236}">
              <a16:creationId xmlns:a16="http://schemas.microsoft.com/office/drawing/2014/main" id="{00000000-0008-0000-0E00-000020010000}"/>
            </a:ext>
          </a:extLst>
        </xdr:cNvPr>
        <xdr:cNvCxnSpPr/>
      </xdr:nvCxnSpPr>
      <xdr:spPr>
        <a:xfrm>
          <a:off x="742950" y="74656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2147</xdr:row>
      <xdr:rowOff>180975</xdr:rowOff>
    </xdr:from>
    <xdr:to>
      <xdr:col>6</xdr:col>
      <xdr:colOff>0</xdr:colOff>
      <xdr:row>2147</xdr:row>
      <xdr:rowOff>180976</xdr:rowOff>
    </xdr:to>
    <xdr:cxnSp macro="">
      <xdr:nvCxnSpPr>
        <xdr:cNvPr id="289" name="Straight Connector 288">
          <a:extLst>
            <a:ext uri="{FF2B5EF4-FFF2-40B4-BE49-F238E27FC236}">
              <a16:creationId xmlns:a16="http://schemas.microsoft.com/office/drawing/2014/main" id="{00000000-0008-0000-0E00-000021010000}"/>
            </a:ext>
          </a:extLst>
        </xdr:cNvPr>
        <xdr:cNvCxnSpPr/>
      </xdr:nvCxnSpPr>
      <xdr:spPr>
        <a:xfrm flipV="1">
          <a:off x="221483" y="82181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2148</xdr:row>
      <xdr:rowOff>190500</xdr:rowOff>
    </xdr:from>
    <xdr:to>
      <xdr:col>5</xdr:col>
      <xdr:colOff>1112017</xdr:colOff>
      <xdr:row>2148</xdr:row>
      <xdr:rowOff>190501</xdr:rowOff>
    </xdr:to>
    <xdr:cxnSp macro="">
      <xdr:nvCxnSpPr>
        <xdr:cNvPr id="290" name="Straight Connector 289">
          <a:extLst>
            <a:ext uri="{FF2B5EF4-FFF2-40B4-BE49-F238E27FC236}">
              <a16:creationId xmlns:a16="http://schemas.microsoft.com/office/drawing/2014/main" id="{00000000-0008-0000-0E00-000022010000}"/>
            </a:ext>
          </a:extLst>
        </xdr:cNvPr>
        <xdr:cNvCxnSpPr/>
      </xdr:nvCxnSpPr>
      <xdr:spPr>
        <a:xfrm flipV="1">
          <a:off x="219075" y="82429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2149</xdr:row>
      <xdr:rowOff>180975</xdr:rowOff>
    </xdr:from>
    <xdr:to>
      <xdr:col>5</xdr:col>
      <xdr:colOff>1112017</xdr:colOff>
      <xdr:row>2149</xdr:row>
      <xdr:rowOff>180976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E00-000023010000}"/>
            </a:ext>
          </a:extLst>
        </xdr:cNvPr>
        <xdr:cNvCxnSpPr/>
      </xdr:nvCxnSpPr>
      <xdr:spPr>
        <a:xfrm flipV="1">
          <a:off x="219075" y="82657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2150</xdr:row>
      <xdr:rowOff>180975</xdr:rowOff>
    </xdr:from>
    <xdr:to>
      <xdr:col>5</xdr:col>
      <xdr:colOff>1102492</xdr:colOff>
      <xdr:row>2150</xdr:row>
      <xdr:rowOff>180976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E00-000024010000}"/>
            </a:ext>
          </a:extLst>
        </xdr:cNvPr>
        <xdr:cNvCxnSpPr/>
      </xdr:nvCxnSpPr>
      <xdr:spPr>
        <a:xfrm flipV="1">
          <a:off x="209550" y="82896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2163</xdr:row>
      <xdr:rowOff>0</xdr:rowOff>
    </xdr:from>
    <xdr:to>
      <xdr:col>5</xdr:col>
      <xdr:colOff>257175</xdr:colOff>
      <xdr:row>2163</xdr:row>
      <xdr:rowOff>0</xdr:rowOff>
    </xdr:to>
    <xdr:cxnSp macro="">
      <xdr:nvCxnSpPr>
        <xdr:cNvPr id="293" name="Straight Connector 292">
          <a:extLst>
            <a:ext uri="{FF2B5EF4-FFF2-40B4-BE49-F238E27FC236}">
              <a16:creationId xmlns:a16="http://schemas.microsoft.com/office/drawing/2014/main" id="{00000000-0008-0000-0E00-000025010000}"/>
            </a:ext>
          </a:extLst>
        </xdr:cNvPr>
        <xdr:cNvCxnSpPr/>
      </xdr:nvCxnSpPr>
      <xdr:spPr>
        <a:xfrm>
          <a:off x="4019550" y="85239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2163</xdr:row>
      <xdr:rowOff>9525</xdr:rowOff>
    </xdr:from>
    <xdr:to>
      <xdr:col>2</xdr:col>
      <xdr:colOff>400050</xdr:colOff>
      <xdr:row>2163</xdr:row>
      <xdr:rowOff>9525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E00-000026010000}"/>
            </a:ext>
          </a:extLst>
        </xdr:cNvPr>
        <xdr:cNvCxnSpPr/>
      </xdr:nvCxnSpPr>
      <xdr:spPr>
        <a:xfrm>
          <a:off x="742950" y="85248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2192</xdr:row>
      <xdr:rowOff>180975</xdr:rowOff>
    </xdr:from>
    <xdr:to>
      <xdr:col>6</xdr:col>
      <xdr:colOff>0</xdr:colOff>
      <xdr:row>2192</xdr:row>
      <xdr:rowOff>180976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id="{00000000-0008-0000-0E00-000027010000}"/>
            </a:ext>
          </a:extLst>
        </xdr:cNvPr>
        <xdr:cNvCxnSpPr/>
      </xdr:nvCxnSpPr>
      <xdr:spPr>
        <a:xfrm flipV="1">
          <a:off x="221483" y="92773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2193</xdr:row>
      <xdr:rowOff>190500</xdr:rowOff>
    </xdr:from>
    <xdr:to>
      <xdr:col>5</xdr:col>
      <xdr:colOff>1112017</xdr:colOff>
      <xdr:row>2193</xdr:row>
      <xdr:rowOff>190501</xdr:rowOff>
    </xdr:to>
    <xdr:cxnSp macro="">
      <xdr:nvCxnSpPr>
        <xdr:cNvPr id="296" name="Straight Connector 295">
          <a:extLst>
            <a:ext uri="{FF2B5EF4-FFF2-40B4-BE49-F238E27FC236}">
              <a16:creationId xmlns:a16="http://schemas.microsoft.com/office/drawing/2014/main" id="{00000000-0008-0000-0E00-000028010000}"/>
            </a:ext>
          </a:extLst>
        </xdr:cNvPr>
        <xdr:cNvCxnSpPr/>
      </xdr:nvCxnSpPr>
      <xdr:spPr>
        <a:xfrm flipV="1">
          <a:off x="219075" y="93021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2194</xdr:row>
      <xdr:rowOff>180975</xdr:rowOff>
    </xdr:from>
    <xdr:to>
      <xdr:col>5</xdr:col>
      <xdr:colOff>1112017</xdr:colOff>
      <xdr:row>2194</xdr:row>
      <xdr:rowOff>180976</xdr:rowOff>
    </xdr:to>
    <xdr:cxnSp macro="">
      <xdr:nvCxnSpPr>
        <xdr:cNvPr id="297" name="Straight Connector 296">
          <a:extLst>
            <a:ext uri="{FF2B5EF4-FFF2-40B4-BE49-F238E27FC236}">
              <a16:creationId xmlns:a16="http://schemas.microsoft.com/office/drawing/2014/main" id="{00000000-0008-0000-0E00-000029010000}"/>
            </a:ext>
          </a:extLst>
        </xdr:cNvPr>
        <xdr:cNvCxnSpPr/>
      </xdr:nvCxnSpPr>
      <xdr:spPr>
        <a:xfrm flipV="1">
          <a:off x="219075" y="93249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2195</xdr:row>
      <xdr:rowOff>180975</xdr:rowOff>
    </xdr:from>
    <xdr:to>
      <xdr:col>5</xdr:col>
      <xdr:colOff>1102492</xdr:colOff>
      <xdr:row>2195</xdr:row>
      <xdr:rowOff>180976</xdr:rowOff>
    </xdr:to>
    <xdr:cxnSp macro="">
      <xdr:nvCxnSpPr>
        <xdr:cNvPr id="298" name="Straight Connector 297">
          <a:extLst>
            <a:ext uri="{FF2B5EF4-FFF2-40B4-BE49-F238E27FC236}">
              <a16:creationId xmlns:a16="http://schemas.microsoft.com/office/drawing/2014/main" id="{00000000-0008-0000-0E00-00002A010000}"/>
            </a:ext>
          </a:extLst>
        </xdr:cNvPr>
        <xdr:cNvCxnSpPr/>
      </xdr:nvCxnSpPr>
      <xdr:spPr>
        <a:xfrm flipV="1">
          <a:off x="209550" y="93487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2208</xdr:row>
      <xdr:rowOff>0</xdr:rowOff>
    </xdr:from>
    <xdr:to>
      <xdr:col>5</xdr:col>
      <xdr:colOff>257175</xdr:colOff>
      <xdr:row>2208</xdr:row>
      <xdr:rowOff>0</xdr:rowOff>
    </xdr:to>
    <xdr:cxnSp macro="">
      <xdr:nvCxnSpPr>
        <xdr:cNvPr id="299" name="Straight Connector 298">
          <a:extLst>
            <a:ext uri="{FF2B5EF4-FFF2-40B4-BE49-F238E27FC236}">
              <a16:creationId xmlns:a16="http://schemas.microsoft.com/office/drawing/2014/main" id="{00000000-0008-0000-0E00-00002B010000}"/>
            </a:ext>
          </a:extLst>
        </xdr:cNvPr>
        <xdr:cNvCxnSpPr/>
      </xdr:nvCxnSpPr>
      <xdr:spPr>
        <a:xfrm>
          <a:off x="4019550" y="95831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2208</xdr:row>
      <xdr:rowOff>9525</xdr:rowOff>
    </xdr:from>
    <xdr:to>
      <xdr:col>2</xdr:col>
      <xdr:colOff>400050</xdr:colOff>
      <xdr:row>2208</xdr:row>
      <xdr:rowOff>9525</xdr:rowOff>
    </xdr:to>
    <xdr:cxnSp macro="">
      <xdr:nvCxnSpPr>
        <xdr:cNvPr id="300" name="Straight Connector 299">
          <a:extLst>
            <a:ext uri="{FF2B5EF4-FFF2-40B4-BE49-F238E27FC236}">
              <a16:creationId xmlns:a16="http://schemas.microsoft.com/office/drawing/2014/main" id="{00000000-0008-0000-0E00-00002C010000}"/>
            </a:ext>
          </a:extLst>
        </xdr:cNvPr>
        <xdr:cNvCxnSpPr/>
      </xdr:nvCxnSpPr>
      <xdr:spPr>
        <a:xfrm>
          <a:off x="742950" y="95840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2237</xdr:row>
      <xdr:rowOff>180975</xdr:rowOff>
    </xdr:from>
    <xdr:to>
      <xdr:col>6</xdr:col>
      <xdr:colOff>0</xdr:colOff>
      <xdr:row>2237</xdr:row>
      <xdr:rowOff>180976</xdr:rowOff>
    </xdr:to>
    <xdr:cxnSp macro="">
      <xdr:nvCxnSpPr>
        <xdr:cNvPr id="301" name="Straight Connector 300">
          <a:extLst>
            <a:ext uri="{FF2B5EF4-FFF2-40B4-BE49-F238E27FC236}">
              <a16:creationId xmlns:a16="http://schemas.microsoft.com/office/drawing/2014/main" id="{00000000-0008-0000-0E00-00002D010000}"/>
            </a:ext>
          </a:extLst>
        </xdr:cNvPr>
        <xdr:cNvCxnSpPr/>
      </xdr:nvCxnSpPr>
      <xdr:spPr>
        <a:xfrm flipV="1">
          <a:off x="221483" y="103365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2238</xdr:row>
      <xdr:rowOff>190500</xdr:rowOff>
    </xdr:from>
    <xdr:to>
      <xdr:col>5</xdr:col>
      <xdr:colOff>1112017</xdr:colOff>
      <xdr:row>2238</xdr:row>
      <xdr:rowOff>190501</xdr:rowOff>
    </xdr:to>
    <xdr:cxnSp macro="">
      <xdr:nvCxnSpPr>
        <xdr:cNvPr id="302" name="Straight Connector 301">
          <a:extLst>
            <a:ext uri="{FF2B5EF4-FFF2-40B4-BE49-F238E27FC236}">
              <a16:creationId xmlns:a16="http://schemas.microsoft.com/office/drawing/2014/main" id="{00000000-0008-0000-0E00-00002E010000}"/>
            </a:ext>
          </a:extLst>
        </xdr:cNvPr>
        <xdr:cNvCxnSpPr/>
      </xdr:nvCxnSpPr>
      <xdr:spPr>
        <a:xfrm flipV="1">
          <a:off x="219075" y="103612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2239</xdr:row>
      <xdr:rowOff>180975</xdr:rowOff>
    </xdr:from>
    <xdr:to>
      <xdr:col>5</xdr:col>
      <xdr:colOff>1112017</xdr:colOff>
      <xdr:row>2239</xdr:row>
      <xdr:rowOff>180976</xdr:rowOff>
    </xdr:to>
    <xdr:cxnSp macro="">
      <xdr:nvCxnSpPr>
        <xdr:cNvPr id="303" name="Straight Connector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CxnSpPr/>
      </xdr:nvCxnSpPr>
      <xdr:spPr>
        <a:xfrm flipV="1">
          <a:off x="219075" y="103841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2240</xdr:row>
      <xdr:rowOff>180975</xdr:rowOff>
    </xdr:from>
    <xdr:to>
      <xdr:col>5</xdr:col>
      <xdr:colOff>1102492</xdr:colOff>
      <xdr:row>2240</xdr:row>
      <xdr:rowOff>180976</xdr:rowOff>
    </xdr:to>
    <xdr:cxnSp macro="">
      <xdr:nvCxnSpPr>
        <xdr:cNvPr id="304" name="Straight Connector 303">
          <a:extLst>
            <a:ext uri="{FF2B5EF4-FFF2-40B4-BE49-F238E27FC236}">
              <a16:creationId xmlns:a16="http://schemas.microsoft.com/office/drawing/2014/main" id="{00000000-0008-0000-0E00-000030010000}"/>
            </a:ext>
          </a:extLst>
        </xdr:cNvPr>
        <xdr:cNvCxnSpPr/>
      </xdr:nvCxnSpPr>
      <xdr:spPr>
        <a:xfrm flipV="1">
          <a:off x="209550" y="104079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2253</xdr:row>
      <xdr:rowOff>0</xdr:rowOff>
    </xdr:from>
    <xdr:to>
      <xdr:col>5</xdr:col>
      <xdr:colOff>257175</xdr:colOff>
      <xdr:row>2253</xdr:row>
      <xdr:rowOff>0</xdr:rowOff>
    </xdr:to>
    <xdr:cxnSp macro="">
      <xdr:nvCxnSpPr>
        <xdr:cNvPr id="305" name="Straight Connector 304">
          <a:extLst>
            <a:ext uri="{FF2B5EF4-FFF2-40B4-BE49-F238E27FC236}">
              <a16:creationId xmlns:a16="http://schemas.microsoft.com/office/drawing/2014/main" id="{00000000-0008-0000-0E00-000031010000}"/>
            </a:ext>
          </a:extLst>
        </xdr:cNvPr>
        <xdr:cNvCxnSpPr/>
      </xdr:nvCxnSpPr>
      <xdr:spPr>
        <a:xfrm>
          <a:off x="4019550" y="1064228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2253</xdr:row>
      <xdr:rowOff>9525</xdr:rowOff>
    </xdr:from>
    <xdr:to>
      <xdr:col>2</xdr:col>
      <xdr:colOff>400050</xdr:colOff>
      <xdr:row>2253</xdr:row>
      <xdr:rowOff>9525</xdr:rowOff>
    </xdr:to>
    <xdr:cxnSp macro="">
      <xdr:nvCxnSpPr>
        <xdr:cNvPr id="306" name="Straight Connector 305">
          <a:extLst>
            <a:ext uri="{FF2B5EF4-FFF2-40B4-BE49-F238E27FC236}">
              <a16:creationId xmlns:a16="http://schemas.microsoft.com/office/drawing/2014/main" id="{00000000-0008-0000-0E00-000032010000}"/>
            </a:ext>
          </a:extLst>
        </xdr:cNvPr>
        <xdr:cNvCxnSpPr/>
      </xdr:nvCxnSpPr>
      <xdr:spPr>
        <a:xfrm>
          <a:off x="742950" y="1064323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2282</xdr:row>
      <xdr:rowOff>180975</xdr:rowOff>
    </xdr:from>
    <xdr:to>
      <xdr:col>6</xdr:col>
      <xdr:colOff>0</xdr:colOff>
      <xdr:row>2282</xdr:row>
      <xdr:rowOff>180976</xdr:rowOff>
    </xdr:to>
    <xdr:cxnSp macro="">
      <xdr:nvCxnSpPr>
        <xdr:cNvPr id="307" name="Straight Connector 306">
          <a:extLst>
            <a:ext uri="{FF2B5EF4-FFF2-40B4-BE49-F238E27FC236}">
              <a16:creationId xmlns:a16="http://schemas.microsoft.com/office/drawing/2014/main" id="{00000000-0008-0000-0E00-000033010000}"/>
            </a:ext>
          </a:extLst>
        </xdr:cNvPr>
        <xdr:cNvCxnSpPr/>
      </xdr:nvCxnSpPr>
      <xdr:spPr>
        <a:xfrm flipV="1">
          <a:off x="221483" y="1139571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2283</xdr:row>
      <xdr:rowOff>190500</xdr:rowOff>
    </xdr:from>
    <xdr:to>
      <xdr:col>5</xdr:col>
      <xdr:colOff>1112017</xdr:colOff>
      <xdr:row>2283</xdr:row>
      <xdr:rowOff>190501</xdr:rowOff>
    </xdr:to>
    <xdr:cxnSp macro="">
      <xdr:nvCxnSpPr>
        <xdr:cNvPr id="308" name="Straight Connector 307">
          <a:extLst>
            <a:ext uri="{FF2B5EF4-FFF2-40B4-BE49-F238E27FC236}">
              <a16:creationId xmlns:a16="http://schemas.microsoft.com/office/drawing/2014/main" id="{00000000-0008-0000-0E00-000034010000}"/>
            </a:ext>
          </a:extLst>
        </xdr:cNvPr>
        <xdr:cNvCxnSpPr/>
      </xdr:nvCxnSpPr>
      <xdr:spPr>
        <a:xfrm flipV="1">
          <a:off x="219075" y="114204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2284</xdr:row>
      <xdr:rowOff>180975</xdr:rowOff>
    </xdr:from>
    <xdr:to>
      <xdr:col>5</xdr:col>
      <xdr:colOff>1112017</xdr:colOff>
      <xdr:row>2284</xdr:row>
      <xdr:rowOff>180976</xdr:rowOff>
    </xdr:to>
    <xdr:cxnSp macro="">
      <xdr:nvCxnSpPr>
        <xdr:cNvPr id="309" name="Straight Connector 308">
          <a:extLst>
            <a:ext uri="{FF2B5EF4-FFF2-40B4-BE49-F238E27FC236}">
              <a16:creationId xmlns:a16="http://schemas.microsoft.com/office/drawing/2014/main" id="{00000000-0008-0000-0E00-000035010000}"/>
            </a:ext>
          </a:extLst>
        </xdr:cNvPr>
        <xdr:cNvCxnSpPr/>
      </xdr:nvCxnSpPr>
      <xdr:spPr>
        <a:xfrm flipV="1">
          <a:off x="219075" y="114433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2285</xdr:row>
      <xdr:rowOff>180975</xdr:rowOff>
    </xdr:from>
    <xdr:to>
      <xdr:col>5</xdr:col>
      <xdr:colOff>1102492</xdr:colOff>
      <xdr:row>2285</xdr:row>
      <xdr:rowOff>180976</xdr:rowOff>
    </xdr:to>
    <xdr:cxnSp macro="">
      <xdr:nvCxnSpPr>
        <xdr:cNvPr id="310" name="Straight Connector 309">
          <a:extLst>
            <a:ext uri="{FF2B5EF4-FFF2-40B4-BE49-F238E27FC236}">
              <a16:creationId xmlns:a16="http://schemas.microsoft.com/office/drawing/2014/main" id="{00000000-0008-0000-0E00-000036010000}"/>
            </a:ext>
          </a:extLst>
        </xdr:cNvPr>
        <xdr:cNvCxnSpPr/>
      </xdr:nvCxnSpPr>
      <xdr:spPr>
        <a:xfrm flipV="1">
          <a:off x="209550" y="1146714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2298</xdr:row>
      <xdr:rowOff>0</xdr:rowOff>
    </xdr:from>
    <xdr:to>
      <xdr:col>5</xdr:col>
      <xdr:colOff>257175</xdr:colOff>
      <xdr:row>2298</xdr:row>
      <xdr:rowOff>0</xdr:rowOff>
    </xdr:to>
    <xdr:cxnSp macro="">
      <xdr:nvCxnSpPr>
        <xdr:cNvPr id="311" name="Straight Connector 310">
          <a:extLst>
            <a:ext uri="{FF2B5EF4-FFF2-40B4-BE49-F238E27FC236}">
              <a16:creationId xmlns:a16="http://schemas.microsoft.com/office/drawing/2014/main" id="{00000000-0008-0000-0E00-000037010000}"/>
            </a:ext>
          </a:extLst>
        </xdr:cNvPr>
        <xdr:cNvCxnSpPr/>
      </xdr:nvCxnSpPr>
      <xdr:spPr>
        <a:xfrm>
          <a:off x="4019550" y="110966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2298</xdr:row>
      <xdr:rowOff>9525</xdr:rowOff>
    </xdr:from>
    <xdr:to>
      <xdr:col>2</xdr:col>
      <xdr:colOff>400050</xdr:colOff>
      <xdr:row>2298</xdr:row>
      <xdr:rowOff>9525</xdr:rowOff>
    </xdr:to>
    <xdr:cxnSp macro="">
      <xdr:nvCxnSpPr>
        <xdr:cNvPr id="312" name="Straight Connector 311">
          <a:extLst>
            <a:ext uri="{FF2B5EF4-FFF2-40B4-BE49-F238E27FC236}">
              <a16:creationId xmlns:a16="http://schemas.microsoft.com/office/drawing/2014/main" id="{00000000-0008-0000-0E00-000038010000}"/>
            </a:ext>
          </a:extLst>
        </xdr:cNvPr>
        <xdr:cNvCxnSpPr/>
      </xdr:nvCxnSpPr>
      <xdr:spPr>
        <a:xfrm>
          <a:off x="742950" y="111061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2327</xdr:row>
      <xdr:rowOff>180975</xdr:rowOff>
    </xdr:from>
    <xdr:to>
      <xdr:col>6</xdr:col>
      <xdr:colOff>0</xdr:colOff>
      <xdr:row>2327</xdr:row>
      <xdr:rowOff>180976</xdr:rowOff>
    </xdr:to>
    <xdr:cxnSp macro="">
      <xdr:nvCxnSpPr>
        <xdr:cNvPr id="313" name="Straight Connector 312">
          <a:extLst>
            <a:ext uri="{FF2B5EF4-FFF2-40B4-BE49-F238E27FC236}">
              <a16:creationId xmlns:a16="http://schemas.microsoft.com/office/drawing/2014/main" id="{00000000-0008-0000-0E00-000039010000}"/>
            </a:ext>
          </a:extLst>
        </xdr:cNvPr>
        <xdr:cNvCxnSpPr/>
      </xdr:nvCxnSpPr>
      <xdr:spPr>
        <a:xfrm flipV="1">
          <a:off x="221483" y="186309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2328</xdr:row>
      <xdr:rowOff>190500</xdr:rowOff>
    </xdr:from>
    <xdr:to>
      <xdr:col>5</xdr:col>
      <xdr:colOff>1112017</xdr:colOff>
      <xdr:row>2328</xdr:row>
      <xdr:rowOff>190501</xdr:rowOff>
    </xdr:to>
    <xdr:cxnSp macro="">
      <xdr:nvCxnSpPr>
        <xdr:cNvPr id="314" name="Straight Connector 313">
          <a:extLst>
            <a:ext uri="{FF2B5EF4-FFF2-40B4-BE49-F238E27FC236}">
              <a16:creationId xmlns:a16="http://schemas.microsoft.com/office/drawing/2014/main" id="{00000000-0008-0000-0E00-00003A010000}"/>
            </a:ext>
          </a:extLst>
        </xdr:cNvPr>
        <xdr:cNvCxnSpPr/>
      </xdr:nvCxnSpPr>
      <xdr:spPr>
        <a:xfrm flipV="1">
          <a:off x="219075" y="18878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2329</xdr:row>
      <xdr:rowOff>180975</xdr:rowOff>
    </xdr:from>
    <xdr:to>
      <xdr:col>5</xdr:col>
      <xdr:colOff>1112017</xdr:colOff>
      <xdr:row>2329</xdr:row>
      <xdr:rowOff>180976</xdr:rowOff>
    </xdr:to>
    <xdr:cxnSp macro="">
      <xdr:nvCxnSpPr>
        <xdr:cNvPr id="315" name="Straight Connector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CxnSpPr/>
      </xdr:nvCxnSpPr>
      <xdr:spPr>
        <a:xfrm flipV="1">
          <a:off x="219075" y="19107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2330</xdr:row>
      <xdr:rowOff>180975</xdr:rowOff>
    </xdr:from>
    <xdr:to>
      <xdr:col>5</xdr:col>
      <xdr:colOff>1102492</xdr:colOff>
      <xdr:row>2330</xdr:row>
      <xdr:rowOff>180976</xdr:rowOff>
    </xdr:to>
    <xdr:cxnSp macro="">
      <xdr:nvCxnSpPr>
        <xdr:cNvPr id="316" name="Straight Connector 315">
          <a:extLst>
            <a:ext uri="{FF2B5EF4-FFF2-40B4-BE49-F238E27FC236}">
              <a16:creationId xmlns:a16="http://schemas.microsoft.com/office/drawing/2014/main" id="{00000000-0008-0000-0E00-00003C010000}"/>
            </a:ext>
          </a:extLst>
        </xdr:cNvPr>
        <xdr:cNvCxnSpPr/>
      </xdr:nvCxnSpPr>
      <xdr:spPr>
        <a:xfrm flipV="1">
          <a:off x="209550" y="193452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2343</xdr:row>
      <xdr:rowOff>0</xdr:rowOff>
    </xdr:from>
    <xdr:to>
      <xdr:col>5</xdr:col>
      <xdr:colOff>257175</xdr:colOff>
      <xdr:row>2343</xdr:row>
      <xdr:rowOff>0</xdr:rowOff>
    </xdr:to>
    <xdr:cxnSp macro="">
      <xdr:nvCxnSpPr>
        <xdr:cNvPr id="317" name="Straight Connector 316">
          <a:extLst>
            <a:ext uri="{FF2B5EF4-FFF2-40B4-BE49-F238E27FC236}">
              <a16:creationId xmlns:a16="http://schemas.microsoft.com/office/drawing/2014/main" id="{00000000-0008-0000-0E00-00003D010000}"/>
            </a:ext>
          </a:extLst>
        </xdr:cNvPr>
        <xdr:cNvCxnSpPr/>
      </xdr:nvCxnSpPr>
      <xdr:spPr>
        <a:xfrm>
          <a:off x="4019550" y="216884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2343</xdr:row>
      <xdr:rowOff>9525</xdr:rowOff>
    </xdr:from>
    <xdr:to>
      <xdr:col>2</xdr:col>
      <xdr:colOff>400050</xdr:colOff>
      <xdr:row>2343</xdr:row>
      <xdr:rowOff>9525</xdr:rowOff>
    </xdr:to>
    <xdr:cxnSp macro="">
      <xdr:nvCxnSpPr>
        <xdr:cNvPr id="318" name="Straight Connector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CxnSpPr/>
      </xdr:nvCxnSpPr>
      <xdr:spPr>
        <a:xfrm>
          <a:off x="742950" y="216979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2372</xdr:row>
      <xdr:rowOff>180975</xdr:rowOff>
    </xdr:from>
    <xdr:to>
      <xdr:col>6</xdr:col>
      <xdr:colOff>0</xdr:colOff>
      <xdr:row>2372</xdr:row>
      <xdr:rowOff>180976</xdr:rowOff>
    </xdr:to>
    <xdr:cxnSp macro="">
      <xdr:nvCxnSpPr>
        <xdr:cNvPr id="319" name="Straight Connector 318">
          <a:extLst>
            <a:ext uri="{FF2B5EF4-FFF2-40B4-BE49-F238E27FC236}">
              <a16:creationId xmlns:a16="http://schemas.microsoft.com/office/drawing/2014/main" id="{00000000-0008-0000-0E00-00003F010000}"/>
            </a:ext>
          </a:extLst>
        </xdr:cNvPr>
        <xdr:cNvCxnSpPr/>
      </xdr:nvCxnSpPr>
      <xdr:spPr>
        <a:xfrm flipV="1">
          <a:off x="221483" y="292227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2373</xdr:row>
      <xdr:rowOff>190500</xdr:rowOff>
    </xdr:from>
    <xdr:to>
      <xdr:col>5</xdr:col>
      <xdr:colOff>1112017</xdr:colOff>
      <xdr:row>2373</xdr:row>
      <xdr:rowOff>190501</xdr:rowOff>
    </xdr:to>
    <xdr:cxnSp macro="">
      <xdr:nvCxnSpPr>
        <xdr:cNvPr id="320" name="Straight Connector 319">
          <a:extLst>
            <a:ext uri="{FF2B5EF4-FFF2-40B4-BE49-F238E27FC236}">
              <a16:creationId xmlns:a16="http://schemas.microsoft.com/office/drawing/2014/main" id="{00000000-0008-0000-0E00-000040010000}"/>
            </a:ext>
          </a:extLst>
        </xdr:cNvPr>
        <xdr:cNvCxnSpPr/>
      </xdr:nvCxnSpPr>
      <xdr:spPr>
        <a:xfrm flipV="1">
          <a:off x="219075" y="294703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2374</xdr:row>
      <xdr:rowOff>180975</xdr:rowOff>
    </xdr:from>
    <xdr:to>
      <xdr:col>5</xdr:col>
      <xdr:colOff>1112017</xdr:colOff>
      <xdr:row>2374</xdr:row>
      <xdr:rowOff>180976</xdr:rowOff>
    </xdr:to>
    <xdr:cxnSp macro="">
      <xdr:nvCxnSpPr>
        <xdr:cNvPr id="321" name="Straight Connector 320">
          <a:extLst>
            <a:ext uri="{FF2B5EF4-FFF2-40B4-BE49-F238E27FC236}">
              <a16:creationId xmlns:a16="http://schemas.microsoft.com/office/drawing/2014/main" id="{00000000-0008-0000-0E00-000041010000}"/>
            </a:ext>
          </a:extLst>
        </xdr:cNvPr>
        <xdr:cNvCxnSpPr/>
      </xdr:nvCxnSpPr>
      <xdr:spPr>
        <a:xfrm flipV="1">
          <a:off x="219075" y="29698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2375</xdr:row>
      <xdr:rowOff>180975</xdr:rowOff>
    </xdr:from>
    <xdr:to>
      <xdr:col>5</xdr:col>
      <xdr:colOff>1102492</xdr:colOff>
      <xdr:row>2375</xdr:row>
      <xdr:rowOff>180976</xdr:rowOff>
    </xdr:to>
    <xdr:cxnSp macro="">
      <xdr:nvCxnSpPr>
        <xdr:cNvPr id="322" name="Straight Connector 321">
          <a:extLst>
            <a:ext uri="{FF2B5EF4-FFF2-40B4-BE49-F238E27FC236}">
              <a16:creationId xmlns:a16="http://schemas.microsoft.com/office/drawing/2014/main" id="{00000000-0008-0000-0E00-000042010000}"/>
            </a:ext>
          </a:extLst>
        </xdr:cNvPr>
        <xdr:cNvCxnSpPr/>
      </xdr:nvCxnSpPr>
      <xdr:spPr>
        <a:xfrm flipV="1">
          <a:off x="209550" y="299370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2388</xdr:row>
      <xdr:rowOff>0</xdr:rowOff>
    </xdr:from>
    <xdr:to>
      <xdr:col>5</xdr:col>
      <xdr:colOff>257175</xdr:colOff>
      <xdr:row>2388</xdr:row>
      <xdr:rowOff>0</xdr:rowOff>
    </xdr:to>
    <xdr:cxnSp macro="">
      <xdr:nvCxnSpPr>
        <xdr:cNvPr id="323" name="Straight Connector 322">
          <a:extLst>
            <a:ext uri="{FF2B5EF4-FFF2-40B4-BE49-F238E27FC236}">
              <a16:creationId xmlns:a16="http://schemas.microsoft.com/office/drawing/2014/main" id="{00000000-0008-0000-0E00-000043010000}"/>
            </a:ext>
          </a:extLst>
        </xdr:cNvPr>
        <xdr:cNvCxnSpPr/>
      </xdr:nvCxnSpPr>
      <xdr:spPr>
        <a:xfrm>
          <a:off x="4019550" y="322802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2388</xdr:row>
      <xdr:rowOff>9525</xdr:rowOff>
    </xdr:from>
    <xdr:to>
      <xdr:col>2</xdr:col>
      <xdr:colOff>400050</xdr:colOff>
      <xdr:row>2388</xdr:row>
      <xdr:rowOff>9525</xdr:rowOff>
    </xdr:to>
    <xdr:cxnSp macro="">
      <xdr:nvCxnSpPr>
        <xdr:cNvPr id="324" name="Straight Connector 323">
          <a:extLst>
            <a:ext uri="{FF2B5EF4-FFF2-40B4-BE49-F238E27FC236}">
              <a16:creationId xmlns:a16="http://schemas.microsoft.com/office/drawing/2014/main" id="{00000000-0008-0000-0E00-000044010000}"/>
            </a:ext>
          </a:extLst>
        </xdr:cNvPr>
        <xdr:cNvCxnSpPr/>
      </xdr:nvCxnSpPr>
      <xdr:spPr>
        <a:xfrm>
          <a:off x="742950" y="322897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2417</xdr:row>
      <xdr:rowOff>180975</xdr:rowOff>
    </xdr:from>
    <xdr:to>
      <xdr:col>6</xdr:col>
      <xdr:colOff>0</xdr:colOff>
      <xdr:row>2417</xdr:row>
      <xdr:rowOff>180976</xdr:rowOff>
    </xdr:to>
    <xdr:cxnSp macro="">
      <xdr:nvCxnSpPr>
        <xdr:cNvPr id="325" name="Straight Connector 324">
          <a:extLst>
            <a:ext uri="{FF2B5EF4-FFF2-40B4-BE49-F238E27FC236}">
              <a16:creationId xmlns:a16="http://schemas.microsoft.com/office/drawing/2014/main" id="{00000000-0008-0000-0E00-000045010000}"/>
            </a:ext>
          </a:extLst>
        </xdr:cNvPr>
        <xdr:cNvCxnSpPr/>
      </xdr:nvCxnSpPr>
      <xdr:spPr>
        <a:xfrm flipV="1">
          <a:off x="221483" y="398145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2418</xdr:row>
      <xdr:rowOff>190500</xdr:rowOff>
    </xdr:from>
    <xdr:to>
      <xdr:col>5</xdr:col>
      <xdr:colOff>1112017</xdr:colOff>
      <xdr:row>2418</xdr:row>
      <xdr:rowOff>190501</xdr:rowOff>
    </xdr:to>
    <xdr:cxnSp macro="">
      <xdr:nvCxnSpPr>
        <xdr:cNvPr id="326" name="Straight Connector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CxnSpPr/>
      </xdr:nvCxnSpPr>
      <xdr:spPr>
        <a:xfrm flipV="1">
          <a:off x="219075" y="400621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2419</xdr:row>
      <xdr:rowOff>180975</xdr:rowOff>
    </xdr:from>
    <xdr:to>
      <xdr:col>5</xdr:col>
      <xdr:colOff>1112017</xdr:colOff>
      <xdr:row>2419</xdr:row>
      <xdr:rowOff>180976</xdr:rowOff>
    </xdr:to>
    <xdr:cxnSp macro="">
      <xdr:nvCxnSpPr>
        <xdr:cNvPr id="327" name="Straight Connector 326">
          <a:extLst>
            <a:ext uri="{FF2B5EF4-FFF2-40B4-BE49-F238E27FC236}">
              <a16:creationId xmlns:a16="http://schemas.microsoft.com/office/drawing/2014/main" id="{00000000-0008-0000-0E00-000047010000}"/>
            </a:ext>
          </a:extLst>
        </xdr:cNvPr>
        <xdr:cNvCxnSpPr/>
      </xdr:nvCxnSpPr>
      <xdr:spPr>
        <a:xfrm flipV="1">
          <a:off x="219075" y="402907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2420</xdr:row>
      <xdr:rowOff>180975</xdr:rowOff>
    </xdr:from>
    <xdr:to>
      <xdr:col>5</xdr:col>
      <xdr:colOff>1102492</xdr:colOff>
      <xdr:row>2420</xdr:row>
      <xdr:rowOff>180976</xdr:rowOff>
    </xdr:to>
    <xdr:cxnSp macro="">
      <xdr:nvCxnSpPr>
        <xdr:cNvPr id="328" name="Straight Connector 327">
          <a:extLst>
            <a:ext uri="{FF2B5EF4-FFF2-40B4-BE49-F238E27FC236}">
              <a16:creationId xmlns:a16="http://schemas.microsoft.com/office/drawing/2014/main" id="{00000000-0008-0000-0E00-000048010000}"/>
            </a:ext>
          </a:extLst>
        </xdr:cNvPr>
        <xdr:cNvCxnSpPr/>
      </xdr:nvCxnSpPr>
      <xdr:spPr>
        <a:xfrm flipV="1">
          <a:off x="209550" y="405288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2433</xdr:row>
      <xdr:rowOff>0</xdr:rowOff>
    </xdr:from>
    <xdr:to>
      <xdr:col>5</xdr:col>
      <xdr:colOff>257175</xdr:colOff>
      <xdr:row>2433</xdr:row>
      <xdr:rowOff>0</xdr:rowOff>
    </xdr:to>
    <xdr:cxnSp macro="">
      <xdr:nvCxnSpPr>
        <xdr:cNvPr id="329" name="Straight Connector 328">
          <a:extLst>
            <a:ext uri="{FF2B5EF4-FFF2-40B4-BE49-F238E27FC236}">
              <a16:creationId xmlns:a16="http://schemas.microsoft.com/office/drawing/2014/main" id="{00000000-0008-0000-0E00-000049010000}"/>
            </a:ext>
          </a:extLst>
        </xdr:cNvPr>
        <xdr:cNvCxnSpPr/>
      </xdr:nvCxnSpPr>
      <xdr:spPr>
        <a:xfrm>
          <a:off x="4019550" y="42872025"/>
          <a:ext cx="1524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2433</xdr:row>
      <xdr:rowOff>9525</xdr:rowOff>
    </xdr:from>
    <xdr:to>
      <xdr:col>2</xdr:col>
      <xdr:colOff>400050</xdr:colOff>
      <xdr:row>2433</xdr:row>
      <xdr:rowOff>9525</xdr:rowOff>
    </xdr:to>
    <xdr:cxnSp macro="">
      <xdr:nvCxnSpPr>
        <xdr:cNvPr id="330" name="Straight Connector 329">
          <a:extLst>
            <a:ext uri="{FF2B5EF4-FFF2-40B4-BE49-F238E27FC236}">
              <a16:creationId xmlns:a16="http://schemas.microsoft.com/office/drawing/2014/main" id="{00000000-0008-0000-0E00-00004A010000}"/>
            </a:ext>
          </a:extLst>
        </xdr:cNvPr>
        <xdr:cNvCxnSpPr/>
      </xdr:nvCxnSpPr>
      <xdr:spPr>
        <a:xfrm>
          <a:off x="742950" y="42881550"/>
          <a:ext cx="1657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221483</xdr:colOff>
      <xdr:row>2462</xdr:row>
      <xdr:rowOff>180975</xdr:rowOff>
    </xdr:from>
    <xdr:to>
      <xdr:col>6</xdr:col>
      <xdr:colOff>0</xdr:colOff>
      <xdr:row>2462</xdr:row>
      <xdr:rowOff>180976</xdr:rowOff>
    </xdr:to>
    <xdr:cxnSp macro="">
      <xdr:nvCxnSpPr>
        <xdr:cNvPr id="331" name="Straight Connector 330">
          <a:extLst>
            <a:ext uri="{FF2B5EF4-FFF2-40B4-BE49-F238E27FC236}">
              <a16:creationId xmlns:a16="http://schemas.microsoft.com/office/drawing/2014/main" id="{00000000-0008-0000-0E00-00004B010000}"/>
            </a:ext>
          </a:extLst>
        </xdr:cNvPr>
        <xdr:cNvCxnSpPr/>
      </xdr:nvCxnSpPr>
      <xdr:spPr>
        <a:xfrm flipV="1">
          <a:off x="221483" y="5040630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2463</xdr:row>
      <xdr:rowOff>190500</xdr:rowOff>
    </xdr:from>
    <xdr:to>
      <xdr:col>5</xdr:col>
      <xdr:colOff>1112017</xdr:colOff>
      <xdr:row>2463</xdr:row>
      <xdr:rowOff>190501</xdr:rowOff>
    </xdr:to>
    <xdr:cxnSp macro="">
      <xdr:nvCxnSpPr>
        <xdr:cNvPr id="332" name="Straight Connector 331">
          <a:extLst>
            <a:ext uri="{FF2B5EF4-FFF2-40B4-BE49-F238E27FC236}">
              <a16:creationId xmlns:a16="http://schemas.microsoft.com/office/drawing/2014/main" id="{00000000-0008-0000-0E00-00004C010000}"/>
            </a:ext>
          </a:extLst>
        </xdr:cNvPr>
        <xdr:cNvCxnSpPr/>
      </xdr:nvCxnSpPr>
      <xdr:spPr>
        <a:xfrm flipV="1">
          <a:off x="219075" y="506539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2464</xdr:row>
      <xdr:rowOff>180975</xdr:rowOff>
    </xdr:from>
    <xdr:to>
      <xdr:col>5</xdr:col>
      <xdr:colOff>1112017</xdr:colOff>
      <xdr:row>2464</xdr:row>
      <xdr:rowOff>180976</xdr:rowOff>
    </xdr:to>
    <xdr:cxnSp macro="">
      <xdr:nvCxnSpPr>
        <xdr:cNvPr id="333" name="Straight Connector 332">
          <a:extLst>
            <a:ext uri="{FF2B5EF4-FFF2-40B4-BE49-F238E27FC236}">
              <a16:creationId xmlns:a16="http://schemas.microsoft.com/office/drawing/2014/main" id="{00000000-0008-0000-0E00-00004D010000}"/>
            </a:ext>
          </a:extLst>
        </xdr:cNvPr>
        <xdr:cNvCxnSpPr/>
      </xdr:nvCxnSpPr>
      <xdr:spPr>
        <a:xfrm flipV="1">
          <a:off x="219075" y="50882550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2465</xdr:row>
      <xdr:rowOff>180975</xdr:rowOff>
    </xdr:from>
    <xdr:to>
      <xdr:col>5</xdr:col>
      <xdr:colOff>1102492</xdr:colOff>
      <xdr:row>2465</xdr:row>
      <xdr:rowOff>180976</xdr:rowOff>
    </xdr:to>
    <xdr:cxnSp macro="">
      <xdr:nvCxnSpPr>
        <xdr:cNvPr id="334" name="Straight Connector 333">
          <a:extLst>
            <a:ext uri="{FF2B5EF4-FFF2-40B4-BE49-F238E27FC236}">
              <a16:creationId xmlns:a16="http://schemas.microsoft.com/office/drawing/2014/main" id="{00000000-0008-0000-0E00-00004E010000}"/>
            </a:ext>
          </a:extLst>
        </xdr:cNvPr>
        <xdr:cNvCxnSpPr/>
      </xdr:nvCxnSpPr>
      <xdr:spPr>
        <a:xfrm flipV="1">
          <a:off x="209550" y="51120675"/>
          <a:ext cx="6179317" cy="1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441960</xdr:colOff>
          <xdr:row>2477</xdr:row>
          <xdr:rowOff>99060</xdr:rowOff>
        </xdr:from>
        <xdr:to>
          <xdr:col>3</xdr:col>
          <xdr:colOff>541020</xdr:colOff>
          <xdr:row>2478</xdr:row>
          <xdr:rowOff>137160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E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đầu trang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121920</xdr:colOff>
          <xdr:row>12</xdr:row>
          <xdr:rowOff>99060</xdr:rowOff>
        </xdr:from>
        <xdr:to>
          <xdr:col>7</xdr:col>
          <xdr:colOff>1531620</xdr:colOff>
          <xdr:row>13</xdr:row>
          <xdr:rowOff>137160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E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1226820</xdr:colOff>
          <xdr:row>0</xdr:row>
          <xdr:rowOff>60960</xdr:rowOff>
        </xdr:from>
        <xdr:to>
          <xdr:col>2</xdr:col>
          <xdr:colOff>1089660</xdr:colOff>
          <xdr:row>0</xdr:row>
          <xdr:rowOff>304800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E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Kéo lên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1104900</xdr:colOff>
          <xdr:row>0</xdr:row>
          <xdr:rowOff>60960</xdr:rowOff>
        </xdr:from>
        <xdr:to>
          <xdr:col>4</xdr:col>
          <xdr:colOff>68580</xdr:colOff>
          <xdr:row>0</xdr:row>
          <xdr:rowOff>304800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E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trang đầu</a:t>
              </a:r>
            </a:p>
            <a:p>
              <a:pPr algn="ctr" rtl="0">
                <a:defRPr sz="1000"/>
              </a:pPr>
              <a:endPara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0</xdr:row>
          <xdr:rowOff>60960</xdr:rowOff>
        </xdr:from>
        <xdr:to>
          <xdr:col>5</xdr:col>
          <xdr:colOff>160020</xdr:colOff>
          <xdr:row>0</xdr:row>
          <xdr:rowOff>304800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E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Kéo xuống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221483</xdr:colOff>
      <xdr:row>23</xdr:row>
      <xdr:rowOff>180975</xdr:rowOff>
    </xdr:from>
    <xdr:to>
      <xdr:col>6</xdr:col>
      <xdr:colOff>0</xdr:colOff>
      <xdr:row>23</xdr:row>
      <xdr:rowOff>180977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CxnSpPr/>
      </xdr:nvCxnSpPr>
      <xdr:spPr>
        <a:xfrm flipV="1">
          <a:off x="221483" y="4648200"/>
          <a:ext cx="1864492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24</xdr:row>
      <xdr:rowOff>190500</xdr:rowOff>
    </xdr:from>
    <xdr:to>
      <xdr:col>6</xdr:col>
      <xdr:colOff>0</xdr:colOff>
      <xdr:row>24</xdr:row>
      <xdr:rowOff>190502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CxnSpPr/>
      </xdr:nvCxnSpPr>
      <xdr:spPr>
        <a:xfrm flipV="1">
          <a:off x="209550" y="4857750"/>
          <a:ext cx="1876425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25</xdr:row>
      <xdr:rowOff>180975</xdr:rowOff>
    </xdr:from>
    <xdr:to>
      <xdr:col>5</xdr:col>
      <xdr:colOff>409575</xdr:colOff>
      <xdr:row>25</xdr:row>
      <xdr:rowOff>180977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CxnSpPr/>
      </xdr:nvCxnSpPr>
      <xdr:spPr>
        <a:xfrm flipV="1">
          <a:off x="219075" y="5048250"/>
          <a:ext cx="1857375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26</xdr:row>
      <xdr:rowOff>180975</xdr:rowOff>
    </xdr:from>
    <xdr:to>
      <xdr:col>6</xdr:col>
      <xdr:colOff>0</xdr:colOff>
      <xdr:row>26</xdr:row>
      <xdr:rowOff>180977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CxnSpPr/>
      </xdr:nvCxnSpPr>
      <xdr:spPr>
        <a:xfrm flipV="1">
          <a:off x="190500" y="52482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23</xdr:row>
      <xdr:rowOff>180975</xdr:rowOff>
    </xdr:from>
    <xdr:to>
      <xdr:col>12</xdr:col>
      <xdr:colOff>0</xdr:colOff>
      <xdr:row>23</xdr:row>
      <xdr:rowOff>180977</xdr:rowOff>
    </xdr:to>
    <xdr:cxnSp macro="">
      <xdr:nvCxnSpPr>
        <xdr:cNvPr id="343" name="Straight Connector 342">
          <a:extLst>
            <a:ext uri="{FF2B5EF4-FFF2-40B4-BE49-F238E27FC236}">
              <a16:creationId xmlns:a16="http://schemas.microsoft.com/office/drawing/2014/main" id="{00000000-0008-0000-0F00-000057010000}"/>
            </a:ext>
          </a:extLst>
        </xdr:cNvPr>
        <xdr:cNvCxnSpPr/>
      </xdr:nvCxnSpPr>
      <xdr:spPr>
        <a:xfrm flipV="1">
          <a:off x="221483" y="4648200"/>
          <a:ext cx="1693042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24</xdr:row>
      <xdr:rowOff>190500</xdr:rowOff>
    </xdr:from>
    <xdr:to>
      <xdr:col>12</xdr:col>
      <xdr:colOff>0</xdr:colOff>
      <xdr:row>24</xdr:row>
      <xdr:rowOff>190502</xdr:rowOff>
    </xdr:to>
    <xdr:cxnSp macro="">
      <xdr:nvCxnSpPr>
        <xdr:cNvPr id="344" name="Straight Connector 343">
          <a:extLst>
            <a:ext uri="{FF2B5EF4-FFF2-40B4-BE49-F238E27FC236}">
              <a16:creationId xmlns:a16="http://schemas.microsoft.com/office/drawing/2014/main" id="{00000000-0008-0000-0F00-000058010000}"/>
            </a:ext>
          </a:extLst>
        </xdr:cNvPr>
        <xdr:cNvCxnSpPr/>
      </xdr:nvCxnSpPr>
      <xdr:spPr>
        <a:xfrm flipV="1">
          <a:off x="209550" y="4857750"/>
          <a:ext cx="1704975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25</xdr:row>
      <xdr:rowOff>180975</xdr:rowOff>
    </xdr:from>
    <xdr:to>
      <xdr:col>11</xdr:col>
      <xdr:colOff>409575</xdr:colOff>
      <xdr:row>25</xdr:row>
      <xdr:rowOff>180977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00000000-0008-0000-0F00-000059010000}"/>
            </a:ext>
          </a:extLst>
        </xdr:cNvPr>
        <xdr:cNvCxnSpPr/>
      </xdr:nvCxnSpPr>
      <xdr:spPr>
        <a:xfrm flipV="1">
          <a:off x="219075" y="5048250"/>
          <a:ext cx="16954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26</xdr:row>
      <xdr:rowOff>180975</xdr:rowOff>
    </xdr:from>
    <xdr:to>
      <xdr:col>12</xdr:col>
      <xdr:colOff>0</xdr:colOff>
      <xdr:row>26</xdr:row>
      <xdr:rowOff>180977</xdr:rowOff>
    </xdr:to>
    <xdr:cxnSp macro="">
      <xdr:nvCxnSpPr>
        <xdr:cNvPr id="346" name="Straight Connector 345">
          <a:extLst>
            <a:ext uri="{FF2B5EF4-FFF2-40B4-BE49-F238E27FC236}">
              <a16:creationId xmlns:a16="http://schemas.microsoft.com/office/drawing/2014/main" id="{00000000-0008-0000-0F00-00005A010000}"/>
            </a:ext>
          </a:extLst>
        </xdr:cNvPr>
        <xdr:cNvCxnSpPr/>
      </xdr:nvCxnSpPr>
      <xdr:spPr>
        <a:xfrm flipV="1">
          <a:off x="190500" y="5248275"/>
          <a:ext cx="1724025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23</xdr:row>
      <xdr:rowOff>180975</xdr:rowOff>
    </xdr:from>
    <xdr:to>
      <xdr:col>18</xdr:col>
      <xdr:colOff>0</xdr:colOff>
      <xdr:row>23</xdr:row>
      <xdr:rowOff>180977</xdr:rowOff>
    </xdr:to>
    <xdr:cxnSp macro="">
      <xdr:nvCxnSpPr>
        <xdr:cNvPr id="347" name="Straight Connector 346">
          <a:extLst>
            <a:ext uri="{FF2B5EF4-FFF2-40B4-BE49-F238E27FC236}">
              <a16:creationId xmlns:a16="http://schemas.microsoft.com/office/drawing/2014/main" id="{00000000-0008-0000-0F00-00005B010000}"/>
            </a:ext>
          </a:extLst>
        </xdr:cNvPr>
        <xdr:cNvCxnSpPr/>
      </xdr:nvCxnSpPr>
      <xdr:spPr>
        <a:xfrm flipV="1">
          <a:off x="2221733" y="4648200"/>
          <a:ext cx="1693042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24</xdr:row>
      <xdr:rowOff>190500</xdr:rowOff>
    </xdr:from>
    <xdr:to>
      <xdr:col>18</xdr:col>
      <xdr:colOff>0</xdr:colOff>
      <xdr:row>24</xdr:row>
      <xdr:rowOff>190502</xdr:rowOff>
    </xdr:to>
    <xdr:cxnSp macro="">
      <xdr:nvCxnSpPr>
        <xdr:cNvPr id="348" name="Straight Connector 347">
          <a:extLst>
            <a:ext uri="{FF2B5EF4-FFF2-40B4-BE49-F238E27FC236}">
              <a16:creationId xmlns:a16="http://schemas.microsoft.com/office/drawing/2014/main" id="{00000000-0008-0000-0F00-00005C010000}"/>
            </a:ext>
          </a:extLst>
        </xdr:cNvPr>
        <xdr:cNvCxnSpPr/>
      </xdr:nvCxnSpPr>
      <xdr:spPr>
        <a:xfrm flipV="1">
          <a:off x="2209800" y="4857750"/>
          <a:ext cx="1704975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25</xdr:row>
      <xdr:rowOff>180975</xdr:rowOff>
    </xdr:from>
    <xdr:to>
      <xdr:col>17</xdr:col>
      <xdr:colOff>409575</xdr:colOff>
      <xdr:row>25</xdr:row>
      <xdr:rowOff>180977</xdr:rowOff>
    </xdr:to>
    <xdr:cxnSp macro="">
      <xdr:nvCxnSpPr>
        <xdr:cNvPr id="349" name="Straight Connector 348">
          <a:extLst>
            <a:ext uri="{FF2B5EF4-FFF2-40B4-BE49-F238E27FC236}">
              <a16:creationId xmlns:a16="http://schemas.microsoft.com/office/drawing/2014/main" id="{00000000-0008-0000-0F00-00005D010000}"/>
            </a:ext>
          </a:extLst>
        </xdr:cNvPr>
        <xdr:cNvCxnSpPr/>
      </xdr:nvCxnSpPr>
      <xdr:spPr>
        <a:xfrm flipV="1">
          <a:off x="2219325" y="5048250"/>
          <a:ext cx="16954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26</xdr:row>
      <xdr:rowOff>180975</xdr:rowOff>
    </xdr:from>
    <xdr:to>
      <xdr:col>18</xdr:col>
      <xdr:colOff>0</xdr:colOff>
      <xdr:row>26</xdr:row>
      <xdr:rowOff>180977</xdr:rowOff>
    </xdr:to>
    <xdr:cxnSp macro="">
      <xdr:nvCxnSpPr>
        <xdr:cNvPr id="350" name="Straight Connector 349">
          <a:extLst>
            <a:ext uri="{FF2B5EF4-FFF2-40B4-BE49-F238E27FC236}">
              <a16:creationId xmlns:a16="http://schemas.microsoft.com/office/drawing/2014/main" id="{00000000-0008-0000-0F00-00005E010000}"/>
            </a:ext>
          </a:extLst>
        </xdr:cNvPr>
        <xdr:cNvCxnSpPr/>
      </xdr:nvCxnSpPr>
      <xdr:spPr>
        <a:xfrm flipV="1">
          <a:off x="2190750" y="5248275"/>
          <a:ext cx="1724025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51</xdr:row>
      <xdr:rowOff>180975</xdr:rowOff>
    </xdr:from>
    <xdr:to>
      <xdr:col>6</xdr:col>
      <xdr:colOff>0</xdr:colOff>
      <xdr:row>51</xdr:row>
      <xdr:rowOff>180977</xdr:rowOff>
    </xdr:to>
    <xdr:cxnSp macro="">
      <xdr:nvCxnSpPr>
        <xdr:cNvPr id="351" name="Straight Connector 350">
          <a:extLst>
            <a:ext uri="{FF2B5EF4-FFF2-40B4-BE49-F238E27FC236}">
              <a16:creationId xmlns:a16="http://schemas.microsoft.com/office/drawing/2014/main" id="{00000000-0008-0000-0F00-00005F010000}"/>
            </a:ext>
          </a:extLst>
        </xdr:cNvPr>
        <xdr:cNvCxnSpPr/>
      </xdr:nvCxnSpPr>
      <xdr:spPr>
        <a:xfrm flipV="1">
          <a:off x="307208" y="47339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52</xdr:row>
      <xdr:rowOff>190500</xdr:rowOff>
    </xdr:from>
    <xdr:to>
      <xdr:col>6</xdr:col>
      <xdr:colOff>0</xdr:colOff>
      <xdr:row>52</xdr:row>
      <xdr:rowOff>190502</xdr:rowOff>
    </xdr:to>
    <xdr:cxnSp macro="">
      <xdr:nvCxnSpPr>
        <xdr:cNvPr id="352" name="Straight Connector 351">
          <a:extLst>
            <a:ext uri="{FF2B5EF4-FFF2-40B4-BE49-F238E27FC236}">
              <a16:creationId xmlns:a16="http://schemas.microsoft.com/office/drawing/2014/main" id="{00000000-0008-0000-0F00-000060010000}"/>
            </a:ext>
          </a:extLst>
        </xdr:cNvPr>
        <xdr:cNvCxnSpPr/>
      </xdr:nvCxnSpPr>
      <xdr:spPr>
        <a:xfrm flipV="1">
          <a:off x="295275" y="49434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53</xdr:row>
      <xdr:rowOff>180975</xdr:rowOff>
    </xdr:from>
    <xdr:to>
      <xdr:col>5</xdr:col>
      <xdr:colOff>409575</xdr:colOff>
      <xdr:row>53</xdr:row>
      <xdr:rowOff>180977</xdr:rowOff>
    </xdr:to>
    <xdr:cxnSp macro="">
      <xdr:nvCxnSpPr>
        <xdr:cNvPr id="353" name="Straight Connector 352">
          <a:extLst>
            <a:ext uri="{FF2B5EF4-FFF2-40B4-BE49-F238E27FC236}">
              <a16:creationId xmlns:a16="http://schemas.microsoft.com/office/drawing/2014/main" id="{00000000-0008-0000-0F00-000061010000}"/>
            </a:ext>
          </a:extLst>
        </xdr:cNvPr>
        <xdr:cNvCxnSpPr/>
      </xdr:nvCxnSpPr>
      <xdr:spPr>
        <a:xfrm flipV="1">
          <a:off x="304800" y="51339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54</xdr:row>
      <xdr:rowOff>180975</xdr:rowOff>
    </xdr:from>
    <xdr:to>
      <xdr:col>6</xdr:col>
      <xdr:colOff>0</xdr:colOff>
      <xdr:row>54</xdr:row>
      <xdr:rowOff>180977</xdr:rowOff>
    </xdr:to>
    <xdr:cxnSp macro="">
      <xdr:nvCxnSpPr>
        <xdr:cNvPr id="354" name="Straight Connector 353">
          <a:extLst>
            <a:ext uri="{FF2B5EF4-FFF2-40B4-BE49-F238E27FC236}">
              <a16:creationId xmlns:a16="http://schemas.microsoft.com/office/drawing/2014/main" id="{00000000-0008-0000-0F00-000062010000}"/>
            </a:ext>
          </a:extLst>
        </xdr:cNvPr>
        <xdr:cNvCxnSpPr/>
      </xdr:nvCxnSpPr>
      <xdr:spPr>
        <a:xfrm flipV="1">
          <a:off x="276225" y="533400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51</xdr:row>
      <xdr:rowOff>180975</xdr:rowOff>
    </xdr:from>
    <xdr:to>
      <xdr:col>12</xdr:col>
      <xdr:colOff>0</xdr:colOff>
      <xdr:row>51</xdr:row>
      <xdr:rowOff>180977</xdr:rowOff>
    </xdr:to>
    <xdr:cxnSp macro="">
      <xdr:nvCxnSpPr>
        <xdr:cNvPr id="355" name="Straight Connector 354">
          <a:extLst>
            <a:ext uri="{FF2B5EF4-FFF2-40B4-BE49-F238E27FC236}">
              <a16:creationId xmlns:a16="http://schemas.microsoft.com/office/drawing/2014/main" id="{00000000-0008-0000-0F00-000063010000}"/>
            </a:ext>
          </a:extLst>
        </xdr:cNvPr>
        <xdr:cNvCxnSpPr/>
      </xdr:nvCxnSpPr>
      <xdr:spPr>
        <a:xfrm flipV="1">
          <a:off x="2488433" y="47339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52</xdr:row>
      <xdr:rowOff>190500</xdr:rowOff>
    </xdr:from>
    <xdr:to>
      <xdr:col>12</xdr:col>
      <xdr:colOff>0</xdr:colOff>
      <xdr:row>52</xdr:row>
      <xdr:rowOff>190502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F00-000064010000}"/>
            </a:ext>
          </a:extLst>
        </xdr:cNvPr>
        <xdr:cNvCxnSpPr/>
      </xdr:nvCxnSpPr>
      <xdr:spPr>
        <a:xfrm flipV="1">
          <a:off x="2476500" y="49434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53</xdr:row>
      <xdr:rowOff>180975</xdr:rowOff>
    </xdr:from>
    <xdr:to>
      <xdr:col>11</xdr:col>
      <xdr:colOff>409575</xdr:colOff>
      <xdr:row>53</xdr:row>
      <xdr:rowOff>180977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F00-000065010000}"/>
            </a:ext>
          </a:extLst>
        </xdr:cNvPr>
        <xdr:cNvCxnSpPr/>
      </xdr:nvCxnSpPr>
      <xdr:spPr>
        <a:xfrm flipV="1">
          <a:off x="2486025" y="51339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54</xdr:row>
      <xdr:rowOff>180975</xdr:rowOff>
    </xdr:from>
    <xdr:to>
      <xdr:col>12</xdr:col>
      <xdr:colOff>0</xdr:colOff>
      <xdr:row>54</xdr:row>
      <xdr:rowOff>180977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F00-000066010000}"/>
            </a:ext>
          </a:extLst>
        </xdr:cNvPr>
        <xdr:cNvCxnSpPr/>
      </xdr:nvCxnSpPr>
      <xdr:spPr>
        <a:xfrm flipV="1">
          <a:off x="2457450" y="533400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51</xdr:row>
      <xdr:rowOff>180975</xdr:rowOff>
    </xdr:from>
    <xdr:to>
      <xdr:col>18</xdr:col>
      <xdr:colOff>0</xdr:colOff>
      <xdr:row>51</xdr:row>
      <xdr:rowOff>180977</xdr:rowOff>
    </xdr:to>
    <xdr:cxnSp macro="">
      <xdr:nvCxnSpPr>
        <xdr:cNvPr id="359" name="Straight Connector 358">
          <a:extLst>
            <a:ext uri="{FF2B5EF4-FFF2-40B4-BE49-F238E27FC236}">
              <a16:creationId xmlns:a16="http://schemas.microsoft.com/office/drawing/2014/main" id="{00000000-0008-0000-0F00-000067010000}"/>
            </a:ext>
          </a:extLst>
        </xdr:cNvPr>
        <xdr:cNvCxnSpPr/>
      </xdr:nvCxnSpPr>
      <xdr:spPr>
        <a:xfrm flipV="1">
          <a:off x="4669658" y="47339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52</xdr:row>
      <xdr:rowOff>190500</xdr:rowOff>
    </xdr:from>
    <xdr:to>
      <xdr:col>18</xdr:col>
      <xdr:colOff>0</xdr:colOff>
      <xdr:row>52</xdr:row>
      <xdr:rowOff>190502</xdr:rowOff>
    </xdr:to>
    <xdr:cxnSp macro="">
      <xdr:nvCxnSpPr>
        <xdr:cNvPr id="360" name="Straight Connector 359">
          <a:extLst>
            <a:ext uri="{FF2B5EF4-FFF2-40B4-BE49-F238E27FC236}">
              <a16:creationId xmlns:a16="http://schemas.microsoft.com/office/drawing/2014/main" id="{00000000-0008-0000-0F00-000068010000}"/>
            </a:ext>
          </a:extLst>
        </xdr:cNvPr>
        <xdr:cNvCxnSpPr/>
      </xdr:nvCxnSpPr>
      <xdr:spPr>
        <a:xfrm flipV="1">
          <a:off x="4657725" y="49434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53</xdr:row>
      <xdr:rowOff>180975</xdr:rowOff>
    </xdr:from>
    <xdr:to>
      <xdr:col>17</xdr:col>
      <xdr:colOff>409575</xdr:colOff>
      <xdr:row>53</xdr:row>
      <xdr:rowOff>180977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F00-000069010000}"/>
            </a:ext>
          </a:extLst>
        </xdr:cNvPr>
        <xdr:cNvCxnSpPr/>
      </xdr:nvCxnSpPr>
      <xdr:spPr>
        <a:xfrm flipV="1">
          <a:off x="4667250" y="51339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54</xdr:row>
      <xdr:rowOff>180975</xdr:rowOff>
    </xdr:from>
    <xdr:to>
      <xdr:col>18</xdr:col>
      <xdr:colOff>0</xdr:colOff>
      <xdr:row>54</xdr:row>
      <xdr:rowOff>180977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F00-00006A010000}"/>
            </a:ext>
          </a:extLst>
        </xdr:cNvPr>
        <xdr:cNvCxnSpPr/>
      </xdr:nvCxnSpPr>
      <xdr:spPr>
        <a:xfrm flipV="1">
          <a:off x="4638675" y="533400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80</xdr:row>
      <xdr:rowOff>180975</xdr:rowOff>
    </xdr:from>
    <xdr:to>
      <xdr:col>6</xdr:col>
      <xdr:colOff>0</xdr:colOff>
      <xdr:row>80</xdr:row>
      <xdr:rowOff>180977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F00-00006B010000}"/>
            </a:ext>
          </a:extLst>
        </xdr:cNvPr>
        <xdr:cNvCxnSpPr/>
      </xdr:nvCxnSpPr>
      <xdr:spPr>
        <a:xfrm flipV="1">
          <a:off x="307208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81</xdr:row>
      <xdr:rowOff>190500</xdr:rowOff>
    </xdr:from>
    <xdr:to>
      <xdr:col>6</xdr:col>
      <xdr:colOff>0</xdr:colOff>
      <xdr:row>81</xdr:row>
      <xdr:rowOff>190502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F00-00006C010000}"/>
            </a:ext>
          </a:extLst>
        </xdr:cNvPr>
        <xdr:cNvCxnSpPr/>
      </xdr:nvCxnSpPr>
      <xdr:spPr>
        <a:xfrm flipV="1">
          <a:off x="295275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82</xdr:row>
      <xdr:rowOff>180975</xdr:rowOff>
    </xdr:from>
    <xdr:to>
      <xdr:col>5</xdr:col>
      <xdr:colOff>409575</xdr:colOff>
      <xdr:row>82</xdr:row>
      <xdr:rowOff>180977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F00-00006D010000}"/>
            </a:ext>
          </a:extLst>
        </xdr:cNvPr>
        <xdr:cNvCxnSpPr/>
      </xdr:nvCxnSpPr>
      <xdr:spPr>
        <a:xfrm flipV="1">
          <a:off x="304800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83</xdr:row>
      <xdr:rowOff>180975</xdr:rowOff>
    </xdr:from>
    <xdr:to>
      <xdr:col>6</xdr:col>
      <xdr:colOff>0</xdr:colOff>
      <xdr:row>83</xdr:row>
      <xdr:rowOff>180977</xdr:rowOff>
    </xdr:to>
    <xdr:cxnSp macro="">
      <xdr:nvCxnSpPr>
        <xdr:cNvPr id="366" name="Straight Connector 365">
          <a:extLst>
            <a:ext uri="{FF2B5EF4-FFF2-40B4-BE49-F238E27FC236}">
              <a16:creationId xmlns:a16="http://schemas.microsoft.com/office/drawing/2014/main" id="{00000000-0008-0000-0F00-00006E010000}"/>
            </a:ext>
          </a:extLst>
        </xdr:cNvPr>
        <xdr:cNvCxnSpPr/>
      </xdr:nvCxnSpPr>
      <xdr:spPr>
        <a:xfrm flipV="1">
          <a:off x="276225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80</xdr:row>
      <xdr:rowOff>180975</xdr:rowOff>
    </xdr:from>
    <xdr:to>
      <xdr:col>12</xdr:col>
      <xdr:colOff>0</xdr:colOff>
      <xdr:row>80</xdr:row>
      <xdr:rowOff>180977</xdr:rowOff>
    </xdr:to>
    <xdr:cxnSp macro="">
      <xdr:nvCxnSpPr>
        <xdr:cNvPr id="367" name="Straight Connector 366">
          <a:extLst>
            <a:ext uri="{FF2B5EF4-FFF2-40B4-BE49-F238E27FC236}">
              <a16:creationId xmlns:a16="http://schemas.microsoft.com/office/drawing/2014/main" id="{00000000-0008-0000-0F00-00006F010000}"/>
            </a:ext>
          </a:extLst>
        </xdr:cNvPr>
        <xdr:cNvCxnSpPr/>
      </xdr:nvCxnSpPr>
      <xdr:spPr>
        <a:xfrm flipV="1">
          <a:off x="2488433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81</xdr:row>
      <xdr:rowOff>190500</xdr:rowOff>
    </xdr:from>
    <xdr:to>
      <xdr:col>12</xdr:col>
      <xdr:colOff>0</xdr:colOff>
      <xdr:row>81</xdr:row>
      <xdr:rowOff>190502</xdr:rowOff>
    </xdr:to>
    <xdr:cxnSp macro="">
      <xdr:nvCxnSpPr>
        <xdr:cNvPr id="368" name="Straight Connector 367">
          <a:extLst>
            <a:ext uri="{FF2B5EF4-FFF2-40B4-BE49-F238E27FC236}">
              <a16:creationId xmlns:a16="http://schemas.microsoft.com/office/drawing/2014/main" id="{00000000-0008-0000-0F00-000070010000}"/>
            </a:ext>
          </a:extLst>
        </xdr:cNvPr>
        <xdr:cNvCxnSpPr/>
      </xdr:nvCxnSpPr>
      <xdr:spPr>
        <a:xfrm flipV="1">
          <a:off x="2476500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82</xdr:row>
      <xdr:rowOff>180975</xdr:rowOff>
    </xdr:from>
    <xdr:to>
      <xdr:col>11</xdr:col>
      <xdr:colOff>409575</xdr:colOff>
      <xdr:row>82</xdr:row>
      <xdr:rowOff>180977</xdr:rowOff>
    </xdr:to>
    <xdr:cxnSp macro="">
      <xdr:nvCxnSpPr>
        <xdr:cNvPr id="369" name="Straight Connector 368">
          <a:extLst>
            <a:ext uri="{FF2B5EF4-FFF2-40B4-BE49-F238E27FC236}">
              <a16:creationId xmlns:a16="http://schemas.microsoft.com/office/drawing/2014/main" id="{00000000-0008-0000-0F00-000071010000}"/>
            </a:ext>
          </a:extLst>
        </xdr:cNvPr>
        <xdr:cNvCxnSpPr/>
      </xdr:nvCxnSpPr>
      <xdr:spPr>
        <a:xfrm flipV="1">
          <a:off x="2486025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83</xdr:row>
      <xdr:rowOff>180975</xdr:rowOff>
    </xdr:from>
    <xdr:to>
      <xdr:col>12</xdr:col>
      <xdr:colOff>0</xdr:colOff>
      <xdr:row>83</xdr:row>
      <xdr:rowOff>180977</xdr:rowOff>
    </xdr:to>
    <xdr:cxnSp macro="">
      <xdr:nvCxnSpPr>
        <xdr:cNvPr id="370" name="Straight Connector 369">
          <a:extLst>
            <a:ext uri="{FF2B5EF4-FFF2-40B4-BE49-F238E27FC236}">
              <a16:creationId xmlns:a16="http://schemas.microsoft.com/office/drawing/2014/main" id="{00000000-0008-0000-0F00-000072010000}"/>
            </a:ext>
          </a:extLst>
        </xdr:cNvPr>
        <xdr:cNvCxnSpPr/>
      </xdr:nvCxnSpPr>
      <xdr:spPr>
        <a:xfrm flipV="1">
          <a:off x="2457450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80</xdr:row>
      <xdr:rowOff>180975</xdr:rowOff>
    </xdr:from>
    <xdr:to>
      <xdr:col>18</xdr:col>
      <xdr:colOff>0</xdr:colOff>
      <xdr:row>80</xdr:row>
      <xdr:rowOff>180977</xdr:rowOff>
    </xdr:to>
    <xdr:cxnSp macro="">
      <xdr:nvCxnSpPr>
        <xdr:cNvPr id="371" name="Straight Connector 370">
          <a:extLst>
            <a:ext uri="{FF2B5EF4-FFF2-40B4-BE49-F238E27FC236}">
              <a16:creationId xmlns:a16="http://schemas.microsoft.com/office/drawing/2014/main" id="{00000000-0008-0000-0F00-000073010000}"/>
            </a:ext>
          </a:extLst>
        </xdr:cNvPr>
        <xdr:cNvCxnSpPr/>
      </xdr:nvCxnSpPr>
      <xdr:spPr>
        <a:xfrm flipV="1">
          <a:off x="4669658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81</xdr:row>
      <xdr:rowOff>190500</xdr:rowOff>
    </xdr:from>
    <xdr:to>
      <xdr:col>18</xdr:col>
      <xdr:colOff>0</xdr:colOff>
      <xdr:row>81</xdr:row>
      <xdr:rowOff>190502</xdr:rowOff>
    </xdr:to>
    <xdr:cxnSp macro="">
      <xdr:nvCxnSpPr>
        <xdr:cNvPr id="372" name="Straight Connector 371">
          <a:extLst>
            <a:ext uri="{FF2B5EF4-FFF2-40B4-BE49-F238E27FC236}">
              <a16:creationId xmlns:a16="http://schemas.microsoft.com/office/drawing/2014/main" id="{00000000-0008-0000-0F00-000074010000}"/>
            </a:ext>
          </a:extLst>
        </xdr:cNvPr>
        <xdr:cNvCxnSpPr/>
      </xdr:nvCxnSpPr>
      <xdr:spPr>
        <a:xfrm flipV="1">
          <a:off x="4657725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82</xdr:row>
      <xdr:rowOff>180975</xdr:rowOff>
    </xdr:from>
    <xdr:to>
      <xdr:col>17</xdr:col>
      <xdr:colOff>409575</xdr:colOff>
      <xdr:row>82</xdr:row>
      <xdr:rowOff>180977</xdr:rowOff>
    </xdr:to>
    <xdr:cxnSp macro="">
      <xdr:nvCxnSpPr>
        <xdr:cNvPr id="373" name="Straight Connector 372">
          <a:extLst>
            <a:ext uri="{FF2B5EF4-FFF2-40B4-BE49-F238E27FC236}">
              <a16:creationId xmlns:a16="http://schemas.microsoft.com/office/drawing/2014/main" id="{00000000-0008-0000-0F00-000075010000}"/>
            </a:ext>
          </a:extLst>
        </xdr:cNvPr>
        <xdr:cNvCxnSpPr/>
      </xdr:nvCxnSpPr>
      <xdr:spPr>
        <a:xfrm flipV="1">
          <a:off x="4667250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83</xdr:row>
      <xdr:rowOff>180975</xdr:rowOff>
    </xdr:from>
    <xdr:to>
      <xdr:col>18</xdr:col>
      <xdr:colOff>0</xdr:colOff>
      <xdr:row>83</xdr:row>
      <xdr:rowOff>180977</xdr:rowOff>
    </xdr:to>
    <xdr:cxnSp macro="">
      <xdr:nvCxnSpPr>
        <xdr:cNvPr id="374" name="Straight Connector 373">
          <a:extLst>
            <a:ext uri="{FF2B5EF4-FFF2-40B4-BE49-F238E27FC236}">
              <a16:creationId xmlns:a16="http://schemas.microsoft.com/office/drawing/2014/main" id="{00000000-0008-0000-0F00-000076010000}"/>
            </a:ext>
          </a:extLst>
        </xdr:cNvPr>
        <xdr:cNvCxnSpPr/>
      </xdr:nvCxnSpPr>
      <xdr:spPr>
        <a:xfrm flipV="1">
          <a:off x="4638675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108</xdr:row>
      <xdr:rowOff>180975</xdr:rowOff>
    </xdr:from>
    <xdr:to>
      <xdr:col>6</xdr:col>
      <xdr:colOff>0</xdr:colOff>
      <xdr:row>108</xdr:row>
      <xdr:rowOff>180977</xdr:rowOff>
    </xdr:to>
    <xdr:cxnSp macro="">
      <xdr:nvCxnSpPr>
        <xdr:cNvPr id="375" name="Straight Connector 374">
          <a:extLst>
            <a:ext uri="{FF2B5EF4-FFF2-40B4-BE49-F238E27FC236}">
              <a16:creationId xmlns:a16="http://schemas.microsoft.com/office/drawing/2014/main" id="{00000000-0008-0000-0F00-000077010000}"/>
            </a:ext>
          </a:extLst>
        </xdr:cNvPr>
        <xdr:cNvCxnSpPr/>
      </xdr:nvCxnSpPr>
      <xdr:spPr>
        <a:xfrm flipV="1">
          <a:off x="307208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109</xdr:row>
      <xdr:rowOff>190500</xdr:rowOff>
    </xdr:from>
    <xdr:to>
      <xdr:col>6</xdr:col>
      <xdr:colOff>0</xdr:colOff>
      <xdr:row>109</xdr:row>
      <xdr:rowOff>190502</xdr:rowOff>
    </xdr:to>
    <xdr:cxnSp macro="">
      <xdr:nvCxnSpPr>
        <xdr:cNvPr id="376" name="Straight Connector 375">
          <a:extLst>
            <a:ext uri="{FF2B5EF4-FFF2-40B4-BE49-F238E27FC236}">
              <a16:creationId xmlns:a16="http://schemas.microsoft.com/office/drawing/2014/main" id="{00000000-0008-0000-0F00-000078010000}"/>
            </a:ext>
          </a:extLst>
        </xdr:cNvPr>
        <xdr:cNvCxnSpPr/>
      </xdr:nvCxnSpPr>
      <xdr:spPr>
        <a:xfrm flipV="1">
          <a:off x="295275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110</xdr:row>
      <xdr:rowOff>180975</xdr:rowOff>
    </xdr:from>
    <xdr:to>
      <xdr:col>5</xdr:col>
      <xdr:colOff>409575</xdr:colOff>
      <xdr:row>110</xdr:row>
      <xdr:rowOff>180977</xdr:rowOff>
    </xdr:to>
    <xdr:cxnSp macro="">
      <xdr:nvCxnSpPr>
        <xdr:cNvPr id="377" name="Straight Connector 376">
          <a:extLst>
            <a:ext uri="{FF2B5EF4-FFF2-40B4-BE49-F238E27FC236}">
              <a16:creationId xmlns:a16="http://schemas.microsoft.com/office/drawing/2014/main" id="{00000000-0008-0000-0F00-000079010000}"/>
            </a:ext>
          </a:extLst>
        </xdr:cNvPr>
        <xdr:cNvCxnSpPr/>
      </xdr:nvCxnSpPr>
      <xdr:spPr>
        <a:xfrm flipV="1">
          <a:off x="304800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111</xdr:row>
      <xdr:rowOff>180975</xdr:rowOff>
    </xdr:from>
    <xdr:to>
      <xdr:col>6</xdr:col>
      <xdr:colOff>0</xdr:colOff>
      <xdr:row>111</xdr:row>
      <xdr:rowOff>180977</xdr:rowOff>
    </xdr:to>
    <xdr:cxnSp macro="">
      <xdr:nvCxnSpPr>
        <xdr:cNvPr id="378" name="Straight Connector 377">
          <a:extLst>
            <a:ext uri="{FF2B5EF4-FFF2-40B4-BE49-F238E27FC236}">
              <a16:creationId xmlns:a16="http://schemas.microsoft.com/office/drawing/2014/main" id="{00000000-0008-0000-0F00-00007A010000}"/>
            </a:ext>
          </a:extLst>
        </xdr:cNvPr>
        <xdr:cNvCxnSpPr/>
      </xdr:nvCxnSpPr>
      <xdr:spPr>
        <a:xfrm flipV="1">
          <a:off x="276225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108</xdr:row>
      <xdr:rowOff>180975</xdr:rowOff>
    </xdr:from>
    <xdr:to>
      <xdr:col>12</xdr:col>
      <xdr:colOff>0</xdr:colOff>
      <xdr:row>108</xdr:row>
      <xdr:rowOff>180977</xdr:rowOff>
    </xdr:to>
    <xdr:cxnSp macro="">
      <xdr:nvCxnSpPr>
        <xdr:cNvPr id="379" name="Straight Connector 378">
          <a:extLst>
            <a:ext uri="{FF2B5EF4-FFF2-40B4-BE49-F238E27FC236}">
              <a16:creationId xmlns:a16="http://schemas.microsoft.com/office/drawing/2014/main" id="{00000000-0008-0000-0F00-00007B010000}"/>
            </a:ext>
          </a:extLst>
        </xdr:cNvPr>
        <xdr:cNvCxnSpPr/>
      </xdr:nvCxnSpPr>
      <xdr:spPr>
        <a:xfrm flipV="1">
          <a:off x="2488433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109</xdr:row>
      <xdr:rowOff>190500</xdr:rowOff>
    </xdr:from>
    <xdr:to>
      <xdr:col>12</xdr:col>
      <xdr:colOff>0</xdr:colOff>
      <xdr:row>109</xdr:row>
      <xdr:rowOff>190502</xdr:rowOff>
    </xdr:to>
    <xdr:cxnSp macro="">
      <xdr:nvCxnSpPr>
        <xdr:cNvPr id="380" name="Straight Connector 379">
          <a:extLst>
            <a:ext uri="{FF2B5EF4-FFF2-40B4-BE49-F238E27FC236}">
              <a16:creationId xmlns:a16="http://schemas.microsoft.com/office/drawing/2014/main" id="{00000000-0008-0000-0F00-00007C010000}"/>
            </a:ext>
          </a:extLst>
        </xdr:cNvPr>
        <xdr:cNvCxnSpPr/>
      </xdr:nvCxnSpPr>
      <xdr:spPr>
        <a:xfrm flipV="1">
          <a:off x="2476500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110</xdr:row>
      <xdr:rowOff>180975</xdr:rowOff>
    </xdr:from>
    <xdr:to>
      <xdr:col>11</xdr:col>
      <xdr:colOff>409575</xdr:colOff>
      <xdr:row>110</xdr:row>
      <xdr:rowOff>180977</xdr:rowOff>
    </xdr:to>
    <xdr:cxnSp macro="">
      <xdr:nvCxnSpPr>
        <xdr:cNvPr id="381" name="Straight Connector 380">
          <a:extLst>
            <a:ext uri="{FF2B5EF4-FFF2-40B4-BE49-F238E27FC236}">
              <a16:creationId xmlns:a16="http://schemas.microsoft.com/office/drawing/2014/main" id="{00000000-0008-0000-0F00-00007D010000}"/>
            </a:ext>
          </a:extLst>
        </xdr:cNvPr>
        <xdr:cNvCxnSpPr/>
      </xdr:nvCxnSpPr>
      <xdr:spPr>
        <a:xfrm flipV="1">
          <a:off x="2486025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111</xdr:row>
      <xdr:rowOff>180975</xdr:rowOff>
    </xdr:from>
    <xdr:to>
      <xdr:col>12</xdr:col>
      <xdr:colOff>0</xdr:colOff>
      <xdr:row>111</xdr:row>
      <xdr:rowOff>180977</xdr:rowOff>
    </xdr:to>
    <xdr:cxnSp macro="">
      <xdr:nvCxnSpPr>
        <xdr:cNvPr id="382" name="Straight Connector 381">
          <a:extLst>
            <a:ext uri="{FF2B5EF4-FFF2-40B4-BE49-F238E27FC236}">
              <a16:creationId xmlns:a16="http://schemas.microsoft.com/office/drawing/2014/main" id="{00000000-0008-0000-0F00-00007E010000}"/>
            </a:ext>
          </a:extLst>
        </xdr:cNvPr>
        <xdr:cNvCxnSpPr/>
      </xdr:nvCxnSpPr>
      <xdr:spPr>
        <a:xfrm flipV="1">
          <a:off x="2457450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108</xdr:row>
      <xdr:rowOff>180975</xdr:rowOff>
    </xdr:from>
    <xdr:to>
      <xdr:col>18</xdr:col>
      <xdr:colOff>0</xdr:colOff>
      <xdr:row>108</xdr:row>
      <xdr:rowOff>180977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00000000-0008-0000-0F00-00007F010000}"/>
            </a:ext>
          </a:extLst>
        </xdr:cNvPr>
        <xdr:cNvCxnSpPr/>
      </xdr:nvCxnSpPr>
      <xdr:spPr>
        <a:xfrm flipV="1">
          <a:off x="4669658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109</xdr:row>
      <xdr:rowOff>190500</xdr:rowOff>
    </xdr:from>
    <xdr:to>
      <xdr:col>18</xdr:col>
      <xdr:colOff>0</xdr:colOff>
      <xdr:row>109</xdr:row>
      <xdr:rowOff>190502</xdr:rowOff>
    </xdr:to>
    <xdr:cxnSp macro="">
      <xdr:nvCxnSpPr>
        <xdr:cNvPr id="384" name="Straight Connector 383">
          <a:extLst>
            <a:ext uri="{FF2B5EF4-FFF2-40B4-BE49-F238E27FC236}">
              <a16:creationId xmlns:a16="http://schemas.microsoft.com/office/drawing/2014/main" id="{00000000-0008-0000-0F00-000080010000}"/>
            </a:ext>
          </a:extLst>
        </xdr:cNvPr>
        <xdr:cNvCxnSpPr/>
      </xdr:nvCxnSpPr>
      <xdr:spPr>
        <a:xfrm flipV="1">
          <a:off x="4657725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110</xdr:row>
      <xdr:rowOff>180975</xdr:rowOff>
    </xdr:from>
    <xdr:to>
      <xdr:col>17</xdr:col>
      <xdr:colOff>409575</xdr:colOff>
      <xdr:row>110</xdr:row>
      <xdr:rowOff>180977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00000000-0008-0000-0F00-000081010000}"/>
            </a:ext>
          </a:extLst>
        </xdr:cNvPr>
        <xdr:cNvCxnSpPr/>
      </xdr:nvCxnSpPr>
      <xdr:spPr>
        <a:xfrm flipV="1">
          <a:off x="4667250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111</xdr:row>
      <xdr:rowOff>180975</xdr:rowOff>
    </xdr:from>
    <xdr:to>
      <xdr:col>18</xdr:col>
      <xdr:colOff>0</xdr:colOff>
      <xdr:row>111</xdr:row>
      <xdr:rowOff>180977</xdr:rowOff>
    </xdr:to>
    <xdr:cxnSp macro="">
      <xdr:nvCxnSpPr>
        <xdr:cNvPr id="386" name="Straight Connector 385">
          <a:extLst>
            <a:ext uri="{FF2B5EF4-FFF2-40B4-BE49-F238E27FC236}">
              <a16:creationId xmlns:a16="http://schemas.microsoft.com/office/drawing/2014/main" id="{00000000-0008-0000-0F00-000082010000}"/>
            </a:ext>
          </a:extLst>
        </xdr:cNvPr>
        <xdr:cNvCxnSpPr/>
      </xdr:nvCxnSpPr>
      <xdr:spPr>
        <a:xfrm flipV="1">
          <a:off x="4638675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137</xdr:row>
      <xdr:rowOff>180975</xdr:rowOff>
    </xdr:from>
    <xdr:to>
      <xdr:col>6</xdr:col>
      <xdr:colOff>0</xdr:colOff>
      <xdr:row>137</xdr:row>
      <xdr:rowOff>180977</xdr:rowOff>
    </xdr:to>
    <xdr:cxnSp macro="">
      <xdr:nvCxnSpPr>
        <xdr:cNvPr id="387" name="Straight Connector 386">
          <a:extLst>
            <a:ext uri="{FF2B5EF4-FFF2-40B4-BE49-F238E27FC236}">
              <a16:creationId xmlns:a16="http://schemas.microsoft.com/office/drawing/2014/main" id="{00000000-0008-0000-0F00-000083010000}"/>
            </a:ext>
          </a:extLst>
        </xdr:cNvPr>
        <xdr:cNvCxnSpPr/>
      </xdr:nvCxnSpPr>
      <xdr:spPr>
        <a:xfrm flipV="1">
          <a:off x="307208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138</xdr:row>
      <xdr:rowOff>190500</xdr:rowOff>
    </xdr:from>
    <xdr:to>
      <xdr:col>6</xdr:col>
      <xdr:colOff>0</xdr:colOff>
      <xdr:row>138</xdr:row>
      <xdr:rowOff>190502</xdr:rowOff>
    </xdr:to>
    <xdr:cxnSp macro="">
      <xdr:nvCxnSpPr>
        <xdr:cNvPr id="388" name="Straight Connector 387">
          <a:extLst>
            <a:ext uri="{FF2B5EF4-FFF2-40B4-BE49-F238E27FC236}">
              <a16:creationId xmlns:a16="http://schemas.microsoft.com/office/drawing/2014/main" id="{00000000-0008-0000-0F00-000084010000}"/>
            </a:ext>
          </a:extLst>
        </xdr:cNvPr>
        <xdr:cNvCxnSpPr/>
      </xdr:nvCxnSpPr>
      <xdr:spPr>
        <a:xfrm flipV="1">
          <a:off x="295275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139</xdr:row>
      <xdr:rowOff>180975</xdr:rowOff>
    </xdr:from>
    <xdr:to>
      <xdr:col>5</xdr:col>
      <xdr:colOff>409575</xdr:colOff>
      <xdr:row>139</xdr:row>
      <xdr:rowOff>180977</xdr:rowOff>
    </xdr:to>
    <xdr:cxnSp macro="">
      <xdr:nvCxnSpPr>
        <xdr:cNvPr id="389" name="Straight Connector 388">
          <a:extLst>
            <a:ext uri="{FF2B5EF4-FFF2-40B4-BE49-F238E27FC236}">
              <a16:creationId xmlns:a16="http://schemas.microsoft.com/office/drawing/2014/main" id="{00000000-0008-0000-0F00-000085010000}"/>
            </a:ext>
          </a:extLst>
        </xdr:cNvPr>
        <xdr:cNvCxnSpPr/>
      </xdr:nvCxnSpPr>
      <xdr:spPr>
        <a:xfrm flipV="1">
          <a:off x="304800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140</xdr:row>
      <xdr:rowOff>180975</xdr:rowOff>
    </xdr:from>
    <xdr:to>
      <xdr:col>6</xdr:col>
      <xdr:colOff>0</xdr:colOff>
      <xdr:row>140</xdr:row>
      <xdr:rowOff>180977</xdr:rowOff>
    </xdr:to>
    <xdr:cxnSp macro="">
      <xdr:nvCxnSpPr>
        <xdr:cNvPr id="390" name="Straight Connector 389">
          <a:extLst>
            <a:ext uri="{FF2B5EF4-FFF2-40B4-BE49-F238E27FC236}">
              <a16:creationId xmlns:a16="http://schemas.microsoft.com/office/drawing/2014/main" id="{00000000-0008-0000-0F00-000086010000}"/>
            </a:ext>
          </a:extLst>
        </xdr:cNvPr>
        <xdr:cNvCxnSpPr/>
      </xdr:nvCxnSpPr>
      <xdr:spPr>
        <a:xfrm flipV="1">
          <a:off x="276225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137</xdr:row>
      <xdr:rowOff>180975</xdr:rowOff>
    </xdr:from>
    <xdr:to>
      <xdr:col>12</xdr:col>
      <xdr:colOff>0</xdr:colOff>
      <xdr:row>137</xdr:row>
      <xdr:rowOff>180977</xdr:rowOff>
    </xdr:to>
    <xdr:cxnSp macro="">
      <xdr:nvCxnSpPr>
        <xdr:cNvPr id="391" name="Straight Connector 390">
          <a:extLst>
            <a:ext uri="{FF2B5EF4-FFF2-40B4-BE49-F238E27FC236}">
              <a16:creationId xmlns:a16="http://schemas.microsoft.com/office/drawing/2014/main" id="{00000000-0008-0000-0F00-000087010000}"/>
            </a:ext>
          </a:extLst>
        </xdr:cNvPr>
        <xdr:cNvCxnSpPr/>
      </xdr:nvCxnSpPr>
      <xdr:spPr>
        <a:xfrm flipV="1">
          <a:off x="2488433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138</xdr:row>
      <xdr:rowOff>190500</xdr:rowOff>
    </xdr:from>
    <xdr:to>
      <xdr:col>12</xdr:col>
      <xdr:colOff>0</xdr:colOff>
      <xdr:row>138</xdr:row>
      <xdr:rowOff>190502</xdr:rowOff>
    </xdr:to>
    <xdr:cxnSp macro="">
      <xdr:nvCxnSpPr>
        <xdr:cNvPr id="392" name="Straight Connector 391">
          <a:extLst>
            <a:ext uri="{FF2B5EF4-FFF2-40B4-BE49-F238E27FC236}">
              <a16:creationId xmlns:a16="http://schemas.microsoft.com/office/drawing/2014/main" id="{00000000-0008-0000-0F00-000088010000}"/>
            </a:ext>
          </a:extLst>
        </xdr:cNvPr>
        <xdr:cNvCxnSpPr/>
      </xdr:nvCxnSpPr>
      <xdr:spPr>
        <a:xfrm flipV="1">
          <a:off x="2476500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139</xdr:row>
      <xdr:rowOff>180975</xdr:rowOff>
    </xdr:from>
    <xdr:to>
      <xdr:col>11</xdr:col>
      <xdr:colOff>409575</xdr:colOff>
      <xdr:row>139</xdr:row>
      <xdr:rowOff>180977</xdr:rowOff>
    </xdr:to>
    <xdr:cxnSp macro="">
      <xdr:nvCxnSpPr>
        <xdr:cNvPr id="393" name="Straight Connector 392">
          <a:extLst>
            <a:ext uri="{FF2B5EF4-FFF2-40B4-BE49-F238E27FC236}">
              <a16:creationId xmlns:a16="http://schemas.microsoft.com/office/drawing/2014/main" id="{00000000-0008-0000-0F00-000089010000}"/>
            </a:ext>
          </a:extLst>
        </xdr:cNvPr>
        <xdr:cNvCxnSpPr/>
      </xdr:nvCxnSpPr>
      <xdr:spPr>
        <a:xfrm flipV="1">
          <a:off x="2486025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140</xdr:row>
      <xdr:rowOff>180975</xdr:rowOff>
    </xdr:from>
    <xdr:to>
      <xdr:col>12</xdr:col>
      <xdr:colOff>0</xdr:colOff>
      <xdr:row>140</xdr:row>
      <xdr:rowOff>180977</xdr:rowOff>
    </xdr:to>
    <xdr:cxnSp macro="">
      <xdr:nvCxnSpPr>
        <xdr:cNvPr id="394" name="Straight Connector 393">
          <a:extLst>
            <a:ext uri="{FF2B5EF4-FFF2-40B4-BE49-F238E27FC236}">
              <a16:creationId xmlns:a16="http://schemas.microsoft.com/office/drawing/2014/main" id="{00000000-0008-0000-0F00-00008A010000}"/>
            </a:ext>
          </a:extLst>
        </xdr:cNvPr>
        <xdr:cNvCxnSpPr/>
      </xdr:nvCxnSpPr>
      <xdr:spPr>
        <a:xfrm flipV="1">
          <a:off x="2457450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137</xdr:row>
      <xdr:rowOff>180975</xdr:rowOff>
    </xdr:from>
    <xdr:to>
      <xdr:col>18</xdr:col>
      <xdr:colOff>0</xdr:colOff>
      <xdr:row>137</xdr:row>
      <xdr:rowOff>180977</xdr:rowOff>
    </xdr:to>
    <xdr:cxnSp macro="">
      <xdr:nvCxnSpPr>
        <xdr:cNvPr id="395" name="Straight Connector 394">
          <a:extLst>
            <a:ext uri="{FF2B5EF4-FFF2-40B4-BE49-F238E27FC236}">
              <a16:creationId xmlns:a16="http://schemas.microsoft.com/office/drawing/2014/main" id="{00000000-0008-0000-0F00-00008B010000}"/>
            </a:ext>
          </a:extLst>
        </xdr:cNvPr>
        <xdr:cNvCxnSpPr/>
      </xdr:nvCxnSpPr>
      <xdr:spPr>
        <a:xfrm flipV="1">
          <a:off x="4669658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138</xdr:row>
      <xdr:rowOff>190500</xdr:rowOff>
    </xdr:from>
    <xdr:to>
      <xdr:col>18</xdr:col>
      <xdr:colOff>0</xdr:colOff>
      <xdr:row>138</xdr:row>
      <xdr:rowOff>190502</xdr:rowOff>
    </xdr:to>
    <xdr:cxnSp macro="">
      <xdr:nvCxnSpPr>
        <xdr:cNvPr id="396" name="Straight Connector 395">
          <a:extLst>
            <a:ext uri="{FF2B5EF4-FFF2-40B4-BE49-F238E27FC236}">
              <a16:creationId xmlns:a16="http://schemas.microsoft.com/office/drawing/2014/main" id="{00000000-0008-0000-0F00-00008C010000}"/>
            </a:ext>
          </a:extLst>
        </xdr:cNvPr>
        <xdr:cNvCxnSpPr/>
      </xdr:nvCxnSpPr>
      <xdr:spPr>
        <a:xfrm flipV="1">
          <a:off x="4657725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139</xdr:row>
      <xdr:rowOff>180975</xdr:rowOff>
    </xdr:from>
    <xdr:to>
      <xdr:col>17</xdr:col>
      <xdr:colOff>409575</xdr:colOff>
      <xdr:row>139</xdr:row>
      <xdr:rowOff>180977</xdr:rowOff>
    </xdr:to>
    <xdr:cxnSp macro="">
      <xdr:nvCxnSpPr>
        <xdr:cNvPr id="397" name="Straight Connector 396">
          <a:extLst>
            <a:ext uri="{FF2B5EF4-FFF2-40B4-BE49-F238E27FC236}">
              <a16:creationId xmlns:a16="http://schemas.microsoft.com/office/drawing/2014/main" id="{00000000-0008-0000-0F00-00008D010000}"/>
            </a:ext>
          </a:extLst>
        </xdr:cNvPr>
        <xdr:cNvCxnSpPr/>
      </xdr:nvCxnSpPr>
      <xdr:spPr>
        <a:xfrm flipV="1">
          <a:off x="4667250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140</xdr:row>
      <xdr:rowOff>180975</xdr:rowOff>
    </xdr:from>
    <xdr:to>
      <xdr:col>18</xdr:col>
      <xdr:colOff>0</xdr:colOff>
      <xdr:row>140</xdr:row>
      <xdr:rowOff>180977</xdr:rowOff>
    </xdr:to>
    <xdr:cxnSp macro="">
      <xdr:nvCxnSpPr>
        <xdr:cNvPr id="398" name="Straight Connector 397">
          <a:extLst>
            <a:ext uri="{FF2B5EF4-FFF2-40B4-BE49-F238E27FC236}">
              <a16:creationId xmlns:a16="http://schemas.microsoft.com/office/drawing/2014/main" id="{00000000-0008-0000-0F00-00008E010000}"/>
            </a:ext>
          </a:extLst>
        </xdr:cNvPr>
        <xdr:cNvCxnSpPr/>
      </xdr:nvCxnSpPr>
      <xdr:spPr>
        <a:xfrm flipV="1">
          <a:off x="4638675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165</xdr:row>
      <xdr:rowOff>180975</xdr:rowOff>
    </xdr:from>
    <xdr:to>
      <xdr:col>6</xdr:col>
      <xdr:colOff>0</xdr:colOff>
      <xdr:row>165</xdr:row>
      <xdr:rowOff>180977</xdr:rowOff>
    </xdr:to>
    <xdr:cxnSp macro="">
      <xdr:nvCxnSpPr>
        <xdr:cNvPr id="399" name="Straight Connector 398">
          <a:extLst>
            <a:ext uri="{FF2B5EF4-FFF2-40B4-BE49-F238E27FC236}">
              <a16:creationId xmlns:a16="http://schemas.microsoft.com/office/drawing/2014/main" id="{00000000-0008-0000-0F00-00008F010000}"/>
            </a:ext>
          </a:extLst>
        </xdr:cNvPr>
        <xdr:cNvCxnSpPr/>
      </xdr:nvCxnSpPr>
      <xdr:spPr>
        <a:xfrm flipV="1">
          <a:off x="307208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166</xdr:row>
      <xdr:rowOff>190500</xdr:rowOff>
    </xdr:from>
    <xdr:to>
      <xdr:col>6</xdr:col>
      <xdr:colOff>0</xdr:colOff>
      <xdr:row>166</xdr:row>
      <xdr:rowOff>190502</xdr:rowOff>
    </xdr:to>
    <xdr:cxnSp macro="">
      <xdr:nvCxnSpPr>
        <xdr:cNvPr id="400" name="Straight Connector 399">
          <a:extLst>
            <a:ext uri="{FF2B5EF4-FFF2-40B4-BE49-F238E27FC236}">
              <a16:creationId xmlns:a16="http://schemas.microsoft.com/office/drawing/2014/main" id="{00000000-0008-0000-0F00-000090010000}"/>
            </a:ext>
          </a:extLst>
        </xdr:cNvPr>
        <xdr:cNvCxnSpPr/>
      </xdr:nvCxnSpPr>
      <xdr:spPr>
        <a:xfrm flipV="1">
          <a:off x="295275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167</xdr:row>
      <xdr:rowOff>180975</xdr:rowOff>
    </xdr:from>
    <xdr:to>
      <xdr:col>5</xdr:col>
      <xdr:colOff>409575</xdr:colOff>
      <xdr:row>167</xdr:row>
      <xdr:rowOff>180977</xdr:rowOff>
    </xdr:to>
    <xdr:cxnSp macro="">
      <xdr:nvCxnSpPr>
        <xdr:cNvPr id="401" name="Straight Connector 400">
          <a:extLst>
            <a:ext uri="{FF2B5EF4-FFF2-40B4-BE49-F238E27FC236}">
              <a16:creationId xmlns:a16="http://schemas.microsoft.com/office/drawing/2014/main" id="{00000000-0008-0000-0F00-000091010000}"/>
            </a:ext>
          </a:extLst>
        </xdr:cNvPr>
        <xdr:cNvCxnSpPr/>
      </xdr:nvCxnSpPr>
      <xdr:spPr>
        <a:xfrm flipV="1">
          <a:off x="304800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168</xdr:row>
      <xdr:rowOff>180975</xdr:rowOff>
    </xdr:from>
    <xdr:to>
      <xdr:col>6</xdr:col>
      <xdr:colOff>0</xdr:colOff>
      <xdr:row>168</xdr:row>
      <xdr:rowOff>180977</xdr:rowOff>
    </xdr:to>
    <xdr:cxnSp macro="">
      <xdr:nvCxnSpPr>
        <xdr:cNvPr id="402" name="Straight Connector 401">
          <a:extLst>
            <a:ext uri="{FF2B5EF4-FFF2-40B4-BE49-F238E27FC236}">
              <a16:creationId xmlns:a16="http://schemas.microsoft.com/office/drawing/2014/main" id="{00000000-0008-0000-0F00-000092010000}"/>
            </a:ext>
          </a:extLst>
        </xdr:cNvPr>
        <xdr:cNvCxnSpPr/>
      </xdr:nvCxnSpPr>
      <xdr:spPr>
        <a:xfrm flipV="1">
          <a:off x="276225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165</xdr:row>
      <xdr:rowOff>180975</xdr:rowOff>
    </xdr:from>
    <xdr:to>
      <xdr:col>12</xdr:col>
      <xdr:colOff>0</xdr:colOff>
      <xdr:row>165</xdr:row>
      <xdr:rowOff>180977</xdr:rowOff>
    </xdr:to>
    <xdr:cxnSp macro="">
      <xdr:nvCxnSpPr>
        <xdr:cNvPr id="403" name="Straight Connector 402">
          <a:extLst>
            <a:ext uri="{FF2B5EF4-FFF2-40B4-BE49-F238E27FC236}">
              <a16:creationId xmlns:a16="http://schemas.microsoft.com/office/drawing/2014/main" id="{00000000-0008-0000-0F00-000093010000}"/>
            </a:ext>
          </a:extLst>
        </xdr:cNvPr>
        <xdr:cNvCxnSpPr/>
      </xdr:nvCxnSpPr>
      <xdr:spPr>
        <a:xfrm flipV="1">
          <a:off x="2488433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166</xdr:row>
      <xdr:rowOff>190500</xdr:rowOff>
    </xdr:from>
    <xdr:to>
      <xdr:col>12</xdr:col>
      <xdr:colOff>0</xdr:colOff>
      <xdr:row>166</xdr:row>
      <xdr:rowOff>190502</xdr:rowOff>
    </xdr:to>
    <xdr:cxnSp macro="">
      <xdr:nvCxnSpPr>
        <xdr:cNvPr id="404" name="Straight Connector 403">
          <a:extLst>
            <a:ext uri="{FF2B5EF4-FFF2-40B4-BE49-F238E27FC236}">
              <a16:creationId xmlns:a16="http://schemas.microsoft.com/office/drawing/2014/main" id="{00000000-0008-0000-0F00-000094010000}"/>
            </a:ext>
          </a:extLst>
        </xdr:cNvPr>
        <xdr:cNvCxnSpPr/>
      </xdr:nvCxnSpPr>
      <xdr:spPr>
        <a:xfrm flipV="1">
          <a:off x="2476500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167</xdr:row>
      <xdr:rowOff>180975</xdr:rowOff>
    </xdr:from>
    <xdr:to>
      <xdr:col>11</xdr:col>
      <xdr:colOff>409575</xdr:colOff>
      <xdr:row>167</xdr:row>
      <xdr:rowOff>180977</xdr:rowOff>
    </xdr:to>
    <xdr:cxnSp macro="">
      <xdr:nvCxnSpPr>
        <xdr:cNvPr id="405" name="Straight Connector 404">
          <a:extLst>
            <a:ext uri="{FF2B5EF4-FFF2-40B4-BE49-F238E27FC236}">
              <a16:creationId xmlns:a16="http://schemas.microsoft.com/office/drawing/2014/main" id="{00000000-0008-0000-0F00-000095010000}"/>
            </a:ext>
          </a:extLst>
        </xdr:cNvPr>
        <xdr:cNvCxnSpPr/>
      </xdr:nvCxnSpPr>
      <xdr:spPr>
        <a:xfrm flipV="1">
          <a:off x="2486025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168</xdr:row>
      <xdr:rowOff>180975</xdr:rowOff>
    </xdr:from>
    <xdr:to>
      <xdr:col>12</xdr:col>
      <xdr:colOff>0</xdr:colOff>
      <xdr:row>168</xdr:row>
      <xdr:rowOff>180977</xdr:rowOff>
    </xdr:to>
    <xdr:cxnSp macro="">
      <xdr:nvCxnSpPr>
        <xdr:cNvPr id="406" name="Straight Connector 405">
          <a:extLst>
            <a:ext uri="{FF2B5EF4-FFF2-40B4-BE49-F238E27FC236}">
              <a16:creationId xmlns:a16="http://schemas.microsoft.com/office/drawing/2014/main" id="{00000000-0008-0000-0F00-000096010000}"/>
            </a:ext>
          </a:extLst>
        </xdr:cNvPr>
        <xdr:cNvCxnSpPr/>
      </xdr:nvCxnSpPr>
      <xdr:spPr>
        <a:xfrm flipV="1">
          <a:off x="2457450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165</xdr:row>
      <xdr:rowOff>180975</xdr:rowOff>
    </xdr:from>
    <xdr:to>
      <xdr:col>18</xdr:col>
      <xdr:colOff>0</xdr:colOff>
      <xdr:row>165</xdr:row>
      <xdr:rowOff>180977</xdr:rowOff>
    </xdr:to>
    <xdr:cxnSp macro="">
      <xdr:nvCxnSpPr>
        <xdr:cNvPr id="407" name="Straight Connector 406">
          <a:extLst>
            <a:ext uri="{FF2B5EF4-FFF2-40B4-BE49-F238E27FC236}">
              <a16:creationId xmlns:a16="http://schemas.microsoft.com/office/drawing/2014/main" id="{00000000-0008-0000-0F00-000097010000}"/>
            </a:ext>
          </a:extLst>
        </xdr:cNvPr>
        <xdr:cNvCxnSpPr/>
      </xdr:nvCxnSpPr>
      <xdr:spPr>
        <a:xfrm flipV="1">
          <a:off x="4669658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166</xdr:row>
      <xdr:rowOff>190500</xdr:rowOff>
    </xdr:from>
    <xdr:to>
      <xdr:col>18</xdr:col>
      <xdr:colOff>0</xdr:colOff>
      <xdr:row>166</xdr:row>
      <xdr:rowOff>190502</xdr:rowOff>
    </xdr:to>
    <xdr:cxnSp macro="">
      <xdr:nvCxnSpPr>
        <xdr:cNvPr id="408" name="Straight Connector 407">
          <a:extLst>
            <a:ext uri="{FF2B5EF4-FFF2-40B4-BE49-F238E27FC236}">
              <a16:creationId xmlns:a16="http://schemas.microsoft.com/office/drawing/2014/main" id="{00000000-0008-0000-0F00-000098010000}"/>
            </a:ext>
          </a:extLst>
        </xdr:cNvPr>
        <xdr:cNvCxnSpPr/>
      </xdr:nvCxnSpPr>
      <xdr:spPr>
        <a:xfrm flipV="1">
          <a:off x="4657725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167</xdr:row>
      <xdr:rowOff>180975</xdr:rowOff>
    </xdr:from>
    <xdr:to>
      <xdr:col>17</xdr:col>
      <xdr:colOff>409575</xdr:colOff>
      <xdr:row>167</xdr:row>
      <xdr:rowOff>180977</xdr:rowOff>
    </xdr:to>
    <xdr:cxnSp macro="">
      <xdr:nvCxnSpPr>
        <xdr:cNvPr id="409" name="Straight Connector 408">
          <a:extLst>
            <a:ext uri="{FF2B5EF4-FFF2-40B4-BE49-F238E27FC236}">
              <a16:creationId xmlns:a16="http://schemas.microsoft.com/office/drawing/2014/main" id="{00000000-0008-0000-0F00-000099010000}"/>
            </a:ext>
          </a:extLst>
        </xdr:cNvPr>
        <xdr:cNvCxnSpPr/>
      </xdr:nvCxnSpPr>
      <xdr:spPr>
        <a:xfrm flipV="1">
          <a:off x="4667250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168</xdr:row>
      <xdr:rowOff>180975</xdr:rowOff>
    </xdr:from>
    <xdr:to>
      <xdr:col>18</xdr:col>
      <xdr:colOff>0</xdr:colOff>
      <xdr:row>168</xdr:row>
      <xdr:rowOff>180977</xdr:rowOff>
    </xdr:to>
    <xdr:cxnSp macro="">
      <xdr:nvCxnSpPr>
        <xdr:cNvPr id="410" name="Straight Connector 409">
          <a:extLst>
            <a:ext uri="{FF2B5EF4-FFF2-40B4-BE49-F238E27FC236}">
              <a16:creationId xmlns:a16="http://schemas.microsoft.com/office/drawing/2014/main" id="{00000000-0008-0000-0F00-00009A010000}"/>
            </a:ext>
          </a:extLst>
        </xdr:cNvPr>
        <xdr:cNvCxnSpPr/>
      </xdr:nvCxnSpPr>
      <xdr:spPr>
        <a:xfrm flipV="1">
          <a:off x="4638675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194</xdr:row>
      <xdr:rowOff>180975</xdr:rowOff>
    </xdr:from>
    <xdr:to>
      <xdr:col>6</xdr:col>
      <xdr:colOff>0</xdr:colOff>
      <xdr:row>194</xdr:row>
      <xdr:rowOff>180977</xdr:rowOff>
    </xdr:to>
    <xdr:cxnSp macro="">
      <xdr:nvCxnSpPr>
        <xdr:cNvPr id="411" name="Straight Connector 410">
          <a:extLst>
            <a:ext uri="{FF2B5EF4-FFF2-40B4-BE49-F238E27FC236}">
              <a16:creationId xmlns:a16="http://schemas.microsoft.com/office/drawing/2014/main" id="{00000000-0008-0000-0F00-00009B010000}"/>
            </a:ext>
          </a:extLst>
        </xdr:cNvPr>
        <xdr:cNvCxnSpPr/>
      </xdr:nvCxnSpPr>
      <xdr:spPr>
        <a:xfrm flipV="1">
          <a:off x="307208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195</xdr:row>
      <xdr:rowOff>190500</xdr:rowOff>
    </xdr:from>
    <xdr:to>
      <xdr:col>6</xdr:col>
      <xdr:colOff>0</xdr:colOff>
      <xdr:row>195</xdr:row>
      <xdr:rowOff>190502</xdr:rowOff>
    </xdr:to>
    <xdr:cxnSp macro="">
      <xdr:nvCxnSpPr>
        <xdr:cNvPr id="412" name="Straight Connector 411">
          <a:extLst>
            <a:ext uri="{FF2B5EF4-FFF2-40B4-BE49-F238E27FC236}">
              <a16:creationId xmlns:a16="http://schemas.microsoft.com/office/drawing/2014/main" id="{00000000-0008-0000-0F00-00009C010000}"/>
            </a:ext>
          </a:extLst>
        </xdr:cNvPr>
        <xdr:cNvCxnSpPr/>
      </xdr:nvCxnSpPr>
      <xdr:spPr>
        <a:xfrm flipV="1">
          <a:off x="295275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196</xdr:row>
      <xdr:rowOff>180975</xdr:rowOff>
    </xdr:from>
    <xdr:to>
      <xdr:col>5</xdr:col>
      <xdr:colOff>409575</xdr:colOff>
      <xdr:row>196</xdr:row>
      <xdr:rowOff>180977</xdr:rowOff>
    </xdr:to>
    <xdr:cxnSp macro="">
      <xdr:nvCxnSpPr>
        <xdr:cNvPr id="413" name="Straight Connector 412">
          <a:extLst>
            <a:ext uri="{FF2B5EF4-FFF2-40B4-BE49-F238E27FC236}">
              <a16:creationId xmlns:a16="http://schemas.microsoft.com/office/drawing/2014/main" id="{00000000-0008-0000-0F00-00009D010000}"/>
            </a:ext>
          </a:extLst>
        </xdr:cNvPr>
        <xdr:cNvCxnSpPr/>
      </xdr:nvCxnSpPr>
      <xdr:spPr>
        <a:xfrm flipV="1">
          <a:off x="304800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197</xdr:row>
      <xdr:rowOff>180975</xdr:rowOff>
    </xdr:from>
    <xdr:to>
      <xdr:col>6</xdr:col>
      <xdr:colOff>0</xdr:colOff>
      <xdr:row>197</xdr:row>
      <xdr:rowOff>180977</xdr:rowOff>
    </xdr:to>
    <xdr:cxnSp macro="">
      <xdr:nvCxnSpPr>
        <xdr:cNvPr id="414" name="Straight Connector 413">
          <a:extLst>
            <a:ext uri="{FF2B5EF4-FFF2-40B4-BE49-F238E27FC236}">
              <a16:creationId xmlns:a16="http://schemas.microsoft.com/office/drawing/2014/main" id="{00000000-0008-0000-0F00-00009E010000}"/>
            </a:ext>
          </a:extLst>
        </xdr:cNvPr>
        <xdr:cNvCxnSpPr/>
      </xdr:nvCxnSpPr>
      <xdr:spPr>
        <a:xfrm flipV="1">
          <a:off x="276225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194</xdr:row>
      <xdr:rowOff>180975</xdr:rowOff>
    </xdr:from>
    <xdr:to>
      <xdr:col>12</xdr:col>
      <xdr:colOff>0</xdr:colOff>
      <xdr:row>194</xdr:row>
      <xdr:rowOff>180977</xdr:rowOff>
    </xdr:to>
    <xdr:cxnSp macro="">
      <xdr:nvCxnSpPr>
        <xdr:cNvPr id="415" name="Straight Connector 414">
          <a:extLst>
            <a:ext uri="{FF2B5EF4-FFF2-40B4-BE49-F238E27FC236}">
              <a16:creationId xmlns:a16="http://schemas.microsoft.com/office/drawing/2014/main" id="{00000000-0008-0000-0F00-00009F010000}"/>
            </a:ext>
          </a:extLst>
        </xdr:cNvPr>
        <xdr:cNvCxnSpPr/>
      </xdr:nvCxnSpPr>
      <xdr:spPr>
        <a:xfrm flipV="1">
          <a:off x="2488433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195</xdr:row>
      <xdr:rowOff>190500</xdr:rowOff>
    </xdr:from>
    <xdr:to>
      <xdr:col>12</xdr:col>
      <xdr:colOff>0</xdr:colOff>
      <xdr:row>195</xdr:row>
      <xdr:rowOff>190502</xdr:rowOff>
    </xdr:to>
    <xdr:cxnSp macro="">
      <xdr:nvCxnSpPr>
        <xdr:cNvPr id="416" name="Straight Connector 415">
          <a:extLst>
            <a:ext uri="{FF2B5EF4-FFF2-40B4-BE49-F238E27FC236}">
              <a16:creationId xmlns:a16="http://schemas.microsoft.com/office/drawing/2014/main" id="{00000000-0008-0000-0F00-0000A0010000}"/>
            </a:ext>
          </a:extLst>
        </xdr:cNvPr>
        <xdr:cNvCxnSpPr/>
      </xdr:nvCxnSpPr>
      <xdr:spPr>
        <a:xfrm flipV="1">
          <a:off x="2476500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196</xdr:row>
      <xdr:rowOff>180975</xdr:rowOff>
    </xdr:from>
    <xdr:to>
      <xdr:col>11</xdr:col>
      <xdr:colOff>409575</xdr:colOff>
      <xdr:row>196</xdr:row>
      <xdr:rowOff>180977</xdr:rowOff>
    </xdr:to>
    <xdr:cxnSp macro="">
      <xdr:nvCxnSpPr>
        <xdr:cNvPr id="417" name="Straight Connector 416">
          <a:extLst>
            <a:ext uri="{FF2B5EF4-FFF2-40B4-BE49-F238E27FC236}">
              <a16:creationId xmlns:a16="http://schemas.microsoft.com/office/drawing/2014/main" id="{00000000-0008-0000-0F00-0000A1010000}"/>
            </a:ext>
          </a:extLst>
        </xdr:cNvPr>
        <xdr:cNvCxnSpPr/>
      </xdr:nvCxnSpPr>
      <xdr:spPr>
        <a:xfrm flipV="1">
          <a:off x="2486025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197</xdr:row>
      <xdr:rowOff>180975</xdr:rowOff>
    </xdr:from>
    <xdr:to>
      <xdr:col>12</xdr:col>
      <xdr:colOff>0</xdr:colOff>
      <xdr:row>197</xdr:row>
      <xdr:rowOff>180977</xdr:rowOff>
    </xdr:to>
    <xdr:cxnSp macro="">
      <xdr:nvCxnSpPr>
        <xdr:cNvPr id="418" name="Straight Connector 417">
          <a:extLst>
            <a:ext uri="{FF2B5EF4-FFF2-40B4-BE49-F238E27FC236}">
              <a16:creationId xmlns:a16="http://schemas.microsoft.com/office/drawing/2014/main" id="{00000000-0008-0000-0F00-0000A2010000}"/>
            </a:ext>
          </a:extLst>
        </xdr:cNvPr>
        <xdr:cNvCxnSpPr/>
      </xdr:nvCxnSpPr>
      <xdr:spPr>
        <a:xfrm flipV="1">
          <a:off x="2457450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194</xdr:row>
      <xdr:rowOff>180975</xdr:rowOff>
    </xdr:from>
    <xdr:to>
      <xdr:col>18</xdr:col>
      <xdr:colOff>0</xdr:colOff>
      <xdr:row>194</xdr:row>
      <xdr:rowOff>180977</xdr:rowOff>
    </xdr:to>
    <xdr:cxnSp macro="">
      <xdr:nvCxnSpPr>
        <xdr:cNvPr id="419" name="Straight Connector 418">
          <a:extLst>
            <a:ext uri="{FF2B5EF4-FFF2-40B4-BE49-F238E27FC236}">
              <a16:creationId xmlns:a16="http://schemas.microsoft.com/office/drawing/2014/main" id="{00000000-0008-0000-0F00-0000A3010000}"/>
            </a:ext>
          </a:extLst>
        </xdr:cNvPr>
        <xdr:cNvCxnSpPr/>
      </xdr:nvCxnSpPr>
      <xdr:spPr>
        <a:xfrm flipV="1">
          <a:off x="4669658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195</xdr:row>
      <xdr:rowOff>190500</xdr:rowOff>
    </xdr:from>
    <xdr:to>
      <xdr:col>18</xdr:col>
      <xdr:colOff>0</xdr:colOff>
      <xdr:row>195</xdr:row>
      <xdr:rowOff>190502</xdr:rowOff>
    </xdr:to>
    <xdr:cxnSp macro="">
      <xdr:nvCxnSpPr>
        <xdr:cNvPr id="420" name="Straight Connector 419">
          <a:extLst>
            <a:ext uri="{FF2B5EF4-FFF2-40B4-BE49-F238E27FC236}">
              <a16:creationId xmlns:a16="http://schemas.microsoft.com/office/drawing/2014/main" id="{00000000-0008-0000-0F00-0000A4010000}"/>
            </a:ext>
          </a:extLst>
        </xdr:cNvPr>
        <xdr:cNvCxnSpPr/>
      </xdr:nvCxnSpPr>
      <xdr:spPr>
        <a:xfrm flipV="1">
          <a:off x="4657725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196</xdr:row>
      <xdr:rowOff>180975</xdr:rowOff>
    </xdr:from>
    <xdr:to>
      <xdr:col>17</xdr:col>
      <xdr:colOff>409575</xdr:colOff>
      <xdr:row>196</xdr:row>
      <xdr:rowOff>180977</xdr:rowOff>
    </xdr:to>
    <xdr:cxnSp macro="">
      <xdr:nvCxnSpPr>
        <xdr:cNvPr id="421" name="Straight Connector 420">
          <a:extLst>
            <a:ext uri="{FF2B5EF4-FFF2-40B4-BE49-F238E27FC236}">
              <a16:creationId xmlns:a16="http://schemas.microsoft.com/office/drawing/2014/main" id="{00000000-0008-0000-0F00-0000A5010000}"/>
            </a:ext>
          </a:extLst>
        </xdr:cNvPr>
        <xdr:cNvCxnSpPr/>
      </xdr:nvCxnSpPr>
      <xdr:spPr>
        <a:xfrm flipV="1">
          <a:off x="4667250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197</xdr:row>
      <xdr:rowOff>180975</xdr:rowOff>
    </xdr:from>
    <xdr:to>
      <xdr:col>18</xdr:col>
      <xdr:colOff>0</xdr:colOff>
      <xdr:row>197</xdr:row>
      <xdr:rowOff>180977</xdr:rowOff>
    </xdr:to>
    <xdr:cxnSp macro="">
      <xdr:nvCxnSpPr>
        <xdr:cNvPr id="422" name="Straight Connector 421">
          <a:extLst>
            <a:ext uri="{FF2B5EF4-FFF2-40B4-BE49-F238E27FC236}">
              <a16:creationId xmlns:a16="http://schemas.microsoft.com/office/drawing/2014/main" id="{00000000-0008-0000-0F00-0000A6010000}"/>
            </a:ext>
          </a:extLst>
        </xdr:cNvPr>
        <xdr:cNvCxnSpPr/>
      </xdr:nvCxnSpPr>
      <xdr:spPr>
        <a:xfrm flipV="1">
          <a:off x="4638675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222</xdr:row>
      <xdr:rowOff>180975</xdr:rowOff>
    </xdr:from>
    <xdr:to>
      <xdr:col>6</xdr:col>
      <xdr:colOff>0</xdr:colOff>
      <xdr:row>222</xdr:row>
      <xdr:rowOff>180977</xdr:rowOff>
    </xdr:to>
    <xdr:cxnSp macro="">
      <xdr:nvCxnSpPr>
        <xdr:cNvPr id="423" name="Straight Connector 422">
          <a:extLst>
            <a:ext uri="{FF2B5EF4-FFF2-40B4-BE49-F238E27FC236}">
              <a16:creationId xmlns:a16="http://schemas.microsoft.com/office/drawing/2014/main" id="{00000000-0008-0000-0F00-0000A7010000}"/>
            </a:ext>
          </a:extLst>
        </xdr:cNvPr>
        <xdr:cNvCxnSpPr/>
      </xdr:nvCxnSpPr>
      <xdr:spPr>
        <a:xfrm flipV="1">
          <a:off x="307208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223</xdr:row>
      <xdr:rowOff>190500</xdr:rowOff>
    </xdr:from>
    <xdr:to>
      <xdr:col>6</xdr:col>
      <xdr:colOff>0</xdr:colOff>
      <xdr:row>223</xdr:row>
      <xdr:rowOff>190502</xdr:rowOff>
    </xdr:to>
    <xdr:cxnSp macro="">
      <xdr:nvCxnSpPr>
        <xdr:cNvPr id="424" name="Straight Connector 423">
          <a:extLst>
            <a:ext uri="{FF2B5EF4-FFF2-40B4-BE49-F238E27FC236}">
              <a16:creationId xmlns:a16="http://schemas.microsoft.com/office/drawing/2014/main" id="{00000000-0008-0000-0F00-0000A8010000}"/>
            </a:ext>
          </a:extLst>
        </xdr:cNvPr>
        <xdr:cNvCxnSpPr/>
      </xdr:nvCxnSpPr>
      <xdr:spPr>
        <a:xfrm flipV="1">
          <a:off x="295275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224</xdr:row>
      <xdr:rowOff>180975</xdr:rowOff>
    </xdr:from>
    <xdr:to>
      <xdr:col>5</xdr:col>
      <xdr:colOff>409575</xdr:colOff>
      <xdr:row>224</xdr:row>
      <xdr:rowOff>180977</xdr:rowOff>
    </xdr:to>
    <xdr:cxnSp macro="">
      <xdr:nvCxnSpPr>
        <xdr:cNvPr id="425" name="Straight Connector 424">
          <a:extLst>
            <a:ext uri="{FF2B5EF4-FFF2-40B4-BE49-F238E27FC236}">
              <a16:creationId xmlns:a16="http://schemas.microsoft.com/office/drawing/2014/main" id="{00000000-0008-0000-0F00-0000A9010000}"/>
            </a:ext>
          </a:extLst>
        </xdr:cNvPr>
        <xdr:cNvCxnSpPr/>
      </xdr:nvCxnSpPr>
      <xdr:spPr>
        <a:xfrm flipV="1">
          <a:off x="304800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225</xdr:row>
      <xdr:rowOff>180975</xdr:rowOff>
    </xdr:from>
    <xdr:to>
      <xdr:col>6</xdr:col>
      <xdr:colOff>0</xdr:colOff>
      <xdr:row>225</xdr:row>
      <xdr:rowOff>180977</xdr:rowOff>
    </xdr:to>
    <xdr:cxnSp macro="">
      <xdr:nvCxnSpPr>
        <xdr:cNvPr id="426" name="Straight Connector 425">
          <a:extLst>
            <a:ext uri="{FF2B5EF4-FFF2-40B4-BE49-F238E27FC236}">
              <a16:creationId xmlns:a16="http://schemas.microsoft.com/office/drawing/2014/main" id="{00000000-0008-0000-0F00-0000AA010000}"/>
            </a:ext>
          </a:extLst>
        </xdr:cNvPr>
        <xdr:cNvCxnSpPr/>
      </xdr:nvCxnSpPr>
      <xdr:spPr>
        <a:xfrm flipV="1">
          <a:off x="276225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222</xdr:row>
      <xdr:rowOff>180975</xdr:rowOff>
    </xdr:from>
    <xdr:to>
      <xdr:col>12</xdr:col>
      <xdr:colOff>0</xdr:colOff>
      <xdr:row>222</xdr:row>
      <xdr:rowOff>180977</xdr:rowOff>
    </xdr:to>
    <xdr:cxnSp macro="">
      <xdr:nvCxnSpPr>
        <xdr:cNvPr id="427" name="Straight Connector 426">
          <a:extLst>
            <a:ext uri="{FF2B5EF4-FFF2-40B4-BE49-F238E27FC236}">
              <a16:creationId xmlns:a16="http://schemas.microsoft.com/office/drawing/2014/main" id="{00000000-0008-0000-0F00-0000AB010000}"/>
            </a:ext>
          </a:extLst>
        </xdr:cNvPr>
        <xdr:cNvCxnSpPr/>
      </xdr:nvCxnSpPr>
      <xdr:spPr>
        <a:xfrm flipV="1">
          <a:off x="2488433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223</xdr:row>
      <xdr:rowOff>190500</xdr:rowOff>
    </xdr:from>
    <xdr:to>
      <xdr:col>12</xdr:col>
      <xdr:colOff>0</xdr:colOff>
      <xdr:row>223</xdr:row>
      <xdr:rowOff>190502</xdr:rowOff>
    </xdr:to>
    <xdr:cxnSp macro="">
      <xdr:nvCxnSpPr>
        <xdr:cNvPr id="428" name="Straight Connector 427">
          <a:extLst>
            <a:ext uri="{FF2B5EF4-FFF2-40B4-BE49-F238E27FC236}">
              <a16:creationId xmlns:a16="http://schemas.microsoft.com/office/drawing/2014/main" id="{00000000-0008-0000-0F00-0000AC010000}"/>
            </a:ext>
          </a:extLst>
        </xdr:cNvPr>
        <xdr:cNvCxnSpPr/>
      </xdr:nvCxnSpPr>
      <xdr:spPr>
        <a:xfrm flipV="1">
          <a:off x="2476500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224</xdr:row>
      <xdr:rowOff>180975</xdr:rowOff>
    </xdr:from>
    <xdr:to>
      <xdr:col>11</xdr:col>
      <xdr:colOff>409575</xdr:colOff>
      <xdr:row>224</xdr:row>
      <xdr:rowOff>180977</xdr:rowOff>
    </xdr:to>
    <xdr:cxnSp macro="">
      <xdr:nvCxnSpPr>
        <xdr:cNvPr id="429" name="Straight Connector 428">
          <a:extLst>
            <a:ext uri="{FF2B5EF4-FFF2-40B4-BE49-F238E27FC236}">
              <a16:creationId xmlns:a16="http://schemas.microsoft.com/office/drawing/2014/main" id="{00000000-0008-0000-0F00-0000AD010000}"/>
            </a:ext>
          </a:extLst>
        </xdr:cNvPr>
        <xdr:cNvCxnSpPr/>
      </xdr:nvCxnSpPr>
      <xdr:spPr>
        <a:xfrm flipV="1">
          <a:off x="2486025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225</xdr:row>
      <xdr:rowOff>180975</xdr:rowOff>
    </xdr:from>
    <xdr:to>
      <xdr:col>12</xdr:col>
      <xdr:colOff>0</xdr:colOff>
      <xdr:row>225</xdr:row>
      <xdr:rowOff>180977</xdr:rowOff>
    </xdr:to>
    <xdr:cxnSp macro="">
      <xdr:nvCxnSpPr>
        <xdr:cNvPr id="430" name="Straight Connector 429">
          <a:extLst>
            <a:ext uri="{FF2B5EF4-FFF2-40B4-BE49-F238E27FC236}">
              <a16:creationId xmlns:a16="http://schemas.microsoft.com/office/drawing/2014/main" id="{00000000-0008-0000-0F00-0000AE010000}"/>
            </a:ext>
          </a:extLst>
        </xdr:cNvPr>
        <xdr:cNvCxnSpPr/>
      </xdr:nvCxnSpPr>
      <xdr:spPr>
        <a:xfrm flipV="1">
          <a:off x="2457450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222</xdr:row>
      <xdr:rowOff>180975</xdr:rowOff>
    </xdr:from>
    <xdr:to>
      <xdr:col>18</xdr:col>
      <xdr:colOff>0</xdr:colOff>
      <xdr:row>222</xdr:row>
      <xdr:rowOff>180977</xdr:rowOff>
    </xdr:to>
    <xdr:cxnSp macro="">
      <xdr:nvCxnSpPr>
        <xdr:cNvPr id="431" name="Straight Connector 430">
          <a:extLst>
            <a:ext uri="{FF2B5EF4-FFF2-40B4-BE49-F238E27FC236}">
              <a16:creationId xmlns:a16="http://schemas.microsoft.com/office/drawing/2014/main" id="{00000000-0008-0000-0F00-0000AF010000}"/>
            </a:ext>
          </a:extLst>
        </xdr:cNvPr>
        <xdr:cNvCxnSpPr/>
      </xdr:nvCxnSpPr>
      <xdr:spPr>
        <a:xfrm flipV="1">
          <a:off x="4669658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223</xdr:row>
      <xdr:rowOff>190500</xdr:rowOff>
    </xdr:from>
    <xdr:to>
      <xdr:col>18</xdr:col>
      <xdr:colOff>0</xdr:colOff>
      <xdr:row>223</xdr:row>
      <xdr:rowOff>190502</xdr:rowOff>
    </xdr:to>
    <xdr:cxnSp macro="">
      <xdr:nvCxnSpPr>
        <xdr:cNvPr id="432" name="Straight Connector 431">
          <a:extLst>
            <a:ext uri="{FF2B5EF4-FFF2-40B4-BE49-F238E27FC236}">
              <a16:creationId xmlns:a16="http://schemas.microsoft.com/office/drawing/2014/main" id="{00000000-0008-0000-0F00-0000B0010000}"/>
            </a:ext>
          </a:extLst>
        </xdr:cNvPr>
        <xdr:cNvCxnSpPr/>
      </xdr:nvCxnSpPr>
      <xdr:spPr>
        <a:xfrm flipV="1">
          <a:off x="4657725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224</xdr:row>
      <xdr:rowOff>180975</xdr:rowOff>
    </xdr:from>
    <xdr:to>
      <xdr:col>17</xdr:col>
      <xdr:colOff>409575</xdr:colOff>
      <xdr:row>224</xdr:row>
      <xdr:rowOff>180977</xdr:rowOff>
    </xdr:to>
    <xdr:cxnSp macro="">
      <xdr:nvCxnSpPr>
        <xdr:cNvPr id="433" name="Straight Connector 432">
          <a:extLst>
            <a:ext uri="{FF2B5EF4-FFF2-40B4-BE49-F238E27FC236}">
              <a16:creationId xmlns:a16="http://schemas.microsoft.com/office/drawing/2014/main" id="{00000000-0008-0000-0F00-0000B1010000}"/>
            </a:ext>
          </a:extLst>
        </xdr:cNvPr>
        <xdr:cNvCxnSpPr/>
      </xdr:nvCxnSpPr>
      <xdr:spPr>
        <a:xfrm flipV="1">
          <a:off x="4667250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225</xdr:row>
      <xdr:rowOff>180975</xdr:rowOff>
    </xdr:from>
    <xdr:to>
      <xdr:col>18</xdr:col>
      <xdr:colOff>0</xdr:colOff>
      <xdr:row>225</xdr:row>
      <xdr:rowOff>180977</xdr:rowOff>
    </xdr:to>
    <xdr:cxnSp macro="">
      <xdr:nvCxnSpPr>
        <xdr:cNvPr id="434" name="Straight Connector 433">
          <a:extLst>
            <a:ext uri="{FF2B5EF4-FFF2-40B4-BE49-F238E27FC236}">
              <a16:creationId xmlns:a16="http://schemas.microsoft.com/office/drawing/2014/main" id="{00000000-0008-0000-0F00-0000B2010000}"/>
            </a:ext>
          </a:extLst>
        </xdr:cNvPr>
        <xdr:cNvCxnSpPr/>
      </xdr:nvCxnSpPr>
      <xdr:spPr>
        <a:xfrm flipV="1">
          <a:off x="4638675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251</xdr:row>
      <xdr:rowOff>180975</xdr:rowOff>
    </xdr:from>
    <xdr:to>
      <xdr:col>6</xdr:col>
      <xdr:colOff>0</xdr:colOff>
      <xdr:row>251</xdr:row>
      <xdr:rowOff>180977</xdr:rowOff>
    </xdr:to>
    <xdr:cxnSp macro="">
      <xdr:nvCxnSpPr>
        <xdr:cNvPr id="435" name="Straight Connector 434">
          <a:extLst>
            <a:ext uri="{FF2B5EF4-FFF2-40B4-BE49-F238E27FC236}">
              <a16:creationId xmlns:a16="http://schemas.microsoft.com/office/drawing/2014/main" id="{00000000-0008-0000-0F00-0000B3010000}"/>
            </a:ext>
          </a:extLst>
        </xdr:cNvPr>
        <xdr:cNvCxnSpPr/>
      </xdr:nvCxnSpPr>
      <xdr:spPr>
        <a:xfrm flipV="1">
          <a:off x="307208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252</xdr:row>
      <xdr:rowOff>190500</xdr:rowOff>
    </xdr:from>
    <xdr:to>
      <xdr:col>6</xdr:col>
      <xdr:colOff>0</xdr:colOff>
      <xdr:row>252</xdr:row>
      <xdr:rowOff>190502</xdr:rowOff>
    </xdr:to>
    <xdr:cxnSp macro="">
      <xdr:nvCxnSpPr>
        <xdr:cNvPr id="436" name="Straight Connector 435">
          <a:extLst>
            <a:ext uri="{FF2B5EF4-FFF2-40B4-BE49-F238E27FC236}">
              <a16:creationId xmlns:a16="http://schemas.microsoft.com/office/drawing/2014/main" id="{00000000-0008-0000-0F00-0000B4010000}"/>
            </a:ext>
          </a:extLst>
        </xdr:cNvPr>
        <xdr:cNvCxnSpPr/>
      </xdr:nvCxnSpPr>
      <xdr:spPr>
        <a:xfrm flipV="1">
          <a:off x="295275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253</xdr:row>
      <xdr:rowOff>180975</xdr:rowOff>
    </xdr:from>
    <xdr:to>
      <xdr:col>5</xdr:col>
      <xdr:colOff>409575</xdr:colOff>
      <xdr:row>253</xdr:row>
      <xdr:rowOff>180977</xdr:rowOff>
    </xdr:to>
    <xdr:cxnSp macro="">
      <xdr:nvCxnSpPr>
        <xdr:cNvPr id="437" name="Straight Connector 436">
          <a:extLst>
            <a:ext uri="{FF2B5EF4-FFF2-40B4-BE49-F238E27FC236}">
              <a16:creationId xmlns:a16="http://schemas.microsoft.com/office/drawing/2014/main" id="{00000000-0008-0000-0F00-0000B5010000}"/>
            </a:ext>
          </a:extLst>
        </xdr:cNvPr>
        <xdr:cNvCxnSpPr/>
      </xdr:nvCxnSpPr>
      <xdr:spPr>
        <a:xfrm flipV="1">
          <a:off x="304800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254</xdr:row>
      <xdr:rowOff>180975</xdr:rowOff>
    </xdr:from>
    <xdr:to>
      <xdr:col>6</xdr:col>
      <xdr:colOff>0</xdr:colOff>
      <xdr:row>254</xdr:row>
      <xdr:rowOff>180977</xdr:rowOff>
    </xdr:to>
    <xdr:cxnSp macro="">
      <xdr:nvCxnSpPr>
        <xdr:cNvPr id="438" name="Straight Connector 437">
          <a:extLst>
            <a:ext uri="{FF2B5EF4-FFF2-40B4-BE49-F238E27FC236}">
              <a16:creationId xmlns:a16="http://schemas.microsoft.com/office/drawing/2014/main" id="{00000000-0008-0000-0F00-0000B6010000}"/>
            </a:ext>
          </a:extLst>
        </xdr:cNvPr>
        <xdr:cNvCxnSpPr/>
      </xdr:nvCxnSpPr>
      <xdr:spPr>
        <a:xfrm flipV="1">
          <a:off x="276225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251</xdr:row>
      <xdr:rowOff>180975</xdr:rowOff>
    </xdr:from>
    <xdr:to>
      <xdr:col>12</xdr:col>
      <xdr:colOff>0</xdr:colOff>
      <xdr:row>251</xdr:row>
      <xdr:rowOff>180977</xdr:rowOff>
    </xdr:to>
    <xdr:cxnSp macro="">
      <xdr:nvCxnSpPr>
        <xdr:cNvPr id="439" name="Straight Connector 438">
          <a:extLst>
            <a:ext uri="{FF2B5EF4-FFF2-40B4-BE49-F238E27FC236}">
              <a16:creationId xmlns:a16="http://schemas.microsoft.com/office/drawing/2014/main" id="{00000000-0008-0000-0F00-0000B7010000}"/>
            </a:ext>
          </a:extLst>
        </xdr:cNvPr>
        <xdr:cNvCxnSpPr/>
      </xdr:nvCxnSpPr>
      <xdr:spPr>
        <a:xfrm flipV="1">
          <a:off x="2488433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252</xdr:row>
      <xdr:rowOff>190500</xdr:rowOff>
    </xdr:from>
    <xdr:to>
      <xdr:col>12</xdr:col>
      <xdr:colOff>0</xdr:colOff>
      <xdr:row>252</xdr:row>
      <xdr:rowOff>190502</xdr:rowOff>
    </xdr:to>
    <xdr:cxnSp macro="">
      <xdr:nvCxnSpPr>
        <xdr:cNvPr id="440" name="Straight Connector 439">
          <a:extLst>
            <a:ext uri="{FF2B5EF4-FFF2-40B4-BE49-F238E27FC236}">
              <a16:creationId xmlns:a16="http://schemas.microsoft.com/office/drawing/2014/main" id="{00000000-0008-0000-0F00-0000B8010000}"/>
            </a:ext>
          </a:extLst>
        </xdr:cNvPr>
        <xdr:cNvCxnSpPr/>
      </xdr:nvCxnSpPr>
      <xdr:spPr>
        <a:xfrm flipV="1">
          <a:off x="2476500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253</xdr:row>
      <xdr:rowOff>180975</xdr:rowOff>
    </xdr:from>
    <xdr:to>
      <xdr:col>11</xdr:col>
      <xdr:colOff>409575</xdr:colOff>
      <xdr:row>253</xdr:row>
      <xdr:rowOff>180977</xdr:rowOff>
    </xdr:to>
    <xdr:cxnSp macro="">
      <xdr:nvCxnSpPr>
        <xdr:cNvPr id="441" name="Straight Connector 440">
          <a:extLst>
            <a:ext uri="{FF2B5EF4-FFF2-40B4-BE49-F238E27FC236}">
              <a16:creationId xmlns:a16="http://schemas.microsoft.com/office/drawing/2014/main" id="{00000000-0008-0000-0F00-0000B9010000}"/>
            </a:ext>
          </a:extLst>
        </xdr:cNvPr>
        <xdr:cNvCxnSpPr/>
      </xdr:nvCxnSpPr>
      <xdr:spPr>
        <a:xfrm flipV="1">
          <a:off x="2486025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254</xdr:row>
      <xdr:rowOff>180975</xdr:rowOff>
    </xdr:from>
    <xdr:to>
      <xdr:col>12</xdr:col>
      <xdr:colOff>0</xdr:colOff>
      <xdr:row>254</xdr:row>
      <xdr:rowOff>180977</xdr:rowOff>
    </xdr:to>
    <xdr:cxnSp macro="">
      <xdr:nvCxnSpPr>
        <xdr:cNvPr id="442" name="Straight Connector 441">
          <a:extLst>
            <a:ext uri="{FF2B5EF4-FFF2-40B4-BE49-F238E27FC236}">
              <a16:creationId xmlns:a16="http://schemas.microsoft.com/office/drawing/2014/main" id="{00000000-0008-0000-0F00-0000BA010000}"/>
            </a:ext>
          </a:extLst>
        </xdr:cNvPr>
        <xdr:cNvCxnSpPr/>
      </xdr:nvCxnSpPr>
      <xdr:spPr>
        <a:xfrm flipV="1">
          <a:off x="2457450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251</xdr:row>
      <xdr:rowOff>180975</xdr:rowOff>
    </xdr:from>
    <xdr:to>
      <xdr:col>18</xdr:col>
      <xdr:colOff>0</xdr:colOff>
      <xdr:row>251</xdr:row>
      <xdr:rowOff>180977</xdr:rowOff>
    </xdr:to>
    <xdr:cxnSp macro="">
      <xdr:nvCxnSpPr>
        <xdr:cNvPr id="443" name="Straight Connector 442">
          <a:extLst>
            <a:ext uri="{FF2B5EF4-FFF2-40B4-BE49-F238E27FC236}">
              <a16:creationId xmlns:a16="http://schemas.microsoft.com/office/drawing/2014/main" id="{00000000-0008-0000-0F00-0000BB010000}"/>
            </a:ext>
          </a:extLst>
        </xdr:cNvPr>
        <xdr:cNvCxnSpPr/>
      </xdr:nvCxnSpPr>
      <xdr:spPr>
        <a:xfrm flipV="1">
          <a:off x="4669658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252</xdr:row>
      <xdr:rowOff>190500</xdr:rowOff>
    </xdr:from>
    <xdr:to>
      <xdr:col>18</xdr:col>
      <xdr:colOff>0</xdr:colOff>
      <xdr:row>252</xdr:row>
      <xdr:rowOff>190502</xdr:rowOff>
    </xdr:to>
    <xdr:cxnSp macro="">
      <xdr:nvCxnSpPr>
        <xdr:cNvPr id="444" name="Straight Connector 443">
          <a:extLst>
            <a:ext uri="{FF2B5EF4-FFF2-40B4-BE49-F238E27FC236}">
              <a16:creationId xmlns:a16="http://schemas.microsoft.com/office/drawing/2014/main" id="{00000000-0008-0000-0F00-0000BC010000}"/>
            </a:ext>
          </a:extLst>
        </xdr:cNvPr>
        <xdr:cNvCxnSpPr/>
      </xdr:nvCxnSpPr>
      <xdr:spPr>
        <a:xfrm flipV="1">
          <a:off x="4657725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253</xdr:row>
      <xdr:rowOff>180975</xdr:rowOff>
    </xdr:from>
    <xdr:to>
      <xdr:col>17</xdr:col>
      <xdr:colOff>409575</xdr:colOff>
      <xdr:row>253</xdr:row>
      <xdr:rowOff>180977</xdr:rowOff>
    </xdr:to>
    <xdr:cxnSp macro="">
      <xdr:nvCxnSpPr>
        <xdr:cNvPr id="445" name="Straight Connector 444">
          <a:extLst>
            <a:ext uri="{FF2B5EF4-FFF2-40B4-BE49-F238E27FC236}">
              <a16:creationId xmlns:a16="http://schemas.microsoft.com/office/drawing/2014/main" id="{00000000-0008-0000-0F00-0000BD010000}"/>
            </a:ext>
          </a:extLst>
        </xdr:cNvPr>
        <xdr:cNvCxnSpPr/>
      </xdr:nvCxnSpPr>
      <xdr:spPr>
        <a:xfrm flipV="1">
          <a:off x="4667250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254</xdr:row>
      <xdr:rowOff>180975</xdr:rowOff>
    </xdr:from>
    <xdr:to>
      <xdr:col>18</xdr:col>
      <xdr:colOff>0</xdr:colOff>
      <xdr:row>254</xdr:row>
      <xdr:rowOff>180977</xdr:rowOff>
    </xdr:to>
    <xdr:cxnSp macro="">
      <xdr:nvCxnSpPr>
        <xdr:cNvPr id="446" name="Straight Connector 445">
          <a:extLst>
            <a:ext uri="{FF2B5EF4-FFF2-40B4-BE49-F238E27FC236}">
              <a16:creationId xmlns:a16="http://schemas.microsoft.com/office/drawing/2014/main" id="{00000000-0008-0000-0F00-0000BE010000}"/>
            </a:ext>
          </a:extLst>
        </xdr:cNvPr>
        <xdr:cNvCxnSpPr/>
      </xdr:nvCxnSpPr>
      <xdr:spPr>
        <a:xfrm flipV="1">
          <a:off x="4638675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279</xdr:row>
      <xdr:rowOff>180975</xdr:rowOff>
    </xdr:from>
    <xdr:to>
      <xdr:col>6</xdr:col>
      <xdr:colOff>0</xdr:colOff>
      <xdr:row>279</xdr:row>
      <xdr:rowOff>180977</xdr:rowOff>
    </xdr:to>
    <xdr:cxnSp macro="">
      <xdr:nvCxnSpPr>
        <xdr:cNvPr id="447" name="Straight Connector 446">
          <a:extLst>
            <a:ext uri="{FF2B5EF4-FFF2-40B4-BE49-F238E27FC236}">
              <a16:creationId xmlns:a16="http://schemas.microsoft.com/office/drawing/2014/main" id="{00000000-0008-0000-0F00-0000BF010000}"/>
            </a:ext>
          </a:extLst>
        </xdr:cNvPr>
        <xdr:cNvCxnSpPr/>
      </xdr:nvCxnSpPr>
      <xdr:spPr>
        <a:xfrm flipV="1">
          <a:off x="307208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280</xdr:row>
      <xdr:rowOff>190500</xdr:rowOff>
    </xdr:from>
    <xdr:to>
      <xdr:col>6</xdr:col>
      <xdr:colOff>0</xdr:colOff>
      <xdr:row>280</xdr:row>
      <xdr:rowOff>190502</xdr:rowOff>
    </xdr:to>
    <xdr:cxnSp macro="">
      <xdr:nvCxnSpPr>
        <xdr:cNvPr id="448" name="Straight Connector 447">
          <a:extLst>
            <a:ext uri="{FF2B5EF4-FFF2-40B4-BE49-F238E27FC236}">
              <a16:creationId xmlns:a16="http://schemas.microsoft.com/office/drawing/2014/main" id="{00000000-0008-0000-0F00-0000C0010000}"/>
            </a:ext>
          </a:extLst>
        </xdr:cNvPr>
        <xdr:cNvCxnSpPr/>
      </xdr:nvCxnSpPr>
      <xdr:spPr>
        <a:xfrm flipV="1">
          <a:off x="295275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281</xdr:row>
      <xdr:rowOff>180975</xdr:rowOff>
    </xdr:from>
    <xdr:to>
      <xdr:col>5</xdr:col>
      <xdr:colOff>409575</xdr:colOff>
      <xdr:row>281</xdr:row>
      <xdr:rowOff>180977</xdr:rowOff>
    </xdr:to>
    <xdr:cxnSp macro="">
      <xdr:nvCxnSpPr>
        <xdr:cNvPr id="449" name="Straight Connector 448">
          <a:extLst>
            <a:ext uri="{FF2B5EF4-FFF2-40B4-BE49-F238E27FC236}">
              <a16:creationId xmlns:a16="http://schemas.microsoft.com/office/drawing/2014/main" id="{00000000-0008-0000-0F00-0000C1010000}"/>
            </a:ext>
          </a:extLst>
        </xdr:cNvPr>
        <xdr:cNvCxnSpPr/>
      </xdr:nvCxnSpPr>
      <xdr:spPr>
        <a:xfrm flipV="1">
          <a:off x="304800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282</xdr:row>
      <xdr:rowOff>180975</xdr:rowOff>
    </xdr:from>
    <xdr:to>
      <xdr:col>6</xdr:col>
      <xdr:colOff>0</xdr:colOff>
      <xdr:row>282</xdr:row>
      <xdr:rowOff>180977</xdr:rowOff>
    </xdr:to>
    <xdr:cxnSp macro="">
      <xdr:nvCxnSpPr>
        <xdr:cNvPr id="450" name="Straight Connector 449">
          <a:extLst>
            <a:ext uri="{FF2B5EF4-FFF2-40B4-BE49-F238E27FC236}">
              <a16:creationId xmlns:a16="http://schemas.microsoft.com/office/drawing/2014/main" id="{00000000-0008-0000-0F00-0000C2010000}"/>
            </a:ext>
          </a:extLst>
        </xdr:cNvPr>
        <xdr:cNvCxnSpPr/>
      </xdr:nvCxnSpPr>
      <xdr:spPr>
        <a:xfrm flipV="1">
          <a:off x="276225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279</xdr:row>
      <xdr:rowOff>180975</xdr:rowOff>
    </xdr:from>
    <xdr:to>
      <xdr:col>12</xdr:col>
      <xdr:colOff>0</xdr:colOff>
      <xdr:row>279</xdr:row>
      <xdr:rowOff>180977</xdr:rowOff>
    </xdr:to>
    <xdr:cxnSp macro="">
      <xdr:nvCxnSpPr>
        <xdr:cNvPr id="451" name="Straight Connector 450">
          <a:extLst>
            <a:ext uri="{FF2B5EF4-FFF2-40B4-BE49-F238E27FC236}">
              <a16:creationId xmlns:a16="http://schemas.microsoft.com/office/drawing/2014/main" id="{00000000-0008-0000-0F00-0000C3010000}"/>
            </a:ext>
          </a:extLst>
        </xdr:cNvPr>
        <xdr:cNvCxnSpPr/>
      </xdr:nvCxnSpPr>
      <xdr:spPr>
        <a:xfrm flipV="1">
          <a:off x="2488433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280</xdr:row>
      <xdr:rowOff>190500</xdr:rowOff>
    </xdr:from>
    <xdr:to>
      <xdr:col>12</xdr:col>
      <xdr:colOff>0</xdr:colOff>
      <xdr:row>280</xdr:row>
      <xdr:rowOff>190502</xdr:rowOff>
    </xdr:to>
    <xdr:cxnSp macro="">
      <xdr:nvCxnSpPr>
        <xdr:cNvPr id="452" name="Straight Connector 451">
          <a:extLst>
            <a:ext uri="{FF2B5EF4-FFF2-40B4-BE49-F238E27FC236}">
              <a16:creationId xmlns:a16="http://schemas.microsoft.com/office/drawing/2014/main" id="{00000000-0008-0000-0F00-0000C4010000}"/>
            </a:ext>
          </a:extLst>
        </xdr:cNvPr>
        <xdr:cNvCxnSpPr/>
      </xdr:nvCxnSpPr>
      <xdr:spPr>
        <a:xfrm flipV="1">
          <a:off x="2476500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281</xdr:row>
      <xdr:rowOff>180975</xdr:rowOff>
    </xdr:from>
    <xdr:to>
      <xdr:col>11</xdr:col>
      <xdr:colOff>409575</xdr:colOff>
      <xdr:row>281</xdr:row>
      <xdr:rowOff>180977</xdr:rowOff>
    </xdr:to>
    <xdr:cxnSp macro="">
      <xdr:nvCxnSpPr>
        <xdr:cNvPr id="453" name="Straight Connector 452">
          <a:extLst>
            <a:ext uri="{FF2B5EF4-FFF2-40B4-BE49-F238E27FC236}">
              <a16:creationId xmlns:a16="http://schemas.microsoft.com/office/drawing/2014/main" id="{00000000-0008-0000-0F00-0000C5010000}"/>
            </a:ext>
          </a:extLst>
        </xdr:cNvPr>
        <xdr:cNvCxnSpPr/>
      </xdr:nvCxnSpPr>
      <xdr:spPr>
        <a:xfrm flipV="1">
          <a:off x="2486025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282</xdr:row>
      <xdr:rowOff>180975</xdr:rowOff>
    </xdr:from>
    <xdr:to>
      <xdr:col>12</xdr:col>
      <xdr:colOff>0</xdr:colOff>
      <xdr:row>282</xdr:row>
      <xdr:rowOff>180977</xdr:rowOff>
    </xdr:to>
    <xdr:cxnSp macro="">
      <xdr:nvCxnSpPr>
        <xdr:cNvPr id="454" name="Straight Connector 453">
          <a:extLst>
            <a:ext uri="{FF2B5EF4-FFF2-40B4-BE49-F238E27FC236}">
              <a16:creationId xmlns:a16="http://schemas.microsoft.com/office/drawing/2014/main" id="{00000000-0008-0000-0F00-0000C6010000}"/>
            </a:ext>
          </a:extLst>
        </xdr:cNvPr>
        <xdr:cNvCxnSpPr/>
      </xdr:nvCxnSpPr>
      <xdr:spPr>
        <a:xfrm flipV="1">
          <a:off x="2457450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279</xdr:row>
      <xdr:rowOff>180975</xdr:rowOff>
    </xdr:from>
    <xdr:to>
      <xdr:col>18</xdr:col>
      <xdr:colOff>0</xdr:colOff>
      <xdr:row>279</xdr:row>
      <xdr:rowOff>180977</xdr:rowOff>
    </xdr:to>
    <xdr:cxnSp macro="">
      <xdr:nvCxnSpPr>
        <xdr:cNvPr id="455" name="Straight Connector 454">
          <a:extLst>
            <a:ext uri="{FF2B5EF4-FFF2-40B4-BE49-F238E27FC236}">
              <a16:creationId xmlns:a16="http://schemas.microsoft.com/office/drawing/2014/main" id="{00000000-0008-0000-0F00-0000C7010000}"/>
            </a:ext>
          </a:extLst>
        </xdr:cNvPr>
        <xdr:cNvCxnSpPr/>
      </xdr:nvCxnSpPr>
      <xdr:spPr>
        <a:xfrm flipV="1">
          <a:off x="4669658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280</xdr:row>
      <xdr:rowOff>190500</xdr:rowOff>
    </xdr:from>
    <xdr:to>
      <xdr:col>18</xdr:col>
      <xdr:colOff>0</xdr:colOff>
      <xdr:row>280</xdr:row>
      <xdr:rowOff>190502</xdr:rowOff>
    </xdr:to>
    <xdr:cxnSp macro="">
      <xdr:nvCxnSpPr>
        <xdr:cNvPr id="456" name="Straight Connector 455">
          <a:extLst>
            <a:ext uri="{FF2B5EF4-FFF2-40B4-BE49-F238E27FC236}">
              <a16:creationId xmlns:a16="http://schemas.microsoft.com/office/drawing/2014/main" id="{00000000-0008-0000-0F00-0000C8010000}"/>
            </a:ext>
          </a:extLst>
        </xdr:cNvPr>
        <xdr:cNvCxnSpPr/>
      </xdr:nvCxnSpPr>
      <xdr:spPr>
        <a:xfrm flipV="1">
          <a:off x="4657725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281</xdr:row>
      <xdr:rowOff>180975</xdr:rowOff>
    </xdr:from>
    <xdr:to>
      <xdr:col>17</xdr:col>
      <xdr:colOff>409575</xdr:colOff>
      <xdr:row>281</xdr:row>
      <xdr:rowOff>180977</xdr:rowOff>
    </xdr:to>
    <xdr:cxnSp macro="">
      <xdr:nvCxnSpPr>
        <xdr:cNvPr id="457" name="Straight Connector 456">
          <a:extLst>
            <a:ext uri="{FF2B5EF4-FFF2-40B4-BE49-F238E27FC236}">
              <a16:creationId xmlns:a16="http://schemas.microsoft.com/office/drawing/2014/main" id="{00000000-0008-0000-0F00-0000C9010000}"/>
            </a:ext>
          </a:extLst>
        </xdr:cNvPr>
        <xdr:cNvCxnSpPr/>
      </xdr:nvCxnSpPr>
      <xdr:spPr>
        <a:xfrm flipV="1">
          <a:off x="4667250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282</xdr:row>
      <xdr:rowOff>180975</xdr:rowOff>
    </xdr:from>
    <xdr:to>
      <xdr:col>18</xdr:col>
      <xdr:colOff>0</xdr:colOff>
      <xdr:row>282</xdr:row>
      <xdr:rowOff>180977</xdr:rowOff>
    </xdr:to>
    <xdr:cxnSp macro="">
      <xdr:nvCxnSpPr>
        <xdr:cNvPr id="458" name="Straight Connector 457">
          <a:extLst>
            <a:ext uri="{FF2B5EF4-FFF2-40B4-BE49-F238E27FC236}">
              <a16:creationId xmlns:a16="http://schemas.microsoft.com/office/drawing/2014/main" id="{00000000-0008-0000-0F00-0000CA010000}"/>
            </a:ext>
          </a:extLst>
        </xdr:cNvPr>
        <xdr:cNvCxnSpPr/>
      </xdr:nvCxnSpPr>
      <xdr:spPr>
        <a:xfrm flipV="1">
          <a:off x="4638675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308</xdr:row>
      <xdr:rowOff>180975</xdr:rowOff>
    </xdr:from>
    <xdr:to>
      <xdr:col>6</xdr:col>
      <xdr:colOff>0</xdr:colOff>
      <xdr:row>308</xdr:row>
      <xdr:rowOff>180977</xdr:rowOff>
    </xdr:to>
    <xdr:cxnSp macro="">
      <xdr:nvCxnSpPr>
        <xdr:cNvPr id="459" name="Straight Connector 458">
          <a:extLst>
            <a:ext uri="{FF2B5EF4-FFF2-40B4-BE49-F238E27FC236}">
              <a16:creationId xmlns:a16="http://schemas.microsoft.com/office/drawing/2014/main" id="{00000000-0008-0000-0F00-0000CB010000}"/>
            </a:ext>
          </a:extLst>
        </xdr:cNvPr>
        <xdr:cNvCxnSpPr/>
      </xdr:nvCxnSpPr>
      <xdr:spPr>
        <a:xfrm flipV="1">
          <a:off x="307208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309</xdr:row>
      <xdr:rowOff>190500</xdr:rowOff>
    </xdr:from>
    <xdr:to>
      <xdr:col>6</xdr:col>
      <xdr:colOff>0</xdr:colOff>
      <xdr:row>309</xdr:row>
      <xdr:rowOff>190502</xdr:rowOff>
    </xdr:to>
    <xdr:cxnSp macro="">
      <xdr:nvCxnSpPr>
        <xdr:cNvPr id="460" name="Straight Connector 459">
          <a:extLst>
            <a:ext uri="{FF2B5EF4-FFF2-40B4-BE49-F238E27FC236}">
              <a16:creationId xmlns:a16="http://schemas.microsoft.com/office/drawing/2014/main" id="{00000000-0008-0000-0F00-0000CC010000}"/>
            </a:ext>
          </a:extLst>
        </xdr:cNvPr>
        <xdr:cNvCxnSpPr/>
      </xdr:nvCxnSpPr>
      <xdr:spPr>
        <a:xfrm flipV="1">
          <a:off x="295275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310</xdr:row>
      <xdr:rowOff>180975</xdr:rowOff>
    </xdr:from>
    <xdr:to>
      <xdr:col>5</xdr:col>
      <xdr:colOff>409575</xdr:colOff>
      <xdr:row>310</xdr:row>
      <xdr:rowOff>180977</xdr:rowOff>
    </xdr:to>
    <xdr:cxnSp macro="">
      <xdr:nvCxnSpPr>
        <xdr:cNvPr id="461" name="Straight Connector 460">
          <a:extLst>
            <a:ext uri="{FF2B5EF4-FFF2-40B4-BE49-F238E27FC236}">
              <a16:creationId xmlns:a16="http://schemas.microsoft.com/office/drawing/2014/main" id="{00000000-0008-0000-0F00-0000CD010000}"/>
            </a:ext>
          </a:extLst>
        </xdr:cNvPr>
        <xdr:cNvCxnSpPr/>
      </xdr:nvCxnSpPr>
      <xdr:spPr>
        <a:xfrm flipV="1">
          <a:off x="304800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311</xdr:row>
      <xdr:rowOff>180975</xdr:rowOff>
    </xdr:from>
    <xdr:to>
      <xdr:col>6</xdr:col>
      <xdr:colOff>0</xdr:colOff>
      <xdr:row>311</xdr:row>
      <xdr:rowOff>180977</xdr:rowOff>
    </xdr:to>
    <xdr:cxnSp macro="">
      <xdr:nvCxnSpPr>
        <xdr:cNvPr id="462" name="Straight Connector 461">
          <a:extLst>
            <a:ext uri="{FF2B5EF4-FFF2-40B4-BE49-F238E27FC236}">
              <a16:creationId xmlns:a16="http://schemas.microsoft.com/office/drawing/2014/main" id="{00000000-0008-0000-0F00-0000CE010000}"/>
            </a:ext>
          </a:extLst>
        </xdr:cNvPr>
        <xdr:cNvCxnSpPr/>
      </xdr:nvCxnSpPr>
      <xdr:spPr>
        <a:xfrm flipV="1">
          <a:off x="276225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308</xdr:row>
      <xdr:rowOff>180975</xdr:rowOff>
    </xdr:from>
    <xdr:to>
      <xdr:col>12</xdr:col>
      <xdr:colOff>0</xdr:colOff>
      <xdr:row>308</xdr:row>
      <xdr:rowOff>180977</xdr:rowOff>
    </xdr:to>
    <xdr:cxnSp macro="">
      <xdr:nvCxnSpPr>
        <xdr:cNvPr id="463" name="Straight Connector 462">
          <a:extLst>
            <a:ext uri="{FF2B5EF4-FFF2-40B4-BE49-F238E27FC236}">
              <a16:creationId xmlns:a16="http://schemas.microsoft.com/office/drawing/2014/main" id="{00000000-0008-0000-0F00-0000CF010000}"/>
            </a:ext>
          </a:extLst>
        </xdr:cNvPr>
        <xdr:cNvCxnSpPr/>
      </xdr:nvCxnSpPr>
      <xdr:spPr>
        <a:xfrm flipV="1">
          <a:off x="2488433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309</xdr:row>
      <xdr:rowOff>190500</xdr:rowOff>
    </xdr:from>
    <xdr:to>
      <xdr:col>12</xdr:col>
      <xdr:colOff>0</xdr:colOff>
      <xdr:row>309</xdr:row>
      <xdr:rowOff>190502</xdr:rowOff>
    </xdr:to>
    <xdr:cxnSp macro="">
      <xdr:nvCxnSpPr>
        <xdr:cNvPr id="464" name="Straight Connector 463">
          <a:extLst>
            <a:ext uri="{FF2B5EF4-FFF2-40B4-BE49-F238E27FC236}">
              <a16:creationId xmlns:a16="http://schemas.microsoft.com/office/drawing/2014/main" id="{00000000-0008-0000-0F00-0000D0010000}"/>
            </a:ext>
          </a:extLst>
        </xdr:cNvPr>
        <xdr:cNvCxnSpPr/>
      </xdr:nvCxnSpPr>
      <xdr:spPr>
        <a:xfrm flipV="1">
          <a:off x="2476500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310</xdr:row>
      <xdr:rowOff>180975</xdr:rowOff>
    </xdr:from>
    <xdr:to>
      <xdr:col>11</xdr:col>
      <xdr:colOff>409575</xdr:colOff>
      <xdr:row>310</xdr:row>
      <xdr:rowOff>180977</xdr:rowOff>
    </xdr:to>
    <xdr:cxnSp macro="">
      <xdr:nvCxnSpPr>
        <xdr:cNvPr id="465" name="Straight Connector 464">
          <a:extLst>
            <a:ext uri="{FF2B5EF4-FFF2-40B4-BE49-F238E27FC236}">
              <a16:creationId xmlns:a16="http://schemas.microsoft.com/office/drawing/2014/main" id="{00000000-0008-0000-0F00-0000D1010000}"/>
            </a:ext>
          </a:extLst>
        </xdr:cNvPr>
        <xdr:cNvCxnSpPr/>
      </xdr:nvCxnSpPr>
      <xdr:spPr>
        <a:xfrm flipV="1">
          <a:off x="2486025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311</xdr:row>
      <xdr:rowOff>180975</xdr:rowOff>
    </xdr:from>
    <xdr:to>
      <xdr:col>12</xdr:col>
      <xdr:colOff>0</xdr:colOff>
      <xdr:row>311</xdr:row>
      <xdr:rowOff>180977</xdr:rowOff>
    </xdr:to>
    <xdr:cxnSp macro="">
      <xdr:nvCxnSpPr>
        <xdr:cNvPr id="466" name="Straight Connector 465">
          <a:extLst>
            <a:ext uri="{FF2B5EF4-FFF2-40B4-BE49-F238E27FC236}">
              <a16:creationId xmlns:a16="http://schemas.microsoft.com/office/drawing/2014/main" id="{00000000-0008-0000-0F00-0000D2010000}"/>
            </a:ext>
          </a:extLst>
        </xdr:cNvPr>
        <xdr:cNvCxnSpPr/>
      </xdr:nvCxnSpPr>
      <xdr:spPr>
        <a:xfrm flipV="1">
          <a:off x="2457450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308</xdr:row>
      <xdr:rowOff>180975</xdr:rowOff>
    </xdr:from>
    <xdr:to>
      <xdr:col>18</xdr:col>
      <xdr:colOff>0</xdr:colOff>
      <xdr:row>308</xdr:row>
      <xdr:rowOff>180977</xdr:rowOff>
    </xdr:to>
    <xdr:cxnSp macro="">
      <xdr:nvCxnSpPr>
        <xdr:cNvPr id="467" name="Straight Connector 466">
          <a:extLst>
            <a:ext uri="{FF2B5EF4-FFF2-40B4-BE49-F238E27FC236}">
              <a16:creationId xmlns:a16="http://schemas.microsoft.com/office/drawing/2014/main" id="{00000000-0008-0000-0F00-0000D3010000}"/>
            </a:ext>
          </a:extLst>
        </xdr:cNvPr>
        <xdr:cNvCxnSpPr/>
      </xdr:nvCxnSpPr>
      <xdr:spPr>
        <a:xfrm flipV="1">
          <a:off x="4669658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309</xdr:row>
      <xdr:rowOff>190500</xdr:rowOff>
    </xdr:from>
    <xdr:to>
      <xdr:col>18</xdr:col>
      <xdr:colOff>0</xdr:colOff>
      <xdr:row>309</xdr:row>
      <xdr:rowOff>190502</xdr:rowOff>
    </xdr:to>
    <xdr:cxnSp macro="">
      <xdr:nvCxnSpPr>
        <xdr:cNvPr id="468" name="Straight Connector 467">
          <a:extLst>
            <a:ext uri="{FF2B5EF4-FFF2-40B4-BE49-F238E27FC236}">
              <a16:creationId xmlns:a16="http://schemas.microsoft.com/office/drawing/2014/main" id="{00000000-0008-0000-0F00-0000D4010000}"/>
            </a:ext>
          </a:extLst>
        </xdr:cNvPr>
        <xdr:cNvCxnSpPr/>
      </xdr:nvCxnSpPr>
      <xdr:spPr>
        <a:xfrm flipV="1">
          <a:off x="4657725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310</xdr:row>
      <xdr:rowOff>180975</xdr:rowOff>
    </xdr:from>
    <xdr:to>
      <xdr:col>17</xdr:col>
      <xdr:colOff>409575</xdr:colOff>
      <xdr:row>310</xdr:row>
      <xdr:rowOff>180977</xdr:rowOff>
    </xdr:to>
    <xdr:cxnSp macro="">
      <xdr:nvCxnSpPr>
        <xdr:cNvPr id="469" name="Straight Connector 468">
          <a:extLst>
            <a:ext uri="{FF2B5EF4-FFF2-40B4-BE49-F238E27FC236}">
              <a16:creationId xmlns:a16="http://schemas.microsoft.com/office/drawing/2014/main" id="{00000000-0008-0000-0F00-0000D5010000}"/>
            </a:ext>
          </a:extLst>
        </xdr:cNvPr>
        <xdr:cNvCxnSpPr/>
      </xdr:nvCxnSpPr>
      <xdr:spPr>
        <a:xfrm flipV="1">
          <a:off x="4667250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311</xdr:row>
      <xdr:rowOff>180975</xdr:rowOff>
    </xdr:from>
    <xdr:to>
      <xdr:col>18</xdr:col>
      <xdr:colOff>0</xdr:colOff>
      <xdr:row>311</xdr:row>
      <xdr:rowOff>180977</xdr:rowOff>
    </xdr:to>
    <xdr:cxnSp macro="">
      <xdr:nvCxnSpPr>
        <xdr:cNvPr id="470" name="Straight Connector 469">
          <a:extLst>
            <a:ext uri="{FF2B5EF4-FFF2-40B4-BE49-F238E27FC236}">
              <a16:creationId xmlns:a16="http://schemas.microsoft.com/office/drawing/2014/main" id="{00000000-0008-0000-0F00-0000D6010000}"/>
            </a:ext>
          </a:extLst>
        </xdr:cNvPr>
        <xdr:cNvCxnSpPr/>
      </xdr:nvCxnSpPr>
      <xdr:spPr>
        <a:xfrm flipV="1">
          <a:off x="4638675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336</xdr:row>
      <xdr:rowOff>180975</xdr:rowOff>
    </xdr:from>
    <xdr:to>
      <xdr:col>6</xdr:col>
      <xdr:colOff>0</xdr:colOff>
      <xdr:row>336</xdr:row>
      <xdr:rowOff>180977</xdr:rowOff>
    </xdr:to>
    <xdr:cxnSp macro="">
      <xdr:nvCxnSpPr>
        <xdr:cNvPr id="471" name="Straight Connector 470">
          <a:extLst>
            <a:ext uri="{FF2B5EF4-FFF2-40B4-BE49-F238E27FC236}">
              <a16:creationId xmlns:a16="http://schemas.microsoft.com/office/drawing/2014/main" id="{00000000-0008-0000-0F00-0000D7010000}"/>
            </a:ext>
          </a:extLst>
        </xdr:cNvPr>
        <xdr:cNvCxnSpPr/>
      </xdr:nvCxnSpPr>
      <xdr:spPr>
        <a:xfrm flipV="1">
          <a:off x="307208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337</xdr:row>
      <xdr:rowOff>190500</xdr:rowOff>
    </xdr:from>
    <xdr:to>
      <xdr:col>6</xdr:col>
      <xdr:colOff>0</xdr:colOff>
      <xdr:row>337</xdr:row>
      <xdr:rowOff>190502</xdr:rowOff>
    </xdr:to>
    <xdr:cxnSp macro="">
      <xdr:nvCxnSpPr>
        <xdr:cNvPr id="472" name="Straight Connector 471">
          <a:extLst>
            <a:ext uri="{FF2B5EF4-FFF2-40B4-BE49-F238E27FC236}">
              <a16:creationId xmlns:a16="http://schemas.microsoft.com/office/drawing/2014/main" id="{00000000-0008-0000-0F00-0000D8010000}"/>
            </a:ext>
          </a:extLst>
        </xdr:cNvPr>
        <xdr:cNvCxnSpPr/>
      </xdr:nvCxnSpPr>
      <xdr:spPr>
        <a:xfrm flipV="1">
          <a:off x="295275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338</xdr:row>
      <xdr:rowOff>180975</xdr:rowOff>
    </xdr:from>
    <xdr:to>
      <xdr:col>5</xdr:col>
      <xdr:colOff>409575</xdr:colOff>
      <xdr:row>338</xdr:row>
      <xdr:rowOff>180977</xdr:rowOff>
    </xdr:to>
    <xdr:cxnSp macro="">
      <xdr:nvCxnSpPr>
        <xdr:cNvPr id="473" name="Straight Connector 472">
          <a:extLst>
            <a:ext uri="{FF2B5EF4-FFF2-40B4-BE49-F238E27FC236}">
              <a16:creationId xmlns:a16="http://schemas.microsoft.com/office/drawing/2014/main" id="{00000000-0008-0000-0F00-0000D9010000}"/>
            </a:ext>
          </a:extLst>
        </xdr:cNvPr>
        <xdr:cNvCxnSpPr/>
      </xdr:nvCxnSpPr>
      <xdr:spPr>
        <a:xfrm flipV="1">
          <a:off x="304800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339</xdr:row>
      <xdr:rowOff>180975</xdr:rowOff>
    </xdr:from>
    <xdr:to>
      <xdr:col>6</xdr:col>
      <xdr:colOff>0</xdr:colOff>
      <xdr:row>339</xdr:row>
      <xdr:rowOff>180977</xdr:rowOff>
    </xdr:to>
    <xdr:cxnSp macro="">
      <xdr:nvCxnSpPr>
        <xdr:cNvPr id="474" name="Straight Connector 473">
          <a:extLst>
            <a:ext uri="{FF2B5EF4-FFF2-40B4-BE49-F238E27FC236}">
              <a16:creationId xmlns:a16="http://schemas.microsoft.com/office/drawing/2014/main" id="{00000000-0008-0000-0F00-0000DA010000}"/>
            </a:ext>
          </a:extLst>
        </xdr:cNvPr>
        <xdr:cNvCxnSpPr/>
      </xdr:nvCxnSpPr>
      <xdr:spPr>
        <a:xfrm flipV="1">
          <a:off x="276225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336</xdr:row>
      <xdr:rowOff>180975</xdr:rowOff>
    </xdr:from>
    <xdr:to>
      <xdr:col>12</xdr:col>
      <xdr:colOff>0</xdr:colOff>
      <xdr:row>336</xdr:row>
      <xdr:rowOff>180977</xdr:rowOff>
    </xdr:to>
    <xdr:cxnSp macro="">
      <xdr:nvCxnSpPr>
        <xdr:cNvPr id="475" name="Straight Connector 474">
          <a:extLst>
            <a:ext uri="{FF2B5EF4-FFF2-40B4-BE49-F238E27FC236}">
              <a16:creationId xmlns:a16="http://schemas.microsoft.com/office/drawing/2014/main" id="{00000000-0008-0000-0F00-0000DB010000}"/>
            </a:ext>
          </a:extLst>
        </xdr:cNvPr>
        <xdr:cNvCxnSpPr/>
      </xdr:nvCxnSpPr>
      <xdr:spPr>
        <a:xfrm flipV="1">
          <a:off x="2488433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337</xdr:row>
      <xdr:rowOff>190500</xdr:rowOff>
    </xdr:from>
    <xdr:to>
      <xdr:col>12</xdr:col>
      <xdr:colOff>0</xdr:colOff>
      <xdr:row>337</xdr:row>
      <xdr:rowOff>190502</xdr:rowOff>
    </xdr:to>
    <xdr:cxnSp macro="">
      <xdr:nvCxnSpPr>
        <xdr:cNvPr id="476" name="Straight Connector 475">
          <a:extLst>
            <a:ext uri="{FF2B5EF4-FFF2-40B4-BE49-F238E27FC236}">
              <a16:creationId xmlns:a16="http://schemas.microsoft.com/office/drawing/2014/main" id="{00000000-0008-0000-0F00-0000DC010000}"/>
            </a:ext>
          </a:extLst>
        </xdr:cNvPr>
        <xdr:cNvCxnSpPr/>
      </xdr:nvCxnSpPr>
      <xdr:spPr>
        <a:xfrm flipV="1">
          <a:off x="2476500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338</xdr:row>
      <xdr:rowOff>180975</xdr:rowOff>
    </xdr:from>
    <xdr:to>
      <xdr:col>11</xdr:col>
      <xdr:colOff>409575</xdr:colOff>
      <xdr:row>338</xdr:row>
      <xdr:rowOff>180977</xdr:rowOff>
    </xdr:to>
    <xdr:cxnSp macro="">
      <xdr:nvCxnSpPr>
        <xdr:cNvPr id="477" name="Straight Connector 476">
          <a:extLst>
            <a:ext uri="{FF2B5EF4-FFF2-40B4-BE49-F238E27FC236}">
              <a16:creationId xmlns:a16="http://schemas.microsoft.com/office/drawing/2014/main" id="{00000000-0008-0000-0F00-0000DD010000}"/>
            </a:ext>
          </a:extLst>
        </xdr:cNvPr>
        <xdr:cNvCxnSpPr/>
      </xdr:nvCxnSpPr>
      <xdr:spPr>
        <a:xfrm flipV="1">
          <a:off x="2486025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339</xdr:row>
      <xdr:rowOff>180975</xdr:rowOff>
    </xdr:from>
    <xdr:to>
      <xdr:col>12</xdr:col>
      <xdr:colOff>0</xdr:colOff>
      <xdr:row>339</xdr:row>
      <xdr:rowOff>180977</xdr:rowOff>
    </xdr:to>
    <xdr:cxnSp macro="">
      <xdr:nvCxnSpPr>
        <xdr:cNvPr id="478" name="Straight Connector 477">
          <a:extLst>
            <a:ext uri="{FF2B5EF4-FFF2-40B4-BE49-F238E27FC236}">
              <a16:creationId xmlns:a16="http://schemas.microsoft.com/office/drawing/2014/main" id="{00000000-0008-0000-0F00-0000DE010000}"/>
            </a:ext>
          </a:extLst>
        </xdr:cNvPr>
        <xdr:cNvCxnSpPr/>
      </xdr:nvCxnSpPr>
      <xdr:spPr>
        <a:xfrm flipV="1">
          <a:off x="2457450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336</xdr:row>
      <xdr:rowOff>180975</xdr:rowOff>
    </xdr:from>
    <xdr:to>
      <xdr:col>18</xdr:col>
      <xdr:colOff>0</xdr:colOff>
      <xdr:row>336</xdr:row>
      <xdr:rowOff>180977</xdr:rowOff>
    </xdr:to>
    <xdr:cxnSp macro="">
      <xdr:nvCxnSpPr>
        <xdr:cNvPr id="479" name="Straight Connector 478">
          <a:extLst>
            <a:ext uri="{FF2B5EF4-FFF2-40B4-BE49-F238E27FC236}">
              <a16:creationId xmlns:a16="http://schemas.microsoft.com/office/drawing/2014/main" id="{00000000-0008-0000-0F00-0000DF010000}"/>
            </a:ext>
          </a:extLst>
        </xdr:cNvPr>
        <xdr:cNvCxnSpPr/>
      </xdr:nvCxnSpPr>
      <xdr:spPr>
        <a:xfrm flipV="1">
          <a:off x="4669658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337</xdr:row>
      <xdr:rowOff>190500</xdr:rowOff>
    </xdr:from>
    <xdr:to>
      <xdr:col>18</xdr:col>
      <xdr:colOff>0</xdr:colOff>
      <xdr:row>337</xdr:row>
      <xdr:rowOff>190502</xdr:rowOff>
    </xdr:to>
    <xdr:cxnSp macro="">
      <xdr:nvCxnSpPr>
        <xdr:cNvPr id="480" name="Straight Connector 479">
          <a:extLst>
            <a:ext uri="{FF2B5EF4-FFF2-40B4-BE49-F238E27FC236}">
              <a16:creationId xmlns:a16="http://schemas.microsoft.com/office/drawing/2014/main" id="{00000000-0008-0000-0F00-0000E0010000}"/>
            </a:ext>
          </a:extLst>
        </xdr:cNvPr>
        <xdr:cNvCxnSpPr/>
      </xdr:nvCxnSpPr>
      <xdr:spPr>
        <a:xfrm flipV="1">
          <a:off x="4657725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338</xdr:row>
      <xdr:rowOff>180975</xdr:rowOff>
    </xdr:from>
    <xdr:to>
      <xdr:col>17</xdr:col>
      <xdr:colOff>409575</xdr:colOff>
      <xdr:row>338</xdr:row>
      <xdr:rowOff>180977</xdr:rowOff>
    </xdr:to>
    <xdr:cxnSp macro="">
      <xdr:nvCxnSpPr>
        <xdr:cNvPr id="481" name="Straight Connector 480">
          <a:extLst>
            <a:ext uri="{FF2B5EF4-FFF2-40B4-BE49-F238E27FC236}">
              <a16:creationId xmlns:a16="http://schemas.microsoft.com/office/drawing/2014/main" id="{00000000-0008-0000-0F00-0000E1010000}"/>
            </a:ext>
          </a:extLst>
        </xdr:cNvPr>
        <xdr:cNvCxnSpPr/>
      </xdr:nvCxnSpPr>
      <xdr:spPr>
        <a:xfrm flipV="1">
          <a:off x="4667250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339</xdr:row>
      <xdr:rowOff>180975</xdr:rowOff>
    </xdr:from>
    <xdr:to>
      <xdr:col>18</xdr:col>
      <xdr:colOff>0</xdr:colOff>
      <xdr:row>339</xdr:row>
      <xdr:rowOff>180977</xdr:rowOff>
    </xdr:to>
    <xdr:cxnSp macro="">
      <xdr:nvCxnSpPr>
        <xdr:cNvPr id="482" name="Straight Connector 481">
          <a:extLst>
            <a:ext uri="{FF2B5EF4-FFF2-40B4-BE49-F238E27FC236}">
              <a16:creationId xmlns:a16="http://schemas.microsoft.com/office/drawing/2014/main" id="{00000000-0008-0000-0F00-0000E2010000}"/>
            </a:ext>
          </a:extLst>
        </xdr:cNvPr>
        <xdr:cNvCxnSpPr/>
      </xdr:nvCxnSpPr>
      <xdr:spPr>
        <a:xfrm flipV="1">
          <a:off x="4638675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365</xdr:row>
      <xdr:rowOff>180975</xdr:rowOff>
    </xdr:from>
    <xdr:to>
      <xdr:col>6</xdr:col>
      <xdr:colOff>0</xdr:colOff>
      <xdr:row>365</xdr:row>
      <xdr:rowOff>180977</xdr:rowOff>
    </xdr:to>
    <xdr:cxnSp macro="">
      <xdr:nvCxnSpPr>
        <xdr:cNvPr id="483" name="Straight Connector 482">
          <a:extLst>
            <a:ext uri="{FF2B5EF4-FFF2-40B4-BE49-F238E27FC236}">
              <a16:creationId xmlns:a16="http://schemas.microsoft.com/office/drawing/2014/main" id="{00000000-0008-0000-0F00-0000E3010000}"/>
            </a:ext>
          </a:extLst>
        </xdr:cNvPr>
        <xdr:cNvCxnSpPr/>
      </xdr:nvCxnSpPr>
      <xdr:spPr>
        <a:xfrm flipV="1">
          <a:off x="307208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366</xdr:row>
      <xdr:rowOff>190500</xdr:rowOff>
    </xdr:from>
    <xdr:to>
      <xdr:col>6</xdr:col>
      <xdr:colOff>0</xdr:colOff>
      <xdr:row>366</xdr:row>
      <xdr:rowOff>190502</xdr:rowOff>
    </xdr:to>
    <xdr:cxnSp macro="">
      <xdr:nvCxnSpPr>
        <xdr:cNvPr id="484" name="Straight Connector 483">
          <a:extLst>
            <a:ext uri="{FF2B5EF4-FFF2-40B4-BE49-F238E27FC236}">
              <a16:creationId xmlns:a16="http://schemas.microsoft.com/office/drawing/2014/main" id="{00000000-0008-0000-0F00-0000E4010000}"/>
            </a:ext>
          </a:extLst>
        </xdr:cNvPr>
        <xdr:cNvCxnSpPr/>
      </xdr:nvCxnSpPr>
      <xdr:spPr>
        <a:xfrm flipV="1">
          <a:off x="295275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367</xdr:row>
      <xdr:rowOff>180975</xdr:rowOff>
    </xdr:from>
    <xdr:to>
      <xdr:col>5</xdr:col>
      <xdr:colOff>409575</xdr:colOff>
      <xdr:row>367</xdr:row>
      <xdr:rowOff>180977</xdr:rowOff>
    </xdr:to>
    <xdr:cxnSp macro="">
      <xdr:nvCxnSpPr>
        <xdr:cNvPr id="485" name="Straight Connector 484">
          <a:extLst>
            <a:ext uri="{FF2B5EF4-FFF2-40B4-BE49-F238E27FC236}">
              <a16:creationId xmlns:a16="http://schemas.microsoft.com/office/drawing/2014/main" id="{00000000-0008-0000-0F00-0000E5010000}"/>
            </a:ext>
          </a:extLst>
        </xdr:cNvPr>
        <xdr:cNvCxnSpPr/>
      </xdr:nvCxnSpPr>
      <xdr:spPr>
        <a:xfrm flipV="1">
          <a:off x="304800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368</xdr:row>
      <xdr:rowOff>180975</xdr:rowOff>
    </xdr:from>
    <xdr:to>
      <xdr:col>6</xdr:col>
      <xdr:colOff>0</xdr:colOff>
      <xdr:row>368</xdr:row>
      <xdr:rowOff>180977</xdr:rowOff>
    </xdr:to>
    <xdr:cxnSp macro="">
      <xdr:nvCxnSpPr>
        <xdr:cNvPr id="486" name="Straight Connector 485">
          <a:extLst>
            <a:ext uri="{FF2B5EF4-FFF2-40B4-BE49-F238E27FC236}">
              <a16:creationId xmlns:a16="http://schemas.microsoft.com/office/drawing/2014/main" id="{00000000-0008-0000-0F00-0000E6010000}"/>
            </a:ext>
          </a:extLst>
        </xdr:cNvPr>
        <xdr:cNvCxnSpPr/>
      </xdr:nvCxnSpPr>
      <xdr:spPr>
        <a:xfrm flipV="1">
          <a:off x="276225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365</xdr:row>
      <xdr:rowOff>180975</xdr:rowOff>
    </xdr:from>
    <xdr:to>
      <xdr:col>12</xdr:col>
      <xdr:colOff>0</xdr:colOff>
      <xdr:row>365</xdr:row>
      <xdr:rowOff>180977</xdr:rowOff>
    </xdr:to>
    <xdr:cxnSp macro="">
      <xdr:nvCxnSpPr>
        <xdr:cNvPr id="487" name="Straight Connector 486">
          <a:extLst>
            <a:ext uri="{FF2B5EF4-FFF2-40B4-BE49-F238E27FC236}">
              <a16:creationId xmlns:a16="http://schemas.microsoft.com/office/drawing/2014/main" id="{00000000-0008-0000-0F00-0000E7010000}"/>
            </a:ext>
          </a:extLst>
        </xdr:cNvPr>
        <xdr:cNvCxnSpPr/>
      </xdr:nvCxnSpPr>
      <xdr:spPr>
        <a:xfrm flipV="1">
          <a:off x="2488433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366</xdr:row>
      <xdr:rowOff>190500</xdr:rowOff>
    </xdr:from>
    <xdr:to>
      <xdr:col>12</xdr:col>
      <xdr:colOff>0</xdr:colOff>
      <xdr:row>366</xdr:row>
      <xdr:rowOff>190502</xdr:rowOff>
    </xdr:to>
    <xdr:cxnSp macro="">
      <xdr:nvCxnSpPr>
        <xdr:cNvPr id="488" name="Straight Connector 487">
          <a:extLst>
            <a:ext uri="{FF2B5EF4-FFF2-40B4-BE49-F238E27FC236}">
              <a16:creationId xmlns:a16="http://schemas.microsoft.com/office/drawing/2014/main" id="{00000000-0008-0000-0F00-0000E8010000}"/>
            </a:ext>
          </a:extLst>
        </xdr:cNvPr>
        <xdr:cNvCxnSpPr/>
      </xdr:nvCxnSpPr>
      <xdr:spPr>
        <a:xfrm flipV="1">
          <a:off x="2476500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367</xdr:row>
      <xdr:rowOff>180975</xdr:rowOff>
    </xdr:from>
    <xdr:to>
      <xdr:col>11</xdr:col>
      <xdr:colOff>409575</xdr:colOff>
      <xdr:row>367</xdr:row>
      <xdr:rowOff>180977</xdr:rowOff>
    </xdr:to>
    <xdr:cxnSp macro="">
      <xdr:nvCxnSpPr>
        <xdr:cNvPr id="489" name="Straight Connector 488">
          <a:extLst>
            <a:ext uri="{FF2B5EF4-FFF2-40B4-BE49-F238E27FC236}">
              <a16:creationId xmlns:a16="http://schemas.microsoft.com/office/drawing/2014/main" id="{00000000-0008-0000-0F00-0000E9010000}"/>
            </a:ext>
          </a:extLst>
        </xdr:cNvPr>
        <xdr:cNvCxnSpPr/>
      </xdr:nvCxnSpPr>
      <xdr:spPr>
        <a:xfrm flipV="1">
          <a:off x="2486025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368</xdr:row>
      <xdr:rowOff>180975</xdr:rowOff>
    </xdr:from>
    <xdr:to>
      <xdr:col>12</xdr:col>
      <xdr:colOff>0</xdr:colOff>
      <xdr:row>368</xdr:row>
      <xdr:rowOff>180977</xdr:rowOff>
    </xdr:to>
    <xdr:cxnSp macro="">
      <xdr:nvCxnSpPr>
        <xdr:cNvPr id="490" name="Straight Connector 489">
          <a:extLst>
            <a:ext uri="{FF2B5EF4-FFF2-40B4-BE49-F238E27FC236}">
              <a16:creationId xmlns:a16="http://schemas.microsoft.com/office/drawing/2014/main" id="{00000000-0008-0000-0F00-0000EA010000}"/>
            </a:ext>
          </a:extLst>
        </xdr:cNvPr>
        <xdr:cNvCxnSpPr/>
      </xdr:nvCxnSpPr>
      <xdr:spPr>
        <a:xfrm flipV="1">
          <a:off x="2457450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365</xdr:row>
      <xdr:rowOff>180975</xdr:rowOff>
    </xdr:from>
    <xdr:to>
      <xdr:col>18</xdr:col>
      <xdr:colOff>0</xdr:colOff>
      <xdr:row>365</xdr:row>
      <xdr:rowOff>180977</xdr:rowOff>
    </xdr:to>
    <xdr:cxnSp macro="">
      <xdr:nvCxnSpPr>
        <xdr:cNvPr id="491" name="Straight Connector 490">
          <a:extLst>
            <a:ext uri="{FF2B5EF4-FFF2-40B4-BE49-F238E27FC236}">
              <a16:creationId xmlns:a16="http://schemas.microsoft.com/office/drawing/2014/main" id="{00000000-0008-0000-0F00-0000EB010000}"/>
            </a:ext>
          </a:extLst>
        </xdr:cNvPr>
        <xdr:cNvCxnSpPr/>
      </xdr:nvCxnSpPr>
      <xdr:spPr>
        <a:xfrm flipV="1">
          <a:off x="4669658" y="45624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366</xdr:row>
      <xdr:rowOff>190500</xdr:rowOff>
    </xdr:from>
    <xdr:to>
      <xdr:col>18</xdr:col>
      <xdr:colOff>0</xdr:colOff>
      <xdr:row>366</xdr:row>
      <xdr:rowOff>190502</xdr:rowOff>
    </xdr:to>
    <xdr:cxnSp macro="">
      <xdr:nvCxnSpPr>
        <xdr:cNvPr id="492" name="Straight Connector 491">
          <a:extLst>
            <a:ext uri="{FF2B5EF4-FFF2-40B4-BE49-F238E27FC236}">
              <a16:creationId xmlns:a16="http://schemas.microsoft.com/office/drawing/2014/main" id="{00000000-0008-0000-0F00-0000EC010000}"/>
            </a:ext>
          </a:extLst>
        </xdr:cNvPr>
        <xdr:cNvCxnSpPr/>
      </xdr:nvCxnSpPr>
      <xdr:spPr>
        <a:xfrm flipV="1">
          <a:off x="4657725" y="47625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367</xdr:row>
      <xdr:rowOff>180975</xdr:rowOff>
    </xdr:from>
    <xdr:to>
      <xdr:col>17</xdr:col>
      <xdr:colOff>409575</xdr:colOff>
      <xdr:row>367</xdr:row>
      <xdr:rowOff>180977</xdr:rowOff>
    </xdr:to>
    <xdr:cxnSp macro="">
      <xdr:nvCxnSpPr>
        <xdr:cNvPr id="493" name="Straight Connector 492">
          <a:extLst>
            <a:ext uri="{FF2B5EF4-FFF2-40B4-BE49-F238E27FC236}">
              <a16:creationId xmlns:a16="http://schemas.microsoft.com/office/drawing/2014/main" id="{00000000-0008-0000-0F00-0000ED010000}"/>
            </a:ext>
          </a:extLst>
        </xdr:cNvPr>
        <xdr:cNvCxnSpPr/>
      </xdr:nvCxnSpPr>
      <xdr:spPr>
        <a:xfrm flipV="1">
          <a:off x="4667250" y="49434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368</xdr:row>
      <xdr:rowOff>180975</xdr:rowOff>
    </xdr:from>
    <xdr:to>
      <xdr:col>18</xdr:col>
      <xdr:colOff>0</xdr:colOff>
      <xdr:row>368</xdr:row>
      <xdr:rowOff>180977</xdr:rowOff>
    </xdr:to>
    <xdr:cxnSp macro="">
      <xdr:nvCxnSpPr>
        <xdr:cNvPr id="494" name="Straight Connector 493">
          <a:extLst>
            <a:ext uri="{FF2B5EF4-FFF2-40B4-BE49-F238E27FC236}">
              <a16:creationId xmlns:a16="http://schemas.microsoft.com/office/drawing/2014/main" id="{00000000-0008-0000-0F00-0000EE010000}"/>
            </a:ext>
          </a:extLst>
        </xdr:cNvPr>
        <xdr:cNvCxnSpPr/>
      </xdr:nvCxnSpPr>
      <xdr:spPr>
        <a:xfrm flipV="1">
          <a:off x="4638675" y="51339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393</xdr:row>
      <xdr:rowOff>180975</xdr:rowOff>
    </xdr:from>
    <xdr:to>
      <xdr:col>6</xdr:col>
      <xdr:colOff>0</xdr:colOff>
      <xdr:row>393</xdr:row>
      <xdr:rowOff>180977</xdr:rowOff>
    </xdr:to>
    <xdr:cxnSp macro="">
      <xdr:nvCxnSpPr>
        <xdr:cNvPr id="495" name="Straight Connector 494">
          <a:extLst>
            <a:ext uri="{FF2B5EF4-FFF2-40B4-BE49-F238E27FC236}">
              <a16:creationId xmlns:a16="http://schemas.microsoft.com/office/drawing/2014/main" id="{00000000-0008-0000-0F00-0000EF010000}"/>
            </a:ext>
          </a:extLst>
        </xdr:cNvPr>
        <xdr:cNvCxnSpPr/>
      </xdr:nvCxnSpPr>
      <xdr:spPr>
        <a:xfrm flipV="1">
          <a:off x="307208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394</xdr:row>
      <xdr:rowOff>190500</xdr:rowOff>
    </xdr:from>
    <xdr:to>
      <xdr:col>6</xdr:col>
      <xdr:colOff>0</xdr:colOff>
      <xdr:row>394</xdr:row>
      <xdr:rowOff>190502</xdr:rowOff>
    </xdr:to>
    <xdr:cxnSp macro="">
      <xdr:nvCxnSpPr>
        <xdr:cNvPr id="496" name="Straight Connector 495">
          <a:extLst>
            <a:ext uri="{FF2B5EF4-FFF2-40B4-BE49-F238E27FC236}">
              <a16:creationId xmlns:a16="http://schemas.microsoft.com/office/drawing/2014/main" id="{00000000-0008-0000-0F00-0000F0010000}"/>
            </a:ext>
          </a:extLst>
        </xdr:cNvPr>
        <xdr:cNvCxnSpPr/>
      </xdr:nvCxnSpPr>
      <xdr:spPr>
        <a:xfrm flipV="1">
          <a:off x="295275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395</xdr:row>
      <xdr:rowOff>180975</xdr:rowOff>
    </xdr:from>
    <xdr:to>
      <xdr:col>5</xdr:col>
      <xdr:colOff>409575</xdr:colOff>
      <xdr:row>395</xdr:row>
      <xdr:rowOff>180977</xdr:rowOff>
    </xdr:to>
    <xdr:cxnSp macro="">
      <xdr:nvCxnSpPr>
        <xdr:cNvPr id="497" name="Straight Connector 496">
          <a:extLst>
            <a:ext uri="{FF2B5EF4-FFF2-40B4-BE49-F238E27FC236}">
              <a16:creationId xmlns:a16="http://schemas.microsoft.com/office/drawing/2014/main" id="{00000000-0008-0000-0F00-0000F1010000}"/>
            </a:ext>
          </a:extLst>
        </xdr:cNvPr>
        <xdr:cNvCxnSpPr/>
      </xdr:nvCxnSpPr>
      <xdr:spPr>
        <a:xfrm flipV="1">
          <a:off x="304800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396</xdr:row>
      <xdr:rowOff>180975</xdr:rowOff>
    </xdr:from>
    <xdr:to>
      <xdr:col>6</xdr:col>
      <xdr:colOff>0</xdr:colOff>
      <xdr:row>396</xdr:row>
      <xdr:rowOff>180977</xdr:rowOff>
    </xdr:to>
    <xdr:cxnSp macro="">
      <xdr:nvCxnSpPr>
        <xdr:cNvPr id="498" name="Straight Connector 497">
          <a:extLst>
            <a:ext uri="{FF2B5EF4-FFF2-40B4-BE49-F238E27FC236}">
              <a16:creationId xmlns:a16="http://schemas.microsoft.com/office/drawing/2014/main" id="{00000000-0008-0000-0F00-0000F2010000}"/>
            </a:ext>
          </a:extLst>
        </xdr:cNvPr>
        <xdr:cNvCxnSpPr/>
      </xdr:nvCxnSpPr>
      <xdr:spPr>
        <a:xfrm flipV="1">
          <a:off x="276225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393</xdr:row>
      <xdr:rowOff>180975</xdr:rowOff>
    </xdr:from>
    <xdr:to>
      <xdr:col>12</xdr:col>
      <xdr:colOff>0</xdr:colOff>
      <xdr:row>393</xdr:row>
      <xdr:rowOff>180977</xdr:rowOff>
    </xdr:to>
    <xdr:cxnSp macro="">
      <xdr:nvCxnSpPr>
        <xdr:cNvPr id="499" name="Straight Connector 498">
          <a:extLst>
            <a:ext uri="{FF2B5EF4-FFF2-40B4-BE49-F238E27FC236}">
              <a16:creationId xmlns:a16="http://schemas.microsoft.com/office/drawing/2014/main" id="{00000000-0008-0000-0F00-0000F3010000}"/>
            </a:ext>
          </a:extLst>
        </xdr:cNvPr>
        <xdr:cNvCxnSpPr/>
      </xdr:nvCxnSpPr>
      <xdr:spPr>
        <a:xfrm flipV="1">
          <a:off x="2488433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394</xdr:row>
      <xdr:rowOff>190500</xdr:rowOff>
    </xdr:from>
    <xdr:to>
      <xdr:col>12</xdr:col>
      <xdr:colOff>0</xdr:colOff>
      <xdr:row>394</xdr:row>
      <xdr:rowOff>190502</xdr:rowOff>
    </xdr:to>
    <xdr:cxnSp macro="">
      <xdr:nvCxnSpPr>
        <xdr:cNvPr id="500" name="Straight Connector 499">
          <a:extLst>
            <a:ext uri="{FF2B5EF4-FFF2-40B4-BE49-F238E27FC236}">
              <a16:creationId xmlns:a16="http://schemas.microsoft.com/office/drawing/2014/main" id="{00000000-0008-0000-0F00-0000F4010000}"/>
            </a:ext>
          </a:extLst>
        </xdr:cNvPr>
        <xdr:cNvCxnSpPr/>
      </xdr:nvCxnSpPr>
      <xdr:spPr>
        <a:xfrm flipV="1">
          <a:off x="2476500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395</xdr:row>
      <xdr:rowOff>180975</xdr:rowOff>
    </xdr:from>
    <xdr:to>
      <xdr:col>11</xdr:col>
      <xdr:colOff>409575</xdr:colOff>
      <xdr:row>395</xdr:row>
      <xdr:rowOff>180977</xdr:rowOff>
    </xdr:to>
    <xdr:cxnSp macro="">
      <xdr:nvCxnSpPr>
        <xdr:cNvPr id="501" name="Straight Connector 500">
          <a:extLst>
            <a:ext uri="{FF2B5EF4-FFF2-40B4-BE49-F238E27FC236}">
              <a16:creationId xmlns:a16="http://schemas.microsoft.com/office/drawing/2014/main" id="{00000000-0008-0000-0F00-0000F5010000}"/>
            </a:ext>
          </a:extLst>
        </xdr:cNvPr>
        <xdr:cNvCxnSpPr/>
      </xdr:nvCxnSpPr>
      <xdr:spPr>
        <a:xfrm flipV="1">
          <a:off x="2486025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396</xdr:row>
      <xdr:rowOff>180975</xdr:rowOff>
    </xdr:from>
    <xdr:to>
      <xdr:col>12</xdr:col>
      <xdr:colOff>0</xdr:colOff>
      <xdr:row>396</xdr:row>
      <xdr:rowOff>180977</xdr:rowOff>
    </xdr:to>
    <xdr:cxnSp macro="">
      <xdr:nvCxnSpPr>
        <xdr:cNvPr id="502" name="Straight Connector 501">
          <a:extLst>
            <a:ext uri="{FF2B5EF4-FFF2-40B4-BE49-F238E27FC236}">
              <a16:creationId xmlns:a16="http://schemas.microsoft.com/office/drawing/2014/main" id="{00000000-0008-0000-0F00-0000F6010000}"/>
            </a:ext>
          </a:extLst>
        </xdr:cNvPr>
        <xdr:cNvCxnSpPr/>
      </xdr:nvCxnSpPr>
      <xdr:spPr>
        <a:xfrm flipV="1">
          <a:off x="2457450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393</xdr:row>
      <xdr:rowOff>180975</xdr:rowOff>
    </xdr:from>
    <xdr:to>
      <xdr:col>18</xdr:col>
      <xdr:colOff>0</xdr:colOff>
      <xdr:row>393</xdr:row>
      <xdr:rowOff>180977</xdr:rowOff>
    </xdr:to>
    <xdr:cxnSp macro="">
      <xdr:nvCxnSpPr>
        <xdr:cNvPr id="503" name="Straight Connector 502">
          <a:extLst>
            <a:ext uri="{FF2B5EF4-FFF2-40B4-BE49-F238E27FC236}">
              <a16:creationId xmlns:a16="http://schemas.microsoft.com/office/drawing/2014/main" id="{00000000-0008-0000-0F00-0000F7010000}"/>
            </a:ext>
          </a:extLst>
        </xdr:cNvPr>
        <xdr:cNvCxnSpPr/>
      </xdr:nvCxnSpPr>
      <xdr:spPr>
        <a:xfrm flipV="1">
          <a:off x="4669658" y="9810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394</xdr:row>
      <xdr:rowOff>190500</xdr:rowOff>
    </xdr:from>
    <xdr:to>
      <xdr:col>18</xdr:col>
      <xdr:colOff>0</xdr:colOff>
      <xdr:row>394</xdr:row>
      <xdr:rowOff>190502</xdr:rowOff>
    </xdr:to>
    <xdr:cxnSp macro="">
      <xdr:nvCxnSpPr>
        <xdr:cNvPr id="504" name="Straight Connector 503">
          <a:extLst>
            <a:ext uri="{FF2B5EF4-FFF2-40B4-BE49-F238E27FC236}">
              <a16:creationId xmlns:a16="http://schemas.microsoft.com/office/drawing/2014/main" id="{00000000-0008-0000-0F00-0000F8010000}"/>
            </a:ext>
          </a:extLst>
        </xdr:cNvPr>
        <xdr:cNvCxnSpPr/>
      </xdr:nvCxnSpPr>
      <xdr:spPr>
        <a:xfrm flipV="1">
          <a:off x="4657725" y="10010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395</xdr:row>
      <xdr:rowOff>180975</xdr:rowOff>
    </xdr:from>
    <xdr:to>
      <xdr:col>17</xdr:col>
      <xdr:colOff>409575</xdr:colOff>
      <xdr:row>395</xdr:row>
      <xdr:rowOff>180977</xdr:rowOff>
    </xdr:to>
    <xdr:cxnSp macro="">
      <xdr:nvCxnSpPr>
        <xdr:cNvPr id="505" name="Straight Connector 504">
          <a:extLst>
            <a:ext uri="{FF2B5EF4-FFF2-40B4-BE49-F238E27FC236}">
              <a16:creationId xmlns:a16="http://schemas.microsoft.com/office/drawing/2014/main" id="{00000000-0008-0000-0F00-0000F9010000}"/>
            </a:ext>
          </a:extLst>
        </xdr:cNvPr>
        <xdr:cNvCxnSpPr/>
      </xdr:nvCxnSpPr>
      <xdr:spPr>
        <a:xfrm flipV="1">
          <a:off x="4667250" y="10191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396</xdr:row>
      <xdr:rowOff>180975</xdr:rowOff>
    </xdr:from>
    <xdr:to>
      <xdr:col>18</xdr:col>
      <xdr:colOff>0</xdr:colOff>
      <xdr:row>396</xdr:row>
      <xdr:rowOff>180977</xdr:rowOff>
    </xdr:to>
    <xdr:cxnSp macro="">
      <xdr:nvCxnSpPr>
        <xdr:cNvPr id="506" name="Straight Connector 505">
          <a:extLst>
            <a:ext uri="{FF2B5EF4-FFF2-40B4-BE49-F238E27FC236}">
              <a16:creationId xmlns:a16="http://schemas.microsoft.com/office/drawing/2014/main" id="{00000000-0008-0000-0F00-0000FA010000}"/>
            </a:ext>
          </a:extLst>
        </xdr:cNvPr>
        <xdr:cNvCxnSpPr/>
      </xdr:nvCxnSpPr>
      <xdr:spPr>
        <a:xfrm flipV="1">
          <a:off x="4638675" y="10382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422</xdr:row>
      <xdr:rowOff>180975</xdr:rowOff>
    </xdr:from>
    <xdr:to>
      <xdr:col>6</xdr:col>
      <xdr:colOff>0</xdr:colOff>
      <xdr:row>422</xdr:row>
      <xdr:rowOff>180977</xdr:rowOff>
    </xdr:to>
    <xdr:cxnSp macro="">
      <xdr:nvCxnSpPr>
        <xdr:cNvPr id="507" name="Straight Connector 506">
          <a:extLst>
            <a:ext uri="{FF2B5EF4-FFF2-40B4-BE49-F238E27FC236}">
              <a16:creationId xmlns:a16="http://schemas.microsoft.com/office/drawing/2014/main" id="{00000000-0008-0000-0F00-0000FB010000}"/>
            </a:ext>
          </a:extLst>
        </xdr:cNvPr>
        <xdr:cNvCxnSpPr/>
      </xdr:nvCxnSpPr>
      <xdr:spPr>
        <a:xfrm flipV="1">
          <a:off x="307208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423</xdr:row>
      <xdr:rowOff>190500</xdr:rowOff>
    </xdr:from>
    <xdr:to>
      <xdr:col>6</xdr:col>
      <xdr:colOff>0</xdr:colOff>
      <xdr:row>423</xdr:row>
      <xdr:rowOff>190502</xdr:rowOff>
    </xdr:to>
    <xdr:cxnSp macro="">
      <xdr:nvCxnSpPr>
        <xdr:cNvPr id="508" name="Straight Connector 507">
          <a:extLst>
            <a:ext uri="{FF2B5EF4-FFF2-40B4-BE49-F238E27FC236}">
              <a16:creationId xmlns:a16="http://schemas.microsoft.com/office/drawing/2014/main" id="{00000000-0008-0000-0F00-0000FC010000}"/>
            </a:ext>
          </a:extLst>
        </xdr:cNvPr>
        <xdr:cNvCxnSpPr/>
      </xdr:nvCxnSpPr>
      <xdr:spPr>
        <a:xfrm flipV="1">
          <a:off x="295275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424</xdr:row>
      <xdr:rowOff>180975</xdr:rowOff>
    </xdr:from>
    <xdr:to>
      <xdr:col>5</xdr:col>
      <xdr:colOff>409575</xdr:colOff>
      <xdr:row>424</xdr:row>
      <xdr:rowOff>180977</xdr:rowOff>
    </xdr:to>
    <xdr:cxnSp macro="">
      <xdr:nvCxnSpPr>
        <xdr:cNvPr id="509" name="Straight Connector 508">
          <a:extLst>
            <a:ext uri="{FF2B5EF4-FFF2-40B4-BE49-F238E27FC236}">
              <a16:creationId xmlns:a16="http://schemas.microsoft.com/office/drawing/2014/main" id="{00000000-0008-0000-0F00-0000FD010000}"/>
            </a:ext>
          </a:extLst>
        </xdr:cNvPr>
        <xdr:cNvCxnSpPr/>
      </xdr:nvCxnSpPr>
      <xdr:spPr>
        <a:xfrm flipV="1">
          <a:off x="304800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425</xdr:row>
      <xdr:rowOff>180975</xdr:rowOff>
    </xdr:from>
    <xdr:to>
      <xdr:col>6</xdr:col>
      <xdr:colOff>0</xdr:colOff>
      <xdr:row>425</xdr:row>
      <xdr:rowOff>180977</xdr:rowOff>
    </xdr:to>
    <xdr:cxnSp macro="">
      <xdr:nvCxnSpPr>
        <xdr:cNvPr id="510" name="Straight Connector 509">
          <a:extLst>
            <a:ext uri="{FF2B5EF4-FFF2-40B4-BE49-F238E27FC236}">
              <a16:creationId xmlns:a16="http://schemas.microsoft.com/office/drawing/2014/main" id="{00000000-0008-0000-0F00-0000FE010000}"/>
            </a:ext>
          </a:extLst>
        </xdr:cNvPr>
        <xdr:cNvCxnSpPr/>
      </xdr:nvCxnSpPr>
      <xdr:spPr>
        <a:xfrm flipV="1">
          <a:off x="276225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422</xdr:row>
      <xdr:rowOff>180975</xdr:rowOff>
    </xdr:from>
    <xdr:to>
      <xdr:col>12</xdr:col>
      <xdr:colOff>0</xdr:colOff>
      <xdr:row>422</xdr:row>
      <xdr:rowOff>180977</xdr:rowOff>
    </xdr:to>
    <xdr:cxnSp macro="">
      <xdr:nvCxnSpPr>
        <xdr:cNvPr id="511" name="Straight Connector 510">
          <a:extLst>
            <a:ext uri="{FF2B5EF4-FFF2-40B4-BE49-F238E27FC236}">
              <a16:creationId xmlns:a16="http://schemas.microsoft.com/office/drawing/2014/main" id="{00000000-0008-0000-0F00-0000FF010000}"/>
            </a:ext>
          </a:extLst>
        </xdr:cNvPr>
        <xdr:cNvCxnSpPr/>
      </xdr:nvCxnSpPr>
      <xdr:spPr>
        <a:xfrm flipV="1">
          <a:off x="2488433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423</xdr:row>
      <xdr:rowOff>190500</xdr:rowOff>
    </xdr:from>
    <xdr:to>
      <xdr:col>12</xdr:col>
      <xdr:colOff>0</xdr:colOff>
      <xdr:row>423</xdr:row>
      <xdr:rowOff>190502</xdr:rowOff>
    </xdr:to>
    <xdr:cxnSp macro="">
      <xdr:nvCxnSpPr>
        <xdr:cNvPr id="512" name="Straight Connector 511">
          <a:extLst>
            <a:ext uri="{FF2B5EF4-FFF2-40B4-BE49-F238E27FC236}">
              <a16:creationId xmlns:a16="http://schemas.microsoft.com/office/drawing/2014/main" id="{00000000-0008-0000-0F00-000000020000}"/>
            </a:ext>
          </a:extLst>
        </xdr:cNvPr>
        <xdr:cNvCxnSpPr/>
      </xdr:nvCxnSpPr>
      <xdr:spPr>
        <a:xfrm flipV="1">
          <a:off x="2476500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424</xdr:row>
      <xdr:rowOff>180975</xdr:rowOff>
    </xdr:from>
    <xdr:to>
      <xdr:col>11</xdr:col>
      <xdr:colOff>409575</xdr:colOff>
      <xdr:row>424</xdr:row>
      <xdr:rowOff>180977</xdr:rowOff>
    </xdr:to>
    <xdr:cxnSp macro="">
      <xdr:nvCxnSpPr>
        <xdr:cNvPr id="513" name="Straight Connector 512">
          <a:extLst>
            <a:ext uri="{FF2B5EF4-FFF2-40B4-BE49-F238E27FC236}">
              <a16:creationId xmlns:a16="http://schemas.microsoft.com/office/drawing/2014/main" id="{00000000-0008-0000-0F00-000001020000}"/>
            </a:ext>
          </a:extLst>
        </xdr:cNvPr>
        <xdr:cNvCxnSpPr/>
      </xdr:nvCxnSpPr>
      <xdr:spPr>
        <a:xfrm flipV="1">
          <a:off x="2486025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425</xdr:row>
      <xdr:rowOff>180975</xdr:rowOff>
    </xdr:from>
    <xdr:to>
      <xdr:col>12</xdr:col>
      <xdr:colOff>0</xdr:colOff>
      <xdr:row>425</xdr:row>
      <xdr:rowOff>180977</xdr:rowOff>
    </xdr:to>
    <xdr:cxnSp macro="">
      <xdr:nvCxnSpPr>
        <xdr:cNvPr id="514" name="Straight Connector 513">
          <a:extLst>
            <a:ext uri="{FF2B5EF4-FFF2-40B4-BE49-F238E27FC236}">
              <a16:creationId xmlns:a16="http://schemas.microsoft.com/office/drawing/2014/main" id="{00000000-0008-0000-0F00-000002020000}"/>
            </a:ext>
          </a:extLst>
        </xdr:cNvPr>
        <xdr:cNvCxnSpPr/>
      </xdr:nvCxnSpPr>
      <xdr:spPr>
        <a:xfrm flipV="1">
          <a:off x="2457450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422</xdr:row>
      <xdr:rowOff>180975</xdr:rowOff>
    </xdr:from>
    <xdr:to>
      <xdr:col>18</xdr:col>
      <xdr:colOff>0</xdr:colOff>
      <xdr:row>422</xdr:row>
      <xdr:rowOff>180977</xdr:rowOff>
    </xdr:to>
    <xdr:cxnSp macro="">
      <xdr:nvCxnSpPr>
        <xdr:cNvPr id="515" name="Straight Connector 514">
          <a:extLst>
            <a:ext uri="{FF2B5EF4-FFF2-40B4-BE49-F238E27FC236}">
              <a16:creationId xmlns:a16="http://schemas.microsoft.com/office/drawing/2014/main" id="{00000000-0008-0000-0F00-000003020000}"/>
            </a:ext>
          </a:extLst>
        </xdr:cNvPr>
        <xdr:cNvCxnSpPr/>
      </xdr:nvCxnSpPr>
      <xdr:spPr>
        <a:xfrm flipV="1">
          <a:off x="4669658" y="1514475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423</xdr:row>
      <xdr:rowOff>190500</xdr:rowOff>
    </xdr:from>
    <xdr:to>
      <xdr:col>18</xdr:col>
      <xdr:colOff>0</xdr:colOff>
      <xdr:row>423</xdr:row>
      <xdr:rowOff>190502</xdr:rowOff>
    </xdr:to>
    <xdr:cxnSp macro="">
      <xdr:nvCxnSpPr>
        <xdr:cNvPr id="516" name="Straight Connector 515">
          <a:extLst>
            <a:ext uri="{FF2B5EF4-FFF2-40B4-BE49-F238E27FC236}">
              <a16:creationId xmlns:a16="http://schemas.microsoft.com/office/drawing/2014/main" id="{00000000-0008-0000-0F00-000004020000}"/>
            </a:ext>
          </a:extLst>
        </xdr:cNvPr>
        <xdr:cNvCxnSpPr/>
      </xdr:nvCxnSpPr>
      <xdr:spPr>
        <a:xfrm flipV="1">
          <a:off x="4657725" y="1534477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424</xdr:row>
      <xdr:rowOff>180975</xdr:rowOff>
    </xdr:from>
    <xdr:to>
      <xdr:col>17</xdr:col>
      <xdr:colOff>409575</xdr:colOff>
      <xdr:row>424</xdr:row>
      <xdr:rowOff>180977</xdr:rowOff>
    </xdr:to>
    <xdr:cxnSp macro="">
      <xdr:nvCxnSpPr>
        <xdr:cNvPr id="517" name="Straight Connector 516">
          <a:extLst>
            <a:ext uri="{FF2B5EF4-FFF2-40B4-BE49-F238E27FC236}">
              <a16:creationId xmlns:a16="http://schemas.microsoft.com/office/drawing/2014/main" id="{00000000-0008-0000-0F00-000005020000}"/>
            </a:ext>
          </a:extLst>
        </xdr:cNvPr>
        <xdr:cNvCxnSpPr/>
      </xdr:nvCxnSpPr>
      <xdr:spPr>
        <a:xfrm flipV="1">
          <a:off x="4667250" y="1552575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425</xdr:row>
      <xdr:rowOff>180975</xdr:rowOff>
    </xdr:from>
    <xdr:to>
      <xdr:col>18</xdr:col>
      <xdr:colOff>0</xdr:colOff>
      <xdr:row>425</xdr:row>
      <xdr:rowOff>180977</xdr:rowOff>
    </xdr:to>
    <xdr:cxnSp macro="">
      <xdr:nvCxnSpPr>
        <xdr:cNvPr id="518" name="Straight Connector 517">
          <a:extLst>
            <a:ext uri="{FF2B5EF4-FFF2-40B4-BE49-F238E27FC236}">
              <a16:creationId xmlns:a16="http://schemas.microsoft.com/office/drawing/2014/main" id="{00000000-0008-0000-0F00-000006020000}"/>
            </a:ext>
          </a:extLst>
        </xdr:cNvPr>
        <xdr:cNvCxnSpPr/>
      </xdr:nvCxnSpPr>
      <xdr:spPr>
        <a:xfrm flipV="1">
          <a:off x="4638675" y="1571625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450</xdr:row>
      <xdr:rowOff>180975</xdr:rowOff>
    </xdr:from>
    <xdr:to>
      <xdr:col>6</xdr:col>
      <xdr:colOff>0</xdr:colOff>
      <xdr:row>450</xdr:row>
      <xdr:rowOff>180977</xdr:rowOff>
    </xdr:to>
    <xdr:cxnSp macro="">
      <xdr:nvCxnSpPr>
        <xdr:cNvPr id="519" name="Straight Connector 518">
          <a:extLst>
            <a:ext uri="{FF2B5EF4-FFF2-40B4-BE49-F238E27FC236}">
              <a16:creationId xmlns:a16="http://schemas.microsoft.com/office/drawing/2014/main" id="{00000000-0008-0000-0F00-000007020000}"/>
            </a:ext>
          </a:extLst>
        </xdr:cNvPr>
        <xdr:cNvCxnSpPr/>
      </xdr:nvCxnSpPr>
      <xdr:spPr>
        <a:xfrm flipV="1">
          <a:off x="307208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451</xdr:row>
      <xdr:rowOff>190500</xdr:rowOff>
    </xdr:from>
    <xdr:to>
      <xdr:col>6</xdr:col>
      <xdr:colOff>0</xdr:colOff>
      <xdr:row>451</xdr:row>
      <xdr:rowOff>190502</xdr:rowOff>
    </xdr:to>
    <xdr:cxnSp macro="">
      <xdr:nvCxnSpPr>
        <xdr:cNvPr id="520" name="Straight Connector 519">
          <a:extLst>
            <a:ext uri="{FF2B5EF4-FFF2-40B4-BE49-F238E27FC236}">
              <a16:creationId xmlns:a16="http://schemas.microsoft.com/office/drawing/2014/main" id="{00000000-0008-0000-0F00-000008020000}"/>
            </a:ext>
          </a:extLst>
        </xdr:cNvPr>
        <xdr:cNvCxnSpPr/>
      </xdr:nvCxnSpPr>
      <xdr:spPr>
        <a:xfrm flipV="1">
          <a:off x="295275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452</xdr:row>
      <xdr:rowOff>180975</xdr:rowOff>
    </xdr:from>
    <xdr:to>
      <xdr:col>5</xdr:col>
      <xdr:colOff>409575</xdr:colOff>
      <xdr:row>452</xdr:row>
      <xdr:rowOff>180977</xdr:rowOff>
    </xdr:to>
    <xdr:cxnSp macro="">
      <xdr:nvCxnSpPr>
        <xdr:cNvPr id="521" name="Straight Connector 520">
          <a:extLst>
            <a:ext uri="{FF2B5EF4-FFF2-40B4-BE49-F238E27FC236}">
              <a16:creationId xmlns:a16="http://schemas.microsoft.com/office/drawing/2014/main" id="{00000000-0008-0000-0F00-000009020000}"/>
            </a:ext>
          </a:extLst>
        </xdr:cNvPr>
        <xdr:cNvCxnSpPr/>
      </xdr:nvCxnSpPr>
      <xdr:spPr>
        <a:xfrm flipV="1">
          <a:off x="304800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453</xdr:row>
      <xdr:rowOff>180975</xdr:rowOff>
    </xdr:from>
    <xdr:to>
      <xdr:col>6</xdr:col>
      <xdr:colOff>0</xdr:colOff>
      <xdr:row>453</xdr:row>
      <xdr:rowOff>180977</xdr:rowOff>
    </xdr:to>
    <xdr:cxnSp macro="">
      <xdr:nvCxnSpPr>
        <xdr:cNvPr id="522" name="Straight Connector 521">
          <a:extLst>
            <a:ext uri="{FF2B5EF4-FFF2-40B4-BE49-F238E27FC236}">
              <a16:creationId xmlns:a16="http://schemas.microsoft.com/office/drawing/2014/main" id="{00000000-0008-0000-0F00-00000A020000}"/>
            </a:ext>
          </a:extLst>
        </xdr:cNvPr>
        <xdr:cNvCxnSpPr/>
      </xdr:nvCxnSpPr>
      <xdr:spPr>
        <a:xfrm flipV="1">
          <a:off x="276225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450</xdr:row>
      <xdr:rowOff>180975</xdr:rowOff>
    </xdr:from>
    <xdr:to>
      <xdr:col>12</xdr:col>
      <xdr:colOff>0</xdr:colOff>
      <xdr:row>450</xdr:row>
      <xdr:rowOff>180977</xdr:rowOff>
    </xdr:to>
    <xdr:cxnSp macro="">
      <xdr:nvCxnSpPr>
        <xdr:cNvPr id="523" name="Straight Connector 522">
          <a:extLst>
            <a:ext uri="{FF2B5EF4-FFF2-40B4-BE49-F238E27FC236}">
              <a16:creationId xmlns:a16="http://schemas.microsoft.com/office/drawing/2014/main" id="{00000000-0008-0000-0F00-00000B020000}"/>
            </a:ext>
          </a:extLst>
        </xdr:cNvPr>
        <xdr:cNvCxnSpPr/>
      </xdr:nvCxnSpPr>
      <xdr:spPr>
        <a:xfrm flipV="1">
          <a:off x="2488433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451</xdr:row>
      <xdr:rowOff>190500</xdr:rowOff>
    </xdr:from>
    <xdr:to>
      <xdr:col>12</xdr:col>
      <xdr:colOff>0</xdr:colOff>
      <xdr:row>451</xdr:row>
      <xdr:rowOff>190502</xdr:rowOff>
    </xdr:to>
    <xdr:cxnSp macro="">
      <xdr:nvCxnSpPr>
        <xdr:cNvPr id="524" name="Straight Connector 523">
          <a:extLst>
            <a:ext uri="{FF2B5EF4-FFF2-40B4-BE49-F238E27FC236}">
              <a16:creationId xmlns:a16="http://schemas.microsoft.com/office/drawing/2014/main" id="{00000000-0008-0000-0F00-00000C020000}"/>
            </a:ext>
          </a:extLst>
        </xdr:cNvPr>
        <xdr:cNvCxnSpPr/>
      </xdr:nvCxnSpPr>
      <xdr:spPr>
        <a:xfrm flipV="1">
          <a:off x="2476500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452</xdr:row>
      <xdr:rowOff>180975</xdr:rowOff>
    </xdr:from>
    <xdr:to>
      <xdr:col>11</xdr:col>
      <xdr:colOff>409575</xdr:colOff>
      <xdr:row>452</xdr:row>
      <xdr:rowOff>180977</xdr:rowOff>
    </xdr:to>
    <xdr:cxnSp macro="">
      <xdr:nvCxnSpPr>
        <xdr:cNvPr id="525" name="Straight Connector 524">
          <a:extLst>
            <a:ext uri="{FF2B5EF4-FFF2-40B4-BE49-F238E27FC236}">
              <a16:creationId xmlns:a16="http://schemas.microsoft.com/office/drawing/2014/main" id="{00000000-0008-0000-0F00-00000D020000}"/>
            </a:ext>
          </a:extLst>
        </xdr:cNvPr>
        <xdr:cNvCxnSpPr/>
      </xdr:nvCxnSpPr>
      <xdr:spPr>
        <a:xfrm flipV="1">
          <a:off x="2486025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453</xdr:row>
      <xdr:rowOff>180975</xdr:rowOff>
    </xdr:from>
    <xdr:to>
      <xdr:col>12</xdr:col>
      <xdr:colOff>0</xdr:colOff>
      <xdr:row>453</xdr:row>
      <xdr:rowOff>180977</xdr:rowOff>
    </xdr:to>
    <xdr:cxnSp macro="">
      <xdr:nvCxnSpPr>
        <xdr:cNvPr id="526" name="Straight Connector 525">
          <a:extLst>
            <a:ext uri="{FF2B5EF4-FFF2-40B4-BE49-F238E27FC236}">
              <a16:creationId xmlns:a16="http://schemas.microsoft.com/office/drawing/2014/main" id="{00000000-0008-0000-0F00-00000E020000}"/>
            </a:ext>
          </a:extLst>
        </xdr:cNvPr>
        <xdr:cNvCxnSpPr/>
      </xdr:nvCxnSpPr>
      <xdr:spPr>
        <a:xfrm flipV="1">
          <a:off x="2457450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450</xdr:row>
      <xdr:rowOff>180975</xdr:rowOff>
    </xdr:from>
    <xdr:to>
      <xdr:col>18</xdr:col>
      <xdr:colOff>0</xdr:colOff>
      <xdr:row>450</xdr:row>
      <xdr:rowOff>180977</xdr:rowOff>
    </xdr:to>
    <xdr:cxnSp macro="">
      <xdr:nvCxnSpPr>
        <xdr:cNvPr id="527" name="Straight Connector 526">
          <a:extLst>
            <a:ext uri="{FF2B5EF4-FFF2-40B4-BE49-F238E27FC236}">
              <a16:creationId xmlns:a16="http://schemas.microsoft.com/office/drawing/2014/main" id="{00000000-0008-0000-0F00-00000F020000}"/>
            </a:ext>
          </a:extLst>
        </xdr:cNvPr>
        <xdr:cNvCxnSpPr/>
      </xdr:nvCxnSpPr>
      <xdr:spPr>
        <a:xfrm flipV="1">
          <a:off x="4669658" y="2039302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451</xdr:row>
      <xdr:rowOff>190500</xdr:rowOff>
    </xdr:from>
    <xdr:to>
      <xdr:col>18</xdr:col>
      <xdr:colOff>0</xdr:colOff>
      <xdr:row>451</xdr:row>
      <xdr:rowOff>190502</xdr:rowOff>
    </xdr:to>
    <xdr:cxnSp macro="">
      <xdr:nvCxnSpPr>
        <xdr:cNvPr id="528" name="Straight Connector 527">
          <a:extLst>
            <a:ext uri="{FF2B5EF4-FFF2-40B4-BE49-F238E27FC236}">
              <a16:creationId xmlns:a16="http://schemas.microsoft.com/office/drawing/2014/main" id="{00000000-0008-0000-0F00-000010020000}"/>
            </a:ext>
          </a:extLst>
        </xdr:cNvPr>
        <xdr:cNvCxnSpPr/>
      </xdr:nvCxnSpPr>
      <xdr:spPr>
        <a:xfrm flipV="1">
          <a:off x="4657725" y="2059305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452</xdr:row>
      <xdr:rowOff>180975</xdr:rowOff>
    </xdr:from>
    <xdr:to>
      <xdr:col>17</xdr:col>
      <xdr:colOff>409575</xdr:colOff>
      <xdr:row>452</xdr:row>
      <xdr:rowOff>180977</xdr:rowOff>
    </xdr:to>
    <xdr:cxnSp macro="">
      <xdr:nvCxnSpPr>
        <xdr:cNvPr id="529" name="Straight Connector 528">
          <a:extLst>
            <a:ext uri="{FF2B5EF4-FFF2-40B4-BE49-F238E27FC236}">
              <a16:creationId xmlns:a16="http://schemas.microsoft.com/office/drawing/2014/main" id="{00000000-0008-0000-0F00-000011020000}"/>
            </a:ext>
          </a:extLst>
        </xdr:cNvPr>
        <xdr:cNvCxnSpPr/>
      </xdr:nvCxnSpPr>
      <xdr:spPr>
        <a:xfrm flipV="1">
          <a:off x="4667250" y="2077402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453</xdr:row>
      <xdr:rowOff>180975</xdr:rowOff>
    </xdr:from>
    <xdr:to>
      <xdr:col>18</xdr:col>
      <xdr:colOff>0</xdr:colOff>
      <xdr:row>453</xdr:row>
      <xdr:rowOff>180977</xdr:rowOff>
    </xdr:to>
    <xdr:cxnSp macro="">
      <xdr:nvCxnSpPr>
        <xdr:cNvPr id="530" name="Straight Connector 529">
          <a:extLst>
            <a:ext uri="{FF2B5EF4-FFF2-40B4-BE49-F238E27FC236}">
              <a16:creationId xmlns:a16="http://schemas.microsoft.com/office/drawing/2014/main" id="{00000000-0008-0000-0F00-000012020000}"/>
            </a:ext>
          </a:extLst>
        </xdr:cNvPr>
        <xdr:cNvCxnSpPr/>
      </xdr:nvCxnSpPr>
      <xdr:spPr>
        <a:xfrm flipV="1">
          <a:off x="4638675" y="2096452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479</xdr:row>
      <xdr:rowOff>180975</xdr:rowOff>
    </xdr:from>
    <xdr:to>
      <xdr:col>6</xdr:col>
      <xdr:colOff>0</xdr:colOff>
      <xdr:row>479</xdr:row>
      <xdr:rowOff>180977</xdr:rowOff>
    </xdr:to>
    <xdr:cxnSp macro="">
      <xdr:nvCxnSpPr>
        <xdr:cNvPr id="531" name="Straight Connector 530">
          <a:extLst>
            <a:ext uri="{FF2B5EF4-FFF2-40B4-BE49-F238E27FC236}">
              <a16:creationId xmlns:a16="http://schemas.microsoft.com/office/drawing/2014/main" id="{00000000-0008-0000-0F00-000013020000}"/>
            </a:ext>
          </a:extLst>
        </xdr:cNvPr>
        <xdr:cNvCxnSpPr/>
      </xdr:nvCxnSpPr>
      <xdr:spPr>
        <a:xfrm flipV="1">
          <a:off x="307208" y="7863840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480</xdr:row>
      <xdr:rowOff>190500</xdr:rowOff>
    </xdr:from>
    <xdr:to>
      <xdr:col>6</xdr:col>
      <xdr:colOff>0</xdr:colOff>
      <xdr:row>480</xdr:row>
      <xdr:rowOff>190502</xdr:rowOff>
    </xdr:to>
    <xdr:cxnSp macro="">
      <xdr:nvCxnSpPr>
        <xdr:cNvPr id="532" name="Straight Connector 531">
          <a:extLst>
            <a:ext uri="{FF2B5EF4-FFF2-40B4-BE49-F238E27FC236}">
              <a16:creationId xmlns:a16="http://schemas.microsoft.com/office/drawing/2014/main" id="{00000000-0008-0000-0F00-000014020000}"/>
            </a:ext>
          </a:extLst>
        </xdr:cNvPr>
        <xdr:cNvCxnSpPr/>
      </xdr:nvCxnSpPr>
      <xdr:spPr>
        <a:xfrm flipV="1">
          <a:off x="295275" y="7883842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481</xdr:row>
      <xdr:rowOff>180975</xdr:rowOff>
    </xdr:from>
    <xdr:to>
      <xdr:col>5</xdr:col>
      <xdr:colOff>409575</xdr:colOff>
      <xdr:row>481</xdr:row>
      <xdr:rowOff>180977</xdr:rowOff>
    </xdr:to>
    <xdr:cxnSp macro="">
      <xdr:nvCxnSpPr>
        <xdr:cNvPr id="533" name="Straight Connector 532">
          <a:extLst>
            <a:ext uri="{FF2B5EF4-FFF2-40B4-BE49-F238E27FC236}">
              <a16:creationId xmlns:a16="http://schemas.microsoft.com/office/drawing/2014/main" id="{00000000-0008-0000-0F00-000015020000}"/>
            </a:ext>
          </a:extLst>
        </xdr:cNvPr>
        <xdr:cNvCxnSpPr/>
      </xdr:nvCxnSpPr>
      <xdr:spPr>
        <a:xfrm flipV="1">
          <a:off x="304800" y="7901940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482</xdr:row>
      <xdr:rowOff>180975</xdr:rowOff>
    </xdr:from>
    <xdr:to>
      <xdr:col>6</xdr:col>
      <xdr:colOff>0</xdr:colOff>
      <xdr:row>482</xdr:row>
      <xdr:rowOff>180977</xdr:rowOff>
    </xdr:to>
    <xdr:cxnSp macro="">
      <xdr:nvCxnSpPr>
        <xdr:cNvPr id="534" name="Straight Connector 533">
          <a:extLst>
            <a:ext uri="{FF2B5EF4-FFF2-40B4-BE49-F238E27FC236}">
              <a16:creationId xmlns:a16="http://schemas.microsoft.com/office/drawing/2014/main" id="{00000000-0008-0000-0F00-000016020000}"/>
            </a:ext>
          </a:extLst>
        </xdr:cNvPr>
        <xdr:cNvCxnSpPr/>
      </xdr:nvCxnSpPr>
      <xdr:spPr>
        <a:xfrm flipV="1">
          <a:off x="276225" y="7920990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479</xdr:row>
      <xdr:rowOff>180975</xdr:rowOff>
    </xdr:from>
    <xdr:to>
      <xdr:col>12</xdr:col>
      <xdr:colOff>0</xdr:colOff>
      <xdr:row>479</xdr:row>
      <xdr:rowOff>180977</xdr:rowOff>
    </xdr:to>
    <xdr:cxnSp macro="">
      <xdr:nvCxnSpPr>
        <xdr:cNvPr id="535" name="Straight Connector 534">
          <a:extLst>
            <a:ext uri="{FF2B5EF4-FFF2-40B4-BE49-F238E27FC236}">
              <a16:creationId xmlns:a16="http://schemas.microsoft.com/office/drawing/2014/main" id="{00000000-0008-0000-0F00-000017020000}"/>
            </a:ext>
          </a:extLst>
        </xdr:cNvPr>
        <xdr:cNvCxnSpPr/>
      </xdr:nvCxnSpPr>
      <xdr:spPr>
        <a:xfrm flipV="1">
          <a:off x="2488433" y="7863840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480</xdr:row>
      <xdr:rowOff>190500</xdr:rowOff>
    </xdr:from>
    <xdr:to>
      <xdr:col>12</xdr:col>
      <xdr:colOff>0</xdr:colOff>
      <xdr:row>480</xdr:row>
      <xdr:rowOff>190502</xdr:rowOff>
    </xdr:to>
    <xdr:cxnSp macro="">
      <xdr:nvCxnSpPr>
        <xdr:cNvPr id="536" name="Straight Connector 535">
          <a:extLst>
            <a:ext uri="{FF2B5EF4-FFF2-40B4-BE49-F238E27FC236}">
              <a16:creationId xmlns:a16="http://schemas.microsoft.com/office/drawing/2014/main" id="{00000000-0008-0000-0F00-000018020000}"/>
            </a:ext>
          </a:extLst>
        </xdr:cNvPr>
        <xdr:cNvCxnSpPr/>
      </xdr:nvCxnSpPr>
      <xdr:spPr>
        <a:xfrm flipV="1">
          <a:off x="2476500" y="7883842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481</xdr:row>
      <xdr:rowOff>180975</xdr:rowOff>
    </xdr:from>
    <xdr:to>
      <xdr:col>11</xdr:col>
      <xdr:colOff>409575</xdr:colOff>
      <xdr:row>481</xdr:row>
      <xdr:rowOff>180977</xdr:rowOff>
    </xdr:to>
    <xdr:cxnSp macro="">
      <xdr:nvCxnSpPr>
        <xdr:cNvPr id="537" name="Straight Connector 536">
          <a:extLst>
            <a:ext uri="{FF2B5EF4-FFF2-40B4-BE49-F238E27FC236}">
              <a16:creationId xmlns:a16="http://schemas.microsoft.com/office/drawing/2014/main" id="{00000000-0008-0000-0F00-000019020000}"/>
            </a:ext>
          </a:extLst>
        </xdr:cNvPr>
        <xdr:cNvCxnSpPr/>
      </xdr:nvCxnSpPr>
      <xdr:spPr>
        <a:xfrm flipV="1">
          <a:off x="2486025" y="7901940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482</xdr:row>
      <xdr:rowOff>180975</xdr:rowOff>
    </xdr:from>
    <xdr:to>
      <xdr:col>12</xdr:col>
      <xdr:colOff>0</xdr:colOff>
      <xdr:row>482</xdr:row>
      <xdr:rowOff>180977</xdr:rowOff>
    </xdr:to>
    <xdr:cxnSp macro="">
      <xdr:nvCxnSpPr>
        <xdr:cNvPr id="538" name="Straight Connector 537">
          <a:extLst>
            <a:ext uri="{FF2B5EF4-FFF2-40B4-BE49-F238E27FC236}">
              <a16:creationId xmlns:a16="http://schemas.microsoft.com/office/drawing/2014/main" id="{00000000-0008-0000-0F00-00001A020000}"/>
            </a:ext>
          </a:extLst>
        </xdr:cNvPr>
        <xdr:cNvCxnSpPr/>
      </xdr:nvCxnSpPr>
      <xdr:spPr>
        <a:xfrm flipV="1">
          <a:off x="2457450" y="7920990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479</xdr:row>
      <xdr:rowOff>180975</xdr:rowOff>
    </xdr:from>
    <xdr:to>
      <xdr:col>18</xdr:col>
      <xdr:colOff>0</xdr:colOff>
      <xdr:row>479</xdr:row>
      <xdr:rowOff>180977</xdr:rowOff>
    </xdr:to>
    <xdr:cxnSp macro="">
      <xdr:nvCxnSpPr>
        <xdr:cNvPr id="539" name="Straight Connector 538">
          <a:extLst>
            <a:ext uri="{FF2B5EF4-FFF2-40B4-BE49-F238E27FC236}">
              <a16:creationId xmlns:a16="http://schemas.microsoft.com/office/drawing/2014/main" id="{00000000-0008-0000-0F00-00001B020000}"/>
            </a:ext>
          </a:extLst>
        </xdr:cNvPr>
        <xdr:cNvCxnSpPr/>
      </xdr:nvCxnSpPr>
      <xdr:spPr>
        <a:xfrm flipV="1">
          <a:off x="4669658" y="78638400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480</xdr:row>
      <xdr:rowOff>190500</xdr:rowOff>
    </xdr:from>
    <xdr:to>
      <xdr:col>18</xdr:col>
      <xdr:colOff>0</xdr:colOff>
      <xdr:row>480</xdr:row>
      <xdr:rowOff>190502</xdr:rowOff>
    </xdr:to>
    <xdr:cxnSp macro="">
      <xdr:nvCxnSpPr>
        <xdr:cNvPr id="540" name="Straight Connector 539">
          <a:extLst>
            <a:ext uri="{FF2B5EF4-FFF2-40B4-BE49-F238E27FC236}">
              <a16:creationId xmlns:a16="http://schemas.microsoft.com/office/drawing/2014/main" id="{00000000-0008-0000-0F00-00001C020000}"/>
            </a:ext>
          </a:extLst>
        </xdr:cNvPr>
        <xdr:cNvCxnSpPr/>
      </xdr:nvCxnSpPr>
      <xdr:spPr>
        <a:xfrm flipV="1">
          <a:off x="4657725" y="78838425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481</xdr:row>
      <xdr:rowOff>180975</xdr:rowOff>
    </xdr:from>
    <xdr:to>
      <xdr:col>17</xdr:col>
      <xdr:colOff>409575</xdr:colOff>
      <xdr:row>481</xdr:row>
      <xdr:rowOff>180977</xdr:rowOff>
    </xdr:to>
    <xdr:cxnSp macro="">
      <xdr:nvCxnSpPr>
        <xdr:cNvPr id="541" name="Straight Connector 540">
          <a:extLst>
            <a:ext uri="{FF2B5EF4-FFF2-40B4-BE49-F238E27FC236}">
              <a16:creationId xmlns:a16="http://schemas.microsoft.com/office/drawing/2014/main" id="{00000000-0008-0000-0F00-00001D020000}"/>
            </a:ext>
          </a:extLst>
        </xdr:cNvPr>
        <xdr:cNvCxnSpPr/>
      </xdr:nvCxnSpPr>
      <xdr:spPr>
        <a:xfrm flipV="1">
          <a:off x="4667250" y="79019400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482</xdr:row>
      <xdr:rowOff>180975</xdr:rowOff>
    </xdr:from>
    <xdr:to>
      <xdr:col>18</xdr:col>
      <xdr:colOff>0</xdr:colOff>
      <xdr:row>482</xdr:row>
      <xdr:rowOff>180977</xdr:rowOff>
    </xdr:to>
    <xdr:cxnSp macro="">
      <xdr:nvCxnSpPr>
        <xdr:cNvPr id="542" name="Straight Connector 541">
          <a:extLst>
            <a:ext uri="{FF2B5EF4-FFF2-40B4-BE49-F238E27FC236}">
              <a16:creationId xmlns:a16="http://schemas.microsoft.com/office/drawing/2014/main" id="{00000000-0008-0000-0F00-00001E020000}"/>
            </a:ext>
          </a:extLst>
        </xdr:cNvPr>
        <xdr:cNvCxnSpPr/>
      </xdr:nvCxnSpPr>
      <xdr:spPr>
        <a:xfrm flipV="1">
          <a:off x="4638675" y="79209900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507</xdr:row>
      <xdr:rowOff>180975</xdr:rowOff>
    </xdr:from>
    <xdr:to>
      <xdr:col>6</xdr:col>
      <xdr:colOff>0</xdr:colOff>
      <xdr:row>507</xdr:row>
      <xdr:rowOff>180977</xdr:rowOff>
    </xdr:to>
    <xdr:cxnSp macro="">
      <xdr:nvCxnSpPr>
        <xdr:cNvPr id="543" name="Straight Connector 542">
          <a:extLst>
            <a:ext uri="{FF2B5EF4-FFF2-40B4-BE49-F238E27FC236}">
              <a16:creationId xmlns:a16="http://schemas.microsoft.com/office/drawing/2014/main" id="{00000000-0008-0000-0F00-00001F020000}"/>
            </a:ext>
          </a:extLst>
        </xdr:cNvPr>
        <xdr:cNvCxnSpPr/>
      </xdr:nvCxnSpPr>
      <xdr:spPr>
        <a:xfrm flipV="1">
          <a:off x="307208" y="838866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508</xdr:row>
      <xdr:rowOff>190500</xdr:rowOff>
    </xdr:from>
    <xdr:to>
      <xdr:col>6</xdr:col>
      <xdr:colOff>0</xdr:colOff>
      <xdr:row>508</xdr:row>
      <xdr:rowOff>190502</xdr:rowOff>
    </xdr:to>
    <xdr:cxnSp macro="">
      <xdr:nvCxnSpPr>
        <xdr:cNvPr id="544" name="Straight Connector 543">
          <a:extLst>
            <a:ext uri="{FF2B5EF4-FFF2-40B4-BE49-F238E27FC236}">
              <a16:creationId xmlns:a16="http://schemas.microsoft.com/office/drawing/2014/main" id="{00000000-0008-0000-0F00-000020020000}"/>
            </a:ext>
          </a:extLst>
        </xdr:cNvPr>
        <xdr:cNvCxnSpPr/>
      </xdr:nvCxnSpPr>
      <xdr:spPr>
        <a:xfrm flipV="1">
          <a:off x="295275" y="840867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509</xdr:row>
      <xdr:rowOff>180975</xdr:rowOff>
    </xdr:from>
    <xdr:to>
      <xdr:col>5</xdr:col>
      <xdr:colOff>409575</xdr:colOff>
      <xdr:row>509</xdr:row>
      <xdr:rowOff>180977</xdr:rowOff>
    </xdr:to>
    <xdr:cxnSp macro="">
      <xdr:nvCxnSpPr>
        <xdr:cNvPr id="545" name="Straight Connector 544">
          <a:extLst>
            <a:ext uri="{FF2B5EF4-FFF2-40B4-BE49-F238E27FC236}">
              <a16:creationId xmlns:a16="http://schemas.microsoft.com/office/drawing/2014/main" id="{00000000-0008-0000-0F00-000021020000}"/>
            </a:ext>
          </a:extLst>
        </xdr:cNvPr>
        <xdr:cNvCxnSpPr/>
      </xdr:nvCxnSpPr>
      <xdr:spPr>
        <a:xfrm flipV="1">
          <a:off x="304800" y="842676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510</xdr:row>
      <xdr:rowOff>180975</xdr:rowOff>
    </xdr:from>
    <xdr:to>
      <xdr:col>6</xdr:col>
      <xdr:colOff>0</xdr:colOff>
      <xdr:row>510</xdr:row>
      <xdr:rowOff>180977</xdr:rowOff>
    </xdr:to>
    <xdr:cxnSp macro="">
      <xdr:nvCxnSpPr>
        <xdr:cNvPr id="546" name="Straight Connector 545">
          <a:extLst>
            <a:ext uri="{FF2B5EF4-FFF2-40B4-BE49-F238E27FC236}">
              <a16:creationId xmlns:a16="http://schemas.microsoft.com/office/drawing/2014/main" id="{00000000-0008-0000-0F00-000022020000}"/>
            </a:ext>
          </a:extLst>
        </xdr:cNvPr>
        <xdr:cNvCxnSpPr/>
      </xdr:nvCxnSpPr>
      <xdr:spPr>
        <a:xfrm flipV="1">
          <a:off x="276225" y="844581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507</xdr:row>
      <xdr:rowOff>180975</xdr:rowOff>
    </xdr:from>
    <xdr:to>
      <xdr:col>12</xdr:col>
      <xdr:colOff>0</xdr:colOff>
      <xdr:row>507</xdr:row>
      <xdr:rowOff>180977</xdr:rowOff>
    </xdr:to>
    <xdr:cxnSp macro="">
      <xdr:nvCxnSpPr>
        <xdr:cNvPr id="547" name="Straight Connector 546">
          <a:extLst>
            <a:ext uri="{FF2B5EF4-FFF2-40B4-BE49-F238E27FC236}">
              <a16:creationId xmlns:a16="http://schemas.microsoft.com/office/drawing/2014/main" id="{00000000-0008-0000-0F00-000023020000}"/>
            </a:ext>
          </a:extLst>
        </xdr:cNvPr>
        <xdr:cNvCxnSpPr/>
      </xdr:nvCxnSpPr>
      <xdr:spPr>
        <a:xfrm flipV="1">
          <a:off x="2488433" y="838866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508</xdr:row>
      <xdr:rowOff>190500</xdr:rowOff>
    </xdr:from>
    <xdr:to>
      <xdr:col>12</xdr:col>
      <xdr:colOff>0</xdr:colOff>
      <xdr:row>508</xdr:row>
      <xdr:rowOff>190502</xdr:rowOff>
    </xdr:to>
    <xdr:cxnSp macro="">
      <xdr:nvCxnSpPr>
        <xdr:cNvPr id="548" name="Straight Connector 547">
          <a:extLst>
            <a:ext uri="{FF2B5EF4-FFF2-40B4-BE49-F238E27FC236}">
              <a16:creationId xmlns:a16="http://schemas.microsoft.com/office/drawing/2014/main" id="{00000000-0008-0000-0F00-000024020000}"/>
            </a:ext>
          </a:extLst>
        </xdr:cNvPr>
        <xdr:cNvCxnSpPr/>
      </xdr:nvCxnSpPr>
      <xdr:spPr>
        <a:xfrm flipV="1">
          <a:off x="2476500" y="840867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509</xdr:row>
      <xdr:rowOff>180975</xdr:rowOff>
    </xdr:from>
    <xdr:to>
      <xdr:col>11</xdr:col>
      <xdr:colOff>409575</xdr:colOff>
      <xdr:row>509</xdr:row>
      <xdr:rowOff>180977</xdr:rowOff>
    </xdr:to>
    <xdr:cxnSp macro="">
      <xdr:nvCxnSpPr>
        <xdr:cNvPr id="549" name="Straight Connector 548">
          <a:extLst>
            <a:ext uri="{FF2B5EF4-FFF2-40B4-BE49-F238E27FC236}">
              <a16:creationId xmlns:a16="http://schemas.microsoft.com/office/drawing/2014/main" id="{00000000-0008-0000-0F00-000025020000}"/>
            </a:ext>
          </a:extLst>
        </xdr:cNvPr>
        <xdr:cNvCxnSpPr/>
      </xdr:nvCxnSpPr>
      <xdr:spPr>
        <a:xfrm flipV="1">
          <a:off x="2486025" y="842676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510</xdr:row>
      <xdr:rowOff>180975</xdr:rowOff>
    </xdr:from>
    <xdr:to>
      <xdr:col>12</xdr:col>
      <xdr:colOff>0</xdr:colOff>
      <xdr:row>510</xdr:row>
      <xdr:rowOff>180977</xdr:rowOff>
    </xdr:to>
    <xdr:cxnSp macro="">
      <xdr:nvCxnSpPr>
        <xdr:cNvPr id="550" name="Straight Connector 549">
          <a:extLst>
            <a:ext uri="{FF2B5EF4-FFF2-40B4-BE49-F238E27FC236}">
              <a16:creationId xmlns:a16="http://schemas.microsoft.com/office/drawing/2014/main" id="{00000000-0008-0000-0F00-000026020000}"/>
            </a:ext>
          </a:extLst>
        </xdr:cNvPr>
        <xdr:cNvCxnSpPr/>
      </xdr:nvCxnSpPr>
      <xdr:spPr>
        <a:xfrm flipV="1">
          <a:off x="2457450" y="844581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507</xdr:row>
      <xdr:rowOff>180975</xdr:rowOff>
    </xdr:from>
    <xdr:to>
      <xdr:col>18</xdr:col>
      <xdr:colOff>0</xdr:colOff>
      <xdr:row>507</xdr:row>
      <xdr:rowOff>180977</xdr:rowOff>
    </xdr:to>
    <xdr:cxnSp macro="">
      <xdr:nvCxnSpPr>
        <xdr:cNvPr id="551" name="Straight Connector 550">
          <a:extLst>
            <a:ext uri="{FF2B5EF4-FFF2-40B4-BE49-F238E27FC236}">
              <a16:creationId xmlns:a16="http://schemas.microsoft.com/office/drawing/2014/main" id="{00000000-0008-0000-0F00-000027020000}"/>
            </a:ext>
          </a:extLst>
        </xdr:cNvPr>
        <xdr:cNvCxnSpPr/>
      </xdr:nvCxnSpPr>
      <xdr:spPr>
        <a:xfrm flipV="1">
          <a:off x="4669658" y="83886675"/>
          <a:ext cx="18740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508</xdr:row>
      <xdr:rowOff>190500</xdr:rowOff>
    </xdr:from>
    <xdr:to>
      <xdr:col>18</xdr:col>
      <xdr:colOff>0</xdr:colOff>
      <xdr:row>508</xdr:row>
      <xdr:rowOff>190502</xdr:rowOff>
    </xdr:to>
    <xdr:cxnSp macro="">
      <xdr:nvCxnSpPr>
        <xdr:cNvPr id="552" name="Straight Connector 551">
          <a:extLst>
            <a:ext uri="{FF2B5EF4-FFF2-40B4-BE49-F238E27FC236}">
              <a16:creationId xmlns:a16="http://schemas.microsoft.com/office/drawing/2014/main" id="{00000000-0008-0000-0F00-000028020000}"/>
            </a:ext>
          </a:extLst>
        </xdr:cNvPr>
        <xdr:cNvCxnSpPr/>
      </xdr:nvCxnSpPr>
      <xdr:spPr>
        <a:xfrm flipV="1">
          <a:off x="4657725" y="84086700"/>
          <a:ext cx="18859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509</xdr:row>
      <xdr:rowOff>180975</xdr:rowOff>
    </xdr:from>
    <xdr:to>
      <xdr:col>17</xdr:col>
      <xdr:colOff>409575</xdr:colOff>
      <xdr:row>509</xdr:row>
      <xdr:rowOff>180977</xdr:rowOff>
    </xdr:to>
    <xdr:cxnSp macro="">
      <xdr:nvCxnSpPr>
        <xdr:cNvPr id="553" name="Straight Connector 552">
          <a:extLst>
            <a:ext uri="{FF2B5EF4-FFF2-40B4-BE49-F238E27FC236}">
              <a16:creationId xmlns:a16="http://schemas.microsoft.com/office/drawing/2014/main" id="{00000000-0008-0000-0F00-000029020000}"/>
            </a:ext>
          </a:extLst>
        </xdr:cNvPr>
        <xdr:cNvCxnSpPr/>
      </xdr:nvCxnSpPr>
      <xdr:spPr>
        <a:xfrm flipV="1">
          <a:off x="4667250" y="84267675"/>
          <a:ext cx="18669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510</xdr:row>
      <xdr:rowOff>180975</xdr:rowOff>
    </xdr:from>
    <xdr:to>
      <xdr:col>18</xdr:col>
      <xdr:colOff>0</xdr:colOff>
      <xdr:row>510</xdr:row>
      <xdr:rowOff>180977</xdr:rowOff>
    </xdr:to>
    <xdr:cxnSp macro="">
      <xdr:nvCxnSpPr>
        <xdr:cNvPr id="554" name="Straight Connector 553">
          <a:extLst>
            <a:ext uri="{FF2B5EF4-FFF2-40B4-BE49-F238E27FC236}">
              <a16:creationId xmlns:a16="http://schemas.microsoft.com/office/drawing/2014/main" id="{00000000-0008-0000-0F00-00002A020000}"/>
            </a:ext>
          </a:extLst>
        </xdr:cNvPr>
        <xdr:cNvCxnSpPr/>
      </xdr:nvCxnSpPr>
      <xdr:spPr>
        <a:xfrm flipV="1">
          <a:off x="4638675" y="844581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514</xdr:row>
          <xdr:rowOff>76200</xdr:rowOff>
        </xdr:from>
        <xdr:to>
          <xdr:col>10</xdr:col>
          <xdr:colOff>335280</xdr:colOff>
          <xdr:row>515</xdr:row>
          <xdr:rowOff>121920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F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đầu trang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220980</xdr:colOff>
          <xdr:row>5</xdr:row>
          <xdr:rowOff>30480</xdr:rowOff>
        </xdr:from>
        <xdr:to>
          <xdr:col>22</xdr:col>
          <xdr:colOff>411480</xdr:colOff>
          <xdr:row>6</xdr:row>
          <xdr:rowOff>144780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F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213360</xdr:colOff>
          <xdr:row>3</xdr:row>
          <xdr:rowOff>76200</xdr:rowOff>
        </xdr:from>
        <xdr:to>
          <xdr:col>22</xdr:col>
          <xdr:colOff>403860</xdr:colOff>
          <xdr:row>4</xdr:row>
          <xdr:rowOff>182880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F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 điểm HKI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221483</xdr:colOff>
      <xdr:row>51</xdr:row>
      <xdr:rowOff>180975</xdr:rowOff>
    </xdr:from>
    <xdr:to>
      <xdr:col>6</xdr:col>
      <xdr:colOff>0</xdr:colOff>
      <xdr:row>51</xdr:row>
      <xdr:rowOff>180977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F00-0000DD00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52</xdr:row>
      <xdr:rowOff>190500</xdr:rowOff>
    </xdr:from>
    <xdr:to>
      <xdr:col>6</xdr:col>
      <xdr:colOff>0</xdr:colOff>
      <xdr:row>52</xdr:row>
      <xdr:rowOff>190502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F00-0000DE00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53</xdr:row>
      <xdr:rowOff>180975</xdr:rowOff>
    </xdr:from>
    <xdr:to>
      <xdr:col>5</xdr:col>
      <xdr:colOff>409575</xdr:colOff>
      <xdr:row>53</xdr:row>
      <xdr:rowOff>180977</xdr:rowOff>
    </xdr:to>
    <xdr:cxnSp macro="">
      <xdr:nvCxnSpPr>
        <xdr:cNvPr id="223" name="Straight Connector 222">
          <a:extLst>
            <a:ext uri="{FF2B5EF4-FFF2-40B4-BE49-F238E27FC236}">
              <a16:creationId xmlns:a16="http://schemas.microsoft.com/office/drawing/2014/main" id="{00000000-0008-0000-0F00-0000DF00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54</xdr:row>
      <xdr:rowOff>180975</xdr:rowOff>
    </xdr:from>
    <xdr:to>
      <xdr:col>6</xdr:col>
      <xdr:colOff>0</xdr:colOff>
      <xdr:row>54</xdr:row>
      <xdr:rowOff>180977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00000000-0008-0000-0F00-0000E000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51</xdr:row>
      <xdr:rowOff>180975</xdr:rowOff>
    </xdr:from>
    <xdr:to>
      <xdr:col>12</xdr:col>
      <xdr:colOff>0</xdr:colOff>
      <xdr:row>51</xdr:row>
      <xdr:rowOff>180977</xdr:rowOff>
    </xdr:to>
    <xdr:cxnSp macro="">
      <xdr:nvCxnSpPr>
        <xdr:cNvPr id="225" name="Straight Connector 224">
          <a:extLst>
            <a:ext uri="{FF2B5EF4-FFF2-40B4-BE49-F238E27FC236}">
              <a16:creationId xmlns:a16="http://schemas.microsoft.com/office/drawing/2014/main" id="{00000000-0008-0000-0F00-0000E100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52</xdr:row>
      <xdr:rowOff>190500</xdr:rowOff>
    </xdr:from>
    <xdr:to>
      <xdr:col>12</xdr:col>
      <xdr:colOff>0</xdr:colOff>
      <xdr:row>52</xdr:row>
      <xdr:rowOff>190502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F00-0000E200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53</xdr:row>
      <xdr:rowOff>180975</xdr:rowOff>
    </xdr:from>
    <xdr:to>
      <xdr:col>11</xdr:col>
      <xdr:colOff>409575</xdr:colOff>
      <xdr:row>53</xdr:row>
      <xdr:rowOff>180977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00000000-0008-0000-0F00-0000E300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54</xdr:row>
      <xdr:rowOff>180975</xdr:rowOff>
    </xdr:from>
    <xdr:to>
      <xdr:col>12</xdr:col>
      <xdr:colOff>0</xdr:colOff>
      <xdr:row>54</xdr:row>
      <xdr:rowOff>180977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F00-0000E400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51</xdr:row>
      <xdr:rowOff>180975</xdr:rowOff>
    </xdr:from>
    <xdr:to>
      <xdr:col>18</xdr:col>
      <xdr:colOff>0</xdr:colOff>
      <xdr:row>51</xdr:row>
      <xdr:rowOff>180977</xdr:rowOff>
    </xdr:to>
    <xdr:cxnSp macro="">
      <xdr:nvCxnSpPr>
        <xdr:cNvPr id="229" name="Straight Connector 228">
          <a:extLst>
            <a:ext uri="{FF2B5EF4-FFF2-40B4-BE49-F238E27FC236}">
              <a16:creationId xmlns:a16="http://schemas.microsoft.com/office/drawing/2014/main" id="{00000000-0008-0000-0F00-0000E500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52</xdr:row>
      <xdr:rowOff>190500</xdr:rowOff>
    </xdr:from>
    <xdr:to>
      <xdr:col>18</xdr:col>
      <xdr:colOff>0</xdr:colOff>
      <xdr:row>52</xdr:row>
      <xdr:rowOff>190502</xdr:rowOff>
    </xdr:to>
    <xdr:cxnSp macro="">
      <xdr:nvCxnSpPr>
        <xdr:cNvPr id="230" name="Straight Connector 229">
          <a:extLst>
            <a:ext uri="{FF2B5EF4-FFF2-40B4-BE49-F238E27FC236}">
              <a16:creationId xmlns:a16="http://schemas.microsoft.com/office/drawing/2014/main" id="{00000000-0008-0000-0F00-0000E600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53</xdr:row>
      <xdr:rowOff>180975</xdr:rowOff>
    </xdr:from>
    <xdr:to>
      <xdr:col>17</xdr:col>
      <xdr:colOff>409575</xdr:colOff>
      <xdr:row>53</xdr:row>
      <xdr:rowOff>180977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id="{00000000-0008-0000-0F00-0000E700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54</xdr:row>
      <xdr:rowOff>180975</xdr:rowOff>
    </xdr:from>
    <xdr:to>
      <xdr:col>18</xdr:col>
      <xdr:colOff>0</xdr:colOff>
      <xdr:row>54</xdr:row>
      <xdr:rowOff>180977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00000000-0008-0000-0F00-0000E800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80</xdr:row>
      <xdr:rowOff>180975</xdr:rowOff>
    </xdr:from>
    <xdr:to>
      <xdr:col>6</xdr:col>
      <xdr:colOff>0</xdr:colOff>
      <xdr:row>80</xdr:row>
      <xdr:rowOff>180977</xdr:rowOff>
    </xdr:to>
    <xdr:cxnSp macro="">
      <xdr:nvCxnSpPr>
        <xdr:cNvPr id="233" name="Straight Connector 232">
          <a:extLst>
            <a:ext uri="{FF2B5EF4-FFF2-40B4-BE49-F238E27FC236}">
              <a16:creationId xmlns:a16="http://schemas.microsoft.com/office/drawing/2014/main" id="{00000000-0008-0000-0F00-0000E900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81</xdr:row>
      <xdr:rowOff>190500</xdr:rowOff>
    </xdr:from>
    <xdr:to>
      <xdr:col>6</xdr:col>
      <xdr:colOff>0</xdr:colOff>
      <xdr:row>81</xdr:row>
      <xdr:rowOff>190502</xdr:rowOff>
    </xdr:to>
    <xdr:cxnSp macro="">
      <xdr:nvCxnSpPr>
        <xdr:cNvPr id="234" name="Straight Connector 233">
          <a:extLst>
            <a:ext uri="{FF2B5EF4-FFF2-40B4-BE49-F238E27FC236}">
              <a16:creationId xmlns:a16="http://schemas.microsoft.com/office/drawing/2014/main" id="{00000000-0008-0000-0F00-0000EA00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82</xdr:row>
      <xdr:rowOff>180975</xdr:rowOff>
    </xdr:from>
    <xdr:to>
      <xdr:col>5</xdr:col>
      <xdr:colOff>409575</xdr:colOff>
      <xdr:row>82</xdr:row>
      <xdr:rowOff>180977</xdr:rowOff>
    </xdr:to>
    <xdr:cxnSp macro="">
      <xdr:nvCxnSpPr>
        <xdr:cNvPr id="235" name="Straight Connector 234">
          <a:extLst>
            <a:ext uri="{FF2B5EF4-FFF2-40B4-BE49-F238E27FC236}">
              <a16:creationId xmlns:a16="http://schemas.microsoft.com/office/drawing/2014/main" id="{00000000-0008-0000-0F00-0000EB00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83</xdr:row>
      <xdr:rowOff>180975</xdr:rowOff>
    </xdr:from>
    <xdr:to>
      <xdr:col>6</xdr:col>
      <xdr:colOff>0</xdr:colOff>
      <xdr:row>83</xdr:row>
      <xdr:rowOff>180977</xdr:rowOff>
    </xdr:to>
    <xdr:cxnSp macro="">
      <xdr:nvCxnSpPr>
        <xdr:cNvPr id="236" name="Straight Connector 235">
          <a:extLst>
            <a:ext uri="{FF2B5EF4-FFF2-40B4-BE49-F238E27FC236}">
              <a16:creationId xmlns:a16="http://schemas.microsoft.com/office/drawing/2014/main" id="{00000000-0008-0000-0F00-0000EC00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80</xdr:row>
      <xdr:rowOff>180975</xdr:rowOff>
    </xdr:from>
    <xdr:to>
      <xdr:col>12</xdr:col>
      <xdr:colOff>0</xdr:colOff>
      <xdr:row>80</xdr:row>
      <xdr:rowOff>180977</xdr:rowOff>
    </xdr:to>
    <xdr:cxnSp macro="">
      <xdr:nvCxnSpPr>
        <xdr:cNvPr id="237" name="Straight Connector 236">
          <a:extLst>
            <a:ext uri="{FF2B5EF4-FFF2-40B4-BE49-F238E27FC236}">
              <a16:creationId xmlns:a16="http://schemas.microsoft.com/office/drawing/2014/main" id="{00000000-0008-0000-0F00-0000ED00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81</xdr:row>
      <xdr:rowOff>190500</xdr:rowOff>
    </xdr:from>
    <xdr:to>
      <xdr:col>12</xdr:col>
      <xdr:colOff>0</xdr:colOff>
      <xdr:row>81</xdr:row>
      <xdr:rowOff>190502</xdr:rowOff>
    </xdr:to>
    <xdr:cxnSp macro="">
      <xdr:nvCxnSpPr>
        <xdr:cNvPr id="238" name="Straight Connector 237">
          <a:extLst>
            <a:ext uri="{FF2B5EF4-FFF2-40B4-BE49-F238E27FC236}">
              <a16:creationId xmlns:a16="http://schemas.microsoft.com/office/drawing/2014/main" id="{00000000-0008-0000-0F00-0000EE00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82</xdr:row>
      <xdr:rowOff>180975</xdr:rowOff>
    </xdr:from>
    <xdr:to>
      <xdr:col>11</xdr:col>
      <xdr:colOff>409575</xdr:colOff>
      <xdr:row>82</xdr:row>
      <xdr:rowOff>180977</xdr:rowOff>
    </xdr:to>
    <xdr:cxnSp macro="">
      <xdr:nvCxnSpPr>
        <xdr:cNvPr id="239" name="Straight Connector 238">
          <a:extLst>
            <a:ext uri="{FF2B5EF4-FFF2-40B4-BE49-F238E27FC236}">
              <a16:creationId xmlns:a16="http://schemas.microsoft.com/office/drawing/2014/main" id="{00000000-0008-0000-0F00-0000EF00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83</xdr:row>
      <xdr:rowOff>180975</xdr:rowOff>
    </xdr:from>
    <xdr:to>
      <xdr:col>12</xdr:col>
      <xdr:colOff>0</xdr:colOff>
      <xdr:row>83</xdr:row>
      <xdr:rowOff>180977</xdr:rowOff>
    </xdr:to>
    <xdr:cxnSp macro="">
      <xdr:nvCxnSpPr>
        <xdr:cNvPr id="240" name="Straight Connector 239">
          <a:extLst>
            <a:ext uri="{FF2B5EF4-FFF2-40B4-BE49-F238E27FC236}">
              <a16:creationId xmlns:a16="http://schemas.microsoft.com/office/drawing/2014/main" id="{00000000-0008-0000-0F00-0000F000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80</xdr:row>
      <xdr:rowOff>180975</xdr:rowOff>
    </xdr:from>
    <xdr:to>
      <xdr:col>18</xdr:col>
      <xdr:colOff>0</xdr:colOff>
      <xdr:row>80</xdr:row>
      <xdr:rowOff>180977</xdr:rowOff>
    </xdr:to>
    <xdr:cxnSp macro="">
      <xdr:nvCxnSpPr>
        <xdr:cNvPr id="241" name="Straight Connector 240">
          <a:extLst>
            <a:ext uri="{FF2B5EF4-FFF2-40B4-BE49-F238E27FC236}">
              <a16:creationId xmlns:a16="http://schemas.microsoft.com/office/drawing/2014/main" id="{00000000-0008-0000-0F00-0000F100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81</xdr:row>
      <xdr:rowOff>190500</xdr:rowOff>
    </xdr:from>
    <xdr:to>
      <xdr:col>18</xdr:col>
      <xdr:colOff>0</xdr:colOff>
      <xdr:row>81</xdr:row>
      <xdr:rowOff>190502</xdr:rowOff>
    </xdr:to>
    <xdr:cxnSp macro="">
      <xdr:nvCxnSpPr>
        <xdr:cNvPr id="242" name="Straight Connector 241">
          <a:extLst>
            <a:ext uri="{FF2B5EF4-FFF2-40B4-BE49-F238E27FC236}">
              <a16:creationId xmlns:a16="http://schemas.microsoft.com/office/drawing/2014/main" id="{00000000-0008-0000-0F00-0000F200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82</xdr:row>
      <xdr:rowOff>180975</xdr:rowOff>
    </xdr:from>
    <xdr:to>
      <xdr:col>17</xdr:col>
      <xdr:colOff>409575</xdr:colOff>
      <xdr:row>82</xdr:row>
      <xdr:rowOff>180977</xdr:rowOff>
    </xdr:to>
    <xdr:cxnSp macro="">
      <xdr:nvCxnSpPr>
        <xdr:cNvPr id="243" name="Straight Connector 242">
          <a:extLst>
            <a:ext uri="{FF2B5EF4-FFF2-40B4-BE49-F238E27FC236}">
              <a16:creationId xmlns:a16="http://schemas.microsoft.com/office/drawing/2014/main" id="{00000000-0008-0000-0F00-0000F300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83</xdr:row>
      <xdr:rowOff>180975</xdr:rowOff>
    </xdr:from>
    <xdr:to>
      <xdr:col>18</xdr:col>
      <xdr:colOff>0</xdr:colOff>
      <xdr:row>83</xdr:row>
      <xdr:rowOff>180977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F00-0000F400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108</xdr:row>
      <xdr:rowOff>180975</xdr:rowOff>
    </xdr:from>
    <xdr:to>
      <xdr:col>6</xdr:col>
      <xdr:colOff>0</xdr:colOff>
      <xdr:row>108</xdr:row>
      <xdr:rowOff>180977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00000000-0008-0000-0F00-0000F500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109</xdr:row>
      <xdr:rowOff>190500</xdr:rowOff>
    </xdr:from>
    <xdr:to>
      <xdr:col>6</xdr:col>
      <xdr:colOff>0</xdr:colOff>
      <xdr:row>109</xdr:row>
      <xdr:rowOff>190502</xdr:rowOff>
    </xdr:to>
    <xdr:cxnSp macro="">
      <xdr:nvCxnSpPr>
        <xdr:cNvPr id="246" name="Straight Connector 245">
          <a:extLst>
            <a:ext uri="{FF2B5EF4-FFF2-40B4-BE49-F238E27FC236}">
              <a16:creationId xmlns:a16="http://schemas.microsoft.com/office/drawing/2014/main" id="{00000000-0008-0000-0F00-0000F600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110</xdr:row>
      <xdr:rowOff>180975</xdr:rowOff>
    </xdr:from>
    <xdr:to>
      <xdr:col>5</xdr:col>
      <xdr:colOff>409575</xdr:colOff>
      <xdr:row>110</xdr:row>
      <xdr:rowOff>180977</xdr:rowOff>
    </xdr:to>
    <xdr:cxnSp macro="">
      <xdr:nvCxnSpPr>
        <xdr:cNvPr id="247" name="Straight Connector 246">
          <a:extLst>
            <a:ext uri="{FF2B5EF4-FFF2-40B4-BE49-F238E27FC236}">
              <a16:creationId xmlns:a16="http://schemas.microsoft.com/office/drawing/2014/main" id="{00000000-0008-0000-0F00-0000F700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111</xdr:row>
      <xdr:rowOff>180975</xdr:rowOff>
    </xdr:from>
    <xdr:to>
      <xdr:col>6</xdr:col>
      <xdr:colOff>0</xdr:colOff>
      <xdr:row>111</xdr:row>
      <xdr:rowOff>180977</xdr:rowOff>
    </xdr:to>
    <xdr:cxnSp macro="">
      <xdr:nvCxnSpPr>
        <xdr:cNvPr id="248" name="Straight Connector 247">
          <a:extLst>
            <a:ext uri="{FF2B5EF4-FFF2-40B4-BE49-F238E27FC236}">
              <a16:creationId xmlns:a16="http://schemas.microsoft.com/office/drawing/2014/main" id="{00000000-0008-0000-0F00-0000F800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108</xdr:row>
      <xdr:rowOff>180975</xdr:rowOff>
    </xdr:from>
    <xdr:to>
      <xdr:col>12</xdr:col>
      <xdr:colOff>0</xdr:colOff>
      <xdr:row>108</xdr:row>
      <xdr:rowOff>180977</xdr:rowOff>
    </xdr:to>
    <xdr:cxnSp macro="">
      <xdr:nvCxnSpPr>
        <xdr:cNvPr id="249" name="Straight Connector 248">
          <a:extLst>
            <a:ext uri="{FF2B5EF4-FFF2-40B4-BE49-F238E27FC236}">
              <a16:creationId xmlns:a16="http://schemas.microsoft.com/office/drawing/2014/main" id="{00000000-0008-0000-0F00-0000F900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109</xdr:row>
      <xdr:rowOff>190500</xdr:rowOff>
    </xdr:from>
    <xdr:to>
      <xdr:col>12</xdr:col>
      <xdr:colOff>0</xdr:colOff>
      <xdr:row>109</xdr:row>
      <xdr:rowOff>190502</xdr:rowOff>
    </xdr:to>
    <xdr:cxnSp macro="">
      <xdr:nvCxnSpPr>
        <xdr:cNvPr id="250" name="Straight Connector 249">
          <a:extLst>
            <a:ext uri="{FF2B5EF4-FFF2-40B4-BE49-F238E27FC236}">
              <a16:creationId xmlns:a16="http://schemas.microsoft.com/office/drawing/2014/main" id="{00000000-0008-0000-0F00-0000FA00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110</xdr:row>
      <xdr:rowOff>180975</xdr:rowOff>
    </xdr:from>
    <xdr:to>
      <xdr:col>11</xdr:col>
      <xdr:colOff>409575</xdr:colOff>
      <xdr:row>110</xdr:row>
      <xdr:rowOff>180977</xdr:rowOff>
    </xdr:to>
    <xdr:cxnSp macro="">
      <xdr:nvCxnSpPr>
        <xdr:cNvPr id="251" name="Straight Connector 250">
          <a:extLst>
            <a:ext uri="{FF2B5EF4-FFF2-40B4-BE49-F238E27FC236}">
              <a16:creationId xmlns:a16="http://schemas.microsoft.com/office/drawing/2014/main" id="{00000000-0008-0000-0F00-0000FB00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111</xdr:row>
      <xdr:rowOff>180975</xdr:rowOff>
    </xdr:from>
    <xdr:to>
      <xdr:col>12</xdr:col>
      <xdr:colOff>0</xdr:colOff>
      <xdr:row>111</xdr:row>
      <xdr:rowOff>180977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F00-0000FC00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108</xdr:row>
      <xdr:rowOff>180975</xdr:rowOff>
    </xdr:from>
    <xdr:to>
      <xdr:col>18</xdr:col>
      <xdr:colOff>0</xdr:colOff>
      <xdr:row>108</xdr:row>
      <xdr:rowOff>180977</xdr:rowOff>
    </xdr:to>
    <xdr:cxnSp macro="">
      <xdr:nvCxnSpPr>
        <xdr:cNvPr id="253" name="Straight Connector 252">
          <a:extLst>
            <a:ext uri="{FF2B5EF4-FFF2-40B4-BE49-F238E27FC236}">
              <a16:creationId xmlns:a16="http://schemas.microsoft.com/office/drawing/2014/main" id="{00000000-0008-0000-0F00-0000FD00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109</xdr:row>
      <xdr:rowOff>190500</xdr:rowOff>
    </xdr:from>
    <xdr:to>
      <xdr:col>18</xdr:col>
      <xdr:colOff>0</xdr:colOff>
      <xdr:row>109</xdr:row>
      <xdr:rowOff>190502</xdr:rowOff>
    </xdr:to>
    <xdr:cxnSp macro="">
      <xdr:nvCxnSpPr>
        <xdr:cNvPr id="254" name="Straight Connector 253">
          <a:extLst>
            <a:ext uri="{FF2B5EF4-FFF2-40B4-BE49-F238E27FC236}">
              <a16:creationId xmlns:a16="http://schemas.microsoft.com/office/drawing/2014/main" id="{00000000-0008-0000-0F00-0000FE00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110</xdr:row>
      <xdr:rowOff>180975</xdr:rowOff>
    </xdr:from>
    <xdr:to>
      <xdr:col>17</xdr:col>
      <xdr:colOff>409575</xdr:colOff>
      <xdr:row>110</xdr:row>
      <xdr:rowOff>180977</xdr:rowOff>
    </xdr:to>
    <xdr:cxnSp macro="">
      <xdr:nvCxnSpPr>
        <xdr:cNvPr id="255" name="Straight Connector 254">
          <a:extLst>
            <a:ext uri="{FF2B5EF4-FFF2-40B4-BE49-F238E27FC236}">
              <a16:creationId xmlns:a16="http://schemas.microsoft.com/office/drawing/2014/main" id="{00000000-0008-0000-0F00-0000FF00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111</xdr:row>
      <xdr:rowOff>180975</xdr:rowOff>
    </xdr:from>
    <xdr:to>
      <xdr:col>18</xdr:col>
      <xdr:colOff>0</xdr:colOff>
      <xdr:row>111</xdr:row>
      <xdr:rowOff>180977</xdr:rowOff>
    </xdr:to>
    <xdr:cxnSp macro="">
      <xdr:nvCxnSpPr>
        <xdr:cNvPr id="256" name="Straight Connector 255">
          <a:extLst>
            <a:ext uri="{FF2B5EF4-FFF2-40B4-BE49-F238E27FC236}">
              <a16:creationId xmlns:a16="http://schemas.microsoft.com/office/drawing/2014/main" id="{00000000-0008-0000-0F00-00000001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137</xdr:row>
      <xdr:rowOff>180975</xdr:rowOff>
    </xdr:from>
    <xdr:to>
      <xdr:col>6</xdr:col>
      <xdr:colOff>0</xdr:colOff>
      <xdr:row>137</xdr:row>
      <xdr:rowOff>180977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id="{00000000-0008-0000-0F00-00000101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138</xdr:row>
      <xdr:rowOff>190500</xdr:rowOff>
    </xdr:from>
    <xdr:to>
      <xdr:col>6</xdr:col>
      <xdr:colOff>0</xdr:colOff>
      <xdr:row>138</xdr:row>
      <xdr:rowOff>190502</xdr:rowOff>
    </xdr:to>
    <xdr:cxnSp macro="">
      <xdr:nvCxnSpPr>
        <xdr:cNvPr id="258" name="Straight Connector 257">
          <a:extLst>
            <a:ext uri="{FF2B5EF4-FFF2-40B4-BE49-F238E27FC236}">
              <a16:creationId xmlns:a16="http://schemas.microsoft.com/office/drawing/2014/main" id="{00000000-0008-0000-0F00-00000201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139</xdr:row>
      <xdr:rowOff>180975</xdr:rowOff>
    </xdr:from>
    <xdr:to>
      <xdr:col>5</xdr:col>
      <xdr:colOff>409575</xdr:colOff>
      <xdr:row>139</xdr:row>
      <xdr:rowOff>180977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00000000-0008-0000-0F00-00000301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140</xdr:row>
      <xdr:rowOff>180975</xdr:rowOff>
    </xdr:from>
    <xdr:to>
      <xdr:col>6</xdr:col>
      <xdr:colOff>0</xdr:colOff>
      <xdr:row>140</xdr:row>
      <xdr:rowOff>180977</xdr:rowOff>
    </xdr:to>
    <xdr:cxnSp macro="">
      <xdr:nvCxnSpPr>
        <xdr:cNvPr id="260" name="Straight Connector 259">
          <a:extLst>
            <a:ext uri="{FF2B5EF4-FFF2-40B4-BE49-F238E27FC236}">
              <a16:creationId xmlns:a16="http://schemas.microsoft.com/office/drawing/2014/main" id="{00000000-0008-0000-0F00-00000401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137</xdr:row>
      <xdr:rowOff>180975</xdr:rowOff>
    </xdr:from>
    <xdr:to>
      <xdr:col>12</xdr:col>
      <xdr:colOff>0</xdr:colOff>
      <xdr:row>137</xdr:row>
      <xdr:rowOff>180977</xdr:rowOff>
    </xdr:to>
    <xdr:cxnSp macro="">
      <xdr:nvCxnSpPr>
        <xdr:cNvPr id="261" name="Straight Connector 260">
          <a:extLst>
            <a:ext uri="{FF2B5EF4-FFF2-40B4-BE49-F238E27FC236}">
              <a16:creationId xmlns:a16="http://schemas.microsoft.com/office/drawing/2014/main" id="{00000000-0008-0000-0F00-00000501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138</xdr:row>
      <xdr:rowOff>190500</xdr:rowOff>
    </xdr:from>
    <xdr:to>
      <xdr:col>12</xdr:col>
      <xdr:colOff>0</xdr:colOff>
      <xdr:row>138</xdr:row>
      <xdr:rowOff>190502</xdr:rowOff>
    </xdr:to>
    <xdr:cxnSp macro="">
      <xdr:nvCxnSpPr>
        <xdr:cNvPr id="262" name="Straight Connector 261">
          <a:extLst>
            <a:ext uri="{FF2B5EF4-FFF2-40B4-BE49-F238E27FC236}">
              <a16:creationId xmlns:a16="http://schemas.microsoft.com/office/drawing/2014/main" id="{00000000-0008-0000-0F00-00000601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139</xdr:row>
      <xdr:rowOff>180975</xdr:rowOff>
    </xdr:from>
    <xdr:to>
      <xdr:col>11</xdr:col>
      <xdr:colOff>409575</xdr:colOff>
      <xdr:row>139</xdr:row>
      <xdr:rowOff>180977</xdr:rowOff>
    </xdr:to>
    <xdr:cxnSp macro="">
      <xdr:nvCxnSpPr>
        <xdr:cNvPr id="263" name="Straight Connector 262">
          <a:extLst>
            <a:ext uri="{FF2B5EF4-FFF2-40B4-BE49-F238E27FC236}">
              <a16:creationId xmlns:a16="http://schemas.microsoft.com/office/drawing/2014/main" id="{00000000-0008-0000-0F00-00000701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140</xdr:row>
      <xdr:rowOff>180975</xdr:rowOff>
    </xdr:from>
    <xdr:to>
      <xdr:col>12</xdr:col>
      <xdr:colOff>0</xdr:colOff>
      <xdr:row>140</xdr:row>
      <xdr:rowOff>180977</xdr:rowOff>
    </xdr:to>
    <xdr:cxnSp macro="">
      <xdr:nvCxnSpPr>
        <xdr:cNvPr id="264" name="Straight Connector 263">
          <a:extLst>
            <a:ext uri="{FF2B5EF4-FFF2-40B4-BE49-F238E27FC236}">
              <a16:creationId xmlns:a16="http://schemas.microsoft.com/office/drawing/2014/main" id="{00000000-0008-0000-0F00-00000801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137</xdr:row>
      <xdr:rowOff>180975</xdr:rowOff>
    </xdr:from>
    <xdr:to>
      <xdr:col>18</xdr:col>
      <xdr:colOff>0</xdr:colOff>
      <xdr:row>137</xdr:row>
      <xdr:rowOff>180977</xdr:rowOff>
    </xdr:to>
    <xdr:cxnSp macro="">
      <xdr:nvCxnSpPr>
        <xdr:cNvPr id="265" name="Straight Connector 264">
          <a:extLst>
            <a:ext uri="{FF2B5EF4-FFF2-40B4-BE49-F238E27FC236}">
              <a16:creationId xmlns:a16="http://schemas.microsoft.com/office/drawing/2014/main" id="{00000000-0008-0000-0F00-00000901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138</xdr:row>
      <xdr:rowOff>190500</xdr:rowOff>
    </xdr:from>
    <xdr:to>
      <xdr:col>18</xdr:col>
      <xdr:colOff>0</xdr:colOff>
      <xdr:row>138</xdr:row>
      <xdr:rowOff>190502</xdr:rowOff>
    </xdr:to>
    <xdr:cxnSp macro="">
      <xdr:nvCxnSpPr>
        <xdr:cNvPr id="266" name="Straight Connector 265">
          <a:extLst>
            <a:ext uri="{FF2B5EF4-FFF2-40B4-BE49-F238E27FC236}">
              <a16:creationId xmlns:a16="http://schemas.microsoft.com/office/drawing/2014/main" id="{00000000-0008-0000-0F00-00000A01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139</xdr:row>
      <xdr:rowOff>180975</xdr:rowOff>
    </xdr:from>
    <xdr:to>
      <xdr:col>17</xdr:col>
      <xdr:colOff>409575</xdr:colOff>
      <xdr:row>139</xdr:row>
      <xdr:rowOff>180977</xdr:rowOff>
    </xdr:to>
    <xdr:cxnSp macro="">
      <xdr:nvCxnSpPr>
        <xdr:cNvPr id="267" name="Straight Connector 266">
          <a:extLst>
            <a:ext uri="{FF2B5EF4-FFF2-40B4-BE49-F238E27FC236}">
              <a16:creationId xmlns:a16="http://schemas.microsoft.com/office/drawing/2014/main" id="{00000000-0008-0000-0F00-00000B01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140</xdr:row>
      <xdr:rowOff>180975</xdr:rowOff>
    </xdr:from>
    <xdr:to>
      <xdr:col>18</xdr:col>
      <xdr:colOff>0</xdr:colOff>
      <xdr:row>140</xdr:row>
      <xdr:rowOff>180977</xdr:rowOff>
    </xdr:to>
    <xdr:cxnSp macro="">
      <xdr:nvCxnSpPr>
        <xdr:cNvPr id="268" name="Straight Connector 267">
          <a:extLst>
            <a:ext uri="{FF2B5EF4-FFF2-40B4-BE49-F238E27FC236}">
              <a16:creationId xmlns:a16="http://schemas.microsoft.com/office/drawing/2014/main" id="{00000000-0008-0000-0F00-00000C01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165</xdr:row>
      <xdr:rowOff>180975</xdr:rowOff>
    </xdr:from>
    <xdr:to>
      <xdr:col>6</xdr:col>
      <xdr:colOff>0</xdr:colOff>
      <xdr:row>165</xdr:row>
      <xdr:rowOff>180977</xdr:rowOff>
    </xdr:to>
    <xdr:cxnSp macro="">
      <xdr:nvCxnSpPr>
        <xdr:cNvPr id="269" name="Straight Connector 268">
          <a:extLst>
            <a:ext uri="{FF2B5EF4-FFF2-40B4-BE49-F238E27FC236}">
              <a16:creationId xmlns:a16="http://schemas.microsoft.com/office/drawing/2014/main" id="{00000000-0008-0000-0F00-00000D01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166</xdr:row>
      <xdr:rowOff>190500</xdr:rowOff>
    </xdr:from>
    <xdr:to>
      <xdr:col>6</xdr:col>
      <xdr:colOff>0</xdr:colOff>
      <xdr:row>166</xdr:row>
      <xdr:rowOff>190502</xdr:rowOff>
    </xdr:to>
    <xdr:cxnSp macro="">
      <xdr:nvCxnSpPr>
        <xdr:cNvPr id="270" name="Straight Connector 269">
          <a:extLst>
            <a:ext uri="{FF2B5EF4-FFF2-40B4-BE49-F238E27FC236}">
              <a16:creationId xmlns:a16="http://schemas.microsoft.com/office/drawing/2014/main" id="{00000000-0008-0000-0F00-00000E01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167</xdr:row>
      <xdr:rowOff>180975</xdr:rowOff>
    </xdr:from>
    <xdr:to>
      <xdr:col>5</xdr:col>
      <xdr:colOff>409575</xdr:colOff>
      <xdr:row>167</xdr:row>
      <xdr:rowOff>180977</xdr:rowOff>
    </xdr:to>
    <xdr:cxnSp macro="">
      <xdr:nvCxnSpPr>
        <xdr:cNvPr id="271" name="Straight Connector 270">
          <a:extLst>
            <a:ext uri="{FF2B5EF4-FFF2-40B4-BE49-F238E27FC236}">
              <a16:creationId xmlns:a16="http://schemas.microsoft.com/office/drawing/2014/main" id="{00000000-0008-0000-0F00-00000F01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168</xdr:row>
      <xdr:rowOff>180975</xdr:rowOff>
    </xdr:from>
    <xdr:to>
      <xdr:col>6</xdr:col>
      <xdr:colOff>0</xdr:colOff>
      <xdr:row>168</xdr:row>
      <xdr:rowOff>180977</xdr:rowOff>
    </xdr:to>
    <xdr:cxnSp macro="">
      <xdr:nvCxnSpPr>
        <xdr:cNvPr id="272" name="Straight Connector 271">
          <a:extLst>
            <a:ext uri="{FF2B5EF4-FFF2-40B4-BE49-F238E27FC236}">
              <a16:creationId xmlns:a16="http://schemas.microsoft.com/office/drawing/2014/main" id="{00000000-0008-0000-0F00-00001001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165</xdr:row>
      <xdr:rowOff>180975</xdr:rowOff>
    </xdr:from>
    <xdr:to>
      <xdr:col>12</xdr:col>
      <xdr:colOff>0</xdr:colOff>
      <xdr:row>165</xdr:row>
      <xdr:rowOff>180977</xdr:rowOff>
    </xdr:to>
    <xdr:cxnSp macro="">
      <xdr:nvCxnSpPr>
        <xdr:cNvPr id="273" name="Straight Connector 272">
          <a:extLst>
            <a:ext uri="{FF2B5EF4-FFF2-40B4-BE49-F238E27FC236}">
              <a16:creationId xmlns:a16="http://schemas.microsoft.com/office/drawing/2014/main" id="{00000000-0008-0000-0F00-00001101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166</xdr:row>
      <xdr:rowOff>190500</xdr:rowOff>
    </xdr:from>
    <xdr:to>
      <xdr:col>12</xdr:col>
      <xdr:colOff>0</xdr:colOff>
      <xdr:row>166</xdr:row>
      <xdr:rowOff>190502</xdr:rowOff>
    </xdr:to>
    <xdr:cxnSp macro="">
      <xdr:nvCxnSpPr>
        <xdr:cNvPr id="274" name="Straight Connector 273">
          <a:extLst>
            <a:ext uri="{FF2B5EF4-FFF2-40B4-BE49-F238E27FC236}">
              <a16:creationId xmlns:a16="http://schemas.microsoft.com/office/drawing/2014/main" id="{00000000-0008-0000-0F00-00001201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167</xdr:row>
      <xdr:rowOff>180975</xdr:rowOff>
    </xdr:from>
    <xdr:to>
      <xdr:col>11</xdr:col>
      <xdr:colOff>409575</xdr:colOff>
      <xdr:row>167</xdr:row>
      <xdr:rowOff>180977</xdr:rowOff>
    </xdr:to>
    <xdr:cxnSp macro="">
      <xdr:nvCxnSpPr>
        <xdr:cNvPr id="275" name="Straight Connector 274">
          <a:extLst>
            <a:ext uri="{FF2B5EF4-FFF2-40B4-BE49-F238E27FC236}">
              <a16:creationId xmlns:a16="http://schemas.microsoft.com/office/drawing/2014/main" id="{00000000-0008-0000-0F00-00001301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168</xdr:row>
      <xdr:rowOff>180975</xdr:rowOff>
    </xdr:from>
    <xdr:to>
      <xdr:col>12</xdr:col>
      <xdr:colOff>0</xdr:colOff>
      <xdr:row>168</xdr:row>
      <xdr:rowOff>180977</xdr:rowOff>
    </xdr:to>
    <xdr:cxnSp macro="">
      <xdr:nvCxnSpPr>
        <xdr:cNvPr id="276" name="Straight Connector 275">
          <a:extLst>
            <a:ext uri="{FF2B5EF4-FFF2-40B4-BE49-F238E27FC236}">
              <a16:creationId xmlns:a16="http://schemas.microsoft.com/office/drawing/2014/main" id="{00000000-0008-0000-0F00-00001401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165</xdr:row>
      <xdr:rowOff>180975</xdr:rowOff>
    </xdr:from>
    <xdr:to>
      <xdr:col>18</xdr:col>
      <xdr:colOff>0</xdr:colOff>
      <xdr:row>165</xdr:row>
      <xdr:rowOff>180977</xdr:rowOff>
    </xdr:to>
    <xdr:cxnSp macro="">
      <xdr:nvCxnSpPr>
        <xdr:cNvPr id="277" name="Straight Connector 276">
          <a:extLst>
            <a:ext uri="{FF2B5EF4-FFF2-40B4-BE49-F238E27FC236}">
              <a16:creationId xmlns:a16="http://schemas.microsoft.com/office/drawing/2014/main" id="{00000000-0008-0000-0F00-00001501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166</xdr:row>
      <xdr:rowOff>190500</xdr:rowOff>
    </xdr:from>
    <xdr:to>
      <xdr:col>18</xdr:col>
      <xdr:colOff>0</xdr:colOff>
      <xdr:row>166</xdr:row>
      <xdr:rowOff>190502</xdr:rowOff>
    </xdr:to>
    <xdr:cxnSp macro="">
      <xdr:nvCxnSpPr>
        <xdr:cNvPr id="278" name="Straight Connector 277">
          <a:extLst>
            <a:ext uri="{FF2B5EF4-FFF2-40B4-BE49-F238E27FC236}">
              <a16:creationId xmlns:a16="http://schemas.microsoft.com/office/drawing/2014/main" id="{00000000-0008-0000-0F00-00001601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167</xdr:row>
      <xdr:rowOff>180975</xdr:rowOff>
    </xdr:from>
    <xdr:to>
      <xdr:col>17</xdr:col>
      <xdr:colOff>409575</xdr:colOff>
      <xdr:row>167</xdr:row>
      <xdr:rowOff>180977</xdr:rowOff>
    </xdr:to>
    <xdr:cxnSp macro="">
      <xdr:nvCxnSpPr>
        <xdr:cNvPr id="279" name="Straight Connector 278">
          <a:extLst>
            <a:ext uri="{FF2B5EF4-FFF2-40B4-BE49-F238E27FC236}">
              <a16:creationId xmlns:a16="http://schemas.microsoft.com/office/drawing/2014/main" id="{00000000-0008-0000-0F00-00001701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168</xdr:row>
      <xdr:rowOff>180975</xdr:rowOff>
    </xdr:from>
    <xdr:to>
      <xdr:col>18</xdr:col>
      <xdr:colOff>0</xdr:colOff>
      <xdr:row>168</xdr:row>
      <xdr:rowOff>180977</xdr:rowOff>
    </xdr:to>
    <xdr:cxnSp macro="">
      <xdr:nvCxnSpPr>
        <xdr:cNvPr id="280" name="Straight Connector 279">
          <a:extLst>
            <a:ext uri="{FF2B5EF4-FFF2-40B4-BE49-F238E27FC236}">
              <a16:creationId xmlns:a16="http://schemas.microsoft.com/office/drawing/2014/main" id="{00000000-0008-0000-0F00-00001801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194</xdr:row>
      <xdr:rowOff>180975</xdr:rowOff>
    </xdr:from>
    <xdr:to>
      <xdr:col>6</xdr:col>
      <xdr:colOff>0</xdr:colOff>
      <xdr:row>194</xdr:row>
      <xdr:rowOff>180977</xdr:rowOff>
    </xdr:to>
    <xdr:cxnSp macro="">
      <xdr:nvCxnSpPr>
        <xdr:cNvPr id="281" name="Straight Connector 280">
          <a:extLst>
            <a:ext uri="{FF2B5EF4-FFF2-40B4-BE49-F238E27FC236}">
              <a16:creationId xmlns:a16="http://schemas.microsoft.com/office/drawing/2014/main" id="{00000000-0008-0000-0F00-00001901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195</xdr:row>
      <xdr:rowOff>190500</xdr:rowOff>
    </xdr:from>
    <xdr:to>
      <xdr:col>6</xdr:col>
      <xdr:colOff>0</xdr:colOff>
      <xdr:row>195</xdr:row>
      <xdr:rowOff>190502</xdr:rowOff>
    </xdr:to>
    <xdr:cxnSp macro="">
      <xdr:nvCxnSpPr>
        <xdr:cNvPr id="282" name="Straight Connector 281">
          <a:extLst>
            <a:ext uri="{FF2B5EF4-FFF2-40B4-BE49-F238E27FC236}">
              <a16:creationId xmlns:a16="http://schemas.microsoft.com/office/drawing/2014/main" id="{00000000-0008-0000-0F00-00001A01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196</xdr:row>
      <xdr:rowOff>180975</xdr:rowOff>
    </xdr:from>
    <xdr:to>
      <xdr:col>5</xdr:col>
      <xdr:colOff>409575</xdr:colOff>
      <xdr:row>196</xdr:row>
      <xdr:rowOff>180977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id="{00000000-0008-0000-0F00-00001B01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197</xdr:row>
      <xdr:rowOff>180975</xdr:rowOff>
    </xdr:from>
    <xdr:to>
      <xdr:col>6</xdr:col>
      <xdr:colOff>0</xdr:colOff>
      <xdr:row>197</xdr:row>
      <xdr:rowOff>180977</xdr:rowOff>
    </xdr:to>
    <xdr:cxnSp macro="">
      <xdr:nvCxnSpPr>
        <xdr:cNvPr id="284" name="Straight Connector 283">
          <a:extLst>
            <a:ext uri="{FF2B5EF4-FFF2-40B4-BE49-F238E27FC236}">
              <a16:creationId xmlns:a16="http://schemas.microsoft.com/office/drawing/2014/main" id="{00000000-0008-0000-0F00-00001C01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194</xdr:row>
      <xdr:rowOff>180975</xdr:rowOff>
    </xdr:from>
    <xdr:to>
      <xdr:col>12</xdr:col>
      <xdr:colOff>0</xdr:colOff>
      <xdr:row>194</xdr:row>
      <xdr:rowOff>180977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F00-00001D01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195</xdr:row>
      <xdr:rowOff>190500</xdr:rowOff>
    </xdr:from>
    <xdr:to>
      <xdr:col>12</xdr:col>
      <xdr:colOff>0</xdr:colOff>
      <xdr:row>195</xdr:row>
      <xdr:rowOff>190502</xdr:rowOff>
    </xdr:to>
    <xdr:cxnSp macro="">
      <xdr:nvCxnSpPr>
        <xdr:cNvPr id="286" name="Straight Connector 285">
          <a:extLst>
            <a:ext uri="{FF2B5EF4-FFF2-40B4-BE49-F238E27FC236}">
              <a16:creationId xmlns:a16="http://schemas.microsoft.com/office/drawing/2014/main" id="{00000000-0008-0000-0F00-00001E01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196</xdr:row>
      <xdr:rowOff>180975</xdr:rowOff>
    </xdr:from>
    <xdr:to>
      <xdr:col>11</xdr:col>
      <xdr:colOff>409575</xdr:colOff>
      <xdr:row>196</xdr:row>
      <xdr:rowOff>180977</xdr:rowOff>
    </xdr:to>
    <xdr:cxnSp macro="">
      <xdr:nvCxnSpPr>
        <xdr:cNvPr id="287" name="Straight Connector 286">
          <a:extLst>
            <a:ext uri="{FF2B5EF4-FFF2-40B4-BE49-F238E27FC236}">
              <a16:creationId xmlns:a16="http://schemas.microsoft.com/office/drawing/2014/main" id="{00000000-0008-0000-0F00-00001F01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197</xdr:row>
      <xdr:rowOff>180975</xdr:rowOff>
    </xdr:from>
    <xdr:to>
      <xdr:col>12</xdr:col>
      <xdr:colOff>0</xdr:colOff>
      <xdr:row>197</xdr:row>
      <xdr:rowOff>180977</xdr:rowOff>
    </xdr:to>
    <xdr:cxnSp macro="">
      <xdr:nvCxnSpPr>
        <xdr:cNvPr id="288" name="Straight Connector 287">
          <a:extLst>
            <a:ext uri="{FF2B5EF4-FFF2-40B4-BE49-F238E27FC236}">
              <a16:creationId xmlns:a16="http://schemas.microsoft.com/office/drawing/2014/main" id="{00000000-0008-0000-0F00-00002001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194</xdr:row>
      <xdr:rowOff>180975</xdr:rowOff>
    </xdr:from>
    <xdr:to>
      <xdr:col>18</xdr:col>
      <xdr:colOff>0</xdr:colOff>
      <xdr:row>194</xdr:row>
      <xdr:rowOff>180977</xdr:rowOff>
    </xdr:to>
    <xdr:cxnSp macro="">
      <xdr:nvCxnSpPr>
        <xdr:cNvPr id="289" name="Straight Connector 288">
          <a:extLst>
            <a:ext uri="{FF2B5EF4-FFF2-40B4-BE49-F238E27FC236}">
              <a16:creationId xmlns:a16="http://schemas.microsoft.com/office/drawing/2014/main" id="{00000000-0008-0000-0F00-00002101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195</xdr:row>
      <xdr:rowOff>190500</xdr:rowOff>
    </xdr:from>
    <xdr:to>
      <xdr:col>18</xdr:col>
      <xdr:colOff>0</xdr:colOff>
      <xdr:row>195</xdr:row>
      <xdr:rowOff>190502</xdr:rowOff>
    </xdr:to>
    <xdr:cxnSp macro="">
      <xdr:nvCxnSpPr>
        <xdr:cNvPr id="290" name="Straight Connector 289">
          <a:extLst>
            <a:ext uri="{FF2B5EF4-FFF2-40B4-BE49-F238E27FC236}">
              <a16:creationId xmlns:a16="http://schemas.microsoft.com/office/drawing/2014/main" id="{00000000-0008-0000-0F00-00002201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196</xdr:row>
      <xdr:rowOff>180975</xdr:rowOff>
    </xdr:from>
    <xdr:to>
      <xdr:col>17</xdr:col>
      <xdr:colOff>409575</xdr:colOff>
      <xdr:row>196</xdr:row>
      <xdr:rowOff>180977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F00-00002301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197</xdr:row>
      <xdr:rowOff>180975</xdr:rowOff>
    </xdr:from>
    <xdr:to>
      <xdr:col>18</xdr:col>
      <xdr:colOff>0</xdr:colOff>
      <xdr:row>197</xdr:row>
      <xdr:rowOff>180977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F00-00002401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222</xdr:row>
      <xdr:rowOff>180975</xdr:rowOff>
    </xdr:from>
    <xdr:to>
      <xdr:col>6</xdr:col>
      <xdr:colOff>0</xdr:colOff>
      <xdr:row>222</xdr:row>
      <xdr:rowOff>180977</xdr:rowOff>
    </xdr:to>
    <xdr:cxnSp macro="">
      <xdr:nvCxnSpPr>
        <xdr:cNvPr id="293" name="Straight Connector 292">
          <a:extLst>
            <a:ext uri="{FF2B5EF4-FFF2-40B4-BE49-F238E27FC236}">
              <a16:creationId xmlns:a16="http://schemas.microsoft.com/office/drawing/2014/main" id="{00000000-0008-0000-0F00-00002501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223</xdr:row>
      <xdr:rowOff>190500</xdr:rowOff>
    </xdr:from>
    <xdr:to>
      <xdr:col>6</xdr:col>
      <xdr:colOff>0</xdr:colOff>
      <xdr:row>223</xdr:row>
      <xdr:rowOff>190502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F00-00002601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224</xdr:row>
      <xdr:rowOff>180975</xdr:rowOff>
    </xdr:from>
    <xdr:to>
      <xdr:col>5</xdr:col>
      <xdr:colOff>409575</xdr:colOff>
      <xdr:row>224</xdr:row>
      <xdr:rowOff>180977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id="{00000000-0008-0000-0F00-00002701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225</xdr:row>
      <xdr:rowOff>180975</xdr:rowOff>
    </xdr:from>
    <xdr:to>
      <xdr:col>6</xdr:col>
      <xdr:colOff>0</xdr:colOff>
      <xdr:row>225</xdr:row>
      <xdr:rowOff>180977</xdr:rowOff>
    </xdr:to>
    <xdr:cxnSp macro="">
      <xdr:nvCxnSpPr>
        <xdr:cNvPr id="296" name="Straight Connector 295">
          <a:extLst>
            <a:ext uri="{FF2B5EF4-FFF2-40B4-BE49-F238E27FC236}">
              <a16:creationId xmlns:a16="http://schemas.microsoft.com/office/drawing/2014/main" id="{00000000-0008-0000-0F00-00002801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222</xdr:row>
      <xdr:rowOff>180975</xdr:rowOff>
    </xdr:from>
    <xdr:to>
      <xdr:col>12</xdr:col>
      <xdr:colOff>0</xdr:colOff>
      <xdr:row>222</xdr:row>
      <xdr:rowOff>180977</xdr:rowOff>
    </xdr:to>
    <xdr:cxnSp macro="">
      <xdr:nvCxnSpPr>
        <xdr:cNvPr id="297" name="Straight Connector 296">
          <a:extLst>
            <a:ext uri="{FF2B5EF4-FFF2-40B4-BE49-F238E27FC236}">
              <a16:creationId xmlns:a16="http://schemas.microsoft.com/office/drawing/2014/main" id="{00000000-0008-0000-0F00-00002901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223</xdr:row>
      <xdr:rowOff>190500</xdr:rowOff>
    </xdr:from>
    <xdr:to>
      <xdr:col>12</xdr:col>
      <xdr:colOff>0</xdr:colOff>
      <xdr:row>223</xdr:row>
      <xdr:rowOff>190502</xdr:rowOff>
    </xdr:to>
    <xdr:cxnSp macro="">
      <xdr:nvCxnSpPr>
        <xdr:cNvPr id="298" name="Straight Connector 297">
          <a:extLst>
            <a:ext uri="{FF2B5EF4-FFF2-40B4-BE49-F238E27FC236}">
              <a16:creationId xmlns:a16="http://schemas.microsoft.com/office/drawing/2014/main" id="{00000000-0008-0000-0F00-00002A01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224</xdr:row>
      <xdr:rowOff>180975</xdr:rowOff>
    </xdr:from>
    <xdr:to>
      <xdr:col>11</xdr:col>
      <xdr:colOff>409575</xdr:colOff>
      <xdr:row>224</xdr:row>
      <xdr:rowOff>180977</xdr:rowOff>
    </xdr:to>
    <xdr:cxnSp macro="">
      <xdr:nvCxnSpPr>
        <xdr:cNvPr id="299" name="Straight Connector 298">
          <a:extLst>
            <a:ext uri="{FF2B5EF4-FFF2-40B4-BE49-F238E27FC236}">
              <a16:creationId xmlns:a16="http://schemas.microsoft.com/office/drawing/2014/main" id="{00000000-0008-0000-0F00-00002B01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225</xdr:row>
      <xdr:rowOff>180975</xdr:rowOff>
    </xdr:from>
    <xdr:to>
      <xdr:col>12</xdr:col>
      <xdr:colOff>0</xdr:colOff>
      <xdr:row>225</xdr:row>
      <xdr:rowOff>180977</xdr:rowOff>
    </xdr:to>
    <xdr:cxnSp macro="">
      <xdr:nvCxnSpPr>
        <xdr:cNvPr id="300" name="Straight Connector 299">
          <a:extLst>
            <a:ext uri="{FF2B5EF4-FFF2-40B4-BE49-F238E27FC236}">
              <a16:creationId xmlns:a16="http://schemas.microsoft.com/office/drawing/2014/main" id="{00000000-0008-0000-0F00-00002C01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222</xdr:row>
      <xdr:rowOff>180975</xdr:rowOff>
    </xdr:from>
    <xdr:to>
      <xdr:col>18</xdr:col>
      <xdr:colOff>0</xdr:colOff>
      <xdr:row>222</xdr:row>
      <xdr:rowOff>180977</xdr:rowOff>
    </xdr:to>
    <xdr:cxnSp macro="">
      <xdr:nvCxnSpPr>
        <xdr:cNvPr id="301" name="Straight Connector 300">
          <a:extLst>
            <a:ext uri="{FF2B5EF4-FFF2-40B4-BE49-F238E27FC236}">
              <a16:creationId xmlns:a16="http://schemas.microsoft.com/office/drawing/2014/main" id="{00000000-0008-0000-0F00-00002D01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223</xdr:row>
      <xdr:rowOff>190500</xdr:rowOff>
    </xdr:from>
    <xdr:to>
      <xdr:col>18</xdr:col>
      <xdr:colOff>0</xdr:colOff>
      <xdr:row>223</xdr:row>
      <xdr:rowOff>190502</xdr:rowOff>
    </xdr:to>
    <xdr:cxnSp macro="">
      <xdr:nvCxnSpPr>
        <xdr:cNvPr id="302" name="Straight Connector 301">
          <a:extLst>
            <a:ext uri="{FF2B5EF4-FFF2-40B4-BE49-F238E27FC236}">
              <a16:creationId xmlns:a16="http://schemas.microsoft.com/office/drawing/2014/main" id="{00000000-0008-0000-0F00-00002E01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224</xdr:row>
      <xdr:rowOff>180975</xdr:rowOff>
    </xdr:from>
    <xdr:to>
      <xdr:col>17</xdr:col>
      <xdr:colOff>409575</xdr:colOff>
      <xdr:row>224</xdr:row>
      <xdr:rowOff>180977</xdr:rowOff>
    </xdr:to>
    <xdr:cxnSp macro="">
      <xdr:nvCxnSpPr>
        <xdr:cNvPr id="303" name="Straight Connector 302">
          <a:extLst>
            <a:ext uri="{FF2B5EF4-FFF2-40B4-BE49-F238E27FC236}">
              <a16:creationId xmlns:a16="http://schemas.microsoft.com/office/drawing/2014/main" id="{00000000-0008-0000-0F00-00002F01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225</xdr:row>
      <xdr:rowOff>180975</xdr:rowOff>
    </xdr:from>
    <xdr:to>
      <xdr:col>18</xdr:col>
      <xdr:colOff>0</xdr:colOff>
      <xdr:row>225</xdr:row>
      <xdr:rowOff>180977</xdr:rowOff>
    </xdr:to>
    <xdr:cxnSp macro="">
      <xdr:nvCxnSpPr>
        <xdr:cNvPr id="304" name="Straight Connector 303">
          <a:extLst>
            <a:ext uri="{FF2B5EF4-FFF2-40B4-BE49-F238E27FC236}">
              <a16:creationId xmlns:a16="http://schemas.microsoft.com/office/drawing/2014/main" id="{00000000-0008-0000-0F00-00003001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251</xdr:row>
      <xdr:rowOff>180975</xdr:rowOff>
    </xdr:from>
    <xdr:to>
      <xdr:col>6</xdr:col>
      <xdr:colOff>0</xdr:colOff>
      <xdr:row>251</xdr:row>
      <xdr:rowOff>180977</xdr:rowOff>
    </xdr:to>
    <xdr:cxnSp macro="">
      <xdr:nvCxnSpPr>
        <xdr:cNvPr id="305" name="Straight Connector 304">
          <a:extLst>
            <a:ext uri="{FF2B5EF4-FFF2-40B4-BE49-F238E27FC236}">
              <a16:creationId xmlns:a16="http://schemas.microsoft.com/office/drawing/2014/main" id="{00000000-0008-0000-0F00-00003101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252</xdr:row>
      <xdr:rowOff>190500</xdr:rowOff>
    </xdr:from>
    <xdr:to>
      <xdr:col>6</xdr:col>
      <xdr:colOff>0</xdr:colOff>
      <xdr:row>252</xdr:row>
      <xdr:rowOff>190502</xdr:rowOff>
    </xdr:to>
    <xdr:cxnSp macro="">
      <xdr:nvCxnSpPr>
        <xdr:cNvPr id="306" name="Straight Connector 305">
          <a:extLst>
            <a:ext uri="{FF2B5EF4-FFF2-40B4-BE49-F238E27FC236}">
              <a16:creationId xmlns:a16="http://schemas.microsoft.com/office/drawing/2014/main" id="{00000000-0008-0000-0F00-00003201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253</xdr:row>
      <xdr:rowOff>180975</xdr:rowOff>
    </xdr:from>
    <xdr:to>
      <xdr:col>5</xdr:col>
      <xdr:colOff>409575</xdr:colOff>
      <xdr:row>253</xdr:row>
      <xdr:rowOff>180977</xdr:rowOff>
    </xdr:to>
    <xdr:cxnSp macro="">
      <xdr:nvCxnSpPr>
        <xdr:cNvPr id="307" name="Straight Connector 306">
          <a:extLst>
            <a:ext uri="{FF2B5EF4-FFF2-40B4-BE49-F238E27FC236}">
              <a16:creationId xmlns:a16="http://schemas.microsoft.com/office/drawing/2014/main" id="{00000000-0008-0000-0F00-00003301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254</xdr:row>
      <xdr:rowOff>180975</xdr:rowOff>
    </xdr:from>
    <xdr:to>
      <xdr:col>6</xdr:col>
      <xdr:colOff>0</xdr:colOff>
      <xdr:row>254</xdr:row>
      <xdr:rowOff>180977</xdr:rowOff>
    </xdr:to>
    <xdr:cxnSp macro="">
      <xdr:nvCxnSpPr>
        <xdr:cNvPr id="308" name="Straight Connector 307">
          <a:extLst>
            <a:ext uri="{FF2B5EF4-FFF2-40B4-BE49-F238E27FC236}">
              <a16:creationId xmlns:a16="http://schemas.microsoft.com/office/drawing/2014/main" id="{00000000-0008-0000-0F00-00003401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251</xdr:row>
      <xdr:rowOff>180975</xdr:rowOff>
    </xdr:from>
    <xdr:to>
      <xdr:col>12</xdr:col>
      <xdr:colOff>0</xdr:colOff>
      <xdr:row>251</xdr:row>
      <xdr:rowOff>180977</xdr:rowOff>
    </xdr:to>
    <xdr:cxnSp macro="">
      <xdr:nvCxnSpPr>
        <xdr:cNvPr id="309" name="Straight Connector 308">
          <a:extLst>
            <a:ext uri="{FF2B5EF4-FFF2-40B4-BE49-F238E27FC236}">
              <a16:creationId xmlns:a16="http://schemas.microsoft.com/office/drawing/2014/main" id="{00000000-0008-0000-0F00-00003501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252</xdr:row>
      <xdr:rowOff>190500</xdr:rowOff>
    </xdr:from>
    <xdr:to>
      <xdr:col>12</xdr:col>
      <xdr:colOff>0</xdr:colOff>
      <xdr:row>252</xdr:row>
      <xdr:rowOff>190502</xdr:rowOff>
    </xdr:to>
    <xdr:cxnSp macro="">
      <xdr:nvCxnSpPr>
        <xdr:cNvPr id="310" name="Straight Connector 309">
          <a:extLst>
            <a:ext uri="{FF2B5EF4-FFF2-40B4-BE49-F238E27FC236}">
              <a16:creationId xmlns:a16="http://schemas.microsoft.com/office/drawing/2014/main" id="{00000000-0008-0000-0F00-00003601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253</xdr:row>
      <xdr:rowOff>180975</xdr:rowOff>
    </xdr:from>
    <xdr:to>
      <xdr:col>11</xdr:col>
      <xdr:colOff>409575</xdr:colOff>
      <xdr:row>253</xdr:row>
      <xdr:rowOff>180977</xdr:rowOff>
    </xdr:to>
    <xdr:cxnSp macro="">
      <xdr:nvCxnSpPr>
        <xdr:cNvPr id="311" name="Straight Connector 310">
          <a:extLst>
            <a:ext uri="{FF2B5EF4-FFF2-40B4-BE49-F238E27FC236}">
              <a16:creationId xmlns:a16="http://schemas.microsoft.com/office/drawing/2014/main" id="{00000000-0008-0000-0F00-00003701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254</xdr:row>
      <xdr:rowOff>180975</xdr:rowOff>
    </xdr:from>
    <xdr:to>
      <xdr:col>12</xdr:col>
      <xdr:colOff>0</xdr:colOff>
      <xdr:row>254</xdr:row>
      <xdr:rowOff>180977</xdr:rowOff>
    </xdr:to>
    <xdr:cxnSp macro="">
      <xdr:nvCxnSpPr>
        <xdr:cNvPr id="312" name="Straight Connector 311">
          <a:extLst>
            <a:ext uri="{FF2B5EF4-FFF2-40B4-BE49-F238E27FC236}">
              <a16:creationId xmlns:a16="http://schemas.microsoft.com/office/drawing/2014/main" id="{00000000-0008-0000-0F00-00003801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251</xdr:row>
      <xdr:rowOff>180975</xdr:rowOff>
    </xdr:from>
    <xdr:to>
      <xdr:col>18</xdr:col>
      <xdr:colOff>0</xdr:colOff>
      <xdr:row>251</xdr:row>
      <xdr:rowOff>180977</xdr:rowOff>
    </xdr:to>
    <xdr:cxnSp macro="">
      <xdr:nvCxnSpPr>
        <xdr:cNvPr id="313" name="Straight Connector 312">
          <a:extLst>
            <a:ext uri="{FF2B5EF4-FFF2-40B4-BE49-F238E27FC236}">
              <a16:creationId xmlns:a16="http://schemas.microsoft.com/office/drawing/2014/main" id="{00000000-0008-0000-0F00-00003901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252</xdr:row>
      <xdr:rowOff>190500</xdr:rowOff>
    </xdr:from>
    <xdr:to>
      <xdr:col>18</xdr:col>
      <xdr:colOff>0</xdr:colOff>
      <xdr:row>252</xdr:row>
      <xdr:rowOff>190502</xdr:rowOff>
    </xdr:to>
    <xdr:cxnSp macro="">
      <xdr:nvCxnSpPr>
        <xdr:cNvPr id="314" name="Straight Connector 313">
          <a:extLst>
            <a:ext uri="{FF2B5EF4-FFF2-40B4-BE49-F238E27FC236}">
              <a16:creationId xmlns:a16="http://schemas.microsoft.com/office/drawing/2014/main" id="{00000000-0008-0000-0F00-00003A01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253</xdr:row>
      <xdr:rowOff>180975</xdr:rowOff>
    </xdr:from>
    <xdr:to>
      <xdr:col>17</xdr:col>
      <xdr:colOff>409575</xdr:colOff>
      <xdr:row>253</xdr:row>
      <xdr:rowOff>180977</xdr:rowOff>
    </xdr:to>
    <xdr:cxnSp macro="">
      <xdr:nvCxnSpPr>
        <xdr:cNvPr id="315" name="Straight Connector 314">
          <a:extLst>
            <a:ext uri="{FF2B5EF4-FFF2-40B4-BE49-F238E27FC236}">
              <a16:creationId xmlns:a16="http://schemas.microsoft.com/office/drawing/2014/main" id="{00000000-0008-0000-0F00-00003B01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254</xdr:row>
      <xdr:rowOff>180975</xdr:rowOff>
    </xdr:from>
    <xdr:to>
      <xdr:col>18</xdr:col>
      <xdr:colOff>0</xdr:colOff>
      <xdr:row>254</xdr:row>
      <xdr:rowOff>180977</xdr:rowOff>
    </xdr:to>
    <xdr:cxnSp macro="">
      <xdr:nvCxnSpPr>
        <xdr:cNvPr id="316" name="Straight Connector 315">
          <a:extLst>
            <a:ext uri="{FF2B5EF4-FFF2-40B4-BE49-F238E27FC236}">
              <a16:creationId xmlns:a16="http://schemas.microsoft.com/office/drawing/2014/main" id="{00000000-0008-0000-0F00-00003C01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279</xdr:row>
      <xdr:rowOff>180975</xdr:rowOff>
    </xdr:from>
    <xdr:to>
      <xdr:col>6</xdr:col>
      <xdr:colOff>0</xdr:colOff>
      <xdr:row>279</xdr:row>
      <xdr:rowOff>180977</xdr:rowOff>
    </xdr:to>
    <xdr:cxnSp macro="">
      <xdr:nvCxnSpPr>
        <xdr:cNvPr id="317" name="Straight Connector 316">
          <a:extLst>
            <a:ext uri="{FF2B5EF4-FFF2-40B4-BE49-F238E27FC236}">
              <a16:creationId xmlns:a16="http://schemas.microsoft.com/office/drawing/2014/main" id="{00000000-0008-0000-0F00-00003D01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280</xdr:row>
      <xdr:rowOff>190500</xdr:rowOff>
    </xdr:from>
    <xdr:to>
      <xdr:col>6</xdr:col>
      <xdr:colOff>0</xdr:colOff>
      <xdr:row>280</xdr:row>
      <xdr:rowOff>190502</xdr:rowOff>
    </xdr:to>
    <xdr:cxnSp macro="">
      <xdr:nvCxnSpPr>
        <xdr:cNvPr id="318" name="Straight Connector 317">
          <a:extLst>
            <a:ext uri="{FF2B5EF4-FFF2-40B4-BE49-F238E27FC236}">
              <a16:creationId xmlns:a16="http://schemas.microsoft.com/office/drawing/2014/main" id="{00000000-0008-0000-0F00-00003E01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281</xdr:row>
      <xdr:rowOff>180975</xdr:rowOff>
    </xdr:from>
    <xdr:to>
      <xdr:col>5</xdr:col>
      <xdr:colOff>409575</xdr:colOff>
      <xdr:row>281</xdr:row>
      <xdr:rowOff>180977</xdr:rowOff>
    </xdr:to>
    <xdr:cxnSp macro="">
      <xdr:nvCxnSpPr>
        <xdr:cNvPr id="319" name="Straight Connector 318">
          <a:extLst>
            <a:ext uri="{FF2B5EF4-FFF2-40B4-BE49-F238E27FC236}">
              <a16:creationId xmlns:a16="http://schemas.microsoft.com/office/drawing/2014/main" id="{00000000-0008-0000-0F00-00003F01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282</xdr:row>
      <xdr:rowOff>180975</xdr:rowOff>
    </xdr:from>
    <xdr:to>
      <xdr:col>6</xdr:col>
      <xdr:colOff>0</xdr:colOff>
      <xdr:row>282</xdr:row>
      <xdr:rowOff>180977</xdr:rowOff>
    </xdr:to>
    <xdr:cxnSp macro="">
      <xdr:nvCxnSpPr>
        <xdr:cNvPr id="320" name="Straight Connector 319">
          <a:extLst>
            <a:ext uri="{FF2B5EF4-FFF2-40B4-BE49-F238E27FC236}">
              <a16:creationId xmlns:a16="http://schemas.microsoft.com/office/drawing/2014/main" id="{00000000-0008-0000-0F00-00004001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279</xdr:row>
      <xdr:rowOff>180975</xdr:rowOff>
    </xdr:from>
    <xdr:to>
      <xdr:col>12</xdr:col>
      <xdr:colOff>0</xdr:colOff>
      <xdr:row>279</xdr:row>
      <xdr:rowOff>180977</xdr:rowOff>
    </xdr:to>
    <xdr:cxnSp macro="">
      <xdr:nvCxnSpPr>
        <xdr:cNvPr id="321" name="Straight Connector 320">
          <a:extLst>
            <a:ext uri="{FF2B5EF4-FFF2-40B4-BE49-F238E27FC236}">
              <a16:creationId xmlns:a16="http://schemas.microsoft.com/office/drawing/2014/main" id="{00000000-0008-0000-0F00-00004101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280</xdr:row>
      <xdr:rowOff>190500</xdr:rowOff>
    </xdr:from>
    <xdr:to>
      <xdr:col>12</xdr:col>
      <xdr:colOff>0</xdr:colOff>
      <xdr:row>280</xdr:row>
      <xdr:rowOff>190502</xdr:rowOff>
    </xdr:to>
    <xdr:cxnSp macro="">
      <xdr:nvCxnSpPr>
        <xdr:cNvPr id="322" name="Straight Connector 321">
          <a:extLst>
            <a:ext uri="{FF2B5EF4-FFF2-40B4-BE49-F238E27FC236}">
              <a16:creationId xmlns:a16="http://schemas.microsoft.com/office/drawing/2014/main" id="{00000000-0008-0000-0F00-00004201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281</xdr:row>
      <xdr:rowOff>180975</xdr:rowOff>
    </xdr:from>
    <xdr:to>
      <xdr:col>11</xdr:col>
      <xdr:colOff>409575</xdr:colOff>
      <xdr:row>281</xdr:row>
      <xdr:rowOff>180977</xdr:rowOff>
    </xdr:to>
    <xdr:cxnSp macro="">
      <xdr:nvCxnSpPr>
        <xdr:cNvPr id="323" name="Straight Connector 322">
          <a:extLst>
            <a:ext uri="{FF2B5EF4-FFF2-40B4-BE49-F238E27FC236}">
              <a16:creationId xmlns:a16="http://schemas.microsoft.com/office/drawing/2014/main" id="{00000000-0008-0000-0F00-00004301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282</xdr:row>
      <xdr:rowOff>180975</xdr:rowOff>
    </xdr:from>
    <xdr:to>
      <xdr:col>12</xdr:col>
      <xdr:colOff>0</xdr:colOff>
      <xdr:row>282</xdr:row>
      <xdr:rowOff>180977</xdr:rowOff>
    </xdr:to>
    <xdr:cxnSp macro="">
      <xdr:nvCxnSpPr>
        <xdr:cNvPr id="324" name="Straight Connector 323">
          <a:extLst>
            <a:ext uri="{FF2B5EF4-FFF2-40B4-BE49-F238E27FC236}">
              <a16:creationId xmlns:a16="http://schemas.microsoft.com/office/drawing/2014/main" id="{00000000-0008-0000-0F00-00004401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279</xdr:row>
      <xdr:rowOff>180975</xdr:rowOff>
    </xdr:from>
    <xdr:to>
      <xdr:col>18</xdr:col>
      <xdr:colOff>0</xdr:colOff>
      <xdr:row>279</xdr:row>
      <xdr:rowOff>180977</xdr:rowOff>
    </xdr:to>
    <xdr:cxnSp macro="">
      <xdr:nvCxnSpPr>
        <xdr:cNvPr id="325" name="Straight Connector 324">
          <a:extLst>
            <a:ext uri="{FF2B5EF4-FFF2-40B4-BE49-F238E27FC236}">
              <a16:creationId xmlns:a16="http://schemas.microsoft.com/office/drawing/2014/main" id="{00000000-0008-0000-0F00-00004501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280</xdr:row>
      <xdr:rowOff>190500</xdr:rowOff>
    </xdr:from>
    <xdr:to>
      <xdr:col>18</xdr:col>
      <xdr:colOff>0</xdr:colOff>
      <xdr:row>280</xdr:row>
      <xdr:rowOff>190502</xdr:rowOff>
    </xdr:to>
    <xdr:cxnSp macro="">
      <xdr:nvCxnSpPr>
        <xdr:cNvPr id="326" name="Straight Connector 325">
          <a:extLst>
            <a:ext uri="{FF2B5EF4-FFF2-40B4-BE49-F238E27FC236}">
              <a16:creationId xmlns:a16="http://schemas.microsoft.com/office/drawing/2014/main" id="{00000000-0008-0000-0F00-00004601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281</xdr:row>
      <xdr:rowOff>180975</xdr:rowOff>
    </xdr:from>
    <xdr:to>
      <xdr:col>17</xdr:col>
      <xdr:colOff>409575</xdr:colOff>
      <xdr:row>281</xdr:row>
      <xdr:rowOff>180977</xdr:rowOff>
    </xdr:to>
    <xdr:cxnSp macro="">
      <xdr:nvCxnSpPr>
        <xdr:cNvPr id="327" name="Straight Connector 326">
          <a:extLst>
            <a:ext uri="{FF2B5EF4-FFF2-40B4-BE49-F238E27FC236}">
              <a16:creationId xmlns:a16="http://schemas.microsoft.com/office/drawing/2014/main" id="{00000000-0008-0000-0F00-00004701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282</xdr:row>
      <xdr:rowOff>180975</xdr:rowOff>
    </xdr:from>
    <xdr:to>
      <xdr:col>18</xdr:col>
      <xdr:colOff>0</xdr:colOff>
      <xdr:row>282</xdr:row>
      <xdr:rowOff>180977</xdr:rowOff>
    </xdr:to>
    <xdr:cxnSp macro="">
      <xdr:nvCxnSpPr>
        <xdr:cNvPr id="328" name="Straight Connector 327">
          <a:extLst>
            <a:ext uri="{FF2B5EF4-FFF2-40B4-BE49-F238E27FC236}">
              <a16:creationId xmlns:a16="http://schemas.microsoft.com/office/drawing/2014/main" id="{00000000-0008-0000-0F00-00004801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308</xdr:row>
      <xdr:rowOff>180975</xdr:rowOff>
    </xdr:from>
    <xdr:to>
      <xdr:col>6</xdr:col>
      <xdr:colOff>0</xdr:colOff>
      <xdr:row>308</xdr:row>
      <xdr:rowOff>180977</xdr:rowOff>
    </xdr:to>
    <xdr:cxnSp macro="">
      <xdr:nvCxnSpPr>
        <xdr:cNvPr id="329" name="Straight Connector 328">
          <a:extLst>
            <a:ext uri="{FF2B5EF4-FFF2-40B4-BE49-F238E27FC236}">
              <a16:creationId xmlns:a16="http://schemas.microsoft.com/office/drawing/2014/main" id="{00000000-0008-0000-0F00-00004901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309</xdr:row>
      <xdr:rowOff>190500</xdr:rowOff>
    </xdr:from>
    <xdr:to>
      <xdr:col>6</xdr:col>
      <xdr:colOff>0</xdr:colOff>
      <xdr:row>309</xdr:row>
      <xdr:rowOff>190502</xdr:rowOff>
    </xdr:to>
    <xdr:cxnSp macro="">
      <xdr:nvCxnSpPr>
        <xdr:cNvPr id="330" name="Straight Connector 329">
          <a:extLst>
            <a:ext uri="{FF2B5EF4-FFF2-40B4-BE49-F238E27FC236}">
              <a16:creationId xmlns:a16="http://schemas.microsoft.com/office/drawing/2014/main" id="{00000000-0008-0000-0F00-00004A01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310</xdr:row>
      <xdr:rowOff>180975</xdr:rowOff>
    </xdr:from>
    <xdr:to>
      <xdr:col>5</xdr:col>
      <xdr:colOff>409575</xdr:colOff>
      <xdr:row>310</xdr:row>
      <xdr:rowOff>180977</xdr:rowOff>
    </xdr:to>
    <xdr:cxnSp macro="">
      <xdr:nvCxnSpPr>
        <xdr:cNvPr id="331" name="Straight Connector 330">
          <a:extLst>
            <a:ext uri="{FF2B5EF4-FFF2-40B4-BE49-F238E27FC236}">
              <a16:creationId xmlns:a16="http://schemas.microsoft.com/office/drawing/2014/main" id="{00000000-0008-0000-0F00-00004B01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311</xdr:row>
      <xdr:rowOff>180975</xdr:rowOff>
    </xdr:from>
    <xdr:to>
      <xdr:col>6</xdr:col>
      <xdr:colOff>0</xdr:colOff>
      <xdr:row>311</xdr:row>
      <xdr:rowOff>180977</xdr:rowOff>
    </xdr:to>
    <xdr:cxnSp macro="">
      <xdr:nvCxnSpPr>
        <xdr:cNvPr id="332" name="Straight Connector 331">
          <a:extLst>
            <a:ext uri="{FF2B5EF4-FFF2-40B4-BE49-F238E27FC236}">
              <a16:creationId xmlns:a16="http://schemas.microsoft.com/office/drawing/2014/main" id="{00000000-0008-0000-0F00-00004C01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308</xdr:row>
      <xdr:rowOff>180975</xdr:rowOff>
    </xdr:from>
    <xdr:to>
      <xdr:col>12</xdr:col>
      <xdr:colOff>0</xdr:colOff>
      <xdr:row>308</xdr:row>
      <xdr:rowOff>180977</xdr:rowOff>
    </xdr:to>
    <xdr:cxnSp macro="">
      <xdr:nvCxnSpPr>
        <xdr:cNvPr id="333" name="Straight Connector 332">
          <a:extLst>
            <a:ext uri="{FF2B5EF4-FFF2-40B4-BE49-F238E27FC236}">
              <a16:creationId xmlns:a16="http://schemas.microsoft.com/office/drawing/2014/main" id="{00000000-0008-0000-0F00-00004D01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309</xdr:row>
      <xdr:rowOff>190500</xdr:rowOff>
    </xdr:from>
    <xdr:to>
      <xdr:col>12</xdr:col>
      <xdr:colOff>0</xdr:colOff>
      <xdr:row>309</xdr:row>
      <xdr:rowOff>190502</xdr:rowOff>
    </xdr:to>
    <xdr:cxnSp macro="">
      <xdr:nvCxnSpPr>
        <xdr:cNvPr id="334" name="Straight Connector 333">
          <a:extLst>
            <a:ext uri="{FF2B5EF4-FFF2-40B4-BE49-F238E27FC236}">
              <a16:creationId xmlns:a16="http://schemas.microsoft.com/office/drawing/2014/main" id="{00000000-0008-0000-0F00-00004E01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310</xdr:row>
      <xdr:rowOff>180975</xdr:rowOff>
    </xdr:from>
    <xdr:to>
      <xdr:col>11</xdr:col>
      <xdr:colOff>409575</xdr:colOff>
      <xdr:row>310</xdr:row>
      <xdr:rowOff>180977</xdr:rowOff>
    </xdr:to>
    <xdr:cxnSp macro="">
      <xdr:nvCxnSpPr>
        <xdr:cNvPr id="335" name="Straight Connector 334">
          <a:extLst>
            <a:ext uri="{FF2B5EF4-FFF2-40B4-BE49-F238E27FC236}">
              <a16:creationId xmlns:a16="http://schemas.microsoft.com/office/drawing/2014/main" id="{00000000-0008-0000-0F00-00004F01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311</xdr:row>
      <xdr:rowOff>180975</xdr:rowOff>
    </xdr:from>
    <xdr:to>
      <xdr:col>12</xdr:col>
      <xdr:colOff>0</xdr:colOff>
      <xdr:row>311</xdr:row>
      <xdr:rowOff>180977</xdr:rowOff>
    </xdr:to>
    <xdr:cxnSp macro="">
      <xdr:nvCxnSpPr>
        <xdr:cNvPr id="336" name="Straight Connector 335">
          <a:extLst>
            <a:ext uri="{FF2B5EF4-FFF2-40B4-BE49-F238E27FC236}">
              <a16:creationId xmlns:a16="http://schemas.microsoft.com/office/drawing/2014/main" id="{00000000-0008-0000-0F00-00005001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308</xdr:row>
      <xdr:rowOff>180975</xdr:rowOff>
    </xdr:from>
    <xdr:to>
      <xdr:col>18</xdr:col>
      <xdr:colOff>0</xdr:colOff>
      <xdr:row>308</xdr:row>
      <xdr:rowOff>180977</xdr:rowOff>
    </xdr:to>
    <xdr:cxnSp macro="">
      <xdr:nvCxnSpPr>
        <xdr:cNvPr id="337" name="Straight Connector 336">
          <a:extLst>
            <a:ext uri="{FF2B5EF4-FFF2-40B4-BE49-F238E27FC236}">
              <a16:creationId xmlns:a16="http://schemas.microsoft.com/office/drawing/2014/main" id="{00000000-0008-0000-0F00-00005101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309</xdr:row>
      <xdr:rowOff>190500</xdr:rowOff>
    </xdr:from>
    <xdr:to>
      <xdr:col>18</xdr:col>
      <xdr:colOff>0</xdr:colOff>
      <xdr:row>309</xdr:row>
      <xdr:rowOff>190502</xdr:rowOff>
    </xdr:to>
    <xdr:cxnSp macro="">
      <xdr:nvCxnSpPr>
        <xdr:cNvPr id="338" name="Straight Connector 337">
          <a:extLst>
            <a:ext uri="{FF2B5EF4-FFF2-40B4-BE49-F238E27FC236}">
              <a16:creationId xmlns:a16="http://schemas.microsoft.com/office/drawing/2014/main" id="{00000000-0008-0000-0F00-00005201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310</xdr:row>
      <xdr:rowOff>180975</xdr:rowOff>
    </xdr:from>
    <xdr:to>
      <xdr:col>17</xdr:col>
      <xdr:colOff>409575</xdr:colOff>
      <xdr:row>310</xdr:row>
      <xdr:rowOff>180977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00000000-0008-0000-0F00-00005301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311</xdr:row>
      <xdr:rowOff>180975</xdr:rowOff>
    </xdr:from>
    <xdr:to>
      <xdr:col>18</xdr:col>
      <xdr:colOff>0</xdr:colOff>
      <xdr:row>311</xdr:row>
      <xdr:rowOff>180977</xdr:rowOff>
    </xdr:to>
    <xdr:cxnSp macro="">
      <xdr:nvCxnSpPr>
        <xdr:cNvPr id="340" name="Straight Connector 339">
          <a:extLst>
            <a:ext uri="{FF2B5EF4-FFF2-40B4-BE49-F238E27FC236}">
              <a16:creationId xmlns:a16="http://schemas.microsoft.com/office/drawing/2014/main" id="{00000000-0008-0000-0F00-00005401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336</xdr:row>
      <xdr:rowOff>180975</xdr:rowOff>
    </xdr:from>
    <xdr:to>
      <xdr:col>6</xdr:col>
      <xdr:colOff>0</xdr:colOff>
      <xdr:row>336</xdr:row>
      <xdr:rowOff>180977</xdr:rowOff>
    </xdr:to>
    <xdr:cxnSp macro="">
      <xdr:nvCxnSpPr>
        <xdr:cNvPr id="341" name="Straight Connector 340">
          <a:extLst>
            <a:ext uri="{FF2B5EF4-FFF2-40B4-BE49-F238E27FC236}">
              <a16:creationId xmlns:a16="http://schemas.microsoft.com/office/drawing/2014/main" id="{00000000-0008-0000-0F00-00005501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337</xdr:row>
      <xdr:rowOff>190500</xdr:rowOff>
    </xdr:from>
    <xdr:to>
      <xdr:col>6</xdr:col>
      <xdr:colOff>0</xdr:colOff>
      <xdr:row>337</xdr:row>
      <xdr:rowOff>190502</xdr:rowOff>
    </xdr:to>
    <xdr:cxnSp macro="">
      <xdr:nvCxnSpPr>
        <xdr:cNvPr id="342" name="Straight Connector 341">
          <a:extLst>
            <a:ext uri="{FF2B5EF4-FFF2-40B4-BE49-F238E27FC236}">
              <a16:creationId xmlns:a16="http://schemas.microsoft.com/office/drawing/2014/main" id="{00000000-0008-0000-0F00-00005601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338</xdr:row>
      <xdr:rowOff>180975</xdr:rowOff>
    </xdr:from>
    <xdr:to>
      <xdr:col>5</xdr:col>
      <xdr:colOff>409575</xdr:colOff>
      <xdr:row>338</xdr:row>
      <xdr:rowOff>180977</xdr:rowOff>
    </xdr:to>
    <xdr:cxnSp macro="">
      <xdr:nvCxnSpPr>
        <xdr:cNvPr id="555" name="Straight Connector 554">
          <a:extLst>
            <a:ext uri="{FF2B5EF4-FFF2-40B4-BE49-F238E27FC236}">
              <a16:creationId xmlns:a16="http://schemas.microsoft.com/office/drawing/2014/main" id="{00000000-0008-0000-0F00-00002B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339</xdr:row>
      <xdr:rowOff>180975</xdr:rowOff>
    </xdr:from>
    <xdr:to>
      <xdr:col>6</xdr:col>
      <xdr:colOff>0</xdr:colOff>
      <xdr:row>339</xdr:row>
      <xdr:rowOff>180977</xdr:rowOff>
    </xdr:to>
    <xdr:cxnSp macro="">
      <xdr:nvCxnSpPr>
        <xdr:cNvPr id="556" name="Straight Connector 555">
          <a:extLst>
            <a:ext uri="{FF2B5EF4-FFF2-40B4-BE49-F238E27FC236}">
              <a16:creationId xmlns:a16="http://schemas.microsoft.com/office/drawing/2014/main" id="{00000000-0008-0000-0F00-00002C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336</xdr:row>
      <xdr:rowOff>180975</xdr:rowOff>
    </xdr:from>
    <xdr:to>
      <xdr:col>12</xdr:col>
      <xdr:colOff>0</xdr:colOff>
      <xdr:row>336</xdr:row>
      <xdr:rowOff>180977</xdr:rowOff>
    </xdr:to>
    <xdr:cxnSp macro="">
      <xdr:nvCxnSpPr>
        <xdr:cNvPr id="557" name="Straight Connector 556">
          <a:extLst>
            <a:ext uri="{FF2B5EF4-FFF2-40B4-BE49-F238E27FC236}">
              <a16:creationId xmlns:a16="http://schemas.microsoft.com/office/drawing/2014/main" id="{00000000-0008-0000-0F00-00002D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337</xdr:row>
      <xdr:rowOff>190500</xdr:rowOff>
    </xdr:from>
    <xdr:to>
      <xdr:col>12</xdr:col>
      <xdr:colOff>0</xdr:colOff>
      <xdr:row>337</xdr:row>
      <xdr:rowOff>190502</xdr:rowOff>
    </xdr:to>
    <xdr:cxnSp macro="">
      <xdr:nvCxnSpPr>
        <xdr:cNvPr id="558" name="Straight Connector 557">
          <a:extLst>
            <a:ext uri="{FF2B5EF4-FFF2-40B4-BE49-F238E27FC236}">
              <a16:creationId xmlns:a16="http://schemas.microsoft.com/office/drawing/2014/main" id="{00000000-0008-0000-0F00-00002E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338</xdr:row>
      <xdr:rowOff>180975</xdr:rowOff>
    </xdr:from>
    <xdr:to>
      <xdr:col>11</xdr:col>
      <xdr:colOff>409575</xdr:colOff>
      <xdr:row>338</xdr:row>
      <xdr:rowOff>180977</xdr:rowOff>
    </xdr:to>
    <xdr:cxnSp macro="">
      <xdr:nvCxnSpPr>
        <xdr:cNvPr id="559" name="Straight Connector 558">
          <a:extLst>
            <a:ext uri="{FF2B5EF4-FFF2-40B4-BE49-F238E27FC236}">
              <a16:creationId xmlns:a16="http://schemas.microsoft.com/office/drawing/2014/main" id="{00000000-0008-0000-0F00-00002F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339</xdr:row>
      <xdr:rowOff>180975</xdr:rowOff>
    </xdr:from>
    <xdr:to>
      <xdr:col>12</xdr:col>
      <xdr:colOff>0</xdr:colOff>
      <xdr:row>339</xdr:row>
      <xdr:rowOff>180977</xdr:rowOff>
    </xdr:to>
    <xdr:cxnSp macro="">
      <xdr:nvCxnSpPr>
        <xdr:cNvPr id="560" name="Straight Connector 559">
          <a:extLst>
            <a:ext uri="{FF2B5EF4-FFF2-40B4-BE49-F238E27FC236}">
              <a16:creationId xmlns:a16="http://schemas.microsoft.com/office/drawing/2014/main" id="{00000000-0008-0000-0F00-000030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336</xdr:row>
      <xdr:rowOff>180975</xdr:rowOff>
    </xdr:from>
    <xdr:to>
      <xdr:col>18</xdr:col>
      <xdr:colOff>0</xdr:colOff>
      <xdr:row>336</xdr:row>
      <xdr:rowOff>180977</xdr:rowOff>
    </xdr:to>
    <xdr:cxnSp macro="">
      <xdr:nvCxnSpPr>
        <xdr:cNvPr id="561" name="Straight Connector 560">
          <a:extLst>
            <a:ext uri="{FF2B5EF4-FFF2-40B4-BE49-F238E27FC236}">
              <a16:creationId xmlns:a16="http://schemas.microsoft.com/office/drawing/2014/main" id="{00000000-0008-0000-0F00-000031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337</xdr:row>
      <xdr:rowOff>190500</xdr:rowOff>
    </xdr:from>
    <xdr:to>
      <xdr:col>18</xdr:col>
      <xdr:colOff>0</xdr:colOff>
      <xdr:row>337</xdr:row>
      <xdr:rowOff>190502</xdr:rowOff>
    </xdr:to>
    <xdr:cxnSp macro="">
      <xdr:nvCxnSpPr>
        <xdr:cNvPr id="562" name="Straight Connector 561">
          <a:extLst>
            <a:ext uri="{FF2B5EF4-FFF2-40B4-BE49-F238E27FC236}">
              <a16:creationId xmlns:a16="http://schemas.microsoft.com/office/drawing/2014/main" id="{00000000-0008-0000-0F00-000032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338</xdr:row>
      <xdr:rowOff>180975</xdr:rowOff>
    </xdr:from>
    <xdr:to>
      <xdr:col>17</xdr:col>
      <xdr:colOff>409575</xdr:colOff>
      <xdr:row>338</xdr:row>
      <xdr:rowOff>180977</xdr:rowOff>
    </xdr:to>
    <xdr:cxnSp macro="">
      <xdr:nvCxnSpPr>
        <xdr:cNvPr id="563" name="Straight Connector 562">
          <a:extLst>
            <a:ext uri="{FF2B5EF4-FFF2-40B4-BE49-F238E27FC236}">
              <a16:creationId xmlns:a16="http://schemas.microsoft.com/office/drawing/2014/main" id="{00000000-0008-0000-0F00-000033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339</xdr:row>
      <xdr:rowOff>180975</xdr:rowOff>
    </xdr:from>
    <xdr:to>
      <xdr:col>18</xdr:col>
      <xdr:colOff>0</xdr:colOff>
      <xdr:row>339</xdr:row>
      <xdr:rowOff>180977</xdr:rowOff>
    </xdr:to>
    <xdr:cxnSp macro="">
      <xdr:nvCxnSpPr>
        <xdr:cNvPr id="564" name="Straight Connector 563">
          <a:extLst>
            <a:ext uri="{FF2B5EF4-FFF2-40B4-BE49-F238E27FC236}">
              <a16:creationId xmlns:a16="http://schemas.microsoft.com/office/drawing/2014/main" id="{00000000-0008-0000-0F00-000034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365</xdr:row>
      <xdr:rowOff>180975</xdr:rowOff>
    </xdr:from>
    <xdr:to>
      <xdr:col>6</xdr:col>
      <xdr:colOff>0</xdr:colOff>
      <xdr:row>365</xdr:row>
      <xdr:rowOff>180977</xdr:rowOff>
    </xdr:to>
    <xdr:cxnSp macro="">
      <xdr:nvCxnSpPr>
        <xdr:cNvPr id="565" name="Straight Connector 564">
          <a:extLst>
            <a:ext uri="{FF2B5EF4-FFF2-40B4-BE49-F238E27FC236}">
              <a16:creationId xmlns:a16="http://schemas.microsoft.com/office/drawing/2014/main" id="{00000000-0008-0000-0F00-000035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366</xdr:row>
      <xdr:rowOff>190500</xdr:rowOff>
    </xdr:from>
    <xdr:to>
      <xdr:col>6</xdr:col>
      <xdr:colOff>0</xdr:colOff>
      <xdr:row>366</xdr:row>
      <xdr:rowOff>190502</xdr:rowOff>
    </xdr:to>
    <xdr:cxnSp macro="">
      <xdr:nvCxnSpPr>
        <xdr:cNvPr id="566" name="Straight Connector 565">
          <a:extLst>
            <a:ext uri="{FF2B5EF4-FFF2-40B4-BE49-F238E27FC236}">
              <a16:creationId xmlns:a16="http://schemas.microsoft.com/office/drawing/2014/main" id="{00000000-0008-0000-0F00-000036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367</xdr:row>
      <xdr:rowOff>180975</xdr:rowOff>
    </xdr:from>
    <xdr:to>
      <xdr:col>5</xdr:col>
      <xdr:colOff>409575</xdr:colOff>
      <xdr:row>367</xdr:row>
      <xdr:rowOff>180977</xdr:rowOff>
    </xdr:to>
    <xdr:cxnSp macro="">
      <xdr:nvCxnSpPr>
        <xdr:cNvPr id="567" name="Straight Connector 566">
          <a:extLst>
            <a:ext uri="{FF2B5EF4-FFF2-40B4-BE49-F238E27FC236}">
              <a16:creationId xmlns:a16="http://schemas.microsoft.com/office/drawing/2014/main" id="{00000000-0008-0000-0F00-000037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368</xdr:row>
      <xdr:rowOff>180975</xdr:rowOff>
    </xdr:from>
    <xdr:to>
      <xdr:col>6</xdr:col>
      <xdr:colOff>0</xdr:colOff>
      <xdr:row>368</xdr:row>
      <xdr:rowOff>180977</xdr:rowOff>
    </xdr:to>
    <xdr:cxnSp macro="">
      <xdr:nvCxnSpPr>
        <xdr:cNvPr id="568" name="Straight Connector 567">
          <a:extLst>
            <a:ext uri="{FF2B5EF4-FFF2-40B4-BE49-F238E27FC236}">
              <a16:creationId xmlns:a16="http://schemas.microsoft.com/office/drawing/2014/main" id="{00000000-0008-0000-0F00-000038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365</xdr:row>
      <xdr:rowOff>180975</xdr:rowOff>
    </xdr:from>
    <xdr:to>
      <xdr:col>12</xdr:col>
      <xdr:colOff>0</xdr:colOff>
      <xdr:row>365</xdr:row>
      <xdr:rowOff>180977</xdr:rowOff>
    </xdr:to>
    <xdr:cxnSp macro="">
      <xdr:nvCxnSpPr>
        <xdr:cNvPr id="569" name="Straight Connector 568">
          <a:extLst>
            <a:ext uri="{FF2B5EF4-FFF2-40B4-BE49-F238E27FC236}">
              <a16:creationId xmlns:a16="http://schemas.microsoft.com/office/drawing/2014/main" id="{00000000-0008-0000-0F00-00003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366</xdr:row>
      <xdr:rowOff>190500</xdr:rowOff>
    </xdr:from>
    <xdr:to>
      <xdr:col>12</xdr:col>
      <xdr:colOff>0</xdr:colOff>
      <xdr:row>366</xdr:row>
      <xdr:rowOff>190502</xdr:rowOff>
    </xdr:to>
    <xdr:cxnSp macro="">
      <xdr:nvCxnSpPr>
        <xdr:cNvPr id="570" name="Straight Connector 569">
          <a:extLst>
            <a:ext uri="{FF2B5EF4-FFF2-40B4-BE49-F238E27FC236}">
              <a16:creationId xmlns:a16="http://schemas.microsoft.com/office/drawing/2014/main" id="{00000000-0008-0000-0F00-00003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367</xdr:row>
      <xdr:rowOff>180975</xdr:rowOff>
    </xdr:from>
    <xdr:to>
      <xdr:col>11</xdr:col>
      <xdr:colOff>409575</xdr:colOff>
      <xdr:row>367</xdr:row>
      <xdr:rowOff>180977</xdr:rowOff>
    </xdr:to>
    <xdr:cxnSp macro="">
      <xdr:nvCxnSpPr>
        <xdr:cNvPr id="571" name="Straight Connector 570">
          <a:extLst>
            <a:ext uri="{FF2B5EF4-FFF2-40B4-BE49-F238E27FC236}">
              <a16:creationId xmlns:a16="http://schemas.microsoft.com/office/drawing/2014/main" id="{00000000-0008-0000-0F00-00003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368</xdr:row>
      <xdr:rowOff>180975</xdr:rowOff>
    </xdr:from>
    <xdr:to>
      <xdr:col>12</xdr:col>
      <xdr:colOff>0</xdr:colOff>
      <xdr:row>368</xdr:row>
      <xdr:rowOff>180977</xdr:rowOff>
    </xdr:to>
    <xdr:cxnSp macro="">
      <xdr:nvCxnSpPr>
        <xdr:cNvPr id="572" name="Straight Connector 571">
          <a:extLst>
            <a:ext uri="{FF2B5EF4-FFF2-40B4-BE49-F238E27FC236}">
              <a16:creationId xmlns:a16="http://schemas.microsoft.com/office/drawing/2014/main" id="{00000000-0008-0000-0F00-00003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365</xdr:row>
      <xdr:rowOff>180975</xdr:rowOff>
    </xdr:from>
    <xdr:to>
      <xdr:col>18</xdr:col>
      <xdr:colOff>0</xdr:colOff>
      <xdr:row>365</xdr:row>
      <xdr:rowOff>180977</xdr:rowOff>
    </xdr:to>
    <xdr:cxnSp macro="">
      <xdr:nvCxnSpPr>
        <xdr:cNvPr id="573" name="Straight Connector 572">
          <a:extLst>
            <a:ext uri="{FF2B5EF4-FFF2-40B4-BE49-F238E27FC236}">
              <a16:creationId xmlns:a16="http://schemas.microsoft.com/office/drawing/2014/main" id="{00000000-0008-0000-0F00-00003D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366</xdr:row>
      <xdr:rowOff>190500</xdr:rowOff>
    </xdr:from>
    <xdr:to>
      <xdr:col>18</xdr:col>
      <xdr:colOff>0</xdr:colOff>
      <xdr:row>366</xdr:row>
      <xdr:rowOff>190502</xdr:rowOff>
    </xdr:to>
    <xdr:cxnSp macro="">
      <xdr:nvCxnSpPr>
        <xdr:cNvPr id="574" name="Straight Connector 573">
          <a:extLst>
            <a:ext uri="{FF2B5EF4-FFF2-40B4-BE49-F238E27FC236}">
              <a16:creationId xmlns:a16="http://schemas.microsoft.com/office/drawing/2014/main" id="{00000000-0008-0000-0F00-00003E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367</xdr:row>
      <xdr:rowOff>180975</xdr:rowOff>
    </xdr:from>
    <xdr:to>
      <xdr:col>17</xdr:col>
      <xdr:colOff>409575</xdr:colOff>
      <xdr:row>367</xdr:row>
      <xdr:rowOff>180977</xdr:rowOff>
    </xdr:to>
    <xdr:cxnSp macro="">
      <xdr:nvCxnSpPr>
        <xdr:cNvPr id="575" name="Straight Connector 574">
          <a:extLst>
            <a:ext uri="{FF2B5EF4-FFF2-40B4-BE49-F238E27FC236}">
              <a16:creationId xmlns:a16="http://schemas.microsoft.com/office/drawing/2014/main" id="{00000000-0008-0000-0F00-00003F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368</xdr:row>
      <xdr:rowOff>180975</xdr:rowOff>
    </xdr:from>
    <xdr:to>
      <xdr:col>18</xdr:col>
      <xdr:colOff>0</xdr:colOff>
      <xdr:row>368</xdr:row>
      <xdr:rowOff>180977</xdr:rowOff>
    </xdr:to>
    <xdr:cxnSp macro="">
      <xdr:nvCxnSpPr>
        <xdr:cNvPr id="576" name="Straight Connector 575">
          <a:extLst>
            <a:ext uri="{FF2B5EF4-FFF2-40B4-BE49-F238E27FC236}">
              <a16:creationId xmlns:a16="http://schemas.microsoft.com/office/drawing/2014/main" id="{00000000-0008-0000-0F00-000040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23</xdr:row>
      <xdr:rowOff>180975</xdr:rowOff>
    </xdr:from>
    <xdr:to>
      <xdr:col>12</xdr:col>
      <xdr:colOff>0</xdr:colOff>
      <xdr:row>23</xdr:row>
      <xdr:rowOff>180977</xdr:rowOff>
    </xdr:to>
    <xdr:cxnSp macro="">
      <xdr:nvCxnSpPr>
        <xdr:cNvPr id="577" name="Straight Connector 576">
          <a:extLst>
            <a:ext uri="{FF2B5EF4-FFF2-40B4-BE49-F238E27FC236}">
              <a16:creationId xmlns:a16="http://schemas.microsoft.com/office/drawing/2014/main" id="{00000000-0008-0000-0F00-000041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24</xdr:row>
      <xdr:rowOff>190500</xdr:rowOff>
    </xdr:from>
    <xdr:to>
      <xdr:col>12</xdr:col>
      <xdr:colOff>0</xdr:colOff>
      <xdr:row>24</xdr:row>
      <xdr:rowOff>190502</xdr:rowOff>
    </xdr:to>
    <xdr:cxnSp macro="">
      <xdr:nvCxnSpPr>
        <xdr:cNvPr id="578" name="Straight Connector 577">
          <a:extLst>
            <a:ext uri="{FF2B5EF4-FFF2-40B4-BE49-F238E27FC236}">
              <a16:creationId xmlns:a16="http://schemas.microsoft.com/office/drawing/2014/main" id="{00000000-0008-0000-0F00-000042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25</xdr:row>
      <xdr:rowOff>180975</xdr:rowOff>
    </xdr:from>
    <xdr:to>
      <xdr:col>11</xdr:col>
      <xdr:colOff>409575</xdr:colOff>
      <xdr:row>25</xdr:row>
      <xdr:rowOff>180977</xdr:rowOff>
    </xdr:to>
    <xdr:cxnSp macro="">
      <xdr:nvCxnSpPr>
        <xdr:cNvPr id="579" name="Straight Connector 578">
          <a:extLst>
            <a:ext uri="{FF2B5EF4-FFF2-40B4-BE49-F238E27FC236}">
              <a16:creationId xmlns:a16="http://schemas.microsoft.com/office/drawing/2014/main" id="{00000000-0008-0000-0F00-000043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26</xdr:row>
      <xdr:rowOff>180975</xdr:rowOff>
    </xdr:from>
    <xdr:to>
      <xdr:col>12</xdr:col>
      <xdr:colOff>0</xdr:colOff>
      <xdr:row>26</xdr:row>
      <xdr:rowOff>180977</xdr:rowOff>
    </xdr:to>
    <xdr:cxnSp macro="">
      <xdr:nvCxnSpPr>
        <xdr:cNvPr id="580" name="Straight Connector 579">
          <a:extLst>
            <a:ext uri="{FF2B5EF4-FFF2-40B4-BE49-F238E27FC236}">
              <a16:creationId xmlns:a16="http://schemas.microsoft.com/office/drawing/2014/main" id="{00000000-0008-0000-0F00-000044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23</xdr:row>
      <xdr:rowOff>180975</xdr:rowOff>
    </xdr:from>
    <xdr:to>
      <xdr:col>12</xdr:col>
      <xdr:colOff>0</xdr:colOff>
      <xdr:row>23</xdr:row>
      <xdr:rowOff>180977</xdr:rowOff>
    </xdr:to>
    <xdr:cxnSp macro="">
      <xdr:nvCxnSpPr>
        <xdr:cNvPr id="581" name="Straight Connector 580">
          <a:extLst>
            <a:ext uri="{FF2B5EF4-FFF2-40B4-BE49-F238E27FC236}">
              <a16:creationId xmlns:a16="http://schemas.microsoft.com/office/drawing/2014/main" id="{00000000-0008-0000-0F00-000045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24</xdr:row>
      <xdr:rowOff>190500</xdr:rowOff>
    </xdr:from>
    <xdr:to>
      <xdr:col>12</xdr:col>
      <xdr:colOff>0</xdr:colOff>
      <xdr:row>24</xdr:row>
      <xdr:rowOff>190502</xdr:rowOff>
    </xdr:to>
    <xdr:cxnSp macro="">
      <xdr:nvCxnSpPr>
        <xdr:cNvPr id="582" name="Straight Connector 581">
          <a:extLst>
            <a:ext uri="{FF2B5EF4-FFF2-40B4-BE49-F238E27FC236}">
              <a16:creationId xmlns:a16="http://schemas.microsoft.com/office/drawing/2014/main" id="{00000000-0008-0000-0F00-000046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25</xdr:row>
      <xdr:rowOff>180975</xdr:rowOff>
    </xdr:from>
    <xdr:to>
      <xdr:col>11</xdr:col>
      <xdr:colOff>409575</xdr:colOff>
      <xdr:row>25</xdr:row>
      <xdr:rowOff>180977</xdr:rowOff>
    </xdr:to>
    <xdr:cxnSp macro="">
      <xdr:nvCxnSpPr>
        <xdr:cNvPr id="583" name="Straight Connector 582">
          <a:extLst>
            <a:ext uri="{FF2B5EF4-FFF2-40B4-BE49-F238E27FC236}">
              <a16:creationId xmlns:a16="http://schemas.microsoft.com/office/drawing/2014/main" id="{00000000-0008-0000-0F00-000047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26</xdr:row>
      <xdr:rowOff>180975</xdr:rowOff>
    </xdr:from>
    <xdr:to>
      <xdr:col>12</xdr:col>
      <xdr:colOff>0</xdr:colOff>
      <xdr:row>26</xdr:row>
      <xdr:rowOff>180977</xdr:rowOff>
    </xdr:to>
    <xdr:cxnSp macro="">
      <xdr:nvCxnSpPr>
        <xdr:cNvPr id="584" name="Straight Connector 583">
          <a:extLst>
            <a:ext uri="{FF2B5EF4-FFF2-40B4-BE49-F238E27FC236}">
              <a16:creationId xmlns:a16="http://schemas.microsoft.com/office/drawing/2014/main" id="{00000000-0008-0000-0F00-000048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23</xdr:row>
      <xdr:rowOff>180975</xdr:rowOff>
    </xdr:from>
    <xdr:to>
      <xdr:col>18</xdr:col>
      <xdr:colOff>0</xdr:colOff>
      <xdr:row>23</xdr:row>
      <xdr:rowOff>180977</xdr:rowOff>
    </xdr:to>
    <xdr:cxnSp macro="">
      <xdr:nvCxnSpPr>
        <xdr:cNvPr id="585" name="Straight Connector 584">
          <a:extLst>
            <a:ext uri="{FF2B5EF4-FFF2-40B4-BE49-F238E27FC236}">
              <a16:creationId xmlns:a16="http://schemas.microsoft.com/office/drawing/2014/main" id="{00000000-0008-0000-0F00-000049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24</xdr:row>
      <xdr:rowOff>190500</xdr:rowOff>
    </xdr:from>
    <xdr:to>
      <xdr:col>18</xdr:col>
      <xdr:colOff>0</xdr:colOff>
      <xdr:row>24</xdr:row>
      <xdr:rowOff>190502</xdr:rowOff>
    </xdr:to>
    <xdr:cxnSp macro="">
      <xdr:nvCxnSpPr>
        <xdr:cNvPr id="586" name="Straight Connector 585">
          <a:extLst>
            <a:ext uri="{FF2B5EF4-FFF2-40B4-BE49-F238E27FC236}">
              <a16:creationId xmlns:a16="http://schemas.microsoft.com/office/drawing/2014/main" id="{00000000-0008-0000-0F00-00004A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25</xdr:row>
      <xdr:rowOff>180975</xdr:rowOff>
    </xdr:from>
    <xdr:to>
      <xdr:col>17</xdr:col>
      <xdr:colOff>409575</xdr:colOff>
      <xdr:row>25</xdr:row>
      <xdr:rowOff>180977</xdr:rowOff>
    </xdr:to>
    <xdr:cxnSp macro="">
      <xdr:nvCxnSpPr>
        <xdr:cNvPr id="587" name="Straight Connector 586">
          <a:extLst>
            <a:ext uri="{FF2B5EF4-FFF2-40B4-BE49-F238E27FC236}">
              <a16:creationId xmlns:a16="http://schemas.microsoft.com/office/drawing/2014/main" id="{00000000-0008-0000-0F00-00004B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26</xdr:row>
      <xdr:rowOff>180975</xdr:rowOff>
    </xdr:from>
    <xdr:to>
      <xdr:col>18</xdr:col>
      <xdr:colOff>0</xdr:colOff>
      <xdr:row>26</xdr:row>
      <xdr:rowOff>180977</xdr:rowOff>
    </xdr:to>
    <xdr:cxnSp macro="">
      <xdr:nvCxnSpPr>
        <xdr:cNvPr id="588" name="Straight Connector 587">
          <a:extLst>
            <a:ext uri="{FF2B5EF4-FFF2-40B4-BE49-F238E27FC236}">
              <a16:creationId xmlns:a16="http://schemas.microsoft.com/office/drawing/2014/main" id="{00000000-0008-0000-0F00-00004C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51</xdr:row>
      <xdr:rowOff>180975</xdr:rowOff>
    </xdr:from>
    <xdr:to>
      <xdr:col>6</xdr:col>
      <xdr:colOff>0</xdr:colOff>
      <xdr:row>51</xdr:row>
      <xdr:rowOff>180977</xdr:rowOff>
    </xdr:to>
    <xdr:cxnSp macro="">
      <xdr:nvCxnSpPr>
        <xdr:cNvPr id="589" name="Straight Connector 588">
          <a:extLst>
            <a:ext uri="{FF2B5EF4-FFF2-40B4-BE49-F238E27FC236}">
              <a16:creationId xmlns:a16="http://schemas.microsoft.com/office/drawing/2014/main" id="{00000000-0008-0000-0F00-00004D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52</xdr:row>
      <xdr:rowOff>190500</xdr:rowOff>
    </xdr:from>
    <xdr:to>
      <xdr:col>6</xdr:col>
      <xdr:colOff>0</xdr:colOff>
      <xdr:row>52</xdr:row>
      <xdr:rowOff>190502</xdr:rowOff>
    </xdr:to>
    <xdr:cxnSp macro="">
      <xdr:nvCxnSpPr>
        <xdr:cNvPr id="590" name="Straight Connector 589">
          <a:extLst>
            <a:ext uri="{FF2B5EF4-FFF2-40B4-BE49-F238E27FC236}">
              <a16:creationId xmlns:a16="http://schemas.microsoft.com/office/drawing/2014/main" id="{00000000-0008-0000-0F00-00004E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53</xdr:row>
      <xdr:rowOff>180975</xdr:rowOff>
    </xdr:from>
    <xdr:to>
      <xdr:col>5</xdr:col>
      <xdr:colOff>409575</xdr:colOff>
      <xdr:row>53</xdr:row>
      <xdr:rowOff>180977</xdr:rowOff>
    </xdr:to>
    <xdr:cxnSp macro="">
      <xdr:nvCxnSpPr>
        <xdr:cNvPr id="591" name="Straight Connector 590">
          <a:extLst>
            <a:ext uri="{FF2B5EF4-FFF2-40B4-BE49-F238E27FC236}">
              <a16:creationId xmlns:a16="http://schemas.microsoft.com/office/drawing/2014/main" id="{00000000-0008-0000-0F00-00004F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54</xdr:row>
      <xdr:rowOff>180975</xdr:rowOff>
    </xdr:from>
    <xdr:to>
      <xdr:col>6</xdr:col>
      <xdr:colOff>0</xdr:colOff>
      <xdr:row>54</xdr:row>
      <xdr:rowOff>180977</xdr:rowOff>
    </xdr:to>
    <xdr:cxnSp macro="">
      <xdr:nvCxnSpPr>
        <xdr:cNvPr id="592" name="Straight Connector 591">
          <a:extLst>
            <a:ext uri="{FF2B5EF4-FFF2-40B4-BE49-F238E27FC236}">
              <a16:creationId xmlns:a16="http://schemas.microsoft.com/office/drawing/2014/main" id="{00000000-0008-0000-0F00-000050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51</xdr:row>
      <xdr:rowOff>180975</xdr:rowOff>
    </xdr:from>
    <xdr:to>
      <xdr:col>12</xdr:col>
      <xdr:colOff>0</xdr:colOff>
      <xdr:row>51</xdr:row>
      <xdr:rowOff>180977</xdr:rowOff>
    </xdr:to>
    <xdr:cxnSp macro="">
      <xdr:nvCxnSpPr>
        <xdr:cNvPr id="593" name="Straight Connector 592">
          <a:extLst>
            <a:ext uri="{FF2B5EF4-FFF2-40B4-BE49-F238E27FC236}">
              <a16:creationId xmlns:a16="http://schemas.microsoft.com/office/drawing/2014/main" id="{00000000-0008-0000-0F00-000051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52</xdr:row>
      <xdr:rowOff>190500</xdr:rowOff>
    </xdr:from>
    <xdr:to>
      <xdr:col>12</xdr:col>
      <xdr:colOff>0</xdr:colOff>
      <xdr:row>52</xdr:row>
      <xdr:rowOff>190502</xdr:rowOff>
    </xdr:to>
    <xdr:cxnSp macro="">
      <xdr:nvCxnSpPr>
        <xdr:cNvPr id="594" name="Straight Connector 593">
          <a:extLst>
            <a:ext uri="{FF2B5EF4-FFF2-40B4-BE49-F238E27FC236}">
              <a16:creationId xmlns:a16="http://schemas.microsoft.com/office/drawing/2014/main" id="{00000000-0008-0000-0F00-000052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53</xdr:row>
      <xdr:rowOff>180975</xdr:rowOff>
    </xdr:from>
    <xdr:to>
      <xdr:col>11</xdr:col>
      <xdr:colOff>409575</xdr:colOff>
      <xdr:row>53</xdr:row>
      <xdr:rowOff>180977</xdr:rowOff>
    </xdr:to>
    <xdr:cxnSp macro="">
      <xdr:nvCxnSpPr>
        <xdr:cNvPr id="595" name="Straight Connector 594">
          <a:extLst>
            <a:ext uri="{FF2B5EF4-FFF2-40B4-BE49-F238E27FC236}">
              <a16:creationId xmlns:a16="http://schemas.microsoft.com/office/drawing/2014/main" id="{00000000-0008-0000-0F00-000053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54</xdr:row>
      <xdr:rowOff>180975</xdr:rowOff>
    </xdr:from>
    <xdr:to>
      <xdr:col>12</xdr:col>
      <xdr:colOff>0</xdr:colOff>
      <xdr:row>54</xdr:row>
      <xdr:rowOff>180977</xdr:rowOff>
    </xdr:to>
    <xdr:cxnSp macro="">
      <xdr:nvCxnSpPr>
        <xdr:cNvPr id="596" name="Straight Connector 595">
          <a:extLst>
            <a:ext uri="{FF2B5EF4-FFF2-40B4-BE49-F238E27FC236}">
              <a16:creationId xmlns:a16="http://schemas.microsoft.com/office/drawing/2014/main" id="{00000000-0008-0000-0F00-000054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51</xdr:row>
      <xdr:rowOff>180975</xdr:rowOff>
    </xdr:from>
    <xdr:to>
      <xdr:col>18</xdr:col>
      <xdr:colOff>0</xdr:colOff>
      <xdr:row>51</xdr:row>
      <xdr:rowOff>180977</xdr:rowOff>
    </xdr:to>
    <xdr:cxnSp macro="">
      <xdr:nvCxnSpPr>
        <xdr:cNvPr id="597" name="Straight Connector 596">
          <a:extLst>
            <a:ext uri="{FF2B5EF4-FFF2-40B4-BE49-F238E27FC236}">
              <a16:creationId xmlns:a16="http://schemas.microsoft.com/office/drawing/2014/main" id="{00000000-0008-0000-0F00-000055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52</xdr:row>
      <xdr:rowOff>190500</xdr:rowOff>
    </xdr:from>
    <xdr:to>
      <xdr:col>18</xdr:col>
      <xdr:colOff>0</xdr:colOff>
      <xdr:row>52</xdr:row>
      <xdr:rowOff>190502</xdr:rowOff>
    </xdr:to>
    <xdr:cxnSp macro="">
      <xdr:nvCxnSpPr>
        <xdr:cNvPr id="598" name="Straight Connector 597">
          <a:extLst>
            <a:ext uri="{FF2B5EF4-FFF2-40B4-BE49-F238E27FC236}">
              <a16:creationId xmlns:a16="http://schemas.microsoft.com/office/drawing/2014/main" id="{00000000-0008-0000-0F00-000056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53</xdr:row>
      <xdr:rowOff>180975</xdr:rowOff>
    </xdr:from>
    <xdr:to>
      <xdr:col>17</xdr:col>
      <xdr:colOff>409575</xdr:colOff>
      <xdr:row>53</xdr:row>
      <xdr:rowOff>180977</xdr:rowOff>
    </xdr:to>
    <xdr:cxnSp macro="">
      <xdr:nvCxnSpPr>
        <xdr:cNvPr id="599" name="Straight Connector 598">
          <a:extLst>
            <a:ext uri="{FF2B5EF4-FFF2-40B4-BE49-F238E27FC236}">
              <a16:creationId xmlns:a16="http://schemas.microsoft.com/office/drawing/2014/main" id="{00000000-0008-0000-0F00-000057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54</xdr:row>
      <xdr:rowOff>180975</xdr:rowOff>
    </xdr:from>
    <xdr:to>
      <xdr:col>18</xdr:col>
      <xdr:colOff>0</xdr:colOff>
      <xdr:row>54</xdr:row>
      <xdr:rowOff>180977</xdr:rowOff>
    </xdr:to>
    <xdr:cxnSp macro="">
      <xdr:nvCxnSpPr>
        <xdr:cNvPr id="600" name="Straight Connector 599">
          <a:extLst>
            <a:ext uri="{FF2B5EF4-FFF2-40B4-BE49-F238E27FC236}">
              <a16:creationId xmlns:a16="http://schemas.microsoft.com/office/drawing/2014/main" id="{00000000-0008-0000-0F00-000058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51</xdr:row>
      <xdr:rowOff>180975</xdr:rowOff>
    </xdr:from>
    <xdr:to>
      <xdr:col>12</xdr:col>
      <xdr:colOff>0</xdr:colOff>
      <xdr:row>51</xdr:row>
      <xdr:rowOff>180977</xdr:rowOff>
    </xdr:to>
    <xdr:cxnSp macro="">
      <xdr:nvCxnSpPr>
        <xdr:cNvPr id="601" name="Straight Connector 600">
          <a:extLst>
            <a:ext uri="{FF2B5EF4-FFF2-40B4-BE49-F238E27FC236}">
              <a16:creationId xmlns:a16="http://schemas.microsoft.com/office/drawing/2014/main" id="{00000000-0008-0000-0F00-00005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52</xdr:row>
      <xdr:rowOff>190500</xdr:rowOff>
    </xdr:from>
    <xdr:to>
      <xdr:col>12</xdr:col>
      <xdr:colOff>0</xdr:colOff>
      <xdr:row>52</xdr:row>
      <xdr:rowOff>190502</xdr:rowOff>
    </xdr:to>
    <xdr:cxnSp macro="">
      <xdr:nvCxnSpPr>
        <xdr:cNvPr id="602" name="Straight Connector 601">
          <a:extLst>
            <a:ext uri="{FF2B5EF4-FFF2-40B4-BE49-F238E27FC236}">
              <a16:creationId xmlns:a16="http://schemas.microsoft.com/office/drawing/2014/main" id="{00000000-0008-0000-0F00-00005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53</xdr:row>
      <xdr:rowOff>180975</xdr:rowOff>
    </xdr:from>
    <xdr:to>
      <xdr:col>11</xdr:col>
      <xdr:colOff>409575</xdr:colOff>
      <xdr:row>53</xdr:row>
      <xdr:rowOff>180977</xdr:rowOff>
    </xdr:to>
    <xdr:cxnSp macro="">
      <xdr:nvCxnSpPr>
        <xdr:cNvPr id="603" name="Straight Connector 602">
          <a:extLst>
            <a:ext uri="{FF2B5EF4-FFF2-40B4-BE49-F238E27FC236}">
              <a16:creationId xmlns:a16="http://schemas.microsoft.com/office/drawing/2014/main" id="{00000000-0008-0000-0F00-00005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54</xdr:row>
      <xdr:rowOff>180975</xdr:rowOff>
    </xdr:from>
    <xdr:to>
      <xdr:col>12</xdr:col>
      <xdr:colOff>0</xdr:colOff>
      <xdr:row>54</xdr:row>
      <xdr:rowOff>180977</xdr:rowOff>
    </xdr:to>
    <xdr:cxnSp macro="">
      <xdr:nvCxnSpPr>
        <xdr:cNvPr id="604" name="Straight Connector 603">
          <a:extLst>
            <a:ext uri="{FF2B5EF4-FFF2-40B4-BE49-F238E27FC236}">
              <a16:creationId xmlns:a16="http://schemas.microsoft.com/office/drawing/2014/main" id="{00000000-0008-0000-0F00-00005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51</xdr:row>
      <xdr:rowOff>180975</xdr:rowOff>
    </xdr:from>
    <xdr:to>
      <xdr:col>12</xdr:col>
      <xdr:colOff>0</xdr:colOff>
      <xdr:row>51</xdr:row>
      <xdr:rowOff>180977</xdr:rowOff>
    </xdr:to>
    <xdr:cxnSp macro="">
      <xdr:nvCxnSpPr>
        <xdr:cNvPr id="605" name="Straight Connector 604">
          <a:extLst>
            <a:ext uri="{FF2B5EF4-FFF2-40B4-BE49-F238E27FC236}">
              <a16:creationId xmlns:a16="http://schemas.microsoft.com/office/drawing/2014/main" id="{00000000-0008-0000-0F00-00005D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52</xdr:row>
      <xdr:rowOff>190500</xdr:rowOff>
    </xdr:from>
    <xdr:to>
      <xdr:col>12</xdr:col>
      <xdr:colOff>0</xdr:colOff>
      <xdr:row>52</xdr:row>
      <xdr:rowOff>190502</xdr:rowOff>
    </xdr:to>
    <xdr:cxnSp macro="">
      <xdr:nvCxnSpPr>
        <xdr:cNvPr id="606" name="Straight Connector 605">
          <a:extLst>
            <a:ext uri="{FF2B5EF4-FFF2-40B4-BE49-F238E27FC236}">
              <a16:creationId xmlns:a16="http://schemas.microsoft.com/office/drawing/2014/main" id="{00000000-0008-0000-0F00-00005E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53</xdr:row>
      <xdr:rowOff>180975</xdr:rowOff>
    </xdr:from>
    <xdr:to>
      <xdr:col>11</xdr:col>
      <xdr:colOff>409575</xdr:colOff>
      <xdr:row>53</xdr:row>
      <xdr:rowOff>180977</xdr:rowOff>
    </xdr:to>
    <xdr:cxnSp macro="">
      <xdr:nvCxnSpPr>
        <xdr:cNvPr id="607" name="Straight Connector 606">
          <a:extLst>
            <a:ext uri="{FF2B5EF4-FFF2-40B4-BE49-F238E27FC236}">
              <a16:creationId xmlns:a16="http://schemas.microsoft.com/office/drawing/2014/main" id="{00000000-0008-0000-0F00-00005F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54</xdr:row>
      <xdr:rowOff>180975</xdr:rowOff>
    </xdr:from>
    <xdr:to>
      <xdr:col>12</xdr:col>
      <xdr:colOff>0</xdr:colOff>
      <xdr:row>54</xdr:row>
      <xdr:rowOff>180977</xdr:rowOff>
    </xdr:to>
    <xdr:cxnSp macro="">
      <xdr:nvCxnSpPr>
        <xdr:cNvPr id="608" name="Straight Connector 607">
          <a:extLst>
            <a:ext uri="{FF2B5EF4-FFF2-40B4-BE49-F238E27FC236}">
              <a16:creationId xmlns:a16="http://schemas.microsoft.com/office/drawing/2014/main" id="{00000000-0008-0000-0F00-000060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51</xdr:row>
      <xdr:rowOff>180975</xdr:rowOff>
    </xdr:from>
    <xdr:to>
      <xdr:col>18</xdr:col>
      <xdr:colOff>0</xdr:colOff>
      <xdr:row>51</xdr:row>
      <xdr:rowOff>180977</xdr:rowOff>
    </xdr:to>
    <xdr:cxnSp macro="">
      <xdr:nvCxnSpPr>
        <xdr:cNvPr id="609" name="Straight Connector 608">
          <a:extLst>
            <a:ext uri="{FF2B5EF4-FFF2-40B4-BE49-F238E27FC236}">
              <a16:creationId xmlns:a16="http://schemas.microsoft.com/office/drawing/2014/main" id="{00000000-0008-0000-0F00-000061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52</xdr:row>
      <xdr:rowOff>190500</xdr:rowOff>
    </xdr:from>
    <xdr:to>
      <xdr:col>18</xdr:col>
      <xdr:colOff>0</xdr:colOff>
      <xdr:row>52</xdr:row>
      <xdr:rowOff>190502</xdr:rowOff>
    </xdr:to>
    <xdr:cxnSp macro="">
      <xdr:nvCxnSpPr>
        <xdr:cNvPr id="610" name="Straight Connector 609">
          <a:extLst>
            <a:ext uri="{FF2B5EF4-FFF2-40B4-BE49-F238E27FC236}">
              <a16:creationId xmlns:a16="http://schemas.microsoft.com/office/drawing/2014/main" id="{00000000-0008-0000-0F00-000062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53</xdr:row>
      <xdr:rowOff>180975</xdr:rowOff>
    </xdr:from>
    <xdr:to>
      <xdr:col>17</xdr:col>
      <xdr:colOff>409575</xdr:colOff>
      <xdr:row>53</xdr:row>
      <xdr:rowOff>180977</xdr:rowOff>
    </xdr:to>
    <xdr:cxnSp macro="">
      <xdr:nvCxnSpPr>
        <xdr:cNvPr id="611" name="Straight Connector 610">
          <a:extLst>
            <a:ext uri="{FF2B5EF4-FFF2-40B4-BE49-F238E27FC236}">
              <a16:creationId xmlns:a16="http://schemas.microsoft.com/office/drawing/2014/main" id="{00000000-0008-0000-0F00-000063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54</xdr:row>
      <xdr:rowOff>180975</xdr:rowOff>
    </xdr:from>
    <xdr:to>
      <xdr:col>18</xdr:col>
      <xdr:colOff>0</xdr:colOff>
      <xdr:row>54</xdr:row>
      <xdr:rowOff>180977</xdr:rowOff>
    </xdr:to>
    <xdr:cxnSp macro="">
      <xdr:nvCxnSpPr>
        <xdr:cNvPr id="612" name="Straight Connector 611">
          <a:extLst>
            <a:ext uri="{FF2B5EF4-FFF2-40B4-BE49-F238E27FC236}">
              <a16:creationId xmlns:a16="http://schemas.microsoft.com/office/drawing/2014/main" id="{00000000-0008-0000-0F00-000064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80</xdr:row>
      <xdr:rowOff>180975</xdr:rowOff>
    </xdr:from>
    <xdr:to>
      <xdr:col>6</xdr:col>
      <xdr:colOff>0</xdr:colOff>
      <xdr:row>80</xdr:row>
      <xdr:rowOff>180977</xdr:rowOff>
    </xdr:to>
    <xdr:cxnSp macro="">
      <xdr:nvCxnSpPr>
        <xdr:cNvPr id="613" name="Straight Connector 612">
          <a:extLst>
            <a:ext uri="{FF2B5EF4-FFF2-40B4-BE49-F238E27FC236}">
              <a16:creationId xmlns:a16="http://schemas.microsoft.com/office/drawing/2014/main" id="{00000000-0008-0000-0F00-000065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81</xdr:row>
      <xdr:rowOff>190500</xdr:rowOff>
    </xdr:from>
    <xdr:to>
      <xdr:col>6</xdr:col>
      <xdr:colOff>0</xdr:colOff>
      <xdr:row>81</xdr:row>
      <xdr:rowOff>190502</xdr:rowOff>
    </xdr:to>
    <xdr:cxnSp macro="">
      <xdr:nvCxnSpPr>
        <xdr:cNvPr id="614" name="Straight Connector 613">
          <a:extLst>
            <a:ext uri="{FF2B5EF4-FFF2-40B4-BE49-F238E27FC236}">
              <a16:creationId xmlns:a16="http://schemas.microsoft.com/office/drawing/2014/main" id="{00000000-0008-0000-0F00-000066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82</xdr:row>
      <xdr:rowOff>180975</xdr:rowOff>
    </xdr:from>
    <xdr:to>
      <xdr:col>5</xdr:col>
      <xdr:colOff>409575</xdr:colOff>
      <xdr:row>82</xdr:row>
      <xdr:rowOff>180977</xdr:rowOff>
    </xdr:to>
    <xdr:cxnSp macro="">
      <xdr:nvCxnSpPr>
        <xdr:cNvPr id="615" name="Straight Connector 614">
          <a:extLst>
            <a:ext uri="{FF2B5EF4-FFF2-40B4-BE49-F238E27FC236}">
              <a16:creationId xmlns:a16="http://schemas.microsoft.com/office/drawing/2014/main" id="{00000000-0008-0000-0F00-000067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83</xdr:row>
      <xdr:rowOff>180975</xdr:rowOff>
    </xdr:from>
    <xdr:to>
      <xdr:col>6</xdr:col>
      <xdr:colOff>0</xdr:colOff>
      <xdr:row>83</xdr:row>
      <xdr:rowOff>180977</xdr:rowOff>
    </xdr:to>
    <xdr:cxnSp macro="">
      <xdr:nvCxnSpPr>
        <xdr:cNvPr id="616" name="Straight Connector 615">
          <a:extLst>
            <a:ext uri="{FF2B5EF4-FFF2-40B4-BE49-F238E27FC236}">
              <a16:creationId xmlns:a16="http://schemas.microsoft.com/office/drawing/2014/main" id="{00000000-0008-0000-0F00-000068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80</xdr:row>
      <xdr:rowOff>180975</xdr:rowOff>
    </xdr:from>
    <xdr:to>
      <xdr:col>12</xdr:col>
      <xdr:colOff>0</xdr:colOff>
      <xdr:row>80</xdr:row>
      <xdr:rowOff>180977</xdr:rowOff>
    </xdr:to>
    <xdr:cxnSp macro="">
      <xdr:nvCxnSpPr>
        <xdr:cNvPr id="617" name="Straight Connector 616">
          <a:extLst>
            <a:ext uri="{FF2B5EF4-FFF2-40B4-BE49-F238E27FC236}">
              <a16:creationId xmlns:a16="http://schemas.microsoft.com/office/drawing/2014/main" id="{00000000-0008-0000-0F00-00006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81</xdr:row>
      <xdr:rowOff>190500</xdr:rowOff>
    </xdr:from>
    <xdr:to>
      <xdr:col>12</xdr:col>
      <xdr:colOff>0</xdr:colOff>
      <xdr:row>81</xdr:row>
      <xdr:rowOff>190502</xdr:rowOff>
    </xdr:to>
    <xdr:cxnSp macro="">
      <xdr:nvCxnSpPr>
        <xdr:cNvPr id="618" name="Straight Connector 617">
          <a:extLst>
            <a:ext uri="{FF2B5EF4-FFF2-40B4-BE49-F238E27FC236}">
              <a16:creationId xmlns:a16="http://schemas.microsoft.com/office/drawing/2014/main" id="{00000000-0008-0000-0F00-00006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82</xdr:row>
      <xdr:rowOff>180975</xdr:rowOff>
    </xdr:from>
    <xdr:to>
      <xdr:col>11</xdr:col>
      <xdr:colOff>409575</xdr:colOff>
      <xdr:row>82</xdr:row>
      <xdr:rowOff>180977</xdr:rowOff>
    </xdr:to>
    <xdr:cxnSp macro="">
      <xdr:nvCxnSpPr>
        <xdr:cNvPr id="619" name="Straight Connector 618">
          <a:extLst>
            <a:ext uri="{FF2B5EF4-FFF2-40B4-BE49-F238E27FC236}">
              <a16:creationId xmlns:a16="http://schemas.microsoft.com/office/drawing/2014/main" id="{00000000-0008-0000-0F00-00006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83</xdr:row>
      <xdr:rowOff>180975</xdr:rowOff>
    </xdr:from>
    <xdr:to>
      <xdr:col>12</xdr:col>
      <xdr:colOff>0</xdr:colOff>
      <xdr:row>83</xdr:row>
      <xdr:rowOff>180977</xdr:rowOff>
    </xdr:to>
    <xdr:cxnSp macro="">
      <xdr:nvCxnSpPr>
        <xdr:cNvPr id="620" name="Straight Connector 619">
          <a:extLst>
            <a:ext uri="{FF2B5EF4-FFF2-40B4-BE49-F238E27FC236}">
              <a16:creationId xmlns:a16="http://schemas.microsoft.com/office/drawing/2014/main" id="{00000000-0008-0000-0F00-00006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80</xdr:row>
      <xdr:rowOff>180975</xdr:rowOff>
    </xdr:from>
    <xdr:to>
      <xdr:col>18</xdr:col>
      <xdr:colOff>0</xdr:colOff>
      <xdr:row>80</xdr:row>
      <xdr:rowOff>180977</xdr:rowOff>
    </xdr:to>
    <xdr:cxnSp macro="">
      <xdr:nvCxnSpPr>
        <xdr:cNvPr id="621" name="Straight Connector 620">
          <a:extLst>
            <a:ext uri="{FF2B5EF4-FFF2-40B4-BE49-F238E27FC236}">
              <a16:creationId xmlns:a16="http://schemas.microsoft.com/office/drawing/2014/main" id="{00000000-0008-0000-0F00-00006D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81</xdr:row>
      <xdr:rowOff>190500</xdr:rowOff>
    </xdr:from>
    <xdr:to>
      <xdr:col>18</xdr:col>
      <xdr:colOff>0</xdr:colOff>
      <xdr:row>81</xdr:row>
      <xdr:rowOff>190502</xdr:rowOff>
    </xdr:to>
    <xdr:cxnSp macro="">
      <xdr:nvCxnSpPr>
        <xdr:cNvPr id="622" name="Straight Connector 621">
          <a:extLst>
            <a:ext uri="{FF2B5EF4-FFF2-40B4-BE49-F238E27FC236}">
              <a16:creationId xmlns:a16="http://schemas.microsoft.com/office/drawing/2014/main" id="{00000000-0008-0000-0F00-00006E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82</xdr:row>
      <xdr:rowOff>180975</xdr:rowOff>
    </xdr:from>
    <xdr:to>
      <xdr:col>17</xdr:col>
      <xdr:colOff>409575</xdr:colOff>
      <xdr:row>82</xdr:row>
      <xdr:rowOff>180977</xdr:rowOff>
    </xdr:to>
    <xdr:cxnSp macro="">
      <xdr:nvCxnSpPr>
        <xdr:cNvPr id="623" name="Straight Connector 622">
          <a:extLst>
            <a:ext uri="{FF2B5EF4-FFF2-40B4-BE49-F238E27FC236}">
              <a16:creationId xmlns:a16="http://schemas.microsoft.com/office/drawing/2014/main" id="{00000000-0008-0000-0F00-00006F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83</xdr:row>
      <xdr:rowOff>180975</xdr:rowOff>
    </xdr:from>
    <xdr:to>
      <xdr:col>18</xdr:col>
      <xdr:colOff>0</xdr:colOff>
      <xdr:row>83</xdr:row>
      <xdr:rowOff>180977</xdr:rowOff>
    </xdr:to>
    <xdr:cxnSp macro="">
      <xdr:nvCxnSpPr>
        <xdr:cNvPr id="624" name="Straight Connector 623">
          <a:extLst>
            <a:ext uri="{FF2B5EF4-FFF2-40B4-BE49-F238E27FC236}">
              <a16:creationId xmlns:a16="http://schemas.microsoft.com/office/drawing/2014/main" id="{00000000-0008-0000-0F00-000070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80</xdr:row>
      <xdr:rowOff>180975</xdr:rowOff>
    </xdr:from>
    <xdr:to>
      <xdr:col>12</xdr:col>
      <xdr:colOff>0</xdr:colOff>
      <xdr:row>80</xdr:row>
      <xdr:rowOff>180977</xdr:rowOff>
    </xdr:to>
    <xdr:cxnSp macro="">
      <xdr:nvCxnSpPr>
        <xdr:cNvPr id="625" name="Straight Connector 624">
          <a:extLst>
            <a:ext uri="{FF2B5EF4-FFF2-40B4-BE49-F238E27FC236}">
              <a16:creationId xmlns:a16="http://schemas.microsoft.com/office/drawing/2014/main" id="{00000000-0008-0000-0F00-000071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81</xdr:row>
      <xdr:rowOff>190500</xdr:rowOff>
    </xdr:from>
    <xdr:to>
      <xdr:col>12</xdr:col>
      <xdr:colOff>0</xdr:colOff>
      <xdr:row>81</xdr:row>
      <xdr:rowOff>190502</xdr:rowOff>
    </xdr:to>
    <xdr:cxnSp macro="">
      <xdr:nvCxnSpPr>
        <xdr:cNvPr id="626" name="Straight Connector 625">
          <a:extLst>
            <a:ext uri="{FF2B5EF4-FFF2-40B4-BE49-F238E27FC236}">
              <a16:creationId xmlns:a16="http://schemas.microsoft.com/office/drawing/2014/main" id="{00000000-0008-0000-0F00-000072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82</xdr:row>
      <xdr:rowOff>180975</xdr:rowOff>
    </xdr:from>
    <xdr:to>
      <xdr:col>11</xdr:col>
      <xdr:colOff>409575</xdr:colOff>
      <xdr:row>82</xdr:row>
      <xdr:rowOff>180977</xdr:rowOff>
    </xdr:to>
    <xdr:cxnSp macro="">
      <xdr:nvCxnSpPr>
        <xdr:cNvPr id="627" name="Straight Connector 626">
          <a:extLst>
            <a:ext uri="{FF2B5EF4-FFF2-40B4-BE49-F238E27FC236}">
              <a16:creationId xmlns:a16="http://schemas.microsoft.com/office/drawing/2014/main" id="{00000000-0008-0000-0F00-000073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83</xdr:row>
      <xdr:rowOff>180975</xdr:rowOff>
    </xdr:from>
    <xdr:to>
      <xdr:col>12</xdr:col>
      <xdr:colOff>0</xdr:colOff>
      <xdr:row>83</xdr:row>
      <xdr:rowOff>180977</xdr:rowOff>
    </xdr:to>
    <xdr:cxnSp macro="">
      <xdr:nvCxnSpPr>
        <xdr:cNvPr id="628" name="Straight Connector 627">
          <a:extLst>
            <a:ext uri="{FF2B5EF4-FFF2-40B4-BE49-F238E27FC236}">
              <a16:creationId xmlns:a16="http://schemas.microsoft.com/office/drawing/2014/main" id="{00000000-0008-0000-0F00-000074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80</xdr:row>
      <xdr:rowOff>180975</xdr:rowOff>
    </xdr:from>
    <xdr:to>
      <xdr:col>12</xdr:col>
      <xdr:colOff>0</xdr:colOff>
      <xdr:row>80</xdr:row>
      <xdr:rowOff>180977</xdr:rowOff>
    </xdr:to>
    <xdr:cxnSp macro="">
      <xdr:nvCxnSpPr>
        <xdr:cNvPr id="629" name="Straight Connector 628">
          <a:extLst>
            <a:ext uri="{FF2B5EF4-FFF2-40B4-BE49-F238E27FC236}">
              <a16:creationId xmlns:a16="http://schemas.microsoft.com/office/drawing/2014/main" id="{00000000-0008-0000-0F00-000075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81</xdr:row>
      <xdr:rowOff>190500</xdr:rowOff>
    </xdr:from>
    <xdr:to>
      <xdr:col>12</xdr:col>
      <xdr:colOff>0</xdr:colOff>
      <xdr:row>81</xdr:row>
      <xdr:rowOff>190502</xdr:rowOff>
    </xdr:to>
    <xdr:cxnSp macro="">
      <xdr:nvCxnSpPr>
        <xdr:cNvPr id="630" name="Straight Connector 629">
          <a:extLst>
            <a:ext uri="{FF2B5EF4-FFF2-40B4-BE49-F238E27FC236}">
              <a16:creationId xmlns:a16="http://schemas.microsoft.com/office/drawing/2014/main" id="{00000000-0008-0000-0F00-000076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82</xdr:row>
      <xdr:rowOff>180975</xdr:rowOff>
    </xdr:from>
    <xdr:to>
      <xdr:col>11</xdr:col>
      <xdr:colOff>409575</xdr:colOff>
      <xdr:row>82</xdr:row>
      <xdr:rowOff>180977</xdr:rowOff>
    </xdr:to>
    <xdr:cxnSp macro="">
      <xdr:nvCxnSpPr>
        <xdr:cNvPr id="631" name="Straight Connector 630">
          <a:extLst>
            <a:ext uri="{FF2B5EF4-FFF2-40B4-BE49-F238E27FC236}">
              <a16:creationId xmlns:a16="http://schemas.microsoft.com/office/drawing/2014/main" id="{00000000-0008-0000-0F00-000077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83</xdr:row>
      <xdr:rowOff>180975</xdr:rowOff>
    </xdr:from>
    <xdr:to>
      <xdr:col>12</xdr:col>
      <xdr:colOff>0</xdr:colOff>
      <xdr:row>83</xdr:row>
      <xdr:rowOff>180977</xdr:rowOff>
    </xdr:to>
    <xdr:cxnSp macro="">
      <xdr:nvCxnSpPr>
        <xdr:cNvPr id="632" name="Straight Connector 631">
          <a:extLst>
            <a:ext uri="{FF2B5EF4-FFF2-40B4-BE49-F238E27FC236}">
              <a16:creationId xmlns:a16="http://schemas.microsoft.com/office/drawing/2014/main" id="{00000000-0008-0000-0F00-000078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80</xdr:row>
      <xdr:rowOff>180975</xdr:rowOff>
    </xdr:from>
    <xdr:to>
      <xdr:col>18</xdr:col>
      <xdr:colOff>0</xdr:colOff>
      <xdr:row>80</xdr:row>
      <xdr:rowOff>180977</xdr:rowOff>
    </xdr:to>
    <xdr:cxnSp macro="">
      <xdr:nvCxnSpPr>
        <xdr:cNvPr id="633" name="Straight Connector 632">
          <a:extLst>
            <a:ext uri="{FF2B5EF4-FFF2-40B4-BE49-F238E27FC236}">
              <a16:creationId xmlns:a16="http://schemas.microsoft.com/office/drawing/2014/main" id="{00000000-0008-0000-0F00-000079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81</xdr:row>
      <xdr:rowOff>190500</xdr:rowOff>
    </xdr:from>
    <xdr:to>
      <xdr:col>18</xdr:col>
      <xdr:colOff>0</xdr:colOff>
      <xdr:row>81</xdr:row>
      <xdr:rowOff>190502</xdr:rowOff>
    </xdr:to>
    <xdr:cxnSp macro="">
      <xdr:nvCxnSpPr>
        <xdr:cNvPr id="634" name="Straight Connector 633">
          <a:extLst>
            <a:ext uri="{FF2B5EF4-FFF2-40B4-BE49-F238E27FC236}">
              <a16:creationId xmlns:a16="http://schemas.microsoft.com/office/drawing/2014/main" id="{00000000-0008-0000-0F00-00007A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82</xdr:row>
      <xdr:rowOff>180975</xdr:rowOff>
    </xdr:from>
    <xdr:to>
      <xdr:col>17</xdr:col>
      <xdr:colOff>409575</xdr:colOff>
      <xdr:row>82</xdr:row>
      <xdr:rowOff>180977</xdr:rowOff>
    </xdr:to>
    <xdr:cxnSp macro="">
      <xdr:nvCxnSpPr>
        <xdr:cNvPr id="635" name="Straight Connector 634">
          <a:extLst>
            <a:ext uri="{FF2B5EF4-FFF2-40B4-BE49-F238E27FC236}">
              <a16:creationId xmlns:a16="http://schemas.microsoft.com/office/drawing/2014/main" id="{00000000-0008-0000-0F00-00007B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83</xdr:row>
      <xdr:rowOff>180975</xdr:rowOff>
    </xdr:from>
    <xdr:to>
      <xdr:col>18</xdr:col>
      <xdr:colOff>0</xdr:colOff>
      <xdr:row>83</xdr:row>
      <xdr:rowOff>180977</xdr:rowOff>
    </xdr:to>
    <xdr:cxnSp macro="">
      <xdr:nvCxnSpPr>
        <xdr:cNvPr id="636" name="Straight Connector 635">
          <a:extLst>
            <a:ext uri="{FF2B5EF4-FFF2-40B4-BE49-F238E27FC236}">
              <a16:creationId xmlns:a16="http://schemas.microsoft.com/office/drawing/2014/main" id="{00000000-0008-0000-0F00-00007C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108</xdr:row>
      <xdr:rowOff>180975</xdr:rowOff>
    </xdr:from>
    <xdr:to>
      <xdr:col>6</xdr:col>
      <xdr:colOff>0</xdr:colOff>
      <xdr:row>108</xdr:row>
      <xdr:rowOff>180977</xdr:rowOff>
    </xdr:to>
    <xdr:cxnSp macro="">
      <xdr:nvCxnSpPr>
        <xdr:cNvPr id="637" name="Straight Connector 636">
          <a:extLst>
            <a:ext uri="{FF2B5EF4-FFF2-40B4-BE49-F238E27FC236}">
              <a16:creationId xmlns:a16="http://schemas.microsoft.com/office/drawing/2014/main" id="{00000000-0008-0000-0F00-00007D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109</xdr:row>
      <xdr:rowOff>190500</xdr:rowOff>
    </xdr:from>
    <xdr:to>
      <xdr:col>6</xdr:col>
      <xdr:colOff>0</xdr:colOff>
      <xdr:row>109</xdr:row>
      <xdr:rowOff>190502</xdr:rowOff>
    </xdr:to>
    <xdr:cxnSp macro="">
      <xdr:nvCxnSpPr>
        <xdr:cNvPr id="638" name="Straight Connector 637">
          <a:extLst>
            <a:ext uri="{FF2B5EF4-FFF2-40B4-BE49-F238E27FC236}">
              <a16:creationId xmlns:a16="http://schemas.microsoft.com/office/drawing/2014/main" id="{00000000-0008-0000-0F00-00007E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110</xdr:row>
      <xdr:rowOff>180975</xdr:rowOff>
    </xdr:from>
    <xdr:to>
      <xdr:col>5</xdr:col>
      <xdr:colOff>409575</xdr:colOff>
      <xdr:row>110</xdr:row>
      <xdr:rowOff>180977</xdr:rowOff>
    </xdr:to>
    <xdr:cxnSp macro="">
      <xdr:nvCxnSpPr>
        <xdr:cNvPr id="639" name="Straight Connector 638">
          <a:extLst>
            <a:ext uri="{FF2B5EF4-FFF2-40B4-BE49-F238E27FC236}">
              <a16:creationId xmlns:a16="http://schemas.microsoft.com/office/drawing/2014/main" id="{00000000-0008-0000-0F00-00007F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111</xdr:row>
      <xdr:rowOff>180975</xdr:rowOff>
    </xdr:from>
    <xdr:to>
      <xdr:col>6</xdr:col>
      <xdr:colOff>0</xdr:colOff>
      <xdr:row>111</xdr:row>
      <xdr:rowOff>180977</xdr:rowOff>
    </xdr:to>
    <xdr:cxnSp macro="">
      <xdr:nvCxnSpPr>
        <xdr:cNvPr id="640" name="Straight Connector 639">
          <a:extLst>
            <a:ext uri="{FF2B5EF4-FFF2-40B4-BE49-F238E27FC236}">
              <a16:creationId xmlns:a16="http://schemas.microsoft.com/office/drawing/2014/main" id="{00000000-0008-0000-0F00-000080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108</xdr:row>
      <xdr:rowOff>180975</xdr:rowOff>
    </xdr:from>
    <xdr:to>
      <xdr:col>12</xdr:col>
      <xdr:colOff>0</xdr:colOff>
      <xdr:row>108</xdr:row>
      <xdr:rowOff>180977</xdr:rowOff>
    </xdr:to>
    <xdr:cxnSp macro="">
      <xdr:nvCxnSpPr>
        <xdr:cNvPr id="641" name="Straight Connector 640">
          <a:extLst>
            <a:ext uri="{FF2B5EF4-FFF2-40B4-BE49-F238E27FC236}">
              <a16:creationId xmlns:a16="http://schemas.microsoft.com/office/drawing/2014/main" id="{00000000-0008-0000-0F00-000081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109</xdr:row>
      <xdr:rowOff>190500</xdr:rowOff>
    </xdr:from>
    <xdr:to>
      <xdr:col>12</xdr:col>
      <xdr:colOff>0</xdr:colOff>
      <xdr:row>109</xdr:row>
      <xdr:rowOff>190502</xdr:rowOff>
    </xdr:to>
    <xdr:cxnSp macro="">
      <xdr:nvCxnSpPr>
        <xdr:cNvPr id="642" name="Straight Connector 641">
          <a:extLst>
            <a:ext uri="{FF2B5EF4-FFF2-40B4-BE49-F238E27FC236}">
              <a16:creationId xmlns:a16="http://schemas.microsoft.com/office/drawing/2014/main" id="{00000000-0008-0000-0F00-000082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110</xdr:row>
      <xdr:rowOff>180975</xdr:rowOff>
    </xdr:from>
    <xdr:to>
      <xdr:col>11</xdr:col>
      <xdr:colOff>409575</xdr:colOff>
      <xdr:row>110</xdr:row>
      <xdr:rowOff>180977</xdr:rowOff>
    </xdr:to>
    <xdr:cxnSp macro="">
      <xdr:nvCxnSpPr>
        <xdr:cNvPr id="643" name="Straight Connector 642">
          <a:extLst>
            <a:ext uri="{FF2B5EF4-FFF2-40B4-BE49-F238E27FC236}">
              <a16:creationId xmlns:a16="http://schemas.microsoft.com/office/drawing/2014/main" id="{00000000-0008-0000-0F00-000083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111</xdr:row>
      <xdr:rowOff>180975</xdr:rowOff>
    </xdr:from>
    <xdr:to>
      <xdr:col>12</xdr:col>
      <xdr:colOff>0</xdr:colOff>
      <xdr:row>111</xdr:row>
      <xdr:rowOff>180977</xdr:rowOff>
    </xdr:to>
    <xdr:cxnSp macro="">
      <xdr:nvCxnSpPr>
        <xdr:cNvPr id="644" name="Straight Connector 643">
          <a:extLst>
            <a:ext uri="{FF2B5EF4-FFF2-40B4-BE49-F238E27FC236}">
              <a16:creationId xmlns:a16="http://schemas.microsoft.com/office/drawing/2014/main" id="{00000000-0008-0000-0F00-000084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108</xdr:row>
      <xdr:rowOff>180975</xdr:rowOff>
    </xdr:from>
    <xdr:to>
      <xdr:col>18</xdr:col>
      <xdr:colOff>0</xdr:colOff>
      <xdr:row>108</xdr:row>
      <xdr:rowOff>180977</xdr:rowOff>
    </xdr:to>
    <xdr:cxnSp macro="">
      <xdr:nvCxnSpPr>
        <xdr:cNvPr id="645" name="Straight Connector 644">
          <a:extLst>
            <a:ext uri="{FF2B5EF4-FFF2-40B4-BE49-F238E27FC236}">
              <a16:creationId xmlns:a16="http://schemas.microsoft.com/office/drawing/2014/main" id="{00000000-0008-0000-0F00-000085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109</xdr:row>
      <xdr:rowOff>190500</xdr:rowOff>
    </xdr:from>
    <xdr:to>
      <xdr:col>18</xdr:col>
      <xdr:colOff>0</xdr:colOff>
      <xdr:row>109</xdr:row>
      <xdr:rowOff>190502</xdr:rowOff>
    </xdr:to>
    <xdr:cxnSp macro="">
      <xdr:nvCxnSpPr>
        <xdr:cNvPr id="646" name="Straight Connector 645">
          <a:extLst>
            <a:ext uri="{FF2B5EF4-FFF2-40B4-BE49-F238E27FC236}">
              <a16:creationId xmlns:a16="http://schemas.microsoft.com/office/drawing/2014/main" id="{00000000-0008-0000-0F00-000086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110</xdr:row>
      <xdr:rowOff>180975</xdr:rowOff>
    </xdr:from>
    <xdr:to>
      <xdr:col>17</xdr:col>
      <xdr:colOff>409575</xdr:colOff>
      <xdr:row>110</xdr:row>
      <xdr:rowOff>180977</xdr:rowOff>
    </xdr:to>
    <xdr:cxnSp macro="">
      <xdr:nvCxnSpPr>
        <xdr:cNvPr id="647" name="Straight Connector 646">
          <a:extLst>
            <a:ext uri="{FF2B5EF4-FFF2-40B4-BE49-F238E27FC236}">
              <a16:creationId xmlns:a16="http://schemas.microsoft.com/office/drawing/2014/main" id="{00000000-0008-0000-0F00-000087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111</xdr:row>
      <xdr:rowOff>180975</xdr:rowOff>
    </xdr:from>
    <xdr:to>
      <xdr:col>18</xdr:col>
      <xdr:colOff>0</xdr:colOff>
      <xdr:row>111</xdr:row>
      <xdr:rowOff>180977</xdr:rowOff>
    </xdr:to>
    <xdr:cxnSp macro="">
      <xdr:nvCxnSpPr>
        <xdr:cNvPr id="648" name="Straight Connector 647">
          <a:extLst>
            <a:ext uri="{FF2B5EF4-FFF2-40B4-BE49-F238E27FC236}">
              <a16:creationId xmlns:a16="http://schemas.microsoft.com/office/drawing/2014/main" id="{00000000-0008-0000-0F00-000088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108</xdr:row>
      <xdr:rowOff>180975</xdr:rowOff>
    </xdr:from>
    <xdr:to>
      <xdr:col>12</xdr:col>
      <xdr:colOff>0</xdr:colOff>
      <xdr:row>108</xdr:row>
      <xdr:rowOff>180977</xdr:rowOff>
    </xdr:to>
    <xdr:cxnSp macro="">
      <xdr:nvCxnSpPr>
        <xdr:cNvPr id="649" name="Straight Connector 648">
          <a:extLst>
            <a:ext uri="{FF2B5EF4-FFF2-40B4-BE49-F238E27FC236}">
              <a16:creationId xmlns:a16="http://schemas.microsoft.com/office/drawing/2014/main" id="{00000000-0008-0000-0F00-00008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109</xdr:row>
      <xdr:rowOff>190500</xdr:rowOff>
    </xdr:from>
    <xdr:to>
      <xdr:col>12</xdr:col>
      <xdr:colOff>0</xdr:colOff>
      <xdr:row>109</xdr:row>
      <xdr:rowOff>190502</xdr:rowOff>
    </xdr:to>
    <xdr:cxnSp macro="">
      <xdr:nvCxnSpPr>
        <xdr:cNvPr id="650" name="Straight Connector 649">
          <a:extLst>
            <a:ext uri="{FF2B5EF4-FFF2-40B4-BE49-F238E27FC236}">
              <a16:creationId xmlns:a16="http://schemas.microsoft.com/office/drawing/2014/main" id="{00000000-0008-0000-0F00-00008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110</xdr:row>
      <xdr:rowOff>180975</xdr:rowOff>
    </xdr:from>
    <xdr:to>
      <xdr:col>11</xdr:col>
      <xdr:colOff>409575</xdr:colOff>
      <xdr:row>110</xdr:row>
      <xdr:rowOff>180977</xdr:rowOff>
    </xdr:to>
    <xdr:cxnSp macro="">
      <xdr:nvCxnSpPr>
        <xdr:cNvPr id="651" name="Straight Connector 650">
          <a:extLst>
            <a:ext uri="{FF2B5EF4-FFF2-40B4-BE49-F238E27FC236}">
              <a16:creationId xmlns:a16="http://schemas.microsoft.com/office/drawing/2014/main" id="{00000000-0008-0000-0F00-00008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111</xdr:row>
      <xdr:rowOff>180975</xdr:rowOff>
    </xdr:from>
    <xdr:to>
      <xdr:col>12</xdr:col>
      <xdr:colOff>0</xdr:colOff>
      <xdr:row>111</xdr:row>
      <xdr:rowOff>180977</xdr:rowOff>
    </xdr:to>
    <xdr:cxnSp macro="">
      <xdr:nvCxnSpPr>
        <xdr:cNvPr id="652" name="Straight Connector 651">
          <a:extLst>
            <a:ext uri="{FF2B5EF4-FFF2-40B4-BE49-F238E27FC236}">
              <a16:creationId xmlns:a16="http://schemas.microsoft.com/office/drawing/2014/main" id="{00000000-0008-0000-0F00-00008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108</xdr:row>
      <xdr:rowOff>180975</xdr:rowOff>
    </xdr:from>
    <xdr:to>
      <xdr:col>12</xdr:col>
      <xdr:colOff>0</xdr:colOff>
      <xdr:row>108</xdr:row>
      <xdr:rowOff>180977</xdr:rowOff>
    </xdr:to>
    <xdr:cxnSp macro="">
      <xdr:nvCxnSpPr>
        <xdr:cNvPr id="653" name="Straight Connector 652">
          <a:extLst>
            <a:ext uri="{FF2B5EF4-FFF2-40B4-BE49-F238E27FC236}">
              <a16:creationId xmlns:a16="http://schemas.microsoft.com/office/drawing/2014/main" id="{00000000-0008-0000-0F00-00008D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109</xdr:row>
      <xdr:rowOff>190500</xdr:rowOff>
    </xdr:from>
    <xdr:to>
      <xdr:col>12</xdr:col>
      <xdr:colOff>0</xdr:colOff>
      <xdr:row>109</xdr:row>
      <xdr:rowOff>190502</xdr:rowOff>
    </xdr:to>
    <xdr:cxnSp macro="">
      <xdr:nvCxnSpPr>
        <xdr:cNvPr id="654" name="Straight Connector 653">
          <a:extLst>
            <a:ext uri="{FF2B5EF4-FFF2-40B4-BE49-F238E27FC236}">
              <a16:creationId xmlns:a16="http://schemas.microsoft.com/office/drawing/2014/main" id="{00000000-0008-0000-0F00-00008E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110</xdr:row>
      <xdr:rowOff>180975</xdr:rowOff>
    </xdr:from>
    <xdr:to>
      <xdr:col>11</xdr:col>
      <xdr:colOff>409575</xdr:colOff>
      <xdr:row>110</xdr:row>
      <xdr:rowOff>180977</xdr:rowOff>
    </xdr:to>
    <xdr:cxnSp macro="">
      <xdr:nvCxnSpPr>
        <xdr:cNvPr id="655" name="Straight Connector 654">
          <a:extLst>
            <a:ext uri="{FF2B5EF4-FFF2-40B4-BE49-F238E27FC236}">
              <a16:creationId xmlns:a16="http://schemas.microsoft.com/office/drawing/2014/main" id="{00000000-0008-0000-0F00-00008F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111</xdr:row>
      <xdr:rowOff>180975</xdr:rowOff>
    </xdr:from>
    <xdr:to>
      <xdr:col>12</xdr:col>
      <xdr:colOff>0</xdr:colOff>
      <xdr:row>111</xdr:row>
      <xdr:rowOff>180977</xdr:rowOff>
    </xdr:to>
    <xdr:cxnSp macro="">
      <xdr:nvCxnSpPr>
        <xdr:cNvPr id="656" name="Straight Connector 655">
          <a:extLst>
            <a:ext uri="{FF2B5EF4-FFF2-40B4-BE49-F238E27FC236}">
              <a16:creationId xmlns:a16="http://schemas.microsoft.com/office/drawing/2014/main" id="{00000000-0008-0000-0F00-000090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108</xdr:row>
      <xdr:rowOff>180975</xdr:rowOff>
    </xdr:from>
    <xdr:to>
      <xdr:col>18</xdr:col>
      <xdr:colOff>0</xdr:colOff>
      <xdr:row>108</xdr:row>
      <xdr:rowOff>180977</xdr:rowOff>
    </xdr:to>
    <xdr:cxnSp macro="">
      <xdr:nvCxnSpPr>
        <xdr:cNvPr id="657" name="Straight Connector 656">
          <a:extLst>
            <a:ext uri="{FF2B5EF4-FFF2-40B4-BE49-F238E27FC236}">
              <a16:creationId xmlns:a16="http://schemas.microsoft.com/office/drawing/2014/main" id="{00000000-0008-0000-0F00-000091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109</xdr:row>
      <xdr:rowOff>190500</xdr:rowOff>
    </xdr:from>
    <xdr:to>
      <xdr:col>18</xdr:col>
      <xdr:colOff>0</xdr:colOff>
      <xdr:row>109</xdr:row>
      <xdr:rowOff>190502</xdr:rowOff>
    </xdr:to>
    <xdr:cxnSp macro="">
      <xdr:nvCxnSpPr>
        <xdr:cNvPr id="658" name="Straight Connector 657">
          <a:extLst>
            <a:ext uri="{FF2B5EF4-FFF2-40B4-BE49-F238E27FC236}">
              <a16:creationId xmlns:a16="http://schemas.microsoft.com/office/drawing/2014/main" id="{00000000-0008-0000-0F00-000092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110</xdr:row>
      <xdr:rowOff>180975</xdr:rowOff>
    </xdr:from>
    <xdr:to>
      <xdr:col>17</xdr:col>
      <xdr:colOff>409575</xdr:colOff>
      <xdr:row>110</xdr:row>
      <xdr:rowOff>180977</xdr:rowOff>
    </xdr:to>
    <xdr:cxnSp macro="">
      <xdr:nvCxnSpPr>
        <xdr:cNvPr id="659" name="Straight Connector 658">
          <a:extLst>
            <a:ext uri="{FF2B5EF4-FFF2-40B4-BE49-F238E27FC236}">
              <a16:creationId xmlns:a16="http://schemas.microsoft.com/office/drawing/2014/main" id="{00000000-0008-0000-0F00-000093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111</xdr:row>
      <xdr:rowOff>180975</xdr:rowOff>
    </xdr:from>
    <xdr:to>
      <xdr:col>18</xdr:col>
      <xdr:colOff>0</xdr:colOff>
      <xdr:row>111</xdr:row>
      <xdr:rowOff>180977</xdr:rowOff>
    </xdr:to>
    <xdr:cxnSp macro="">
      <xdr:nvCxnSpPr>
        <xdr:cNvPr id="660" name="Straight Connector 659">
          <a:extLst>
            <a:ext uri="{FF2B5EF4-FFF2-40B4-BE49-F238E27FC236}">
              <a16:creationId xmlns:a16="http://schemas.microsoft.com/office/drawing/2014/main" id="{00000000-0008-0000-0F00-000094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137</xdr:row>
      <xdr:rowOff>180975</xdr:rowOff>
    </xdr:from>
    <xdr:to>
      <xdr:col>6</xdr:col>
      <xdr:colOff>0</xdr:colOff>
      <xdr:row>137</xdr:row>
      <xdr:rowOff>180977</xdr:rowOff>
    </xdr:to>
    <xdr:cxnSp macro="">
      <xdr:nvCxnSpPr>
        <xdr:cNvPr id="661" name="Straight Connector 660">
          <a:extLst>
            <a:ext uri="{FF2B5EF4-FFF2-40B4-BE49-F238E27FC236}">
              <a16:creationId xmlns:a16="http://schemas.microsoft.com/office/drawing/2014/main" id="{00000000-0008-0000-0F00-000095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138</xdr:row>
      <xdr:rowOff>190500</xdr:rowOff>
    </xdr:from>
    <xdr:to>
      <xdr:col>6</xdr:col>
      <xdr:colOff>0</xdr:colOff>
      <xdr:row>138</xdr:row>
      <xdr:rowOff>190502</xdr:rowOff>
    </xdr:to>
    <xdr:cxnSp macro="">
      <xdr:nvCxnSpPr>
        <xdr:cNvPr id="662" name="Straight Connector 661">
          <a:extLst>
            <a:ext uri="{FF2B5EF4-FFF2-40B4-BE49-F238E27FC236}">
              <a16:creationId xmlns:a16="http://schemas.microsoft.com/office/drawing/2014/main" id="{00000000-0008-0000-0F00-000096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139</xdr:row>
      <xdr:rowOff>180975</xdr:rowOff>
    </xdr:from>
    <xdr:to>
      <xdr:col>5</xdr:col>
      <xdr:colOff>409575</xdr:colOff>
      <xdr:row>139</xdr:row>
      <xdr:rowOff>180977</xdr:rowOff>
    </xdr:to>
    <xdr:cxnSp macro="">
      <xdr:nvCxnSpPr>
        <xdr:cNvPr id="663" name="Straight Connector 662">
          <a:extLst>
            <a:ext uri="{FF2B5EF4-FFF2-40B4-BE49-F238E27FC236}">
              <a16:creationId xmlns:a16="http://schemas.microsoft.com/office/drawing/2014/main" id="{00000000-0008-0000-0F00-000097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140</xdr:row>
      <xdr:rowOff>180975</xdr:rowOff>
    </xdr:from>
    <xdr:to>
      <xdr:col>6</xdr:col>
      <xdr:colOff>0</xdr:colOff>
      <xdr:row>140</xdr:row>
      <xdr:rowOff>180977</xdr:rowOff>
    </xdr:to>
    <xdr:cxnSp macro="">
      <xdr:nvCxnSpPr>
        <xdr:cNvPr id="664" name="Straight Connector 663">
          <a:extLst>
            <a:ext uri="{FF2B5EF4-FFF2-40B4-BE49-F238E27FC236}">
              <a16:creationId xmlns:a16="http://schemas.microsoft.com/office/drawing/2014/main" id="{00000000-0008-0000-0F00-000098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137</xdr:row>
      <xdr:rowOff>180975</xdr:rowOff>
    </xdr:from>
    <xdr:to>
      <xdr:col>12</xdr:col>
      <xdr:colOff>0</xdr:colOff>
      <xdr:row>137</xdr:row>
      <xdr:rowOff>180977</xdr:rowOff>
    </xdr:to>
    <xdr:cxnSp macro="">
      <xdr:nvCxnSpPr>
        <xdr:cNvPr id="665" name="Straight Connector 664">
          <a:extLst>
            <a:ext uri="{FF2B5EF4-FFF2-40B4-BE49-F238E27FC236}">
              <a16:creationId xmlns:a16="http://schemas.microsoft.com/office/drawing/2014/main" id="{00000000-0008-0000-0F00-00009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138</xdr:row>
      <xdr:rowOff>190500</xdr:rowOff>
    </xdr:from>
    <xdr:to>
      <xdr:col>12</xdr:col>
      <xdr:colOff>0</xdr:colOff>
      <xdr:row>138</xdr:row>
      <xdr:rowOff>190502</xdr:rowOff>
    </xdr:to>
    <xdr:cxnSp macro="">
      <xdr:nvCxnSpPr>
        <xdr:cNvPr id="666" name="Straight Connector 665">
          <a:extLst>
            <a:ext uri="{FF2B5EF4-FFF2-40B4-BE49-F238E27FC236}">
              <a16:creationId xmlns:a16="http://schemas.microsoft.com/office/drawing/2014/main" id="{00000000-0008-0000-0F00-00009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139</xdr:row>
      <xdr:rowOff>180975</xdr:rowOff>
    </xdr:from>
    <xdr:to>
      <xdr:col>11</xdr:col>
      <xdr:colOff>409575</xdr:colOff>
      <xdr:row>139</xdr:row>
      <xdr:rowOff>180977</xdr:rowOff>
    </xdr:to>
    <xdr:cxnSp macro="">
      <xdr:nvCxnSpPr>
        <xdr:cNvPr id="667" name="Straight Connector 666">
          <a:extLst>
            <a:ext uri="{FF2B5EF4-FFF2-40B4-BE49-F238E27FC236}">
              <a16:creationId xmlns:a16="http://schemas.microsoft.com/office/drawing/2014/main" id="{00000000-0008-0000-0F00-00009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140</xdr:row>
      <xdr:rowOff>180975</xdr:rowOff>
    </xdr:from>
    <xdr:to>
      <xdr:col>12</xdr:col>
      <xdr:colOff>0</xdr:colOff>
      <xdr:row>140</xdr:row>
      <xdr:rowOff>180977</xdr:rowOff>
    </xdr:to>
    <xdr:cxnSp macro="">
      <xdr:nvCxnSpPr>
        <xdr:cNvPr id="668" name="Straight Connector 667">
          <a:extLst>
            <a:ext uri="{FF2B5EF4-FFF2-40B4-BE49-F238E27FC236}">
              <a16:creationId xmlns:a16="http://schemas.microsoft.com/office/drawing/2014/main" id="{00000000-0008-0000-0F00-00009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137</xdr:row>
      <xdr:rowOff>180975</xdr:rowOff>
    </xdr:from>
    <xdr:to>
      <xdr:col>18</xdr:col>
      <xdr:colOff>0</xdr:colOff>
      <xdr:row>137</xdr:row>
      <xdr:rowOff>180977</xdr:rowOff>
    </xdr:to>
    <xdr:cxnSp macro="">
      <xdr:nvCxnSpPr>
        <xdr:cNvPr id="669" name="Straight Connector 668">
          <a:extLst>
            <a:ext uri="{FF2B5EF4-FFF2-40B4-BE49-F238E27FC236}">
              <a16:creationId xmlns:a16="http://schemas.microsoft.com/office/drawing/2014/main" id="{00000000-0008-0000-0F00-00009D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138</xdr:row>
      <xdr:rowOff>190500</xdr:rowOff>
    </xdr:from>
    <xdr:to>
      <xdr:col>18</xdr:col>
      <xdr:colOff>0</xdr:colOff>
      <xdr:row>138</xdr:row>
      <xdr:rowOff>190502</xdr:rowOff>
    </xdr:to>
    <xdr:cxnSp macro="">
      <xdr:nvCxnSpPr>
        <xdr:cNvPr id="670" name="Straight Connector 669">
          <a:extLst>
            <a:ext uri="{FF2B5EF4-FFF2-40B4-BE49-F238E27FC236}">
              <a16:creationId xmlns:a16="http://schemas.microsoft.com/office/drawing/2014/main" id="{00000000-0008-0000-0F00-00009E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139</xdr:row>
      <xdr:rowOff>180975</xdr:rowOff>
    </xdr:from>
    <xdr:to>
      <xdr:col>17</xdr:col>
      <xdr:colOff>409575</xdr:colOff>
      <xdr:row>139</xdr:row>
      <xdr:rowOff>180977</xdr:rowOff>
    </xdr:to>
    <xdr:cxnSp macro="">
      <xdr:nvCxnSpPr>
        <xdr:cNvPr id="671" name="Straight Connector 670">
          <a:extLst>
            <a:ext uri="{FF2B5EF4-FFF2-40B4-BE49-F238E27FC236}">
              <a16:creationId xmlns:a16="http://schemas.microsoft.com/office/drawing/2014/main" id="{00000000-0008-0000-0F00-00009F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140</xdr:row>
      <xdr:rowOff>180975</xdr:rowOff>
    </xdr:from>
    <xdr:to>
      <xdr:col>18</xdr:col>
      <xdr:colOff>0</xdr:colOff>
      <xdr:row>140</xdr:row>
      <xdr:rowOff>180977</xdr:rowOff>
    </xdr:to>
    <xdr:cxnSp macro="">
      <xdr:nvCxnSpPr>
        <xdr:cNvPr id="672" name="Straight Connector 671">
          <a:extLst>
            <a:ext uri="{FF2B5EF4-FFF2-40B4-BE49-F238E27FC236}">
              <a16:creationId xmlns:a16="http://schemas.microsoft.com/office/drawing/2014/main" id="{00000000-0008-0000-0F00-0000A0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137</xdr:row>
      <xdr:rowOff>180975</xdr:rowOff>
    </xdr:from>
    <xdr:to>
      <xdr:col>12</xdr:col>
      <xdr:colOff>0</xdr:colOff>
      <xdr:row>137</xdr:row>
      <xdr:rowOff>180977</xdr:rowOff>
    </xdr:to>
    <xdr:cxnSp macro="">
      <xdr:nvCxnSpPr>
        <xdr:cNvPr id="673" name="Straight Connector 672">
          <a:extLst>
            <a:ext uri="{FF2B5EF4-FFF2-40B4-BE49-F238E27FC236}">
              <a16:creationId xmlns:a16="http://schemas.microsoft.com/office/drawing/2014/main" id="{00000000-0008-0000-0F00-0000A1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138</xdr:row>
      <xdr:rowOff>190500</xdr:rowOff>
    </xdr:from>
    <xdr:to>
      <xdr:col>12</xdr:col>
      <xdr:colOff>0</xdr:colOff>
      <xdr:row>138</xdr:row>
      <xdr:rowOff>190502</xdr:rowOff>
    </xdr:to>
    <xdr:cxnSp macro="">
      <xdr:nvCxnSpPr>
        <xdr:cNvPr id="674" name="Straight Connector 673">
          <a:extLst>
            <a:ext uri="{FF2B5EF4-FFF2-40B4-BE49-F238E27FC236}">
              <a16:creationId xmlns:a16="http://schemas.microsoft.com/office/drawing/2014/main" id="{00000000-0008-0000-0F00-0000A2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139</xdr:row>
      <xdr:rowOff>180975</xdr:rowOff>
    </xdr:from>
    <xdr:to>
      <xdr:col>11</xdr:col>
      <xdr:colOff>409575</xdr:colOff>
      <xdr:row>139</xdr:row>
      <xdr:rowOff>180977</xdr:rowOff>
    </xdr:to>
    <xdr:cxnSp macro="">
      <xdr:nvCxnSpPr>
        <xdr:cNvPr id="675" name="Straight Connector 674">
          <a:extLst>
            <a:ext uri="{FF2B5EF4-FFF2-40B4-BE49-F238E27FC236}">
              <a16:creationId xmlns:a16="http://schemas.microsoft.com/office/drawing/2014/main" id="{00000000-0008-0000-0F00-0000A3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140</xdr:row>
      <xdr:rowOff>180975</xdr:rowOff>
    </xdr:from>
    <xdr:to>
      <xdr:col>12</xdr:col>
      <xdr:colOff>0</xdr:colOff>
      <xdr:row>140</xdr:row>
      <xdr:rowOff>180977</xdr:rowOff>
    </xdr:to>
    <xdr:cxnSp macro="">
      <xdr:nvCxnSpPr>
        <xdr:cNvPr id="676" name="Straight Connector 675">
          <a:extLst>
            <a:ext uri="{FF2B5EF4-FFF2-40B4-BE49-F238E27FC236}">
              <a16:creationId xmlns:a16="http://schemas.microsoft.com/office/drawing/2014/main" id="{00000000-0008-0000-0F00-0000A4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137</xdr:row>
      <xdr:rowOff>180975</xdr:rowOff>
    </xdr:from>
    <xdr:to>
      <xdr:col>12</xdr:col>
      <xdr:colOff>0</xdr:colOff>
      <xdr:row>137</xdr:row>
      <xdr:rowOff>180977</xdr:rowOff>
    </xdr:to>
    <xdr:cxnSp macro="">
      <xdr:nvCxnSpPr>
        <xdr:cNvPr id="677" name="Straight Connector 676">
          <a:extLst>
            <a:ext uri="{FF2B5EF4-FFF2-40B4-BE49-F238E27FC236}">
              <a16:creationId xmlns:a16="http://schemas.microsoft.com/office/drawing/2014/main" id="{00000000-0008-0000-0F00-0000A5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138</xdr:row>
      <xdr:rowOff>190500</xdr:rowOff>
    </xdr:from>
    <xdr:to>
      <xdr:col>12</xdr:col>
      <xdr:colOff>0</xdr:colOff>
      <xdr:row>138</xdr:row>
      <xdr:rowOff>190502</xdr:rowOff>
    </xdr:to>
    <xdr:cxnSp macro="">
      <xdr:nvCxnSpPr>
        <xdr:cNvPr id="678" name="Straight Connector 677">
          <a:extLst>
            <a:ext uri="{FF2B5EF4-FFF2-40B4-BE49-F238E27FC236}">
              <a16:creationId xmlns:a16="http://schemas.microsoft.com/office/drawing/2014/main" id="{00000000-0008-0000-0F00-0000A6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139</xdr:row>
      <xdr:rowOff>180975</xdr:rowOff>
    </xdr:from>
    <xdr:to>
      <xdr:col>11</xdr:col>
      <xdr:colOff>409575</xdr:colOff>
      <xdr:row>139</xdr:row>
      <xdr:rowOff>180977</xdr:rowOff>
    </xdr:to>
    <xdr:cxnSp macro="">
      <xdr:nvCxnSpPr>
        <xdr:cNvPr id="679" name="Straight Connector 678">
          <a:extLst>
            <a:ext uri="{FF2B5EF4-FFF2-40B4-BE49-F238E27FC236}">
              <a16:creationId xmlns:a16="http://schemas.microsoft.com/office/drawing/2014/main" id="{00000000-0008-0000-0F00-0000A7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140</xdr:row>
      <xdr:rowOff>180975</xdr:rowOff>
    </xdr:from>
    <xdr:to>
      <xdr:col>12</xdr:col>
      <xdr:colOff>0</xdr:colOff>
      <xdr:row>140</xdr:row>
      <xdr:rowOff>180977</xdr:rowOff>
    </xdr:to>
    <xdr:cxnSp macro="">
      <xdr:nvCxnSpPr>
        <xdr:cNvPr id="680" name="Straight Connector 679">
          <a:extLst>
            <a:ext uri="{FF2B5EF4-FFF2-40B4-BE49-F238E27FC236}">
              <a16:creationId xmlns:a16="http://schemas.microsoft.com/office/drawing/2014/main" id="{00000000-0008-0000-0F00-0000A8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137</xdr:row>
      <xdr:rowOff>180975</xdr:rowOff>
    </xdr:from>
    <xdr:to>
      <xdr:col>18</xdr:col>
      <xdr:colOff>0</xdr:colOff>
      <xdr:row>137</xdr:row>
      <xdr:rowOff>180977</xdr:rowOff>
    </xdr:to>
    <xdr:cxnSp macro="">
      <xdr:nvCxnSpPr>
        <xdr:cNvPr id="681" name="Straight Connector 680">
          <a:extLst>
            <a:ext uri="{FF2B5EF4-FFF2-40B4-BE49-F238E27FC236}">
              <a16:creationId xmlns:a16="http://schemas.microsoft.com/office/drawing/2014/main" id="{00000000-0008-0000-0F00-0000A9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138</xdr:row>
      <xdr:rowOff>190500</xdr:rowOff>
    </xdr:from>
    <xdr:to>
      <xdr:col>18</xdr:col>
      <xdr:colOff>0</xdr:colOff>
      <xdr:row>138</xdr:row>
      <xdr:rowOff>190502</xdr:rowOff>
    </xdr:to>
    <xdr:cxnSp macro="">
      <xdr:nvCxnSpPr>
        <xdr:cNvPr id="682" name="Straight Connector 681">
          <a:extLst>
            <a:ext uri="{FF2B5EF4-FFF2-40B4-BE49-F238E27FC236}">
              <a16:creationId xmlns:a16="http://schemas.microsoft.com/office/drawing/2014/main" id="{00000000-0008-0000-0F00-0000AA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139</xdr:row>
      <xdr:rowOff>180975</xdr:rowOff>
    </xdr:from>
    <xdr:to>
      <xdr:col>17</xdr:col>
      <xdr:colOff>409575</xdr:colOff>
      <xdr:row>139</xdr:row>
      <xdr:rowOff>180977</xdr:rowOff>
    </xdr:to>
    <xdr:cxnSp macro="">
      <xdr:nvCxnSpPr>
        <xdr:cNvPr id="683" name="Straight Connector 682">
          <a:extLst>
            <a:ext uri="{FF2B5EF4-FFF2-40B4-BE49-F238E27FC236}">
              <a16:creationId xmlns:a16="http://schemas.microsoft.com/office/drawing/2014/main" id="{00000000-0008-0000-0F00-0000AB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140</xdr:row>
      <xdr:rowOff>180975</xdr:rowOff>
    </xdr:from>
    <xdr:to>
      <xdr:col>18</xdr:col>
      <xdr:colOff>0</xdr:colOff>
      <xdr:row>140</xdr:row>
      <xdr:rowOff>180977</xdr:rowOff>
    </xdr:to>
    <xdr:cxnSp macro="">
      <xdr:nvCxnSpPr>
        <xdr:cNvPr id="684" name="Straight Connector 683">
          <a:extLst>
            <a:ext uri="{FF2B5EF4-FFF2-40B4-BE49-F238E27FC236}">
              <a16:creationId xmlns:a16="http://schemas.microsoft.com/office/drawing/2014/main" id="{00000000-0008-0000-0F00-0000AC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165</xdr:row>
      <xdr:rowOff>180975</xdr:rowOff>
    </xdr:from>
    <xdr:to>
      <xdr:col>6</xdr:col>
      <xdr:colOff>0</xdr:colOff>
      <xdr:row>165</xdr:row>
      <xdr:rowOff>180977</xdr:rowOff>
    </xdr:to>
    <xdr:cxnSp macro="">
      <xdr:nvCxnSpPr>
        <xdr:cNvPr id="685" name="Straight Connector 684">
          <a:extLst>
            <a:ext uri="{FF2B5EF4-FFF2-40B4-BE49-F238E27FC236}">
              <a16:creationId xmlns:a16="http://schemas.microsoft.com/office/drawing/2014/main" id="{00000000-0008-0000-0F00-0000AD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166</xdr:row>
      <xdr:rowOff>190500</xdr:rowOff>
    </xdr:from>
    <xdr:to>
      <xdr:col>6</xdr:col>
      <xdr:colOff>0</xdr:colOff>
      <xdr:row>166</xdr:row>
      <xdr:rowOff>190502</xdr:rowOff>
    </xdr:to>
    <xdr:cxnSp macro="">
      <xdr:nvCxnSpPr>
        <xdr:cNvPr id="686" name="Straight Connector 685">
          <a:extLst>
            <a:ext uri="{FF2B5EF4-FFF2-40B4-BE49-F238E27FC236}">
              <a16:creationId xmlns:a16="http://schemas.microsoft.com/office/drawing/2014/main" id="{00000000-0008-0000-0F00-0000AE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167</xdr:row>
      <xdr:rowOff>180975</xdr:rowOff>
    </xdr:from>
    <xdr:to>
      <xdr:col>5</xdr:col>
      <xdr:colOff>409575</xdr:colOff>
      <xdr:row>167</xdr:row>
      <xdr:rowOff>180977</xdr:rowOff>
    </xdr:to>
    <xdr:cxnSp macro="">
      <xdr:nvCxnSpPr>
        <xdr:cNvPr id="687" name="Straight Connector 686">
          <a:extLst>
            <a:ext uri="{FF2B5EF4-FFF2-40B4-BE49-F238E27FC236}">
              <a16:creationId xmlns:a16="http://schemas.microsoft.com/office/drawing/2014/main" id="{00000000-0008-0000-0F00-0000AF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168</xdr:row>
      <xdr:rowOff>180975</xdr:rowOff>
    </xdr:from>
    <xdr:to>
      <xdr:col>6</xdr:col>
      <xdr:colOff>0</xdr:colOff>
      <xdr:row>168</xdr:row>
      <xdr:rowOff>180977</xdr:rowOff>
    </xdr:to>
    <xdr:cxnSp macro="">
      <xdr:nvCxnSpPr>
        <xdr:cNvPr id="688" name="Straight Connector 687">
          <a:extLst>
            <a:ext uri="{FF2B5EF4-FFF2-40B4-BE49-F238E27FC236}">
              <a16:creationId xmlns:a16="http://schemas.microsoft.com/office/drawing/2014/main" id="{00000000-0008-0000-0F00-0000B0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165</xdr:row>
      <xdr:rowOff>180975</xdr:rowOff>
    </xdr:from>
    <xdr:to>
      <xdr:col>12</xdr:col>
      <xdr:colOff>0</xdr:colOff>
      <xdr:row>165</xdr:row>
      <xdr:rowOff>180977</xdr:rowOff>
    </xdr:to>
    <xdr:cxnSp macro="">
      <xdr:nvCxnSpPr>
        <xdr:cNvPr id="689" name="Straight Connector 688">
          <a:extLst>
            <a:ext uri="{FF2B5EF4-FFF2-40B4-BE49-F238E27FC236}">
              <a16:creationId xmlns:a16="http://schemas.microsoft.com/office/drawing/2014/main" id="{00000000-0008-0000-0F00-0000B1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166</xdr:row>
      <xdr:rowOff>190500</xdr:rowOff>
    </xdr:from>
    <xdr:to>
      <xdr:col>12</xdr:col>
      <xdr:colOff>0</xdr:colOff>
      <xdr:row>166</xdr:row>
      <xdr:rowOff>190502</xdr:rowOff>
    </xdr:to>
    <xdr:cxnSp macro="">
      <xdr:nvCxnSpPr>
        <xdr:cNvPr id="690" name="Straight Connector 689">
          <a:extLst>
            <a:ext uri="{FF2B5EF4-FFF2-40B4-BE49-F238E27FC236}">
              <a16:creationId xmlns:a16="http://schemas.microsoft.com/office/drawing/2014/main" id="{00000000-0008-0000-0F00-0000B2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167</xdr:row>
      <xdr:rowOff>180975</xdr:rowOff>
    </xdr:from>
    <xdr:to>
      <xdr:col>11</xdr:col>
      <xdr:colOff>409575</xdr:colOff>
      <xdr:row>167</xdr:row>
      <xdr:rowOff>180977</xdr:rowOff>
    </xdr:to>
    <xdr:cxnSp macro="">
      <xdr:nvCxnSpPr>
        <xdr:cNvPr id="691" name="Straight Connector 690">
          <a:extLst>
            <a:ext uri="{FF2B5EF4-FFF2-40B4-BE49-F238E27FC236}">
              <a16:creationId xmlns:a16="http://schemas.microsoft.com/office/drawing/2014/main" id="{00000000-0008-0000-0F00-0000B3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168</xdr:row>
      <xdr:rowOff>180975</xdr:rowOff>
    </xdr:from>
    <xdr:to>
      <xdr:col>12</xdr:col>
      <xdr:colOff>0</xdr:colOff>
      <xdr:row>168</xdr:row>
      <xdr:rowOff>180977</xdr:rowOff>
    </xdr:to>
    <xdr:cxnSp macro="">
      <xdr:nvCxnSpPr>
        <xdr:cNvPr id="692" name="Straight Connector 691">
          <a:extLst>
            <a:ext uri="{FF2B5EF4-FFF2-40B4-BE49-F238E27FC236}">
              <a16:creationId xmlns:a16="http://schemas.microsoft.com/office/drawing/2014/main" id="{00000000-0008-0000-0F00-0000B4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165</xdr:row>
      <xdr:rowOff>180975</xdr:rowOff>
    </xdr:from>
    <xdr:to>
      <xdr:col>18</xdr:col>
      <xdr:colOff>0</xdr:colOff>
      <xdr:row>165</xdr:row>
      <xdr:rowOff>180977</xdr:rowOff>
    </xdr:to>
    <xdr:cxnSp macro="">
      <xdr:nvCxnSpPr>
        <xdr:cNvPr id="693" name="Straight Connector 692">
          <a:extLst>
            <a:ext uri="{FF2B5EF4-FFF2-40B4-BE49-F238E27FC236}">
              <a16:creationId xmlns:a16="http://schemas.microsoft.com/office/drawing/2014/main" id="{00000000-0008-0000-0F00-0000B5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166</xdr:row>
      <xdr:rowOff>190500</xdr:rowOff>
    </xdr:from>
    <xdr:to>
      <xdr:col>18</xdr:col>
      <xdr:colOff>0</xdr:colOff>
      <xdr:row>166</xdr:row>
      <xdr:rowOff>190502</xdr:rowOff>
    </xdr:to>
    <xdr:cxnSp macro="">
      <xdr:nvCxnSpPr>
        <xdr:cNvPr id="694" name="Straight Connector 693">
          <a:extLst>
            <a:ext uri="{FF2B5EF4-FFF2-40B4-BE49-F238E27FC236}">
              <a16:creationId xmlns:a16="http://schemas.microsoft.com/office/drawing/2014/main" id="{00000000-0008-0000-0F00-0000B6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167</xdr:row>
      <xdr:rowOff>180975</xdr:rowOff>
    </xdr:from>
    <xdr:to>
      <xdr:col>17</xdr:col>
      <xdr:colOff>409575</xdr:colOff>
      <xdr:row>167</xdr:row>
      <xdr:rowOff>180977</xdr:rowOff>
    </xdr:to>
    <xdr:cxnSp macro="">
      <xdr:nvCxnSpPr>
        <xdr:cNvPr id="695" name="Straight Connector 694">
          <a:extLst>
            <a:ext uri="{FF2B5EF4-FFF2-40B4-BE49-F238E27FC236}">
              <a16:creationId xmlns:a16="http://schemas.microsoft.com/office/drawing/2014/main" id="{00000000-0008-0000-0F00-0000B7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168</xdr:row>
      <xdr:rowOff>180975</xdr:rowOff>
    </xdr:from>
    <xdr:to>
      <xdr:col>18</xdr:col>
      <xdr:colOff>0</xdr:colOff>
      <xdr:row>168</xdr:row>
      <xdr:rowOff>180977</xdr:rowOff>
    </xdr:to>
    <xdr:cxnSp macro="">
      <xdr:nvCxnSpPr>
        <xdr:cNvPr id="696" name="Straight Connector 695">
          <a:extLst>
            <a:ext uri="{FF2B5EF4-FFF2-40B4-BE49-F238E27FC236}">
              <a16:creationId xmlns:a16="http://schemas.microsoft.com/office/drawing/2014/main" id="{00000000-0008-0000-0F00-0000B8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165</xdr:row>
      <xdr:rowOff>180975</xdr:rowOff>
    </xdr:from>
    <xdr:to>
      <xdr:col>12</xdr:col>
      <xdr:colOff>0</xdr:colOff>
      <xdr:row>165</xdr:row>
      <xdr:rowOff>180977</xdr:rowOff>
    </xdr:to>
    <xdr:cxnSp macro="">
      <xdr:nvCxnSpPr>
        <xdr:cNvPr id="697" name="Straight Connector 696">
          <a:extLst>
            <a:ext uri="{FF2B5EF4-FFF2-40B4-BE49-F238E27FC236}">
              <a16:creationId xmlns:a16="http://schemas.microsoft.com/office/drawing/2014/main" id="{00000000-0008-0000-0F00-0000B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166</xdr:row>
      <xdr:rowOff>190500</xdr:rowOff>
    </xdr:from>
    <xdr:to>
      <xdr:col>12</xdr:col>
      <xdr:colOff>0</xdr:colOff>
      <xdr:row>166</xdr:row>
      <xdr:rowOff>190502</xdr:rowOff>
    </xdr:to>
    <xdr:cxnSp macro="">
      <xdr:nvCxnSpPr>
        <xdr:cNvPr id="698" name="Straight Connector 697">
          <a:extLst>
            <a:ext uri="{FF2B5EF4-FFF2-40B4-BE49-F238E27FC236}">
              <a16:creationId xmlns:a16="http://schemas.microsoft.com/office/drawing/2014/main" id="{00000000-0008-0000-0F00-0000B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167</xdr:row>
      <xdr:rowOff>180975</xdr:rowOff>
    </xdr:from>
    <xdr:to>
      <xdr:col>11</xdr:col>
      <xdr:colOff>409575</xdr:colOff>
      <xdr:row>167</xdr:row>
      <xdr:rowOff>180977</xdr:rowOff>
    </xdr:to>
    <xdr:cxnSp macro="">
      <xdr:nvCxnSpPr>
        <xdr:cNvPr id="699" name="Straight Connector 698">
          <a:extLst>
            <a:ext uri="{FF2B5EF4-FFF2-40B4-BE49-F238E27FC236}">
              <a16:creationId xmlns:a16="http://schemas.microsoft.com/office/drawing/2014/main" id="{00000000-0008-0000-0F00-0000B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168</xdr:row>
      <xdr:rowOff>180975</xdr:rowOff>
    </xdr:from>
    <xdr:to>
      <xdr:col>12</xdr:col>
      <xdr:colOff>0</xdr:colOff>
      <xdr:row>168</xdr:row>
      <xdr:rowOff>180977</xdr:rowOff>
    </xdr:to>
    <xdr:cxnSp macro="">
      <xdr:nvCxnSpPr>
        <xdr:cNvPr id="700" name="Straight Connector 699">
          <a:extLst>
            <a:ext uri="{FF2B5EF4-FFF2-40B4-BE49-F238E27FC236}">
              <a16:creationId xmlns:a16="http://schemas.microsoft.com/office/drawing/2014/main" id="{00000000-0008-0000-0F00-0000B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165</xdr:row>
      <xdr:rowOff>180975</xdr:rowOff>
    </xdr:from>
    <xdr:to>
      <xdr:col>12</xdr:col>
      <xdr:colOff>0</xdr:colOff>
      <xdr:row>165</xdr:row>
      <xdr:rowOff>180977</xdr:rowOff>
    </xdr:to>
    <xdr:cxnSp macro="">
      <xdr:nvCxnSpPr>
        <xdr:cNvPr id="701" name="Straight Connector 700">
          <a:extLst>
            <a:ext uri="{FF2B5EF4-FFF2-40B4-BE49-F238E27FC236}">
              <a16:creationId xmlns:a16="http://schemas.microsoft.com/office/drawing/2014/main" id="{00000000-0008-0000-0F00-0000BD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166</xdr:row>
      <xdr:rowOff>190500</xdr:rowOff>
    </xdr:from>
    <xdr:to>
      <xdr:col>12</xdr:col>
      <xdr:colOff>0</xdr:colOff>
      <xdr:row>166</xdr:row>
      <xdr:rowOff>190502</xdr:rowOff>
    </xdr:to>
    <xdr:cxnSp macro="">
      <xdr:nvCxnSpPr>
        <xdr:cNvPr id="702" name="Straight Connector 701">
          <a:extLst>
            <a:ext uri="{FF2B5EF4-FFF2-40B4-BE49-F238E27FC236}">
              <a16:creationId xmlns:a16="http://schemas.microsoft.com/office/drawing/2014/main" id="{00000000-0008-0000-0F00-0000BE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167</xdr:row>
      <xdr:rowOff>180975</xdr:rowOff>
    </xdr:from>
    <xdr:to>
      <xdr:col>11</xdr:col>
      <xdr:colOff>409575</xdr:colOff>
      <xdr:row>167</xdr:row>
      <xdr:rowOff>180977</xdr:rowOff>
    </xdr:to>
    <xdr:cxnSp macro="">
      <xdr:nvCxnSpPr>
        <xdr:cNvPr id="703" name="Straight Connector 702">
          <a:extLst>
            <a:ext uri="{FF2B5EF4-FFF2-40B4-BE49-F238E27FC236}">
              <a16:creationId xmlns:a16="http://schemas.microsoft.com/office/drawing/2014/main" id="{00000000-0008-0000-0F00-0000BF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168</xdr:row>
      <xdr:rowOff>180975</xdr:rowOff>
    </xdr:from>
    <xdr:to>
      <xdr:col>12</xdr:col>
      <xdr:colOff>0</xdr:colOff>
      <xdr:row>168</xdr:row>
      <xdr:rowOff>180977</xdr:rowOff>
    </xdr:to>
    <xdr:cxnSp macro="">
      <xdr:nvCxnSpPr>
        <xdr:cNvPr id="704" name="Straight Connector 703">
          <a:extLst>
            <a:ext uri="{FF2B5EF4-FFF2-40B4-BE49-F238E27FC236}">
              <a16:creationId xmlns:a16="http://schemas.microsoft.com/office/drawing/2014/main" id="{00000000-0008-0000-0F00-0000C0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165</xdr:row>
      <xdr:rowOff>180975</xdr:rowOff>
    </xdr:from>
    <xdr:to>
      <xdr:col>18</xdr:col>
      <xdr:colOff>0</xdr:colOff>
      <xdr:row>165</xdr:row>
      <xdr:rowOff>180977</xdr:rowOff>
    </xdr:to>
    <xdr:cxnSp macro="">
      <xdr:nvCxnSpPr>
        <xdr:cNvPr id="705" name="Straight Connector 704">
          <a:extLst>
            <a:ext uri="{FF2B5EF4-FFF2-40B4-BE49-F238E27FC236}">
              <a16:creationId xmlns:a16="http://schemas.microsoft.com/office/drawing/2014/main" id="{00000000-0008-0000-0F00-0000C1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166</xdr:row>
      <xdr:rowOff>190500</xdr:rowOff>
    </xdr:from>
    <xdr:to>
      <xdr:col>18</xdr:col>
      <xdr:colOff>0</xdr:colOff>
      <xdr:row>166</xdr:row>
      <xdr:rowOff>190502</xdr:rowOff>
    </xdr:to>
    <xdr:cxnSp macro="">
      <xdr:nvCxnSpPr>
        <xdr:cNvPr id="706" name="Straight Connector 705">
          <a:extLst>
            <a:ext uri="{FF2B5EF4-FFF2-40B4-BE49-F238E27FC236}">
              <a16:creationId xmlns:a16="http://schemas.microsoft.com/office/drawing/2014/main" id="{00000000-0008-0000-0F00-0000C2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167</xdr:row>
      <xdr:rowOff>180975</xdr:rowOff>
    </xdr:from>
    <xdr:to>
      <xdr:col>17</xdr:col>
      <xdr:colOff>409575</xdr:colOff>
      <xdr:row>167</xdr:row>
      <xdr:rowOff>180977</xdr:rowOff>
    </xdr:to>
    <xdr:cxnSp macro="">
      <xdr:nvCxnSpPr>
        <xdr:cNvPr id="707" name="Straight Connector 706">
          <a:extLst>
            <a:ext uri="{FF2B5EF4-FFF2-40B4-BE49-F238E27FC236}">
              <a16:creationId xmlns:a16="http://schemas.microsoft.com/office/drawing/2014/main" id="{00000000-0008-0000-0F00-0000C3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168</xdr:row>
      <xdr:rowOff>180975</xdr:rowOff>
    </xdr:from>
    <xdr:to>
      <xdr:col>18</xdr:col>
      <xdr:colOff>0</xdr:colOff>
      <xdr:row>168</xdr:row>
      <xdr:rowOff>180977</xdr:rowOff>
    </xdr:to>
    <xdr:cxnSp macro="">
      <xdr:nvCxnSpPr>
        <xdr:cNvPr id="708" name="Straight Connector 707">
          <a:extLst>
            <a:ext uri="{FF2B5EF4-FFF2-40B4-BE49-F238E27FC236}">
              <a16:creationId xmlns:a16="http://schemas.microsoft.com/office/drawing/2014/main" id="{00000000-0008-0000-0F00-0000C4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194</xdr:row>
      <xdr:rowOff>180975</xdr:rowOff>
    </xdr:from>
    <xdr:to>
      <xdr:col>6</xdr:col>
      <xdr:colOff>0</xdr:colOff>
      <xdr:row>194</xdr:row>
      <xdr:rowOff>180977</xdr:rowOff>
    </xdr:to>
    <xdr:cxnSp macro="">
      <xdr:nvCxnSpPr>
        <xdr:cNvPr id="709" name="Straight Connector 708">
          <a:extLst>
            <a:ext uri="{FF2B5EF4-FFF2-40B4-BE49-F238E27FC236}">
              <a16:creationId xmlns:a16="http://schemas.microsoft.com/office/drawing/2014/main" id="{00000000-0008-0000-0F00-0000C5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195</xdr:row>
      <xdr:rowOff>190500</xdr:rowOff>
    </xdr:from>
    <xdr:to>
      <xdr:col>6</xdr:col>
      <xdr:colOff>0</xdr:colOff>
      <xdr:row>195</xdr:row>
      <xdr:rowOff>190502</xdr:rowOff>
    </xdr:to>
    <xdr:cxnSp macro="">
      <xdr:nvCxnSpPr>
        <xdr:cNvPr id="710" name="Straight Connector 709">
          <a:extLst>
            <a:ext uri="{FF2B5EF4-FFF2-40B4-BE49-F238E27FC236}">
              <a16:creationId xmlns:a16="http://schemas.microsoft.com/office/drawing/2014/main" id="{00000000-0008-0000-0F00-0000C6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196</xdr:row>
      <xdr:rowOff>180975</xdr:rowOff>
    </xdr:from>
    <xdr:to>
      <xdr:col>5</xdr:col>
      <xdr:colOff>409575</xdr:colOff>
      <xdr:row>196</xdr:row>
      <xdr:rowOff>180977</xdr:rowOff>
    </xdr:to>
    <xdr:cxnSp macro="">
      <xdr:nvCxnSpPr>
        <xdr:cNvPr id="711" name="Straight Connector 710">
          <a:extLst>
            <a:ext uri="{FF2B5EF4-FFF2-40B4-BE49-F238E27FC236}">
              <a16:creationId xmlns:a16="http://schemas.microsoft.com/office/drawing/2014/main" id="{00000000-0008-0000-0F00-0000C7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197</xdr:row>
      <xdr:rowOff>180975</xdr:rowOff>
    </xdr:from>
    <xdr:to>
      <xdr:col>6</xdr:col>
      <xdr:colOff>0</xdr:colOff>
      <xdr:row>197</xdr:row>
      <xdr:rowOff>180977</xdr:rowOff>
    </xdr:to>
    <xdr:cxnSp macro="">
      <xdr:nvCxnSpPr>
        <xdr:cNvPr id="712" name="Straight Connector 711">
          <a:extLst>
            <a:ext uri="{FF2B5EF4-FFF2-40B4-BE49-F238E27FC236}">
              <a16:creationId xmlns:a16="http://schemas.microsoft.com/office/drawing/2014/main" id="{00000000-0008-0000-0F00-0000C8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194</xdr:row>
      <xdr:rowOff>180975</xdr:rowOff>
    </xdr:from>
    <xdr:to>
      <xdr:col>12</xdr:col>
      <xdr:colOff>0</xdr:colOff>
      <xdr:row>194</xdr:row>
      <xdr:rowOff>180977</xdr:rowOff>
    </xdr:to>
    <xdr:cxnSp macro="">
      <xdr:nvCxnSpPr>
        <xdr:cNvPr id="713" name="Straight Connector 712">
          <a:extLst>
            <a:ext uri="{FF2B5EF4-FFF2-40B4-BE49-F238E27FC236}">
              <a16:creationId xmlns:a16="http://schemas.microsoft.com/office/drawing/2014/main" id="{00000000-0008-0000-0F00-0000C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195</xdr:row>
      <xdr:rowOff>190500</xdr:rowOff>
    </xdr:from>
    <xdr:to>
      <xdr:col>12</xdr:col>
      <xdr:colOff>0</xdr:colOff>
      <xdr:row>195</xdr:row>
      <xdr:rowOff>190502</xdr:rowOff>
    </xdr:to>
    <xdr:cxnSp macro="">
      <xdr:nvCxnSpPr>
        <xdr:cNvPr id="714" name="Straight Connector 713">
          <a:extLst>
            <a:ext uri="{FF2B5EF4-FFF2-40B4-BE49-F238E27FC236}">
              <a16:creationId xmlns:a16="http://schemas.microsoft.com/office/drawing/2014/main" id="{00000000-0008-0000-0F00-0000C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196</xdr:row>
      <xdr:rowOff>180975</xdr:rowOff>
    </xdr:from>
    <xdr:to>
      <xdr:col>11</xdr:col>
      <xdr:colOff>409575</xdr:colOff>
      <xdr:row>196</xdr:row>
      <xdr:rowOff>180977</xdr:rowOff>
    </xdr:to>
    <xdr:cxnSp macro="">
      <xdr:nvCxnSpPr>
        <xdr:cNvPr id="715" name="Straight Connector 714">
          <a:extLst>
            <a:ext uri="{FF2B5EF4-FFF2-40B4-BE49-F238E27FC236}">
              <a16:creationId xmlns:a16="http://schemas.microsoft.com/office/drawing/2014/main" id="{00000000-0008-0000-0F00-0000C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197</xdr:row>
      <xdr:rowOff>180975</xdr:rowOff>
    </xdr:from>
    <xdr:to>
      <xdr:col>12</xdr:col>
      <xdr:colOff>0</xdr:colOff>
      <xdr:row>197</xdr:row>
      <xdr:rowOff>180977</xdr:rowOff>
    </xdr:to>
    <xdr:cxnSp macro="">
      <xdr:nvCxnSpPr>
        <xdr:cNvPr id="716" name="Straight Connector 715">
          <a:extLst>
            <a:ext uri="{FF2B5EF4-FFF2-40B4-BE49-F238E27FC236}">
              <a16:creationId xmlns:a16="http://schemas.microsoft.com/office/drawing/2014/main" id="{00000000-0008-0000-0F00-0000C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194</xdr:row>
      <xdr:rowOff>180975</xdr:rowOff>
    </xdr:from>
    <xdr:to>
      <xdr:col>18</xdr:col>
      <xdr:colOff>0</xdr:colOff>
      <xdr:row>194</xdr:row>
      <xdr:rowOff>180977</xdr:rowOff>
    </xdr:to>
    <xdr:cxnSp macro="">
      <xdr:nvCxnSpPr>
        <xdr:cNvPr id="717" name="Straight Connector 716">
          <a:extLst>
            <a:ext uri="{FF2B5EF4-FFF2-40B4-BE49-F238E27FC236}">
              <a16:creationId xmlns:a16="http://schemas.microsoft.com/office/drawing/2014/main" id="{00000000-0008-0000-0F00-0000CD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195</xdr:row>
      <xdr:rowOff>190500</xdr:rowOff>
    </xdr:from>
    <xdr:to>
      <xdr:col>18</xdr:col>
      <xdr:colOff>0</xdr:colOff>
      <xdr:row>195</xdr:row>
      <xdr:rowOff>190502</xdr:rowOff>
    </xdr:to>
    <xdr:cxnSp macro="">
      <xdr:nvCxnSpPr>
        <xdr:cNvPr id="718" name="Straight Connector 717">
          <a:extLst>
            <a:ext uri="{FF2B5EF4-FFF2-40B4-BE49-F238E27FC236}">
              <a16:creationId xmlns:a16="http://schemas.microsoft.com/office/drawing/2014/main" id="{00000000-0008-0000-0F00-0000CE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196</xdr:row>
      <xdr:rowOff>180975</xdr:rowOff>
    </xdr:from>
    <xdr:to>
      <xdr:col>17</xdr:col>
      <xdr:colOff>409575</xdr:colOff>
      <xdr:row>196</xdr:row>
      <xdr:rowOff>180977</xdr:rowOff>
    </xdr:to>
    <xdr:cxnSp macro="">
      <xdr:nvCxnSpPr>
        <xdr:cNvPr id="719" name="Straight Connector 718">
          <a:extLst>
            <a:ext uri="{FF2B5EF4-FFF2-40B4-BE49-F238E27FC236}">
              <a16:creationId xmlns:a16="http://schemas.microsoft.com/office/drawing/2014/main" id="{00000000-0008-0000-0F00-0000CF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197</xdr:row>
      <xdr:rowOff>180975</xdr:rowOff>
    </xdr:from>
    <xdr:to>
      <xdr:col>18</xdr:col>
      <xdr:colOff>0</xdr:colOff>
      <xdr:row>197</xdr:row>
      <xdr:rowOff>180977</xdr:rowOff>
    </xdr:to>
    <xdr:cxnSp macro="">
      <xdr:nvCxnSpPr>
        <xdr:cNvPr id="720" name="Straight Connector 719">
          <a:extLst>
            <a:ext uri="{FF2B5EF4-FFF2-40B4-BE49-F238E27FC236}">
              <a16:creationId xmlns:a16="http://schemas.microsoft.com/office/drawing/2014/main" id="{00000000-0008-0000-0F00-0000D0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194</xdr:row>
      <xdr:rowOff>180975</xdr:rowOff>
    </xdr:from>
    <xdr:to>
      <xdr:col>12</xdr:col>
      <xdr:colOff>0</xdr:colOff>
      <xdr:row>194</xdr:row>
      <xdr:rowOff>180977</xdr:rowOff>
    </xdr:to>
    <xdr:cxnSp macro="">
      <xdr:nvCxnSpPr>
        <xdr:cNvPr id="721" name="Straight Connector 720">
          <a:extLst>
            <a:ext uri="{FF2B5EF4-FFF2-40B4-BE49-F238E27FC236}">
              <a16:creationId xmlns:a16="http://schemas.microsoft.com/office/drawing/2014/main" id="{00000000-0008-0000-0F00-0000D1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195</xdr:row>
      <xdr:rowOff>190500</xdr:rowOff>
    </xdr:from>
    <xdr:to>
      <xdr:col>12</xdr:col>
      <xdr:colOff>0</xdr:colOff>
      <xdr:row>195</xdr:row>
      <xdr:rowOff>190502</xdr:rowOff>
    </xdr:to>
    <xdr:cxnSp macro="">
      <xdr:nvCxnSpPr>
        <xdr:cNvPr id="722" name="Straight Connector 721">
          <a:extLst>
            <a:ext uri="{FF2B5EF4-FFF2-40B4-BE49-F238E27FC236}">
              <a16:creationId xmlns:a16="http://schemas.microsoft.com/office/drawing/2014/main" id="{00000000-0008-0000-0F00-0000D2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196</xdr:row>
      <xdr:rowOff>180975</xdr:rowOff>
    </xdr:from>
    <xdr:to>
      <xdr:col>11</xdr:col>
      <xdr:colOff>409575</xdr:colOff>
      <xdr:row>196</xdr:row>
      <xdr:rowOff>180977</xdr:rowOff>
    </xdr:to>
    <xdr:cxnSp macro="">
      <xdr:nvCxnSpPr>
        <xdr:cNvPr id="723" name="Straight Connector 722">
          <a:extLst>
            <a:ext uri="{FF2B5EF4-FFF2-40B4-BE49-F238E27FC236}">
              <a16:creationId xmlns:a16="http://schemas.microsoft.com/office/drawing/2014/main" id="{00000000-0008-0000-0F00-0000D3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197</xdr:row>
      <xdr:rowOff>180975</xdr:rowOff>
    </xdr:from>
    <xdr:to>
      <xdr:col>12</xdr:col>
      <xdr:colOff>0</xdr:colOff>
      <xdr:row>197</xdr:row>
      <xdr:rowOff>180977</xdr:rowOff>
    </xdr:to>
    <xdr:cxnSp macro="">
      <xdr:nvCxnSpPr>
        <xdr:cNvPr id="724" name="Straight Connector 723">
          <a:extLst>
            <a:ext uri="{FF2B5EF4-FFF2-40B4-BE49-F238E27FC236}">
              <a16:creationId xmlns:a16="http://schemas.microsoft.com/office/drawing/2014/main" id="{00000000-0008-0000-0F00-0000D4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194</xdr:row>
      <xdr:rowOff>180975</xdr:rowOff>
    </xdr:from>
    <xdr:to>
      <xdr:col>12</xdr:col>
      <xdr:colOff>0</xdr:colOff>
      <xdr:row>194</xdr:row>
      <xdr:rowOff>180977</xdr:rowOff>
    </xdr:to>
    <xdr:cxnSp macro="">
      <xdr:nvCxnSpPr>
        <xdr:cNvPr id="725" name="Straight Connector 724">
          <a:extLst>
            <a:ext uri="{FF2B5EF4-FFF2-40B4-BE49-F238E27FC236}">
              <a16:creationId xmlns:a16="http://schemas.microsoft.com/office/drawing/2014/main" id="{00000000-0008-0000-0F00-0000D5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195</xdr:row>
      <xdr:rowOff>190500</xdr:rowOff>
    </xdr:from>
    <xdr:to>
      <xdr:col>12</xdr:col>
      <xdr:colOff>0</xdr:colOff>
      <xdr:row>195</xdr:row>
      <xdr:rowOff>190502</xdr:rowOff>
    </xdr:to>
    <xdr:cxnSp macro="">
      <xdr:nvCxnSpPr>
        <xdr:cNvPr id="726" name="Straight Connector 725">
          <a:extLst>
            <a:ext uri="{FF2B5EF4-FFF2-40B4-BE49-F238E27FC236}">
              <a16:creationId xmlns:a16="http://schemas.microsoft.com/office/drawing/2014/main" id="{00000000-0008-0000-0F00-0000D6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196</xdr:row>
      <xdr:rowOff>180975</xdr:rowOff>
    </xdr:from>
    <xdr:to>
      <xdr:col>11</xdr:col>
      <xdr:colOff>409575</xdr:colOff>
      <xdr:row>196</xdr:row>
      <xdr:rowOff>180977</xdr:rowOff>
    </xdr:to>
    <xdr:cxnSp macro="">
      <xdr:nvCxnSpPr>
        <xdr:cNvPr id="727" name="Straight Connector 726">
          <a:extLst>
            <a:ext uri="{FF2B5EF4-FFF2-40B4-BE49-F238E27FC236}">
              <a16:creationId xmlns:a16="http://schemas.microsoft.com/office/drawing/2014/main" id="{00000000-0008-0000-0F00-0000D7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197</xdr:row>
      <xdr:rowOff>180975</xdr:rowOff>
    </xdr:from>
    <xdr:to>
      <xdr:col>12</xdr:col>
      <xdr:colOff>0</xdr:colOff>
      <xdr:row>197</xdr:row>
      <xdr:rowOff>180977</xdr:rowOff>
    </xdr:to>
    <xdr:cxnSp macro="">
      <xdr:nvCxnSpPr>
        <xdr:cNvPr id="728" name="Straight Connector 727">
          <a:extLst>
            <a:ext uri="{FF2B5EF4-FFF2-40B4-BE49-F238E27FC236}">
              <a16:creationId xmlns:a16="http://schemas.microsoft.com/office/drawing/2014/main" id="{00000000-0008-0000-0F00-0000D8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194</xdr:row>
      <xdr:rowOff>180975</xdr:rowOff>
    </xdr:from>
    <xdr:to>
      <xdr:col>18</xdr:col>
      <xdr:colOff>0</xdr:colOff>
      <xdr:row>194</xdr:row>
      <xdr:rowOff>180977</xdr:rowOff>
    </xdr:to>
    <xdr:cxnSp macro="">
      <xdr:nvCxnSpPr>
        <xdr:cNvPr id="729" name="Straight Connector 728">
          <a:extLst>
            <a:ext uri="{FF2B5EF4-FFF2-40B4-BE49-F238E27FC236}">
              <a16:creationId xmlns:a16="http://schemas.microsoft.com/office/drawing/2014/main" id="{00000000-0008-0000-0F00-0000D9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195</xdr:row>
      <xdr:rowOff>190500</xdr:rowOff>
    </xdr:from>
    <xdr:to>
      <xdr:col>18</xdr:col>
      <xdr:colOff>0</xdr:colOff>
      <xdr:row>195</xdr:row>
      <xdr:rowOff>190502</xdr:rowOff>
    </xdr:to>
    <xdr:cxnSp macro="">
      <xdr:nvCxnSpPr>
        <xdr:cNvPr id="730" name="Straight Connector 729">
          <a:extLst>
            <a:ext uri="{FF2B5EF4-FFF2-40B4-BE49-F238E27FC236}">
              <a16:creationId xmlns:a16="http://schemas.microsoft.com/office/drawing/2014/main" id="{00000000-0008-0000-0F00-0000DA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196</xdr:row>
      <xdr:rowOff>180975</xdr:rowOff>
    </xdr:from>
    <xdr:to>
      <xdr:col>17</xdr:col>
      <xdr:colOff>409575</xdr:colOff>
      <xdr:row>196</xdr:row>
      <xdr:rowOff>180977</xdr:rowOff>
    </xdr:to>
    <xdr:cxnSp macro="">
      <xdr:nvCxnSpPr>
        <xdr:cNvPr id="731" name="Straight Connector 730">
          <a:extLst>
            <a:ext uri="{FF2B5EF4-FFF2-40B4-BE49-F238E27FC236}">
              <a16:creationId xmlns:a16="http://schemas.microsoft.com/office/drawing/2014/main" id="{00000000-0008-0000-0F00-0000DB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197</xdr:row>
      <xdr:rowOff>180975</xdr:rowOff>
    </xdr:from>
    <xdr:to>
      <xdr:col>18</xdr:col>
      <xdr:colOff>0</xdr:colOff>
      <xdr:row>197</xdr:row>
      <xdr:rowOff>180977</xdr:rowOff>
    </xdr:to>
    <xdr:cxnSp macro="">
      <xdr:nvCxnSpPr>
        <xdr:cNvPr id="732" name="Straight Connector 731">
          <a:extLst>
            <a:ext uri="{FF2B5EF4-FFF2-40B4-BE49-F238E27FC236}">
              <a16:creationId xmlns:a16="http://schemas.microsoft.com/office/drawing/2014/main" id="{00000000-0008-0000-0F00-0000DC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222</xdr:row>
      <xdr:rowOff>180975</xdr:rowOff>
    </xdr:from>
    <xdr:to>
      <xdr:col>6</xdr:col>
      <xdr:colOff>0</xdr:colOff>
      <xdr:row>222</xdr:row>
      <xdr:rowOff>180977</xdr:rowOff>
    </xdr:to>
    <xdr:cxnSp macro="">
      <xdr:nvCxnSpPr>
        <xdr:cNvPr id="733" name="Straight Connector 732">
          <a:extLst>
            <a:ext uri="{FF2B5EF4-FFF2-40B4-BE49-F238E27FC236}">
              <a16:creationId xmlns:a16="http://schemas.microsoft.com/office/drawing/2014/main" id="{00000000-0008-0000-0F00-0000DD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223</xdr:row>
      <xdr:rowOff>190500</xdr:rowOff>
    </xdr:from>
    <xdr:to>
      <xdr:col>6</xdr:col>
      <xdr:colOff>0</xdr:colOff>
      <xdr:row>223</xdr:row>
      <xdr:rowOff>190502</xdr:rowOff>
    </xdr:to>
    <xdr:cxnSp macro="">
      <xdr:nvCxnSpPr>
        <xdr:cNvPr id="734" name="Straight Connector 733">
          <a:extLst>
            <a:ext uri="{FF2B5EF4-FFF2-40B4-BE49-F238E27FC236}">
              <a16:creationId xmlns:a16="http://schemas.microsoft.com/office/drawing/2014/main" id="{00000000-0008-0000-0F00-0000DE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224</xdr:row>
      <xdr:rowOff>180975</xdr:rowOff>
    </xdr:from>
    <xdr:to>
      <xdr:col>5</xdr:col>
      <xdr:colOff>409575</xdr:colOff>
      <xdr:row>224</xdr:row>
      <xdr:rowOff>180977</xdr:rowOff>
    </xdr:to>
    <xdr:cxnSp macro="">
      <xdr:nvCxnSpPr>
        <xdr:cNvPr id="735" name="Straight Connector 734">
          <a:extLst>
            <a:ext uri="{FF2B5EF4-FFF2-40B4-BE49-F238E27FC236}">
              <a16:creationId xmlns:a16="http://schemas.microsoft.com/office/drawing/2014/main" id="{00000000-0008-0000-0F00-0000DF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225</xdr:row>
      <xdr:rowOff>180975</xdr:rowOff>
    </xdr:from>
    <xdr:to>
      <xdr:col>6</xdr:col>
      <xdr:colOff>0</xdr:colOff>
      <xdr:row>225</xdr:row>
      <xdr:rowOff>180977</xdr:rowOff>
    </xdr:to>
    <xdr:cxnSp macro="">
      <xdr:nvCxnSpPr>
        <xdr:cNvPr id="736" name="Straight Connector 735">
          <a:extLst>
            <a:ext uri="{FF2B5EF4-FFF2-40B4-BE49-F238E27FC236}">
              <a16:creationId xmlns:a16="http://schemas.microsoft.com/office/drawing/2014/main" id="{00000000-0008-0000-0F00-0000E0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222</xdr:row>
      <xdr:rowOff>180975</xdr:rowOff>
    </xdr:from>
    <xdr:to>
      <xdr:col>12</xdr:col>
      <xdr:colOff>0</xdr:colOff>
      <xdr:row>222</xdr:row>
      <xdr:rowOff>180977</xdr:rowOff>
    </xdr:to>
    <xdr:cxnSp macro="">
      <xdr:nvCxnSpPr>
        <xdr:cNvPr id="737" name="Straight Connector 736">
          <a:extLst>
            <a:ext uri="{FF2B5EF4-FFF2-40B4-BE49-F238E27FC236}">
              <a16:creationId xmlns:a16="http://schemas.microsoft.com/office/drawing/2014/main" id="{00000000-0008-0000-0F00-0000E1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223</xdr:row>
      <xdr:rowOff>190500</xdr:rowOff>
    </xdr:from>
    <xdr:to>
      <xdr:col>12</xdr:col>
      <xdr:colOff>0</xdr:colOff>
      <xdr:row>223</xdr:row>
      <xdr:rowOff>190502</xdr:rowOff>
    </xdr:to>
    <xdr:cxnSp macro="">
      <xdr:nvCxnSpPr>
        <xdr:cNvPr id="738" name="Straight Connector 737">
          <a:extLst>
            <a:ext uri="{FF2B5EF4-FFF2-40B4-BE49-F238E27FC236}">
              <a16:creationId xmlns:a16="http://schemas.microsoft.com/office/drawing/2014/main" id="{00000000-0008-0000-0F00-0000E2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224</xdr:row>
      <xdr:rowOff>180975</xdr:rowOff>
    </xdr:from>
    <xdr:to>
      <xdr:col>11</xdr:col>
      <xdr:colOff>409575</xdr:colOff>
      <xdr:row>224</xdr:row>
      <xdr:rowOff>180977</xdr:rowOff>
    </xdr:to>
    <xdr:cxnSp macro="">
      <xdr:nvCxnSpPr>
        <xdr:cNvPr id="739" name="Straight Connector 738">
          <a:extLst>
            <a:ext uri="{FF2B5EF4-FFF2-40B4-BE49-F238E27FC236}">
              <a16:creationId xmlns:a16="http://schemas.microsoft.com/office/drawing/2014/main" id="{00000000-0008-0000-0F00-0000E3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225</xdr:row>
      <xdr:rowOff>180975</xdr:rowOff>
    </xdr:from>
    <xdr:to>
      <xdr:col>12</xdr:col>
      <xdr:colOff>0</xdr:colOff>
      <xdr:row>225</xdr:row>
      <xdr:rowOff>180977</xdr:rowOff>
    </xdr:to>
    <xdr:cxnSp macro="">
      <xdr:nvCxnSpPr>
        <xdr:cNvPr id="740" name="Straight Connector 739">
          <a:extLst>
            <a:ext uri="{FF2B5EF4-FFF2-40B4-BE49-F238E27FC236}">
              <a16:creationId xmlns:a16="http://schemas.microsoft.com/office/drawing/2014/main" id="{00000000-0008-0000-0F00-0000E4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222</xdr:row>
      <xdr:rowOff>180975</xdr:rowOff>
    </xdr:from>
    <xdr:to>
      <xdr:col>18</xdr:col>
      <xdr:colOff>0</xdr:colOff>
      <xdr:row>222</xdr:row>
      <xdr:rowOff>180977</xdr:rowOff>
    </xdr:to>
    <xdr:cxnSp macro="">
      <xdr:nvCxnSpPr>
        <xdr:cNvPr id="741" name="Straight Connector 740">
          <a:extLst>
            <a:ext uri="{FF2B5EF4-FFF2-40B4-BE49-F238E27FC236}">
              <a16:creationId xmlns:a16="http://schemas.microsoft.com/office/drawing/2014/main" id="{00000000-0008-0000-0F00-0000E5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223</xdr:row>
      <xdr:rowOff>190500</xdr:rowOff>
    </xdr:from>
    <xdr:to>
      <xdr:col>18</xdr:col>
      <xdr:colOff>0</xdr:colOff>
      <xdr:row>223</xdr:row>
      <xdr:rowOff>190502</xdr:rowOff>
    </xdr:to>
    <xdr:cxnSp macro="">
      <xdr:nvCxnSpPr>
        <xdr:cNvPr id="742" name="Straight Connector 741">
          <a:extLst>
            <a:ext uri="{FF2B5EF4-FFF2-40B4-BE49-F238E27FC236}">
              <a16:creationId xmlns:a16="http://schemas.microsoft.com/office/drawing/2014/main" id="{00000000-0008-0000-0F00-0000E6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224</xdr:row>
      <xdr:rowOff>180975</xdr:rowOff>
    </xdr:from>
    <xdr:to>
      <xdr:col>17</xdr:col>
      <xdr:colOff>409575</xdr:colOff>
      <xdr:row>224</xdr:row>
      <xdr:rowOff>180977</xdr:rowOff>
    </xdr:to>
    <xdr:cxnSp macro="">
      <xdr:nvCxnSpPr>
        <xdr:cNvPr id="743" name="Straight Connector 742">
          <a:extLst>
            <a:ext uri="{FF2B5EF4-FFF2-40B4-BE49-F238E27FC236}">
              <a16:creationId xmlns:a16="http://schemas.microsoft.com/office/drawing/2014/main" id="{00000000-0008-0000-0F00-0000E7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225</xdr:row>
      <xdr:rowOff>180975</xdr:rowOff>
    </xdr:from>
    <xdr:to>
      <xdr:col>18</xdr:col>
      <xdr:colOff>0</xdr:colOff>
      <xdr:row>225</xdr:row>
      <xdr:rowOff>180977</xdr:rowOff>
    </xdr:to>
    <xdr:cxnSp macro="">
      <xdr:nvCxnSpPr>
        <xdr:cNvPr id="744" name="Straight Connector 743">
          <a:extLst>
            <a:ext uri="{FF2B5EF4-FFF2-40B4-BE49-F238E27FC236}">
              <a16:creationId xmlns:a16="http://schemas.microsoft.com/office/drawing/2014/main" id="{00000000-0008-0000-0F00-0000E8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222</xdr:row>
      <xdr:rowOff>180975</xdr:rowOff>
    </xdr:from>
    <xdr:to>
      <xdr:col>12</xdr:col>
      <xdr:colOff>0</xdr:colOff>
      <xdr:row>222</xdr:row>
      <xdr:rowOff>180977</xdr:rowOff>
    </xdr:to>
    <xdr:cxnSp macro="">
      <xdr:nvCxnSpPr>
        <xdr:cNvPr id="745" name="Straight Connector 744">
          <a:extLst>
            <a:ext uri="{FF2B5EF4-FFF2-40B4-BE49-F238E27FC236}">
              <a16:creationId xmlns:a16="http://schemas.microsoft.com/office/drawing/2014/main" id="{00000000-0008-0000-0F00-0000E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223</xdr:row>
      <xdr:rowOff>190500</xdr:rowOff>
    </xdr:from>
    <xdr:to>
      <xdr:col>12</xdr:col>
      <xdr:colOff>0</xdr:colOff>
      <xdr:row>223</xdr:row>
      <xdr:rowOff>190502</xdr:rowOff>
    </xdr:to>
    <xdr:cxnSp macro="">
      <xdr:nvCxnSpPr>
        <xdr:cNvPr id="746" name="Straight Connector 745">
          <a:extLst>
            <a:ext uri="{FF2B5EF4-FFF2-40B4-BE49-F238E27FC236}">
              <a16:creationId xmlns:a16="http://schemas.microsoft.com/office/drawing/2014/main" id="{00000000-0008-0000-0F00-0000E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224</xdr:row>
      <xdr:rowOff>180975</xdr:rowOff>
    </xdr:from>
    <xdr:to>
      <xdr:col>11</xdr:col>
      <xdr:colOff>409575</xdr:colOff>
      <xdr:row>224</xdr:row>
      <xdr:rowOff>180977</xdr:rowOff>
    </xdr:to>
    <xdr:cxnSp macro="">
      <xdr:nvCxnSpPr>
        <xdr:cNvPr id="747" name="Straight Connector 746">
          <a:extLst>
            <a:ext uri="{FF2B5EF4-FFF2-40B4-BE49-F238E27FC236}">
              <a16:creationId xmlns:a16="http://schemas.microsoft.com/office/drawing/2014/main" id="{00000000-0008-0000-0F00-0000E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225</xdr:row>
      <xdr:rowOff>180975</xdr:rowOff>
    </xdr:from>
    <xdr:to>
      <xdr:col>12</xdr:col>
      <xdr:colOff>0</xdr:colOff>
      <xdr:row>225</xdr:row>
      <xdr:rowOff>180977</xdr:rowOff>
    </xdr:to>
    <xdr:cxnSp macro="">
      <xdr:nvCxnSpPr>
        <xdr:cNvPr id="748" name="Straight Connector 747">
          <a:extLst>
            <a:ext uri="{FF2B5EF4-FFF2-40B4-BE49-F238E27FC236}">
              <a16:creationId xmlns:a16="http://schemas.microsoft.com/office/drawing/2014/main" id="{00000000-0008-0000-0F00-0000E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222</xdr:row>
      <xdr:rowOff>180975</xdr:rowOff>
    </xdr:from>
    <xdr:to>
      <xdr:col>12</xdr:col>
      <xdr:colOff>0</xdr:colOff>
      <xdr:row>222</xdr:row>
      <xdr:rowOff>180977</xdr:rowOff>
    </xdr:to>
    <xdr:cxnSp macro="">
      <xdr:nvCxnSpPr>
        <xdr:cNvPr id="749" name="Straight Connector 748">
          <a:extLst>
            <a:ext uri="{FF2B5EF4-FFF2-40B4-BE49-F238E27FC236}">
              <a16:creationId xmlns:a16="http://schemas.microsoft.com/office/drawing/2014/main" id="{00000000-0008-0000-0F00-0000ED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223</xdr:row>
      <xdr:rowOff>190500</xdr:rowOff>
    </xdr:from>
    <xdr:to>
      <xdr:col>12</xdr:col>
      <xdr:colOff>0</xdr:colOff>
      <xdr:row>223</xdr:row>
      <xdr:rowOff>190502</xdr:rowOff>
    </xdr:to>
    <xdr:cxnSp macro="">
      <xdr:nvCxnSpPr>
        <xdr:cNvPr id="750" name="Straight Connector 749">
          <a:extLst>
            <a:ext uri="{FF2B5EF4-FFF2-40B4-BE49-F238E27FC236}">
              <a16:creationId xmlns:a16="http://schemas.microsoft.com/office/drawing/2014/main" id="{00000000-0008-0000-0F00-0000EE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224</xdr:row>
      <xdr:rowOff>180975</xdr:rowOff>
    </xdr:from>
    <xdr:to>
      <xdr:col>11</xdr:col>
      <xdr:colOff>409575</xdr:colOff>
      <xdr:row>224</xdr:row>
      <xdr:rowOff>180977</xdr:rowOff>
    </xdr:to>
    <xdr:cxnSp macro="">
      <xdr:nvCxnSpPr>
        <xdr:cNvPr id="751" name="Straight Connector 750">
          <a:extLst>
            <a:ext uri="{FF2B5EF4-FFF2-40B4-BE49-F238E27FC236}">
              <a16:creationId xmlns:a16="http://schemas.microsoft.com/office/drawing/2014/main" id="{00000000-0008-0000-0F00-0000EF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225</xdr:row>
      <xdr:rowOff>180975</xdr:rowOff>
    </xdr:from>
    <xdr:to>
      <xdr:col>12</xdr:col>
      <xdr:colOff>0</xdr:colOff>
      <xdr:row>225</xdr:row>
      <xdr:rowOff>180977</xdr:rowOff>
    </xdr:to>
    <xdr:cxnSp macro="">
      <xdr:nvCxnSpPr>
        <xdr:cNvPr id="752" name="Straight Connector 751">
          <a:extLst>
            <a:ext uri="{FF2B5EF4-FFF2-40B4-BE49-F238E27FC236}">
              <a16:creationId xmlns:a16="http://schemas.microsoft.com/office/drawing/2014/main" id="{00000000-0008-0000-0F00-0000F0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222</xdr:row>
      <xdr:rowOff>180975</xdr:rowOff>
    </xdr:from>
    <xdr:to>
      <xdr:col>18</xdr:col>
      <xdr:colOff>0</xdr:colOff>
      <xdr:row>222</xdr:row>
      <xdr:rowOff>180977</xdr:rowOff>
    </xdr:to>
    <xdr:cxnSp macro="">
      <xdr:nvCxnSpPr>
        <xdr:cNvPr id="753" name="Straight Connector 752">
          <a:extLst>
            <a:ext uri="{FF2B5EF4-FFF2-40B4-BE49-F238E27FC236}">
              <a16:creationId xmlns:a16="http://schemas.microsoft.com/office/drawing/2014/main" id="{00000000-0008-0000-0F00-0000F1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223</xdr:row>
      <xdr:rowOff>190500</xdr:rowOff>
    </xdr:from>
    <xdr:to>
      <xdr:col>18</xdr:col>
      <xdr:colOff>0</xdr:colOff>
      <xdr:row>223</xdr:row>
      <xdr:rowOff>190502</xdr:rowOff>
    </xdr:to>
    <xdr:cxnSp macro="">
      <xdr:nvCxnSpPr>
        <xdr:cNvPr id="754" name="Straight Connector 753">
          <a:extLst>
            <a:ext uri="{FF2B5EF4-FFF2-40B4-BE49-F238E27FC236}">
              <a16:creationId xmlns:a16="http://schemas.microsoft.com/office/drawing/2014/main" id="{00000000-0008-0000-0F00-0000F2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224</xdr:row>
      <xdr:rowOff>180975</xdr:rowOff>
    </xdr:from>
    <xdr:to>
      <xdr:col>17</xdr:col>
      <xdr:colOff>409575</xdr:colOff>
      <xdr:row>224</xdr:row>
      <xdr:rowOff>180977</xdr:rowOff>
    </xdr:to>
    <xdr:cxnSp macro="">
      <xdr:nvCxnSpPr>
        <xdr:cNvPr id="755" name="Straight Connector 754">
          <a:extLst>
            <a:ext uri="{FF2B5EF4-FFF2-40B4-BE49-F238E27FC236}">
              <a16:creationId xmlns:a16="http://schemas.microsoft.com/office/drawing/2014/main" id="{00000000-0008-0000-0F00-0000F3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225</xdr:row>
      <xdr:rowOff>180975</xdr:rowOff>
    </xdr:from>
    <xdr:to>
      <xdr:col>18</xdr:col>
      <xdr:colOff>0</xdr:colOff>
      <xdr:row>225</xdr:row>
      <xdr:rowOff>180977</xdr:rowOff>
    </xdr:to>
    <xdr:cxnSp macro="">
      <xdr:nvCxnSpPr>
        <xdr:cNvPr id="756" name="Straight Connector 755">
          <a:extLst>
            <a:ext uri="{FF2B5EF4-FFF2-40B4-BE49-F238E27FC236}">
              <a16:creationId xmlns:a16="http://schemas.microsoft.com/office/drawing/2014/main" id="{00000000-0008-0000-0F00-0000F402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251</xdr:row>
      <xdr:rowOff>180975</xdr:rowOff>
    </xdr:from>
    <xdr:to>
      <xdr:col>6</xdr:col>
      <xdr:colOff>0</xdr:colOff>
      <xdr:row>251</xdr:row>
      <xdr:rowOff>180977</xdr:rowOff>
    </xdr:to>
    <xdr:cxnSp macro="">
      <xdr:nvCxnSpPr>
        <xdr:cNvPr id="757" name="Straight Connector 756">
          <a:extLst>
            <a:ext uri="{FF2B5EF4-FFF2-40B4-BE49-F238E27FC236}">
              <a16:creationId xmlns:a16="http://schemas.microsoft.com/office/drawing/2014/main" id="{00000000-0008-0000-0F00-0000F502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252</xdr:row>
      <xdr:rowOff>190500</xdr:rowOff>
    </xdr:from>
    <xdr:to>
      <xdr:col>6</xdr:col>
      <xdr:colOff>0</xdr:colOff>
      <xdr:row>252</xdr:row>
      <xdr:rowOff>190502</xdr:rowOff>
    </xdr:to>
    <xdr:cxnSp macro="">
      <xdr:nvCxnSpPr>
        <xdr:cNvPr id="758" name="Straight Connector 757">
          <a:extLst>
            <a:ext uri="{FF2B5EF4-FFF2-40B4-BE49-F238E27FC236}">
              <a16:creationId xmlns:a16="http://schemas.microsoft.com/office/drawing/2014/main" id="{00000000-0008-0000-0F00-0000F602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253</xdr:row>
      <xdr:rowOff>180975</xdr:rowOff>
    </xdr:from>
    <xdr:to>
      <xdr:col>5</xdr:col>
      <xdr:colOff>409575</xdr:colOff>
      <xdr:row>253</xdr:row>
      <xdr:rowOff>180977</xdr:rowOff>
    </xdr:to>
    <xdr:cxnSp macro="">
      <xdr:nvCxnSpPr>
        <xdr:cNvPr id="759" name="Straight Connector 758">
          <a:extLst>
            <a:ext uri="{FF2B5EF4-FFF2-40B4-BE49-F238E27FC236}">
              <a16:creationId xmlns:a16="http://schemas.microsoft.com/office/drawing/2014/main" id="{00000000-0008-0000-0F00-0000F702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254</xdr:row>
      <xdr:rowOff>180975</xdr:rowOff>
    </xdr:from>
    <xdr:to>
      <xdr:col>6</xdr:col>
      <xdr:colOff>0</xdr:colOff>
      <xdr:row>254</xdr:row>
      <xdr:rowOff>180977</xdr:rowOff>
    </xdr:to>
    <xdr:cxnSp macro="">
      <xdr:nvCxnSpPr>
        <xdr:cNvPr id="760" name="Straight Connector 759">
          <a:extLst>
            <a:ext uri="{FF2B5EF4-FFF2-40B4-BE49-F238E27FC236}">
              <a16:creationId xmlns:a16="http://schemas.microsoft.com/office/drawing/2014/main" id="{00000000-0008-0000-0F00-0000F802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251</xdr:row>
      <xdr:rowOff>180975</xdr:rowOff>
    </xdr:from>
    <xdr:to>
      <xdr:col>12</xdr:col>
      <xdr:colOff>0</xdr:colOff>
      <xdr:row>251</xdr:row>
      <xdr:rowOff>180977</xdr:rowOff>
    </xdr:to>
    <xdr:cxnSp macro="">
      <xdr:nvCxnSpPr>
        <xdr:cNvPr id="761" name="Straight Connector 760">
          <a:extLst>
            <a:ext uri="{FF2B5EF4-FFF2-40B4-BE49-F238E27FC236}">
              <a16:creationId xmlns:a16="http://schemas.microsoft.com/office/drawing/2014/main" id="{00000000-0008-0000-0F00-0000F902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252</xdr:row>
      <xdr:rowOff>190500</xdr:rowOff>
    </xdr:from>
    <xdr:to>
      <xdr:col>12</xdr:col>
      <xdr:colOff>0</xdr:colOff>
      <xdr:row>252</xdr:row>
      <xdr:rowOff>190502</xdr:rowOff>
    </xdr:to>
    <xdr:cxnSp macro="">
      <xdr:nvCxnSpPr>
        <xdr:cNvPr id="762" name="Straight Connector 761">
          <a:extLst>
            <a:ext uri="{FF2B5EF4-FFF2-40B4-BE49-F238E27FC236}">
              <a16:creationId xmlns:a16="http://schemas.microsoft.com/office/drawing/2014/main" id="{00000000-0008-0000-0F00-0000FA02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253</xdr:row>
      <xdr:rowOff>180975</xdr:rowOff>
    </xdr:from>
    <xdr:to>
      <xdr:col>11</xdr:col>
      <xdr:colOff>409575</xdr:colOff>
      <xdr:row>253</xdr:row>
      <xdr:rowOff>180977</xdr:rowOff>
    </xdr:to>
    <xdr:cxnSp macro="">
      <xdr:nvCxnSpPr>
        <xdr:cNvPr id="763" name="Straight Connector 762">
          <a:extLst>
            <a:ext uri="{FF2B5EF4-FFF2-40B4-BE49-F238E27FC236}">
              <a16:creationId xmlns:a16="http://schemas.microsoft.com/office/drawing/2014/main" id="{00000000-0008-0000-0F00-0000FB02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254</xdr:row>
      <xdr:rowOff>180975</xdr:rowOff>
    </xdr:from>
    <xdr:to>
      <xdr:col>12</xdr:col>
      <xdr:colOff>0</xdr:colOff>
      <xdr:row>254</xdr:row>
      <xdr:rowOff>180977</xdr:rowOff>
    </xdr:to>
    <xdr:cxnSp macro="">
      <xdr:nvCxnSpPr>
        <xdr:cNvPr id="764" name="Straight Connector 763">
          <a:extLst>
            <a:ext uri="{FF2B5EF4-FFF2-40B4-BE49-F238E27FC236}">
              <a16:creationId xmlns:a16="http://schemas.microsoft.com/office/drawing/2014/main" id="{00000000-0008-0000-0F00-0000FC02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251</xdr:row>
      <xdr:rowOff>180975</xdr:rowOff>
    </xdr:from>
    <xdr:to>
      <xdr:col>18</xdr:col>
      <xdr:colOff>0</xdr:colOff>
      <xdr:row>251</xdr:row>
      <xdr:rowOff>180977</xdr:rowOff>
    </xdr:to>
    <xdr:cxnSp macro="">
      <xdr:nvCxnSpPr>
        <xdr:cNvPr id="765" name="Straight Connector 764">
          <a:extLst>
            <a:ext uri="{FF2B5EF4-FFF2-40B4-BE49-F238E27FC236}">
              <a16:creationId xmlns:a16="http://schemas.microsoft.com/office/drawing/2014/main" id="{00000000-0008-0000-0F00-0000FD02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252</xdr:row>
      <xdr:rowOff>190500</xdr:rowOff>
    </xdr:from>
    <xdr:to>
      <xdr:col>18</xdr:col>
      <xdr:colOff>0</xdr:colOff>
      <xdr:row>252</xdr:row>
      <xdr:rowOff>190502</xdr:rowOff>
    </xdr:to>
    <xdr:cxnSp macro="">
      <xdr:nvCxnSpPr>
        <xdr:cNvPr id="766" name="Straight Connector 765">
          <a:extLst>
            <a:ext uri="{FF2B5EF4-FFF2-40B4-BE49-F238E27FC236}">
              <a16:creationId xmlns:a16="http://schemas.microsoft.com/office/drawing/2014/main" id="{00000000-0008-0000-0F00-0000FE02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253</xdr:row>
      <xdr:rowOff>180975</xdr:rowOff>
    </xdr:from>
    <xdr:to>
      <xdr:col>17</xdr:col>
      <xdr:colOff>409575</xdr:colOff>
      <xdr:row>253</xdr:row>
      <xdr:rowOff>180977</xdr:rowOff>
    </xdr:to>
    <xdr:cxnSp macro="">
      <xdr:nvCxnSpPr>
        <xdr:cNvPr id="767" name="Straight Connector 766">
          <a:extLst>
            <a:ext uri="{FF2B5EF4-FFF2-40B4-BE49-F238E27FC236}">
              <a16:creationId xmlns:a16="http://schemas.microsoft.com/office/drawing/2014/main" id="{00000000-0008-0000-0F00-0000FF02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254</xdr:row>
      <xdr:rowOff>180975</xdr:rowOff>
    </xdr:from>
    <xdr:to>
      <xdr:col>18</xdr:col>
      <xdr:colOff>0</xdr:colOff>
      <xdr:row>254</xdr:row>
      <xdr:rowOff>180977</xdr:rowOff>
    </xdr:to>
    <xdr:cxnSp macro="">
      <xdr:nvCxnSpPr>
        <xdr:cNvPr id="768" name="Straight Connector 767">
          <a:extLst>
            <a:ext uri="{FF2B5EF4-FFF2-40B4-BE49-F238E27FC236}">
              <a16:creationId xmlns:a16="http://schemas.microsoft.com/office/drawing/2014/main" id="{00000000-0008-0000-0F00-000000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251</xdr:row>
      <xdr:rowOff>180975</xdr:rowOff>
    </xdr:from>
    <xdr:to>
      <xdr:col>12</xdr:col>
      <xdr:colOff>0</xdr:colOff>
      <xdr:row>251</xdr:row>
      <xdr:rowOff>180977</xdr:rowOff>
    </xdr:to>
    <xdr:cxnSp macro="">
      <xdr:nvCxnSpPr>
        <xdr:cNvPr id="769" name="Straight Connector 768">
          <a:extLst>
            <a:ext uri="{FF2B5EF4-FFF2-40B4-BE49-F238E27FC236}">
              <a16:creationId xmlns:a16="http://schemas.microsoft.com/office/drawing/2014/main" id="{00000000-0008-0000-0F00-00000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252</xdr:row>
      <xdr:rowOff>190500</xdr:rowOff>
    </xdr:from>
    <xdr:to>
      <xdr:col>12</xdr:col>
      <xdr:colOff>0</xdr:colOff>
      <xdr:row>252</xdr:row>
      <xdr:rowOff>190502</xdr:rowOff>
    </xdr:to>
    <xdr:cxnSp macro="">
      <xdr:nvCxnSpPr>
        <xdr:cNvPr id="770" name="Straight Connector 769">
          <a:extLst>
            <a:ext uri="{FF2B5EF4-FFF2-40B4-BE49-F238E27FC236}">
              <a16:creationId xmlns:a16="http://schemas.microsoft.com/office/drawing/2014/main" id="{00000000-0008-0000-0F00-00000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253</xdr:row>
      <xdr:rowOff>180975</xdr:rowOff>
    </xdr:from>
    <xdr:to>
      <xdr:col>11</xdr:col>
      <xdr:colOff>409575</xdr:colOff>
      <xdr:row>253</xdr:row>
      <xdr:rowOff>180977</xdr:rowOff>
    </xdr:to>
    <xdr:cxnSp macro="">
      <xdr:nvCxnSpPr>
        <xdr:cNvPr id="771" name="Straight Connector 770">
          <a:extLst>
            <a:ext uri="{FF2B5EF4-FFF2-40B4-BE49-F238E27FC236}">
              <a16:creationId xmlns:a16="http://schemas.microsoft.com/office/drawing/2014/main" id="{00000000-0008-0000-0F00-00000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254</xdr:row>
      <xdr:rowOff>180975</xdr:rowOff>
    </xdr:from>
    <xdr:to>
      <xdr:col>12</xdr:col>
      <xdr:colOff>0</xdr:colOff>
      <xdr:row>254</xdr:row>
      <xdr:rowOff>180977</xdr:rowOff>
    </xdr:to>
    <xdr:cxnSp macro="">
      <xdr:nvCxnSpPr>
        <xdr:cNvPr id="772" name="Straight Connector 771">
          <a:extLst>
            <a:ext uri="{FF2B5EF4-FFF2-40B4-BE49-F238E27FC236}">
              <a16:creationId xmlns:a16="http://schemas.microsoft.com/office/drawing/2014/main" id="{00000000-0008-0000-0F00-00000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251</xdr:row>
      <xdr:rowOff>180975</xdr:rowOff>
    </xdr:from>
    <xdr:to>
      <xdr:col>12</xdr:col>
      <xdr:colOff>0</xdr:colOff>
      <xdr:row>251</xdr:row>
      <xdr:rowOff>180977</xdr:rowOff>
    </xdr:to>
    <xdr:cxnSp macro="">
      <xdr:nvCxnSpPr>
        <xdr:cNvPr id="773" name="Straight Connector 772">
          <a:extLst>
            <a:ext uri="{FF2B5EF4-FFF2-40B4-BE49-F238E27FC236}">
              <a16:creationId xmlns:a16="http://schemas.microsoft.com/office/drawing/2014/main" id="{00000000-0008-0000-0F00-000005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252</xdr:row>
      <xdr:rowOff>190500</xdr:rowOff>
    </xdr:from>
    <xdr:to>
      <xdr:col>12</xdr:col>
      <xdr:colOff>0</xdr:colOff>
      <xdr:row>252</xdr:row>
      <xdr:rowOff>190502</xdr:rowOff>
    </xdr:to>
    <xdr:cxnSp macro="">
      <xdr:nvCxnSpPr>
        <xdr:cNvPr id="774" name="Straight Connector 773">
          <a:extLst>
            <a:ext uri="{FF2B5EF4-FFF2-40B4-BE49-F238E27FC236}">
              <a16:creationId xmlns:a16="http://schemas.microsoft.com/office/drawing/2014/main" id="{00000000-0008-0000-0F00-000006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253</xdr:row>
      <xdr:rowOff>180975</xdr:rowOff>
    </xdr:from>
    <xdr:to>
      <xdr:col>11</xdr:col>
      <xdr:colOff>409575</xdr:colOff>
      <xdr:row>253</xdr:row>
      <xdr:rowOff>180977</xdr:rowOff>
    </xdr:to>
    <xdr:cxnSp macro="">
      <xdr:nvCxnSpPr>
        <xdr:cNvPr id="775" name="Straight Connector 774">
          <a:extLst>
            <a:ext uri="{FF2B5EF4-FFF2-40B4-BE49-F238E27FC236}">
              <a16:creationId xmlns:a16="http://schemas.microsoft.com/office/drawing/2014/main" id="{00000000-0008-0000-0F00-000007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254</xdr:row>
      <xdr:rowOff>180975</xdr:rowOff>
    </xdr:from>
    <xdr:to>
      <xdr:col>12</xdr:col>
      <xdr:colOff>0</xdr:colOff>
      <xdr:row>254</xdr:row>
      <xdr:rowOff>180977</xdr:rowOff>
    </xdr:to>
    <xdr:cxnSp macro="">
      <xdr:nvCxnSpPr>
        <xdr:cNvPr id="776" name="Straight Connector 775">
          <a:extLst>
            <a:ext uri="{FF2B5EF4-FFF2-40B4-BE49-F238E27FC236}">
              <a16:creationId xmlns:a16="http://schemas.microsoft.com/office/drawing/2014/main" id="{00000000-0008-0000-0F00-000008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251</xdr:row>
      <xdr:rowOff>180975</xdr:rowOff>
    </xdr:from>
    <xdr:to>
      <xdr:col>18</xdr:col>
      <xdr:colOff>0</xdr:colOff>
      <xdr:row>251</xdr:row>
      <xdr:rowOff>180977</xdr:rowOff>
    </xdr:to>
    <xdr:cxnSp macro="">
      <xdr:nvCxnSpPr>
        <xdr:cNvPr id="777" name="Straight Connector 776">
          <a:extLst>
            <a:ext uri="{FF2B5EF4-FFF2-40B4-BE49-F238E27FC236}">
              <a16:creationId xmlns:a16="http://schemas.microsoft.com/office/drawing/2014/main" id="{00000000-0008-0000-0F00-000009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252</xdr:row>
      <xdr:rowOff>190500</xdr:rowOff>
    </xdr:from>
    <xdr:to>
      <xdr:col>18</xdr:col>
      <xdr:colOff>0</xdr:colOff>
      <xdr:row>252</xdr:row>
      <xdr:rowOff>190502</xdr:rowOff>
    </xdr:to>
    <xdr:cxnSp macro="">
      <xdr:nvCxnSpPr>
        <xdr:cNvPr id="778" name="Straight Connector 777">
          <a:extLst>
            <a:ext uri="{FF2B5EF4-FFF2-40B4-BE49-F238E27FC236}">
              <a16:creationId xmlns:a16="http://schemas.microsoft.com/office/drawing/2014/main" id="{00000000-0008-0000-0F00-00000A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253</xdr:row>
      <xdr:rowOff>180975</xdr:rowOff>
    </xdr:from>
    <xdr:to>
      <xdr:col>17</xdr:col>
      <xdr:colOff>409575</xdr:colOff>
      <xdr:row>253</xdr:row>
      <xdr:rowOff>180977</xdr:rowOff>
    </xdr:to>
    <xdr:cxnSp macro="">
      <xdr:nvCxnSpPr>
        <xdr:cNvPr id="779" name="Straight Connector 778">
          <a:extLst>
            <a:ext uri="{FF2B5EF4-FFF2-40B4-BE49-F238E27FC236}">
              <a16:creationId xmlns:a16="http://schemas.microsoft.com/office/drawing/2014/main" id="{00000000-0008-0000-0F00-00000B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254</xdr:row>
      <xdr:rowOff>180975</xdr:rowOff>
    </xdr:from>
    <xdr:to>
      <xdr:col>18</xdr:col>
      <xdr:colOff>0</xdr:colOff>
      <xdr:row>254</xdr:row>
      <xdr:rowOff>180977</xdr:rowOff>
    </xdr:to>
    <xdr:cxnSp macro="">
      <xdr:nvCxnSpPr>
        <xdr:cNvPr id="780" name="Straight Connector 779">
          <a:extLst>
            <a:ext uri="{FF2B5EF4-FFF2-40B4-BE49-F238E27FC236}">
              <a16:creationId xmlns:a16="http://schemas.microsoft.com/office/drawing/2014/main" id="{00000000-0008-0000-0F00-00000C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279</xdr:row>
      <xdr:rowOff>180975</xdr:rowOff>
    </xdr:from>
    <xdr:to>
      <xdr:col>6</xdr:col>
      <xdr:colOff>0</xdr:colOff>
      <xdr:row>279</xdr:row>
      <xdr:rowOff>180977</xdr:rowOff>
    </xdr:to>
    <xdr:cxnSp macro="">
      <xdr:nvCxnSpPr>
        <xdr:cNvPr id="781" name="Straight Connector 780">
          <a:extLst>
            <a:ext uri="{FF2B5EF4-FFF2-40B4-BE49-F238E27FC236}">
              <a16:creationId xmlns:a16="http://schemas.microsoft.com/office/drawing/2014/main" id="{00000000-0008-0000-0F00-00000D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280</xdr:row>
      <xdr:rowOff>190500</xdr:rowOff>
    </xdr:from>
    <xdr:to>
      <xdr:col>6</xdr:col>
      <xdr:colOff>0</xdr:colOff>
      <xdr:row>280</xdr:row>
      <xdr:rowOff>190502</xdr:rowOff>
    </xdr:to>
    <xdr:cxnSp macro="">
      <xdr:nvCxnSpPr>
        <xdr:cNvPr id="782" name="Straight Connector 781">
          <a:extLst>
            <a:ext uri="{FF2B5EF4-FFF2-40B4-BE49-F238E27FC236}">
              <a16:creationId xmlns:a16="http://schemas.microsoft.com/office/drawing/2014/main" id="{00000000-0008-0000-0F00-00000E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281</xdr:row>
      <xdr:rowOff>180975</xdr:rowOff>
    </xdr:from>
    <xdr:to>
      <xdr:col>5</xdr:col>
      <xdr:colOff>409575</xdr:colOff>
      <xdr:row>281</xdr:row>
      <xdr:rowOff>180977</xdr:rowOff>
    </xdr:to>
    <xdr:cxnSp macro="">
      <xdr:nvCxnSpPr>
        <xdr:cNvPr id="783" name="Straight Connector 782">
          <a:extLst>
            <a:ext uri="{FF2B5EF4-FFF2-40B4-BE49-F238E27FC236}">
              <a16:creationId xmlns:a16="http://schemas.microsoft.com/office/drawing/2014/main" id="{00000000-0008-0000-0F00-00000F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282</xdr:row>
      <xdr:rowOff>180975</xdr:rowOff>
    </xdr:from>
    <xdr:to>
      <xdr:col>6</xdr:col>
      <xdr:colOff>0</xdr:colOff>
      <xdr:row>282</xdr:row>
      <xdr:rowOff>180977</xdr:rowOff>
    </xdr:to>
    <xdr:cxnSp macro="">
      <xdr:nvCxnSpPr>
        <xdr:cNvPr id="784" name="Straight Connector 783">
          <a:extLst>
            <a:ext uri="{FF2B5EF4-FFF2-40B4-BE49-F238E27FC236}">
              <a16:creationId xmlns:a16="http://schemas.microsoft.com/office/drawing/2014/main" id="{00000000-0008-0000-0F00-000010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279</xdr:row>
      <xdr:rowOff>180975</xdr:rowOff>
    </xdr:from>
    <xdr:to>
      <xdr:col>12</xdr:col>
      <xdr:colOff>0</xdr:colOff>
      <xdr:row>279</xdr:row>
      <xdr:rowOff>180977</xdr:rowOff>
    </xdr:to>
    <xdr:cxnSp macro="">
      <xdr:nvCxnSpPr>
        <xdr:cNvPr id="785" name="Straight Connector 784">
          <a:extLst>
            <a:ext uri="{FF2B5EF4-FFF2-40B4-BE49-F238E27FC236}">
              <a16:creationId xmlns:a16="http://schemas.microsoft.com/office/drawing/2014/main" id="{00000000-0008-0000-0F00-00001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280</xdr:row>
      <xdr:rowOff>190500</xdr:rowOff>
    </xdr:from>
    <xdr:to>
      <xdr:col>12</xdr:col>
      <xdr:colOff>0</xdr:colOff>
      <xdr:row>280</xdr:row>
      <xdr:rowOff>190502</xdr:rowOff>
    </xdr:to>
    <xdr:cxnSp macro="">
      <xdr:nvCxnSpPr>
        <xdr:cNvPr id="786" name="Straight Connector 785">
          <a:extLst>
            <a:ext uri="{FF2B5EF4-FFF2-40B4-BE49-F238E27FC236}">
              <a16:creationId xmlns:a16="http://schemas.microsoft.com/office/drawing/2014/main" id="{00000000-0008-0000-0F00-00001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281</xdr:row>
      <xdr:rowOff>180975</xdr:rowOff>
    </xdr:from>
    <xdr:to>
      <xdr:col>11</xdr:col>
      <xdr:colOff>409575</xdr:colOff>
      <xdr:row>281</xdr:row>
      <xdr:rowOff>180977</xdr:rowOff>
    </xdr:to>
    <xdr:cxnSp macro="">
      <xdr:nvCxnSpPr>
        <xdr:cNvPr id="787" name="Straight Connector 786">
          <a:extLst>
            <a:ext uri="{FF2B5EF4-FFF2-40B4-BE49-F238E27FC236}">
              <a16:creationId xmlns:a16="http://schemas.microsoft.com/office/drawing/2014/main" id="{00000000-0008-0000-0F00-00001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282</xdr:row>
      <xdr:rowOff>180975</xdr:rowOff>
    </xdr:from>
    <xdr:to>
      <xdr:col>12</xdr:col>
      <xdr:colOff>0</xdr:colOff>
      <xdr:row>282</xdr:row>
      <xdr:rowOff>180977</xdr:rowOff>
    </xdr:to>
    <xdr:cxnSp macro="">
      <xdr:nvCxnSpPr>
        <xdr:cNvPr id="788" name="Straight Connector 787">
          <a:extLst>
            <a:ext uri="{FF2B5EF4-FFF2-40B4-BE49-F238E27FC236}">
              <a16:creationId xmlns:a16="http://schemas.microsoft.com/office/drawing/2014/main" id="{00000000-0008-0000-0F00-00001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279</xdr:row>
      <xdr:rowOff>180975</xdr:rowOff>
    </xdr:from>
    <xdr:to>
      <xdr:col>18</xdr:col>
      <xdr:colOff>0</xdr:colOff>
      <xdr:row>279</xdr:row>
      <xdr:rowOff>180977</xdr:rowOff>
    </xdr:to>
    <xdr:cxnSp macro="">
      <xdr:nvCxnSpPr>
        <xdr:cNvPr id="789" name="Straight Connector 788">
          <a:extLst>
            <a:ext uri="{FF2B5EF4-FFF2-40B4-BE49-F238E27FC236}">
              <a16:creationId xmlns:a16="http://schemas.microsoft.com/office/drawing/2014/main" id="{00000000-0008-0000-0F00-000015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280</xdr:row>
      <xdr:rowOff>190500</xdr:rowOff>
    </xdr:from>
    <xdr:to>
      <xdr:col>18</xdr:col>
      <xdr:colOff>0</xdr:colOff>
      <xdr:row>280</xdr:row>
      <xdr:rowOff>190502</xdr:rowOff>
    </xdr:to>
    <xdr:cxnSp macro="">
      <xdr:nvCxnSpPr>
        <xdr:cNvPr id="790" name="Straight Connector 789">
          <a:extLst>
            <a:ext uri="{FF2B5EF4-FFF2-40B4-BE49-F238E27FC236}">
              <a16:creationId xmlns:a16="http://schemas.microsoft.com/office/drawing/2014/main" id="{00000000-0008-0000-0F00-000016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281</xdr:row>
      <xdr:rowOff>180975</xdr:rowOff>
    </xdr:from>
    <xdr:to>
      <xdr:col>17</xdr:col>
      <xdr:colOff>409575</xdr:colOff>
      <xdr:row>281</xdr:row>
      <xdr:rowOff>180977</xdr:rowOff>
    </xdr:to>
    <xdr:cxnSp macro="">
      <xdr:nvCxnSpPr>
        <xdr:cNvPr id="791" name="Straight Connector 790">
          <a:extLst>
            <a:ext uri="{FF2B5EF4-FFF2-40B4-BE49-F238E27FC236}">
              <a16:creationId xmlns:a16="http://schemas.microsoft.com/office/drawing/2014/main" id="{00000000-0008-0000-0F00-000017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282</xdr:row>
      <xdr:rowOff>180975</xdr:rowOff>
    </xdr:from>
    <xdr:to>
      <xdr:col>18</xdr:col>
      <xdr:colOff>0</xdr:colOff>
      <xdr:row>282</xdr:row>
      <xdr:rowOff>180977</xdr:rowOff>
    </xdr:to>
    <xdr:cxnSp macro="">
      <xdr:nvCxnSpPr>
        <xdr:cNvPr id="792" name="Straight Connector 791">
          <a:extLst>
            <a:ext uri="{FF2B5EF4-FFF2-40B4-BE49-F238E27FC236}">
              <a16:creationId xmlns:a16="http://schemas.microsoft.com/office/drawing/2014/main" id="{00000000-0008-0000-0F00-000018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279</xdr:row>
      <xdr:rowOff>180975</xdr:rowOff>
    </xdr:from>
    <xdr:to>
      <xdr:col>12</xdr:col>
      <xdr:colOff>0</xdr:colOff>
      <xdr:row>279</xdr:row>
      <xdr:rowOff>180977</xdr:rowOff>
    </xdr:to>
    <xdr:cxnSp macro="">
      <xdr:nvCxnSpPr>
        <xdr:cNvPr id="793" name="Straight Connector 792">
          <a:extLst>
            <a:ext uri="{FF2B5EF4-FFF2-40B4-BE49-F238E27FC236}">
              <a16:creationId xmlns:a16="http://schemas.microsoft.com/office/drawing/2014/main" id="{00000000-0008-0000-0F00-00001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280</xdr:row>
      <xdr:rowOff>190500</xdr:rowOff>
    </xdr:from>
    <xdr:to>
      <xdr:col>12</xdr:col>
      <xdr:colOff>0</xdr:colOff>
      <xdr:row>280</xdr:row>
      <xdr:rowOff>190502</xdr:rowOff>
    </xdr:to>
    <xdr:cxnSp macro="">
      <xdr:nvCxnSpPr>
        <xdr:cNvPr id="794" name="Straight Connector 793">
          <a:extLst>
            <a:ext uri="{FF2B5EF4-FFF2-40B4-BE49-F238E27FC236}">
              <a16:creationId xmlns:a16="http://schemas.microsoft.com/office/drawing/2014/main" id="{00000000-0008-0000-0F00-00001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281</xdr:row>
      <xdr:rowOff>180975</xdr:rowOff>
    </xdr:from>
    <xdr:to>
      <xdr:col>11</xdr:col>
      <xdr:colOff>409575</xdr:colOff>
      <xdr:row>281</xdr:row>
      <xdr:rowOff>180977</xdr:rowOff>
    </xdr:to>
    <xdr:cxnSp macro="">
      <xdr:nvCxnSpPr>
        <xdr:cNvPr id="795" name="Straight Connector 794">
          <a:extLst>
            <a:ext uri="{FF2B5EF4-FFF2-40B4-BE49-F238E27FC236}">
              <a16:creationId xmlns:a16="http://schemas.microsoft.com/office/drawing/2014/main" id="{00000000-0008-0000-0F00-00001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282</xdr:row>
      <xdr:rowOff>180975</xdr:rowOff>
    </xdr:from>
    <xdr:to>
      <xdr:col>12</xdr:col>
      <xdr:colOff>0</xdr:colOff>
      <xdr:row>282</xdr:row>
      <xdr:rowOff>180977</xdr:rowOff>
    </xdr:to>
    <xdr:cxnSp macro="">
      <xdr:nvCxnSpPr>
        <xdr:cNvPr id="796" name="Straight Connector 795">
          <a:extLst>
            <a:ext uri="{FF2B5EF4-FFF2-40B4-BE49-F238E27FC236}">
              <a16:creationId xmlns:a16="http://schemas.microsoft.com/office/drawing/2014/main" id="{00000000-0008-0000-0F00-00001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279</xdr:row>
      <xdr:rowOff>180975</xdr:rowOff>
    </xdr:from>
    <xdr:to>
      <xdr:col>12</xdr:col>
      <xdr:colOff>0</xdr:colOff>
      <xdr:row>279</xdr:row>
      <xdr:rowOff>180977</xdr:rowOff>
    </xdr:to>
    <xdr:cxnSp macro="">
      <xdr:nvCxnSpPr>
        <xdr:cNvPr id="797" name="Straight Connector 796">
          <a:extLst>
            <a:ext uri="{FF2B5EF4-FFF2-40B4-BE49-F238E27FC236}">
              <a16:creationId xmlns:a16="http://schemas.microsoft.com/office/drawing/2014/main" id="{00000000-0008-0000-0F00-00001D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280</xdr:row>
      <xdr:rowOff>190500</xdr:rowOff>
    </xdr:from>
    <xdr:to>
      <xdr:col>12</xdr:col>
      <xdr:colOff>0</xdr:colOff>
      <xdr:row>280</xdr:row>
      <xdr:rowOff>190502</xdr:rowOff>
    </xdr:to>
    <xdr:cxnSp macro="">
      <xdr:nvCxnSpPr>
        <xdr:cNvPr id="798" name="Straight Connector 797">
          <a:extLst>
            <a:ext uri="{FF2B5EF4-FFF2-40B4-BE49-F238E27FC236}">
              <a16:creationId xmlns:a16="http://schemas.microsoft.com/office/drawing/2014/main" id="{00000000-0008-0000-0F00-00001E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281</xdr:row>
      <xdr:rowOff>180975</xdr:rowOff>
    </xdr:from>
    <xdr:to>
      <xdr:col>11</xdr:col>
      <xdr:colOff>409575</xdr:colOff>
      <xdr:row>281</xdr:row>
      <xdr:rowOff>180977</xdr:rowOff>
    </xdr:to>
    <xdr:cxnSp macro="">
      <xdr:nvCxnSpPr>
        <xdr:cNvPr id="799" name="Straight Connector 798">
          <a:extLst>
            <a:ext uri="{FF2B5EF4-FFF2-40B4-BE49-F238E27FC236}">
              <a16:creationId xmlns:a16="http://schemas.microsoft.com/office/drawing/2014/main" id="{00000000-0008-0000-0F00-00001F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282</xdr:row>
      <xdr:rowOff>180975</xdr:rowOff>
    </xdr:from>
    <xdr:to>
      <xdr:col>12</xdr:col>
      <xdr:colOff>0</xdr:colOff>
      <xdr:row>282</xdr:row>
      <xdr:rowOff>180977</xdr:rowOff>
    </xdr:to>
    <xdr:cxnSp macro="">
      <xdr:nvCxnSpPr>
        <xdr:cNvPr id="800" name="Straight Connector 799">
          <a:extLst>
            <a:ext uri="{FF2B5EF4-FFF2-40B4-BE49-F238E27FC236}">
              <a16:creationId xmlns:a16="http://schemas.microsoft.com/office/drawing/2014/main" id="{00000000-0008-0000-0F00-000020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279</xdr:row>
      <xdr:rowOff>180975</xdr:rowOff>
    </xdr:from>
    <xdr:to>
      <xdr:col>18</xdr:col>
      <xdr:colOff>0</xdr:colOff>
      <xdr:row>279</xdr:row>
      <xdr:rowOff>180977</xdr:rowOff>
    </xdr:to>
    <xdr:cxnSp macro="">
      <xdr:nvCxnSpPr>
        <xdr:cNvPr id="801" name="Straight Connector 800">
          <a:extLst>
            <a:ext uri="{FF2B5EF4-FFF2-40B4-BE49-F238E27FC236}">
              <a16:creationId xmlns:a16="http://schemas.microsoft.com/office/drawing/2014/main" id="{00000000-0008-0000-0F00-000021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280</xdr:row>
      <xdr:rowOff>190500</xdr:rowOff>
    </xdr:from>
    <xdr:to>
      <xdr:col>18</xdr:col>
      <xdr:colOff>0</xdr:colOff>
      <xdr:row>280</xdr:row>
      <xdr:rowOff>190502</xdr:rowOff>
    </xdr:to>
    <xdr:cxnSp macro="">
      <xdr:nvCxnSpPr>
        <xdr:cNvPr id="802" name="Straight Connector 801">
          <a:extLst>
            <a:ext uri="{FF2B5EF4-FFF2-40B4-BE49-F238E27FC236}">
              <a16:creationId xmlns:a16="http://schemas.microsoft.com/office/drawing/2014/main" id="{00000000-0008-0000-0F00-000022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281</xdr:row>
      <xdr:rowOff>180975</xdr:rowOff>
    </xdr:from>
    <xdr:to>
      <xdr:col>17</xdr:col>
      <xdr:colOff>409575</xdr:colOff>
      <xdr:row>281</xdr:row>
      <xdr:rowOff>180977</xdr:rowOff>
    </xdr:to>
    <xdr:cxnSp macro="">
      <xdr:nvCxnSpPr>
        <xdr:cNvPr id="803" name="Straight Connector 802">
          <a:extLst>
            <a:ext uri="{FF2B5EF4-FFF2-40B4-BE49-F238E27FC236}">
              <a16:creationId xmlns:a16="http://schemas.microsoft.com/office/drawing/2014/main" id="{00000000-0008-0000-0F00-000023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282</xdr:row>
      <xdr:rowOff>180975</xdr:rowOff>
    </xdr:from>
    <xdr:to>
      <xdr:col>18</xdr:col>
      <xdr:colOff>0</xdr:colOff>
      <xdr:row>282</xdr:row>
      <xdr:rowOff>180977</xdr:rowOff>
    </xdr:to>
    <xdr:cxnSp macro="">
      <xdr:nvCxnSpPr>
        <xdr:cNvPr id="804" name="Straight Connector 803">
          <a:extLst>
            <a:ext uri="{FF2B5EF4-FFF2-40B4-BE49-F238E27FC236}">
              <a16:creationId xmlns:a16="http://schemas.microsoft.com/office/drawing/2014/main" id="{00000000-0008-0000-0F00-000024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308</xdr:row>
      <xdr:rowOff>180975</xdr:rowOff>
    </xdr:from>
    <xdr:to>
      <xdr:col>6</xdr:col>
      <xdr:colOff>0</xdr:colOff>
      <xdr:row>308</xdr:row>
      <xdr:rowOff>180977</xdr:rowOff>
    </xdr:to>
    <xdr:cxnSp macro="">
      <xdr:nvCxnSpPr>
        <xdr:cNvPr id="805" name="Straight Connector 804">
          <a:extLst>
            <a:ext uri="{FF2B5EF4-FFF2-40B4-BE49-F238E27FC236}">
              <a16:creationId xmlns:a16="http://schemas.microsoft.com/office/drawing/2014/main" id="{00000000-0008-0000-0F00-000025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309</xdr:row>
      <xdr:rowOff>190500</xdr:rowOff>
    </xdr:from>
    <xdr:to>
      <xdr:col>6</xdr:col>
      <xdr:colOff>0</xdr:colOff>
      <xdr:row>309</xdr:row>
      <xdr:rowOff>190502</xdr:rowOff>
    </xdr:to>
    <xdr:cxnSp macro="">
      <xdr:nvCxnSpPr>
        <xdr:cNvPr id="806" name="Straight Connector 805">
          <a:extLst>
            <a:ext uri="{FF2B5EF4-FFF2-40B4-BE49-F238E27FC236}">
              <a16:creationId xmlns:a16="http://schemas.microsoft.com/office/drawing/2014/main" id="{00000000-0008-0000-0F00-000026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310</xdr:row>
      <xdr:rowOff>180975</xdr:rowOff>
    </xdr:from>
    <xdr:to>
      <xdr:col>5</xdr:col>
      <xdr:colOff>409575</xdr:colOff>
      <xdr:row>310</xdr:row>
      <xdr:rowOff>180977</xdr:rowOff>
    </xdr:to>
    <xdr:cxnSp macro="">
      <xdr:nvCxnSpPr>
        <xdr:cNvPr id="807" name="Straight Connector 806">
          <a:extLst>
            <a:ext uri="{FF2B5EF4-FFF2-40B4-BE49-F238E27FC236}">
              <a16:creationId xmlns:a16="http://schemas.microsoft.com/office/drawing/2014/main" id="{00000000-0008-0000-0F00-000027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311</xdr:row>
      <xdr:rowOff>180975</xdr:rowOff>
    </xdr:from>
    <xdr:to>
      <xdr:col>6</xdr:col>
      <xdr:colOff>0</xdr:colOff>
      <xdr:row>311</xdr:row>
      <xdr:rowOff>180977</xdr:rowOff>
    </xdr:to>
    <xdr:cxnSp macro="">
      <xdr:nvCxnSpPr>
        <xdr:cNvPr id="808" name="Straight Connector 807">
          <a:extLst>
            <a:ext uri="{FF2B5EF4-FFF2-40B4-BE49-F238E27FC236}">
              <a16:creationId xmlns:a16="http://schemas.microsoft.com/office/drawing/2014/main" id="{00000000-0008-0000-0F00-000028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308</xdr:row>
      <xdr:rowOff>180975</xdr:rowOff>
    </xdr:from>
    <xdr:to>
      <xdr:col>12</xdr:col>
      <xdr:colOff>0</xdr:colOff>
      <xdr:row>308</xdr:row>
      <xdr:rowOff>180977</xdr:rowOff>
    </xdr:to>
    <xdr:cxnSp macro="">
      <xdr:nvCxnSpPr>
        <xdr:cNvPr id="809" name="Straight Connector 808">
          <a:extLst>
            <a:ext uri="{FF2B5EF4-FFF2-40B4-BE49-F238E27FC236}">
              <a16:creationId xmlns:a16="http://schemas.microsoft.com/office/drawing/2014/main" id="{00000000-0008-0000-0F00-00002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309</xdr:row>
      <xdr:rowOff>190500</xdr:rowOff>
    </xdr:from>
    <xdr:to>
      <xdr:col>12</xdr:col>
      <xdr:colOff>0</xdr:colOff>
      <xdr:row>309</xdr:row>
      <xdr:rowOff>190502</xdr:rowOff>
    </xdr:to>
    <xdr:cxnSp macro="">
      <xdr:nvCxnSpPr>
        <xdr:cNvPr id="810" name="Straight Connector 809">
          <a:extLst>
            <a:ext uri="{FF2B5EF4-FFF2-40B4-BE49-F238E27FC236}">
              <a16:creationId xmlns:a16="http://schemas.microsoft.com/office/drawing/2014/main" id="{00000000-0008-0000-0F00-00002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310</xdr:row>
      <xdr:rowOff>180975</xdr:rowOff>
    </xdr:from>
    <xdr:to>
      <xdr:col>11</xdr:col>
      <xdr:colOff>409575</xdr:colOff>
      <xdr:row>310</xdr:row>
      <xdr:rowOff>180977</xdr:rowOff>
    </xdr:to>
    <xdr:cxnSp macro="">
      <xdr:nvCxnSpPr>
        <xdr:cNvPr id="811" name="Straight Connector 810">
          <a:extLst>
            <a:ext uri="{FF2B5EF4-FFF2-40B4-BE49-F238E27FC236}">
              <a16:creationId xmlns:a16="http://schemas.microsoft.com/office/drawing/2014/main" id="{00000000-0008-0000-0F00-00002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311</xdr:row>
      <xdr:rowOff>180975</xdr:rowOff>
    </xdr:from>
    <xdr:to>
      <xdr:col>12</xdr:col>
      <xdr:colOff>0</xdr:colOff>
      <xdr:row>311</xdr:row>
      <xdr:rowOff>180977</xdr:rowOff>
    </xdr:to>
    <xdr:cxnSp macro="">
      <xdr:nvCxnSpPr>
        <xdr:cNvPr id="812" name="Straight Connector 811">
          <a:extLst>
            <a:ext uri="{FF2B5EF4-FFF2-40B4-BE49-F238E27FC236}">
              <a16:creationId xmlns:a16="http://schemas.microsoft.com/office/drawing/2014/main" id="{00000000-0008-0000-0F00-00002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308</xdr:row>
      <xdr:rowOff>180975</xdr:rowOff>
    </xdr:from>
    <xdr:to>
      <xdr:col>18</xdr:col>
      <xdr:colOff>0</xdr:colOff>
      <xdr:row>308</xdr:row>
      <xdr:rowOff>180977</xdr:rowOff>
    </xdr:to>
    <xdr:cxnSp macro="">
      <xdr:nvCxnSpPr>
        <xdr:cNvPr id="813" name="Straight Connector 812">
          <a:extLst>
            <a:ext uri="{FF2B5EF4-FFF2-40B4-BE49-F238E27FC236}">
              <a16:creationId xmlns:a16="http://schemas.microsoft.com/office/drawing/2014/main" id="{00000000-0008-0000-0F00-00002D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309</xdr:row>
      <xdr:rowOff>190500</xdr:rowOff>
    </xdr:from>
    <xdr:to>
      <xdr:col>18</xdr:col>
      <xdr:colOff>0</xdr:colOff>
      <xdr:row>309</xdr:row>
      <xdr:rowOff>190502</xdr:rowOff>
    </xdr:to>
    <xdr:cxnSp macro="">
      <xdr:nvCxnSpPr>
        <xdr:cNvPr id="814" name="Straight Connector 813">
          <a:extLst>
            <a:ext uri="{FF2B5EF4-FFF2-40B4-BE49-F238E27FC236}">
              <a16:creationId xmlns:a16="http://schemas.microsoft.com/office/drawing/2014/main" id="{00000000-0008-0000-0F00-00002E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310</xdr:row>
      <xdr:rowOff>180975</xdr:rowOff>
    </xdr:from>
    <xdr:to>
      <xdr:col>17</xdr:col>
      <xdr:colOff>409575</xdr:colOff>
      <xdr:row>310</xdr:row>
      <xdr:rowOff>180977</xdr:rowOff>
    </xdr:to>
    <xdr:cxnSp macro="">
      <xdr:nvCxnSpPr>
        <xdr:cNvPr id="815" name="Straight Connector 814">
          <a:extLst>
            <a:ext uri="{FF2B5EF4-FFF2-40B4-BE49-F238E27FC236}">
              <a16:creationId xmlns:a16="http://schemas.microsoft.com/office/drawing/2014/main" id="{00000000-0008-0000-0F00-00002F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311</xdr:row>
      <xdr:rowOff>180975</xdr:rowOff>
    </xdr:from>
    <xdr:to>
      <xdr:col>18</xdr:col>
      <xdr:colOff>0</xdr:colOff>
      <xdr:row>311</xdr:row>
      <xdr:rowOff>180977</xdr:rowOff>
    </xdr:to>
    <xdr:cxnSp macro="">
      <xdr:nvCxnSpPr>
        <xdr:cNvPr id="816" name="Straight Connector 815">
          <a:extLst>
            <a:ext uri="{FF2B5EF4-FFF2-40B4-BE49-F238E27FC236}">
              <a16:creationId xmlns:a16="http://schemas.microsoft.com/office/drawing/2014/main" id="{00000000-0008-0000-0F00-000030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308</xdr:row>
      <xdr:rowOff>180975</xdr:rowOff>
    </xdr:from>
    <xdr:to>
      <xdr:col>12</xdr:col>
      <xdr:colOff>0</xdr:colOff>
      <xdr:row>308</xdr:row>
      <xdr:rowOff>180977</xdr:rowOff>
    </xdr:to>
    <xdr:cxnSp macro="">
      <xdr:nvCxnSpPr>
        <xdr:cNvPr id="817" name="Straight Connector 816">
          <a:extLst>
            <a:ext uri="{FF2B5EF4-FFF2-40B4-BE49-F238E27FC236}">
              <a16:creationId xmlns:a16="http://schemas.microsoft.com/office/drawing/2014/main" id="{00000000-0008-0000-0F00-00003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309</xdr:row>
      <xdr:rowOff>190500</xdr:rowOff>
    </xdr:from>
    <xdr:to>
      <xdr:col>12</xdr:col>
      <xdr:colOff>0</xdr:colOff>
      <xdr:row>309</xdr:row>
      <xdr:rowOff>190502</xdr:rowOff>
    </xdr:to>
    <xdr:cxnSp macro="">
      <xdr:nvCxnSpPr>
        <xdr:cNvPr id="818" name="Straight Connector 817">
          <a:extLst>
            <a:ext uri="{FF2B5EF4-FFF2-40B4-BE49-F238E27FC236}">
              <a16:creationId xmlns:a16="http://schemas.microsoft.com/office/drawing/2014/main" id="{00000000-0008-0000-0F00-00003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310</xdr:row>
      <xdr:rowOff>180975</xdr:rowOff>
    </xdr:from>
    <xdr:to>
      <xdr:col>11</xdr:col>
      <xdr:colOff>409575</xdr:colOff>
      <xdr:row>310</xdr:row>
      <xdr:rowOff>180977</xdr:rowOff>
    </xdr:to>
    <xdr:cxnSp macro="">
      <xdr:nvCxnSpPr>
        <xdr:cNvPr id="819" name="Straight Connector 818">
          <a:extLst>
            <a:ext uri="{FF2B5EF4-FFF2-40B4-BE49-F238E27FC236}">
              <a16:creationId xmlns:a16="http://schemas.microsoft.com/office/drawing/2014/main" id="{00000000-0008-0000-0F00-00003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311</xdr:row>
      <xdr:rowOff>180975</xdr:rowOff>
    </xdr:from>
    <xdr:to>
      <xdr:col>12</xdr:col>
      <xdr:colOff>0</xdr:colOff>
      <xdr:row>311</xdr:row>
      <xdr:rowOff>180977</xdr:rowOff>
    </xdr:to>
    <xdr:cxnSp macro="">
      <xdr:nvCxnSpPr>
        <xdr:cNvPr id="820" name="Straight Connector 819">
          <a:extLst>
            <a:ext uri="{FF2B5EF4-FFF2-40B4-BE49-F238E27FC236}">
              <a16:creationId xmlns:a16="http://schemas.microsoft.com/office/drawing/2014/main" id="{00000000-0008-0000-0F00-00003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308</xdr:row>
      <xdr:rowOff>180975</xdr:rowOff>
    </xdr:from>
    <xdr:to>
      <xdr:col>12</xdr:col>
      <xdr:colOff>0</xdr:colOff>
      <xdr:row>308</xdr:row>
      <xdr:rowOff>180977</xdr:rowOff>
    </xdr:to>
    <xdr:cxnSp macro="">
      <xdr:nvCxnSpPr>
        <xdr:cNvPr id="821" name="Straight Connector 820">
          <a:extLst>
            <a:ext uri="{FF2B5EF4-FFF2-40B4-BE49-F238E27FC236}">
              <a16:creationId xmlns:a16="http://schemas.microsoft.com/office/drawing/2014/main" id="{00000000-0008-0000-0F00-000035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309</xdr:row>
      <xdr:rowOff>190500</xdr:rowOff>
    </xdr:from>
    <xdr:to>
      <xdr:col>12</xdr:col>
      <xdr:colOff>0</xdr:colOff>
      <xdr:row>309</xdr:row>
      <xdr:rowOff>190502</xdr:rowOff>
    </xdr:to>
    <xdr:cxnSp macro="">
      <xdr:nvCxnSpPr>
        <xdr:cNvPr id="822" name="Straight Connector 821">
          <a:extLst>
            <a:ext uri="{FF2B5EF4-FFF2-40B4-BE49-F238E27FC236}">
              <a16:creationId xmlns:a16="http://schemas.microsoft.com/office/drawing/2014/main" id="{00000000-0008-0000-0F00-000036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310</xdr:row>
      <xdr:rowOff>180975</xdr:rowOff>
    </xdr:from>
    <xdr:to>
      <xdr:col>11</xdr:col>
      <xdr:colOff>409575</xdr:colOff>
      <xdr:row>310</xdr:row>
      <xdr:rowOff>180977</xdr:rowOff>
    </xdr:to>
    <xdr:cxnSp macro="">
      <xdr:nvCxnSpPr>
        <xdr:cNvPr id="823" name="Straight Connector 822">
          <a:extLst>
            <a:ext uri="{FF2B5EF4-FFF2-40B4-BE49-F238E27FC236}">
              <a16:creationId xmlns:a16="http://schemas.microsoft.com/office/drawing/2014/main" id="{00000000-0008-0000-0F00-000037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311</xdr:row>
      <xdr:rowOff>180975</xdr:rowOff>
    </xdr:from>
    <xdr:to>
      <xdr:col>12</xdr:col>
      <xdr:colOff>0</xdr:colOff>
      <xdr:row>311</xdr:row>
      <xdr:rowOff>180977</xdr:rowOff>
    </xdr:to>
    <xdr:cxnSp macro="">
      <xdr:nvCxnSpPr>
        <xdr:cNvPr id="824" name="Straight Connector 823">
          <a:extLst>
            <a:ext uri="{FF2B5EF4-FFF2-40B4-BE49-F238E27FC236}">
              <a16:creationId xmlns:a16="http://schemas.microsoft.com/office/drawing/2014/main" id="{00000000-0008-0000-0F00-000038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308</xdr:row>
      <xdr:rowOff>180975</xdr:rowOff>
    </xdr:from>
    <xdr:to>
      <xdr:col>18</xdr:col>
      <xdr:colOff>0</xdr:colOff>
      <xdr:row>308</xdr:row>
      <xdr:rowOff>180977</xdr:rowOff>
    </xdr:to>
    <xdr:cxnSp macro="">
      <xdr:nvCxnSpPr>
        <xdr:cNvPr id="825" name="Straight Connector 824">
          <a:extLst>
            <a:ext uri="{FF2B5EF4-FFF2-40B4-BE49-F238E27FC236}">
              <a16:creationId xmlns:a16="http://schemas.microsoft.com/office/drawing/2014/main" id="{00000000-0008-0000-0F00-000039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309</xdr:row>
      <xdr:rowOff>190500</xdr:rowOff>
    </xdr:from>
    <xdr:to>
      <xdr:col>18</xdr:col>
      <xdr:colOff>0</xdr:colOff>
      <xdr:row>309</xdr:row>
      <xdr:rowOff>190502</xdr:rowOff>
    </xdr:to>
    <xdr:cxnSp macro="">
      <xdr:nvCxnSpPr>
        <xdr:cNvPr id="826" name="Straight Connector 825">
          <a:extLst>
            <a:ext uri="{FF2B5EF4-FFF2-40B4-BE49-F238E27FC236}">
              <a16:creationId xmlns:a16="http://schemas.microsoft.com/office/drawing/2014/main" id="{00000000-0008-0000-0F00-00003A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310</xdr:row>
      <xdr:rowOff>180975</xdr:rowOff>
    </xdr:from>
    <xdr:to>
      <xdr:col>17</xdr:col>
      <xdr:colOff>409575</xdr:colOff>
      <xdr:row>310</xdr:row>
      <xdr:rowOff>180977</xdr:rowOff>
    </xdr:to>
    <xdr:cxnSp macro="">
      <xdr:nvCxnSpPr>
        <xdr:cNvPr id="827" name="Straight Connector 826">
          <a:extLst>
            <a:ext uri="{FF2B5EF4-FFF2-40B4-BE49-F238E27FC236}">
              <a16:creationId xmlns:a16="http://schemas.microsoft.com/office/drawing/2014/main" id="{00000000-0008-0000-0F00-00003B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311</xdr:row>
      <xdr:rowOff>180975</xdr:rowOff>
    </xdr:from>
    <xdr:to>
      <xdr:col>18</xdr:col>
      <xdr:colOff>0</xdr:colOff>
      <xdr:row>311</xdr:row>
      <xdr:rowOff>180977</xdr:rowOff>
    </xdr:to>
    <xdr:cxnSp macro="">
      <xdr:nvCxnSpPr>
        <xdr:cNvPr id="828" name="Straight Connector 827">
          <a:extLst>
            <a:ext uri="{FF2B5EF4-FFF2-40B4-BE49-F238E27FC236}">
              <a16:creationId xmlns:a16="http://schemas.microsoft.com/office/drawing/2014/main" id="{00000000-0008-0000-0F00-00003C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336</xdr:row>
      <xdr:rowOff>180975</xdr:rowOff>
    </xdr:from>
    <xdr:to>
      <xdr:col>6</xdr:col>
      <xdr:colOff>0</xdr:colOff>
      <xdr:row>336</xdr:row>
      <xdr:rowOff>180977</xdr:rowOff>
    </xdr:to>
    <xdr:cxnSp macro="">
      <xdr:nvCxnSpPr>
        <xdr:cNvPr id="829" name="Straight Connector 828">
          <a:extLst>
            <a:ext uri="{FF2B5EF4-FFF2-40B4-BE49-F238E27FC236}">
              <a16:creationId xmlns:a16="http://schemas.microsoft.com/office/drawing/2014/main" id="{00000000-0008-0000-0F00-00003D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337</xdr:row>
      <xdr:rowOff>190500</xdr:rowOff>
    </xdr:from>
    <xdr:to>
      <xdr:col>6</xdr:col>
      <xdr:colOff>0</xdr:colOff>
      <xdr:row>337</xdr:row>
      <xdr:rowOff>190502</xdr:rowOff>
    </xdr:to>
    <xdr:cxnSp macro="">
      <xdr:nvCxnSpPr>
        <xdr:cNvPr id="830" name="Straight Connector 829">
          <a:extLst>
            <a:ext uri="{FF2B5EF4-FFF2-40B4-BE49-F238E27FC236}">
              <a16:creationId xmlns:a16="http://schemas.microsoft.com/office/drawing/2014/main" id="{00000000-0008-0000-0F00-00003E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338</xdr:row>
      <xdr:rowOff>180975</xdr:rowOff>
    </xdr:from>
    <xdr:to>
      <xdr:col>5</xdr:col>
      <xdr:colOff>409575</xdr:colOff>
      <xdr:row>338</xdr:row>
      <xdr:rowOff>180977</xdr:rowOff>
    </xdr:to>
    <xdr:cxnSp macro="">
      <xdr:nvCxnSpPr>
        <xdr:cNvPr id="831" name="Straight Connector 830">
          <a:extLst>
            <a:ext uri="{FF2B5EF4-FFF2-40B4-BE49-F238E27FC236}">
              <a16:creationId xmlns:a16="http://schemas.microsoft.com/office/drawing/2014/main" id="{00000000-0008-0000-0F00-00003F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339</xdr:row>
      <xdr:rowOff>180975</xdr:rowOff>
    </xdr:from>
    <xdr:to>
      <xdr:col>6</xdr:col>
      <xdr:colOff>0</xdr:colOff>
      <xdr:row>339</xdr:row>
      <xdr:rowOff>180977</xdr:rowOff>
    </xdr:to>
    <xdr:cxnSp macro="">
      <xdr:nvCxnSpPr>
        <xdr:cNvPr id="832" name="Straight Connector 831">
          <a:extLst>
            <a:ext uri="{FF2B5EF4-FFF2-40B4-BE49-F238E27FC236}">
              <a16:creationId xmlns:a16="http://schemas.microsoft.com/office/drawing/2014/main" id="{00000000-0008-0000-0F00-000040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336</xdr:row>
      <xdr:rowOff>180975</xdr:rowOff>
    </xdr:from>
    <xdr:to>
      <xdr:col>12</xdr:col>
      <xdr:colOff>0</xdr:colOff>
      <xdr:row>336</xdr:row>
      <xdr:rowOff>180977</xdr:rowOff>
    </xdr:to>
    <xdr:cxnSp macro="">
      <xdr:nvCxnSpPr>
        <xdr:cNvPr id="833" name="Straight Connector 832">
          <a:extLst>
            <a:ext uri="{FF2B5EF4-FFF2-40B4-BE49-F238E27FC236}">
              <a16:creationId xmlns:a16="http://schemas.microsoft.com/office/drawing/2014/main" id="{00000000-0008-0000-0F00-00004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337</xdr:row>
      <xdr:rowOff>190500</xdr:rowOff>
    </xdr:from>
    <xdr:to>
      <xdr:col>12</xdr:col>
      <xdr:colOff>0</xdr:colOff>
      <xdr:row>337</xdr:row>
      <xdr:rowOff>190502</xdr:rowOff>
    </xdr:to>
    <xdr:cxnSp macro="">
      <xdr:nvCxnSpPr>
        <xdr:cNvPr id="834" name="Straight Connector 833">
          <a:extLst>
            <a:ext uri="{FF2B5EF4-FFF2-40B4-BE49-F238E27FC236}">
              <a16:creationId xmlns:a16="http://schemas.microsoft.com/office/drawing/2014/main" id="{00000000-0008-0000-0F00-00004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338</xdr:row>
      <xdr:rowOff>180975</xdr:rowOff>
    </xdr:from>
    <xdr:to>
      <xdr:col>11</xdr:col>
      <xdr:colOff>409575</xdr:colOff>
      <xdr:row>338</xdr:row>
      <xdr:rowOff>180977</xdr:rowOff>
    </xdr:to>
    <xdr:cxnSp macro="">
      <xdr:nvCxnSpPr>
        <xdr:cNvPr id="835" name="Straight Connector 834">
          <a:extLst>
            <a:ext uri="{FF2B5EF4-FFF2-40B4-BE49-F238E27FC236}">
              <a16:creationId xmlns:a16="http://schemas.microsoft.com/office/drawing/2014/main" id="{00000000-0008-0000-0F00-00004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339</xdr:row>
      <xdr:rowOff>180975</xdr:rowOff>
    </xdr:from>
    <xdr:to>
      <xdr:col>12</xdr:col>
      <xdr:colOff>0</xdr:colOff>
      <xdr:row>339</xdr:row>
      <xdr:rowOff>180977</xdr:rowOff>
    </xdr:to>
    <xdr:cxnSp macro="">
      <xdr:nvCxnSpPr>
        <xdr:cNvPr id="836" name="Straight Connector 835">
          <a:extLst>
            <a:ext uri="{FF2B5EF4-FFF2-40B4-BE49-F238E27FC236}">
              <a16:creationId xmlns:a16="http://schemas.microsoft.com/office/drawing/2014/main" id="{00000000-0008-0000-0F00-00004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336</xdr:row>
      <xdr:rowOff>180975</xdr:rowOff>
    </xdr:from>
    <xdr:to>
      <xdr:col>18</xdr:col>
      <xdr:colOff>0</xdr:colOff>
      <xdr:row>336</xdr:row>
      <xdr:rowOff>180977</xdr:rowOff>
    </xdr:to>
    <xdr:cxnSp macro="">
      <xdr:nvCxnSpPr>
        <xdr:cNvPr id="837" name="Straight Connector 836">
          <a:extLst>
            <a:ext uri="{FF2B5EF4-FFF2-40B4-BE49-F238E27FC236}">
              <a16:creationId xmlns:a16="http://schemas.microsoft.com/office/drawing/2014/main" id="{00000000-0008-0000-0F00-000045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337</xdr:row>
      <xdr:rowOff>190500</xdr:rowOff>
    </xdr:from>
    <xdr:to>
      <xdr:col>18</xdr:col>
      <xdr:colOff>0</xdr:colOff>
      <xdr:row>337</xdr:row>
      <xdr:rowOff>190502</xdr:rowOff>
    </xdr:to>
    <xdr:cxnSp macro="">
      <xdr:nvCxnSpPr>
        <xdr:cNvPr id="838" name="Straight Connector 837">
          <a:extLst>
            <a:ext uri="{FF2B5EF4-FFF2-40B4-BE49-F238E27FC236}">
              <a16:creationId xmlns:a16="http://schemas.microsoft.com/office/drawing/2014/main" id="{00000000-0008-0000-0F00-000046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338</xdr:row>
      <xdr:rowOff>180975</xdr:rowOff>
    </xdr:from>
    <xdr:to>
      <xdr:col>17</xdr:col>
      <xdr:colOff>409575</xdr:colOff>
      <xdr:row>338</xdr:row>
      <xdr:rowOff>180977</xdr:rowOff>
    </xdr:to>
    <xdr:cxnSp macro="">
      <xdr:nvCxnSpPr>
        <xdr:cNvPr id="839" name="Straight Connector 838">
          <a:extLst>
            <a:ext uri="{FF2B5EF4-FFF2-40B4-BE49-F238E27FC236}">
              <a16:creationId xmlns:a16="http://schemas.microsoft.com/office/drawing/2014/main" id="{00000000-0008-0000-0F00-000047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339</xdr:row>
      <xdr:rowOff>180975</xdr:rowOff>
    </xdr:from>
    <xdr:to>
      <xdr:col>18</xdr:col>
      <xdr:colOff>0</xdr:colOff>
      <xdr:row>339</xdr:row>
      <xdr:rowOff>180977</xdr:rowOff>
    </xdr:to>
    <xdr:cxnSp macro="">
      <xdr:nvCxnSpPr>
        <xdr:cNvPr id="840" name="Straight Connector 839">
          <a:extLst>
            <a:ext uri="{FF2B5EF4-FFF2-40B4-BE49-F238E27FC236}">
              <a16:creationId xmlns:a16="http://schemas.microsoft.com/office/drawing/2014/main" id="{00000000-0008-0000-0F00-000048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336</xdr:row>
      <xdr:rowOff>180975</xdr:rowOff>
    </xdr:from>
    <xdr:to>
      <xdr:col>12</xdr:col>
      <xdr:colOff>0</xdr:colOff>
      <xdr:row>336</xdr:row>
      <xdr:rowOff>180977</xdr:rowOff>
    </xdr:to>
    <xdr:cxnSp macro="">
      <xdr:nvCxnSpPr>
        <xdr:cNvPr id="841" name="Straight Connector 840">
          <a:extLst>
            <a:ext uri="{FF2B5EF4-FFF2-40B4-BE49-F238E27FC236}">
              <a16:creationId xmlns:a16="http://schemas.microsoft.com/office/drawing/2014/main" id="{00000000-0008-0000-0F00-00004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337</xdr:row>
      <xdr:rowOff>190500</xdr:rowOff>
    </xdr:from>
    <xdr:to>
      <xdr:col>12</xdr:col>
      <xdr:colOff>0</xdr:colOff>
      <xdr:row>337</xdr:row>
      <xdr:rowOff>190502</xdr:rowOff>
    </xdr:to>
    <xdr:cxnSp macro="">
      <xdr:nvCxnSpPr>
        <xdr:cNvPr id="842" name="Straight Connector 841">
          <a:extLst>
            <a:ext uri="{FF2B5EF4-FFF2-40B4-BE49-F238E27FC236}">
              <a16:creationId xmlns:a16="http://schemas.microsoft.com/office/drawing/2014/main" id="{00000000-0008-0000-0F00-00004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338</xdr:row>
      <xdr:rowOff>180975</xdr:rowOff>
    </xdr:from>
    <xdr:to>
      <xdr:col>11</xdr:col>
      <xdr:colOff>409575</xdr:colOff>
      <xdr:row>338</xdr:row>
      <xdr:rowOff>180977</xdr:rowOff>
    </xdr:to>
    <xdr:cxnSp macro="">
      <xdr:nvCxnSpPr>
        <xdr:cNvPr id="843" name="Straight Connector 842">
          <a:extLst>
            <a:ext uri="{FF2B5EF4-FFF2-40B4-BE49-F238E27FC236}">
              <a16:creationId xmlns:a16="http://schemas.microsoft.com/office/drawing/2014/main" id="{00000000-0008-0000-0F00-00004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339</xdr:row>
      <xdr:rowOff>180975</xdr:rowOff>
    </xdr:from>
    <xdr:to>
      <xdr:col>12</xdr:col>
      <xdr:colOff>0</xdr:colOff>
      <xdr:row>339</xdr:row>
      <xdr:rowOff>180977</xdr:rowOff>
    </xdr:to>
    <xdr:cxnSp macro="">
      <xdr:nvCxnSpPr>
        <xdr:cNvPr id="844" name="Straight Connector 843">
          <a:extLst>
            <a:ext uri="{FF2B5EF4-FFF2-40B4-BE49-F238E27FC236}">
              <a16:creationId xmlns:a16="http://schemas.microsoft.com/office/drawing/2014/main" id="{00000000-0008-0000-0F00-00004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336</xdr:row>
      <xdr:rowOff>180975</xdr:rowOff>
    </xdr:from>
    <xdr:to>
      <xdr:col>12</xdr:col>
      <xdr:colOff>0</xdr:colOff>
      <xdr:row>336</xdr:row>
      <xdr:rowOff>180977</xdr:rowOff>
    </xdr:to>
    <xdr:cxnSp macro="">
      <xdr:nvCxnSpPr>
        <xdr:cNvPr id="845" name="Straight Connector 844">
          <a:extLst>
            <a:ext uri="{FF2B5EF4-FFF2-40B4-BE49-F238E27FC236}">
              <a16:creationId xmlns:a16="http://schemas.microsoft.com/office/drawing/2014/main" id="{00000000-0008-0000-0F00-00004D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337</xdr:row>
      <xdr:rowOff>190500</xdr:rowOff>
    </xdr:from>
    <xdr:to>
      <xdr:col>12</xdr:col>
      <xdr:colOff>0</xdr:colOff>
      <xdr:row>337</xdr:row>
      <xdr:rowOff>190502</xdr:rowOff>
    </xdr:to>
    <xdr:cxnSp macro="">
      <xdr:nvCxnSpPr>
        <xdr:cNvPr id="846" name="Straight Connector 845">
          <a:extLst>
            <a:ext uri="{FF2B5EF4-FFF2-40B4-BE49-F238E27FC236}">
              <a16:creationId xmlns:a16="http://schemas.microsoft.com/office/drawing/2014/main" id="{00000000-0008-0000-0F00-00004E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338</xdr:row>
      <xdr:rowOff>180975</xdr:rowOff>
    </xdr:from>
    <xdr:to>
      <xdr:col>11</xdr:col>
      <xdr:colOff>409575</xdr:colOff>
      <xdr:row>338</xdr:row>
      <xdr:rowOff>180977</xdr:rowOff>
    </xdr:to>
    <xdr:cxnSp macro="">
      <xdr:nvCxnSpPr>
        <xdr:cNvPr id="847" name="Straight Connector 846">
          <a:extLst>
            <a:ext uri="{FF2B5EF4-FFF2-40B4-BE49-F238E27FC236}">
              <a16:creationId xmlns:a16="http://schemas.microsoft.com/office/drawing/2014/main" id="{00000000-0008-0000-0F00-00004F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339</xdr:row>
      <xdr:rowOff>180975</xdr:rowOff>
    </xdr:from>
    <xdr:to>
      <xdr:col>12</xdr:col>
      <xdr:colOff>0</xdr:colOff>
      <xdr:row>339</xdr:row>
      <xdr:rowOff>180977</xdr:rowOff>
    </xdr:to>
    <xdr:cxnSp macro="">
      <xdr:nvCxnSpPr>
        <xdr:cNvPr id="848" name="Straight Connector 847">
          <a:extLst>
            <a:ext uri="{FF2B5EF4-FFF2-40B4-BE49-F238E27FC236}">
              <a16:creationId xmlns:a16="http://schemas.microsoft.com/office/drawing/2014/main" id="{00000000-0008-0000-0F00-000050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336</xdr:row>
      <xdr:rowOff>180975</xdr:rowOff>
    </xdr:from>
    <xdr:to>
      <xdr:col>18</xdr:col>
      <xdr:colOff>0</xdr:colOff>
      <xdr:row>336</xdr:row>
      <xdr:rowOff>180977</xdr:rowOff>
    </xdr:to>
    <xdr:cxnSp macro="">
      <xdr:nvCxnSpPr>
        <xdr:cNvPr id="849" name="Straight Connector 848">
          <a:extLst>
            <a:ext uri="{FF2B5EF4-FFF2-40B4-BE49-F238E27FC236}">
              <a16:creationId xmlns:a16="http://schemas.microsoft.com/office/drawing/2014/main" id="{00000000-0008-0000-0F00-000051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337</xdr:row>
      <xdr:rowOff>190500</xdr:rowOff>
    </xdr:from>
    <xdr:to>
      <xdr:col>18</xdr:col>
      <xdr:colOff>0</xdr:colOff>
      <xdr:row>337</xdr:row>
      <xdr:rowOff>190502</xdr:rowOff>
    </xdr:to>
    <xdr:cxnSp macro="">
      <xdr:nvCxnSpPr>
        <xdr:cNvPr id="850" name="Straight Connector 849">
          <a:extLst>
            <a:ext uri="{FF2B5EF4-FFF2-40B4-BE49-F238E27FC236}">
              <a16:creationId xmlns:a16="http://schemas.microsoft.com/office/drawing/2014/main" id="{00000000-0008-0000-0F00-000052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338</xdr:row>
      <xdr:rowOff>180975</xdr:rowOff>
    </xdr:from>
    <xdr:to>
      <xdr:col>17</xdr:col>
      <xdr:colOff>409575</xdr:colOff>
      <xdr:row>338</xdr:row>
      <xdr:rowOff>180977</xdr:rowOff>
    </xdr:to>
    <xdr:cxnSp macro="">
      <xdr:nvCxnSpPr>
        <xdr:cNvPr id="851" name="Straight Connector 850">
          <a:extLst>
            <a:ext uri="{FF2B5EF4-FFF2-40B4-BE49-F238E27FC236}">
              <a16:creationId xmlns:a16="http://schemas.microsoft.com/office/drawing/2014/main" id="{00000000-0008-0000-0F00-000053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339</xdr:row>
      <xdr:rowOff>180975</xdr:rowOff>
    </xdr:from>
    <xdr:to>
      <xdr:col>18</xdr:col>
      <xdr:colOff>0</xdr:colOff>
      <xdr:row>339</xdr:row>
      <xdr:rowOff>180977</xdr:rowOff>
    </xdr:to>
    <xdr:cxnSp macro="">
      <xdr:nvCxnSpPr>
        <xdr:cNvPr id="852" name="Straight Connector 851">
          <a:extLst>
            <a:ext uri="{FF2B5EF4-FFF2-40B4-BE49-F238E27FC236}">
              <a16:creationId xmlns:a16="http://schemas.microsoft.com/office/drawing/2014/main" id="{00000000-0008-0000-0F00-000054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365</xdr:row>
      <xdr:rowOff>180975</xdr:rowOff>
    </xdr:from>
    <xdr:to>
      <xdr:col>6</xdr:col>
      <xdr:colOff>0</xdr:colOff>
      <xdr:row>365</xdr:row>
      <xdr:rowOff>180977</xdr:rowOff>
    </xdr:to>
    <xdr:cxnSp macro="">
      <xdr:nvCxnSpPr>
        <xdr:cNvPr id="853" name="Straight Connector 852">
          <a:extLst>
            <a:ext uri="{FF2B5EF4-FFF2-40B4-BE49-F238E27FC236}">
              <a16:creationId xmlns:a16="http://schemas.microsoft.com/office/drawing/2014/main" id="{00000000-0008-0000-0F00-000055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366</xdr:row>
      <xdr:rowOff>190500</xdr:rowOff>
    </xdr:from>
    <xdr:to>
      <xdr:col>6</xdr:col>
      <xdr:colOff>0</xdr:colOff>
      <xdr:row>366</xdr:row>
      <xdr:rowOff>190502</xdr:rowOff>
    </xdr:to>
    <xdr:cxnSp macro="">
      <xdr:nvCxnSpPr>
        <xdr:cNvPr id="854" name="Straight Connector 853">
          <a:extLst>
            <a:ext uri="{FF2B5EF4-FFF2-40B4-BE49-F238E27FC236}">
              <a16:creationId xmlns:a16="http://schemas.microsoft.com/office/drawing/2014/main" id="{00000000-0008-0000-0F00-000056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367</xdr:row>
      <xdr:rowOff>180975</xdr:rowOff>
    </xdr:from>
    <xdr:to>
      <xdr:col>5</xdr:col>
      <xdr:colOff>409575</xdr:colOff>
      <xdr:row>367</xdr:row>
      <xdr:rowOff>180977</xdr:rowOff>
    </xdr:to>
    <xdr:cxnSp macro="">
      <xdr:nvCxnSpPr>
        <xdr:cNvPr id="855" name="Straight Connector 854">
          <a:extLst>
            <a:ext uri="{FF2B5EF4-FFF2-40B4-BE49-F238E27FC236}">
              <a16:creationId xmlns:a16="http://schemas.microsoft.com/office/drawing/2014/main" id="{00000000-0008-0000-0F00-000057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368</xdr:row>
      <xdr:rowOff>180975</xdr:rowOff>
    </xdr:from>
    <xdr:to>
      <xdr:col>6</xdr:col>
      <xdr:colOff>0</xdr:colOff>
      <xdr:row>368</xdr:row>
      <xdr:rowOff>180977</xdr:rowOff>
    </xdr:to>
    <xdr:cxnSp macro="">
      <xdr:nvCxnSpPr>
        <xdr:cNvPr id="856" name="Straight Connector 855">
          <a:extLst>
            <a:ext uri="{FF2B5EF4-FFF2-40B4-BE49-F238E27FC236}">
              <a16:creationId xmlns:a16="http://schemas.microsoft.com/office/drawing/2014/main" id="{00000000-0008-0000-0F00-000058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365</xdr:row>
      <xdr:rowOff>180975</xdr:rowOff>
    </xdr:from>
    <xdr:to>
      <xdr:col>12</xdr:col>
      <xdr:colOff>0</xdr:colOff>
      <xdr:row>365</xdr:row>
      <xdr:rowOff>180977</xdr:rowOff>
    </xdr:to>
    <xdr:cxnSp macro="">
      <xdr:nvCxnSpPr>
        <xdr:cNvPr id="857" name="Straight Connector 856">
          <a:extLst>
            <a:ext uri="{FF2B5EF4-FFF2-40B4-BE49-F238E27FC236}">
              <a16:creationId xmlns:a16="http://schemas.microsoft.com/office/drawing/2014/main" id="{00000000-0008-0000-0F00-00005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366</xdr:row>
      <xdr:rowOff>190500</xdr:rowOff>
    </xdr:from>
    <xdr:to>
      <xdr:col>12</xdr:col>
      <xdr:colOff>0</xdr:colOff>
      <xdr:row>366</xdr:row>
      <xdr:rowOff>190502</xdr:rowOff>
    </xdr:to>
    <xdr:cxnSp macro="">
      <xdr:nvCxnSpPr>
        <xdr:cNvPr id="858" name="Straight Connector 857">
          <a:extLst>
            <a:ext uri="{FF2B5EF4-FFF2-40B4-BE49-F238E27FC236}">
              <a16:creationId xmlns:a16="http://schemas.microsoft.com/office/drawing/2014/main" id="{00000000-0008-0000-0F00-00005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367</xdr:row>
      <xdr:rowOff>180975</xdr:rowOff>
    </xdr:from>
    <xdr:to>
      <xdr:col>11</xdr:col>
      <xdr:colOff>409575</xdr:colOff>
      <xdr:row>367</xdr:row>
      <xdr:rowOff>180977</xdr:rowOff>
    </xdr:to>
    <xdr:cxnSp macro="">
      <xdr:nvCxnSpPr>
        <xdr:cNvPr id="859" name="Straight Connector 858">
          <a:extLst>
            <a:ext uri="{FF2B5EF4-FFF2-40B4-BE49-F238E27FC236}">
              <a16:creationId xmlns:a16="http://schemas.microsoft.com/office/drawing/2014/main" id="{00000000-0008-0000-0F00-00005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368</xdr:row>
      <xdr:rowOff>180975</xdr:rowOff>
    </xdr:from>
    <xdr:to>
      <xdr:col>12</xdr:col>
      <xdr:colOff>0</xdr:colOff>
      <xdr:row>368</xdr:row>
      <xdr:rowOff>180977</xdr:rowOff>
    </xdr:to>
    <xdr:cxnSp macro="">
      <xdr:nvCxnSpPr>
        <xdr:cNvPr id="860" name="Straight Connector 859">
          <a:extLst>
            <a:ext uri="{FF2B5EF4-FFF2-40B4-BE49-F238E27FC236}">
              <a16:creationId xmlns:a16="http://schemas.microsoft.com/office/drawing/2014/main" id="{00000000-0008-0000-0F00-00005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365</xdr:row>
      <xdr:rowOff>180975</xdr:rowOff>
    </xdr:from>
    <xdr:to>
      <xdr:col>18</xdr:col>
      <xdr:colOff>0</xdr:colOff>
      <xdr:row>365</xdr:row>
      <xdr:rowOff>180977</xdr:rowOff>
    </xdr:to>
    <xdr:cxnSp macro="">
      <xdr:nvCxnSpPr>
        <xdr:cNvPr id="861" name="Straight Connector 860">
          <a:extLst>
            <a:ext uri="{FF2B5EF4-FFF2-40B4-BE49-F238E27FC236}">
              <a16:creationId xmlns:a16="http://schemas.microsoft.com/office/drawing/2014/main" id="{00000000-0008-0000-0F00-00005D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366</xdr:row>
      <xdr:rowOff>190500</xdr:rowOff>
    </xdr:from>
    <xdr:to>
      <xdr:col>18</xdr:col>
      <xdr:colOff>0</xdr:colOff>
      <xdr:row>366</xdr:row>
      <xdr:rowOff>190502</xdr:rowOff>
    </xdr:to>
    <xdr:cxnSp macro="">
      <xdr:nvCxnSpPr>
        <xdr:cNvPr id="862" name="Straight Connector 861">
          <a:extLst>
            <a:ext uri="{FF2B5EF4-FFF2-40B4-BE49-F238E27FC236}">
              <a16:creationId xmlns:a16="http://schemas.microsoft.com/office/drawing/2014/main" id="{00000000-0008-0000-0F00-00005E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367</xdr:row>
      <xdr:rowOff>180975</xdr:rowOff>
    </xdr:from>
    <xdr:to>
      <xdr:col>17</xdr:col>
      <xdr:colOff>409575</xdr:colOff>
      <xdr:row>367</xdr:row>
      <xdr:rowOff>180977</xdr:rowOff>
    </xdr:to>
    <xdr:cxnSp macro="">
      <xdr:nvCxnSpPr>
        <xdr:cNvPr id="863" name="Straight Connector 862">
          <a:extLst>
            <a:ext uri="{FF2B5EF4-FFF2-40B4-BE49-F238E27FC236}">
              <a16:creationId xmlns:a16="http://schemas.microsoft.com/office/drawing/2014/main" id="{00000000-0008-0000-0F00-00005F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368</xdr:row>
      <xdr:rowOff>180975</xdr:rowOff>
    </xdr:from>
    <xdr:to>
      <xdr:col>18</xdr:col>
      <xdr:colOff>0</xdr:colOff>
      <xdr:row>368</xdr:row>
      <xdr:rowOff>180977</xdr:rowOff>
    </xdr:to>
    <xdr:cxnSp macro="">
      <xdr:nvCxnSpPr>
        <xdr:cNvPr id="864" name="Straight Connector 863">
          <a:extLst>
            <a:ext uri="{FF2B5EF4-FFF2-40B4-BE49-F238E27FC236}">
              <a16:creationId xmlns:a16="http://schemas.microsoft.com/office/drawing/2014/main" id="{00000000-0008-0000-0F00-000060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365</xdr:row>
      <xdr:rowOff>180975</xdr:rowOff>
    </xdr:from>
    <xdr:to>
      <xdr:col>12</xdr:col>
      <xdr:colOff>0</xdr:colOff>
      <xdr:row>365</xdr:row>
      <xdr:rowOff>180977</xdr:rowOff>
    </xdr:to>
    <xdr:cxnSp macro="">
      <xdr:nvCxnSpPr>
        <xdr:cNvPr id="865" name="Straight Connector 864">
          <a:extLst>
            <a:ext uri="{FF2B5EF4-FFF2-40B4-BE49-F238E27FC236}">
              <a16:creationId xmlns:a16="http://schemas.microsoft.com/office/drawing/2014/main" id="{00000000-0008-0000-0F00-00006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366</xdr:row>
      <xdr:rowOff>190500</xdr:rowOff>
    </xdr:from>
    <xdr:to>
      <xdr:col>12</xdr:col>
      <xdr:colOff>0</xdr:colOff>
      <xdr:row>366</xdr:row>
      <xdr:rowOff>190502</xdr:rowOff>
    </xdr:to>
    <xdr:cxnSp macro="">
      <xdr:nvCxnSpPr>
        <xdr:cNvPr id="866" name="Straight Connector 865">
          <a:extLst>
            <a:ext uri="{FF2B5EF4-FFF2-40B4-BE49-F238E27FC236}">
              <a16:creationId xmlns:a16="http://schemas.microsoft.com/office/drawing/2014/main" id="{00000000-0008-0000-0F00-00006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367</xdr:row>
      <xdr:rowOff>180975</xdr:rowOff>
    </xdr:from>
    <xdr:to>
      <xdr:col>11</xdr:col>
      <xdr:colOff>409575</xdr:colOff>
      <xdr:row>367</xdr:row>
      <xdr:rowOff>180977</xdr:rowOff>
    </xdr:to>
    <xdr:cxnSp macro="">
      <xdr:nvCxnSpPr>
        <xdr:cNvPr id="867" name="Straight Connector 866">
          <a:extLst>
            <a:ext uri="{FF2B5EF4-FFF2-40B4-BE49-F238E27FC236}">
              <a16:creationId xmlns:a16="http://schemas.microsoft.com/office/drawing/2014/main" id="{00000000-0008-0000-0F00-00006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368</xdr:row>
      <xdr:rowOff>180975</xdr:rowOff>
    </xdr:from>
    <xdr:to>
      <xdr:col>12</xdr:col>
      <xdr:colOff>0</xdr:colOff>
      <xdr:row>368</xdr:row>
      <xdr:rowOff>180977</xdr:rowOff>
    </xdr:to>
    <xdr:cxnSp macro="">
      <xdr:nvCxnSpPr>
        <xdr:cNvPr id="868" name="Straight Connector 867">
          <a:extLst>
            <a:ext uri="{FF2B5EF4-FFF2-40B4-BE49-F238E27FC236}">
              <a16:creationId xmlns:a16="http://schemas.microsoft.com/office/drawing/2014/main" id="{00000000-0008-0000-0F00-00006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365</xdr:row>
      <xdr:rowOff>180975</xdr:rowOff>
    </xdr:from>
    <xdr:to>
      <xdr:col>12</xdr:col>
      <xdr:colOff>0</xdr:colOff>
      <xdr:row>365</xdr:row>
      <xdr:rowOff>180977</xdr:rowOff>
    </xdr:to>
    <xdr:cxnSp macro="">
      <xdr:nvCxnSpPr>
        <xdr:cNvPr id="869" name="Straight Connector 868">
          <a:extLst>
            <a:ext uri="{FF2B5EF4-FFF2-40B4-BE49-F238E27FC236}">
              <a16:creationId xmlns:a16="http://schemas.microsoft.com/office/drawing/2014/main" id="{00000000-0008-0000-0F00-000065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366</xdr:row>
      <xdr:rowOff>190500</xdr:rowOff>
    </xdr:from>
    <xdr:to>
      <xdr:col>12</xdr:col>
      <xdr:colOff>0</xdr:colOff>
      <xdr:row>366</xdr:row>
      <xdr:rowOff>190502</xdr:rowOff>
    </xdr:to>
    <xdr:cxnSp macro="">
      <xdr:nvCxnSpPr>
        <xdr:cNvPr id="870" name="Straight Connector 869">
          <a:extLst>
            <a:ext uri="{FF2B5EF4-FFF2-40B4-BE49-F238E27FC236}">
              <a16:creationId xmlns:a16="http://schemas.microsoft.com/office/drawing/2014/main" id="{00000000-0008-0000-0F00-000066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367</xdr:row>
      <xdr:rowOff>180975</xdr:rowOff>
    </xdr:from>
    <xdr:to>
      <xdr:col>11</xdr:col>
      <xdr:colOff>409575</xdr:colOff>
      <xdr:row>367</xdr:row>
      <xdr:rowOff>180977</xdr:rowOff>
    </xdr:to>
    <xdr:cxnSp macro="">
      <xdr:nvCxnSpPr>
        <xdr:cNvPr id="871" name="Straight Connector 870">
          <a:extLst>
            <a:ext uri="{FF2B5EF4-FFF2-40B4-BE49-F238E27FC236}">
              <a16:creationId xmlns:a16="http://schemas.microsoft.com/office/drawing/2014/main" id="{00000000-0008-0000-0F00-000067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368</xdr:row>
      <xdr:rowOff>180975</xdr:rowOff>
    </xdr:from>
    <xdr:to>
      <xdr:col>12</xdr:col>
      <xdr:colOff>0</xdr:colOff>
      <xdr:row>368</xdr:row>
      <xdr:rowOff>180977</xdr:rowOff>
    </xdr:to>
    <xdr:cxnSp macro="">
      <xdr:nvCxnSpPr>
        <xdr:cNvPr id="872" name="Straight Connector 871">
          <a:extLst>
            <a:ext uri="{FF2B5EF4-FFF2-40B4-BE49-F238E27FC236}">
              <a16:creationId xmlns:a16="http://schemas.microsoft.com/office/drawing/2014/main" id="{00000000-0008-0000-0F00-000068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365</xdr:row>
      <xdr:rowOff>180975</xdr:rowOff>
    </xdr:from>
    <xdr:to>
      <xdr:col>18</xdr:col>
      <xdr:colOff>0</xdr:colOff>
      <xdr:row>365</xdr:row>
      <xdr:rowOff>180977</xdr:rowOff>
    </xdr:to>
    <xdr:cxnSp macro="">
      <xdr:nvCxnSpPr>
        <xdr:cNvPr id="873" name="Straight Connector 872">
          <a:extLst>
            <a:ext uri="{FF2B5EF4-FFF2-40B4-BE49-F238E27FC236}">
              <a16:creationId xmlns:a16="http://schemas.microsoft.com/office/drawing/2014/main" id="{00000000-0008-0000-0F00-000069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366</xdr:row>
      <xdr:rowOff>190500</xdr:rowOff>
    </xdr:from>
    <xdr:to>
      <xdr:col>18</xdr:col>
      <xdr:colOff>0</xdr:colOff>
      <xdr:row>366</xdr:row>
      <xdr:rowOff>190502</xdr:rowOff>
    </xdr:to>
    <xdr:cxnSp macro="">
      <xdr:nvCxnSpPr>
        <xdr:cNvPr id="874" name="Straight Connector 873">
          <a:extLst>
            <a:ext uri="{FF2B5EF4-FFF2-40B4-BE49-F238E27FC236}">
              <a16:creationId xmlns:a16="http://schemas.microsoft.com/office/drawing/2014/main" id="{00000000-0008-0000-0F00-00006A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367</xdr:row>
      <xdr:rowOff>180975</xdr:rowOff>
    </xdr:from>
    <xdr:to>
      <xdr:col>17</xdr:col>
      <xdr:colOff>409575</xdr:colOff>
      <xdr:row>367</xdr:row>
      <xdr:rowOff>180977</xdr:rowOff>
    </xdr:to>
    <xdr:cxnSp macro="">
      <xdr:nvCxnSpPr>
        <xdr:cNvPr id="875" name="Straight Connector 874">
          <a:extLst>
            <a:ext uri="{FF2B5EF4-FFF2-40B4-BE49-F238E27FC236}">
              <a16:creationId xmlns:a16="http://schemas.microsoft.com/office/drawing/2014/main" id="{00000000-0008-0000-0F00-00006B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368</xdr:row>
      <xdr:rowOff>180975</xdr:rowOff>
    </xdr:from>
    <xdr:to>
      <xdr:col>18</xdr:col>
      <xdr:colOff>0</xdr:colOff>
      <xdr:row>368</xdr:row>
      <xdr:rowOff>180977</xdr:rowOff>
    </xdr:to>
    <xdr:cxnSp macro="">
      <xdr:nvCxnSpPr>
        <xdr:cNvPr id="876" name="Straight Connector 875">
          <a:extLst>
            <a:ext uri="{FF2B5EF4-FFF2-40B4-BE49-F238E27FC236}">
              <a16:creationId xmlns:a16="http://schemas.microsoft.com/office/drawing/2014/main" id="{00000000-0008-0000-0F00-00006C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393</xdr:row>
      <xdr:rowOff>180975</xdr:rowOff>
    </xdr:from>
    <xdr:to>
      <xdr:col>6</xdr:col>
      <xdr:colOff>0</xdr:colOff>
      <xdr:row>393</xdr:row>
      <xdr:rowOff>180977</xdr:rowOff>
    </xdr:to>
    <xdr:cxnSp macro="">
      <xdr:nvCxnSpPr>
        <xdr:cNvPr id="877" name="Straight Connector 876">
          <a:extLst>
            <a:ext uri="{FF2B5EF4-FFF2-40B4-BE49-F238E27FC236}">
              <a16:creationId xmlns:a16="http://schemas.microsoft.com/office/drawing/2014/main" id="{00000000-0008-0000-0F00-00006D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394</xdr:row>
      <xdr:rowOff>190500</xdr:rowOff>
    </xdr:from>
    <xdr:to>
      <xdr:col>6</xdr:col>
      <xdr:colOff>0</xdr:colOff>
      <xdr:row>394</xdr:row>
      <xdr:rowOff>190502</xdr:rowOff>
    </xdr:to>
    <xdr:cxnSp macro="">
      <xdr:nvCxnSpPr>
        <xdr:cNvPr id="878" name="Straight Connector 877">
          <a:extLst>
            <a:ext uri="{FF2B5EF4-FFF2-40B4-BE49-F238E27FC236}">
              <a16:creationId xmlns:a16="http://schemas.microsoft.com/office/drawing/2014/main" id="{00000000-0008-0000-0F00-00006E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395</xdr:row>
      <xdr:rowOff>180975</xdr:rowOff>
    </xdr:from>
    <xdr:to>
      <xdr:col>5</xdr:col>
      <xdr:colOff>409575</xdr:colOff>
      <xdr:row>395</xdr:row>
      <xdr:rowOff>180977</xdr:rowOff>
    </xdr:to>
    <xdr:cxnSp macro="">
      <xdr:nvCxnSpPr>
        <xdr:cNvPr id="879" name="Straight Connector 878">
          <a:extLst>
            <a:ext uri="{FF2B5EF4-FFF2-40B4-BE49-F238E27FC236}">
              <a16:creationId xmlns:a16="http://schemas.microsoft.com/office/drawing/2014/main" id="{00000000-0008-0000-0F00-00006F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396</xdr:row>
      <xdr:rowOff>180975</xdr:rowOff>
    </xdr:from>
    <xdr:to>
      <xdr:col>6</xdr:col>
      <xdr:colOff>0</xdr:colOff>
      <xdr:row>396</xdr:row>
      <xdr:rowOff>180977</xdr:rowOff>
    </xdr:to>
    <xdr:cxnSp macro="">
      <xdr:nvCxnSpPr>
        <xdr:cNvPr id="880" name="Straight Connector 879">
          <a:extLst>
            <a:ext uri="{FF2B5EF4-FFF2-40B4-BE49-F238E27FC236}">
              <a16:creationId xmlns:a16="http://schemas.microsoft.com/office/drawing/2014/main" id="{00000000-0008-0000-0F00-000070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393</xdr:row>
      <xdr:rowOff>180975</xdr:rowOff>
    </xdr:from>
    <xdr:to>
      <xdr:col>12</xdr:col>
      <xdr:colOff>0</xdr:colOff>
      <xdr:row>393</xdr:row>
      <xdr:rowOff>180977</xdr:rowOff>
    </xdr:to>
    <xdr:cxnSp macro="">
      <xdr:nvCxnSpPr>
        <xdr:cNvPr id="881" name="Straight Connector 880">
          <a:extLst>
            <a:ext uri="{FF2B5EF4-FFF2-40B4-BE49-F238E27FC236}">
              <a16:creationId xmlns:a16="http://schemas.microsoft.com/office/drawing/2014/main" id="{00000000-0008-0000-0F00-00007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394</xdr:row>
      <xdr:rowOff>190500</xdr:rowOff>
    </xdr:from>
    <xdr:to>
      <xdr:col>12</xdr:col>
      <xdr:colOff>0</xdr:colOff>
      <xdr:row>394</xdr:row>
      <xdr:rowOff>190502</xdr:rowOff>
    </xdr:to>
    <xdr:cxnSp macro="">
      <xdr:nvCxnSpPr>
        <xdr:cNvPr id="882" name="Straight Connector 881">
          <a:extLst>
            <a:ext uri="{FF2B5EF4-FFF2-40B4-BE49-F238E27FC236}">
              <a16:creationId xmlns:a16="http://schemas.microsoft.com/office/drawing/2014/main" id="{00000000-0008-0000-0F00-00007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395</xdr:row>
      <xdr:rowOff>180975</xdr:rowOff>
    </xdr:from>
    <xdr:to>
      <xdr:col>11</xdr:col>
      <xdr:colOff>409575</xdr:colOff>
      <xdr:row>395</xdr:row>
      <xdr:rowOff>180977</xdr:rowOff>
    </xdr:to>
    <xdr:cxnSp macro="">
      <xdr:nvCxnSpPr>
        <xdr:cNvPr id="883" name="Straight Connector 882">
          <a:extLst>
            <a:ext uri="{FF2B5EF4-FFF2-40B4-BE49-F238E27FC236}">
              <a16:creationId xmlns:a16="http://schemas.microsoft.com/office/drawing/2014/main" id="{00000000-0008-0000-0F00-00007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396</xdr:row>
      <xdr:rowOff>180975</xdr:rowOff>
    </xdr:from>
    <xdr:to>
      <xdr:col>12</xdr:col>
      <xdr:colOff>0</xdr:colOff>
      <xdr:row>396</xdr:row>
      <xdr:rowOff>180977</xdr:rowOff>
    </xdr:to>
    <xdr:cxnSp macro="">
      <xdr:nvCxnSpPr>
        <xdr:cNvPr id="884" name="Straight Connector 883">
          <a:extLst>
            <a:ext uri="{FF2B5EF4-FFF2-40B4-BE49-F238E27FC236}">
              <a16:creationId xmlns:a16="http://schemas.microsoft.com/office/drawing/2014/main" id="{00000000-0008-0000-0F00-00007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393</xdr:row>
      <xdr:rowOff>180975</xdr:rowOff>
    </xdr:from>
    <xdr:to>
      <xdr:col>18</xdr:col>
      <xdr:colOff>0</xdr:colOff>
      <xdr:row>393</xdr:row>
      <xdr:rowOff>180977</xdr:rowOff>
    </xdr:to>
    <xdr:cxnSp macro="">
      <xdr:nvCxnSpPr>
        <xdr:cNvPr id="885" name="Straight Connector 884">
          <a:extLst>
            <a:ext uri="{FF2B5EF4-FFF2-40B4-BE49-F238E27FC236}">
              <a16:creationId xmlns:a16="http://schemas.microsoft.com/office/drawing/2014/main" id="{00000000-0008-0000-0F00-000075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394</xdr:row>
      <xdr:rowOff>190500</xdr:rowOff>
    </xdr:from>
    <xdr:to>
      <xdr:col>18</xdr:col>
      <xdr:colOff>0</xdr:colOff>
      <xdr:row>394</xdr:row>
      <xdr:rowOff>190502</xdr:rowOff>
    </xdr:to>
    <xdr:cxnSp macro="">
      <xdr:nvCxnSpPr>
        <xdr:cNvPr id="886" name="Straight Connector 885">
          <a:extLst>
            <a:ext uri="{FF2B5EF4-FFF2-40B4-BE49-F238E27FC236}">
              <a16:creationId xmlns:a16="http://schemas.microsoft.com/office/drawing/2014/main" id="{00000000-0008-0000-0F00-000076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395</xdr:row>
      <xdr:rowOff>180975</xdr:rowOff>
    </xdr:from>
    <xdr:to>
      <xdr:col>17</xdr:col>
      <xdr:colOff>409575</xdr:colOff>
      <xdr:row>395</xdr:row>
      <xdr:rowOff>180977</xdr:rowOff>
    </xdr:to>
    <xdr:cxnSp macro="">
      <xdr:nvCxnSpPr>
        <xdr:cNvPr id="887" name="Straight Connector 886">
          <a:extLst>
            <a:ext uri="{FF2B5EF4-FFF2-40B4-BE49-F238E27FC236}">
              <a16:creationId xmlns:a16="http://schemas.microsoft.com/office/drawing/2014/main" id="{00000000-0008-0000-0F00-000077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396</xdr:row>
      <xdr:rowOff>180975</xdr:rowOff>
    </xdr:from>
    <xdr:to>
      <xdr:col>18</xdr:col>
      <xdr:colOff>0</xdr:colOff>
      <xdr:row>396</xdr:row>
      <xdr:rowOff>180977</xdr:rowOff>
    </xdr:to>
    <xdr:cxnSp macro="">
      <xdr:nvCxnSpPr>
        <xdr:cNvPr id="888" name="Straight Connector 887">
          <a:extLst>
            <a:ext uri="{FF2B5EF4-FFF2-40B4-BE49-F238E27FC236}">
              <a16:creationId xmlns:a16="http://schemas.microsoft.com/office/drawing/2014/main" id="{00000000-0008-0000-0F00-000078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393</xdr:row>
      <xdr:rowOff>180975</xdr:rowOff>
    </xdr:from>
    <xdr:to>
      <xdr:col>12</xdr:col>
      <xdr:colOff>0</xdr:colOff>
      <xdr:row>393</xdr:row>
      <xdr:rowOff>180977</xdr:rowOff>
    </xdr:to>
    <xdr:cxnSp macro="">
      <xdr:nvCxnSpPr>
        <xdr:cNvPr id="889" name="Straight Connector 888">
          <a:extLst>
            <a:ext uri="{FF2B5EF4-FFF2-40B4-BE49-F238E27FC236}">
              <a16:creationId xmlns:a16="http://schemas.microsoft.com/office/drawing/2014/main" id="{00000000-0008-0000-0F00-00007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394</xdr:row>
      <xdr:rowOff>190500</xdr:rowOff>
    </xdr:from>
    <xdr:to>
      <xdr:col>12</xdr:col>
      <xdr:colOff>0</xdr:colOff>
      <xdr:row>394</xdr:row>
      <xdr:rowOff>190502</xdr:rowOff>
    </xdr:to>
    <xdr:cxnSp macro="">
      <xdr:nvCxnSpPr>
        <xdr:cNvPr id="890" name="Straight Connector 889">
          <a:extLst>
            <a:ext uri="{FF2B5EF4-FFF2-40B4-BE49-F238E27FC236}">
              <a16:creationId xmlns:a16="http://schemas.microsoft.com/office/drawing/2014/main" id="{00000000-0008-0000-0F00-00007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395</xdr:row>
      <xdr:rowOff>180975</xdr:rowOff>
    </xdr:from>
    <xdr:to>
      <xdr:col>11</xdr:col>
      <xdr:colOff>409575</xdr:colOff>
      <xdr:row>395</xdr:row>
      <xdr:rowOff>180977</xdr:rowOff>
    </xdr:to>
    <xdr:cxnSp macro="">
      <xdr:nvCxnSpPr>
        <xdr:cNvPr id="891" name="Straight Connector 890">
          <a:extLst>
            <a:ext uri="{FF2B5EF4-FFF2-40B4-BE49-F238E27FC236}">
              <a16:creationId xmlns:a16="http://schemas.microsoft.com/office/drawing/2014/main" id="{00000000-0008-0000-0F00-00007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396</xdr:row>
      <xdr:rowOff>180975</xdr:rowOff>
    </xdr:from>
    <xdr:to>
      <xdr:col>12</xdr:col>
      <xdr:colOff>0</xdr:colOff>
      <xdr:row>396</xdr:row>
      <xdr:rowOff>180977</xdr:rowOff>
    </xdr:to>
    <xdr:cxnSp macro="">
      <xdr:nvCxnSpPr>
        <xdr:cNvPr id="892" name="Straight Connector 891">
          <a:extLst>
            <a:ext uri="{FF2B5EF4-FFF2-40B4-BE49-F238E27FC236}">
              <a16:creationId xmlns:a16="http://schemas.microsoft.com/office/drawing/2014/main" id="{00000000-0008-0000-0F00-00007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393</xdr:row>
      <xdr:rowOff>180975</xdr:rowOff>
    </xdr:from>
    <xdr:to>
      <xdr:col>12</xdr:col>
      <xdr:colOff>0</xdr:colOff>
      <xdr:row>393</xdr:row>
      <xdr:rowOff>180977</xdr:rowOff>
    </xdr:to>
    <xdr:cxnSp macro="">
      <xdr:nvCxnSpPr>
        <xdr:cNvPr id="893" name="Straight Connector 892">
          <a:extLst>
            <a:ext uri="{FF2B5EF4-FFF2-40B4-BE49-F238E27FC236}">
              <a16:creationId xmlns:a16="http://schemas.microsoft.com/office/drawing/2014/main" id="{00000000-0008-0000-0F00-00007D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394</xdr:row>
      <xdr:rowOff>190500</xdr:rowOff>
    </xdr:from>
    <xdr:to>
      <xdr:col>12</xdr:col>
      <xdr:colOff>0</xdr:colOff>
      <xdr:row>394</xdr:row>
      <xdr:rowOff>190502</xdr:rowOff>
    </xdr:to>
    <xdr:cxnSp macro="">
      <xdr:nvCxnSpPr>
        <xdr:cNvPr id="894" name="Straight Connector 893">
          <a:extLst>
            <a:ext uri="{FF2B5EF4-FFF2-40B4-BE49-F238E27FC236}">
              <a16:creationId xmlns:a16="http://schemas.microsoft.com/office/drawing/2014/main" id="{00000000-0008-0000-0F00-00007E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395</xdr:row>
      <xdr:rowOff>180975</xdr:rowOff>
    </xdr:from>
    <xdr:to>
      <xdr:col>11</xdr:col>
      <xdr:colOff>409575</xdr:colOff>
      <xdr:row>395</xdr:row>
      <xdr:rowOff>180977</xdr:rowOff>
    </xdr:to>
    <xdr:cxnSp macro="">
      <xdr:nvCxnSpPr>
        <xdr:cNvPr id="895" name="Straight Connector 894">
          <a:extLst>
            <a:ext uri="{FF2B5EF4-FFF2-40B4-BE49-F238E27FC236}">
              <a16:creationId xmlns:a16="http://schemas.microsoft.com/office/drawing/2014/main" id="{00000000-0008-0000-0F00-00007F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396</xdr:row>
      <xdr:rowOff>180975</xdr:rowOff>
    </xdr:from>
    <xdr:to>
      <xdr:col>12</xdr:col>
      <xdr:colOff>0</xdr:colOff>
      <xdr:row>396</xdr:row>
      <xdr:rowOff>180977</xdr:rowOff>
    </xdr:to>
    <xdr:cxnSp macro="">
      <xdr:nvCxnSpPr>
        <xdr:cNvPr id="896" name="Straight Connector 895">
          <a:extLst>
            <a:ext uri="{FF2B5EF4-FFF2-40B4-BE49-F238E27FC236}">
              <a16:creationId xmlns:a16="http://schemas.microsoft.com/office/drawing/2014/main" id="{00000000-0008-0000-0F00-000080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393</xdr:row>
      <xdr:rowOff>180975</xdr:rowOff>
    </xdr:from>
    <xdr:to>
      <xdr:col>18</xdr:col>
      <xdr:colOff>0</xdr:colOff>
      <xdr:row>393</xdr:row>
      <xdr:rowOff>180977</xdr:rowOff>
    </xdr:to>
    <xdr:cxnSp macro="">
      <xdr:nvCxnSpPr>
        <xdr:cNvPr id="897" name="Straight Connector 896">
          <a:extLst>
            <a:ext uri="{FF2B5EF4-FFF2-40B4-BE49-F238E27FC236}">
              <a16:creationId xmlns:a16="http://schemas.microsoft.com/office/drawing/2014/main" id="{00000000-0008-0000-0F00-000081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394</xdr:row>
      <xdr:rowOff>190500</xdr:rowOff>
    </xdr:from>
    <xdr:to>
      <xdr:col>18</xdr:col>
      <xdr:colOff>0</xdr:colOff>
      <xdr:row>394</xdr:row>
      <xdr:rowOff>190502</xdr:rowOff>
    </xdr:to>
    <xdr:cxnSp macro="">
      <xdr:nvCxnSpPr>
        <xdr:cNvPr id="898" name="Straight Connector 897">
          <a:extLst>
            <a:ext uri="{FF2B5EF4-FFF2-40B4-BE49-F238E27FC236}">
              <a16:creationId xmlns:a16="http://schemas.microsoft.com/office/drawing/2014/main" id="{00000000-0008-0000-0F00-000082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395</xdr:row>
      <xdr:rowOff>180975</xdr:rowOff>
    </xdr:from>
    <xdr:to>
      <xdr:col>17</xdr:col>
      <xdr:colOff>409575</xdr:colOff>
      <xdr:row>395</xdr:row>
      <xdr:rowOff>180977</xdr:rowOff>
    </xdr:to>
    <xdr:cxnSp macro="">
      <xdr:nvCxnSpPr>
        <xdr:cNvPr id="899" name="Straight Connector 898">
          <a:extLst>
            <a:ext uri="{FF2B5EF4-FFF2-40B4-BE49-F238E27FC236}">
              <a16:creationId xmlns:a16="http://schemas.microsoft.com/office/drawing/2014/main" id="{00000000-0008-0000-0F00-000083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396</xdr:row>
      <xdr:rowOff>180975</xdr:rowOff>
    </xdr:from>
    <xdr:to>
      <xdr:col>18</xdr:col>
      <xdr:colOff>0</xdr:colOff>
      <xdr:row>396</xdr:row>
      <xdr:rowOff>180977</xdr:rowOff>
    </xdr:to>
    <xdr:cxnSp macro="">
      <xdr:nvCxnSpPr>
        <xdr:cNvPr id="900" name="Straight Connector 899">
          <a:extLst>
            <a:ext uri="{FF2B5EF4-FFF2-40B4-BE49-F238E27FC236}">
              <a16:creationId xmlns:a16="http://schemas.microsoft.com/office/drawing/2014/main" id="{00000000-0008-0000-0F00-000084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422</xdr:row>
      <xdr:rowOff>180975</xdr:rowOff>
    </xdr:from>
    <xdr:to>
      <xdr:col>6</xdr:col>
      <xdr:colOff>0</xdr:colOff>
      <xdr:row>422</xdr:row>
      <xdr:rowOff>180977</xdr:rowOff>
    </xdr:to>
    <xdr:cxnSp macro="">
      <xdr:nvCxnSpPr>
        <xdr:cNvPr id="901" name="Straight Connector 900">
          <a:extLst>
            <a:ext uri="{FF2B5EF4-FFF2-40B4-BE49-F238E27FC236}">
              <a16:creationId xmlns:a16="http://schemas.microsoft.com/office/drawing/2014/main" id="{00000000-0008-0000-0F00-000085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423</xdr:row>
      <xdr:rowOff>190500</xdr:rowOff>
    </xdr:from>
    <xdr:to>
      <xdr:col>6</xdr:col>
      <xdr:colOff>0</xdr:colOff>
      <xdr:row>423</xdr:row>
      <xdr:rowOff>190502</xdr:rowOff>
    </xdr:to>
    <xdr:cxnSp macro="">
      <xdr:nvCxnSpPr>
        <xdr:cNvPr id="902" name="Straight Connector 901">
          <a:extLst>
            <a:ext uri="{FF2B5EF4-FFF2-40B4-BE49-F238E27FC236}">
              <a16:creationId xmlns:a16="http://schemas.microsoft.com/office/drawing/2014/main" id="{00000000-0008-0000-0F00-000086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424</xdr:row>
      <xdr:rowOff>180975</xdr:rowOff>
    </xdr:from>
    <xdr:to>
      <xdr:col>5</xdr:col>
      <xdr:colOff>409575</xdr:colOff>
      <xdr:row>424</xdr:row>
      <xdr:rowOff>180977</xdr:rowOff>
    </xdr:to>
    <xdr:cxnSp macro="">
      <xdr:nvCxnSpPr>
        <xdr:cNvPr id="903" name="Straight Connector 902">
          <a:extLst>
            <a:ext uri="{FF2B5EF4-FFF2-40B4-BE49-F238E27FC236}">
              <a16:creationId xmlns:a16="http://schemas.microsoft.com/office/drawing/2014/main" id="{00000000-0008-0000-0F00-000087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425</xdr:row>
      <xdr:rowOff>180975</xdr:rowOff>
    </xdr:from>
    <xdr:to>
      <xdr:col>6</xdr:col>
      <xdr:colOff>0</xdr:colOff>
      <xdr:row>425</xdr:row>
      <xdr:rowOff>180977</xdr:rowOff>
    </xdr:to>
    <xdr:cxnSp macro="">
      <xdr:nvCxnSpPr>
        <xdr:cNvPr id="904" name="Straight Connector 903">
          <a:extLst>
            <a:ext uri="{FF2B5EF4-FFF2-40B4-BE49-F238E27FC236}">
              <a16:creationId xmlns:a16="http://schemas.microsoft.com/office/drawing/2014/main" id="{00000000-0008-0000-0F00-000088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422</xdr:row>
      <xdr:rowOff>180975</xdr:rowOff>
    </xdr:from>
    <xdr:to>
      <xdr:col>12</xdr:col>
      <xdr:colOff>0</xdr:colOff>
      <xdr:row>422</xdr:row>
      <xdr:rowOff>180977</xdr:rowOff>
    </xdr:to>
    <xdr:cxnSp macro="">
      <xdr:nvCxnSpPr>
        <xdr:cNvPr id="905" name="Straight Connector 904">
          <a:extLst>
            <a:ext uri="{FF2B5EF4-FFF2-40B4-BE49-F238E27FC236}">
              <a16:creationId xmlns:a16="http://schemas.microsoft.com/office/drawing/2014/main" id="{00000000-0008-0000-0F00-00008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423</xdr:row>
      <xdr:rowOff>190500</xdr:rowOff>
    </xdr:from>
    <xdr:to>
      <xdr:col>12</xdr:col>
      <xdr:colOff>0</xdr:colOff>
      <xdr:row>423</xdr:row>
      <xdr:rowOff>190502</xdr:rowOff>
    </xdr:to>
    <xdr:cxnSp macro="">
      <xdr:nvCxnSpPr>
        <xdr:cNvPr id="906" name="Straight Connector 905">
          <a:extLst>
            <a:ext uri="{FF2B5EF4-FFF2-40B4-BE49-F238E27FC236}">
              <a16:creationId xmlns:a16="http://schemas.microsoft.com/office/drawing/2014/main" id="{00000000-0008-0000-0F00-00008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424</xdr:row>
      <xdr:rowOff>180975</xdr:rowOff>
    </xdr:from>
    <xdr:to>
      <xdr:col>11</xdr:col>
      <xdr:colOff>409575</xdr:colOff>
      <xdr:row>424</xdr:row>
      <xdr:rowOff>180977</xdr:rowOff>
    </xdr:to>
    <xdr:cxnSp macro="">
      <xdr:nvCxnSpPr>
        <xdr:cNvPr id="907" name="Straight Connector 906">
          <a:extLst>
            <a:ext uri="{FF2B5EF4-FFF2-40B4-BE49-F238E27FC236}">
              <a16:creationId xmlns:a16="http://schemas.microsoft.com/office/drawing/2014/main" id="{00000000-0008-0000-0F00-00008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425</xdr:row>
      <xdr:rowOff>180975</xdr:rowOff>
    </xdr:from>
    <xdr:to>
      <xdr:col>12</xdr:col>
      <xdr:colOff>0</xdr:colOff>
      <xdr:row>425</xdr:row>
      <xdr:rowOff>180977</xdr:rowOff>
    </xdr:to>
    <xdr:cxnSp macro="">
      <xdr:nvCxnSpPr>
        <xdr:cNvPr id="908" name="Straight Connector 907">
          <a:extLst>
            <a:ext uri="{FF2B5EF4-FFF2-40B4-BE49-F238E27FC236}">
              <a16:creationId xmlns:a16="http://schemas.microsoft.com/office/drawing/2014/main" id="{00000000-0008-0000-0F00-00008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422</xdr:row>
      <xdr:rowOff>180975</xdr:rowOff>
    </xdr:from>
    <xdr:to>
      <xdr:col>18</xdr:col>
      <xdr:colOff>0</xdr:colOff>
      <xdr:row>422</xdr:row>
      <xdr:rowOff>180977</xdr:rowOff>
    </xdr:to>
    <xdr:cxnSp macro="">
      <xdr:nvCxnSpPr>
        <xdr:cNvPr id="909" name="Straight Connector 908">
          <a:extLst>
            <a:ext uri="{FF2B5EF4-FFF2-40B4-BE49-F238E27FC236}">
              <a16:creationId xmlns:a16="http://schemas.microsoft.com/office/drawing/2014/main" id="{00000000-0008-0000-0F00-00008D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423</xdr:row>
      <xdr:rowOff>190500</xdr:rowOff>
    </xdr:from>
    <xdr:to>
      <xdr:col>18</xdr:col>
      <xdr:colOff>0</xdr:colOff>
      <xdr:row>423</xdr:row>
      <xdr:rowOff>190502</xdr:rowOff>
    </xdr:to>
    <xdr:cxnSp macro="">
      <xdr:nvCxnSpPr>
        <xdr:cNvPr id="910" name="Straight Connector 909">
          <a:extLst>
            <a:ext uri="{FF2B5EF4-FFF2-40B4-BE49-F238E27FC236}">
              <a16:creationId xmlns:a16="http://schemas.microsoft.com/office/drawing/2014/main" id="{00000000-0008-0000-0F00-00008E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424</xdr:row>
      <xdr:rowOff>180975</xdr:rowOff>
    </xdr:from>
    <xdr:to>
      <xdr:col>17</xdr:col>
      <xdr:colOff>409575</xdr:colOff>
      <xdr:row>424</xdr:row>
      <xdr:rowOff>180977</xdr:rowOff>
    </xdr:to>
    <xdr:cxnSp macro="">
      <xdr:nvCxnSpPr>
        <xdr:cNvPr id="911" name="Straight Connector 910">
          <a:extLst>
            <a:ext uri="{FF2B5EF4-FFF2-40B4-BE49-F238E27FC236}">
              <a16:creationId xmlns:a16="http://schemas.microsoft.com/office/drawing/2014/main" id="{00000000-0008-0000-0F00-00008F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425</xdr:row>
      <xdr:rowOff>180975</xdr:rowOff>
    </xdr:from>
    <xdr:to>
      <xdr:col>18</xdr:col>
      <xdr:colOff>0</xdr:colOff>
      <xdr:row>425</xdr:row>
      <xdr:rowOff>180977</xdr:rowOff>
    </xdr:to>
    <xdr:cxnSp macro="">
      <xdr:nvCxnSpPr>
        <xdr:cNvPr id="912" name="Straight Connector 911">
          <a:extLst>
            <a:ext uri="{FF2B5EF4-FFF2-40B4-BE49-F238E27FC236}">
              <a16:creationId xmlns:a16="http://schemas.microsoft.com/office/drawing/2014/main" id="{00000000-0008-0000-0F00-000090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422</xdr:row>
      <xdr:rowOff>180975</xdr:rowOff>
    </xdr:from>
    <xdr:to>
      <xdr:col>12</xdr:col>
      <xdr:colOff>0</xdr:colOff>
      <xdr:row>422</xdr:row>
      <xdr:rowOff>180977</xdr:rowOff>
    </xdr:to>
    <xdr:cxnSp macro="">
      <xdr:nvCxnSpPr>
        <xdr:cNvPr id="913" name="Straight Connector 912">
          <a:extLst>
            <a:ext uri="{FF2B5EF4-FFF2-40B4-BE49-F238E27FC236}">
              <a16:creationId xmlns:a16="http://schemas.microsoft.com/office/drawing/2014/main" id="{00000000-0008-0000-0F00-00009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423</xdr:row>
      <xdr:rowOff>190500</xdr:rowOff>
    </xdr:from>
    <xdr:to>
      <xdr:col>12</xdr:col>
      <xdr:colOff>0</xdr:colOff>
      <xdr:row>423</xdr:row>
      <xdr:rowOff>190502</xdr:rowOff>
    </xdr:to>
    <xdr:cxnSp macro="">
      <xdr:nvCxnSpPr>
        <xdr:cNvPr id="914" name="Straight Connector 913">
          <a:extLst>
            <a:ext uri="{FF2B5EF4-FFF2-40B4-BE49-F238E27FC236}">
              <a16:creationId xmlns:a16="http://schemas.microsoft.com/office/drawing/2014/main" id="{00000000-0008-0000-0F00-00009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424</xdr:row>
      <xdr:rowOff>180975</xdr:rowOff>
    </xdr:from>
    <xdr:to>
      <xdr:col>11</xdr:col>
      <xdr:colOff>409575</xdr:colOff>
      <xdr:row>424</xdr:row>
      <xdr:rowOff>180977</xdr:rowOff>
    </xdr:to>
    <xdr:cxnSp macro="">
      <xdr:nvCxnSpPr>
        <xdr:cNvPr id="915" name="Straight Connector 914">
          <a:extLst>
            <a:ext uri="{FF2B5EF4-FFF2-40B4-BE49-F238E27FC236}">
              <a16:creationId xmlns:a16="http://schemas.microsoft.com/office/drawing/2014/main" id="{00000000-0008-0000-0F00-00009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425</xdr:row>
      <xdr:rowOff>180975</xdr:rowOff>
    </xdr:from>
    <xdr:to>
      <xdr:col>12</xdr:col>
      <xdr:colOff>0</xdr:colOff>
      <xdr:row>425</xdr:row>
      <xdr:rowOff>180977</xdr:rowOff>
    </xdr:to>
    <xdr:cxnSp macro="">
      <xdr:nvCxnSpPr>
        <xdr:cNvPr id="916" name="Straight Connector 915">
          <a:extLst>
            <a:ext uri="{FF2B5EF4-FFF2-40B4-BE49-F238E27FC236}">
              <a16:creationId xmlns:a16="http://schemas.microsoft.com/office/drawing/2014/main" id="{00000000-0008-0000-0F00-00009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422</xdr:row>
      <xdr:rowOff>180975</xdr:rowOff>
    </xdr:from>
    <xdr:to>
      <xdr:col>12</xdr:col>
      <xdr:colOff>0</xdr:colOff>
      <xdr:row>422</xdr:row>
      <xdr:rowOff>180977</xdr:rowOff>
    </xdr:to>
    <xdr:cxnSp macro="">
      <xdr:nvCxnSpPr>
        <xdr:cNvPr id="917" name="Straight Connector 916">
          <a:extLst>
            <a:ext uri="{FF2B5EF4-FFF2-40B4-BE49-F238E27FC236}">
              <a16:creationId xmlns:a16="http://schemas.microsoft.com/office/drawing/2014/main" id="{00000000-0008-0000-0F00-000095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423</xdr:row>
      <xdr:rowOff>190500</xdr:rowOff>
    </xdr:from>
    <xdr:to>
      <xdr:col>12</xdr:col>
      <xdr:colOff>0</xdr:colOff>
      <xdr:row>423</xdr:row>
      <xdr:rowOff>190502</xdr:rowOff>
    </xdr:to>
    <xdr:cxnSp macro="">
      <xdr:nvCxnSpPr>
        <xdr:cNvPr id="918" name="Straight Connector 917">
          <a:extLst>
            <a:ext uri="{FF2B5EF4-FFF2-40B4-BE49-F238E27FC236}">
              <a16:creationId xmlns:a16="http://schemas.microsoft.com/office/drawing/2014/main" id="{00000000-0008-0000-0F00-000096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424</xdr:row>
      <xdr:rowOff>180975</xdr:rowOff>
    </xdr:from>
    <xdr:to>
      <xdr:col>11</xdr:col>
      <xdr:colOff>409575</xdr:colOff>
      <xdr:row>424</xdr:row>
      <xdr:rowOff>180977</xdr:rowOff>
    </xdr:to>
    <xdr:cxnSp macro="">
      <xdr:nvCxnSpPr>
        <xdr:cNvPr id="919" name="Straight Connector 918">
          <a:extLst>
            <a:ext uri="{FF2B5EF4-FFF2-40B4-BE49-F238E27FC236}">
              <a16:creationId xmlns:a16="http://schemas.microsoft.com/office/drawing/2014/main" id="{00000000-0008-0000-0F00-000097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425</xdr:row>
      <xdr:rowOff>180975</xdr:rowOff>
    </xdr:from>
    <xdr:to>
      <xdr:col>12</xdr:col>
      <xdr:colOff>0</xdr:colOff>
      <xdr:row>425</xdr:row>
      <xdr:rowOff>180977</xdr:rowOff>
    </xdr:to>
    <xdr:cxnSp macro="">
      <xdr:nvCxnSpPr>
        <xdr:cNvPr id="920" name="Straight Connector 919">
          <a:extLst>
            <a:ext uri="{FF2B5EF4-FFF2-40B4-BE49-F238E27FC236}">
              <a16:creationId xmlns:a16="http://schemas.microsoft.com/office/drawing/2014/main" id="{00000000-0008-0000-0F00-000098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422</xdr:row>
      <xdr:rowOff>180975</xdr:rowOff>
    </xdr:from>
    <xdr:to>
      <xdr:col>18</xdr:col>
      <xdr:colOff>0</xdr:colOff>
      <xdr:row>422</xdr:row>
      <xdr:rowOff>180977</xdr:rowOff>
    </xdr:to>
    <xdr:cxnSp macro="">
      <xdr:nvCxnSpPr>
        <xdr:cNvPr id="921" name="Straight Connector 920">
          <a:extLst>
            <a:ext uri="{FF2B5EF4-FFF2-40B4-BE49-F238E27FC236}">
              <a16:creationId xmlns:a16="http://schemas.microsoft.com/office/drawing/2014/main" id="{00000000-0008-0000-0F00-000099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423</xdr:row>
      <xdr:rowOff>190500</xdr:rowOff>
    </xdr:from>
    <xdr:to>
      <xdr:col>18</xdr:col>
      <xdr:colOff>0</xdr:colOff>
      <xdr:row>423</xdr:row>
      <xdr:rowOff>190502</xdr:rowOff>
    </xdr:to>
    <xdr:cxnSp macro="">
      <xdr:nvCxnSpPr>
        <xdr:cNvPr id="922" name="Straight Connector 921">
          <a:extLst>
            <a:ext uri="{FF2B5EF4-FFF2-40B4-BE49-F238E27FC236}">
              <a16:creationId xmlns:a16="http://schemas.microsoft.com/office/drawing/2014/main" id="{00000000-0008-0000-0F00-00009A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424</xdr:row>
      <xdr:rowOff>180975</xdr:rowOff>
    </xdr:from>
    <xdr:to>
      <xdr:col>17</xdr:col>
      <xdr:colOff>409575</xdr:colOff>
      <xdr:row>424</xdr:row>
      <xdr:rowOff>180977</xdr:rowOff>
    </xdr:to>
    <xdr:cxnSp macro="">
      <xdr:nvCxnSpPr>
        <xdr:cNvPr id="923" name="Straight Connector 922">
          <a:extLst>
            <a:ext uri="{FF2B5EF4-FFF2-40B4-BE49-F238E27FC236}">
              <a16:creationId xmlns:a16="http://schemas.microsoft.com/office/drawing/2014/main" id="{00000000-0008-0000-0F00-00009B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425</xdr:row>
      <xdr:rowOff>180975</xdr:rowOff>
    </xdr:from>
    <xdr:to>
      <xdr:col>18</xdr:col>
      <xdr:colOff>0</xdr:colOff>
      <xdr:row>425</xdr:row>
      <xdr:rowOff>180977</xdr:rowOff>
    </xdr:to>
    <xdr:cxnSp macro="">
      <xdr:nvCxnSpPr>
        <xdr:cNvPr id="924" name="Straight Connector 923">
          <a:extLst>
            <a:ext uri="{FF2B5EF4-FFF2-40B4-BE49-F238E27FC236}">
              <a16:creationId xmlns:a16="http://schemas.microsoft.com/office/drawing/2014/main" id="{00000000-0008-0000-0F00-00009C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450</xdr:row>
      <xdr:rowOff>180975</xdr:rowOff>
    </xdr:from>
    <xdr:to>
      <xdr:col>6</xdr:col>
      <xdr:colOff>0</xdr:colOff>
      <xdr:row>450</xdr:row>
      <xdr:rowOff>180977</xdr:rowOff>
    </xdr:to>
    <xdr:cxnSp macro="">
      <xdr:nvCxnSpPr>
        <xdr:cNvPr id="925" name="Straight Connector 924">
          <a:extLst>
            <a:ext uri="{FF2B5EF4-FFF2-40B4-BE49-F238E27FC236}">
              <a16:creationId xmlns:a16="http://schemas.microsoft.com/office/drawing/2014/main" id="{00000000-0008-0000-0F00-00009D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451</xdr:row>
      <xdr:rowOff>190500</xdr:rowOff>
    </xdr:from>
    <xdr:to>
      <xdr:col>6</xdr:col>
      <xdr:colOff>0</xdr:colOff>
      <xdr:row>451</xdr:row>
      <xdr:rowOff>190502</xdr:rowOff>
    </xdr:to>
    <xdr:cxnSp macro="">
      <xdr:nvCxnSpPr>
        <xdr:cNvPr id="926" name="Straight Connector 925">
          <a:extLst>
            <a:ext uri="{FF2B5EF4-FFF2-40B4-BE49-F238E27FC236}">
              <a16:creationId xmlns:a16="http://schemas.microsoft.com/office/drawing/2014/main" id="{00000000-0008-0000-0F00-00009E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452</xdr:row>
      <xdr:rowOff>180975</xdr:rowOff>
    </xdr:from>
    <xdr:to>
      <xdr:col>5</xdr:col>
      <xdr:colOff>409575</xdr:colOff>
      <xdr:row>452</xdr:row>
      <xdr:rowOff>180977</xdr:rowOff>
    </xdr:to>
    <xdr:cxnSp macro="">
      <xdr:nvCxnSpPr>
        <xdr:cNvPr id="927" name="Straight Connector 926">
          <a:extLst>
            <a:ext uri="{FF2B5EF4-FFF2-40B4-BE49-F238E27FC236}">
              <a16:creationId xmlns:a16="http://schemas.microsoft.com/office/drawing/2014/main" id="{00000000-0008-0000-0F00-00009F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453</xdr:row>
      <xdr:rowOff>180975</xdr:rowOff>
    </xdr:from>
    <xdr:to>
      <xdr:col>6</xdr:col>
      <xdr:colOff>0</xdr:colOff>
      <xdr:row>453</xdr:row>
      <xdr:rowOff>180977</xdr:rowOff>
    </xdr:to>
    <xdr:cxnSp macro="">
      <xdr:nvCxnSpPr>
        <xdr:cNvPr id="928" name="Straight Connector 927">
          <a:extLst>
            <a:ext uri="{FF2B5EF4-FFF2-40B4-BE49-F238E27FC236}">
              <a16:creationId xmlns:a16="http://schemas.microsoft.com/office/drawing/2014/main" id="{00000000-0008-0000-0F00-0000A0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450</xdr:row>
      <xdr:rowOff>180975</xdr:rowOff>
    </xdr:from>
    <xdr:to>
      <xdr:col>12</xdr:col>
      <xdr:colOff>0</xdr:colOff>
      <xdr:row>450</xdr:row>
      <xdr:rowOff>180977</xdr:rowOff>
    </xdr:to>
    <xdr:cxnSp macro="">
      <xdr:nvCxnSpPr>
        <xdr:cNvPr id="929" name="Straight Connector 928">
          <a:extLst>
            <a:ext uri="{FF2B5EF4-FFF2-40B4-BE49-F238E27FC236}">
              <a16:creationId xmlns:a16="http://schemas.microsoft.com/office/drawing/2014/main" id="{00000000-0008-0000-0F00-0000A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451</xdr:row>
      <xdr:rowOff>190500</xdr:rowOff>
    </xdr:from>
    <xdr:to>
      <xdr:col>12</xdr:col>
      <xdr:colOff>0</xdr:colOff>
      <xdr:row>451</xdr:row>
      <xdr:rowOff>190502</xdr:rowOff>
    </xdr:to>
    <xdr:cxnSp macro="">
      <xdr:nvCxnSpPr>
        <xdr:cNvPr id="930" name="Straight Connector 929">
          <a:extLst>
            <a:ext uri="{FF2B5EF4-FFF2-40B4-BE49-F238E27FC236}">
              <a16:creationId xmlns:a16="http://schemas.microsoft.com/office/drawing/2014/main" id="{00000000-0008-0000-0F00-0000A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452</xdr:row>
      <xdr:rowOff>180975</xdr:rowOff>
    </xdr:from>
    <xdr:to>
      <xdr:col>11</xdr:col>
      <xdr:colOff>409575</xdr:colOff>
      <xdr:row>452</xdr:row>
      <xdr:rowOff>180977</xdr:rowOff>
    </xdr:to>
    <xdr:cxnSp macro="">
      <xdr:nvCxnSpPr>
        <xdr:cNvPr id="931" name="Straight Connector 930">
          <a:extLst>
            <a:ext uri="{FF2B5EF4-FFF2-40B4-BE49-F238E27FC236}">
              <a16:creationId xmlns:a16="http://schemas.microsoft.com/office/drawing/2014/main" id="{00000000-0008-0000-0F00-0000A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453</xdr:row>
      <xdr:rowOff>180975</xdr:rowOff>
    </xdr:from>
    <xdr:to>
      <xdr:col>12</xdr:col>
      <xdr:colOff>0</xdr:colOff>
      <xdr:row>453</xdr:row>
      <xdr:rowOff>180977</xdr:rowOff>
    </xdr:to>
    <xdr:cxnSp macro="">
      <xdr:nvCxnSpPr>
        <xdr:cNvPr id="932" name="Straight Connector 931">
          <a:extLst>
            <a:ext uri="{FF2B5EF4-FFF2-40B4-BE49-F238E27FC236}">
              <a16:creationId xmlns:a16="http://schemas.microsoft.com/office/drawing/2014/main" id="{00000000-0008-0000-0F00-0000A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450</xdr:row>
      <xdr:rowOff>180975</xdr:rowOff>
    </xdr:from>
    <xdr:to>
      <xdr:col>18</xdr:col>
      <xdr:colOff>0</xdr:colOff>
      <xdr:row>450</xdr:row>
      <xdr:rowOff>180977</xdr:rowOff>
    </xdr:to>
    <xdr:cxnSp macro="">
      <xdr:nvCxnSpPr>
        <xdr:cNvPr id="933" name="Straight Connector 932">
          <a:extLst>
            <a:ext uri="{FF2B5EF4-FFF2-40B4-BE49-F238E27FC236}">
              <a16:creationId xmlns:a16="http://schemas.microsoft.com/office/drawing/2014/main" id="{00000000-0008-0000-0F00-0000A5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451</xdr:row>
      <xdr:rowOff>190500</xdr:rowOff>
    </xdr:from>
    <xdr:to>
      <xdr:col>18</xdr:col>
      <xdr:colOff>0</xdr:colOff>
      <xdr:row>451</xdr:row>
      <xdr:rowOff>190502</xdr:rowOff>
    </xdr:to>
    <xdr:cxnSp macro="">
      <xdr:nvCxnSpPr>
        <xdr:cNvPr id="934" name="Straight Connector 933">
          <a:extLst>
            <a:ext uri="{FF2B5EF4-FFF2-40B4-BE49-F238E27FC236}">
              <a16:creationId xmlns:a16="http://schemas.microsoft.com/office/drawing/2014/main" id="{00000000-0008-0000-0F00-0000A6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452</xdr:row>
      <xdr:rowOff>180975</xdr:rowOff>
    </xdr:from>
    <xdr:to>
      <xdr:col>17</xdr:col>
      <xdr:colOff>409575</xdr:colOff>
      <xdr:row>452</xdr:row>
      <xdr:rowOff>180977</xdr:rowOff>
    </xdr:to>
    <xdr:cxnSp macro="">
      <xdr:nvCxnSpPr>
        <xdr:cNvPr id="935" name="Straight Connector 934">
          <a:extLst>
            <a:ext uri="{FF2B5EF4-FFF2-40B4-BE49-F238E27FC236}">
              <a16:creationId xmlns:a16="http://schemas.microsoft.com/office/drawing/2014/main" id="{00000000-0008-0000-0F00-0000A7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453</xdr:row>
      <xdr:rowOff>180975</xdr:rowOff>
    </xdr:from>
    <xdr:to>
      <xdr:col>18</xdr:col>
      <xdr:colOff>0</xdr:colOff>
      <xdr:row>453</xdr:row>
      <xdr:rowOff>180977</xdr:rowOff>
    </xdr:to>
    <xdr:cxnSp macro="">
      <xdr:nvCxnSpPr>
        <xdr:cNvPr id="936" name="Straight Connector 935">
          <a:extLst>
            <a:ext uri="{FF2B5EF4-FFF2-40B4-BE49-F238E27FC236}">
              <a16:creationId xmlns:a16="http://schemas.microsoft.com/office/drawing/2014/main" id="{00000000-0008-0000-0F00-0000A8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450</xdr:row>
      <xdr:rowOff>180975</xdr:rowOff>
    </xdr:from>
    <xdr:to>
      <xdr:col>12</xdr:col>
      <xdr:colOff>0</xdr:colOff>
      <xdr:row>450</xdr:row>
      <xdr:rowOff>180977</xdr:rowOff>
    </xdr:to>
    <xdr:cxnSp macro="">
      <xdr:nvCxnSpPr>
        <xdr:cNvPr id="937" name="Straight Connector 936">
          <a:extLst>
            <a:ext uri="{FF2B5EF4-FFF2-40B4-BE49-F238E27FC236}">
              <a16:creationId xmlns:a16="http://schemas.microsoft.com/office/drawing/2014/main" id="{00000000-0008-0000-0F00-0000A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451</xdr:row>
      <xdr:rowOff>190500</xdr:rowOff>
    </xdr:from>
    <xdr:to>
      <xdr:col>12</xdr:col>
      <xdr:colOff>0</xdr:colOff>
      <xdr:row>451</xdr:row>
      <xdr:rowOff>190502</xdr:rowOff>
    </xdr:to>
    <xdr:cxnSp macro="">
      <xdr:nvCxnSpPr>
        <xdr:cNvPr id="938" name="Straight Connector 937">
          <a:extLst>
            <a:ext uri="{FF2B5EF4-FFF2-40B4-BE49-F238E27FC236}">
              <a16:creationId xmlns:a16="http://schemas.microsoft.com/office/drawing/2014/main" id="{00000000-0008-0000-0F00-0000A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452</xdr:row>
      <xdr:rowOff>180975</xdr:rowOff>
    </xdr:from>
    <xdr:to>
      <xdr:col>11</xdr:col>
      <xdr:colOff>409575</xdr:colOff>
      <xdr:row>452</xdr:row>
      <xdr:rowOff>180977</xdr:rowOff>
    </xdr:to>
    <xdr:cxnSp macro="">
      <xdr:nvCxnSpPr>
        <xdr:cNvPr id="939" name="Straight Connector 938">
          <a:extLst>
            <a:ext uri="{FF2B5EF4-FFF2-40B4-BE49-F238E27FC236}">
              <a16:creationId xmlns:a16="http://schemas.microsoft.com/office/drawing/2014/main" id="{00000000-0008-0000-0F00-0000A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453</xdr:row>
      <xdr:rowOff>180975</xdr:rowOff>
    </xdr:from>
    <xdr:to>
      <xdr:col>12</xdr:col>
      <xdr:colOff>0</xdr:colOff>
      <xdr:row>453</xdr:row>
      <xdr:rowOff>180977</xdr:rowOff>
    </xdr:to>
    <xdr:cxnSp macro="">
      <xdr:nvCxnSpPr>
        <xdr:cNvPr id="940" name="Straight Connector 939">
          <a:extLst>
            <a:ext uri="{FF2B5EF4-FFF2-40B4-BE49-F238E27FC236}">
              <a16:creationId xmlns:a16="http://schemas.microsoft.com/office/drawing/2014/main" id="{00000000-0008-0000-0F00-0000A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450</xdr:row>
      <xdr:rowOff>180975</xdr:rowOff>
    </xdr:from>
    <xdr:to>
      <xdr:col>12</xdr:col>
      <xdr:colOff>0</xdr:colOff>
      <xdr:row>450</xdr:row>
      <xdr:rowOff>180977</xdr:rowOff>
    </xdr:to>
    <xdr:cxnSp macro="">
      <xdr:nvCxnSpPr>
        <xdr:cNvPr id="941" name="Straight Connector 940">
          <a:extLst>
            <a:ext uri="{FF2B5EF4-FFF2-40B4-BE49-F238E27FC236}">
              <a16:creationId xmlns:a16="http://schemas.microsoft.com/office/drawing/2014/main" id="{00000000-0008-0000-0F00-0000AD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451</xdr:row>
      <xdr:rowOff>190500</xdr:rowOff>
    </xdr:from>
    <xdr:to>
      <xdr:col>12</xdr:col>
      <xdr:colOff>0</xdr:colOff>
      <xdr:row>451</xdr:row>
      <xdr:rowOff>190502</xdr:rowOff>
    </xdr:to>
    <xdr:cxnSp macro="">
      <xdr:nvCxnSpPr>
        <xdr:cNvPr id="942" name="Straight Connector 941">
          <a:extLst>
            <a:ext uri="{FF2B5EF4-FFF2-40B4-BE49-F238E27FC236}">
              <a16:creationId xmlns:a16="http://schemas.microsoft.com/office/drawing/2014/main" id="{00000000-0008-0000-0F00-0000AE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452</xdr:row>
      <xdr:rowOff>180975</xdr:rowOff>
    </xdr:from>
    <xdr:to>
      <xdr:col>11</xdr:col>
      <xdr:colOff>409575</xdr:colOff>
      <xdr:row>452</xdr:row>
      <xdr:rowOff>180977</xdr:rowOff>
    </xdr:to>
    <xdr:cxnSp macro="">
      <xdr:nvCxnSpPr>
        <xdr:cNvPr id="943" name="Straight Connector 942">
          <a:extLst>
            <a:ext uri="{FF2B5EF4-FFF2-40B4-BE49-F238E27FC236}">
              <a16:creationId xmlns:a16="http://schemas.microsoft.com/office/drawing/2014/main" id="{00000000-0008-0000-0F00-0000AF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453</xdr:row>
      <xdr:rowOff>180975</xdr:rowOff>
    </xdr:from>
    <xdr:to>
      <xdr:col>12</xdr:col>
      <xdr:colOff>0</xdr:colOff>
      <xdr:row>453</xdr:row>
      <xdr:rowOff>180977</xdr:rowOff>
    </xdr:to>
    <xdr:cxnSp macro="">
      <xdr:nvCxnSpPr>
        <xdr:cNvPr id="944" name="Straight Connector 943">
          <a:extLst>
            <a:ext uri="{FF2B5EF4-FFF2-40B4-BE49-F238E27FC236}">
              <a16:creationId xmlns:a16="http://schemas.microsoft.com/office/drawing/2014/main" id="{00000000-0008-0000-0F00-0000B0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450</xdr:row>
      <xdr:rowOff>180975</xdr:rowOff>
    </xdr:from>
    <xdr:to>
      <xdr:col>18</xdr:col>
      <xdr:colOff>0</xdr:colOff>
      <xdr:row>450</xdr:row>
      <xdr:rowOff>180977</xdr:rowOff>
    </xdr:to>
    <xdr:cxnSp macro="">
      <xdr:nvCxnSpPr>
        <xdr:cNvPr id="945" name="Straight Connector 944">
          <a:extLst>
            <a:ext uri="{FF2B5EF4-FFF2-40B4-BE49-F238E27FC236}">
              <a16:creationId xmlns:a16="http://schemas.microsoft.com/office/drawing/2014/main" id="{00000000-0008-0000-0F00-0000B1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451</xdr:row>
      <xdr:rowOff>190500</xdr:rowOff>
    </xdr:from>
    <xdr:to>
      <xdr:col>18</xdr:col>
      <xdr:colOff>0</xdr:colOff>
      <xdr:row>451</xdr:row>
      <xdr:rowOff>190502</xdr:rowOff>
    </xdr:to>
    <xdr:cxnSp macro="">
      <xdr:nvCxnSpPr>
        <xdr:cNvPr id="946" name="Straight Connector 945">
          <a:extLst>
            <a:ext uri="{FF2B5EF4-FFF2-40B4-BE49-F238E27FC236}">
              <a16:creationId xmlns:a16="http://schemas.microsoft.com/office/drawing/2014/main" id="{00000000-0008-0000-0F00-0000B2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452</xdr:row>
      <xdr:rowOff>180975</xdr:rowOff>
    </xdr:from>
    <xdr:to>
      <xdr:col>17</xdr:col>
      <xdr:colOff>409575</xdr:colOff>
      <xdr:row>452</xdr:row>
      <xdr:rowOff>180977</xdr:rowOff>
    </xdr:to>
    <xdr:cxnSp macro="">
      <xdr:nvCxnSpPr>
        <xdr:cNvPr id="947" name="Straight Connector 946">
          <a:extLst>
            <a:ext uri="{FF2B5EF4-FFF2-40B4-BE49-F238E27FC236}">
              <a16:creationId xmlns:a16="http://schemas.microsoft.com/office/drawing/2014/main" id="{00000000-0008-0000-0F00-0000B3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453</xdr:row>
      <xdr:rowOff>180975</xdr:rowOff>
    </xdr:from>
    <xdr:to>
      <xdr:col>18</xdr:col>
      <xdr:colOff>0</xdr:colOff>
      <xdr:row>453</xdr:row>
      <xdr:rowOff>180977</xdr:rowOff>
    </xdr:to>
    <xdr:cxnSp macro="">
      <xdr:nvCxnSpPr>
        <xdr:cNvPr id="948" name="Straight Connector 947">
          <a:extLst>
            <a:ext uri="{FF2B5EF4-FFF2-40B4-BE49-F238E27FC236}">
              <a16:creationId xmlns:a16="http://schemas.microsoft.com/office/drawing/2014/main" id="{00000000-0008-0000-0F00-0000B4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479</xdr:row>
      <xdr:rowOff>180975</xdr:rowOff>
    </xdr:from>
    <xdr:to>
      <xdr:col>6</xdr:col>
      <xdr:colOff>0</xdr:colOff>
      <xdr:row>479</xdr:row>
      <xdr:rowOff>180977</xdr:rowOff>
    </xdr:to>
    <xdr:cxnSp macro="">
      <xdr:nvCxnSpPr>
        <xdr:cNvPr id="949" name="Straight Connector 948">
          <a:extLst>
            <a:ext uri="{FF2B5EF4-FFF2-40B4-BE49-F238E27FC236}">
              <a16:creationId xmlns:a16="http://schemas.microsoft.com/office/drawing/2014/main" id="{00000000-0008-0000-0F00-0000B5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480</xdr:row>
      <xdr:rowOff>190500</xdr:rowOff>
    </xdr:from>
    <xdr:to>
      <xdr:col>6</xdr:col>
      <xdr:colOff>0</xdr:colOff>
      <xdr:row>480</xdr:row>
      <xdr:rowOff>190502</xdr:rowOff>
    </xdr:to>
    <xdr:cxnSp macro="">
      <xdr:nvCxnSpPr>
        <xdr:cNvPr id="950" name="Straight Connector 949">
          <a:extLst>
            <a:ext uri="{FF2B5EF4-FFF2-40B4-BE49-F238E27FC236}">
              <a16:creationId xmlns:a16="http://schemas.microsoft.com/office/drawing/2014/main" id="{00000000-0008-0000-0F00-0000B6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481</xdr:row>
      <xdr:rowOff>180975</xdr:rowOff>
    </xdr:from>
    <xdr:to>
      <xdr:col>5</xdr:col>
      <xdr:colOff>409575</xdr:colOff>
      <xdr:row>481</xdr:row>
      <xdr:rowOff>180977</xdr:rowOff>
    </xdr:to>
    <xdr:cxnSp macro="">
      <xdr:nvCxnSpPr>
        <xdr:cNvPr id="951" name="Straight Connector 950">
          <a:extLst>
            <a:ext uri="{FF2B5EF4-FFF2-40B4-BE49-F238E27FC236}">
              <a16:creationId xmlns:a16="http://schemas.microsoft.com/office/drawing/2014/main" id="{00000000-0008-0000-0F00-0000B7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482</xdr:row>
      <xdr:rowOff>180975</xdr:rowOff>
    </xdr:from>
    <xdr:to>
      <xdr:col>6</xdr:col>
      <xdr:colOff>0</xdr:colOff>
      <xdr:row>482</xdr:row>
      <xdr:rowOff>180977</xdr:rowOff>
    </xdr:to>
    <xdr:cxnSp macro="">
      <xdr:nvCxnSpPr>
        <xdr:cNvPr id="952" name="Straight Connector 951">
          <a:extLst>
            <a:ext uri="{FF2B5EF4-FFF2-40B4-BE49-F238E27FC236}">
              <a16:creationId xmlns:a16="http://schemas.microsoft.com/office/drawing/2014/main" id="{00000000-0008-0000-0F00-0000B8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479</xdr:row>
      <xdr:rowOff>180975</xdr:rowOff>
    </xdr:from>
    <xdr:to>
      <xdr:col>12</xdr:col>
      <xdr:colOff>0</xdr:colOff>
      <xdr:row>479</xdr:row>
      <xdr:rowOff>180977</xdr:rowOff>
    </xdr:to>
    <xdr:cxnSp macro="">
      <xdr:nvCxnSpPr>
        <xdr:cNvPr id="953" name="Straight Connector 952">
          <a:extLst>
            <a:ext uri="{FF2B5EF4-FFF2-40B4-BE49-F238E27FC236}">
              <a16:creationId xmlns:a16="http://schemas.microsoft.com/office/drawing/2014/main" id="{00000000-0008-0000-0F00-0000B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480</xdr:row>
      <xdr:rowOff>190500</xdr:rowOff>
    </xdr:from>
    <xdr:to>
      <xdr:col>12</xdr:col>
      <xdr:colOff>0</xdr:colOff>
      <xdr:row>480</xdr:row>
      <xdr:rowOff>190502</xdr:rowOff>
    </xdr:to>
    <xdr:cxnSp macro="">
      <xdr:nvCxnSpPr>
        <xdr:cNvPr id="954" name="Straight Connector 953">
          <a:extLst>
            <a:ext uri="{FF2B5EF4-FFF2-40B4-BE49-F238E27FC236}">
              <a16:creationId xmlns:a16="http://schemas.microsoft.com/office/drawing/2014/main" id="{00000000-0008-0000-0F00-0000B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481</xdr:row>
      <xdr:rowOff>180975</xdr:rowOff>
    </xdr:from>
    <xdr:to>
      <xdr:col>11</xdr:col>
      <xdr:colOff>409575</xdr:colOff>
      <xdr:row>481</xdr:row>
      <xdr:rowOff>180977</xdr:rowOff>
    </xdr:to>
    <xdr:cxnSp macro="">
      <xdr:nvCxnSpPr>
        <xdr:cNvPr id="955" name="Straight Connector 954">
          <a:extLst>
            <a:ext uri="{FF2B5EF4-FFF2-40B4-BE49-F238E27FC236}">
              <a16:creationId xmlns:a16="http://schemas.microsoft.com/office/drawing/2014/main" id="{00000000-0008-0000-0F00-0000B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482</xdr:row>
      <xdr:rowOff>180975</xdr:rowOff>
    </xdr:from>
    <xdr:to>
      <xdr:col>12</xdr:col>
      <xdr:colOff>0</xdr:colOff>
      <xdr:row>482</xdr:row>
      <xdr:rowOff>180977</xdr:rowOff>
    </xdr:to>
    <xdr:cxnSp macro="">
      <xdr:nvCxnSpPr>
        <xdr:cNvPr id="956" name="Straight Connector 955">
          <a:extLst>
            <a:ext uri="{FF2B5EF4-FFF2-40B4-BE49-F238E27FC236}">
              <a16:creationId xmlns:a16="http://schemas.microsoft.com/office/drawing/2014/main" id="{00000000-0008-0000-0F00-0000B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479</xdr:row>
      <xdr:rowOff>180975</xdr:rowOff>
    </xdr:from>
    <xdr:to>
      <xdr:col>18</xdr:col>
      <xdr:colOff>0</xdr:colOff>
      <xdr:row>479</xdr:row>
      <xdr:rowOff>180977</xdr:rowOff>
    </xdr:to>
    <xdr:cxnSp macro="">
      <xdr:nvCxnSpPr>
        <xdr:cNvPr id="957" name="Straight Connector 956">
          <a:extLst>
            <a:ext uri="{FF2B5EF4-FFF2-40B4-BE49-F238E27FC236}">
              <a16:creationId xmlns:a16="http://schemas.microsoft.com/office/drawing/2014/main" id="{00000000-0008-0000-0F00-0000BD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480</xdr:row>
      <xdr:rowOff>190500</xdr:rowOff>
    </xdr:from>
    <xdr:to>
      <xdr:col>18</xdr:col>
      <xdr:colOff>0</xdr:colOff>
      <xdr:row>480</xdr:row>
      <xdr:rowOff>190502</xdr:rowOff>
    </xdr:to>
    <xdr:cxnSp macro="">
      <xdr:nvCxnSpPr>
        <xdr:cNvPr id="958" name="Straight Connector 957">
          <a:extLst>
            <a:ext uri="{FF2B5EF4-FFF2-40B4-BE49-F238E27FC236}">
              <a16:creationId xmlns:a16="http://schemas.microsoft.com/office/drawing/2014/main" id="{00000000-0008-0000-0F00-0000BE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481</xdr:row>
      <xdr:rowOff>180975</xdr:rowOff>
    </xdr:from>
    <xdr:to>
      <xdr:col>17</xdr:col>
      <xdr:colOff>409575</xdr:colOff>
      <xdr:row>481</xdr:row>
      <xdr:rowOff>180977</xdr:rowOff>
    </xdr:to>
    <xdr:cxnSp macro="">
      <xdr:nvCxnSpPr>
        <xdr:cNvPr id="959" name="Straight Connector 958">
          <a:extLst>
            <a:ext uri="{FF2B5EF4-FFF2-40B4-BE49-F238E27FC236}">
              <a16:creationId xmlns:a16="http://schemas.microsoft.com/office/drawing/2014/main" id="{00000000-0008-0000-0F00-0000BF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482</xdr:row>
      <xdr:rowOff>180975</xdr:rowOff>
    </xdr:from>
    <xdr:to>
      <xdr:col>18</xdr:col>
      <xdr:colOff>0</xdr:colOff>
      <xdr:row>482</xdr:row>
      <xdr:rowOff>180977</xdr:rowOff>
    </xdr:to>
    <xdr:cxnSp macro="">
      <xdr:nvCxnSpPr>
        <xdr:cNvPr id="960" name="Straight Connector 959">
          <a:extLst>
            <a:ext uri="{FF2B5EF4-FFF2-40B4-BE49-F238E27FC236}">
              <a16:creationId xmlns:a16="http://schemas.microsoft.com/office/drawing/2014/main" id="{00000000-0008-0000-0F00-0000C0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479</xdr:row>
      <xdr:rowOff>180975</xdr:rowOff>
    </xdr:from>
    <xdr:to>
      <xdr:col>12</xdr:col>
      <xdr:colOff>0</xdr:colOff>
      <xdr:row>479</xdr:row>
      <xdr:rowOff>180977</xdr:rowOff>
    </xdr:to>
    <xdr:cxnSp macro="">
      <xdr:nvCxnSpPr>
        <xdr:cNvPr id="961" name="Straight Connector 960">
          <a:extLst>
            <a:ext uri="{FF2B5EF4-FFF2-40B4-BE49-F238E27FC236}">
              <a16:creationId xmlns:a16="http://schemas.microsoft.com/office/drawing/2014/main" id="{00000000-0008-0000-0F00-0000C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480</xdr:row>
      <xdr:rowOff>190500</xdr:rowOff>
    </xdr:from>
    <xdr:to>
      <xdr:col>12</xdr:col>
      <xdr:colOff>0</xdr:colOff>
      <xdr:row>480</xdr:row>
      <xdr:rowOff>190502</xdr:rowOff>
    </xdr:to>
    <xdr:cxnSp macro="">
      <xdr:nvCxnSpPr>
        <xdr:cNvPr id="962" name="Straight Connector 961">
          <a:extLst>
            <a:ext uri="{FF2B5EF4-FFF2-40B4-BE49-F238E27FC236}">
              <a16:creationId xmlns:a16="http://schemas.microsoft.com/office/drawing/2014/main" id="{00000000-0008-0000-0F00-0000C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481</xdr:row>
      <xdr:rowOff>180975</xdr:rowOff>
    </xdr:from>
    <xdr:to>
      <xdr:col>11</xdr:col>
      <xdr:colOff>409575</xdr:colOff>
      <xdr:row>481</xdr:row>
      <xdr:rowOff>180977</xdr:rowOff>
    </xdr:to>
    <xdr:cxnSp macro="">
      <xdr:nvCxnSpPr>
        <xdr:cNvPr id="963" name="Straight Connector 962">
          <a:extLst>
            <a:ext uri="{FF2B5EF4-FFF2-40B4-BE49-F238E27FC236}">
              <a16:creationId xmlns:a16="http://schemas.microsoft.com/office/drawing/2014/main" id="{00000000-0008-0000-0F00-0000C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482</xdr:row>
      <xdr:rowOff>180975</xdr:rowOff>
    </xdr:from>
    <xdr:to>
      <xdr:col>12</xdr:col>
      <xdr:colOff>0</xdr:colOff>
      <xdr:row>482</xdr:row>
      <xdr:rowOff>180977</xdr:rowOff>
    </xdr:to>
    <xdr:cxnSp macro="">
      <xdr:nvCxnSpPr>
        <xdr:cNvPr id="964" name="Straight Connector 963">
          <a:extLst>
            <a:ext uri="{FF2B5EF4-FFF2-40B4-BE49-F238E27FC236}">
              <a16:creationId xmlns:a16="http://schemas.microsoft.com/office/drawing/2014/main" id="{00000000-0008-0000-0F00-0000C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479</xdr:row>
      <xdr:rowOff>180975</xdr:rowOff>
    </xdr:from>
    <xdr:to>
      <xdr:col>12</xdr:col>
      <xdr:colOff>0</xdr:colOff>
      <xdr:row>479</xdr:row>
      <xdr:rowOff>180977</xdr:rowOff>
    </xdr:to>
    <xdr:cxnSp macro="">
      <xdr:nvCxnSpPr>
        <xdr:cNvPr id="965" name="Straight Connector 964">
          <a:extLst>
            <a:ext uri="{FF2B5EF4-FFF2-40B4-BE49-F238E27FC236}">
              <a16:creationId xmlns:a16="http://schemas.microsoft.com/office/drawing/2014/main" id="{00000000-0008-0000-0F00-0000C5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480</xdr:row>
      <xdr:rowOff>190500</xdr:rowOff>
    </xdr:from>
    <xdr:to>
      <xdr:col>12</xdr:col>
      <xdr:colOff>0</xdr:colOff>
      <xdr:row>480</xdr:row>
      <xdr:rowOff>190502</xdr:rowOff>
    </xdr:to>
    <xdr:cxnSp macro="">
      <xdr:nvCxnSpPr>
        <xdr:cNvPr id="966" name="Straight Connector 965">
          <a:extLst>
            <a:ext uri="{FF2B5EF4-FFF2-40B4-BE49-F238E27FC236}">
              <a16:creationId xmlns:a16="http://schemas.microsoft.com/office/drawing/2014/main" id="{00000000-0008-0000-0F00-0000C6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481</xdr:row>
      <xdr:rowOff>180975</xdr:rowOff>
    </xdr:from>
    <xdr:to>
      <xdr:col>11</xdr:col>
      <xdr:colOff>409575</xdr:colOff>
      <xdr:row>481</xdr:row>
      <xdr:rowOff>180977</xdr:rowOff>
    </xdr:to>
    <xdr:cxnSp macro="">
      <xdr:nvCxnSpPr>
        <xdr:cNvPr id="967" name="Straight Connector 966">
          <a:extLst>
            <a:ext uri="{FF2B5EF4-FFF2-40B4-BE49-F238E27FC236}">
              <a16:creationId xmlns:a16="http://schemas.microsoft.com/office/drawing/2014/main" id="{00000000-0008-0000-0F00-0000C7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482</xdr:row>
      <xdr:rowOff>180975</xdr:rowOff>
    </xdr:from>
    <xdr:to>
      <xdr:col>12</xdr:col>
      <xdr:colOff>0</xdr:colOff>
      <xdr:row>482</xdr:row>
      <xdr:rowOff>180977</xdr:rowOff>
    </xdr:to>
    <xdr:cxnSp macro="">
      <xdr:nvCxnSpPr>
        <xdr:cNvPr id="968" name="Straight Connector 967">
          <a:extLst>
            <a:ext uri="{FF2B5EF4-FFF2-40B4-BE49-F238E27FC236}">
              <a16:creationId xmlns:a16="http://schemas.microsoft.com/office/drawing/2014/main" id="{00000000-0008-0000-0F00-0000C8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479</xdr:row>
      <xdr:rowOff>180975</xdr:rowOff>
    </xdr:from>
    <xdr:to>
      <xdr:col>18</xdr:col>
      <xdr:colOff>0</xdr:colOff>
      <xdr:row>479</xdr:row>
      <xdr:rowOff>180977</xdr:rowOff>
    </xdr:to>
    <xdr:cxnSp macro="">
      <xdr:nvCxnSpPr>
        <xdr:cNvPr id="969" name="Straight Connector 968">
          <a:extLst>
            <a:ext uri="{FF2B5EF4-FFF2-40B4-BE49-F238E27FC236}">
              <a16:creationId xmlns:a16="http://schemas.microsoft.com/office/drawing/2014/main" id="{00000000-0008-0000-0F00-0000C9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480</xdr:row>
      <xdr:rowOff>190500</xdr:rowOff>
    </xdr:from>
    <xdr:to>
      <xdr:col>18</xdr:col>
      <xdr:colOff>0</xdr:colOff>
      <xdr:row>480</xdr:row>
      <xdr:rowOff>190502</xdr:rowOff>
    </xdr:to>
    <xdr:cxnSp macro="">
      <xdr:nvCxnSpPr>
        <xdr:cNvPr id="970" name="Straight Connector 969">
          <a:extLst>
            <a:ext uri="{FF2B5EF4-FFF2-40B4-BE49-F238E27FC236}">
              <a16:creationId xmlns:a16="http://schemas.microsoft.com/office/drawing/2014/main" id="{00000000-0008-0000-0F00-0000CA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481</xdr:row>
      <xdr:rowOff>180975</xdr:rowOff>
    </xdr:from>
    <xdr:to>
      <xdr:col>17</xdr:col>
      <xdr:colOff>409575</xdr:colOff>
      <xdr:row>481</xdr:row>
      <xdr:rowOff>180977</xdr:rowOff>
    </xdr:to>
    <xdr:cxnSp macro="">
      <xdr:nvCxnSpPr>
        <xdr:cNvPr id="971" name="Straight Connector 970">
          <a:extLst>
            <a:ext uri="{FF2B5EF4-FFF2-40B4-BE49-F238E27FC236}">
              <a16:creationId xmlns:a16="http://schemas.microsoft.com/office/drawing/2014/main" id="{00000000-0008-0000-0F00-0000CB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482</xdr:row>
      <xdr:rowOff>180975</xdr:rowOff>
    </xdr:from>
    <xdr:to>
      <xdr:col>18</xdr:col>
      <xdr:colOff>0</xdr:colOff>
      <xdr:row>482</xdr:row>
      <xdr:rowOff>180977</xdr:rowOff>
    </xdr:to>
    <xdr:cxnSp macro="">
      <xdr:nvCxnSpPr>
        <xdr:cNvPr id="972" name="Straight Connector 971">
          <a:extLst>
            <a:ext uri="{FF2B5EF4-FFF2-40B4-BE49-F238E27FC236}">
              <a16:creationId xmlns:a16="http://schemas.microsoft.com/office/drawing/2014/main" id="{00000000-0008-0000-0F00-0000CC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221483</xdr:colOff>
      <xdr:row>507</xdr:row>
      <xdr:rowOff>180975</xdr:rowOff>
    </xdr:from>
    <xdr:to>
      <xdr:col>6</xdr:col>
      <xdr:colOff>0</xdr:colOff>
      <xdr:row>507</xdr:row>
      <xdr:rowOff>180977</xdr:rowOff>
    </xdr:to>
    <xdr:cxnSp macro="">
      <xdr:nvCxnSpPr>
        <xdr:cNvPr id="973" name="Straight Connector 972">
          <a:extLst>
            <a:ext uri="{FF2B5EF4-FFF2-40B4-BE49-F238E27FC236}">
              <a16:creationId xmlns:a16="http://schemas.microsoft.com/office/drawing/2014/main" id="{00000000-0008-0000-0F00-0000CD030000}"/>
            </a:ext>
          </a:extLst>
        </xdr:cNvPr>
        <xdr:cNvCxnSpPr/>
      </xdr:nvCxnSpPr>
      <xdr:spPr>
        <a:xfrm flipV="1">
          <a:off x="30720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508</xdr:row>
      <xdr:rowOff>190500</xdr:rowOff>
    </xdr:from>
    <xdr:to>
      <xdr:col>6</xdr:col>
      <xdr:colOff>0</xdr:colOff>
      <xdr:row>508</xdr:row>
      <xdr:rowOff>190502</xdr:rowOff>
    </xdr:to>
    <xdr:cxnSp macro="">
      <xdr:nvCxnSpPr>
        <xdr:cNvPr id="974" name="Straight Connector 973">
          <a:extLst>
            <a:ext uri="{FF2B5EF4-FFF2-40B4-BE49-F238E27FC236}">
              <a16:creationId xmlns:a16="http://schemas.microsoft.com/office/drawing/2014/main" id="{00000000-0008-0000-0F00-0000CE030000}"/>
            </a:ext>
          </a:extLst>
        </xdr:cNvPr>
        <xdr:cNvCxnSpPr/>
      </xdr:nvCxnSpPr>
      <xdr:spPr>
        <a:xfrm flipV="1">
          <a:off x="29527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219075</xdr:colOff>
      <xdr:row>509</xdr:row>
      <xdr:rowOff>180975</xdr:rowOff>
    </xdr:from>
    <xdr:to>
      <xdr:col>5</xdr:col>
      <xdr:colOff>409575</xdr:colOff>
      <xdr:row>509</xdr:row>
      <xdr:rowOff>180977</xdr:rowOff>
    </xdr:to>
    <xdr:cxnSp macro="">
      <xdr:nvCxnSpPr>
        <xdr:cNvPr id="975" name="Straight Connector 974">
          <a:extLst>
            <a:ext uri="{FF2B5EF4-FFF2-40B4-BE49-F238E27FC236}">
              <a16:creationId xmlns:a16="http://schemas.microsoft.com/office/drawing/2014/main" id="{00000000-0008-0000-0F00-0000CF030000}"/>
            </a:ext>
          </a:extLst>
        </xdr:cNvPr>
        <xdr:cNvCxnSpPr/>
      </xdr:nvCxnSpPr>
      <xdr:spPr>
        <a:xfrm flipV="1">
          <a:off x="30480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510</xdr:row>
      <xdr:rowOff>180975</xdr:rowOff>
    </xdr:from>
    <xdr:to>
      <xdr:col>6</xdr:col>
      <xdr:colOff>0</xdr:colOff>
      <xdr:row>510</xdr:row>
      <xdr:rowOff>180977</xdr:rowOff>
    </xdr:to>
    <xdr:cxnSp macro="">
      <xdr:nvCxnSpPr>
        <xdr:cNvPr id="976" name="Straight Connector 975">
          <a:extLst>
            <a:ext uri="{FF2B5EF4-FFF2-40B4-BE49-F238E27FC236}">
              <a16:creationId xmlns:a16="http://schemas.microsoft.com/office/drawing/2014/main" id="{00000000-0008-0000-0F00-0000D0030000}"/>
            </a:ext>
          </a:extLst>
        </xdr:cNvPr>
        <xdr:cNvCxnSpPr/>
      </xdr:nvCxnSpPr>
      <xdr:spPr>
        <a:xfrm flipV="1">
          <a:off x="27622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507</xdr:row>
      <xdr:rowOff>180975</xdr:rowOff>
    </xdr:from>
    <xdr:to>
      <xdr:col>12</xdr:col>
      <xdr:colOff>0</xdr:colOff>
      <xdr:row>507</xdr:row>
      <xdr:rowOff>180977</xdr:rowOff>
    </xdr:to>
    <xdr:cxnSp macro="">
      <xdr:nvCxnSpPr>
        <xdr:cNvPr id="977" name="Straight Connector 976">
          <a:extLst>
            <a:ext uri="{FF2B5EF4-FFF2-40B4-BE49-F238E27FC236}">
              <a16:creationId xmlns:a16="http://schemas.microsoft.com/office/drawing/2014/main" id="{00000000-0008-0000-0F00-0000D1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508</xdr:row>
      <xdr:rowOff>190500</xdr:rowOff>
    </xdr:from>
    <xdr:to>
      <xdr:col>12</xdr:col>
      <xdr:colOff>0</xdr:colOff>
      <xdr:row>508</xdr:row>
      <xdr:rowOff>190502</xdr:rowOff>
    </xdr:to>
    <xdr:cxnSp macro="">
      <xdr:nvCxnSpPr>
        <xdr:cNvPr id="978" name="Straight Connector 977">
          <a:extLst>
            <a:ext uri="{FF2B5EF4-FFF2-40B4-BE49-F238E27FC236}">
              <a16:creationId xmlns:a16="http://schemas.microsoft.com/office/drawing/2014/main" id="{00000000-0008-0000-0F00-0000D2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509</xdr:row>
      <xdr:rowOff>180975</xdr:rowOff>
    </xdr:from>
    <xdr:to>
      <xdr:col>11</xdr:col>
      <xdr:colOff>409575</xdr:colOff>
      <xdr:row>509</xdr:row>
      <xdr:rowOff>180977</xdr:rowOff>
    </xdr:to>
    <xdr:cxnSp macro="">
      <xdr:nvCxnSpPr>
        <xdr:cNvPr id="979" name="Straight Connector 978">
          <a:extLst>
            <a:ext uri="{FF2B5EF4-FFF2-40B4-BE49-F238E27FC236}">
              <a16:creationId xmlns:a16="http://schemas.microsoft.com/office/drawing/2014/main" id="{00000000-0008-0000-0F00-0000D3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510</xdr:row>
      <xdr:rowOff>180975</xdr:rowOff>
    </xdr:from>
    <xdr:to>
      <xdr:col>12</xdr:col>
      <xdr:colOff>0</xdr:colOff>
      <xdr:row>510</xdr:row>
      <xdr:rowOff>180977</xdr:rowOff>
    </xdr:to>
    <xdr:cxnSp macro="">
      <xdr:nvCxnSpPr>
        <xdr:cNvPr id="980" name="Straight Connector 979">
          <a:extLst>
            <a:ext uri="{FF2B5EF4-FFF2-40B4-BE49-F238E27FC236}">
              <a16:creationId xmlns:a16="http://schemas.microsoft.com/office/drawing/2014/main" id="{00000000-0008-0000-0F00-0000D4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507</xdr:row>
      <xdr:rowOff>180975</xdr:rowOff>
    </xdr:from>
    <xdr:to>
      <xdr:col>18</xdr:col>
      <xdr:colOff>0</xdr:colOff>
      <xdr:row>507</xdr:row>
      <xdr:rowOff>180977</xdr:rowOff>
    </xdr:to>
    <xdr:cxnSp macro="">
      <xdr:nvCxnSpPr>
        <xdr:cNvPr id="981" name="Straight Connector 980">
          <a:extLst>
            <a:ext uri="{FF2B5EF4-FFF2-40B4-BE49-F238E27FC236}">
              <a16:creationId xmlns:a16="http://schemas.microsoft.com/office/drawing/2014/main" id="{00000000-0008-0000-0F00-0000D5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508</xdr:row>
      <xdr:rowOff>190500</xdr:rowOff>
    </xdr:from>
    <xdr:to>
      <xdr:col>18</xdr:col>
      <xdr:colOff>0</xdr:colOff>
      <xdr:row>508</xdr:row>
      <xdr:rowOff>190502</xdr:rowOff>
    </xdr:to>
    <xdr:cxnSp macro="">
      <xdr:nvCxnSpPr>
        <xdr:cNvPr id="982" name="Straight Connector 981">
          <a:extLst>
            <a:ext uri="{FF2B5EF4-FFF2-40B4-BE49-F238E27FC236}">
              <a16:creationId xmlns:a16="http://schemas.microsoft.com/office/drawing/2014/main" id="{00000000-0008-0000-0F00-0000D6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509</xdr:row>
      <xdr:rowOff>180975</xdr:rowOff>
    </xdr:from>
    <xdr:to>
      <xdr:col>17</xdr:col>
      <xdr:colOff>409575</xdr:colOff>
      <xdr:row>509</xdr:row>
      <xdr:rowOff>180977</xdr:rowOff>
    </xdr:to>
    <xdr:cxnSp macro="">
      <xdr:nvCxnSpPr>
        <xdr:cNvPr id="983" name="Straight Connector 982">
          <a:extLst>
            <a:ext uri="{FF2B5EF4-FFF2-40B4-BE49-F238E27FC236}">
              <a16:creationId xmlns:a16="http://schemas.microsoft.com/office/drawing/2014/main" id="{00000000-0008-0000-0F00-0000D7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510</xdr:row>
      <xdr:rowOff>180975</xdr:rowOff>
    </xdr:from>
    <xdr:to>
      <xdr:col>18</xdr:col>
      <xdr:colOff>0</xdr:colOff>
      <xdr:row>510</xdr:row>
      <xdr:rowOff>180977</xdr:rowOff>
    </xdr:to>
    <xdr:cxnSp macro="">
      <xdr:nvCxnSpPr>
        <xdr:cNvPr id="984" name="Straight Connector 983">
          <a:extLst>
            <a:ext uri="{FF2B5EF4-FFF2-40B4-BE49-F238E27FC236}">
              <a16:creationId xmlns:a16="http://schemas.microsoft.com/office/drawing/2014/main" id="{00000000-0008-0000-0F00-0000D8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507</xdr:row>
      <xdr:rowOff>180975</xdr:rowOff>
    </xdr:from>
    <xdr:to>
      <xdr:col>12</xdr:col>
      <xdr:colOff>0</xdr:colOff>
      <xdr:row>507</xdr:row>
      <xdr:rowOff>180977</xdr:rowOff>
    </xdr:to>
    <xdr:cxnSp macro="">
      <xdr:nvCxnSpPr>
        <xdr:cNvPr id="985" name="Straight Connector 984">
          <a:extLst>
            <a:ext uri="{FF2B5EF4-FFF2-40B4-BE49-F238E27FC236}">
              <a16:creationId xmlns:a16="http://schemas.microsoft.com/office/drawing/2014/main" id="{00000000-0008-0000-0F00-0000D9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508</xdr:row>
      <xdr:rowOff>190500</xdr:rowOff>
    </xdr:from>
    <xdr:to>
      <xdr:col>12</xdr:col>
      <xdr:colOff>0</xdr:colOff>
      <xdr:row>508</xdr:row>
      <xdr:rowOff>190502</xdr:rowOff>
    </xdr:to>
    <xdr:cxnSp macro="">
      <xdr:nvCxnSpPr>
        <xdr:cNvPr id="986" name="Straight Connector 985">
          <a:extLst>
            <a:ext uri="{FF2B5EF4-FFF2-40B4-BE49-F238E27FC236}">
              <a16:creationId xmlns:a16="http://schemas.microsoft.com/office/drawing/2014/main" id="{00000000-0008-0000-0F00-0000DA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509</xdr:row>
      <xdr:rowOff>180975</xdr:rowOff>
    </xdr:from>
    <xdr:to>
      <xdr:col>11</xdr:col>
      <xdr:colOff>409575</xdr:colOff>
      <xdr:row>509</xdr:row>
      <xdr:rowOff>180977</xdr:rowOff>
    </xdr:to>
    <xdr:cxnSp macro="">
      <xdr:nvCxnSpPr>
        <xdr:cNvPr id="987" name="Straight Connector 986">
          <a:extLst>
            <a:ext uri="{FF2B5EF4-FFF2-40B4-BE49-F238E27FC236}">
              <a16:creationId xmlns:a16="http://schemas.microsoft.com/office/drawing/2014/main" id="{00000000-0008-0000-0F00-0000DB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510</xdr:row>
      <xdr:rowOff>180975</xdr:rowOff>
    </xdr:from>
    <xdr:to>
      <xdr:col>12</xdr:col>
      <xdr:colOff>0</xdr:colOff>
      <xdr:row>510</xdr:row>
      <xdr:rowOff>180977</xdr:rowOff>
    </xdr:to>
    <xdr:cxnSp macro="">
      <xdr:nvCxnSpPr>
        <xdr:cNvPr id="988" name="Straight Connector 987">
          <a:extLst>
            <a:ext uri="{FF2B5EF4-FFF2-40B4-BE49-F238E27FC236}">
              <a16:creationId xmlns:a16="http://schemas.microsoft.com/office/drawing/2014/main" id="{00000000-0008-0000-0F00-0000DC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221483</xdr:colOff>
      <xdr:row>507</xdr:row>
      <xdr:rowOff>180975</xdr:rowOff>
    </xdr:from>
    <xdr:to>
      <xdr:col>12</xdr:col>
      <xdr:colOff>0</xdr:colOff>
      <xdr:row>507</xdr:row>
      <xdr:rowOff>180977</xdr:rowOff>
    </xdr:to>
    <xdr:cxnSp macro="">
      <xdr:nvCxnSpPr>
        <xdr:cNvPr id="989" name="Straight Connector 988">
          <a:extLst>
            <a:ext uri="{FF2B5EF4-FFF2-40B4-BE49-F238E27FC236}">
              <a16:creationId xmlns:a16="http://schemas.microsoft.com/office/drawing/2014/main" id="{00000000-0008-0000-0F00-0000DD030000}"/>
            </a:ext>
          </a:extLst>
        </xdr:cNvPr>
        <xdr:cNvCxnSpPr/>
      </xdr:nvCxnSpPr>
      <xdr:spPr>
        <a:xfrm flipV="1">
          <a:off x="2526533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508</xdr:row>
      <xdr:rowOff>190500</xdr:rowOff>
    </xdr:from>
    <xdr:to>
      <xdr:col>12</xdr:col>
      <xdr:colOff>0</xdr:colOff>
      <xdr:row>508</xdr:row>
      <xdr:rowOff>190502</xdr:rowOff>
    </xdr:to>
    <xdr:cxnSp macro="">
      <xdr:nvCxnSpPr>
        <xdr:cNvPr id="990" name="Straight Connector 989">
          <a:extLst>
            <a:ext uri="{FF2B5EF4-FFF2-40B4-BE49-F238E27FC236}">
              <a16:creationId xmlns:a16="http://schemas.microsoft.com/office/drawing/2014/main" id="{00000000-0008-0000-0F00-0000DE030000}"/>
            </a:ext>
          </a:extLst>
        </xdr:cNvPr>
        <xdr:cNvCxnSpPr/>
      </xdr:nvCxnSpPr>
      <xdr:spPr>
        <a:xfrm flipV="1">
          <a:off x="2514600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219075</xdr:colOff>
      <xdr:row>509</xdr:row>
      <xdr:rowOff>180975</xdr:rowOff>
    </xdr:from>
    <xdr:to>
      <xdr:col>11</xdr:col>
      <xdr:colOff>409575</xdr:colOff>
      <xdr:row>509</xdr:row>
      <xdr:rowOff>180977</xdr:rowOff>
    </xdr:to>
    <xdr:cxnSp macro="">
      <xdr:nvCxnSpPr>
        <xdr:cNvPr id="991" name="Straight Connector 990">
          <a:extLst>
            <a:ext uri="{FF2B5EF4-FFF2-40B4-BE49-F238E27FC236}">
              <a16:creationId xmlns:a16="http://schemas.microsoft.com/office/drawing/2014/main" id="{00000000-0008-0000-0F00-0000DF030000}"/>
            </a:ext>
          </a:extLst>
        </xdr:cNvPr>
        <xdr:cNvCxnSpPr/>
      </xdr:nvCxnSpPr>
      <xdr:spPr>
        <a:xfrm flipV="1">
          <a:off x="2524125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190500</xdr:colOff>
      <xdr:row>510</xdr:row>
      <xdr:rowOff>180975</xdr:rowOff>
    </xdr:from>
    <xdr:to>
      <xdr:col>12</xdr:col>
      <xdr:colOff>0</xdr:colOff>
      <xdr:row>510</xdr:row>
      <xdr:rowOff>180977</xdr:rowOff>
    </xdr:to>
    <xdr:cxnSp macro="">
      <xdr:nvCxnSpPr>
        <xdr:cNvPr id="992" name="Straight Connector 991">
          <a:extLst>
            <a:ext uri="{FF2B5EF4-FFF2-40B4-BE49-F238E27FC236}">
              <a16:creationId xmlns:a16="http://schemas.microsoft.com/office/drawing/2014/main" id="{00000000-0008-0000-0F00-0000E0030000}"/>
            </a:ext>
          </a:extLst>
        </xdr:cNvPr>
        <xdr:cNvCxnSpPr/>
      </xdr:nvCxnSpPr>
      <xdr:spPr>
        <a:xfrm flipV="1">
          <a:off x="2495550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221483</xdr:colOff>
      <xdr:row>507</xdr:row>
      <xdr:rowOff>180975</xdr:rowOff>
    </xdr:from>
    <xdr:to>
      <xdr:col>18</xdr:col>
      <xdr:colOff>0</xdr:colOff>
      <xdr:row>507</xdr:row>
      <xdr:rowOff>180977</xdr:rowOff>
    </xdr:to>
    <xdr:cxnSp macro="">
      <xdr:nvCxnSpPr>
        <xdr:cNvPr id="993" name="Straight Connector 992">
          <a:extLst>
            <a:ext uri="{FF2B5EF4-FFF2-40B4-BE49-F238E27FC236}">
              <a16:creationId xmlns:a16="http://schemas.microsoft.com/office/drawing/2014/main" id="{00000000-0008-0000-0F00-0000E1030000}"/>
            </a:ext>
          </a:extLst>
        </xdr:cNvPr>
        <xdr:cNvCxnSpPr/>
      </xdr:nvCxnSpPr>
      <xdr:spPr>
        <a:xfrm flipV="1">
          <a:off x="4745858" y="4562475"/>
          <a:ext cx="1912117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209550</xdr:colOff>
      <xdr:row>508</xdr:row>
      <xdr:rowOff>190500</xdr:rowOff>
    </xdr:from>
    <xdr:to>
      <xdr:col>18</xdr:col>
      <xdr:colOff>0</xdr:colOff>
      <xdr:row>508</xdr:row>
      <xdr:rowOff>190502</xdr:rowOff>
    </xdr:to>
    <xdr:cxnSp macro="">
      <xdr:nvCxnSpPr>
        <xdr:cNvPr id="994" name="Straight Connector 993">
          <a:extLst>
            <a:ext uri="{FF2B5EF4-FFF2-40B4-BE49-F238E27FC236}">
              <a16:creationId xmlns:a16="http://schemas.microsoft.com/office/drawing/2014/main" id="{00000000-0008-0000-0F00-0000E2030000}"/>
            </a:ext>
          </a:extLst>
        </xdr:cNvPr>
        <xdr:cNvCxnSpPr/>
      </xdr:nvCxnSpPr>
      <xdr:spPr>
        <a:xfrm flipV="1">
          <a:off x="4733925" y="4762500"/>
          <a:ext cx="192405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509</xdr:row>
      <xdr:rowOff>180975</xdr:rowOff>
    </xdr:from>
    <xdr:to>
      <xdr:col>17</xdr:col>
      <xdr:colOff>409575</xdr:colOff>
      <xdr:row>509</xdr:row>
      <xdr:rowOff>180977</xdr:rowOff>
    </xdr:to>
    <xdr:cxnSp macro="">
      <xdr:nvCxnSpPr>
        <xdr:cNvPr id="995" name="Straight Connector 994">
          <a:extLst>
            <a:ext uri="{FF2B5EF4-FFF2-40B4-BE49-F238E27FC236}">
              <a16:creationId xmlns:a16="http://schemas.microsoft.com/office/drawing/2014/main" id="{00000000-0008-0000-0F00-0000E3030000}"/>
            </a:ext>
          </a:extLst>
        </xdr:cNvPr>
        <xdr:cNvCxnSpPr/>
      </xdr:nvCxnSpPr>
      <xdr:spPr>
        <a:xfrm flipV="1">
          <a:off x="4743450" y="4943475"/>
          <a:ext cx="19050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510</xdr:row>
      <xdr:rowOff>180975</xdr:rowOff>
    </xdr:from>
    <xdr:to>
      <xdr:col>18</xdr:col>
      <xdr:colOff>0</xdr:colOff>
      <xdr:row>510</xdr:row>
      <xdr:rowOff>180977</xdr:rowOff>
    </xdr:to>
    <xdr:cxnSp macro="">
      <xdr:nvCxnSpPr>
        <xdr:cNvPr id="996" name="Straight Connector 995">
          <a:extLst>
            <a:ext uri="{FF2B5EF4-FFF2-40B4-BE49-F238E27FC236}">
              <a16:creationId xmlns:a16="http://schemas.microsoft.com/office/drawing/2014/main" id="{00000000-0008-0000-0F00-0000E4030000}"/>
            </a:ext>
          </a:extLst>
        </xdr:cNvPr>
        <xdr:cNvCxnSpPr/>
      </xdr:nvCxnSpPr>
      <xdr:spPr>
        <a:xfrm flipV="1">
          <a:off x="4714875" y="5133975"/>
          <a:ext cx="1943100" cy="2"/>
        </a:xfrm>
        <a:prstGeom prst="line">
          <a:avLst/>
        </a:prstGeom>
        <a:ln w="12700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22860</xdr:rowOff>
        </xdr:from>
        <xdr:to>
          <xdr:col>0</xdr:col>
          <xdr:colOff>754380</xdr:colOff>
          <xdr:row>3</xdr:row>
          <xdr:rowOff>83820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Toán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3</xdr:row>
          <xdr:rowOff>106680</xdr:rowOff>
        </xdr:from>
        <xdr:to>
          <xdr:col>0</xdr:col>
          <xdr:colOff>754380</xdr:colOff>
          <xdr:row>4</xdr:row>
          <xdr:rowOff>175260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0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Vật lí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16</xdr:row>
          <xdr:rowOff>114300</xdr:rowOff>
        </xdr:from>
        <xdr:to>
          <xdr:col>0</xdr:col>
          <xdr:colOff>754380</xdr:colOff>
          <xdr:row>17</xdr:row>
          <xdr:rowOff>182880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0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Công nghệ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15</xdr:row>
          <xdr:rowOff>30480</xdr:rowOff>
        </xdr:from>
        <xdr:to>
          <xdr:col>0</xdr:col>
          <xdr:colOff>754380</xdr:colOff>
          <xdr:row>16</xdr:row>
          <xdr:rowOff>99060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0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GDCD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13</xdr:row>
          <xdr:rowOff>137160</xdr:rowOff>
        </xdr:from>
        <xdr:to>
          <xdr:col>0</xdr:col>
          <xdr:colOff>754380</xdr:colOff>
          <xdr:row>15</xdr:row>
          <xdr:rowOff>7620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0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Anh văn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12</xdr:row>
          <xdr:rowOff>45720</xdr:rowOff>
        </xdr:from>
        <xdr:to>
          <xdr:col>0</xdr:col>
          <xdr:colOff>754380</xdr:colOff>
          <xdr:row>13</xdr:row>
          <xdr:rowOff>114300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0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Địa lí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10</xdr:row>
          <xdr:rowOff>152400</xdr:rowOff>
        </xdr:from>
        <xdr:to>
          <xdr:col>0</xdr:col>
          <xdr:colOff>754380</xdr:colOff>
          <xdr:row>12</xdr:row>
          <xdr:rowOff>30480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0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Lịch sử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9</xdr:row>
          <xdr:rowOff>68580</xdr:rowOff>
        </xdr:from>
        <xdr:to>
          <xdr:col>0</xdr:col>
          <xdr:colOff>754380</xdr:colOff>
          <xdr:row>10</xdr:row>
          <xdr:rowOff>137160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0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Ngữ văn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7</xdr:row>
          <xdr:rowOff>175260</xdr:rowOff>
        </xdr:from>
        <xdr:to>
          <xdr:col>0</xdr:col>
          <xdr:colOff>754380</xdr:colOff>
          <xdr:row>9</xdr:row>
          <xdr:rowOff>45720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0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Tin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83820</xdr:rowOff>
        </xdr:from>
        <xdr:to>
          <xdr:col>0</xdr:col>
          <xdr:colOff>754380</xdr:colOff>
          <xdr:row>7</xdr:row>
          <xdr:rowOff>152400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0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Sinh học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5</xdr:row>
          <xdr:rowOff>0</xdr:rowOff>
        </xdr:from>
        <xdr:to>
          <xdr:col>0</xdr:col>
          <xdr:colOff>754380</xdr:colOff>
          <xdr:row>6</xdr:row>
          <xdr:rowOff>68580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0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Hóa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20</xdr:row>
          <xdr:rowOff>182880</xdr:rowOff>
        </xdr:from>
        <xdr:to>
          <xdr:col>0</xdr:col>
          <xdr:colOff>754380</xdr:colOff>
          <xdr:row>22</xdr:row>
          <xdr:rowOff>60960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0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Nghề 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19</xdr:row>
          <xdr:rowOff>99060</xdr:rowOff>
        </xdr:from>
        <xdr:to>
          <xdr:col>0</xdr:col>
          <xdr:colOff>754380</xdr:colOff>
          <xdr:row>20</xdr:row>
          <xdr:rowOff>160020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0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GDQP-AN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7620</xdr:rowOff>
        </xdr:from>
        <xdr:to>
          <xdr:col>0</xdr:col>
          <xdr:colOff>754380</xdr:colOff>
          <xdr:row>19</xdr:row>
          <xdr:rowOff>76200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0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Thể dục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114300</xdr:rowOff>
        </xdr:from>
        <xdr:to>
          <xdr:col>0</xdr:col>
          <xdr:colOff>746760</xdr:colOff>
          <xdr:row>27</xdr:row>
          <xdr:rowOff>60960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0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 nhận xét học kỳ I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962025</xdr:colOff>
      <xdr:row>3</xdr:row>
      <xdr:rowOff>0</xdr:rowOff>
    </xdr:from>
    <xdr:to>
      <xdr:col>5</xdr:col>
      <xdr:colOff>971550</xdr:colOff>
      <xdr:row>3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>
        <a:xfrm>
          <a:off x="4200525" y="8763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</xdr:row>
      <xdr:rowOff>0</xdr:rowOff>
    </xdr:from>
    <xdr:to>
      <xdr:col>3</xdr:col>
      <xdr:colOff>809625</xdr:colOff>
      <xdr:row>3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CxnSpPr/>
      </xdr:nvCxnSpPr>
      <xdr:spPr>
        <a:xfrm>
          <a:off x="552450" y="876300"/>
          <a:ext cx="22955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76200</xdr:rowOff>
        </xdr:from>
        <xdr:to>
          <xdr:col>1</xdr:col>
          <xdr:colOff>769620</xdr:colOff>
          <xdr:row>0</xdr:row>
          <xdr:rowOff>335280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2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Kéo lên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0</xdr:row>
          <xdr:rowOff>76200</xdr:rowOff>
        </xdr:from>
        <xdr:to>
          <xdr:col>3</xdr:col>
          <xdr:colOff>312420</xdr:colOff>
          <xdr:row>0</xdr:row>
          <xdr:rowOff>335280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2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trang đầu</a:t>
              </a:r>
            </a:p>
            <a:p>
              <a:pPr algn="ctr" rtl="0">
                <a:defRPr sz="1000"/>
              </a:pPr>
              <a:endPara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327660</xdr:colOff>
          <xdr:row>0</xdr:row>
          <xdr:rowOff>68580</xdr:rowOff>
        </xdr:from>
        <xdr:to>
          <xdr:col>3</xdr:col>
          <xdr:colOff>1249680</xdr:colOff>
          <xdr:row>0</xdr:row>
          <xdr:rowOff>335280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2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Kéo xuống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1790701</xdr:colOff>
      <xdr:row>0</xdr:row>
      <xdr:rowOff>0</xdr:rowOff>
    </xdr:from>
    <xdr:to>
      <xdr:col>16</xdr:col>
      <xdr:colOff>200026</xdr:colOff>
      <xdr:row>0</xdr:row>
      <xdr:rowOff>314325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6581776" y="0"/>
          <a:ext cx="3771900" cy="314325"/>
        </a:xfrm>
        <a:prstGeom prst="wedgeRoundRectCallout">
          <a:avLst>
            <a:gd name="adj1" fmla="val -55602"/>
            <a:gd name="adj2" fmla="val 27913"/>
            <a:gd name="adj3" fmla="val 16667"/>
          </a:avLst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accent1">
                  <a:lumMod val="50000"/>
                </a:schemeClr>
              </a:solidFill>
            </a:rPr>
            <a:t>Nhập</a:t>
          </a:r>
          <a:r>
            <a:rPr lang="en-US" sz="1100" baseline="0">
              <a:solidFill>
                <a:schemeClr val="accent1">
                  <a:lumMod val="50000"/>
                </a:schemeClr>
              </a:solidFill>
            </a:rPr>
            <a:t> ngày in, nếu lấy ngày hiện tại thì để trống.</a:t>
          </a:r>
          <a:endParaRPr 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962025</xdr:colOff>
      <xdr:row>32</xdr:row>
      <xdr:rowOff>0</xdr:rowOff>
    </xdr:from>
    <xdr:to>
      <xdr:col>5</xdr:col>
      <xdr:colOff>971550</xdr:colOff>
      <xdr:row>32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CxnSpPr/>
      </xdr:nvCxnSpPr>
      <xdr:spPr>
        <a:xfrm>
          <a:off x="4200525" y="8763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32</xdr:row>
      <xdr:rowOff>0</xdr:rowOff>
    </xdr:from>
    <xdr:to>
      <xdr:col>3</xdr:col>
      <xdr:colOff>809625</xdr:colOff>
      <xdr:row>32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CxnSpPr/>
      </xdr:nvCxnSpPr>
      <xdr:spPr>
        <a:xfrm>
          <a:off x="552450" y="8763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61</xdr:row>
      <xdr:rowOff>0</xdr:rowOff>
    </xdr:from>
    <xdr:to>
      <xdr:col>5</xdr:col>
      <xdr:colOff>971550</xdr:colOff>
      <xdr:row>61</xdr:row>
      <xdr:rowOff>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61</xdr:row>
      <xdr:rowOff>0</xdr:rowOff>
    </xdr:from>
    <xdr:to>
      <xdr:col>3</xdr:col>
      <xdr:colOff>809625</xdr:colOff>
      <xdr:row>61</xdr:row>
      <xdr:rowOff>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90</xdr:row>
      <xdr:rowOff>0</xdr:rowOff>
    </xdr:from>
    <xdr:to>
      <xdr:col>5</xdr:col>
      <xdr:colOff>971550</xdr:colOff>
      <xdr:row>90</xdr:row>
      <xdr:rowOff>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90</xdr:row>
      <xdr:rowOff>0</xdr:rowOff>
    </xdr:from>
    <xdr:to>
      <xdr:col>3</xdr:col>
      <xdr:colOff>809625</xdr:colOff>
      <xdr:row>90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119</xdr:row>
      <xdr:rowOff>0</xdr:rowOff>
    </xdr:from>
    <xdr:to>
      <xdr:col>5</xdr:col>
      <xdr:colOff>971550</xdr:colOff>
      <xdr:row>119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CxnSpPr/>
      </xdr:nvCxnSpPr>
      <xdr:spPr>
        <a:xfrm>
          <a:off x="4200525" y="214312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119</xdr:row>
      <xdr:rowOff>0</xdr:rowOff>
    </xdr:from>
    <xdr:to>
      <xdr:col>3</xdr:col>
      <xdr:colOff>809625</xdr:colOff>
      <xdr:row>119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CxnSpPr/>
      </xdr:nvCxnSpPr>
      <xdr:spPr>
        <a:xfrm>
          <a:off x="552450" y="214312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148</xdr:row>
      <xdr:rowOff>0</xdr:rowOff>
    </xdr:from>
    <xdr:to>
      <xdr:col>5</xdr:col>
      <xdr:colOff>971550</xdr:colOff>
      <xdr:row>148</xdr:row>
      <xdr:rowOff>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148</xdr:row>
      <xdr:rowOff>0</xdr:rowOff>
    </xdr:from>
    <xdr:to>
      <xdr:col>3</xdr:col>
      <xdr:colOff>809625</xdr:colOff>
      <xdr:row>148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177</xdr:row>
      <xdr:rowOff>0</xdr:rowOff>
    </xdr:from>
    <xdr:to>
      <xdr:col>5</xdr:col>
      <xdr:colOff>971550</xdr:colOff>
      <xdr:row>177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CxnSpPr/>
      </xdr:nvCxnSpPr>
      <xdr:spPr>
        <a:xfrm>
          <a:off x="4200525" y="214312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177</xdr:row>
      <xdr:rowOff>0</xdr:rowOff>
    </xdr:from>
    <xdr:to>
      <xdr:col>3</xdr:col>
      <xdr:colOff>809625</xdr:colOff>
      <xdr:row>177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CxnSpPr/>
      </xdr:nvCxnSpPr>
      <xdr:spPr>
        <a:xfrm>
          <a:off x="552450" y="214312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206</xdr:row>
      <xdr:rowOff>0</xdr:rowOff>
    </xdr:from>
    <xdr:to>
      <xdr:col>5</xdr:col>
      <xdr:colOff>971550</xdr:colOff>
      <xdr:row>206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206</xdr:row>
      <xdr:rowOff>0</xdr:rowOff>
    </xdr:from>
    <xdr:to>
      <xdr:col>3</xdr:col>
      <xdr:colOff>809625</xdr:colOff>
      <xdr:row>206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235</xdr:row>
      <xdr:rowOff>0</xdr:rowOff>
    </xdr:from>
    <xdr:to>
      <xdr:col>5</xdr:col>
      <xdr:colOff>971550</xdr:colOff>
      <xdr:row>235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CxnSpPr/>
      </xdr:nvCxnSpPr>
      <xdr:spPr>
        <a:xfrm>
          <a:off x="4200525" y="214312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235</xdr:row>
      <xdr:rowOff>0</xdr:rowOff>
    </xdr:from>
    <xdr:to>
      <xdr:col>3</xdr:col>
      <xdr:colOff>809625</xdr:colOff>
      <xdr:row>235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CxnSpPr/>
      </xdr:nvCxnSpPr>
      <xdr:spPr>
        <a:xfrm>
          <a:off x="552450" y="214312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264</xdr:row>
      <xdr:rowOff>0</xdr:rowOff>
    </xdr:from>
    <xdr:to>
      <xdr:col>5</xdr:col>
      <xdr:colOff>971550</xdr:colOff>
      <xdr:row>264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264</xdr:row>
      <xdr:rowOff>0</xdr:rowOff>
    </xdr:from>
    <xdr:to>
      <xdr:col>3</xdr:col>
      <xdr:colOff>809625</xdr:colOff>
      <xdr:row>264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293</xdr:row>
      <xdr:rowOff>0</xdr:rowOff>
    </xdr:from>
    <xdr:to>
      <xdr:col>5</xdr:col>
      <xdr:colOff>971550</xdr:colOff>
      <xdr:row>293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CxnSpPr/>
      </xdr:nvCxnSpPr>
      <xdr:spPr>
        <a:xfrm>
          <a:off x="4200525" y="214312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293</xdr:row>
      <xdr:rowOff>0</xdr:rowOff>
    </xdr:from>
    <xdr:to>
      <xdr:col>3</xdr:col>
      <xdr:colOff>809625</xdr:colOff>
      <xdr:row>293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CxnSpPr/>
      </xdr:nvCxnSpPr>
      <xdr:spPr>
        <a:xfrm>
          <a:off x="552450" y="214312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322</xdr:row>
      <xdr:rowOff>0</xdr:rowOff>
    </xdr:from>
    <xdr:to>
      <xdr:col>5</xdr:col>
      <xdr:colOff>971550</xdr:colOff>
      <xdr:row>322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322</xdr:row>
      <xdr:rowOff>0</xdr:rowOff>
    </xdr:from>
    <xdr:to>
      <xdr:col>3</xdr:col>
      <xdr:colOff>809625</xdr:colOff>
      <xdr:row>322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351</xdr:row>
      <xdr:rowOff>0</xdr:rowOff>
    </xdr:from>
    <xdr:to>
      <xdr:col>5</xdr:col>
      <xdr:colOff>971550</xdr:colOff>
      <xdr:row>351</xdr:row>
      <xdr:rowOff>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CxnSpPr/>
      </xdr:nvCxnSpPr>
      <xdr:spPr>
        <a:xfrm>
          <a:off x="4200525" y="214312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351</xdr:row>
      <xdr:rowOff>0</xdr:rowOff>
    </xdr:from>
    <xdr:to>
      <xdr:col>3</xdr:col>
      <xdr:colOff>809625</xdr:colOff>
      <xdr:row>351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CxnSpPr/>
      </xdr:nvCxnSpPr>
      <xdr:spPr>
        <a:xfrm>
          <a:off x="552450" y="214312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380</xdr:row>
      <xdr:rowOff>0</xdr:rowOff>
    </xdr:from>
    <xdr:to>
      <xdr:col>5</xdr:col>
      <xdr:colOff>971550</xdr:colOff>
      <xdr:row>380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CxnSpPr/>
      </xdr:nvCxnSpPr>
      <xdr:spPr>
        <a:xfrm>
          <a:off x="4200525" y="317087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380</xdr:row>
      <xdr:rowOff>0</xdr:rowOff>
    </xdr:from>
    <xdr:to>
      <xdr:col>3</xdr:col>
      <xdr:colOff>809625</xdr:colOff>
      <xdr:row>380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CxnSpPr/>
      </xdr:nvCxnSpPr>
      <xdr:spPr>
        <a:xfrm>
          <a:off x="552450" y="317087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409</xdr:row>
      <xdr:rowOff>0</xdr:rowOff>
    </xdr:from>
    <xdr:to>
      <xdr:col>5</xdr:col>
      <xdr:colOff>971550</xdr:colOff>
      <xdr:row>409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CxnSpPr/>
      </xdr:nvCxnSpPr>
      <xdr:spPr>
        <a:xfrm>
          <a:off x="4200525" y="419862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409</xdr:row>
      <xdr:rowOff>0</xdr:rowOff>
    </xdr:from>
    <xdr:to>
      <xdr:col>3</xdr:col>
      <xdr:colOff>809625</xdr:colOff>
      <xdr:row>409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CxnSpPr/>
      </xdr:nvCxnSpPr>
      <xdr:spPr>
        <a:xfrm>
          <a:off x="552450" y="419862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438</xdr:row>
      <xdr:rowOff>0</xdr:rowOff>
    </xdr:from>
    <xdr:to>
      <xdr:col>5</xdr:col>
      <xdr:colOff>971550</xdr:colOff>
      <xdr:row>438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CxnSpPr/>
      </xdr:nvCxnSpPr>
      <xdr:spPr>
        <a:xfrm>
          <a:off x="4200525" y="522636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438</xdr:row>
      <xdr:rowOff>0</xdr:rowOff>
    </xdr:from>
    <xdr:to>
      <xdr:col>3</xdr:col>
      <xdr:colOff>809625</xdr:colOff>
      <xdr:row>438</xdr:row>
      <xdr:rowOff>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CxnSpPr/>
      </xdr:nvCxnSpPr>
      <xdr:spPr>
        <a:xfrm>
          <a:off x="552450" y="522636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467</xdr:row>
      <xdr:rowOff>0</xdr:rowOff>
    </xdr:from>
    <xdr:to>
      <xdr:col>5</xdr:col>
      <xdr:colOff>971550</xdr:colOff>
      <xdr:row>467</xdr:row>
      <xdr:rowOff>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CxnSpPr/>
      </xdr:nvCxnSpPr>
      <xdr:spPr>
        <a:xfrm>
          <a:off x="4200525" y="625411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467</xdr:row>
      <xdr:rowOff>0</xdr:rowOff>
    </xdr:from>
    <xdr:to>
      <xdr:col>3</xdr:col>
      <xdr:colOff>809625</xdr:colOff>
      <xdr:row>467</xdr:row>
      <xdr:rowOff>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CxnSpPr/>
      </xdr:nvCxnSpPr>
      <xdr:spPr>
        <a:xfrm>
          <a:off x="552450" y="625411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496</xdr:row>
      <xdr:rowOff>0</xdr:rowOff>
    </xdr:from>
    <xdr:to>
      <xdr:col>5</xdr:col>
      <xdr:colOff>971550</xdr:colOff>
      <xdr:row>496</xdr:row>
      <xdr:rowOff>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CxnSpPr/>
      </xdr:nvCxnSpPr>
      <xdr:spPr>
        <a:xfrm>
          <a:off x="4200525" y="728186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496</xdr:row>
      <xdr:rowOff>0</xdr:rowOff>
    </xdr:from>
    <xdr:to>
      <xdr:col>3</xdr:col>
      <xdr:colOff>809625</xdr:colOff>
      <xdr:row>496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CxnSpPr/>
      </xdr:nvCxnSpPr>
      <xdr:spPr>
        <a:xfrm>
          <a:off x="552450" y="728186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525</xdr:row>
      <xdr:rowOff>0</xdr:rowOff>
    </xdr:from>
    <xdr:to>
      <xdr:col>5</xdr:col>
      <xdr:colOff>971550</xdr:colOff>
      <xdr:row>525</xdr:row>
      <xdr:rowOff>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CxnSpPr/>
      </xdr:nvCxnSpPr>
      <xdr:spPr>
        <a:xfrm>
          <a:off x="4200525" y="830961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525</xdr:row>
      <xdr:rowOff>0</xdr:rowOff>
    </xdr:from>
    <xdr:to>
      <xdr:col>3</xdr:col>
      <xdr:colOff>809625</xdr:colOff>
      <xdr:row>525</xdr:row>
      <xdr:rowOff>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CxnSpPr/>
      </xdr:nvCxnSpPr>
      <xdr:spPr>
        <a:xfrm>
          <a:off x="552450" y="830961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554</xdr:row>
      <xdr:rowOff>0</xdr:rowOff>
    </xdr:from>
    <xdr:to>
      <xdr:col>5</xdr:col>
      <xdr:colOff>971550</xdr:colOff>
      <xdr:row>554</xdr:row>
      <xdr:rowOff>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CxnSpPr/>
      </xdr:nvCxnSpPr>
      <xdr:spPr>
        <a:xfrm>
          <a:off x="4200525" y="933735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554</xdr:row>
      <xdr:rowOff>0</xdr:rowOff>
    </xdr:from>
    <xdr:to>
      <xdr:col>3</xdr:col>
      <xdr:colOff>809625</xdr:colOff>
      <xdr:row>554</xdr:row>
      <xdr:rowOff>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CxnSpPr/>
      </xdr:nvCxnSpPr>
      <xdr:spPr>
        <a:xfrm>
          <a:off x="552450" y="933735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583</xdr:row>
      <xdr:rowOff>0</xdr:rowOff>
    </xdr:from>
    <xdr:to>
      <xdr:col>5</xdr:col>
      <xdr:colOff>971550</xdr:colOff>
      <xdr:row>583</xdr:row>
      <xdr:rowOff>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CxnSpPr/>
      </xdr:nvCxnSpPr>
      <xdr:spPr>
        <a:xfrm>
          <a:off x="4200525" y="1036510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583</xdr:row>
      <xdr:rowOff>0</xdr:rowOff>
    </xdr:from>
    <xdr:to>
      <xdr:col>3</xdr:col>
      <xdr:colOff>809625</xdr:colOff>
      <xdr:row>583</xdr:row>
      <xdr:rowOff>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CxnSpPr/>
      </xdr:nvCxnSpPr>
      <xdr:spPr>
        <a:xfrm>
          <a:off x="552450" y="1036510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612</xdr:row>
      <xdr:rowOff>0</xdr:rowOff>
    </xdr:from>
    <xdr:to>
      <xdr:col>5</xdr:col>
      <xdr:colOff>971550</xdr:colOff>
      <xdr:row>612</xdr:row>
      <xdr:rowOff>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612</xdr:row>
      <xdr:rowOff>0</xdr:rowOff>
    </xdr:from>
    <xdr:to>
      <xdr:col>3</xdr:col>
      <xdr:colOff>809625</xdr:colOff>
      <xdr:row>612</xdr:row>
      <xdr:rowOff>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641</xdr:row>
      <xdr:rowOff>0</xdr:rowOff>
    </xdr:from>
    <xdr:to>
      <xdr:col>5</xdr:col>
      <xdr:colOff>971550</xdr:colOff>
      <xdr:row>641</xdr:row>
      <xdr:rowOff>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CxnSpPr/>
      </xdr:nvCxnSpPr>
      <xdr:spPr>
        <a:xfrm>
          <a:off x="4200525" y="214312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641</xdr:row>
      <xdr:rowOff>0</xdr:rowOff>
    </xdr:from>
    <xdr:to>
      <xdr:col>3</xdr:col>
      <xdr:colOff>809625</xdr:colOff>
      <xdr:row>641</xdr:row>
      <xdr:rowOff>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CxnSpPr/>
      </xdr:nvCxnSpPr>
      <xdr:spPr>
        <a:xfrm>
          <a:off x="552450" y="214312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670</xdr:row>
      <xdr:rowOff>0</xdr:rowOff>
    </xdr:from>
    <xdr:to>
      <xdr:col>5</xdr:col>
      <xdr:colOff>971550</xdr:colOff>
      <xdr:row>670</xdr:row>
      <xdr:rowOff>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CxnSpPr/>
      </xdr:nvCxnSpPr>
      <xdr:spPr>
        <a:xfrm>
          <a:off x="4200525" y="317087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670</xdr:row>
      <xdr:rowOff>0</xdr:rowOff>
    </xdr:from>
    <xdr:to>
      <xdr:col>3</xdr:col>
      <xdr:colOff>809625</xdr:colOff>
      <xdr:row>670</xdr:row>
      <xdr:rowOff>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CxnSpPr/>
      </xdr:nvCxnSpPr>
      <xdr:spPr>
        <a:xfrm>
          <a:off x="552450" y="317087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699</xdr:row>
      <xdr:rowOff>0</xdr:rowOff>
    </xdr:from>
    <xdr:to>
      <xdr:col>5</xdr:col>
      <xdr:colOff>971550</xdr:colOff>
      <xdr:row>699</xdr:row>
      <xdr:rowOff>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CxnSpPr/>
      </xdr:nvCxnSpPr>
      <xdr:spPr>
        <a:xfrm>
          <a:off x="4200525" y="419862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699</xdr:row>
      <xdr:rowOff>0</xdr:rowOff>
    </xdr:from>
    <xdr:to>
      <xdr:col>3</xdr:col>
      <xdr:colOff>809625</xdr:colOff>
      <xdr:row>699</xdr:row>
      <xdr:rowOff>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CxnSpPr/>
      </xdr:nvCxnSpPr>
      <xdr:spPr>
        <a:xfrm>
          <a:off x="552450" y="419862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728</xdr:row>
      <xdr:rowOff>0</xdr:rowOff>
    </xdr:from>
    <xdr:to>
      <xdr:col>5</xdr:col>
      <xdr:colOff>971550</xdr:colOff>
      <xdr:row>728</xdr:row>
      <xdr:rowOff>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CxnSpPr/>
      </xdr:nvCxnSpPr>
      <xdr:spPr>
        <a:xfrm>
          <a:off x="4200525" y="522636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728</xdr:row>
      <xdr:rowOff>0</xdr:rowOff>
    </xdr:from>
    <xdr:to>
      <xdr:col>3</xdr:col>
      <xdr:colOff>809625</xdr:colOff>
      <xdr:row>728</xdr:row>
      <xdr:rowOff>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CxnSpPr/>
      </xdr:nvCxnSpPr>
      <xdr:spPr>
        <a:xfrm>
          <a:off x="552450" y="522636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757</xdr:row>
      <xdr:rowOff>0</xdr:rowOff>
    </xdr:from>
    <xdr:to>
      <xdr:col>5</xdr:col>
      <xdr:colOff>971550</xdr:colOff>
      <xdr:row>757</xdr:row>
      <xdr:rowOff>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CxnSpPr/>
      </xdr:nvCxnSpPr>
      <xdr:spPr>
        <a:xfrm>
          <a:off x="4200525" y="625411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757</xdr:row>
      <xdr:rowOff>0</xdr:rowOff>
    </xdr:from>
    <xdr:to>
      <xdr:col>3</xdr:col>
      <xdr:colOff>809625</xdr:colOff>
      <xdr:row>757</xdr:row>
      <xdr:rowOff>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CxnSpPr/>
      </xdr:nvCxnSpPr>
      <xdr:spPr>
        <a:xfrm>
          <a:off x="552450" y="625411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786</xdr:row>
      <xdr:rowOff>0</xdr:rowOff>
    </xdr:from>
    <xdr:to>
      <xdr:col>5</xdr:col>
      <xdr:colOff>971550</xdr:colOff>
      <xdr:row>786</xdr:row>
      <xdr:rowOff>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CxnSpPr/>
      </xdr:nvCxnSpPr>
      <xdr:spPr>
        <a:xfrm>
          <a:off x="4200525" y="728186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786</xdr:row>
      <xdr:rowOff>0</xdr:rowOff>
    </xdr:from>
    <xdr:to>
      <xdr:col>3</xdr:col>
      <xdr:colOff>809625</xdr:colOff>
      <xdr:row>786</xdr:row>
      <xdr:rowOff>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CxnSpPr/>
      </xdr:nvCxnSpPr>
      <xdr:spPr>
        <a:xfrm>
          <a:off x="552450" y="728186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815</xdr:row>
      <xdr:rowOff>0</xdr:rowOff>
    </xdr:from>
    <xdr:to>
      <xdr:col>5</xdr:col>
      <xdr:colOff>971550</xdr:colOff>
      <xdr:row>815</xdr:row>
      <xdr:rowOff>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CxnSpPr/>
      </xdr:nvCxnSpPr>
      <xdr:spPr>
        <a:xfrm>
          <a:off x="4200525" y="830961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815</xdr:row>
      <xdr:rowOff>0</xdr:rowOff>
    </xdr:from>
    <xdr:to>
      <xdr:col>3</xdr:col>
      <xdr:colOff>809625</xdr:colOff>
      <xdr:row>815</xdr:row>
      <xdr:rowOff>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CxnSpPr/>
      </xdr:nvCxnSpPr>
      <xdr:spPr>
        <a:xfrm>
          <a:off x="552450" y="830961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844</xdr:row>
      <xdr:rowOff>0</xdr:rowOff>
    </xdr:from>
    <xdr:to>
      <xdr:col>5</xdr:col>
      <xdr:colOff>971550</xdr:colOff>
      <xdr:row>844</xdr:row>
      <xdr:rowOff>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CxnSpPr/>
      </xdr:nvCxnSpPr>
      <xdr:spPr>
        <a:xfrm>
          <a:off x="4200525" y="933735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844</xdr:row>
      <xdr:rowOff>0</xdr:rowOff>
    </xdr:from>
    <xdr:to>
      <xdr:col>3</xdr:col>
      <xdr:colOff>809625</xdr:colOff>
      <xdr:row>844</xdr:row>
      <xdr:rowOff>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CxnSpPr/>
      </xdr:nvCxnSpPr>
      <xdr:spPr>
        <a:xfrm>
          <a:off x="552450" y="933735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873</xdr:row>
      <xdr:rowOff>0</xdr:rowOff>
    </xdr:from>
    <xdr:to>
      <xdr:col>5</xdr:col>
      <xdr:colOff>971550</xdr:colOff>
      <xdr:row>873</xdr:row>
      <xdr:rowOff>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CxnSpPr/>
      </xdr:nvCxnSpPr>
      <xdr:spPr>
        <a:xfrm>
          <a:off x="4200525" y="1036510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873</xdr:row>
      <xdr:rowOff>0</xdr:rowOff>
    </xdr:from>
    <xdr:to>
      <xdr:col>3</xdr:col>
      <xdr:colOff>809625</xdr:colOff>
      <xdr:row>873</xdr:row>
      <xdr:rowOff>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CxnSpPr/>
      </xdr:nvCxnSpPr>
      <xdr:spPr>
        <a:xfrm>
          <a:off x="552450" y="1036510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902</xdr:row>
      <xdr:rowOff>0</xdr:rowOff>
    </xdr:from>
    <xdr:to>
      <xdr:col>5</xdr:col>
      <xdr:colOff>971550</xdr:colOff>
      <xdr:row>902</xdr:row>
      <xdr:rowOff>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902</xdr:row>
      <xdr:rowOff>0</xdr:rowOff>
    </xdr:from>
    <xdr:to>
      <xdr:col>3</xdr:col>
      <xdr:colOff>809625</xdr:colOff>
      <xdr:row>902</xdr:row>
      <xdr:rowOff>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931</xdr:row>
      <xdr:rowOff>0</xdr:rowOff>
    </xdr:from>
    <xdr:to>
      <xdr:col>5</xdr:col>
      <xdr:colOff>971550</xdr:colOff>
      <xdr:row>931</xdr:row>
      <xdr:rowOff>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CxnSpPr/>
      </xdr:nvCxnSpPr>
      <xdr:spPr>
        <a:xfrm>
          <a:off x="4200525" y="214312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931</xdr:row>
      <xdr:rowOff>0</xdr:rowOff>
    </xdr:from>
    <xdr:to>
      <xdr:col>3</xdr:col>
      <xdr:colOff>809625</xdr:colOff>
      <xdr:row>931</xdr:row>
      <xdr:rowOff>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CxnSpPr/>
      </xdr:nvCxnSpPr>
      <xdr:spPr>
        <a:xfrm>
          <a:off x="552450" y="214312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960</xdr:row>
      <xdr:rowOff>0</xdr:rowOff>
    </xdr:from>
    <xdr:to>
      <xdr:col>5</xdr:col>
      <xdr:colOff>971550</xdr:colOff>
      <xdr:row>960</xdr:row>
      <xdr:rowOff>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CxnSpPr/>
      </xdr:nvCxnSpPr>
      <xdr:spPr>
        <a:xfrm>
          <a:off x="4200525" y="317087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960</xdr:row>
      <xdr:rowOff>0</xdr:rowOff>
    </xdr:from>
    <xdr:to>
      <xdr:col>3</xdr:col>
      <xdr:colOff>809625</xdr:colOff>
      <xdr:row>960</xdr:row>
      <xdr:rowOff>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CxnSpPr/>
      </xdr:nvCxnSpPr>
      <xdr:spPr>
        <a:xfrm>
          <a:off x="552450" y="317087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989</xdr:row>
      <xdr:rowOff>0</xdr:rowOff>
    </xdr:from>
    <xdr:to>
      <xdr:col>5</xdr:col>
      <xdr:colOff>971550</xdr:colOff>
      <xdr:row>989</xdr:row>
      <xdr:rowOff>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CxnSpPr/>
      </xdr:nvCxnSpPr>
      <xdr:spPr>
        <a:xfrm>
          <a:off x="4200525" y="419862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989</xdr:row>
      <xdr:rowOff>0</xdr:rowOff>
    </xdr:from>
    <xdr:to>
      <xdr:col>3</xdr:col>
      <xdr:colOff>809625</xdr:colOff>
      <xdr:row>989</xdr:row>
      <xdr:rowOff>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CxnSpPr/>
      </xdr:nvCxnSpPr>
      <xdr:spPr>
        <a:xfrm>
          <a:off x="552450" y="419862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1018</xdr:row>
      <xdr:rowOff>0</xdr:rowOff>
    </xdr:from>
    <xdr:to>
      <xdr:col>5</xdr:col>
      <xdr:colOff>971550</xdr:colOff>
      <xdr:row>1018</xdr:row>
      <xdr:rowOff>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CxnSpPr/>
      </xdr:nvCxnSpPr>
      <xdr:spPr>
        <a:xfrm>
          <a:off x="4200525" y="522636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1018</xdr:row>
      <xdr:rowOff>0</xdr:rowOff>
    </xdr:from>
    <xdr:to>
      <xdr:col>3</xdr:col>
      <xdr:colOff>809625</xdr:colOff>
      <xdr:row>1018</xdr:row>
      <xdr:rowOff>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CxnSpPr/>
      </xdr:nvCxnSpPr>
      <xdr:spPr>
        <a:xfrm>
          <a:off x="552450" y="522636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1047</xdr:row>
      <xdr:rowOff>0</xdr:rowOff>
    </xdr:from>
    <xdr:to>
      <xdr:col>5</xdr:col>
      <xdr:colOff>971550</xdr:colOff>
      <xdr:row>1047</xdr:row>
      <xdr:rowOff>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CxnSpPr/>
      </xdr:nvCxnSpPr>
      <xdr:spPr>
        <a:xfrm>
          <a:off x="4200525" y="625411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1047</xdr:row>
      <xdr:rowOff>0</xdr:rowOff>
    </xdr:from>
    <xdr:to>
      <xdr:col>3</xdr:col>
      <xdr:colOff>809625</xdr:colOff>
      <xdr:row>1047</xdr:row>
      <xdr:rowOff>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CxnSpPr/>
      </xdr:nvCxnSpPr>
      <xdr:spPr>
        <a:xfrm>
          <a:off x="552450" y="625411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1076</xdr:row>
      <xdr:rowOff>0</xdr:rowOff>
    </xdr:from>
    <xdr:to>
      <xdr:col>5</xdr:col>
      <xdr:colOff>971550</xdr:colOff>
      <xdr:row>1076</xdr:row>
      <xdr:rowOff>0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CxnSpPr/>
      </xdr:nvCxnSpPr>
      <xdr:spPr>
        <a:xfrm>
          <a:off x="4200525" y="728186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1076</xdr:row>
      <xdr:rowOff>0</xdr:rowOff>
    </xdr:from>
    <xdr:to>
      <xdr:col>3</xdr:col>
      <xdr:colOff>809625</xdr:colOff>
      <xdr:row>1076</xdr:row>
      <xdr:rowOff>0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CxnSpPr/>
      </xdr:nvCxnSpPr>
      <xdr:spPr>
        <a:xfrm>
          <a:off x="552450" y="728186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1105</xdr:row>
      <xdr:rowOff>0</xdr:rowOff>
    </xdr:from>
    <xdr:to>
      <xdr:col>5</xdr:col>
      <xdr:colOff>971550</xdr:colOff>
      <xdr:row>1105</xdr:row>
      <xdr:rowOff>0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CxnSpPr/>
      </xdr:nvCxnSpPr>
      <xdr:spPr>
        <a:xfrm>
          <a:off x="4200525" y="830961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1105</xdr:row>
      <xdr:rowOff>0</xdr:rowOff>
    </xdr:from>
    <xdr:to>
      <xdr:col>3</xdr:col>
      <xdr:colOff>809625</xdr:colOff>
      <xdr:row>1105</xdr:row>
      <xdr:rowOff>0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CxnSpPr/>
      </xdr:nvCxnSpPr>
      <xdr:spPr>
        <a:xfrm>
          <a:off x="552450" y="830961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1134</xdr:row>
      <xdr:rowOff>0</xdr:rowOff>
    </xdr:from>
    <xdr:to>
      <xdr:col>5</xdr:col>
      <xdr:colOff>971550</xdr:colOff>
      <xdr:row>1134</xdr:row>
      <xdr:rowOff>0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CxnSpPr/>
      </xdr:nvCxnSpPr>
      <xdr:spPr>
        <a:xfrm>
          <a:off x="4200525" y="933735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1134</xdr:row>
      <xdr:rowOff>0</xdr:rowOff>
    </xdr:from>
    <xdr:to>
      <xdr:col>3</xdr:col>
      <xdr:colOff>809625</xdr:colOff>
      <xdr:row>1134</xdr:row>
      <xdr:rowOff>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CxnSpPr/>
      </xdr:nvCxnSpPr>
      <xdr:spPr>
        <a:xfrm>
          <a:off x="552450" y="933735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1163</xdr:row>
      <xdr:rowOff>0</xdr:rowOff>
    </xdr:from>
    <xdr:to>
      <xdr:col>5</xdr:col>
      <xdr:colOff>971550</xdr:colOff>
      <xdr:row>1163</xdr:row>
      <xdr:rowOff>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CxnSpPr/>
      </xdr:nvCxnSpPr>
      <xdr:spPr>
        <a:xfrm>
          <a:off x="4200525" y="1036510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1163</xdr:row>
      <xdr:rowOff>0</xdr:rowOff>
    </xdr:from>
    <xdr:to>
      <xdr:col>3</xdr:col>
      <xdr:colOff>809625</xdr:colOff>
      <xdr:row>1163</xdr:row>
      <xdr:rowOff>0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CxnSpPr/>
      </xdr:nvCxnSpPr>
      <xdr:spPr>
        <a:xfrm>
          <a:off x="552450" y="1036510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1192</xdr:row>
      <xdr:rowOff>0</xdr:rowOff>
    </xdr:from>
    <xdr:to>
      <xdr:col>5</xdr:col>
      <xdr:colOff>971550</xdr:colOff>
      <xdr:row>1192</xdr:row>
      <xdr:rowOff>0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CxnSpPr/>
      </xdr:nvCxnSpPr>
      <xdr:spPr>
        <a:xfrm>
          <a:off x="4200525" y="111537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1192</xdr:row>
      <xdr:rowOff>0</xdr:rowOff>
    </xdr:from>
    <xdr:to>
      <xdr:col>3</xdr:col>
      <xdr:colOff>809625</xdr:colOff>
      <xdr:row>1192</xdr:row>
      <xdr:rowOff>0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CxnSpPr/>
      </xdr:nvCxnSpPr>
      <xdr:spPr>
        <a:xfrm>
          <a:off x="552450" y="111537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1221</xdr:row>
      <xdr:rowOff>0</xdr:rowOff>
    </xdr:from>
    <xdr:to>
      <xdr:col>5</xdr:col>
      <xdr:colOff>971550</xdr:colOff>
      <xdr:row>1221</xdr:row>
      <xdr:rowOff>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CxnSpPr/>
      </xdr:nvCxnSpPr>
      <xdr:spPr>
        <a:xfrm>
          <a:off x="4200525" y="214312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1221</xdr:row>
      <xdr:rowOff>0</xdr:rowOff>
    </xdr:from>
    <xdr:to>
      <xdr:col>3</xdr:col>
      <xdr:colOff>809625</xdr:colOff>
      <xdr:row>1221</xdr:row>
      <xdr:rowOff>0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CxnSpPr/>
      </xdr:nvCxnSpPr>
      <xdr:spPr>
        <a:xfrm>
          <a:off x="552450" y="214312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1250</xdr:row>
      <xdr:rowOff>0</xdr:rowOff>
    </xdr:from>
    <xdr:to>
      <xdr:col>5</xdr:col>
      <xdr:colOff>971550</xdr:colOff>
      <xdr:row>1250</xdr:row>
      <xdr:rowOff>0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CxnSpPr/>
      </xdr:nvCxnSpPr>
      <xdr:spPr>
        <a:xfrm>
          <a:off x="4200525" y="317087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1250</xdr:row>
      <xdr:rowOff>0</xdr:rowOff>
    </xdr:from>
    <xdr:to>
      <xdr:col>3</xdr:col>
      <xdr:colOff>809625</xdr:colOff>
      <xdr:row>1250</xdr:row>
      <xdr:rowOff>0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CxnSpPr/>
      </xdr:nvCxnSpPr>
      <xdr:spPr>
        <a:xfrm>
          <a:off x="552450" y="317087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1279</xdr:row>
      <xdr:rowOff>0</xdr:rowOff>
    </xdr:from>
    <xdr:to>
      <xdr:col>5</xdr:col>
      <xdr:colOff>971550</xdr:colOff>
      <xdr:row>1279</xdr:row>
      <xdr:rowOff>0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CxnSpPr/>
      </xdr:nvCxnSpPr>
      <xdr:spPr>
        <a:xfrm>
          <a:off x="4200525" y="419862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1279</xdr:row>
      <xdr:rowOff>0</xdr:rowOff>
    </xdr:from>
    <xdr:to>
      <xdr:col>3</xdr:col>
      <xdr:colOff>809625</xdr:colOff>
      <xdr:row>1279</xdr:row>
      <xdr:rowOff>0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CxnSpPr/>
      </xdr:nvCxnSpPr>
      <xdr:spPr>
        <a:xfrm>
          <a:off x="552450" y="419862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1308</xdr:row>
      <xdr:rowOff>0</xdr:rowOff>
    </xdr:from>
    <xdr:to>
      <xdr:col>5</xdr:col>
      <xdr:colOff>971550</xdr:colOff>
      <xdr:row>1308</xdr:row>
      <xdr:rowOff>0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CxnSpPr/>
      </xdr:nvCxnSpPr>
      <xdr:spPr>
        <a:xfrm>
          <a:off x="4200525" y="522636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1308</xdr:row>
      <xdr:rowOff>0</xdr:rowOff>
    </xdr:from>
    <xdr:to>
      <xdr:col>3</xdr:col>
      <xdr:colOff>809625</xdr:colOff>
      <xdr:row>1308</xdr:row>
      <xdr:rowOff>0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CxnSpPr/>
      </xdr:nvCxnSpPr>
      <xdr:spPr>
        <a:xfrm>
          <a:off x="552450" y="522636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1337</xdr:row>
      <xdr:rowOff>0</xdr:rowOff>
    </xdr:from>
    <xdr:to>
      <xdr:col>5</xdr:col>
      <xdr:colOff>971550</xdr:colOff>
      <xdr:row>1337</xdr:row>
      <xdr:rowOff>0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CxnSpPr/>
      </xdr:nvCxnSpPr>
      <xdr:spPr>
        <a:xfrm>
          <a:off x="4200525" y="625411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1337</xdr:row>
      <xdr:rowOff>0</xdr:rowOff>
    </xdr:from>
    <xdr:to>
      <xdr:col>3</xdr:col>
      <xdr:colOff>809625</xdr:colOff>
      <xdr:row>1337</xdr:row>
      <xdr:rowOff>0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CxnSpPr/>
      </xdr:nvCxnSpPr>
      <xdr:spPr>
        <a:xfrm>
          <a:off x="552450" y="625411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1366</xdr:row>
      <xdr:rowOff>0</xdr:rowOff>
    </xdr:from>
    <xdr:to>
      <xdr:col>5</xdr:col>
      <xdr:colOff>971550</xdr:colOff>
      <xdr:row>1366</xdr:row>
      <xdr:rowOff>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CxnSpPr/>
      </xdr:nvCxnSpPr>
      <xdr:spPr>
        <a:xfrm>
          <a:off x="4200525" y="728186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1366</xdr:row>
      <xdr:rowOff>0</xdr:rowOff>
    </xdr:from>
    <xdr:to>
      <xdr:col>3</xdr:col>
      <xdr:colOff>809625</xdr:colOff>
      <xdr:row>1366</xdr:row>
      <xdr:rowOff>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CxnSpPr/>
      </xdr:nvCxnSpPr>
      <xdr:spPr>
        <a:xfrm>
          <a:off x="552450" y="728186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1395</xdr:row>
      <xdr:rowOff>0</xdr:rowOff>
    </xdr:from>
    <xdr:to>
      <xdr:col>5</xdr:col>
      <xdr:colOff>971550</xdr:colOff>
      <xdr:row>1395</xdr:row>
      <xdr:rowOff>0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CxnSpPr/>
      </xdr:nvCxnSpPr>
      <xdr:spPr>
        <a:xfrm>
          <a:off x="4200525" y="830961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1395</xdr:row>
      <xdr:rowOff>0</xdr:rowOff>
    </xdr:from>
    <xdr:to>
      <xdr:col>3</xdr:col>
      <xdr:colOff>809625</xdr:colOff>
      <xdr:row>1395</xdr:row>
      <xdr:rowOff>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CxnSpPr/>
      </xdr:nvCxnSpPr>
      <xdr:spPr>
        <a:xfrm>
          <a:off x="552450" y="830961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1424</xdr:row>
      <xdr:rowOff>0</xdr:rowOff>
    </xdr:from>
    <xdr:to>
      <xdr:col>5</xdr:col>
      <xdr:colOff>971550</xdr:colOff>
      <xdr:row>1424</xdr:row>
      <xdr:rowOff>0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1200-000068000000}"/>
            </a:ext>
          </a:extLst>
        </xdr:cNvPr>
        <xdr:cNvCxnSpPr/>
      </xdr:nvCxnSpPr>
      <xdr:spPr>
        <a:xfrm>
          <a:off x="4200525" y="933735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1424</xdr:row>
      <xdr:rowOff>0</xdr:rowOff>
    </xdr:from>
    <xdr:to>
      <xdr:col>3</xdr:col>
      <xdr:colOff>809625</xdr:colOff>
      <xdr:row>1424</xdr:row>
      <xdr:rowOff>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CxnSpPr/>
      </xdr:nvCxnSpPr>
      <xdr:spPr>
        <a:xfrm>
          <a:off x="552450" y="933735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1453</xdr:row>
      <xdr:rowOff>0</xdr:rowOff>
    </xdr:from>
    <xdr:to>
      <xdr:col>5</xdr:col>
      <xdr:colOff>971550</xdr:colOff>
      <xdr:row>1453</xdr:row>
      <xdr:rowOff>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1200-00006A000000}"/>
            </a:ext>
          </a:extLst>
        </xdr:cNvPr>
        <xdr:cNvCxnSpPr/>
      </xdr:nvCxnSpPr>
      <xdr:spPr>
        <a:xfrm>
          <a:off x="4200525" y="1036510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1453</xdr:row>
      <xdr:rowOff>0</xdr:rowOff>
    </xdr:from>
    <xdr:to>
      <xdr:col>3</xdr:col>
      <xdr:colOff>809625</xdr:colOff>
      <xdr:row>1453</xdr:row>
      <xdr:rowOff>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1200-00006B000000}"/>
            </a:ext>
          </a:extLst>
        </xdr:cNvPr>
        <xdr:cNvCxnSpPr/>
      </xdr:nvCxnSpPr>
      <xdr:spPr>
        <a:xfrm>
          <a:off x="552450" y="1036510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1482</xdr:row>
      <xdr:rowOff>0</xdr:rowOff>
    </xdr:from>
    <xdr:to>
      <xdr:col>5</xdr:col>
      <xdr:colOff>971550</xdr:colOff>
      <xdr:row>1482</xdr:row>
      <xdr:rowOff>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CxnSpPr/>
      </xdr:nvCxnSpPr>
      <xdr:spPr>
        <a:xfrm>
          <a:off x="4200525" y="48391762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1482</xdr:row>
      <xdr:rowOff>0</xdr:rowOff>
    </xdr:from>
    <xdr:to>
      <xdr:col>3</xdr:col>
      <xdr:colOff>809625</xdr:colOff>
      <xdr:row>1482</xdr:row>
      <xdr:rowOff>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1200-00006D000000}"/>
            </a:ext>
          </a:extLst>
        </xdr:cNvPr>
        <xdr:cNvCxnSpPr/>
      </xdr:nvCxnSpPr>
      <xdr:spPr>
        <a:xfrm>
          <a:off x="552450" y="48391762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1511</xdr:row>
      <xdr:rowOff>0</xdr:rowOff>
    </xdr:from>
    <xdr:to>
      <xdr:col>5</xdr:col>
      <xdr:colOff>971550</xdr:colOff>
      <xdr:row>1511</xdr:row>
      <xdr:rowOff>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1200-00006E000000}"/>
            </a:ext>
          </a:extLst>
        </xdr:cNvPr>
        <xdr:cNvCxnSpPr/>
      </xdr:nvCxnSpPr>
      <xdr:spPr>
        <a:xfrm>
          <a:off x="4200525" y="49419510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1511</xdr:row>
      <xdr:rowOff>0</xdr:rowOff>
    </xdr:from>
    <xdr:to>
      <xdr:col>3</xdr:col>
      <xdr:colOff>809625</xdr:colOff>
      <xdr:row>1511</xdr:row>
      <xdr:rowOff>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CxnSpPr/>
      </xdr:nvCxnSpPr>
      <xdr:spPr>
        <a:xfrm>
          <a:off x="552450" y="49419510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1540</xdr:row>
      <xdr:rowOff>0</xdr:rowOff>
    </xdr:from>
    <xdr:to>
      <xdr:col>5</xdr:col>
      <xdr:colOff>971550</xdr:colOff>
      <xdr:row>1540</xdr:row>
      <xdr:rowOff>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1200-000070000000}"/>
            </a:ext>
          </a:extLst>
        </xdr:cNvPr>
        <xdr:cNvCxnSpPr/>
      </xdr:nvCxnSpPr>
      <xdr:spPr>
        <a:xfrm>
          <a:off x="4200525" y="504472575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1540</xdr:row>
      <xdr:rowOff>0</xdr:rowOff>
    </xdr:from>
    <xdr:to>
      <xdr:col>3</xdr:col>
      <xdr:colOff>809625</xdr:colOff>
      <xdr:row>1540</xdr:row>
      <xdr:rowOff>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1200-000071000000}"/>
            </a:ext>
          </a:extLst>
        </xdr:cNvPr>
        <xdr:cNvCxnSpPr/>
      </xdr:nvCxnSpPr>
      <xdr:spPr>
        <a:xfrm>
          <a:off x="552450" y="504472575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962025</xdr:colOff>
      <xdr:row>1569</xdr:row>
      <xdr:rowOff>0</xdr:rowOff>
    </xdr:from>
    <xdr:to>
      <xdr:col>5</xdr:col>
      <xdr:colOff>971550</xdr:colOff>
      <xdr:row>1569</xdr:row>
      <xdr:rowOff>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CxnSpPr/>
      </xdr:nvCxnSpPr>
      <xdr:spPr>
        <a:xfrm>
          <a:off x="4200525" y="514750050"/>
          <a:ext cx="1562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1569</xdr:row>
      <xdr:rowOff>0</xdr:rowOff>
    </xdr:from>
    <xdr:to>
      <xdr:col>3</xdr:col>
      <xdr:colOff>809625</xdr:colOff>
      <xdr:row>1569</xdr:row>
      <xdr:rowOff>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1200-000073000000}"/>
            </a:ext>
          </a:extLst>
        </xdr:cNvPr>
        <xdr:cNvCxnSpPr/>
      </xdr:nvCxnSpPr>
      <xdr:spPr>
        <a:xfrm>
          <a:off x="552450" y="514750050"/>
          <a:ext cx="21526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1597</xdr:row>
          <xdr:rowOff>114300</xdr:rowOff>
        </xdr:from>
        <xdr:to>
          <xdr:col>4</xdr:col>
          <xdr:colOff>251460</xdr:colOff>
          <xdr:row>1598</xdr:row>
          <xdr:rowOff>160020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2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đầu trang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22860</xdr:rowOff>
        </xdr:from>
        <xdr:to>
          <xdr:col>0</xdr:col>
          <xdr:colOff>754380</xdr:colOff>
          <xdr:row>3</xdr:row>
          <xdr:rowOff>83820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Toán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3</xdr:row>
          <xdr:rowOff>106680</xdr:rowOff>
        </xdr:from>
        <xdr:to>
          <xdr:col>0</xdr:col>
          <xdr:colOff>754380</xdr:colOff>
          <xdr:row>4</xdr:row>
          <xdr:rowOff>175260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Vật lí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16</xdr:row>
          <xdr:rowOff>114300</xdr:rowOff>
        </xdr:from>
        <xdr:to>
          <xdr:col>0</xdr:col>
          <xdr:colOff>754380</xdr:colOff>
          <xdr:row>17</xdr:row>
          <xdr:rowOff>182880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13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Công nghệ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15</xdr:row>
          <xdr:rowOff>30480</xdr:rowOff>
        </xdr:from>
        <xdr:to>
          <xdr:col>0</xdr:col>
          <xdr:colOff>754380</xdr:colOff>
          <xdr:row>16</xdr:row>
          <xdr:rowOff>99060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3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GDCD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13</xdr:row>
          <xdr:rowOff>137160</xdr:rowOff>
        </xdr:from>
        <xdr:to>
          <xdr:col>0</xdr:col>
          <xdr:colOff>754380</xdr:colOff>
          <xdr:row>15</xdr:row>
          <xdr:rowOff>7620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13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Anh văn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12</xdr:row>
          <xdr:rowOff>45720</xdr:rowOff>
        </xdr:from>
        <xdr:to>
          <xdr:col>0</xdr:col>
          <xdr:colOff>754380</xdr:colOff>
          <xdr:row>13</xdr:row>
          <xdr:rowOff>114300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13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Địa lí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10</xdr:row>
          <xdr:rowOff>152400</xdr:rowOff>
        </xdr:from>
        <xdr:to>
          <xdr:col>0</xdr:col>
          <xdr:colOff>754380</xdr:colOff>
          <xdr:row>12</xdr:row>
          <xdr:rowOff>30480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13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Lịch sử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9</xdr:row>
          <xdr:rowOff>68580</xdr:rowOff>
        </xdr:from>
        <xdr:to>
          <xdr:col>0</xdr:col>
          <xdr:colOff>754380</xdr:colOff>
          <xdr:row>10</xdr:row>
          <xdr:rowOff>137160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13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Ngữ văn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7</xdr:row>
          <xdr:rowOff>175260</xdr:rowOff>
        </xdr:from>
        <xdr:to>
          <xdr:col>0</xdr:col>
          <xdr:colOff>754380</xdr:colOff>
          <xdr:row>9</xdr:row>
          <xdr:rowOff>45720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13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Tin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83820</xdr:rowOff>
        </xdr:from>
        <xdr:to>
          <xdr:col>0</xdr:col>
          <xdr:colOff>754380</xdr:colOff>
          <xdr:row>7</xdr:row>
          <xdr:rowOff>152400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13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Sinh học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5</xdr:row>
          <xdr:rowOff>0</xdr:rowOff>
        </xdr:from>
        <xdr:to>
          <xdr:col>0</xdr:col>
          <xdr:colOff>754380</xdr:colOff>
          <xdr:row>6</xdr:row>
          <xdr:rowOff>68580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13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Hóa học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20</xdr:row>
          <xdr:rowOff>182880</xdr:rowOff>
        </xdr:from>
        <xdr:to>
          <xdr:col>0</xdr:col>
          <xdr:colOff>754380</xdr:colOff>
          <xdr:row>22</xdr:row>
          <xdr:rowOff>60960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13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Nghề 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19</xdr:row>
          <xdr:rowOff>99060</xdr:rowOff>
        </xdr:from>
        <xdr:to>
          <xdr:col>0</xdr:col>
          <xdr:colOff>754380</xdr:colOff>
          <xdr:row>20</xdr:row>
          <xdr:rowOff>160020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13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GDQP-AN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7620</xdr:rowOff>
        </xdr:from>
        <xdr:to>
          <xdr:col>0</xdr:col>
          <xdr:colOff>754380</xdr:colOff>
          <xdr:row>19</xdr:row>
          <xdr:rowOff>76200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13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Thể dục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26</xdr:row>
          <xdr:rowOff>182880</xdr:rowOff>
        </xdr:from>
        <xdr:to>
          <xdr:col>0</xdr:col>
          <xdr:colOff>754380</xdr:colOff>
          <xdr:row>29</xdr:row>
          <xdr:rowOff>121920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13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 nhận xét học sinh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714375</xdr:colOff>
      <xdr:row>2</xdr:row>
      <xdr:rowOff>209550</xdr:rowOff>
    </xdr:from>
    <xdr:to>
      <xdr:col>6</xdr:col>
      <xdr:colOff>419100</xdr:colOff>
      <xdr:row>2</xdr:row>
      <xdr:rowOff>209550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CxnSpPr/>
      </xdr:nvCxnSpPr>
      <xdr:spPr>
        <a:xfrm>
          <a:off x="5000625" y="819150"/>
          <a:ext cx="15430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</xdr:row>
      <xdr:rowOff>209550</xdr:rowOff>
    </xdr:from>
    <xdr:to>
      <xdr:col>3</xdr:col>
      <xdr:colOff>1190625</xdr:colOff>
      <xdr:row>2</xdr:row>
      <xdr:rowOff>209550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CxnSpPr/>
      </xdr:nvCxnSpPr>
      <xdr:spPr>
        <a:xfrm>
          <a:off x="533400" y="819150"/>
          <a:ext cx="24288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68580</xdr:rowOff>
        </xdr:from>
        <xdr:to>
          <xdr:col>2</xdr:col>
          <xdr:colOff>609600</xdr:colOff>
          <xdr:row>0</xdr:row>
          <xdr:rowOff>327660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5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Kéo lên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632460</xdr:colOff>
          <xdr:row>0</xdr:row>
          <xdr:rowOff>60960</xdr:rowOff>
        </xdr:from>
        <xdr:to>
          <xdr:col>3</xdr:col>
          <xdr:colOff>1074420</xdr:colOff>
          <xdr:row>0</xdr:row>
          <xdr:rowOff>312420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5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trang đầu</a:t>
              </a:r>
            </a:p>
            <a:p>
              <a:pPr algn="ctr" rtl="0">
                <a:defRPr sz="1000"/>
              </a:pPr>
              <a:endPara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1104900</xdr:colOff>
          <xdr:row>0</xdr:row>
          <xdr:rowOff>45720</xdr:rowOff>
        </xdr:from>
        <xdr:to>
          <xdr:col>4</xdr:col>
          <xdr:colOff>213360</xdr:colOff>
          <xdr:row>0</xdr:row>
          <xdr:rowOff>312420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5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Kéo xuống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0</xdr:row>
      <xdr:rowOff>9525</xdr:rowOff>
    </xdr:from>
    <xdr:to>
      <xdr:col>19</xdr:col>
      <xdr:colOff>333375</xdr:colOff>
      <xdr:row>0</xdr:row>
      <xdr:rowOff>323850</xdr:rowOff>
    </xdr:to>
    <xdr:sp macro="" textlink="">
      <xdr:nvSpPr>
        <xdr:cNvPr id="11" name="Speech Bubble: Rectangle with Corners Rounded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7600950" y="9525"/>
          <a:ext cx="3676650" cy="314325"/>
        </a:xfrm>
        <a:prstGeom prst="wedgeRoundRectCallout">
          <a:avLst>
            <a:gd name="adj1" fmla="val -55602"/>
            <a:gd name="adj2" fmla="val 18822"/>
            <a:gd name="adj3" fmla="val 16667"/>
          </a:avLst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accent1">
                  <a:lumMod val="50000"/>
                </a:schemeClr>
              </a:solidFill>
            </a:rPr>
            <a:t>Nhập</a:t>
          </a:r>
          <a:r>
            <a:rPr lang="en-US" sz="1100" baseline="0">
              <a:solidFill>
                <a:schemeClr val="accent1">
                  <a:lumMod val="50000"/>
                </a:schemeClr>
              </a:solidFill>
            </a:rPr>
            <a:t> ngày in, nếu lấy ngày hiện tại thì để trống.</a:t>
          </a:r>
          <a:endParaRPr 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714375</xdr:colOff>
      <xdr:row>31</xdr:row>
      <xdr:rowOff>209550</xdr:rowOff>
    </xdr:from>
    <xdr:to>
      <xdr:col>6</xdr:col>
      <xdr:colOff>419100</xdr:colOff>
      <xdr:row>31</xdr:row>
      <xdr:rowOff>209550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CxnSpPr/>
      </xdr:nvCxnSpPr>
      <xdr:spPr>
        <a:xfrm>
          <a:off x="4933950" y="819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31</xdr:row>
      <xdr:rowOff>209550</xdr:rowOff>
    </xdr:from>
    <xdr:to>
      <xdr:col>3</xdr:col>
      <xdr:colOff>1190625</xdr:colOff>
      <xdr:row>31</xdr:row>
      <xdr:rowOff>209550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CxnSpPr/>
      </xdr:nvCxnSpPr>
      <xdr:spPr>
        <a:xfrm>
          <a:off x="533400" y="819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60</xdr:row>
      <xdr:rowOff>209550</xdr:rowOff>
    </xdr:from>
    <xdr:to>
      <xdr:col>6</xdr:col>
      <xdr:colOff>419100</xdr:colOff>
      <xdr:row>60</xdr:row>
      <xdr:rowOff>209550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60</xdr:row>
      <xdr:rowOff>209550</xdr:rowOff>
    </xdr:from>
    <xdr:to>
      <xdr:col>3</xdr:col>
      <xdr:colOff>1190625</xdr:colOff>
      <xdr:row>60</xdr:row>
      <xdr:rowOff>209550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89</xdr:row>
      <xdr:rowOff>209550</xdr:rowOff>
    </xdr:from>
    <xdr:to>
      <xdr:col>6</xdr:col>
      <xdr:colOff>419100</xdr:colOff>
      <xdr:row>89</xdr:row>
      <xdr:rowOff>209550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89</xdr:row>
      <xdr:rowOff>209550</xdr:rowOff>
    </xdr:from>
    <xdr:to>
      <xdr:col>3</xdr:col>
      <xdr:colOff>1190625</xdr:colOff>
      <xdr:row>89</xdr:row>
      <xdr:rowOff>209550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118</xdr:row>
      <xdr:rowOff>209550</xdr:rowOff>
    </xdr:from>
    <xdr:to>
      <xdr:col>6</xdr:col>
      <xdr:colOff>419100</xdr:colOff>
      <xdr:row>118</xdr:row>
      <xdr:rowOff>209550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118</xdr:row>
      <xdr:rowOff>209550</xdr:rowOff>
    </xdr:from>
    <xdr:to>
      <xdr:col>3</xdr:col>
      <xdr:colOff>1190625</xdr:colOff>
      <xdr:row>118</xdr:row>
      <xdr:rowOff>209550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147</xdr:row>
      <xdr:rowOff>209550</xdr:rowOff>
    </xdr:from>
    <xdr:to>
      <xdr:col>6</xdr:col>
      <xdr:colOff>419100</xdr:colOff>
      <xdr:row>147</xdr:row>
      <xdr:rowOff>209550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147</xdr:row>
      <xdr:rowOff>209550</xdr:rowOff>
    </xdr:from>
    <xdr:to>
      <xdr:col>3</xdr:col>
      <xdr:colOff>1190625</xdr:colOff>
      <xdr:row>147</xdr:row>
      <xdr:rowOff>209550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176</xdr:row>
      <xdr:rowOff>209550</xdr:rowOff>
    </xdr:from>
    <xdr:to>
      <xdr:col>6</xdr:col>
      <xdr:colOff>419100</xdr:colOff>
      <xdr:row>176</xdr:row>
      <xdr:rowOff>209550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176</xdr:row>
      <xdr:rowOff>209550</xdr:rowOff>
    </xdr:from>
    <xdr:to>
      <xdr:col>3</xdr:col>
      <xdr:colOff>1190625</xdr:colOff>
      <xdr:row>176</xdr:row>
      <xdr:rowOff>209550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205</xdr:row>
      <xdr:rowOff>209550</xdr:rowOff>
    </xdr:from>
    <xdr:to>
      <xdr:col>6</xdr:col>
      <xdr:colOff>419100</xdr:colOff>
      <xdr:row>205</xdr:row>
      <xdr:rowOff>209550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205</xdr:row>
      <xdr:rowOff>209550</xdr:rowOff>
    </xdr:from>
    <xdr:to>
      <xdr:col>3</xdr:col>
      <xdr:colOff>1190625</xdr:colOff>
      <xdr:row>205</xdr:row>
      <xdr:rowOff>209550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234</xdr:row>
      <xdr:rowOff>209550</xdr:rowOff>
    </xdr:from>
    <xdr:to>
      <xdr:col>6</xdr:col>
      <xdr:colOff>419100</xdr:colOff>
      <xdr:row>234</xdr:row>
      <xdr:rowOff>209550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234</xdr:row>
      <xdr:rowOff>209550</xdr:rowOff>
    </xdr:from>
    <xdr:to>
      <xdr:col>3</xdr:col>
      <xdr:colOff>1190625</xdr:colOff>
      <xdr:row>234</xdr:row>
      <xdr:rowOff>209550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263</xdr:row>
      <xdr:rowOff>209550</xdr:rowOff>
    </xdr:from>
    <xdr:to>
      <xdr:col>6</xdr:col>
      <xdr:colOff>419100</xdr:colOff>
      <xdr:row>263</xdr:row>
      <xdr:rowOff>209550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263</xdr:row>
      <xdr:rowOff>209550</xdr:rowOff>
    </xdr:from>
    <xdr:to>
      <xdr:col>3</xdr:col>
      <xdr:colOff>1190625</xdr:colOff>
      <xdr:row>263</xdr:row>
      <xdr:rowOff>209550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292</xdr:row>
      <xdr:rowOff>209550</xdr:rowOff>
    </xdr:from>
    <xdr:to>
      <xdr:col>6</xdr:col>
      <xdr:colOff>419100</xdr:colOff>
      <xdr:row>292</xdr:row>
      <xdr:rowOff>209550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292</xdr:row>
      <xdr:rowOff>209550</xdr:rowOff>
    </xdr:from>
    <xdr:to>
      <xdr:col>3</xdr:col>
      <xdr:colOff>1190625</xdr:colOff>
      <xdr:row>292</xdr:row>
      <xdr:rowOff>209550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321</xdr:row>
      <xdr:rowOff>209550</xdr:rowOff>
    </xdr:from>
    <xdr:to>
      <xdr:col>6</xdr:col>
      <xdr:colOff>419100</xdr:colOff>
      <xdr:row>321</xdr:row>
      <xdr:rowOff>209550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321</xdr:row>
      <xdr:rowOff>209550</xdr:rowOff>
    </xdr:from>
    <xdr:to>
      <xdr:col>3</xdr:col>
      <xdr:colOff>1190625</xdr:colOff>
      <xdr:row>321</xdr:row>
      <xdr:rowOff>209550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350</xdr:row>
      <xdr:rowOff>209550</xdr:rowOff>
    </xdr:from>
    <xdr:to>
      <xdr:col>6</xdr:col>
      <xdr:colOff>419100</xdr:colOff>
      <xdr:row>350</xdr:row>
      <xdr:rowOff>209550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CxnSpPr/>
      </xdr:nvCxnSpPr>
      <xdr:spPr>
        <a:xfrm>
          <a:off x="4933950" y="253555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350</xdr:row>
      <xdr:rowOff>209550</xdr:rowOff>
    </xdr:from>
    <xdr:to>
      <xdr:col>3</xdr:col>
      <xdr:colOff>1190625</xdr:colOff>
      <xdr:row>350</xdr:row>
      <xdr:rowOff>209550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CxnSpPr/>
      </xdr:nvCxnSpPr>
      <xdr:spPr>
        <a:xfrm>
          <a:off x="533400" y="253555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379</xdr:row>
      <xdr:rowOff>209550</xdr:rowOff>
    </xdr:from>
    <xdr:to>
      <xdr:col>6</xdr:col>
      <xdr:colOff>419100</xdr:colOff>
      <xdr:row>379</xdr:row>
      <xdr:rowOff>209550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CxnSpPr/>
      </xdr:nvCxnSpPr>
      <xdr:spPr>
        <a:xfrm>
          <a:off x="4933950" y="376237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379</xdr:row>
      <xdr:rowOff>209550</xdr:rowOff>
    </xdr:from>
    <xdr:to>
      <xdr:col>3</xdr:col>
      <xdr:colOff>1190625</xdr:colOff>
      <xdr:row>379</xdr:row>
      <xdr:rowOff>209550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CxnSpPr/>
      </xdr:nvCxnSpPr>
      <xdr:spPr>
        <a:xfrm>
          <a:off x="533400" y="376237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408</xdr:row>
      <xdr:rowOff>209550</xdr:rowOff>
    </xdr:from>
    <xdr:to>
      <xdr:col>6</xdr:col>
      <xdr:colOff>419100</xdr:colOff>
      <xdr:row>408</xdr:row>
      <xdr:rowOff>209550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CxnSpPr/>
      </xdr:nvCxnSpPr>
      <xdr:spPr>
        <a:xfrm>
          <a:off x="4933950" y="498919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408</xdr:row>
      <xdr:rowOff>209550</xdr:rowOff>
    </xdr:from>
    <xdr:to>
      <xdr:col>3</xdr:col>
      <xdr:colOff>1190625</xdr:colOff>
      <xdr:row>408</xdr:row>
      <xdr:rowOff>209550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CxnSpPr/>
      </xdr:nvCxnSpPr>
      <xdr:spPr>
        <a:xfrm>
          <a:off x="533400" y="498919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437</xdr:row>
      <xdr:rowOff>209550</xdr:rowOff>
    </xdr:from>
    <xdr:to>
      <xdr:col>6</xdr:col>
      <xdr:colOff>419100</xdr:colOff>
      <xdr:row>437</xdr:row>
      <xdr:rowOff>209550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CxnSpPr/>
      </xdr:nvCxnSpPr>
      <xdr:spPr>
        <a:xfrm>
          <a:off x="4933950" y="62160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437</xdr:row>
      <xdr:rowOff>209550</xdr:rowOff>
    </xdr:from>
    <xdr:to>
      <xdr:col>3</xdr:col>
      <xdr:colOff>1190625</xdr:colOff>
      <xdr:row>437</xdr:row>
      <xdr:rowOff>209550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CxnSpPr/>
      </xdr:nvCxnSpPr>
      <xdr:spPr>
        <a:xfrm>
          <a:off x="533400" y="62160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466</xdr:row>
      <xdr:rowOff>209550</xdr:rowOff>
    </xdr:from>
    <xdr:to>
      <xdr:col>6</xdr:col>
      <xdr:colOff>419100</xdr:colOff>
      <xdr:row>466</xdr:row>
      <xdr:rowOff>209550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CxnSpPr/>
      </xdr:nvCxnSpPr>
      <xdr:spPr>
        <a:xfrm>
          <a:off x="4933950" y="74428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466</xdr:row>
      <xdr:rowOff>209550</xdr:rowOff>
    </xdr:from>
    <xdr:to>
      <xdr:col>3</xdr:col>
      <xdr:colOff>1190625</xdr:colOff>
      <xdr:row>466</xdr:row>
      <xdr:rowOff>209550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CxnSpPr/>
      </xdr:nvCxnSpPr>
      <xdr:spPr>
        <a:xfrm>
          <a:off x="533400" y="74428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495</xdr:row>
      <xdr:rowOff>209550</xdr:rowOff>
    </xdr:from>
    <xdr:to>
      <xdr:col>6</xdr:col>
      <xdr:colOff>419100</xdr:colOff>
      <xdr:row>495</xdr:row>
      <xdr:rowOff>209550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CxnSpPr/>
      </xdr:nvCxnSpPr>
      <xdr:spPr>
        <a:xfrm>
          <a:off x="4933950" y="866965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495</xdr:row>
      <xdr:rowOff>209550</xdr:rowOff>
    </xdr:from>
    <xdr:to>
      <xdr:col>3</xdr:col>
      <xdr:colOff>1190625</xdr:colOff>
      <xdr:row>495</xdr:row>
      <xdr:rowOff>209550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CxnSpPr/>
      </xdr:nvCxnSpPr>
      <xdr:spPr>
        <a:xfrm>
          <a:off x="533400" y="866965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524</xdr:row>
      <xdr:rowOff>209550</xdr:rowOff>
    </xdr:from>
    <xdr:to>
      <xdr:col>6</xdr:col>
      <xdr:colOff>419100</xdr:colOff>
      <xdr:row>524</xdr:row>
      <xdr:rowOff>209550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CxnSpPr/>
      </xdr:nvCxnSpPr>
      <xdr:spPr>
        <a:xfrm>
          <a:off x="4933950" y="989647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524</xdr:row>
      <xdr:rowOff>209550</xdr:rowOff>
    </xdr:from>
    <xdr:to>
      <xdr:col>3</xdr:col>
      <xdr:colOff>1190625</xdr:colOff>
      <xdr:row>524</xdr:row>
      <xdr:rowOff>209550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CxnSpPr/>
      </xdr:nvCxnSpPr>
      <xdr:spPr>
        <a:xfrm>
          <a:off x="533400" y="989647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553</xdr:row>
      <xdr:rowOff>209550</xdr:rowOff>
    </xdr:from>
    <xdr:to>
      <xdr:col>6</xdr:col>
      <xdr:colOff>419100</xdr:colOff>
      <xdr:row>553</xdr:row>
      <xdr:rowOff>209550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CxnSpPr/>
      </xdr:nvCxnSpPr>
      <xdr:spPr>
        <a:xfrm>
          <a:off x="4933950" y="1112329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553</xdr:row>
      <xdr:rowOff>209550</xdr:rowOff>
    </xdr:from>
    <xdr:to>
      <xdr:col>3</xdr:col>
      <xdr:colOff>1190625</xdr:colOff>
      <xdr:row>553</xdr:row>
      <xdr:rowOff>209550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1500-000036000000}"/>
            </a:ext>
          </a:extLst>
        </xdr:cNvPr>
        <xdr:cNvCxnSpPr/>
      </xdr:nvCxnSpPr>
      <xdr:spPr>
        <a:xfrm>
          <a:off x="533400" y="1112329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582</xdr:row>
      <xdr:rowOff>209550</xdr:rowOff>
    </xdr:from>
    <xdr:to>
      <xdr:col>6</xdr:col>
      <xdr:colOff>419100</xdr:colOff>
      <xdr:row>582</xdr:row>
      <xdr:rowOff>209550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CxnSpPr/>
      </xdr:nvCxnSpPr>
      <xdr:spPr>
        <a:xfrm>
          <a:off x="4933950" y="123501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582</xdr:row>
      <xdr:rowOff>209550</xdr:rowOff>
    </xdr:from>
    <xdr:to>
      <xdr:col>3</xdr:col>
      <xdr:colOff>1190625</xdr:colOff>
      <xdr:row>582</xdr:row>
      <xdr:rowOff>209550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CxnSpPr/>
      </xdr:nvCxnSpPr>
      <xdr:spPr>
        <a:xfrm>
          <a:off x="533400" y="123501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611</xdr:row>
      <xdr:rowOff>209550</xdr:rowOff>
    </xdr:from>
    <xdr:to>
      <xdr:col>6</xdr:col>
      <xdr:colOff>419100</xdr:colOff>
      <xdr:row>611</xdr:row>
      <xdr:rowOff>209550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611</xdr:row>
      <xdr:rowOff>209550</xdr:rowOff>
    </xdr:from>
    <xdr:to>
      <xdr:col>3</xdr:col>
      <xdr:colOff>1190625</xdr:colOff>
      <xdr:row>611</xdr:row>
      <xdr:rowOff>209550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640</xdr:row>
      <xdr:rowOff>209550</xdr:rowOff>
    </xdr:from>
    <xdr:to>
      <xdr:col>6</xdr:col>
      <xdr:colOff>419100</xdr:colOff>
      <xdr:row>640</xdr:row>
      <xdr:rowOff>209550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CxnSpPr/>
      </xdr:nvCxnSpPr>
      <xdr:spPr>
        <a:xfrm>
          <a:off x="4933950" y="253555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640</xdr:row>
      <xdr:rowOff>209550</xdr:rowOff>
    </xdr:from>
    <xdr:to>
      <xdr:col>3</xdr:col>
      <xdr:colOff>1190625</xdr:colOff>
      <xdr:row>640</xdr:row>
      <xdr:rowOff>209550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1500-00003C000000}"/>
            </a:ext>
          </a:extLst>
        </xdr:cNvPr>
        <xdr:cNvCxnSpPr/>
      </xdr:nvCxnSpPr>
      <xdr:spPr>
        <a:xfrm>
          <a:off x="533400" y="253555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669</xdr:row>
      <xdr:rowOff>209550</xdr:rowOff>
    </xdr:from>
    <xdr:to>
      <xdr:col>6</xdr:col>
      <xdr:colOff>419100</xdr:colOff>
      <xdr:row>669</xdr:row>
      <xdr:rowOff>209550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1500-00003D000000}"/>
            </a:ext>
          </a:extLst>
        </xdr:cNvPr>
        <xdr:cNvCxnSpPr/>
      </xdr:nvCxnSpPr>
      <xdr:spPr>
        <a:xfrm>
          <a:off x="4933950" y="376237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669</xdr:row>
      <xdr:rowOff>209550</xdr:rowOff>
    </xdr:from>
    <xdr:to>
      <xdr:col>3</xdr:col>
      <xdr:colOff>1190625</xdr:colOff>
      <xdr:row>669</xdr:row>
      <xdr:rowOff>209550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1500-00003E000000}"/>
            </a:ext>
          </a:extLst>
        </xdr:cNvPr>
        <xdr:cNvCxnSpPr/>
      </xdr:nvCxnSpPr>
      <xdr:spPr>
        <a:xfrm>
          <a:off x="533400" y="376237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698</xdr:row>
      <xdr:rowOff>209550</xdr:rowOff>
    </xdr:from>
    <xdr:to>
      <xdr:col>6</xdr:col>
      <xdr:colOff>419100</xdr:colOff>
      <xdr:row>698</xdr:row>
      <xdr:rowOff>209550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1500-00003F000000}"/>
            </a:ext>
          </a:extLst>
        </xdr:cNvPr>
        <xdr:cNvCxnSpPr/>
      </xdr:nvCxnSpPr>
      <xdr:spPr>
        <a:xfrm>
          <a:off x="4933950" y="498919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698</xdr:row>
      <xdr:rowOff>209550</xdr:rowOff>
    </xdr:from>
    <xdr:to>
      <xdr:col>3</xdr:col>
      <xdr:colOff>1190625</xdr:colOff>
      <xdr:row>698</xdr:row>
      <xdr:rowOff>209550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1500-000040000000}"/>
            </a:ext>
          </a:extLst>
        </xdr:cNvPr>
        <xdr:cNvCxnSpPr/>
      </xdr:nvCxnSpPr>
      <xdr:spPr>
        <a:xfrm>
          <a:off x="533400" y="498919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727</xdr:row>
      <xdr:rowOff>209550</xdr:rowOff>
    </xdr:from>
    <xdr:to>
      <xdr:col>6</xdr:col>
      <xdr:colOff>419100</xdr:colOff>
      <xdr:row>727</xdr:row>
      <xdr:rowOff>209550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1500-000041000000}"/>
            </a:ext>
          </a:extLst>
        </xdr:cNvPr>
        <xdr:cNvCxnSpPr/>
      </xdr:nvCxnSpPr>
      <xdr:spPr>
        <a:xfrm>
          <a:off x="4933950" y="62160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727</xdr:row>
      <xdr:rowOff>209550</xdr:rowOff>
    </xdr:from>
    <xdr:to>
      <xdr:col>3</xdr:col>
      <xdr:colOff>1190625</xdr:colOff>
      <xdr:row>727</xdr:row>
      <xdr:rowOff>209550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1500-000042000000}"/>
            </a:ext>
          </a:extLst>
        </xdr:cNvPr>
        <xdr:cNvCxnSpPr/>
      </xdr:nvCxnSpPr>
      <xdr:spPr>
        <a:xfrm>
          <a:off x="533400" y="62160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756</xdr:row>
      <xdr:rowOff>209550</xdr:rowOff>
    </xdr:from>
    <xdr:to>
      <xdr:col>6</xdr:col>
      <xdr:colOff>419100</xdr:colOff>
      <xdr:row>756</xdr:row>
      <xdr:rowOff>209550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1500-000043000000}"/>
            </a:ext>
          </a:extLst>
        </xdr:cNvPr>
        <xdr:cNvCxnSpPr/>
      </xdr:nvCxnSpPr>
      <xdr:spPr>
        <a:xfrm>
          <a:off x="4933950" y="74428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756</xdr:row>
      <xdr:rowOff>209550</xdr:rowOff>
    </xdr:from>
    <xdr:to>
      <xdr:col>3</xdr:col>
      <xdr:colOff>1190625</xdr:colOff>
      <xdr:row>756</xdr:row>
      <xdr:rowOff>209550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1500-000044000000}"/>
            </a:ext>
          </a:extLst>
        </xdr:cNvPr>
        <xdr:cNvCxnSpPr/>
      </xdr:nvCxnSpPr>
      <xdr:spPr>
        <a:xfrm>
          <a:off x="533400" y="74428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785</xdr:row>
      <xdr:rowOff>209550</xdr:rowOff>
    </xdr:from>
    <xdr:to>
      <xdr:col>6</xdr:col>
      <xdr:colOff>419100</xdr:colOff>
      <xdr:row>785</xdr:row>
      <xdr:rowOff>209550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CxnSpPr/>
      </xdr:nvCxnSpPr>
      <xdr:spPr>
        <a:xfrm>
          <a:off x="4933950" y="866965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785</xdr:row>
      <xdr:rowOff>209550</xdr:rowOff>
    </xdr:from>
    <xdr:to>
      <xdr:col>3</xdr:col>
      <xdr:colOff>1190625</xdr:colOff>
      <xdr:row>785</xdr:row>
      <xdr:rowOff>209550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1500-000046000000}"/>
            </a:ext>
          </a:extLst>
        </xdr:cNvPr>
        <xdr:cNvCxnSpPr/>
      </xdr:nvCxnSpPr>
      <xdr:spPr>
        <a:xfrm>
          <a:off x="533400" y="866965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814</xdr:row>
      <xdr:rowOff>209550</xdr:rowOff>
    </xdr:from>
    <xdr:to>
      <xdr:col>6</xdr:col>
      <xdr:colOff>419100</xdr:colOff>
      <xdr:row>814</xdr:row>
      <xdr:rowOff>209550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1500-000047000000}"/>
            </a:ext>
          </a:extLst>
        </xdr:cNvPr>
        <xdr:cNvCxnSpPr/>
      </xdr:nvCxnSpPr>
      <xdr:spPr>
        <a:xfrm>
          <a:off x="4933950" y="989647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814</xdr:row>
      <xdr:rowOff>209550</xdr:rowOff>
    </xdr:from>
    <xdr:to>
      <xdr:col>3</xdr:col>
      <xdr:colOff>1190625</xdr:colOff>
      <xdr:row>814</xdr:row>
      <xdr:rowOff>209550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00000000-0008-0000-1500-000048000000}"/>
            </a:ext>
          </a:extLst>
        </xdr:cNvPr>
        <xdr:cNvCxnSpPr/>
      </xdr:nvCxnSpPr>
      <xdr:spPr>
        <a:xfrm>
          <a:off x="533400" y="989647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843</xdr:row>
      <xdr:rowOff>209550</xdr:rowOff>
    </xdr:from>
    <xdr:to>
      <xdr:col>6</xdr:col>
      <xdr:colOff>419100</xdr:colOff>
      <xdr:row>843</xdr:row>
      <xdr:rowOff>209550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1500-000049000000}"/>
            </a:ext>
          </a:extLst>
        </xdr:cNvPr>
        <xdr:cNvCxnSpPr/>
      </xdr:nvCxnSpPr>
      <xdr:spPr>
        <a:xfrm>
          <a:off x="4933950" y="1112329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843</xdr:row>
      <xdr:rowOff>209550</xdr:rowOff>
    </xdr:from>
    <xdr:to>
      <xdr:col>3</xdr:col>
      <xdr:colOff>1190625</xdr:colOff>
      <xdr:row>843</xdr:row>
      <xdr:rowOff>209550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1500-00004A000000}"/>
            </a:ext>
          </a:extLst>
        </xdr:cNvPr>
        <xdr:cNvCxnSpPr/>
      </xdr:nvCxnSpPr>
      <xdr:spPr>
        <a:xfrm>
          <a:off x="533400" y="1112329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872</xdr:row>
      <xdr:rowOff>209550</xdr:rowOff>
    </xdr:from>
    <xdr:to>
      <xdr:col>6</xdr:col>
      <xdr:colOff>419100</xdr:colOff>
      <xdr:row>872</xdr:row>
      <xdr:rowOff>209550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1500-00004B000000}"/>
            </a:ext>
          </a:extLst>
        </xdr:cNvPr>
        <xdr:cNvCxnSpPr/>
      </xdr:nvCxnSpPr>
      <xdr:spPr>
        <a:xfrm>
          <a:off x="4933950" y="123501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872</xdr:row>
      <xdr:rowOff>209550</xdr:rowOff>
    </xdr:from>
    <xdr:to>
      <xdr:col>3</xdr:col>
      <xdr:colOff>1190625</xdr:colOff>
      <xdr:row>872</xdr:row>
      <xdr:rowOff>209550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1500-00004C000000}"/>
            </a:ext>
          </a:extLst>
        </xdr:cNvPr>
        <xdr:cNvCxnSpPr/>
      </xdr:nvCxnSpPr>
      <xdr:spPr>
        <a:xfrm>
          <a:off x="533400" y="123501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901</xdr:row>
      <xdr:rowOff>209550</xdr:rowOff>
    </xdr:from>
    <xdr:to>
      <xdr:col>6</xdr:col>
      <xdr:colOff>419100</xdr:colOff>
      <xdr:row>901</xdr:row>
      <xdr:rowOff>209550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1500-00004D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901</xdr:row>
      <xdr:rowOff>209550</xdr:rowOff>
    </xdr:from>
    <xdr:to>
      <xdr:col>3</xdr:col>
      <xdr:colOff>1190625</xdr:colOff>
      <xdr:row>901</xdr:row>
      <xdr:rowOff>209550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00000000-0008-0000-1500-00004E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930</xdr:row>
      <xdr:rowOff>209550</xdr:rowOff>
    </xdr:from>
    <xdr:to>
      <xdr:col>6</xdr:col>
      <xdr:colOff>419100</xdr:colOff>
      <xdr:row>930</xdr:row>
      <xdr:rowOff>209550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1500-00004F000000}"/>
            </a:ext>
          </a:extLst>
        </xdr:cNvPr>
        <xdr:cNvCxnSpPr/>
      </xdr:nvCxnSpPr>
      <xdr:spPr>
        <a:xfrm>
          <a:off x="4933950" y="253555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930</xdr:row>
      <xdr:rowOff>209550</xdr:rowOff>
    </xdr:from>
    <xdr:to>
      <xdr:col>3</xdr:col>
      <xdr:colOff>1190625</xdr:colOff>
      <xdr:row>930</xdr:row>
      <xdr:rowOff>209550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CxnSpPr/>
      </xdr:nvCxnSpPr>
      <xdr:spPr>
        <a:xfrm>
          <a:off x="533400" y="253555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959</xdr:row>
      <xdr:rowOff>209550</xdr:rowOff>
    </xdr:from>
    <xdr:to>
      <xdr:col>6</xdr:col>
      <xdr:colOff>419100</xdr:colOff>
      <xdr:row>959</xdr:row>
      <xdr:rowOff>209550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CxnSpPr/>
      </xdr:nvCxnSpPr>
      <xdr:spPr>
        <a:xfrm>
          <a:off x="4933950" y="376237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959</xdr:row>
      <xdr:rowOff>209550</xdr:rowOff>
    </xdr:from>
    <xdr:to>
      <xdr:col>3</xdr:col>
      <xdr:colOff>1190625</xdr:colOff>
      <xdr:row>959</xdr:row>
      <xdr:rowOff>209550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CxnSpPr/>
      </xdr:nvCxnSpPr>
      <xdr:spPr>
        <a:xfrm>
          <a:off x="533400" y="376237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988</xdr:row>
      <xdr:rowOff>209550</xdr:rowOff>
    </xdr:from>
    <xdr:to>
      <xdr:col>6</xdr:col>
      <xdr:colOff>419100</xdr:colOff>
      <xdr:row>988</xdr:row>
      <xdr:rowOff>209550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CxnSpPr/>
      </xdr:nvCxnSpPr>
      <xdr:spPr>
        <a:xfrm>
          <a:off x="4933950" y="498919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988</xdr:row>
      <xdr:rowOff>209550</xdr:rowOff>
    </xdr:from>
    <xdr:to>
      <xdr:col>3</xdr:col>
      <xdr:colOff>1190625</xdr:colOff>
      <xdr:row>988</xdr:row>
      <xdr:rowOff>209550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CxnSpPr/>
      </xdr:nvCxnSpPr>
      <xdr:spPr>
        <a:xfrm>
          <a:off x="533400" y="498919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1017</xdr:row>
      <xdr:rowOff>209550</xdr:rowOff>
    </xdr:from>
    <xdr:to>
      <xdr:col>6</xdr:col>
      <xdr:colOff>419100</xdr:colOff>
      <xdr:row>1017</xdr:row>
      <xdr:rowOff>209550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CxnSpPr/>
      </xdr:nvCxnSpPr>
      <xdr:spPr>
        <a:xfrm>
          <a:off x="4933950" y="62160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1017</xdr:row>
      <xdr:rowOff>209550</xdr:rowOff>
    </xdr:from>
    <xdr:to>
      <xdr:col>3</xdr:col>
      <xdr:colOff>1190625</xdr:colOff>
      <xdr:row>1017</xdr:row>
      <xdr:rowOff>209550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CxnSpPr/>
      </xdr:nvCxnSpPr>
      <xdr:spPr>
        <a:xfrm>
          <a:off x="533400" y="62160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1046</xdr:row>
      <xdr:rowOff>209550</xdr:rowOff>
    </xdr:from>
    <xdr:to>
      <xdr:col>6</xdr:col>
      <xdr:colOff>419100</xdr:colOff>
      <xdr:row>1046</xdr:row>
      <xdr:rowOff>209550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1500-000057000000}"/>
            </a:ext>
          </a:extLst>
        </xdr:cNvPr>
        <xdr:cNvCxnSpPr/>
      </xdr:nvCxnSpPr>
      <xdr:spPr>
        <a:xfrm>
          <a:off x="4933950" y="74428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1046</xdr:row>
      <xdr:rowOff>209550</xdr:rowOff>
    </xdr:from>
    <xdr:to>
      <xdr:col>3</xdr:col>
      <xdr:colOff>1190625</xdr:colOff>
      <xdr:row>1046</xdr:row>
      <xdr:rowOff>209550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CxnSpPr/>
      </xdr:nvCxnSpPr>
      <xdr:spPr>
        <a:xfrm>
          <a:off x="533400" y="74428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1075</xdr:row>
      <xdr:rowOff>209550</xdr:rowOff>
    </xdr:from>
    <xdr:to>
      <xdr:col>6</xdr:col>
      <xdr:colOff>419100</xdr:colOff>
      <xdr:row>1075</xdr:row>
      <xdr:rowOff>209550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CxnSpPr/>
      </xdr:nvCxnSpPr>
      <xdr:spPr>
        <a:xfrm>
          <a:off x="4933950" y="866965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1075</xdr:row>
      <xdr:rowOff>209550</xdr:rowOff>
    </xdr:from>
    <xdr:to>
      <xdr:col>3</xdr:col>
      <xdr:colOff>1190625</xdr:colOff>
      <xdr:row>1075</xdr:row>
      <xdr:rowOff>209550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CxnSpPr/>
      </xdr:nvCxnSpPr>
      <xdr:spPr>
        <a:xfrm>
          <a:off x="533400" y="866965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1104</xdr:row>
      <xdr:rowOff>209550</xdr:rowOff>
    </xdr:from>
    <xdr:to>
      <xdr:col>6</xdr:col>
      <xdr:colOff>419100</xdr:colOff>
      <xdr:row>1104</xdr:row>
      <xdr:rowOff>209550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1500-00005B000000}"/>
            </a:ext>
          </a:extLst>
        </xdr:cNvPr>
        <xdr:cNvCxnSpPr/>
      </xdr:nvCxnSpPr>
      <xdr:spPr>
        <a:xfrm>
          <a:off x="4933950" y="989647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1104</xdr:row>
      <xdr:rowOff>209550</xdr:rowOff>
    </xdr:from>
    <xdr:to>
      <xdr:col>3</xdr:col>
      <xdr:colOff>1190625</xdr:colOff>
      <xdr:row>1104</xdr:row>
      <xdr:rowOff>209550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CxnSpPr/>
      </xdr:nvCxnSpPr>
      <xdr:spPr>
        <a:xfrm>
          <a:off x="533400" y="989647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1133</xdr:row>
      <xdr:rowOff>209550</xdr:rowOff>
    </xdr:from>
    <xdr:to>
      <xdr:col>6</xdr:col>
      <xdr:colOff>419100</xdr:colOff>
      <xdr:row>1133</xdr:row>
      <xdr:rowOff>209550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CxnSpPr/>
      </xdr:nvCxnSpPr>
      <xdr:spPr>
        <a:xfrm>
          <a:off x="4933950" y="1112329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1133</xdr:row>
      <xdr:rowOff>209550</xdr:rowOff>
    </xdr:from>
    <xdr:to>
      <xdr:col>3</xdr:col>
      <xdr:colOff>1190625</xdr:colOff>
      <xdr:row>1133</xdr:row>
      <xdr:rowOff>209550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CxnSpPr/>
      </xdr:nvCxnSpPr>
      <xdr:spPr>
        <a:xfrm>
          <a:off x="533400" y="1112329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1162</xdr:row>
      <xdr:rowOff>209550</xdr:rowOff>
    </xdr:from>
    <xdr:to>
      <xdr:col>6</xdr:col>
      <xdr:colOff>419100</xdr:colOff>
      <xdr:row>1162</xdr:row>
      <xdr:rowOff>209550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CxnSpPr/>
      </xdr:nvCxnSpPr>
      <xdr:spPr>
        <a:xfrm>
          <a:off x="4933950" y="123501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1162</xdr:row>
      <xdr:rowOff>209550</xdr:rowOff>
    </xdr:from>
    <xdr:to>
      <xdr:col>3</xdr:col>
      <xdr:colOff>1190625</xdr:colOff>
      <xdr:row>1162</xdr:row>
      <xdr:rowOff>209550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CxnSpPr/>
      </xdr:nvCxnSpPr>
      <xdr:spPr>
        <a:xfrm>
          <a:off x="533400" y="123501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1191</xdr:row>
      <xdr:rowOff>209550</xdr:rowOff>
    </xdr:from>
    <xdr:to>
      <xdr:col>6</xdr:col>
      <xdr:colOff>419100</xdr:colOff>
      <xdr:row>1191</xdr:row>
      <xdr:rowOff>209550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CxnSpPr/>
      </xdr:nvCxnSpPr>
      <xdr:spPr>
        <a:xfrm>
          <a:off x="4933950" y="13087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1191</xdr:row>
      <xdr:rowOff>209550</xdr:rowOff>
    </xdr:from>
    <xdr:to>
      <xdr:col>3</xdr:col>
      <xdr:colOff>1190625</xdr:colOff>
      <xdr:row>1191</xdr:row>
      <xdr:rowOff>209550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CxnSpPr/>
      </xdr:nvCxnSpPr>
      <xdr:spPr>
        <a:xfrm>
          <a:off x="533400" y="13087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1220</xdr:row>
      <xdr:rowOff>209550</xdr:rowOff>
    </xdr:from>
    <xdr:to>
      <xdr:col>6</xdr:col>
      <xdr:colOff>419100</xdr:colOff>
      <xdr:row>1220</xdr:row>
      <xdr:rowOff>209550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CxnSpPr/>
      </xdr:nvCxnSpPr>
      <xdr:spPr>
        <a:xfrm>
          <a:off x="4933950" y="253555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1220</xdr:row>
      <xdr:rowOff>209550</xdr:rowOff>
    </xdr:from>
    <xdr:to>
      <xdr:col>3</xdr:col>
      <xdr:colOff>1190625</xdr:colOff>
      <xdr:row>1220</xdr:row>
      <xdr:rowOff>209550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CxnSpPr/>
      </xdr:nvCxnSpPr>
      <xdr:spPr>
        <a:xfrm>
          <a:off x="533400" y="253555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1249</xdr:row>
      <xdr:rowOff>209550</xdr:rowOff>
    </xdr:from>
    <xdr:to>
      <xdr:col>6</xdr:col>
      <xdr:colOff>419100</xdr:colOff>
      <xdr:row>1249</xdr:row>
      <xdr:rowOff>209550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00000000-0008-0000-1500-000065000000}"/>
            </a:ext>
          </a:extLst>
        </xdr:cNvPr>
        <xdr:cNvCxnSpPr/>
      </xdr:nvCxnSpPr>
      <xdr:spPr>
        <a:xfrm>
          <a:off x="4933950" y="376237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1249</xdr:row>
      <xdr:rowOff>209550</xdr:rowOff>
    </xdr:from>
    <xdr:to>
      <xdr:col>3</xdr:col>
      <xdr:colOff>1190625</xdr:colOff>
      <xdr:row>1249</xdr:row>
      <xdr:rowOff>209550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1500-000066000000}"/>
            </a:ext>
          </a:extLst>
        </xdr:cNvPr>
        <xdr:cNvCxnSpPr/>
      </xdr:nvCxnSpPr>
      <xdr:spPr>
        <a:xfrm>
          <a:off x="533400" y="376237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1278</xdr:row>
      <xdr:rowOff>209550</xdr:rowOff>
    </xdr:from>
    <xdr:to>
      <xdr:col>6</xdr:col>
      <xdr:colOff>419100</xdr:colOff>
      <xdr:row>1278</xdr:row>
      <xdr:rowOff>209550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1500-000067000000}"/>
            </a:ext>
          </a:extLst>
        </xdr:cNvPr>
        <xdr:cNvCxnSpPr/>
      </xdr:nvCxnSpPr>
      <xdr:spPr>
        <a:xfrm>
          <a:off x="4933950" y="498919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1278</xdr:row>
      <xdr:rowOff>209550</xdr:rowOff>
    </xdr:from>
    <xdr:to>
      <xdr:col>3</xdr:col>
      <xdr:colOff>1190625</xdr:colOff>
      <xdr:row>1278</xdr:row>
      <xdr:rowOff>209550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1500-000068000000}"/>
            </a:ext>
          </a:extLst>
        </xdr:cNvPr>
        <xdr:cNvCxnSpPr/>
      </xdr:nvCxnSpPr>
      <xdr:spPr>
        <a:xfrm>
          <a:off x="533400" y="498919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1307</xdr:row>
      <xdr:rowOff>209550</xdr:rowOff>
    </xdr:from>
    <xdr:to>
      <xdr:col>6</xdr:col>
      <xdr:colOff>419100</xdr:colOff>
      <xdr:row>1307</xdr:row>
      <xdr:rowOff>209550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1500-000069000000}"/>
            </a:ext>
          </a:extLst>
        </xdr:cNvPr>
        <xdr:cNvCxnSpPr/>
      </xdr:nvCxnSpPr>
      <xdr:spPr>
        <a:xfrm>
          <a:off x="4933950" y="62160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1307</xdr:row>
      <xdr:rowOff>209550</xdr:rowOff>
    </xdr:from>
    <xdr:to>
      <xdr:col>3</xdr:col>
      <xdr:colOff>1190625</xdr:colOff>
      <xdr:row>1307</xdr:row>
      <xdr:rowOff>209550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1500-00006A000000}"/>
            </a:ext>
          </a:extLst>
        </xdr:cNvPr>
        <xdr:cNvCxnSpPr/>
      </xdr:nvCxnSpPr>
      <xdr:spPr>
        <a:xfrm>
          <a:off x="533400" y="62160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1336</xdr:row>
      <xdr:rowOff>209550</xdr:rowOff>
    </xdr:from>
    <xdr:to>
      <xdr:col>6</xdr:col>
      <xdr:colOff>419100</xdr:colOff>
      <xdr:row>1336</xdr:row>
      <xdr:rowOff>209550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1500-00006B000000}"/>
            </a:ext>
          </a:extLst>
        </xdr:cNvPr>
        <xdr:cNvCxnSpPr/>
      </xdr:nvCxnSpPr>
      <xdr:spPr>
        <a:xfrm>
          <a:off x="4933950" y="744283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1336</xdr:row>
      <xdr:rowOff>209550</xdr:rowOff>
    </xdr:from>
    <xdr:to>
      <xdr:col>3</xdr:col>
      <xdr:colOff>1190625</xdr:colOff>
      <xdr:row>1336</xdr:row>
      <xdr:rowOff>209550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1500-00006C000000}"/>
            </a:ext>
          </a:extLst>
        </xdr:cNvPr>
        <xdr:cNvCxnSpPr/>
      </xdr:nvCxnSpPr>
      <xdr:spPr>
        <a:xfrm>
          <a:off x="533400" y="744283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1365</xdr:row>
      <xdr:rowOff>209550</xdr:rowOff>
    </xdr:from>
    <xdr:to>
      <xdr:col>6</xdr:col>
      <xdr:colOff>419100</xdr:colOff>
      <xdr:row>1365</xdr:row>
      <xdr:rowOff>209550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1500-00006D000000}"/>
            </a:ext>
          </a:extLst>
        </xdr:cNvPr>
        <xdr:cNvCxnSpPr/>
      </xdr:nvCxnSpPr>
      <xdr:spPr>
        <a:xfrm>
          <a:off x="4933950" y="866965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1365</xdr:row>
      <xdr:rowOff>209550</xdr:rowOff>
    </xdr:from>
    <xdr:to>
      <xdr:col>3</xdr:col>
      <xdr:colOff>1190625</xdr:colOff>
      <xdr:row>1365</xdr:row>
      <xdr:rowOff>209550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1500-00006E000000}"/>
            </a:ext>
          </a:extLst>
        </xdr:cNvPr>
        <xdr:cNvCxnSpPr/>
      </xdr:nvCxnSpPr>
      <xdr:spPr>
        <a:xfrm>
          <a:off x="533400" y="866965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1394</xdr:row>
      <xdr:rowOff>209550</xdr:rowOff>
    </xdr:from>
    <xdr:to>
      <xdr:col>6</xdr:col>
      <xdr:colOff>419100</xdr:colOff>
      <xdr:row>1394</xdr:row>
      <xdr:rowOff>209550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1500-00006F000000}"/>
            </a:ext>
          </a:extLst>
        </xdr:cNvPr>
        <xdr:cNvCxnSpPr/>
      </xdr:nvCxnSpPr>
      <xdr:spPr>
        <a:xfrm>
          <a:off x="4933950" y="989647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1394</xdr:row>
      <xdr:rowOff>209550</xdr:rowOff>
    </xdr:from>
    <xdr:to>
      <xdr:col>3</xdr:col>
      <xdr:colOff>1190625</xdr:colOff>
      <xdr:row>1394</xdr:row>
      <xdr:rowOff>209550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1500-000070000000}"/>
            </a:ext>
          </a:extLst>
        </xdr:cNvPr>
        <xdr:cNvCxnSpPr/>
      </xdr:nvCxnSpPr>
      <xdr:spPr>
        <a:xfrm>
          <a:off x="533400" y="989647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1423</xdr:row>
      <xdr:rowOff>209550</xdr:rowOff>
    </xdr:from>
    <xdr:to>
      <xdr:col>6</xdr:col>
      <xdr:colOff>419100</xdr:colOff>
      <xdr:row>1423</xdr:row>
      <xdr:rowOff>209550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1500-000071000000}"/>
            </a:ext>
          </a:extLst>
        </xdr:cNvPr>
        <xdr:cNvCxnSpPr/>
      </xdr:nvCxnSpPr>
      <xdr:spPr>
        <a:xfrm>
          <a:off x="4933950" y="1112329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1423</xdr:row>
      <xdr:rowOff>209550</xdr:rowOff>
    </xdr:from>
    <xdr:to>
      <xdr:col>3</xdr:col>
      <xdr:colOff>1190625</xdr:colOff>
      <xdr:row>1423</xdr:row>
      <xdr:rowOff>209550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1500-000072000000}"/>
            </a:ext>
          </a:extLst>
        </xdr:cNvPr>
        <xdr:cNvCxnSpPr/>
      </xdr:nvCxnSpPr>
      <xdr:spPr>
        <a:xfrm>
          <a:off x="533400" y="1112329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1452</xdr:row>
      <xdr:rowOff>209550</xdr:rowOff>
    </xdr:from>
    <xdr:to>
      <xdr:col>6</xdr:col>
      <xdr:colOff>419100</xdr:colOff>
      <xdr:row>1452</xdr:row>
      <xdr:rowOff>209550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1500-000073000000}"/>
            </a:ext>
          </a:extLst>
        </xdr:cNvPr>
        <xdr:cNvCxnSpPr/>
      </xdr:nvCxnSpPr>
      <xdr:spPr>
        <a:xfrm>
          <a:off x="4933950" y="123501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1452</xdr:row>
      <xdr:rowOff>209550</xdr:rowOff>
    </xdr:from>
    <xdr:to>
      <xdr:col>3</xdr:col>
      <xdr:colOff>1190625</xdr:colOff>
      <xdr:row>1452</xdr:row>
      <xdr:rowOff>209550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1500-000074000000}"/>
            </a:ext>
          </a:extLst>
        </xdr:cNvPr>
        <xdr:cNvCxnSpPr/>
      </xdr:nvCxnSpPr>
      <xdr:spPr>
        <a:xfrm>
          <a:off x="533400" y="123501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1481</xdr:row>
      <xdr:rowOff>209550</xdr:rowOff>
    </xdr:from>
    <xdr:to>
      <xdr:col>6</xdr:col>
      <xdr:colOff>419100</xdr:colOff>
      <xdr:row>1481</xdr:row>
      <xdr:rowOff>209550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1500-000075000000}"/>
            </a:ext>
          </a:extLst>
        </xdr:cNvPr>
        <xdr:cNvCxnSpPr/>
      </xdr:nvCxnSpPr>
      <xdr:spPr>
        <a:xfrm>
          <a:off x="4933950" y="614229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1481</xdr:row>
      <xdr:rowOff>209550</xdr:rowOff>
    </xdr:from>
    <xdr:to>
      <xdr:col>3</xdr:col>
      <xdr:colOff>1190625</xdr:colOff>
      <xdr:row>1481</xdr:row>
      <xdr:rowOff>209550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1500-000076000000}"/>
            </a:ext>
          </a:extLst>
        </xdr:cNvPr>
        <xdr:cNvCxnSpPr/>
      </xdr:nvCxnSpPr>
      <xdr:spPr>
        <a:xfrm>
          <a:off x="533400" y="614229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1510</xdr:row>
      <xdr:rowOff>209550</xdr:rowOff>
    </xdr:from>
    <xdr:to>
      <xdr:col>6</xdr:col>
      <xdr:colOff>419100</xdr:colOff>
      <xdr:row>1510</xdr:row>
      <xdr:rowOff>209550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1500-000077000000}"/>
            </a:ext>
          </a:extLst>
        </xdr:cNvPr>
        <xdr:cNvCxnSpPr/>
      </xdr:nvCxnSpPr>
      <xdr:spPr>
        <a:xfrm>
          <a:off x="4933950" y="614229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1510</xdr:row>
      <xdr:rowOff>209550</xdr:rowOff>
    </xdr:from>
    <xdr:to>
      <xdr:col>3</xdr:col>
      <xdr:colOff>1190625</xdr:colOff>
      <xdr:row>1510</xdr:row>
      <xdr:rowOff>209550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1500-000078000000}"/>
            </a:ext>
          </a:extLst>
        </xdr:cNvPr>
        <xdr:cNvCxnSpPr/>
      </xdr:nvCxnSpPr>
      <xdr:spPr>
        <a:xfrm>
          <a:off x="533400" y="614229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1539</xdr:row>
      <xdr:rowOff>209550</xdr:rowOff>
    </xdr:from>
    <xdr:to>
      <xdr:col>6</xdr:col>
      <xdr:colOff>419100</xdr:colOff>
      <xdr:row>1539</xdr:row>
      <xdr:rowOff>209550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1500-000079000000}"/>
            </a:ext>
          </a:extLst>
        </xdr:cNvPr>
        <xdr:cNvCxnSpPr/>
      </xdr:nvCxnSpPr>
      <xdr:spPr>
        <a:xfrm>
          <a:off x="4933950" y="614229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1539</xdr:row>
      <xdr:rowOff>209550</xdr:rowOff>
    </xdr:from>
    <xdr:to>
      <xdr:col>3</xdr:col>
      <xdr:colOff>1190625</xdr:colOff>
      <xdr:row>1539</xdr:row>
      <xdr:rowOff>209550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1500-00007A000000}"/>
            </a:ext>
          </a:extLst>
        </xdr:cNvPr>
        <xdr:cNvCxnSpPr/>
      </xdr:nvCxnSpPr>
      <xdr:spPr>
        <a:xfrm>
          <a:off x="533400" y="614229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1568</xdr:row>
      <xdr:rowOff>209550</xdr:rowOff>
    </xdr:from>
    <xdr:to>
      <xdr:col>6</xdr:col>
      <xdr:colOff>419100</xdr:colOff>
      <xdr:row>1568</xdr:row>
      <xdr:rowOff>209550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1500-00007B000000}"/>
            </a:ext>
          </a:extLst>
        </xdr:cNvPr>
        <xdr:cNvCxnSpPr/>
      </xdr:nvCxnSpPr>
      <xdr:spPr>
        <a:xfrm>
          <a:off x="4933950" y="614229150"/>
          <a:ext cx="1905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1568</xdr:row>
      <xdr:rowOff>209550</xdr:rowOff>
    </xdr:from>
    <xdr:to>
      <xdr:col>3</xdr:col>
      <xdr:colOff>1190625</xdr:colOff>
      <xdr:row>1568</xdr:row>
      <xdr:rowOff>209550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1500-00007C000000}"/>
            </a:ext>
          </a:extLst>
        </xdr:cNvPr>
        <xdr:cNvCxnSpPr/>
      </xdr:nvCxnSpPr>
      <xdr:spPr>
        <a:xfrm>
          <a:off x="533400" y="614229150"/>
          <a:ext cx="21431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1598</xdr:row>
          <xdr:rowOff>7620</xdr:rowOff>
        </xdr:from>
        <xdr:to>
          <xdr:col>3</xdr:col>
          <xdr:colOff>2004060</xdr:colOff>
          <xdr:row>1599</xdr:row>
          <xdr:rowOff>60960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5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Về đầu trang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18" Type="http://schemas.openxmlformats.org/officeDocument/2006/relationships/ctrlProp" Target="../ctrlProps/ctrlProp29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2.x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7.xml"/><Relationship Id="rId20" Type="http://schemas.openxmlformats.org/officeDocument/2006/relationships/ctrlProp" Target="../ctrlProps/ctrlProp3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19" Type="http://schemas.openxmlformats.org/officeDocument/2006/relationships/ctrlProp" Target="../ctrlProps/ctrlProp30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Relationship Id="rId22" Type="http://schemas.openxmlformats.org/officeDocument/2006/relationships/ctrlProp" Target="../ctrlProps/ctrlProp3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62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6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9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10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10" Type="http://schemas.openxmlformats.org/officeDocument/2006/relationships/ctrlProp" Target="../ctrlProps/ctrlProp103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  <pageSetUpPr fitToPage="1"/>
  </sheetPr>
  <dimension ref="B1:AD43"/>
  <sheetViews>
    <sheetView workbookViewId="0">
      <selection activeCell="J12" sqref="J12"/>
    </sheetView>
  </sheetViews>
  <sheetFormatPr defaultColWidth="9.109375" defaultRowHeight="13.8"/>
  <cols>
    <col min="1" max="1" width="3.5546875" style="1" customWidth="1"/>
    <col min="2" max="2" width="10.88671875" style="1" customWidth="1"/>
    <col min="3" max="3" width="26.109375" style="1" customWidth="1"/>
    <col min="4" max="4" width="12.33203125" style="1" customWidth="1"/>
    <col min="5" max="5" width="32.44140625" style="1" customWidth="1"/>
    <col min="6" max="6" width="3.6640625" style="1" customWidth="1"/>
    <col min="7" max="7" width="2.88671875" style="1" customWidth="1"/>
    <col min="8" max="8" width="17.5546875" style="1" customWidth="1"/>
    <col min="9" max="9" width="2.5546875" style="1" customWidth="1"/>
    <col min="10" max="10" width="55.5546875" style="351" customWidth="1"/>
    <col min="11" max="12" width="0" style="1" hidden="1" customWidth="1"/>
    <col min="13" max="13" width="37.44140625" style="1" hidden="1" customWidth="1"/>
    <col min="14" max="14" width="9.109375" style="1"/>
    <col min="15" max="15" width="13.5546875" style="1" customWidth="1"/>
    <col min="16" max="18" width="8.44140625" style="1" customWidth="1"/>
    <col min="19" max="19" width="13.44140625" style="1" customWidth="1"/>
    <col min="20" max="20" width="6.109375" style="1" hidden="1" customWidth="1"/>
    <col min="21" max="21" width="13.44140625" style="1" customWidth="1"/>
    <col min="22" max="22" width="5.88671875" style="1" hidden="1" customWidth="1"/>
    <col min="23" max="23" width="13.44140625" style="1" customWidth="1"/>
    <col min="24" max="24" width="5.88671875" style="1" hidden="1" customWidth="1"/>
    <col min="25" max="25" width="13.44140625" style="1" customWidth="1"/>
    <col min="26" max="26" width="5.88671875" style="1" hidden="1" customWidth="1"/>
    <col min="27" max="27" width="13.44140625" style="1" customWidth="1"/>
    <col min="28" max="28" width="5.88671875" style="1" hidden="1" customWidth="1"/>
    <col min="29" max="29" width="13.44140625" style="1" customWidth="1"/>
    <col min="30" max="30" width="5.88671875" style="1" hidden="1" customWidth="1"/>
    <col min="31" max="16384" width="9.109375" style="1"/>
  </cols>
  <sheetData>
    <row r="1" spans="2:30" ht="23.25" customHeight="1">
      <c r="B1" s="616"/>
      <c r="M1" s="1" t="s">
        <v>165</v>
      </c>
    </row>
    <row r="2" spans="2:30" ht="27" customHeight="1">
      <c r="B2" s="858" t="s">
        <v>218</v>
      </c>
      <c r="C2" s="858"/>
      <c r="D2" s="858"/>
      <c r="E2" s="858"/>
      <c r="F2" s="617"/>
      <c r="J2" s="832" t="s">
        <v>252</v>
      </c>
      <c r="M2" s="1" t="s">
        <v>168</v>
      </c>
    </row>
    <row r="3" spans="2:30" ht="18.75" customHeight="1">
      <c r="B3" s="618" t="s">
        <v>55</v>
      </c>
      <c r="C3" s="619" t="str">
        <f>IFERROR(INDEX(DiemHKI!$C$4:$C$58,MATCH(1,DiemHKI!$B$4:$B$58,0),1),"")</f>
        <v>12A1</v>
      </c>
      <c r="D3" s="618" t="s">
        <v>57</v>
      </c>
      <c r="E3" s="449" t="s">
        <v>165</v>
      </c>
      <c r="F3" s="620"/>
      <c r="J3" s="630" t="s">
        <v>277</v>
      </c>
      <c r="P3" s="655">
        <v>10</v>
      </c>
      <c r="Q3" s="655">
        <v>11</v>
      </c>
      <c r="R3" s="655">
        <v>12</v>
      </c>
    </row>
    <row r="4" spans="2:30" ht="18.75" customHeight="1">
      <c r="B4" s="618" t="s">
        <v>56</v>
      </c>
      <c r="C4" s="449"/>
      <c r="D4" s="618" t="s">
        <v>61</v>
      </c>
      <c r="E4" s="356" t="s">
        <v>167</v>
      </c>
      <c r="F4" s="620"/>
      <c r="J4" s="630" t="s">
        <v>253</v>
      </c>
      <c r="M4" s="1" t="s">
        <v>167</v>
      </c>
      <c r="P4" s="655">
        <v>1</v>
      </c>
      <c r="Q4" s="655">
        <v>2</v>
      </c>
      <c r="R4" s="655">
        <v>3</v>
      </c>
    </row>
    <row r="5" spans="2:30" ht="18.75" customHeight="1">
      <c r="B5" s="618" t="s">
        <v>58</v>
      </c>
      <c r="C5" s="449" t="s">
        <v>156</v>
      </c>
      <c r="D5" s="618" t="s">
        <v>378</v>
      </c>
      <c r="E5" s="449"/>
      <c r="F5" s="621"/>
      <c r="H5" s="622" t="s">
        <v>118</v>
      </c>
      <c r="J5" s="630" t="s">
        <v>254</v>
      </c>
      <c r="M5" s="1" t="s">
        <v>166</v>
      </c>
      <c r="O5" s="855" t="s">
        <v>288</v>
      </c>
      <c r="P5" s="855"/>
      <c r="Q5" s="855"/>
      <c r="R5" s="855"/>
      <c r="S5" s="855"/>
      <c r="T5" s="855"/>
      <c r="U5" s="855"/>
      <c r="V5" s="855"/>
      <c r="W5" s="855"/>
      <c r="X5" s="855"/>
      <c r="Y5" s="855"/>
      <c r="Z5" s="855"/>
      <c r="AA5" s="855"/>
      <c r="AB5" s="855"/>
      <c r="AC5" s="855"/>
    </row>
    <row r="6" spans="2:30" ht="25.5" customHeight="1">
      <c r="B6" s="646" t="s">
        <v>292</v>
      </c>
      <c r="C6" s="649">
        <f>VALUE(COUNTA(DiemHKI!C4:C58))</f>
        <v>36</v>
      </c>
      <c r="D6" s="646" t="s">
        <v>293</v>
      </c>
      <c r="E6" s="649">
        <f>VALUE(COUNTA(DiemHKII!D4:D58))</f>
        <v>36</v>
      </c>
      <c r="F6" s="619"/>
      <c r="H6" s="828" t="s">
        <v>115</v>
      </c>
      <c r="J6" s="630" t="s">
        <v>276</v>
      </c>
      <c r="O6" s="856" t="s">
        <v>287</v>
      </c>
      <c r="P6" s="871" t="s">
        <v>294</v>
      </c>
      <c r="Q6" s="872"/>
      <c r="R6" s="873"/>
      <c r="S6" s="868" t="s">
        <v>10</v>
      </c>
      <c r="T6" s="869"/>
      <c r="U6" s="869"/>
      <c r="V6" s="869"/>
      <c r="W6" s="870"/>
      <c r="X6" s="648"/>
      <c r="Y6" s="868" t="s">
        <v>99</v>
      </c>
      <c r="Z6" s="869"/>
      <c r="AA6" s="869"/>
      <c r="AB6" s="869"/>
      <c r="AC6" s="870"/>
    </row>
    <row r="7" spans="2:30" ht="33" customHeight="1">
      <c r="B7" s="618" t="s">
        <v>59</v>
      </c>
      <c r="C7" s="618" t="s">
        <v>96</v>
      </c>
      <c r="D7" s="859" t="s">
        <v>10</v>
      </c>
      <c r="E7" s="623"/>
      <c r="F7" s="624"/>
      <c r="H7" s="622"/>
      <c r="J7" s="630" t="s">
        <v>255</v>
      </c>
      <c r="O7" s="857"/>
      <c r="P7" s="647" t="s">
        <v>283</v>
      </c>
      <c r="Q7" s="647" t="s">
        <v>284</v>
      </c>
      <c r="R7" s="647" t="s">
        <v>285</v>
      </c>
      <c r="S7" s="636" t="s">
        <v>291</v>
      </c>
      <c r="T7" s="645" t="s">
        <v>73</v>
      </c>
      <c r="U7" s="636" t="s">
        <v>289</v>
      </c>
      <c r="V7" s="645" t="s">
        <v>73</v>
      </c>
      <c r="W7" s="636" t="s">
        <v>290</v>
      </c>
      <c r="X7" s="645" t="s">
        <v>73</v>
      </c>
      <c r="Y7" s="636" t="s">
        <v>291</v>
      </c>
      <c r="Z7" s="645" t="s">
        <v>176</v>
      </c>
      <c r="AA7" s="636" t="s">
        <v>289</v>
      </c>
      <c r="AB7" s="645" t="s">
        <v>176</v>
      </c>
      <c r="AC7" s="636" t="s">
        <v>290</v>
      </c>
      <c r="AD7" s="645" t="s">
        <v>176</v>
      </c>
    </row>
    <row r="8" spans="2:30" ht="18" customHeight="1">
      <c r="B8" s="625" t="s">
        <v>26</v>
      </c>
      <c r="C8" s="449"/>
      <c r="D8" s="860"/>
      <c r="E8" s="88"/>
      <c r="F8" s="626"/>
      <c r="H8" s="622"/>
      <c r="J8" s="630"/>
      <c r="O8" s="8" t="s">
        <v>26</v>
      </c>
      <c r="P8" s="8" t="s">
        <v>194</v>
      </c>
      <c r="Q8" s="8">
        <v>4</v>
      </c>
      <c r="R8" s="8" t="s">
        <v>194</v>
      </c>
      <c r="S8" s="8" t="str">
        <f>IF($C$6=0,"",IF(T8&lt;$C$6*(INDEX($P8:$R8,1,MATCH(VALUE(LEFT($C$3,2)),$P$3:$R$3,0))),"Thiếu cột điểm",IF(T8=$C$6*(INDEX($P8:$R8,1,MATCH(VALUE(LEFT($C$3,2)),$P$3:$R$3,0))),"Đủ điểm",IF(T8&gt;$C$6*(INDEX($P8:$R8,1,MATCH(VALUE(LEFT($C$3,2)),$P$3:$R$3,0))),"Dư cột điểm",""))))</f>
        <v>Đủ điểm</v>
      </c>
      <c r="T8" s="654">
        <f>SUM(DiemHKI!K83:N83)</f>
        <v>144</v>
      </c>
      <c r="U8" s="8" t="str">
        <f>IF($C$6=0,"",IF(V8&lt;$C$6,"Thiếu cột điểm",IF(V8=$C$6,"Đủ điểm",IF(V8&gt;$C$6,"Dư cột điểm",""))))</f>
        <v>Đủ điểm</v>
      </c>
      <c r="V8" s="654">
        <f>DiemHKI!O83</f>
        <v>36</v>
      </c>
      <c r="W8" s="8" t="str">
        <f>IF($C$6=0,"",IF(X8&lt;$C$6,"Thiếu cột điểm",IF(X8=$C$6,"Đủ điểm",IF(X8&gt;$C$6,"Dư cột điểm",""))))</f>
        <v>Đủ điểm</v>
      </c>
      <c r="X8" s="654">
        <f>DiemHKI!P83</f>
        <v>36</v>
      </c>
      <c r="Y8" s="8" t="str">
        <f>IF($E$6=0,"",IF(Z8&lt;$E$6*(INDEX($P8:$R8,1,MATCH(VALUE(LEFT($C$3,2)),$P$3:$R$3,0))),"Thiếu cột điểm",IF(Z8=$E$6*(INDEX($P8:$R8,1,MATCH(VALUE(LEFT($C$3,2)),$P$3:$R$3,0))),"Đủ điểm",IF(Z8&gt;$E$6*(INDEX($P8:$R8,1,MATCH(VALUE(LEFT($C$3,2)),$P$3:$R$3,0))),"Dư cột điểm",""))))</f>
        <v>Thiếu cột điểm</v>
      </c>
      <c r="Z8" s="654">
        <f>SUM(DiemHKII!L90:O90)</f>
        <v>0</v>
      </c>
      <c r="AA8" s="8" t="str">
        <f>IF($E$6=0,"",IF(AB8&lt;$E$6,"Thiếu cột điểm",IF(AB8=$E$6,"Đủ điểm",IF(AB8&gt;$E$6,"Dư cột điểm",""))))</f>
        <v>Thiếu cột điểm</v>
      </c>
      <c r="AB8" s="654">
        <f>DiemHKII!P90</f>
        <v>0</v>
      </c>
      <c r="AC8" s="8" t="str">
        <f t="shared" ref="AC8:AC20" si="0">IF($E$6=0,"",IF(AD8&lt;$E$6,"Thiếu cột điểm",IF(AD8=$E$6,"Đủ điểm",IF(AD8&gt;$E$6,"Dư cột điểm",""))))</f>
        <v>Thiếu cột điểm</v>
      </c>
      <c r="AD8" s="654">
        <f>DiemHKII!Q90</f>
        <v>0</v>
      </c>
    </row>
    <row r="9" spans="2:30" ht="18" customHeight="1">
      <c r="B9" s="625" t="s">
        <v>27</v>
      </c>
      <c r="C9" s="449"/>
      <c r="D9" s="860"/>
      <c r="E9" s="88"/>
      <c r="F9" s="626"/>
      <c r="H9" s="622"/>
      <c r="J9" s="630"/>
      <c r="M9" s="1" t="s">
        <v>62</v>
      </c>
      <c r="O9" s="8" t="s">
        <v>27</v>
      </c>
      <c r="P9" s="8" t="s">
        <v>194</v>
      </c>
      <c r="Q9" s="8" t="s">
        <v>194</v>
      </c>
      <c r="R9" s="8" t="s">
        <v>194</v>
      </c>
      <c r="S9" s="8" t="str">
        <f t="shared" ref="S9:S20" si="1">IF($C$6=0,"",IF(T9&lt;$C$6*(INDEX($P9:$R9,1,MATCH(VALUE(LEFT($C$3,2)),$P$3:$R$3,0))),"Thiếu cột điểm",IF(T9=$C$6*(INDEX($P9:$R9,1,MATCH(VALUE(LEFT($C$3,2)),$P$3:$R$3,0))),"Đủ điểm",IF(T9&gt;$C$6*(INDEX($P9:$R9,1,MATCH(VALUE(LEFT($C$3,2)),$P$3:$R$3,0))),"Dư cột điểm",""))))</f>
        <v>Đủ điểm</v>
      </c>
      <c r="T9" s="654">
        <f>SUM(DiemHKI!R83:U83)</f>
        <v>144</v>
      </c>
      <c r="U9" s="8" t="str">
        <f t="shared" ref="U9:W20" si="2">IF($C$6=0,"",IF(V9&lt;$C$6,"Thiếu cột điểm",IF(V9=$C$6,"Đủ điểm",IF(V9&gt;$C$6,"Dư cột điểm",""))))</f>
        <v>Đủ điểm</v>
      </c>
      <c r="V9" s="654">
        <f>DiemHKI!V83</f>
        <v>36</v>
      </c>
      <c r="W9" s="8" t="str">
        <f t="shared" si="2"/>
        <v>Đủ điểm</v>
      </c>
      <c r="X9" s="654">
        <f>DiemHKI!W83</f>
        <v>36</v>
      </c>
      <c r="Y9" s="8" t="str">
        <f t="shared" ref="Y9:Y20" si="3">IF($E$6=0,"",IF(Z9&lt;$E$6*(INDEX($P9:$R9,1,MATCH(VALUE(LEFT($C$3,2)),$P$3:$R$3,0))),"Thiếu cột điểm",IF(Z9=$E$6*(INDEX($P9:$R9,1,MATCH(VALUE(LEFT($C$3,2)),$P$3:$R$3,0))),"Đủ điểm",IF(Z9&gt;$E$6*(INDEX($P9:$R9,1,MATCH(VALUE(LEFT($C$3,2)),$P$3:$R$3,0))),"Dư cột điểm",""))))</f>
        <v>Thiếu cột điểm</v>
      </c>
      <c r="Z9" s="654">
        <f>SUM(DiemHKII!U90:X90)</f>
        <v>0</v>
      </c>
      <c r="AA9" s="8" t="str">
        <f t="shared" ref="AA9:AA20" si="4">IF($E$6=0,"",IF(AB9&lt;$E$6,"Thiếu cột điểm",IF(AB9=$E$6,"Đủ điểm",IF(AB9&gt;$E$6,"Dư cột điểm",""))))</f>
        <v>Thiếu cột điểm</v>
      </c>
      <c r="AB9" s="654">
        <f>DiemHKII!Y90</f>
        <v>0</v>
      </c>
      <c r="AC9" s="8" t="str">
        <f t="shared" si="0"/>
        <v>Thiếu cột điểm</v>
      </c>
      <c r="AD9" s="654">
        <f>DiemHKII!Z90</f>
        <v>0</v>
      </c>
    </row>
    <row r="10" spans="2:30" ht="18" customHeight="1">
      <c r="B10" s="625" t="s">
        <v>28</v>
      </c>
      <c r="C10" s="449"/>
      <c r="D10" s="860"/>
      <c r="E10" s="88"/>
      <c r="F10" s="626"/>
      <c r="H10" s="622"/>
      <c r="M10" s="1" t="s">
        <v>155</v>
      </c>
      <c r="O10" s="8" t="s">
        <v>28</v>
      </c>
      <c r="P10" s="8" t="s">
        <v>194</v>
      </c>
      <c r="Q10" s="8" t="s">
        <v>194</v>
      </c>
      <c r="R10" s="8" t="s">
        <v>194</v>
      </c>
      <c r="S10" s="8" t="str">
        <f t="shared" si="1"/>
        <v>Đủ điểm</v>
      </c>
      <c r="T10" s="654">
        <f>SUM(DiemHKI!Y83:AB83)</f>
        <v>144</v>
      </c>
      <c r="U10" s="8" t="str">
        <f t="shared" si="2"/>
        <v>Đủ điểm</v>
      </c>
      <c r="V10" s="654">
        <f>DiemHKI!AC83</f>
        <v>36</v>
      </c>
      <c r="W10" s="8" t="str">
        <f t="shared" si="2"/>
        <v>Đủ điểm</v>
      </c>
      <c r="X10" s="654">
        <f>DiemHKI!AD83</f>
        <v>36</v>
      </c>
      <c r="Y10" s="8" t="str">
        <f t="shared" si="3"/>
        <v>Thiếu cột điểm</v>
      </c>
      <c r="Z10" s="654">
        <f>SUM(DiemHKII!AD90:AG90)</f>
        <v>0</v>
      </c>
      <c r="AA10" s="8" t="str">
        <f t="shared" si="4"/>
        <v>Thiếu cột điểm</v>
      </c>
      <c r="AB10" s="654">
        <f>DiemHKII!AH90</f>
        <v>0</v>
      </c>
      <c r="AC10" s="8" t="str">
        <f t="shared" si="0"/>
        <v>Thiếu cột điểm</v>
      </c>
      <c r="AD10" s="654">
        <f>DiemHKII!AI90</f>
        <v>0</v>
      </c>
    </row>
    <row r="11" spans="2:30" ht="18" customHeight="1">
      <c r="B11" s="625" t="s">
        <v>29</v>
      </c>
      <c r="C11" s="449"/>
      <c r="D11" s="860"/>
      <c r="E11" s="88"/>
      <c r="F11" s="626"/>
      <c r="H11" s="622"/>
      <c r="J11" s="630"/>
      <c r="M11" s="1" t="s">
        <v>156</v>
      </c>
      <c r="O11" s="8" t="s">
        <v>29</v>
      </c>
      <c r="P11" s="8">
        <v>2</v>
      </c>
      <c r="Q11" s="8">
        <v>3</v>
      </c>
      <c r="R11" s="8">
        <v>3</v>
      </c>
      <c r="S11" s="8" t="str">
        <f t="shared" si="1"/>
        <v>Đủ điểm</v>
      </c>
      <c r="T11" s="654">
        <f>SUM(DiemHKI!AF83:AI83)</f>
        <v>108</v>
      </c>
      <c r="U11" s="8" t="str">
        <f t="shared" si="2"/>
        <v>Đủ điểm</v>
      </c>
      <c r="V11" s="654">
        <f>DiemHKI!AJ83</f>
        <v>36</v>
      </c>
      <c r="W11" s="8" t="str">
        <f t="shared" si="2"/>
        <v>Đủ điểm</v>
      </c>
      <c r="X11" s="654">
        <f>DiemHKI!AK83</f>
        <v>36</v>
      </c>
      <c r="Y11" s="8" t="str">
        <f t="shared" si="3"/>
        <v>Thiếu cột điểm</v>
      </c>
      <c r="Z11" s="654">
        <f>SUM(DiemHKII!AM90:AP90)</f>
        <v>0</v>
      </c>
      <c r="AA11" s="8" t="str">
        <f t="shared" si="4"/>
        <v>Thiếu cột điểm</v>
      </c>
      <c r="AB11" s="654">
        <f>DiemHKII!AQ90</f>
        <v>0</v>
      </c>
      <c r="AC11" s="8" t="str">
        <f t="shared" si="0"/>
        <v>Thiếu cột điểm</v>
      </c>
      <c r="AD11" s="654">
        <f>DiemHKII!AR90</f>
        <v>0</v>
      </c>
    </row>
    <row r="12" spans="2:30" ht="18" customHeight="1">
      <c r="B12" s="625" t="s">
        <v>120</v>
      </c>
      <c r="C12" s="449"/>
      <c r="D12" s="860"/>
      <c r="E12" s="88"/>
      <c r="F12" s="626"/>
      <c r="H12" s="622"/>
      <c r="J12" s="630"/>
      <c r="M12" s="1" t="s">
        <v>157</v>
      </c>
      <c r="O12" s="8" t="s">
        <v>120</v>
      </c>
      <c r="P12" s="8">
        <v>3</v>
      </c>
      <c r="Q12" s="8">
        <v>3</v>
      </c>
      <c r="R12" s="8">
        <v>3</v>
      </c>
      <c r="S12" s="8" t="str">
        <f t="shared" si="1"/>
        <v>Đủ điểm</v>
      </c>
      <c r="T12" s="654">
        <f>SUM(DiemHKI!AM83:AP83)</f>
        <v>108</v>
      </c>
      <c r="U12" s="8" t="str">
        <f t="shared" si="2"/>
        <v>Đủ điểm</v>
      </c>
      <c r="V12" s="654">
        <f>DiemHKI!AQ83</f>
        <v>36</v>
      </c>
      <c r="W12" s="8" t="str">
        <f t="shared" si="2"/>
        <v>Đủ điểm</v>
      </c>
      <c r="X12" s="654">
        <f>DiemHKI!AR83</f>
        <v>36</v>
      </c>
      <c r="Y12" s="8" t="str">
        <f t="shared" si="3"/>
        <v>Thiếu cột điểm</v>
      </c>
      <c r="Z12" s="654">
        <f>SUM(DiemHKII!AV90:AY90)</f>
        <v>0</v>
      </c>
      <c r="AA12" s="8" t="str">
        <f t="shared" si="4"/>
        <v>Thiếu cột điểm</v>
      </c>
      <c r="AB12" s="654">
        <f>DiemHKII!AZ90</f>
        <v>0</v>
      </c>
      <c r="AC12" s="8" t="str">
        <f t="shared" si="0"/>
        <v>Thiếu cột điểm</v>
      </c>
      <c r="AD12" s="654">
        <f>DiemHKII!BA90</f>
        <v>0</v>
      </c>
    </row>
    <row r="13" spans="2:30" ht="18" customHeight="1">
      <c r="B13" s="625" t="s">
        <v>30</v>
      </c>
      <c r="C13" s="449"/>
      <c r="D13" s="861"/>
      <c r="E13" s="627"/>
      <c r="F13" s="628"/>
      <c r="H13" s="622"/>
      <c r="J13" s="630"/>
      <c r="M13" s="1" t="s">
        <v>158</v>
      </c>
      <c r="O13" s="8" t="s">
        <v>30</v>
      </c>
      <c r="P13" s="8" t="s">
        <v>194</v>
      </c>
      <c r="Q13" s="8">
        <v>4</v>
      </c>
      <c r="R13" s="8" t="s">
        <v>194</v>
      </c>
      <c r="S13" s="8" t="str">
        <f t="shared" si="1"/>
        <v>Đủ điểm</v>
      </c>
      <c r="T13" s="654">
        <f>SUM(DiemHKI!AT83:AW83)</f>
        <v>144</v>
      </c>
      <c r="U13" s="8" t="str">
        <f t="shared" si="2"/>
        <v>Đủ điểm</v>
      </c>
      <c r="V13" s="654">
        <f>DiemHKI!AX83</f>
        <v>36</v>
      </c>
      <c r="W13" s="8" t="str">
        <f t="shared" si="2"/>
        <v>Đủ điểm</v>
      </c>
      <c r="X13" s="654">
        <f>DiemHKI!AY83</f>
        <v>36</v>
      </c>
      <c r="Y13" s="8" t="str">
        <f t="shared" si="3"/>
        <v>Thiếu cột điểm</v>
      </c>
      <c r="Z13" s="654">
        <f>SUM(DiemHKII!BE90:BH90)</f>
        <v>0</v>
      </c>
      <c r="AA13" s="8" t="str">
        <f t="shared" si="4"/>
        <v>Thiếu cột điểm</v>
      </c>
      <c r="AB13" s="654">
        <f>DiemHKII!BI90</f>
        <v>0</v>
      </c>
      <c r="AC13" s="8" t="str">
        <f t="shared" si="0"/>
        <v>Thiếu cột điểm</v>
      </c>
      <c r="AD13" s="654">
        <f>DiemHKII!BJ90</f>
        <v>0</v>
      </c>
    </row>
    <row r="14" spans="2:30" ht="18" customHeight="1">
      <c r="B14" s="625" t="s">
        <v>31</v>
      </c>
      <c r="C14" s="449"/>
      <c r="D14" s="862" t="s">
        <v>99</v>
      </c>
      <c r="E14" s="617"/>
      <c r="F14" s="617"/>
      <c r="H14" s="821"/>
      <c r="J14" s="630"/>
      <c r="M14" s="1" t="s">
        <v>159</v>
      </c>
      <c r="O14" s="8" t="s">
        <v>31</v>
      </c>
      <c r="P14" s="8">
        <v>3</v>
      </c>
      <c r="Q14" s="8">
        <v>2</v>
      </c>
      <c r="R14" s="8">
        <v>3</v>
      </c>
      <c r="S14" s="8" t="str">
        <f t="shared" si="1"/>
        <v>Đủ điểm</v>
      </c>
      <c r="T14" s="654">
        <f>SUM(DiemHKI!BA83:BD83)</f>
        <v>108</v>
      </c>
      <c r="U14" s="8" t="str">
        <f t="shared" si="2"/>
        <v>Đủ điểm</v>
      </c>
      <c r="V14" s="654">
        <f>DiemHKI!BE83</f>
        <v>36</v>
      </c>
      <c r="W14" s="8" t="str">
        <f t="shared" si="2"/>
        <v>Đủ điểm</v>
      </c>
      <c r="X14" s="654">
        <f>DiemHKI!BF83</f>
        <v>36</v>
      </c>
      <c r="Y14" s="8" t="str">
        <f t="shared" si="3"/>
        <v>Thiếu cột điểm</v>
      </c>
      <c r="Z14" s="654">
        <f>SUM(DiemHKII!BN90:BQ90)</f>
        <v>0</v>
      </c>
      <c r="AA14" s="8" t="str">
        <f t="shared" si="4"/>
        <v>Thiếu cột điểm</v>
      </c>
      <c r="AB14" s="654">
        <f>DiemHKII!BR90</f>
        <v>0</v>
      </c>
      <c r="AC14" s="8" t="str">
        <f t="shared" si="0"/>
        <v>Thiếu cột điểm</v>
      </c>
      <c r="AD14" s="654">
        <f>DiemHKII!BS90</f>
        <v>0</v>
      </c>
    </row>
    <row r="15" spans="2:30" ht="18" customHeight="1">
      <c r="B15" s="625" t="s">
        <v>32</v>
      </c>
      <c r="C15" s="449"/>
      <c r="D15" s="863"/>
      <c r="E15" s="620"/>
      <c r="F15" s="620"/>
      <c r="H15" s="821"/>
      <c r="M15" s="1" t="s">
        <v>160</v>
      </c>
      <c r="O15" s="8" t="s">
        <v>32</v>
      </c>
      <c r="P15" s="8">
        <v>3</v>
      </c>
      <c r="Q15" s="8">
        <v>2</v>
      </c>
      <c r="R15" s="8">
        <v>3</v>
      </c>
      <c r="S15" s="8" t="str">
        <f t="shared" si="1"/>
        <v>Đủ điểm</v>
      </c>
      <c r="T15" s="654">
        <f>SUM(DiemHKI!BH83:BK83)</f>
        <v>108</v>
      </c>
      <c r="U15" s="8" t="str">
        <f t="shared" si="2"/>
        <v>Đủ điểm</v>
      </c>
      <c r="V15" s="654">
        <f>DiemHKI!BL83</f>
        <v>36</v>
      </c>
      <c r="W15" s="8" t="str">
        <f t="shared" si="2"/>
        <v>Đủ điểm</v>
      </c>
      <c r="X15" s="654">
        <f>DiemHKI!BM83</f>
        <v>36</v>
      </c>
      <c r="Y15" s="8" t="str">
        <f t="shared" si="3"/>
        <v>Thiếu cột điểm</v>
      </c>
      <c r="Z15" s="654">
        <f>SUM(DiemHKII!BW90:BZ90)</f>
        <v>0</v>
      </c>
      <c r="AA15" s="8" t="str">
        <f t="shared" si="4"/>
        <v>Thiếu cột điểm</v>
      </c>
      <c r="AB15" s="654">
        <f>DiemHKII!CA90</f>
        <v>0</v>
      </c>
      <c r="AC15" s="8" t="str">
        <f t="shared" si="0"/>
        <v>Thiếu cột điểm</v>
      </c>
      <c r="AD15" s="654">
        <f>DiemHKII!CB90</f>
        <v>0</v>
      </c>
    </row>
    <row r="16" spans="2:30" ht="18" customHeight="1">
      <c r="B16" s="625" t="s">
        <v>33</v>
      </c>
      <c r="C16" s="449"/>
      <c r="D16" s="863"/>
      <c r="E16" s="620"/>
      <c r="F16" s="620"/>
      <c r="H16" s="821"/>
      <c r="M16" s="1" t="s">
        <v>161</v>
      </c>
      <c r="O16" s="8" t="s">
        <v>33</v>
      </c>
      <c r="P16" s="8" t="s">
        <v>286</v>
      </c>
      <c r="Q16" s="8" t="s">
        <v>286</v>
      </c>
      <c r="R16" s="8" t="s">
        <v>286</v>
      </c>
      <c r="S16" s="8" t="str">
        <f t="shared" si="1"/>
        <v>Đủ điểm</v>
      </c>
      <c r="T16" s="654">
        <f>SUM(DiemHKI!BO83:BR83)</f>
        <v>144</v>
      </c>
      <c r="U16" s="8" t="str">
        <f t="shared" si="2"/>
        <v>Đủ điểm</v>
      </c>
      <c r="V16" s="654">
        <f>DiemHKI!BS83</f>
        <v>36</v>
      </c>
      <c r="W16" s="8" t="str">
        <f t="shared" si="2"/>
        <v>Đủ điểm</v>
      </c>
      <c r="X16" s="654">
        <f>DiemHKI!BT83</f>
        <v>36</v>
      </c>
      <c r="Y16" s="8" t="str">
        <f t="shared" si="3"/>
        <v>Thiếu cột điểm</v>
      </c>
      <c r="Z16" s="654">
        <f>SUM(DiemHKII!CF90:CI90)</f>
        <v>0</v>
      </c>
      <c r="AA16" s="8" t="str">
        <f t="shared" si="4"/>
        <v>Thiếu cột điểm</v>
      </c>
      <c r="AB16" s="654">
        <f>DiemHKII!CJ90</f>
        <v>0</v>
      </c>
      <c r="AC16" s="8" t="str">
        <f t="shared" si="0"/>
        <v>Thiếu cột điểm</v>
      </c>
      <c r="AD16" s="654">
        <f>DiemHKII!CK90</f>
        <v>0</v>
      </c>
    </row>
    <row r="17" spans="2:30" ht="18" customHeight="1">
      <c r="B17" s="625" t="s">
        <v>60</v>
      </c>
      <c r="C17" s="449"/>
      <c r="D17" s="863"/>
      <c r="E17" s="620"/>
      <c r="F17" s="620"/>
      <c r="M17" s="1" t="s">
        <v>162</v>
      </c>
      <c r="O17" s="8" t="s">
        <v>60</v>
      </c>
      <c r="P17" s="8">
        <v>2</v>
      </c>
      <c r="Q17" s="8">
        <v>2</v>
      </c>
      <c r="R17" s="8">
        <v>2</v>
      </c>
      <c r="S17" s="8" t="str">
        <f t="shared" si="1"/>
        <v>Đủ điểm</v>
      </c>
      <c r="T17" s="654">
        <f>SUM(DiemHKI!BV83:BY83)</f>
        <v>72</v>
      </c>
      <c r="U17" s="8" t="str">
        <f t="shared" si="2"/>
        <v>Đủ điểm</v>
      </c>
      <c r="V17" s="654">
        <f>DiemHKI!BZ83</f>
        <v>36</v>
      </c>
      <c r="W17" s="8" t="str">
        <f t="shared" si="2"/>
        <v>Đủ điểm</v>
      </c>
      <c r="X17" s="654">
        <f>DiemHKI!CA83</f>
        <v>36</v>
      </c>
      <c r="Y17" s="8" t="str">
        <f t="shared" si="3"/>
        <v>Thiếu cột điểm</v>
      </c>
      <c r="Z17" s="654">
        <f>SUM(DiemHKII!CO90:CR90)</f>
        <v>0</v>
      </c>
      <c r="AA17" s="8" t="str">
        <f t="shared" si="4"/>
        <v>Thiếu cột điểm</v>
      </c>
      <c r="AB17" s="654">
        <f>DiemHKII!CS90</f>
        <v>0</v>
      </c>
      <c r="AC17" s="8" t="str">
        <f t="shared" si="0"/>
        <v>Thiếu cột điểm</v>
      </c>
      <c r="AD17" s="654">
        <f>DiemHKII!CT90</f>
        <v>0</v>
      </c>
    </row>
    <row r="18" spans="2:30" ht="18" customHeight="1">
      <c r="B18" s="625" t="s">
        <v>34</v>
      </c>
      <c r="C18" s="449"/>
      <c r="D18" s="863"/>
      <c r="E18" s="621"/>
      <c r="F18" s="620"/>
      <c r="M18" s="1" t="s">
        <v>163</v>
      </c>
      <c r="O18" s="8" t="s">
        <v>34</v>
      </c>
      <c r="P18" s="8">
        <v>3</v>
      </c>
      <c r="Q18" s="8">
        <v>3</v>
      </c>
      <c r="R18" s="8">
        <v>2</v>
      </c>
      <c r="S18" s="8" t="str">
        <f t="shared" si="1"/>
        <v>Đủ điểm</v>
      </c>
      <c r="T18" s="654">
        <f>SUM(DiemHKI!CC83:CF83)</f>
        <v>72</v>
      </c>
      <c r="U18" s="8" t="str">
        <f t="shared" si="2"/>
        <v>Đủ điểm</v>
      </c>
      <c r="V18" s="654">
        <f>DiemHKI!CG83</f>
        <v>36</v>
      </c>
      <c r="W18" s="8" t="str">
        <f t="shared" si="2"/>
        <v>Đủ điểm</v>
      </c>
      <c r="X18" s="654">
        <f>DiemHKI!CH83</f>
        <v>36</v>
      </c>
      <c r="Y18" s="8" t="str">
        <f t="shared" si="3"/>
        <v>Thiếu cột điểm</v>
      </c>
      <c r="Z18" s="654">
        <f>SUM(DiemHKII!CX90:DA90)</f>
        <v>0</v>
      </c>
      <c r="AA18" s="8" t="str">
        <f t="shared" si="4"/>
        <v>Thiếu cột điểm</v>
      </c>
      <c r="AB18" s="654">
        <f>DiemHKII!DB90</f>
        <v>0</v>
      </c>
      <c r="AC18" s="8" t="str">
        <f t="shared" si="0"/>
        <v>Thiếu cột điểm</v>
      </c>
      <c r="AD18" s="654">
        <f>DiemHKII!DC90</f>
        <v>0</v>
      </c>
    </row>
    <row r="19" spans="2:30" ht="18" customHeight="1">
      <c r="B19" s="625" t="s">
        <v>35</v>
      </c>
      <c r="C19" s="449"/>
      <c r="D19" s="863"/>
      <c r="E19" s="88"/>
      <c r="F19" s="620"/>
      <c r="M19" s="1" t="s">
        <v>164</v>
      </c>
      <c r="O19" s="8" t="s">
        <v>35</v>
      </c>
      <c r="P19" s="8">
        <v>3</v>
      </c>
      <c r="Q19" s="8">
        <v>3</v>
      </c>
      <c r="R19" s="8">
        <v>3</v>
      </c>
      <c r="S19" s="8" t="str">
        <f t="shared" si="1"/>
        <v>Đủ điểm</v>
      </c>
      <c r="T19" s="654">
        <f>SUM(DiemHKI!CJ83:CM83)</f>
        <v>108</v>
      </c>
      <c r="U19" s="8" t="str">
        <f t="shared" si="2"/>
        <v>Đủ điểm</v>
      </c>
      <c r="V19" s="654">
        <f>DiemHKI!CN83</f>
        <v>36</v>
      </c>
      <c r="W19" s="8" t="str">
        <f t="shared" si="2"/>
        <v>Đủ điểm</v>
      </c>
      <c r="X19" s="654">
        <f>DiemHKI!CO83</f>
        <v>36</v>
      </c>
      <c r="Y19" s="8" t="str">
        <f t="shared" si="3"/>
        <v>Thiếu cột điểm</v>
      </c>
      <c r="Z19" s="654">
        <f>SUM(DiemHKII!DG90:DJ90)</f>
        <v>0</v>
      </c>
      <c r="AA19" s="8" t="str">
        <f t="shared" si="4"/>
        <v>Thiếu cột điểm</v>
      </c>
      <c r="AB19" s="654">
        <f>DiemHKII!DK90</f>
        <v>0</v>
      </c>
      <c r="AC19" s="8" t="str">
        <f t="shared" si="0"/>
        <v>Thiếu cột điểm</v>
      </c>
      <c r="AD19" s="654">
        <f>DiemHKII!DL90</f>
        <v>0</v>
      </c>
    </row>
    <row r="20" spans="2:30" ht="19.5" customHeight="1">
      <c r="B20" s="625" t="s">
        <v>121</v>
      </c>
      <c r="C20" s="449"/>
      <c r="D20" s="863"/>
      <c r="E20" s="88"/>
      <c r="F20" s="620"/>
      <c r="J20" s="631"/>
      <c r="O20" s="8" t="s">
        <v>121</v>
      </c>
      <c r="P20" s="8">
        <v>2</v>
      </c>
      <c r="Q20" s="8">
        <v>2</v>
      </c>
      <c r="R20" s="8">
        <v>2</v>
      </c>
      <c r="S20" s="8" t="str">
        <f t="shared" si="1"/>
        <v>Đủ điểm</v>
      </c>
      <c r="T20" s="654">
        <f>SUM(DiemHKI!CQ83:CT83)</f>
        <v>72</v>
      </c>
      <c r="U20" s="8" t="str">
        <f t="shared" si="2"/>
        <v>Đủ điểm</v>
      </c>
      <c r="V20" s="654">
        <f>DiemHKI!CU83</f>
        <v>36</v>
      </c>
      <c r="W20" s="8" t="str">
        <f t="shared" si="2"/>
        <v>Đủ điểm</v>
      </c>
      <c r="X20" s="654">
        <f>DiemHKI!CV83</f>
        <v>36</v>
      </c>
      <c r="Y20" s="8" t="str">
        <f t="shared" si="3"/>
        <v>Thiếu cột điểm</v>
      </c>
      <c r="Z20" s="654">
        <f>SUM(DiemHKII!DP90:DS90)</f>
        <v>0</v>
      </c>
      <c r="AA20" s="8" t="str">
        <f t="shared" si="4"/>
        <v>Thiếu cột điểm</v>
      </c>
      <c r="AB20" s="654">
        <f>DiemHKII!DT90</f>
        <v>0</v>
      </c>
      <c r="AC20" s="8" t="str">
        <f t="shared" si="0"/>
        <v>Thiếu cột điểm</v>
      </c>
      <c r="AD20" s="654">
        <f>DiemHKII!DU90</f>
        <v>0</v>
      </c>
    </row>
    <row r="21" spans="2:30" ht="21" customHeight="1">
      <c r="B21" s="625" t="s">
        <v>122</v>
      </c>
      <c r="C21" s="449"/>
      <c r="D21" s="864"/>
      <c r="E21" s="627"/>
      <c r="F21" s="621"/>
      <c r="O21" s="8" t="s">
        <v>122</v>
      </c>
      <c r="P21" s="8">
        <v>0</v>
      </c>
      <c r="Q21" s="8">
        <v>4</v>
      </c>
      <c r="R21" s="8">
        <v>0</v>
      </c>
      <c r="S21" s="8"/>
      <c r="T21" s="654">
        <f>SUM(DiemHKI!CX83:DA83)</f>
        <v>0</v>
      </c>
      <c r="U21" s="8"/>
      <c r="V21" s="654"/>
      <c r="W21" s="8"/>
      <c r="X21" s="654">
        <f>DiemHKI!DC83</f>
        <v>0</v>
      </c>
      <c r="Y21" s="8"/>
      <c r="Z21" s="654">
        <f>SUM(DiemHKII!DY90:EB90)</f>
        <v>0</v>
      </c>
      <c r="AA21" s="8"/>
      <c r="AB21" s="654"/>
      <c r="AC21" s="8"/>
      <c r="AD21" s="654">
        <f>DiemHKII!ED90</f>
        <v>0</v>
      </c>
    </row>
    <row r="22" spans="2:30" ht="14.25" customHeight="1">
      <c r="B22" s="845" t="s">
        <v>680</v>
      </c>
      <c r="C22" s="844"/>
      <c r="D22" s="629"/>
      <c r="E22" s="629"/>
      <c r="F22" s="843"/>
    </row>
    <row r="23" spans="2:30" ht="20.25" customHeight="1">
      <c r="B23" s="865" t="s">
        <v>675</v>
      </c>
      <c r="C23" s="866"/>
      <c r="D23" s="866"/>
      <c r="E23" s="866"/>
      <c r="F23" s="867"/>
    </row>
    <row r="24" spans="2:30" s="351" customFormat="1" ht="23.25" customHeight="1">
      <c r="B24" s="632" t="s">
        <v>221</v>
      </c>
      <c r="C24" s="630" t="s">
        <v>266</v>
      </c>
      <c r="J24" s="632"/>
    </row>
    <row r="25" spans="2:30" s="351" customFormat="1" ht="23.25" customHeight="1">
      <c r="C25" s="630" t="s">
        <v>231</v>
      </c>
    </row>
    <row r="26" spans="2:30" s="351" customFormat="1" ht="23.25" customHeight="1">
      <c r="C26" s="630" t="s">
        <v>268</v>
      </c>
    </row>
    <row r="27" spans="2:30" s="351" customFormat="1" ht="23.25" customHeight="1">
      <c r="C27" s="630" t="s">
        <v>264</v>
      </c>
      <c r="D27" s="630" t="s">
        <v>265</v>
      </c>
    </row>
    <row r="28" spans="2:30" s="351" customFormat="1" ht="23.25" customHeight="1">
      <c r="C28" s="630" t="s">
        <v>267</v>
      </c>
    </row>
    <row r="29" spans="2:30" s="351" customFormat="1" ht="18" customHeight="1">
      <c r="C29" s="630" t="s">
        <v>263</v>
      </c>
    </row>
    <row r="30" spans="2:30" s="351" customFormat="1" ht="18" customHeight="1"/>
    <row r="31" spans="2:30" s="351" customFormat="1" ht="18" customHeight="1"/>
    <row r="32" spans="2:30" s="351" customFormat="1"/>
    <row r="33" s="351" customFormat="1"/>
    <row r="34" s="351" customFormat="1"/>
    <row r="35" s="351" customFormat="1"/>
    <row r="36" s="351" customFormat="1"/>
    <row r="37" s="351" customFormat="1"/>
    <row r="38" s="351" customFormat="1"/>
    <row r="39" s="351" customFormat="1"/>
    <row r="40" s="351" customFormat="1"/>
    <row r="41" s="351" customFormat="1"/>
    <row r="42" s="351" customFormat="1"/>
    <row r="43" s="351" customFormat="1"/>
  </sheetData>
  <sheetProtection algorithmName="SHA-512" hashValue="VfETDXzAn+t5mDwUfP3TOrk66Z2LcxHSuN585ALjrGlVO8IwuEU8tXshr7qPlThLoEGqfi68gP9v2RNfOTQNXg==" saltValue="oqUHkdA96mjMQXb4reRSOg==" spinCount="100000" sheet="1" formatCells="0" formatColumns="0" formatRows="0"/>
  <mergeCells count="9">
    <mergeCell ref="B23:F23"/>
    <mergeCell ref="S6:W6"/>
    <mergeCell ref="P6:R6"/>
    <mergeCell ref="Y6:AC6"/>
    <mergeCell ref="O5:AC5"/>
    <mergeCell ref="O6:O7"/>
    <mergeCell ref="B2:E2"/>
    <mergeCell ref="D7:D13"/>
    <mergeCell ref="D14:D21"/>
  </mergeCells>
  <conditionalFormatting sqref="S8:S21">
    <cfRule type="expression" dxfId="550" priority="6">
      <formula>OR(S8="Thiếu cột điểm",S8="Dư cột điểm")</formula>
    </cfRule>
  </conditionalFormatting>
  <conditionalFormatting sqref="U8:U21">
    <cfRule type="expression" dxfId="549" priority="5">
      <formula>OR(U8="Thiếu cột điểm",U8="Dư cột điểm")</formula>
    </cfRule>
  </conditionalFormatting>
  <conditionalFormatting sqref="W8:W21">
    <cfRule type="expression" dxfId="548" priority="4">
      <formula>OR(W8="Thiếu cột điểm",W8="Dư cột điểm")</formula>
    </cfRule>
  </conditionalFormatting>
  <conditionalFormatting sqref="Y8:Y21">
    <cfRule type="expression" dxfId="547" priority="3">
      <formula>OR(Y8="Thiếu cột điểm",Y8="Dư cột điểm")</formula>
    </cfRule>
  </conditionalFormatting>
  <conditionalFormatting sqref="AA8:AA21">
    <cfRule type="expression" dxfId="546" priority="2">
      <formula>OR(AA8="Thiếu cột điểm",AA8="Dư cột điểm")</formula>
    </cfRule>
  </conditionalFormatting>
  <conditionalFormatting sqref="AC8:AC21">
    <cfRule type="expression" dxfId="545" priority="1">
      <formula>OR(AC8="Thiếu cột điểm",AC8="Dư cột điểm")</formula>
    </cfRule>
  </conditionalFormatting>
  <dataValidations count="3">
    <dataValidation type="list" allowBlank="1" showInputMessage="1" showErrorMessage="1" sqref="C5">
      <formula1>$M$9:$M$20</formula1>
    </dataValidation>
    <dataValidation type="list" allowBlank="1" showInputMessage="1" showErrorMessage="1" sqref="E3">
      <formula1>$M$1:$M$3</formula1>
    </dataValidation>
    <dataValidation type="list" allowBlank="1" showInputMessage="1" showErrorMessage="1" sqref="E4">
      <formula1>$M$4:$M$6</formula1>
    </dataValidation>
  </dataValidations>
  <pageMargins left="0.25" right="0.25" top="0.25" bottom="0.25" header="0" footer="0"/>
  <pageSetup paperSize="9"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6" r:id="rId4" name="Button 32">
              <controlPr defaultSize="0" print="0" autoFill="0" autoPict="0" macro="[0]!Sisohs35">
                <anchor moveWithCells="1" sizeWithCells="1">
                  <from>
                    <xdr:col>7</xdr:col>
                    <xdr:colOff>83820</xdr:colOff>
                    <xdr:row>6</xdr:row>
                    <xdr:rowOff>144780</xdr:rowOff>
                  </from>
                  <to>
                    <xdr:col>7</xdr:col>
                    <xdr:colOff>1127760</xdr:colOff>
                    <xdr:row>6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5" name="Button 33">
              <controlPr defaultSize="0" print="0" autoFill="0" autoPict="0" macro="[0]!Sisolop40">
                <anchor moveWithCells="1" sizeWithCells="1">
                  <from>
                    <xdr:col>7</xdr:col>
                    <xdr:colOff>83820</xdr:colOff>
                    <xdr:row>7</xdr:row>
                    <xdr:rowOff>22860</xdr:rowOff>
                  </from>
                  <to>
                    <xdr:col>7</xdr:col>
                    <xdr:colOff>1127760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6" name="Button 34">
              <controlPr defaultSize="0" print="0" autoFill="0" autoPict="0" macro="[0]!Sisihs45">
                <anchor moveWithCells="1" sizeWithCells="1">
                  <from>
                    <xdr:col>7</xdr:col>
                    <xdr:colOff>83820</xdr:colOff>
                    <xdr:row>8</xdr:row>
                    <xdr:rowOff>83820</xdr:rowOff>
                  </from>
                  <to>
                    <xdr:col>7</xdr:col>
                    <xdr:colOff>1127760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7" name="Button 35">
              <controlPr defaultSize="0" print="0" autoFill="0" autoPict="0" macro="[0]!Sisohs50">
                <anchor moveWithCells="1" sizeWithCells="1">
                  <from>
                    <xdr:col>7</xdr:col>
                    <xdr:colOff>83820</xdr:colOff>
                    <xdr:row>9</xdr:row>
                    <xdr:rowOff>152400</xdr:rowOff>
                  </from>
                  <to>
                    <xdr:col>7</xdr:col>
                    <xdr:colOff>1127760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8" name="Button 36">
              <controlPr defaultSize="0" print="0" autoFill="0" autoPict="0" macro="[0]!Sisohs55">
                <anchor moveWithCells="1" sizeWithCells="1">
                  <from>
                    <xdr:col>7</xdr:col>
                    <xdr:colOff>83820</xdr:colOff>
                    <xdr:row>11</xdr:row>
                    <xdr:rowOff>0</xdr:rowOff>
                  </from>
                  <to>
                    <xdr:col>7</xdr:col>
                    <xdr:colOff>1127760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9" name="Button 37">
              <controlPr defaultSize="0" print="0" autoFill="0" autoPict="0" macro="[0]!NhapdiemHKIhd">
                <anchor moveWithCells="1" sizeWithCells="1">
                  <from>
                    <xdr:col>4</xdr:col>
                    <xdr:colOff>228600</xdr:colOff>
                    <xdr:row>6</xdr:row>
                    <xdr:rowOff>106680</xdr:rowOff>
                  </from>
                  <to>
                    <xdr:col>4</xdr:col>
                    <xdr:colOff>1943100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10" name="Button 38">
              <controlPr defaultSize="0" print="0" autoFill="0" autoPict="0" macro="[0]!InPDBMHKIhd">
                <anchor moveWithCells="1" sizeWithCells="1">
                  <from>
                    <xdr:col>4</xdr:col>
                    <xdr:colOff>228600</xdr:colOff>
                    <xdr:row>7</xdr:row>
                    <xdr:rowOff>182880</xdr:rowOff>
                  </from>
                  <to>
                    <xdr:col>4</xdr:col>
                    <xdr:colOff>1943100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1" name="Button 39">
              <controlPr defaultSize="0" print="0" autoFill="0" autoPict="0" macro="[0]!InBTHHKIhd">
                <anchor moveWithCells="1" sizeWithCells="1">
                  <from>
                    <xdr:col>4</xdr:col>
                    <xdr:colOff>228600</xdr:colOff>
                    <xdr:row>9</xdr:row>
                    <xdr:rowOff>114300</xdr:rowOff>
                  </from>
                  <to>
                    <xdr:col>4</xdr:col>
                    <xdr:colOff>1943100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2" name="Button 40">
              <controlPr defaultSize="0" print="0" autoFill="0" autoPict="0" macro="[0]!PBDHKIHD">
                <anchor moveWithCells="1" sizeWithCells="1">
                  <from>
                    <xdr:col>4</xdr:col>
                    <xdr:colOff>228600</xdr:colOff>
                    <xdr:row>11</xdr:row>
                    <xdr:rowOff>68580</xdr:rowOff>
                  </from>
                  <to>
                    <xdr:col>4</xdr:col>
                    <xdr:colOff>1943100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3" name="Button 46">
              <controlPr defaultSize="0" print="0" autoFill="0" autoPict="0" macro="[0]!Nhapdiemhkiihd">
                <anchor moveWithCells="1" sizeWithCells="1">
                  <from>
                    <xdr:col>4</xdr:col>
                    <xdr:colOff>236220</xdr:colOff>
                    <xdr:row>13</xdr:row>
                    <xdr:rowOff>68580</xdr:rowOff>
                  </from>
                  <to>
                    <xdr:col>4</xdr:col>
                    <xdr:colOff>1950720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14" name="Button 47">
              <controlPr defaultSize="0" print="0" autoFill="0" autoPict="0" macro="[0]!Inpdhkiihd">
                <anchor moveWithCells="1" sizeWithCells="1">
                  <from>
                    <xdr:col>4</xdr:col>
                    <xdr:colOff>236220</xdr:colOff>
                    <xdr:row>14</xdr:row>
                    <xdr:rowOff>182880</xdr:rowOff>
                  </from>
                  <to>
                    <xdr:col>4</xdr:col>
                    <xdr:colOff>1950720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15" name="Button 48">
              <controlPr defaultSize="0" print="0" autoFill="0" autoPict="0" macro="[0]!Bthhk2hd">
                <anchor moveWithCells="1" sizeWithCells="1">
                  <from>
                    <xdr:col>4</xdr:col>
                    <xdr:colOff>236220</xdr:colOff>
                    <xdr:row>16</xdr:row>
                    <xdr:rowOff>83820</xdr:rowOff>
                  </from>
                  <to>
                    <xdr:col>4</xdr:col>
                    <xdr:colOff>1950720</xdr:colOff>
                    <xdr:row>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16" name="Button 49">
              <controlPr defaultSize="0" print="0" autoFill="0" autoPict="0" macro="[0]!Inpdnamhd">
                <anchor moveWithCells="1" sizeWithCells="1">
                  <from>
                    <xdr:col>4</xdr:col>
                    <xdr:colOff>236220</xdr:colOff>
                    <xdr:row>18</xdr:row>
                    <xdr:rowOff>60960</xdr:rowOff>
                  </from>
                  <to>
                    <xdr:col>4</xdr:col>
                    <xdr:colOff>1950720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17" name="Button 50">
              <controlPr defaultSize="0" print="0" autoFill="0" autoPict="0" macro="[0]!Inpdhbhd">
                <anchor moveWithCells="1" sizeWithCells="1">
                  <from>
                    <xdr:col>4</xdr:col>
                    <xdr:colOff>236220</xdr:colOff>
                    <xdr:row>19</xdr:row>
                    <xdr:rowOff>160020</xdr:rowOff>
                  </from>
                  <to>
                    <xdr:col>4</xdr:col>
                    <xdr:colOff>1950720</xdr:colOff>
                    <xdr:row>20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7030A0"/>
  </sheetPr>
  <dimension ref="A1:DI91"/>
  <sheetViews>
    <sheetView zoomScaleNormal="100" workbookViewId="0">
      <pane xSplit="5" ySplit="3" topLeftCell="Y4" activePane="bottomRight" state="frozen"/>
      <selection pane="topRight" activeCell="F1" sqref="F1"/>
      <selection pane="bottomLeft" activeCell="A4" sqref="A4"/>
      <selection pane="bottomRight" activeCell="E21" sqref="E21"/>
    </sheetView>
  </sheetViews>
  <sheetFormatPr defaultColWidth="9.109375" defaultRowHeight="13.8"/>
  <cols>
    <col min="1" max="1" width="14.109375" style="248" customWidth="1"/>
    <col min="2" max="2" width="4.44140625" style="251" customWidth="1"/>
    <col min="3" max="3" width="6.44140625" style="251" customWidth="1"/>
    <col min="4" max="4" width="19.88671875" style="7" customWidth="1"/>
    <col min="5" max="5" width="8.33203125" style="7" customWidth="1"/>
    <col min="6" max="6" width="10.5546875" style="7" customWidth="1"/>
    <col min="7" max="7" width="14" style="7" customWidth="1"/>
    <col min="8" max="10" width="4.5546875" style="251" customWidth="1"/>
    <col min="11" max="14" width="8.6640625" style="251" customWidth="1"/>
    <col min="15" max="17" width="10.5546875" style="251" customWidth="1"/>
    <col min="18" max="21" width="8.6640625" style="251" customWidth="1"/>
    <col min="22" max="24" width="10.5546875" style="251" customWidth="1"/>
    <col min="25" max="28" width="8.6640625" style="251" customWidth="1"/>
    <col min="29" max="31" width="10.5546875" style="251" customWidth="1"/>
    <col min="32" max="35" width="8.6640625" style="251" customWidth="1"/>
    <col min="36" max="38" width="10.5546875" style="251" customWidth="1"/>
    <col min="39" max="42" width="8.6640625" style="251" customWidth="1"/>
    <col min="43" max="45" width="10.5546875" style="251" customWidth="1"/>
    <col min="46" max="49" width="8.6640625" style="251" customWidth="1"/>
    <col min="50" max="52" width="10.5546875" style="251" customWidth="1"/>
    <col min="53" max="56" width="8.6640625" style="251" customWidth="1"/>
    <col min="57" max="59" width="10.5546875" style="251" customWidth="1"/>
    <col min="60" max="63" width="8.6640625" style="251" customWidth="1"/>
    <col min="64" max="66" width="10.5546875" style="251" customWidth="1"/>
    <col min="67" max="70" width="8.6640625" style="251" customWidth="1"/>
    <col min="71" max="73" width="10.5546875" style="251" customWidth="1"/>
    <col min="74" max="77" width="8.6640625" style="251" customWidth="1"/>
    <col min="78" max="80" width="10.5546875" style="251" customWidth="1"/>
    <col min="81" max="84" width="8.6640625" style="251" customWidth="1"/>
    <col min="85" max="87" width="10.5546875" style="251" customWidth="1"/>
    <col min="88" max="98" width="8.6640625" style="251" customWidth="1"/>
    <col min="99" max="101" width="10.5546875" style="251" customWidth="1"/>
    <col min="102" max="105" width="8.6640625" style="251" customWidth="1"/>
    <col min="106" max="108" width="10.5546875" style="251" customWidth="1"/>
    <col min="109" max="112" width="31.5546875" style="248" customWidth="1"/>
    <col min="113" max="113" width="40.33203125" style="248" customWidth="1"/>
    <col min="114" max="16384" width="9.109375" style="248"/>
  </cols>
  <sheetData>
    <row r="1" spans="1:113" s="394" customFormat="1" ht="16.5" customHeight="1">
      <c r="A1" s="393" t="s">
        <v>10</v>
      </c>
      <c r="B1" s="890" t="str">
        <f>"THÔNG TIN HỌC SINH LỚP: "&amp;'Huong dan'!C3</f>
        <v>THÔNG TIN HỌC SINH LỚP: 12A1</v>
      </c>
      <c r="C1" s="885"/>
      <c r="D1" s="885"/>
      <c r="E1" s="885"/>
      <c r="F1" s="885"/>
      <c r="G1" s="885"/>
      <c r="H1" s="885"/>
      <c r="I1" s="885"/>
      <c r="J1" s="891"/>
      <c r="K1" s="885" t="s">
        <v>222</v>
      </c>
      <c r="L1" s="885"/>
      <c r="M1" s="885"/>
      <c r="N1" s="885"/>
      <c r="O1" s="885"/>
      <c r="P1" s="886"/>
      <c r="Q1" s="887"/>
      <c r="R1" s="878" t="s">
        <v>232</v>
      </c>
      <c r="S1" s="878"/>
      <c r="T1" s="878"/>
      <c r="U1" s="878"/>
      <c r="V1" s="878"/>
      <c r="W1" s="879"/>
      <c r="X1" s="880"/>
      <c r="Y1" s="885" t="s">
        <v>233</v>
      </c>
      <c r="Z1" s="885"/>
      <c r="AA1" s="885"/>
      <c r="AB1" s="885"/>
      <c r="AC1" s="885"/>
      <c r="AD1" s="886"/>
      <c r="AE1" s="887"/>
      <c r="AF1" s="878" t="s">
        <v>234</v>
      </c>
      <c r="AG1" s="878"/>
      <c r="AH1" s="878"/>
      <c r="AI1" s="878"/>
      <c r="AJ1" s="878"/>
      <c r="AK1" s="879"/>
      <c r="AL1" s="880"/>
      <c r="AM1" s="885" t="s">
        <v>235</v>
      </c>
      <c r="AN1" s="885"/>
      <c r="AO1" s="885"/>
      <c r="AP1" s="885"/>
      <c r="AQ1" s="885"/>
      <c r="AR1" s="886"/>
      <c r="AS1" s="887"/>
      <c r="AT1" s="878" t="s">
        <v>236</v>
      </c>
      <c r="AU1" s="878"/>
      <c r="AV1" s="878"/>
      <c r="AW1" s="878"/>
      <c r="AX1" s="878"/>
      <c r="AY1" s="879"/>
      <c r="AZ1" s="880"/>
      <c r="BA1" s="885" t="s">
        <v>237</v>
      </c>
      <c r="BB1" s="885"/>
      <c r="BC1" s="885"/>
      <c r="BD1" s="885"/>
      <c r="BE1" s="885"/>
      <c r="BF1" s="886"/>
      <c r="BG1" s="887"/>
      <c r="BH1" s="878" t="s">
        <v>238</v>
      </c>
      <c r="BI1" s="878"/>
      <c r="BJ1" s="878"/>
      <c r="BK1" s="878"/>
      <c r="BL1" s="878"/>
      <c r="BM1" s="879"/>
      <c r="BN1" s="880"/>
      <c r="BO1" s="885" t="s">
        <v>239</v>
      </c>
      <c r="BP1" s="885"/>
      <c r="BQ1" s="885"/>
      <c r="BR1" s="885"/>
      <c r="BS1" s="885"/>
      <c r="BT1" s="886"/>
      <c r="BU1" s="887"/>
      <c r="BV1" s="878" t="s">
        <v>240</v>
      </c>
      <c r="BW1" s="878"/>
      <c r="BX1" s="878"/>
      <c r="BY1" s="878"/>
      <c r="BZ1" s="878"/>
      <c r="CA1" s="879"/>
      <c r="CB1" s="880"/>
      <c r="CC1" s="885" t="s">
        <v>241</v>
      </c>
      <c r="CD1" s="885"/>
      <c r="CE1" s="885"/>
      <c r="CF1" s="885"/>
      <c r="CG1" s="885"/>
      <c r="CH1" s="886"/>
      <c r="CI1" s="887"/>
      <c r="CJ1" s="878" t="s">
        <v>244</v>
      </c>
      <c r="CK1" s="878"/>
      <c r="CL1" s="878"/>
      <c r="CM1" s="878"/>
      <c r="CN1" s="878"/>
      <c r="CO1" s="879"/>
      <c r="CP1" s="880"/>
      <c r="CQ1" s="885" t="s">
        <v>245</v>
      </c>
      <c r="CR1" s="885"/>
      <c r="CS1" s="885"/>
      <c r="CT1" s="885"/>
      <c r="CU1" s="885"/>
      <c r="CV1" s="886"/>
      <c r="CW1" s="887"/>
      <c r="CX1" s="878" t="s">
        <v>246</v>
      </c>
      <c r="CY1" s="878"/>
      <c r="CZ1" s="878"/>
      <c r="DA1" s="878"/>
      <c r="DB1" s="878"/>
      <c r="DC1" s="879"/>
      <c r="DD1" s="880"/>
      <c r="DE1" s="915" t="s">
        <v>87</v>
      </c>
      <c r="DF1" s="916"/>
      <c r="DG1" s="916"/>
      <c r="DH1" s="917"/>
    </row>
    <row r="2" spans="1:113" s="396" customFormat="1" ht="16.5" customHeight="1">
      <c r="A2" s="395" t="s">
        <v>45</v>
      </c>
      <c r="B2" s="897" t="s">
        <v>0</v>
      </c>
      <c r="C2" s="881" t="s">
        <v>7</v>
      </c>
      <c r="D2" s="899" t="s">
        <v>1</v>
      </c>
      <c r="E2" s="900"/>
      <c r="F2" s="468" t="s">
        <v>2</v>
      </c>
      <c r="G2" s="881" t="s">
        <v>169</v>
      </c>
      <c r="H2" s="468" t="s">
        <v>5</v>
      </c>
      <c r="I2" s="468" t="s">
        <v>50</v>
      </c>
      <c r="J2" s="468" t="s">
        <v>9</v>
      </c>
      <c r="K2" s="888" t="s">
        <v>225</v>
      </c>
      <c r="L2" s="888"/>
      <c r="M2" s="888"/>
      <c r="N2" s="888"/>
      <c r="O2" s="468" t="s">
        <v>3</v>
      </c>
      <c r="P2" s="468" t="s">
        <v>3</v>
      </c>
      <c r="Q2" s="572" t="s">
        <v>224</v>
      </c>
      <c r="R2" s="877" t="s">
        <v>225</v>
      </c>
      <c r="S2" s="877"/>
      <c r="T2" s="877"/>
      <c r="U2" s="877"/>
      <c r="V2" s="585" t="s">
        <v>3</v>
      </c>
      <c r="W2" s="585" t="s">
        <v>3</v>
      </c>
      <c r="X2" s="586" t="s">
        <v>224</v>
      </c>
      <c r="Y2" s="888" t="s">
        <v>225</v>
      </c>
      <c r="Z2" s="888"/>
      <c r="AA2" s="888"/>
      <c r="AB2" s="888"/>
      <c r="AC2" s="468" t="s">
        <v>3</v>
      </c>
      <c r="AD2" s="468" t="s">
        <v>3</v>
      </c>
      <c r="AE2" s="572" t="s">
        <v>224</v>
      </c>
      <c r="AF2" s="877" t="s">
        <v>225</v>
      </c>
      <c r="AG2" s="877"/>
      <c r="AH2" s="877"/>
      <c r="AI2" s="877"/>
      <c r="AJ2" s="585" t="s">
        <v>3</v>
      </c>
      <c r="AK2" s="585" t="s">
        <v>3</v>
      </c>
      <c r="AL2" s="586" t="s">
        <v>224</v>
      </c>
      <c r="AM2" s="888" t="s">
        <v>225</v>
      </c>
      <c r="AN2" s="888"/>
      <c r="AO2" s="888"/>
      <c r="AP2" s="888"/>
      <c r="AQ2" s="468" t="s">
        <v>3</v>
      </c>
      <c r="AR2" s="468" t="s">
        <v>3</v>
      </c>
      <c r="AS2" s="572" t="s">
        <v>224</v>
      </c>
      <c r="AT2" s="877" t="s">
        <v>225</v>
      </c>
      <c r="AU2" s="877"/>
      <c r="AV2" s="877"/>
      <c r="AW2" s="877"/>
      <c r="AX2" s="585" t="s">
        <v>3</v>
      </c>
      <c r="AY2" s="585" t="s">
        <v>3</v>
      </c>
      <c r="AZ2" s="586" t="s">
        <v>224</v>
      </c>
      <c r="BA2" s="888" t="s">
        <v>225</v>
      </c>
      <c r="BB2" s="888"/>
      <c r="BC2" s="888"/>
      <c r="BD2" s="888"/>
      <c r="BE2" s="468" t="s">
        <v>3</v>
      </c>
      <c r="BF2" s="468" t="s">
        <v>3</v>
      </c>
      <c r="BG2" s="572" t="s">
        <v>224</v>
      </c>
      <c r="BH2" s="877" t="s">
        <v>225</v>
      </c>
      <c r="BI2" s="877"/>
      <c r="BJ2" s="877"/>
      <c r="BK2" s="877"/>
      <c r="BL2" s="585" t="s">
        <v>3</v>
      </c>
      <c r="BM2" s="585" t="s">
        <v>3</v>
      </c>
      <c r="BN2" s="586" t="s">
        <v>224</v>
      </c>
      <c r="BO2" s="888" t="s">
        <v>225</v>
      </c>
      <c r="BP2" s="888"/>
      <c r="BQ2" s="888"/>
      <c r="BR2" s="888"/>
      <c r="BS2" s="468" t="s">
        <v>3</v>
      </c>
      <c r="BT2" s="468" t="s">
        <v>3</v>
      </c>
      <c r="BU2" s="572" t="s">
        <v>224</v>
      </c>
      <c r="BV2" s="877" t="s">
        <v>225</v>
      </c>
      <c r="BW2" s="877"/>
      <c r="BX2" s="877"/>
      <c r="BY2" s="877"/>
      <c r="BZ2" s="585" t="s">
        <v>3</v>
      </c>
      <c r="CA2" s="585" t="s">
        <v>3</v>
      </c>
      <c r="CB2" s="586" t="s">
        <v>224</v>
      </c>
      <c r="CC2" s="888" t="s">
        <v>225</v>
      </c>
      <c r="CD2" s="888"/>
      <c r="CE2" s="888"/>
      <c r="CF2" s="888"/>
      <c r="CG2" s="468" t="s">
        <v>3</v>
      </c>
      <c r="CH2" s="468" t="s">
        <v>3</v>
      </c>
      <c r="CI2" s="572" t="s">
        <v>224</v>
      </c>
      <c r="CJ2" s="877" t="s">
        <v>242</v>
      </c>
      <c r="CK2" s="877"/>
      <c r="CL2" s="877"/>
      <c r="CM2" s="877"/>
      <c r="CN2" s="585" t="s">
        <v>243</v>
      </c>
      <c r="CO2" s="585" t="s">
        <v>243</v>
      </c>
      <c r="CP2" s="586" t="s">
        <v>224</v>
      </c>
      <c r="CQ2" s="888" t="s">
        <v>225</v>
      </c>
      <c r="CR2" s="888"/>
      <c r="CS2" s="888"/>
      <c r="CT2" s="888"/>
      <c r="CU2" s="468" t="s">
        <v>3</v>
      </c>
      <c r="CV2" s="468" t="s">
        <v>3</v>
      </c>
      <c r="CW2" s="572" t="s">
        <v>224</v>
      </c>
      <c r="CX2" s="877" t="s">
        <v>225</v>
      </c>
      <c r="CY2" s="877"/>
      <c r="CZ2" s="877"/>
      <c r="DA2" s="877"/>
      <c r="DB2" s="585" t="s">
        <v>3</v>
      </c>
      <c r="DC2" s="585" t="s">
        <v>3</v>
      </c>
      <c r="DD2" s="586" t="s">
        <v>224</v>
      </c>
      <c r="DE2" s="918" t="s">
        <v>175</v>
      </c>
      <c r="DF2" s="919"/>
      <c r="DG2" s="919"/>
      <c r="DH2" s="920"/>
    </row>
    <row r="3" spans="1:113" s="396" customFormat="1" ht="15.75" customHeight="1">
      <c r="A3" s="395" t="s">
        <v>46</v>
      </c>
      <c r="B3" s="898"/>
      <c r="C3" s="882"/>
      <c r="D3" s="901"/>
      <c r="E3" s="902"/>
      <c r="F3" s="397" t="s">
        <v>47</v>
      </c>
      <c r="G3" s="882"/>
      <c r="H3" s="397" t="s">
        <v>6</v>
      </c>
      <c r="I3" s="469" t="s">
        <v>6</v>
      </c>
      <c r="J3" s="397" t="s">
        <v>6</v>
      </c>
      <c r="K3" s="399">
        <v>1</v>
      </c>
      <c r="L3" s="399">
        <v>2</v>
      </c>
      <c r="M3" s="399">
        <v>3</v>
      </c>
      <c r="N3" s="399">
        <v>4</v>
      </c>
      <c r="O3" s="469" t="s">
        <v>230</v>
      </c>
      <c r="P3" s="469" t="s">
        <v>278</v>
      </c>
      <c r="Q3" s="573" t="s">
        <v>4</v>
      </c>
      <c r="R3" s="587">
        <v>1</v>
      </c>
      <c r="S3" s="587">
        <v>2</v>
      </c>
      <c r="T3" s="587">
        <v>3</v>
      </c>
      <c r="U3" s="587">
        <v>4</v>
      </c>
      <c r="V3" s="588" t="s">
        <v>230</v>
      </c>
      <c r="W3" s="588" t="s">
        <v>278</v>
      </c>
      <c r="X3" s="589" t="s">
        <v>4</v>
      </c>
      <c r="Y3" s="399">
        <v>1</v>
      </c>
      <c r="Z3" s="399">
        <v>2</v>
      </c>
      <c r="AA3" s="399">
        <v>3</v>
      </c>
      <c r="AB3" s="399">
        <v>4</v>
      </c>
      <c r="AC3" s="469" t="s">
        <v>230</v>
      </c>
      <c r="AD3" s="469" t="s">
        <v>278</v>
      </c>
      <c r="AE3" s="573" t="s">
        <v>4</v>
      </c>
      <c r="AF3" s="587">
        <v>1</v>
      </c>
      <c r="AG3" s="587">
        <v>2</v>
      </c>
      <c r="AH3" s="587">
        <v>3</v>
      </c>
      <c r="AI3" s="587">
        <v>4</v>
      </c>
      <c r="AJ3" s="588" t="s">
        <v>230</v>
      </c>
      <c r="AK3" s="588" t="s">
        <v>278</v>
      </c>
      <c r="AL3" s="589" t="s">
        <v>4</v>
      </c>
      <c r="AM3" s="399">
        <v>1</v>
      </c>
      <c r="AN3" s="399">
        <v>2</v>
      </c>
      <c r="AO3" s="399">
        <v>3</v>
      </c>
      <c r="AP3" s="399">
        <v>4</v>
      </c>
      <c r="AQ3" s="469" t="s">
        <v>230</v>
      </c>
      <c r="AR3" s="469" t="s">
        <v>278</v>
      </c>
      <c r="AS3" s="573" t="s">
        <v>4</v>
      </c>
      <c r="AT3" s="587">
        <v>1</v>
      </c>
      <c r="AU3" s="587">
        <v>2</v>
      </c>
      <c r="AV3" s="587">
        <v>3</v>
      </c>
      <c r="AW3" s="587">
        <v>4</v>
      </c>
      <c r="AX3" s="588" t="s">
        <v>230</v>
      </c>
      <c r="AY3" s="588" t="s">
        <v>278</v>
      </c>
      <c r="AZ3" s="589" t="s">
        <v>4</v>
      </c>
      <c r="BA3" s="399">
        <v>1</v>
      </c>
      <c r="BB3" s="399">
        <v>2</v>
      </c>
      <c r="BC3" s="399">
        <v>3</v>
      </c>
      <c r="BD3" s="399">
        <v>4</v>
      </c>
      <c r="BE3" s="469" t="s">
        <v>230</v>
      </c>
      <c r="BF3" s="469" t="s">
        <v>278</v>
      </c>
      <c r="BG3" s="573" t="s">
        <v>4</v>
      </c>
      <c r="BH3" s="587">
        <v>1</v>
      </c>
      <c r="BI3" s="587">
        <v>2</v>
      </c>
      <c r="BJ3" s="587">
        <v>3</v>
      </c>
      <c r="BK3" s="587">
        <v>4</v>
      </c>
      <c r="BL3" s="588" t="s">
        <v>230</v>
      </c>
      <c r="BM3" s="588" t="s">
        <v>278</v>
      </c>
      <c r="BN3" s="589" t="s">
        <v>4</v>
      </c>
      <c r="BO3" s="399">
        <v>1</v>
      </c>
      <c r="BP3" s="399">
        <v>2</v>
      </c>
      <c r="BQ3" s="399">
        <v>3</v>
      </c>
      <c r="BR3" s="399">
        <v>4</v>
      </c>
      <c r="BS3" s="469" t="s">
        <v>230</v>
      </c>
      <c r="BT3" s="469" t="s">
        <v>278</v>
      </c>
      <c r="BU3" s="573" t="s">
        <v>4</v>
      </c>
      <c r="BV3" s="587">
        <v>1</v>
      </c>
      <c r="BW3" s="587">
        <v>2</v>
      </c>
      <c r="BX3" s="587">
        <v>3</v>
      </c>
      <c r="BY3" s="587">
        <v>4</v>
      </c>
      <c r="BZ3" s="588" t="s">
        <v>230</v>
      </c>
      <c r="CA3" s="588" t="s">
        <v>278</v>
      </c>
      <c r="CB3" s="589" t="s">
        <v>4</v>
      </c>
      <c r="CC3" s="399">
        <v>1</v>
      </c>
      <c r="CD3" s="399">
        <v>2</v>
      </c>
      <c r="CE3" s="399">
        <v>3</v>
      </c>
      <c r="CF3" s="399">
        <v>4</v>
      </c>
      <c r="CG3" s="469" t="s">
        <v>230</v>
      </c>
      <c r="CH3" s="469" t="s">
        <v>278</v>
      </c>
      <c r="CI3" s="573" t="s">
        <v>4</v>
      </c>
      <c r="CJ3" s="587">
        <v>1</v>
      </c>
      <c r="CK3" s="587">
        <v>2</v>
      </c>
      <c r="CL3" s="587">
        <v>3</v>
      </c>
      <c r="CM3" s="587">
        <v>4</v>
      </c>
      <c r="CN3" s="588" t="s">
        <v>230</v>
      </c>
      <c r="CO3" s="588" t="s">
        <v>278</v>
      </c>
      <c r="CP3" s="589" t="s">
        <v>4</v>
      </c>
      <c r="CQ3" s="399">
        <v>1</v>
      </c>
      <c r="CR3" s="399">
        <v>2</v>
      </c>
      <c r="CS3" s="399">
        <v>3</v>
      </c>
      <c r="CT3" s="399">
        <v>4</v>
      </c>
      <c r="CU3" s="469" t="s">
        <v>230</v>
      </c>
      <c r="CV3" s="469" t="s">
        <v>278</v>
      </c>
      <c r="CW3" s="573" t="s">
        <v>4</v>
      </c>
      <c r="CX3" s="587">
        <v>1</v>
      </c>
      <c r="CY3" s="587">
        <v>2</v>
      </c>
      <c r="CZ3" s="587">
        <v>3</v>
      </c>
      <c r="DA3" s="587">
        <v>4</v>
      </c>
      <c r="DB3" s="588" t="s">
        <v>230</v>
      </c>
      <c r="DC3" s="588" t="s">
        <v>278</v>
      </c>
      <c r="DD3" s="589" t="s">
        <v>4</v>
      </c>
      <c r="DE3" s="400" t="s">
        <v>80</v>
      </c>
      <c r="DF3" s="401" t="s">
        <v>81</v>
      </c>
      <c r="DG3" s="402" t="s">
        <v>88</v>
      </c>
      <c r="DH3" s="403" t="s">
        <v>82</v>
      </c>
    </row>
    <row r="4" spans="1:113" s="30" customFormat="1" ht="15.9" customHeight="1">
      <c r="A4" s="404"/>
      <c r="B4" s="93">
        <f>IF(C4&lt;&gt;"",1,"")</f>
        <v>1</v>
      </c>
      <c r="C4" s="151" t="s">
        <v>681</v>
      </c>
      <c r="D4" s="152" t="s">
        <v>682</v>
      </c>
      <c r="E4" s="153" t="s">
        <v>683</v>
      </c>
      <c r="F4" s="199" t="s">
        <v>684</v>
      </c>
      <c r="G4" s="450" t="s">
        <v>685</v>
      </c>
      <c r="H4" s="151" t="s">
        <v>6</v>
      </c>
      <c r="I4" s="151"/>
      <c r="J4" s="151"/>
      <c r="K4" s="846">
        <v>10</v>
      </c>
      <c r="L4" s="155">
        <v>8</v>
      </c>
      <c r="M4" s="155">
        <v>10</v>
      </c>
      <c r="N4" s="156">
        <v>10</v>
      </c>
      <c r="O4" s="157">
        <v>9.1999999999999993</v>
      </c>
      <c r="P4" s="205">
        <v>9.4</v>
      </c>
      <c r="Q4" s="406">
        <f t="shared" ref="Q4:Q35" si="0">IF(COUNTA(K4:P4)&gt;=1,ROUND(AVERAGE(K4:P4,O4:P4,P4),1),"")</f>
        <v>9.4</v>
      </c>
      <c r="R4" s="846">
        <v>9</v>
      </c>
      <c r="S4" s="155">
        <v>9</v>
      </c>
      <c r="T4" s="155">
        <v>10</v>
      </c>
      <c r="U4" s="156">
        <v>10</v>
      </c>
      <c r="V4" s="157">
        <v>9.3000000000000007</v>
      </c>
      <c r="W4" s="205">
        <v>9.5</v>
      </c>
      <c r="X4" s="590">
        <f t="shared" ref="X4:X35" si="1">IF(COUNTA(R4:W4)&gt;=1,ROUND(AVERAGE(R4:W4,V4:W4,W4),1),"")</f>
        <v>9.5</v>
      </c>
      <c r="Y4" s="846">
        <v>9</v>
      </c>
      <c r="Z4" s="155">
        <v>9</v>
      </c>
      <c r="AA4" s="155">
        <v>9</v>
      </c>
      <c r="AB4" s="156">
        <v>10</v>
      </c>
      <c r="AC4" s="157">
        <v>9</v>
      </c>
      <c r="AD4" s="205">
        <v>9.5</v>
      </c>
      <c r="AE4" s="406">
        <f t="shared" ref="AE4:AE35" si="2">IF(COUNTA(Y4:AD4)&gt;=1,ROUND(AVERAGE(Y4:AD4,AC4:AD4,AD4),1),"")</f>
        <v>9.3000000000000007</v>
      </c>
      <c r="AF4" s="846">
        <v>9</v>
      </c>
      <c r="AG4" s="155">
        <v>9</v>
      </c>
      <c r="AH4" s="155">
        <v>8.5</v>
      </c>
      <c r="AI4" s="156"/>
      <c r="AJ4" s="157">
        <v>10</v>
      </c>
      <c r="AK4" s="205">
        <v>8.5</v>
      </c>
      <c r="AL4" s="590">
        <f t="shared" ref="AL4:AL35" si="3">IF(COUNTA(AF4:AK4)&gt;=1,ROUND(AVERAGE(AF4:AK4,AJ4:AK4,AK4),1),"")</f>
        <v>9</v>
      </c>
      <c r="AM4" s="846">
        <v>10</v>
      </c>
      <c r="AN4" s="155">
        <v>10</v>
      </c>
      <c r="AO4" s="155">
        <v>9</v>
      </c>
      <c r="AP4" s="156"/>
      <c r="AQ4" s="157">
        <v>9</v>
      </c>
      <c r="AR4" s="205">
        <v>10</v>
      </c>
      <c r="AS4" s="406">
        <f t="shared" ref="AS4:AS35" si="4">IF(COUNTA(AM4:AR4)&gt;=1,ROUND(AVERAGE(AM4:AR4,AQ4:AR4,AR4),1),"")</f>
        <v>9.6</v>
      </c>
      <c r="AT4" s="846">
        <v>9</v>
      </c>
      <c r="AU4" s="155">
        <v>9</v>
      </c>
      <c r="AV4" s="155">
        <v>8</v>
      </c>
      <c r="AW4" s="156">
        <v>8</v>
      </c>
      <c r="AX4" s="157">
        <v>8</v>
      </c>
      <c r="AY4" s="205">
        <v>6.8</v>
      </c>
      <c r="AZ4" s="590">
        <f t="shared" ref="AZ4:AZ35" si="5">IF(COUNTA(AT4:AY4)&gt;=1,ROUND(AVERAGE(AT4:AY4,AX4:AY4,AY4),1),"")</f>
        <v>7.8</v>
      </c>
      <c r="BA4" s="846">
        <v>10</v>
      </c>
      <c r="BB4" s="155">
        <v>9</v>
      </c>
      <c r="BC4" s="155">
        <v>10</v>
      </c>
      <c r="BD4" s="156"/>
      <c r="BE4" s="157">
        <v>9.5</v>
      </c>
      <c r="BF4" s="205">
        <v>9.5</v>
      </c>
      <c r="BG4" s="406">
        <f t="shared" ref="BG4:BG35" si="6">IF(COUNTA(BA4:BF4)&gt;=1,ROUND(AVERAGE(BA4:BF4,BE4:BF4,BF4),1),"")</f>
        <v>9.6</v>
      </c>
      <c r="BH4" s="846">
        <v>10</v>
      </c>
      <c r="BI4" s="155">
        <v>9</v>
      </c>
      <c r="BJ4" s="155">
        <v>10</v>
      </c>
      <c r="BK4" s="156"/>
      <c r="BL4" s="157">
        <v>10</v>
      </c>
      <c r="BM4" s="205">
        <v>9.8000000000000007</v>
      </c>
      <c r="BN4" s="590">
        <f t="shared" ref="BN4:BN35" si="7">IF(COUNTA(BH4:BM4)&gt;=1,ROUND(AVERAGE(BH4:BM4,BL4:BM4,BM4),1),"")</f>
        <v>9.8000000000000007</v>
      </c>
      <c r="BO4" s="846">
        <v>9</v>
      </c>
      <c r="BP4" s="155">
        <v>10</v>
      </c>
      <c r="BQ4" s="155">
        <v>10</v>
      </c>
      <c r="BR4" s="156">
        <v>9</v>
      </c>
      <c r="BS4" s="157">
        <v>10</v>
      </c>
      <c r="BT4" s="205">
        <v>9.6</v>
      </c>
      <c r="BU4" s="406">
        <f t="shared" ref="BU4:BU35" si="8">IF(COUNTA(BO4:BT4)&gt;=1,ROUND(AVERAGE(BO4:BT4,BS4:BT4,BT4),1),"")</f>
        <v>9.6</v>
      </c>
      <c r="BV4" s="846">
        <v>9</v>
      </c>
      <c r="BW4" s="155">
        <v>10</v>
      </c>
      <c r="BX4" s="155"/>
      <c r="BY4" s="156"/>
      <c r="BZ4" s="157">
        <v>9</v>
      </c>
      <c r="CA4" s="205">
        <v>9</v>
      </c>
      <c r="CB4" s="590">
        <f t="shared" ref="CB4:CB35" si="9">IF(COUNTA(BV4:CA4)&gt;=1,ROUND(AVERAGE(BV4:CA4,BZ4:CA4,CA4),1),"")</f>
        <v>9.1</v>
      </c>
      <c r="CC4" s="850">
        <v>10</v>
      </c>
      <c r="CD4" s="155">
        <v>9</v>
      </c>
      <c r="CE4" s="155"/>
      <c r="CF4" s="156"/>
      <c r="CG4" s="157">
        <v>9.5</v>
      </c>
      <c r="CH4" s="205">
        <v>9.5</v>
      </c>
      <c r="CI4" s="406">
        <f t="shared" ref="CI4:CI35" si="10">IF(COUNTA(CC4:CH4)&gt;=1,ROUND(AVERAGE(CC4:CH4,CG4:CH4,CH4),1),"")</f>
        <v>9.5</v>
      </c>
      <c r="CJ4" s="159" t="s">
        <v>800</v>
      </c>
      <c r="CK4" s="159" t="s">
        <v>800</v>
      </c>
      <c r="CL4" s="159" t="s">
        <v>800</v>
      </c>
      <c r="CM4" s="160"/>
      <c r="CN4" s="161" t="s">
        <v>800</v>
      </c>
      <c r="CO4" s="210" t="s">
        <v>800</v>
      </c>
      <c r="CP4" s="591" t="str">
        <f t="shared" ref="CP4:CP35" si="11">IF(COUNTA(CJ4:CO4)&gt;=1,IF(ROUND(2/3*COUNTIF(CJ4:CO4,"&lt;&gt;"),0)=0,"",IF(COUNTIF(CJ4:CO4,"Đ")&gt;=ROUND(2/3*COUNTIF(CJ4:CO4,"&lt;&gt;"),0),"Đ","CĐ")),"")</f>
        <v>Đ</v>
      </c>
      <c r="CQ4" s="846">
        <v>10</v>
      </c>
      <c r="CR4" s="155">
        <v>9</v>
      </c>
      <c r="CS4" s="155"/>
      <c r="CT4" s="156"/>
      <c r="CU4" s="157">
        <v>10</v>
      </c>
      <c r="CV4" s="205">
        <v>10</v>
      </c>
      <c r="CW4" s="406">
        <f t="shared" ref="CW4:CW35" si="12">IF(COUNTA(CQ4:CV4)&gt;=1,ROUND(AVERAGE(CQ4:CV4,CU4:CV4,CV4),1),"")</f>
        <v>9.9</v>
      </c>
      <c r="CX4" s="154"/>
      <c r="CY4" s="155"/>
      <c r="CZ4" s="155"/>
      <c r="DA4" s="156"/>
      <c r="DB4" s="157"/>
      <c r="DC4" s="205"/>
      <c r="DD4" s="590" t="str">
        <f t="shared" ref="DD4:DD35" si="13">IF(COUNTA(CX4:DC4)&gt;=1,ROUND(AVERAGE(CX4:DC4,DB4:DC4,DC4),1),"")</f>
        <v/>
      </c>
      <c r="DE4" s="162"/>
      <c r="DF4" s="163"/>
      <c r="DG4" s="164"/>
      <c r="DH4" s="165"/>
      <c r="DI4" s="30" t="str">
        <f>UPPER(C4)&amp;TRIM(D4)&amp;TRIM(E4)&amp;TRIM(F4)</f>
        <v>12A1Phạm Huỳnh HiệpAn16/10/2004</v>
      </c>
    </row>
    <row r="5" spans="1:113" s="30" customFormat="1" ht="15.9" customHeight="1">
      <c r="A5" s="407"/>
      <c r="B5" s="99">
        <f>IF(C5&lt;&gt;"",MAX($B$4:B4)+1,"")</f>
        <v>2</v>
      </c>
      <c r="C5" s="166" t="s">
        <v>681</v>
      </c>
      <c r="D5" s="167" t="s">
        <v>686</v>
      </c>
      <c r="E5" s="168" t="s">
        <v>687</v>
      </c>
      <c r="F5" s="163" t="s">
        <v>688</v>
      </c>
      <c r="G5" s="451" t="s">
        <v>689</v>
      </c>
      <c r="H5" s="166" t="s">
        <v>6</v>
      </c>
      <c r="I5" s="166"/>
      <c r="J5" s="166"/>
      <c r="K5" s="847">
        <v>10</v>
      </c>
      <c r="L5" s="170">
        <v>9</v>
      </c>
      <c r="M5" s="170">
        <v>9</v>
      </c>
      <c r="N5" s="171">
        <v>10</v>
      </c>
      <c r="O5" s="172">
        <v>9.4</v>
      </c>
      <c r="P5" s="173">
        <v>9.6</v>
      </c>
      <c r="Q5" s="409">
        <f t="shared" si="0"/>
        <v>9.5</v>
      </c>
      <c r="R5" s="847">
        <v>10</v>
      </c>
      <c r="S5" s="170">
        <v>10</v>
      </c>
      <c r="T5" s="170">
        <v>10</v>
      </c>
      <c r="U5" s="171">
        <v>9</v>
      </c>
      <c r="V5" s="172">
        <v>9.5</v>
      </c>
      <c r="W5" s="173">
        <v>9.5</v>
      </c>
      <c r="X5" s="592">
        <f t="shared" si="1"/>
        <v>9.6</v>
      </c>
      <c r="Y5" s="847">
        <v>10</v>
      </c>
      <c r="Z5" s="170">
        <v>9</v>
      </c>
      <c r="AA5" s="170">
        <v>10</v>
      </c>
      <c r="AB5" s="171">
        <v>10</v>
      </c>
      <c r="AC5" s="172">
        <v>8.8000000000000007</v>
      </c>
      <c r="AD5" s="173">
        <v>9.3000000000000007</v>
      </c>
      <c r="AE5" s="409">
        <f t="shared" si="2"/>
        <v>9.4</v>
      </c>
      <c r="AF5" s="847">
        <v>10</v>
      </c>
      <c r="AG5" s="170">
        <v>10</v>
      </c>
      <c r="AH5" s="170">
        <v>9.8000000000000007</v>
      </c>
      <c r="AI5" s="171"/>
      <c r="AJ5" s="172">
        <v>9.3000000000000007</v>
      </c>
      <c r="AK5" s="173">
        <v>9.8000000000000007</v>
      </c>
      <c r="AL5" s="592">
        <f t="shared" si="3"/>
        <v>9.6999999999999993</v>
      </c>
      <c r="AM5" s="847">
        <v>10</v>
      </c>
      <c r="AN5" s="170">
        <v>9</v>
      </c>
      <c r="AO5" s="170">
        <v>10</v>
      </c>
      <c r="AP5" s="171"/>
      <c r="AQ5" s="172">
        <v>9</v>
      </c>
      <c r="AR5" s="173">
        <v>10</v>
      </c>
      <c r="AS5" s="409">
        <f t="shared" si="4"/>
        <v>9.6</v>
      </c>
      <c r="AT5" s="847">
        <v>10</v>
      </c>
      <c r="AU5" s="170">
        <v>10</v>
      </c>
      <c r="AV5" s="170">
        <v>8</v>
      </c>
      <c r="AW5" s="171">
        <v>9</v>
      </c>
      <c r="AX5" s="172">
        <v>7.8</v>
      </c>
      <c r="AY5" s="173">
        <v>7.8</v>
      </c>
      <c r="AZ5" s="592">
        <f t="shared" si="5"/>
        <v>8.4</v>
      </c>
      <c r="BA5" s="847">
        <v>10</v>
      </c>
      <c r="BB5" s="170">
        <v>9</v>
      </c>
      <c r="BC5" s="170">
        <v>10</v>
      </c>
      <c r="BD5" s="171"/>
      <c r="BE5" s="172">
        <v>9.5</v>
      </c>
      <c r="BF5" s="173">
        <v>9.5</v>
      </c>
      <c r="BG5" s="409">
        <f t="shared" si="6"/>
        <v>9.6</v>
      </c>
      <c r="BH5" s="847">
        <v>10</v>
      </c>
      <c r="BI5" s="170">
        <v>9</v>
      </c>
      <c r="BJ5" s="170">
        <v>10</v>
      </c>
      <c r="BK5" s="171"/>
      <c r="BL5" s="172">
        <v>10</v>
      </c>
      <c r="BM5" s="173">
        <v>9.8000000000000007</v>
      </c>
      <c r="BN5" s="592">
        <f t="shared" si="7"/>
        <v>9.8000000000000007</v>
      </c>
      <c r="BO5" s="847">
        <v>10</v>
      </c>
      <c r="BP5" s="170">
        <v>9</v>
      </c>
      <c r="BQ5" s="170">
        <v>9</v>
      </c>
      <c r="BR5" s="171">
        <v>9</v>
      </c>
      <c r="BS5" s="172">
        <v>9</v>
      </c>
      <c r="BT5" s="173">
        <v>8.8000000000000007</v>
      </c>
      <c r="BU5" s="409">
        <f t="shared" si="8"/>
        <v>9</v>
      </c>
      <c r="BV5" s="847">
        <v>10</v>
      </c>
      <c r="BW5" s="170">
        <v>9</v>
      </c>
      <c r="BX5" s="170"/>
      <c r="BY5" s="171"/>
      <c r="BZ5" s="172">
        <v>9</v>
      </c>
      <c r="CA5" s="173">
        <v>8.8000000000000007</v>
      </c>
      <c r="CB5" s="592">
        <f t="shared" si="9"/>
        <v>9.1</v>
      </c>
      <c r="CC5" s="851">
        <v>10</v>
      </c>
      <c r="CD5" s="170">
        <v>9</v>
      </c>
      <c r="CE5" s="170"/>
      <c r="CF5" s="171"/>
      <c r="CG5" s="172">
        <v>10</v>
      </c>
      <c r="CH5" s="173">
        <v>9.8000000000000007</v>
      </c>
      <c r="CI5" s="409">
        <f t="shared" si="10"/>
        <v>9.8000000000000007</v>
      </c>
      <c r="CJ5" s="175" t="s">
        <v>800</v>
      </c>
      <c r="CK5" s="175" t="s">
        <v>800</v>
      </c>
      <c r="CL5" s="175" t="s">
        <v>800</v>
      </c>
      <c r="CM5" s="176"/>
      <c r="CN5" s="177" t="s">
        <v>800</v>
      </c>
      <c r="CO5" s="178" t="s">
        <v>800</v>
      </c>
      <c r="CP5" s="593" t="str">
        <f t="shared" si="11"/>
        <v>Đ</v>
      </c>
      <c r="CQ5" s="847">
        <v>10</v>
      </c>
      <c r="CR5" s="170">
        <v>9</v>
      </c>
      <c r="CS5" s="170"/>
      <c r="CT5" s="171"/>
      <c r="CU5" s="172">
        <v>10</v>
      </c>
      <c r="CV5" s="173">
        <v>10</v>
      </c>
      <c r="CW5" s="409">
        <f t="shared" si="12"/>
        <v>9.9</v>
      </c>
      <c r="CX5" s="169"/>
      <c r="CY5" s="170"/>
      <c r="CZ5" s="170"/>
      <c r="DA5" s="171"/>
      <c r="DB5" s="172"/>
      <c r="DC5" s="173"/>
      <c r="DD5" s="592" t="str">
        <f t="shared" si="13"/>
        <v/>
      </c>
      <c r="DE5" s="162"/>
      <c r="DF5" s="163"/>
      <c r="DG5" s="164"/>
      <c r="DH5" s="165"/>
      <c r="DI5" s="30" t="str">
        <f t="shared" ref="DI5:DI35" si="14">UPPER(C5)&amp;TRIM(D5)&amp;TRIM(E5)&amp;TRIM(F5)</f>
        <v>12A1Chử NgọcAnh14/04/2004</v>
      </c>
    </row>
    <row r="6" spans="1:113" s="30" customFormat="1" ht="15.9" customHeight="1">
      <c r="A6" s="407"/>
      <c r="B6" s="99">
        <f>IF(C6&lt;&gt;"",MAX($B$4:B5)+1,"")</f>
        <v>3</v>
      </c>
      <c r="C6" s="166" t="s">
        <v>681</v>
      </c>
      <c r="D6" s="167" t="s">
        <v>690</v>
      </c>
      <c r="E6" s="168" t="s">
        <v>687</v>
      </c>
      <c r="F6" s="163" t="s">
        <v>691</v>
      </c>
      <c r="G6" s="451" t="s">
        <v>692</v>
      </c>
      <c r="H6" s="166" t="s">
        <v>119</v>
      </c>
      <c r="I6" s="166"/>
      <c r="J6" s="166"/>
      <c r="K6" s="847">
        <v>10</v>
      </c>
      <c r="L6" s="170">
        <v>9</v>
      </c>
      <c r="M6" s="170">
        <v>10</v>
      </c>
      <c r="N6" s="171">
        <v>9</v>
      </c>
      <c r="O6" s="172">
        <v>9.6</v>
      </c>
      <c r="P6" s="173">
        <v>9.6</v>
      </c>
      <c r="Q6" s="409">
        <f t="shared" si="0"/>
        <v>9.6</v>
      </c>
      <c r="R6" s="847">
        <v>9</v>
      </c>
      <c r="S6" s="170">
        <v>9</v>
      </c>
      <c r="T6" s="170">
        <v>10</v>
      </c>
      <c r="U6" s="171">
        <v>10</v>
      </c>
      <c r="V6" s="172">
        <v>9.5</v>
      </c>
      <c r="W6" s="173">
        <v>9.3000000000000007</v>
      </c>
      <c r="X6" s="592">
        <f t="shared" si="1"/>
        <v>9.4</v>
      </c>
      <c r="Y6" s="847">
        <v>9</v>
      </c>
      <c r="Z6" s="170">
        <v>9</v>
      </c>
      <c r="AA6" s="170">
        <v>9</v>
      </c>
      <c r="AB6" s="171">
        <v>10</v>
      </c>
      <c r="AC6" s="172">
        <v>9.1999999999999993</v>
      </c>
      <c r="AD6" s="173">
        <v>9.8000000000000007</v>
      </c>
      <c r="AE6" s="409">
        <f t="shared" si="2"/>
        <v>9.4</v>
      </c>
      <c r="AF6" s="847">
        <v>9</v>
      </c>
      <c r="AG6" s="170">
        <v>8</v>
      </c>
      <c r="AH6" s="170">
        <v>8</v>
      </c>
      <c r="AI6" s="171"/>
      <c r="AJ6" s="172">
        <v>10</v>
      </c>
      <c r="AK6" s="173">
        <v>7.8</v>
      </c>
      <c r="AL6" s="592">
        <f t="shared" si="3"/>
        <v>8.6</v>
      </c>
      <c r="AM6" s="847">
        <v>10</v>
      </c>
      <c r="AN6" s="170">
        <v>10</v>
      </c>
      <c r="AO6" s="170">
        <v>10</v>
      </c>
      <c r="AP6" s="171"/>
      <c r="AQ6" s="172">
        <v>9</v>
      </c>
      <c r="AR6" s="173">
        <v>10</v>
      </c>
      <c r="AS6" s="409">
        <f t="shared" si="4"/>
        <v>9.8000000000000007</v>
      </c>
      <c r="AT6" s="847">
        <v>9</v>
      </c>
      <c r="AU6" s="170">
        <v>9</v>
      </c>
      <c r="AV6" s="170">
        <v>7</v>
      </c>
      <c r="AW6" s="171">
        <v>7</v>
      </c>
      <c r="AX6" s="172">
        <v>7.5</v>
      </c>
      <c r="AY6" s="173">
        <v>5.5</v>
      </c>
      <c r="AZ6" s="592">
        <f t="shared" si="5"/>
        <v>7.1</v>
      </c>
      <c r="BA6" s="847">
        <v>10</v>
      </c>
      <c r="BB6" s="170">
        <v>9</v>
      </c>
      <c r="BC6" s="170">
        <v>9</v>
      </c>
      <c r="BD6" s="171"/>
      <c r="BE6" s="172">
        <v>9.5</v>
      </c>
      <c r="BF6" s="173">
        <v>9.3000000000000007</v>
      </c>
      <c r="BG6" s="409">
        <f t="shared" si="6"/>
        <v>9.4</v>
      </c>
      <c r="BH6" s="847">
        <v>10</v>
      </c>
      <c r="BI6" s="170">
        <v>9</v>
      </c>
      <c r="BJ6" s="170">
        <v>10</v>
      </c>
      <c r="BK6" s="171"/>
      <c r="BL6" s="172">
        <v>9.5</v>
      </c>
      <c r="BM6" s="173">
        <v>9.5</v>
      </c>
      <c r="BN6" s="592">
        <f t="shared" si="7"/>
        <v>9.6</v>
      </c>
      <c r="BO6" s="847">
        <v>10</v>
      </c>
      <c r="BP6" s="170">
        <v>9</v>
      </c>
      <c r="BQ6" s="170">
        <v>7</v>
      </c>
      <c r="BR6" s="171">
        <v>7</v>
      </c>
      <c r="BS6" s="172">
        <v>10</v>
      </c>
      <c r="BT6" s="173">
        <v>7</v>
      </c>
      <c r="BU6" s="409">
        <f t="shared" si="8"/>
        <v>8.1999999999999993</v>
      </c>
      <c r="BV6" s="847">
        <v>10</v>
      </c>
      <c r="BW6" s="170">
        <v>9</v>
      </c>
      <c r="BX6" s="170"/>
      <c r="BY6" s="171"/>
      <c r="BZ6" s="172">
        <v>8.5</v>
      </c>
      <c r="CA6" s="173">
        <v>8.5</v>
      </c>
      <c r="CB6" s="592">
        <f t="shared" si="9"/>
        <v>8.8000000000000007</v>
      </c>
      <c r="CC6" s="851">
        <v>10</v>
      </c>
      <c r="CD6" s="170">
        <v>9</v>
      </c>
      <c r="CE6" s="170"/>
      <c r="CF6" s="171"/>
      <c r="CG6" s="172">
        <v>9.5</v>
      </c>
      <c r="CH6" s="173">
        <v>9.5</v>
      </c>
      <c r="CI6" s="409">
        <f t="shared" si="10"/>
        <v>9.5</v>
      </c>
      <c r="CJ6" s="175" t="s">
        <v>800</v>
      </c>
      <c r="CK6" s="175" t="s">
        <v>800</v>
      </c>
      <c r="CL6" s="175" t="s">
        <v>800</v>
      </c>
      <c r="CM6" s="176"/>
      <c r="CN6" s="177" t="s">
        <v>800</v>
      </c>
      <c r="CO6" s="178" t="s">
        <v>800</v>
      </c>
      <c r="CP6" s="593" t="str">
        <f t="shared" si="11"/>
        <v>Đ</v>
      </c>
      <c r="CQ6" s="847">
        <v>9</v>
      </c>
      <c r="CR6" s="170">
        <v>10</v>
      </c>
      <c r="CS6" s="170"/>
      <c r="CT6" s="171"/>
      <c r="CU6" s="172">
        <v>10</v>
      </c>
      <c r="CV6" s="173">
        <v>9</v>
      </c>
      <c r="CW6" s="409">
        <f t="shared" si="12"/>
        <v>9.4</v>
      </c>
      <c r="CX6" s="169"/>
      <c r="CY6" s="170"/>
      <c r="CZ6" s="170"/>
      <c r="DA6" s="171"/>
      <c r="DB6" s="172"/>
      <c r="DC6" s="173"/>
      <c r="DD6" s="592" t="str">
        <f t="shared" si="13"/>
        <v/>
      </c>
      <c r="DE6" s="162"/>
      <c r="DF6" s="163"/>
      <c r="DG6" s="164"/>
      <c r="DH6" s="165"/>
      <c r="DI6" s="30" t="str">
        <f t="shared" si="14"/>
        <v>12A1Lê TuấnAnh20/10/2004</v>
      </c>
    </row>
    <row r="7" spans="1:113" s="30" customFormat="1" ht="15.9" customHeight="1">
      <c r="A7" s="407"/>
      <c r="B7" s="99">
        <f>IF(C7&lt;&gt;"",MAX($B$4:B6)+1,"")</f>
        <v>4</v>
      </c>
      <c r="C7" s="166" t="s">
        <v>681</v>
      </c>
      <c r="D7" s="167" t="s">
        <v>693</v>
      </c>
      <c r="E7" s="168" t="s">
        <v>687</v>
      </c>
      <c r="F7" s="163" t="s">
        <v>694</v>
      </c>
      <c r="G7" s="451" t="s">
        <v>165</v>
      </c>
      <c r="H7" s="166" t="s">
        <v>6</v>
      </c>
      <c r="I7" s="166"/>
      <c r="J7" s="166"/>
      <c r="K7" s="847">
        <v>10</v>
      </c>
      <c r="L7" s="170">
        <v>10</v>
      </c>
      <c r="M7" s="170">
        <v>10</v>
      </c>
      <c r="N7" s="171">
        <v>10</v>
      </c>
      <c r="O7" s="172">
        <v>9.6</v>
      </c>
      <c r="P7" s="173">
        <v>9.6</v>
      </c>
      <c r="Q7" s="409">
        <f t="shared" si="0"/>
        <v>9.8000000000000007</v>
      </c>
      <c r="R7" s="847">
        <v>9</v>
      </c>
      <c r="S7" s="170">
        <v>10</v>
      </c>
      <c r="T7" s="170">
        <v>10</v>
      </c>
      <c r="U7" s="171">
        <v>9</v>
      </c>
      <c r="V7" s="172">
        <v>9.5</v>
      </c>
      <c r="W7" s="173">
        <v>10</v>
      </c>
      <c r="X7" s="592">
        <f t="shared" si="1"/>
        <v>9.6999999999999993</v>
      </c>
      <c r="Y7" s="847">
        <v>9</v>
      </c>
      <c r="Z7" s="170">
        <v>9</v>
      </c>
      <c r="AA7" s="170">
        <v>9</v>
      </c>
      <c r="AB7" s="171">
        <v>10</v>
      </c>
      <c r="AC7" s="172">
        <v>9.1999999999999993</v>
      </c>
      <c r="AD7" s="173">
        <v>9.5</v>
      </c>
      <c r="AE7" s="409">
        <f t="shared" si="2"/>
        <v>9.3000000000000007</v>
      </c>
      <c r="AF7" s="847">
        <v>10</v>
      </c>
      <c r="AG7" s="170">
        <v>9</v>
      </c>
      <c r="AH7" s="170">
        <v>8.8000000000000007</v>
      </c>
      <c r="AI7" s="171"/>
      <c r="AJ7" s="172">
        <v>9.8000000000000007</v>
      </c>
      <c r="AK7" s="173">
        <v>8.8000000000000007</v>
      </c>
      <c r="AL7" s="592">
        <f t="shared" si="3"/>
        <v>9.1999999999999993</v>
      </c>
      <c r="AM7" s="847">
        <v>10</v>
      </c>
      <c r="AN7" s="170">
        <v>10</v>
      </c>
      <c r="AO7" s="170">
        <v>10</v>
      </c>
      <c r="AP7" s="171"/>
      <c r="AQ7" s="172">
        <v>9</v>
      </c>
      <c r="AR7" s="173">
        <v>10</v>
      </c>
      <c r="AS7" s="409">
        <f t="shared" si="4"/>
        <v>9.8000000000000007</v>
      </c>
      <c r="AT7" s="847">
        <v>9</v>
      </c>
      <c r="AU7" s="170">
        <v>9</v>
      </c>
      <c r="AV7" s="170">
        <v>7</v>
      </c>
      <c r="AW7" s="171">
        <v>8</v>
      </c>
      <c r="AX7" s="172">
        <v>7</v>
      </c>
      <c r="AY7" s="173">
        <v>6.5</v>
      </c>
      <c r="AZ7" s="592">
        <f t="shared" si="5"/>
        <v>7.4</v>
      </c>
      <c r="BA7" s="847">
        <v>10</v>
      </c>
      <c r="BB7" s="170">
        <v>9</v>
      </c>
      <c r="BC7" s="170">
        <v>10</v>
      </c>
      <c r="BD7" s="171"/>
      <c r="BE7" s="172">
        <v>10</v>
      </c>
      <c r="BF7" s="173">
        <v>9.8000000000000007</v>
      </c>
      <c r="BG7" s="409">
        <f t="shared" si="6"/>
        <v>9.8000000000000007</v>
      </c>
      <c r="BH7" s="847">
        <v>10</v>
      </c>
      <c r="BI7" s="170">
        <v>10</v>
      </c>
      <c r="BJ7" s="170">
        <v>10</v>
      </c>
      <c r="BK7" s="171"/>
      <c r="BL7" s="172">
        <v>10</v>
      </c>
      <c r="BM7" s="173">
        <v>9.8000000000000007</v>
      </c>
      <c r="BN7" s="592">
        <f t="shared" si="7"/>
        <v>9.9</v>
      </c>
      <c r="BO7" s="847">
        <v>9</v>
      </c>
      <c r="BP7" s="170">
        <v>10</v>
      </c>
      <c r="BQ7" s="170">
        <v>7</v>
      </c>
      <c r="BR7" s="171">
        <v>7</v>
      </c>
      <c r="BS7" s="172">
        <v>9.4</v>
      </c>
      <c r="BT7" s="173">
        <v>6.8</v>
      </c>
      <c r="BU7" s="409">
        <f t="shared" si="8"/>
        <v>8</v>
      </c>
      <c r="BV7" s="847">
        <v>10</v>
      </c>
      <c r="BW7" s="170">
        <v>9</v>
      </c>
      <c r="BX7" s="170"/>
      <c r="BY7" s="171"/>
      <c r="BZ7" s="172">
        <v>9.5</v>
      </c>
      <c r="CA7" s="173">
        <v>9.5</v>
      </c>
      <c r="CB7" s="592">
        <f t="shared" si="9"/>
        <v>9.5</v>
      </c>
      <c r="CC7" s="851">
        <v>10</v>
      </c>
      <c r="CD7" s="170">
        <v>9</v>
      </c>
      <c r="CE7" s="170"/>
      <c r="CF7" s="171"/>
      <c r="CG7" s="172">
        <v>10</v>
      </c>
      <c r="CH7" s="173">
        <v>10</v>
      </c>
      <c r="CI7" s="409">
        <f t="shared" si="10"/>
        <v>9.9</v>
      </c>
      <c r="CJ7" s="175" t="s">
        <v>800</v>
      </c>
      <c r="CK7" s="175" t="s">
        <v>800</v>
      </c>
      <c r="CL7" s="175" t="s">
        <v>800</v>
      </c>
      <c r="CM7" s="176"/>
      <c r="CN7" s="177" t="s">
        <v>800</v>
      </c>
      <c r="CO7" s="178" t="s">
        <v>800</v>
      </c>
      <c r="CP7" s="593" t="str">
        <f t="shared" si="11"/>
        <v>Đ</v>
      </c>
      <c r="CQ7" s="847">
        <v>10</v>
      </c>
      <c r="CR7" s="170">
        <v>9</v>
      </c>
      <c r="CS7" s="170"/>
      <c r="CT7" s="171"/>
      <c r="CU7" s="172">
        <v>10</v>
      </c>
      <c r="CV7" s="173">
        <v>10</v>
      </c>
      <c r="CW7" s="409">
        <f t="shared" si="12"/>
        <v>9.9</v>
      </c>
      <c r="CX7" s="169"/>
      <c r="CY7" s="170"/>
      <c r="CZ7" s="170"/>
      <c r="DA7" s="171"/>
      <c r="DB7" s="172"/>
      <c r="DC7" s="173"/>
      <c r="DD7" s="592" t="str">
        <f t="shared" si="13"/>
        <v/>
      </c>
      <c r="DE7" s="162"/>
      <c r="DF7" s="163"/>
      <c r="DG7" s="164"/>
      <c r="DH7" s="165"/>
      <c r="DI7" s="30" t="str">
        <f t="shared" si="14"/>
        <v>12A1Nguyễn Quách MaiAnh12/05/2004</v>
      </c>
    </row>
    <row r="8" spans="1:113" s="30" customFormat="1" ht="15.9" customHeight="1">
      <c r="A8" s="407"/>
      <c r="B8" s="105">
        <f>IF(C8&lt;&gt;"",MAX($B$4:B7)+1,"")</f>
        <v>5</v>
      </c>
      <c r="C8" s="179" t="s">
        <v>681</v>
      </c>
      <c r="D8" s="180" t="s">
        <v>695</v>
      </c>
      <c r="E8" s="181" t="s">
        <v>687</v>
      </c>
      <c r="F8" s="182" t="s">
        <v>696</v>
      </c>
      <c r="G8" s="452" t="s">
        <v>165</v>
      </c>
      <c r="H8" s="179" t="s">
        <v>6</v>
      </c>
      <c r="I8" s="179"/>
      <c r="J8" s="179"/>
      <c r="K8" s="848">
        <v>9</v>
      </c>
      <c r="L8" s="185">
        <v>10</v>
      </c>
      <c r="M8" s="185">
        <v>10</v>
      </c>
      <c r="N8" s="186">
        <v>9</v>
      </c>
      <c r="O8" s="187">
        <v>9.6</v>
      </c>
      <c r="P8" s="188">
        <v>9.6</v>
      </c>
      <c r="Q8" s="411">
        <f t="shared" si="0"/>
        <v>9.6</v>
      </c>
      <c r="R8" s="848">
        <v>10</v>
      </c>
      <c r="S8" s="185">
        <v>9</v>
      </c>
      <c r="T8" s="185">
        <v>10</v>
      </c>
      <c r="U8" s="186">
        <v>9</v>
      </c>
      <c r="V8" s="187">
        <v>9.5</v>
      </c>
      <c r="W8" s="188">
        <v>9.8000000000000007</v>
      </c>
      <c r="X8" s="594">
        <f t="shared" si="1"/>
        <v>9.6</v>
      </c>
      <c r="Y8" s="848">
        <v>9</v>
      </c>
      <c r="Z8" s="185">
        <v>9</v>
      </c>
      <c r="AA8" s="185">
        <v>10</v>
      </c>
      <c r="AB8" s="186">
        <v>9</v>
      </c>
      <c r="AC8" s="187">
        <v>9.1999999999999993</v>
      </c>
      <c r="AD8" s="188">
        <v>9.5</v>
      </c>
      <c r="AE8" s="411">
        <f t="shared" si="2"/>
        <v>9.3000000000000007</v>
      </c>
      <c r="AF8" s="848">
        <v>10</v>
      </c>
      <c r="AG8" s="185">
        <v>9</v>
      </c>
      <c r="AH8" s="185">
        <v>9</v>
      </c>
      <c r="AI8" s="186"/>
      <c r="AJ8" s="187">
        <v>8.5</v>
      </c>
      <c r="AK8" s="188">
        <v>9</v>
      </c>
      <c r="AL8" s="594">
        <f t="shared" si="3"/>
        <v>9</v>
      </c>
      <c r="AM8" s="848">
        <v>10</v>
      </c>
      <c r="AN8" s="185">
        <v>9</v>
      </c>
      <c r="AO8" s="185">
        <v>10</v>
      </c>
      <c r="AP8" s="186"/>
      <c r="AQ8" s="187">
        <v>9</v>
      </c>
      <c r="AR8" s="188">
        <v>10</v>
      </c>
      <c r="AS8" s="411">
        <f t="shared" si="4"/>
        <v>9.6</v>
      </c>
      <c r="AT8" s="848">
        <v>9</v>
      </c>
      <c r="AU8" s="185">
        <v>9</v>
      </c>
      <c r="AV8" s="185">
        <v>7</v>
      </c>
      <c r="AW8" s="186">
        <v>8</v>
      </c>
      <c r="AX8" s="187">
        <v>7</v>
      </c>
      <c r="AY8" s="188">
        <v>5.8</v>
      </c>
      <c r="AZ8" s="594">
        <f t="shared" si="5"/>
        <v>7.2</v>
      </c>
      <c r="BA8" s="848">
        <v>10</v>
      </c>
      <c r="BB8" s="185">
        <v>9</v>
      </c>
      <c r="BC8" s="185">
        <v>10</v>
      </c>
      <c r="BD8" s="186"/>
      <c r="BE8" s="187">
        <v>9.5</v>
      </c>
      <c r="BF8" s="188">
        <v>9.5</v>
      </c>
      <c r="BG8" s="411">
        <f t="shared" si="6"/>
        <v>9.6</v>
      </c>
      <c r="BH8" s="848">
        <v>10</v>
      </c>
      <c r="BI8" s="185">
        <v>9</v>
      </c>
      <c r="BJ8" s="185">
        <v>10</v>
      </c>
      <c r="BK8" s="186"/>
      <c r="BL8" s="187">
        <v>10</v>
      </c>
      <c r="BM8" s="188">
        <v>10</v>
      </c>
      <c r="BN8" s="594">
        <f t="shared" si="7"/>
        <v>9.9</v>
      </c>
      <c r="BO8" s="848">
        <v>9</v>
      </c>
      <c r="BP8" s="185">
        <v>10</v>
      </c>
      <c r="BQ8" s="185">
        <v>8</v>
      </c>
      <c r="BR8" s="186">
        <v>8</v>
      </c>
      <c r="BS8" s="187">
        <v>9.8000000000000007</v>
      </c>
      <c r="BT8" s="188">
        <v>8.1999999999999993</v>
      </c>
      <c r="BU8" s="411">
        <f t="shared" si="8"/>
        <v>8.8000000000000007</v>
      </c>
      <c r="BV8" s="848">
        <v>10</v>
      </c>
      <c r="BW8" s="185">
        <v>9</v>
      </c>
      <c r="BX8" s="185"/>
      <c r="BY8" s="186"/>
      <c r="BZ8" s="187">
        <v>9.3000000000000007</v>
      </c>
      <c r="CA8" s="188">
        <v>9.3000000000000007</v>
      </c>
      <c r="CB8" s="594">
        <f t="shared" si="9"/>
        <v>9.4</v>
      </c>
      <c r="CC8" s="852">
        <v>10</v>
      </c>
      <c r="CD8" s="185">
        <v>9</v>
      </c>
      <c r="CE8" s="185"/>
      <c r="CF8" s="186"/>
      <c r="CG8" s="187">
        <v>10</v>
      </c>
      <c r="CH8" s="188">
        <v>10</v>
      </c>
      <c r="CI8" s="411">
        <f t="shared" si="10"/>
        <v>9.9</v>
      </c>
      <c r="CJ8" s="190" t="s">
        <v>800</v>
      </c>
      <c r="CK8" s="190" t="s">
        <v>800</v>
      </c>
      <c r="CL8" s="190" t="s">
        <v>800</v>
      </c>
      <c r="CM8" s="191"/>
      <c r="CN8" s="192" t="s">
        <v>800</v>
      </c>
      <c r="CO8" s="193" t="s">
        <v>800</v>
      </c>
      <c r="CP8" s="595" t="str">
        <f t="shared" si="11"/>
        <v>Đ</v>
      </c>
      <c r="CQ8" s="848">
        <v>10</v>
      </c>
      <c r="CR8" s="185">
        <v>9</v>
      </c>
      <c r="CS8" s="185"/>
      <c r="CT8" s="186"/>
      <c r="CU8" s="187">
        <v>10</v>
      </c>
      <c r="CV8" s="188">
        <v>10</v>
      </c>
      <c r="CW8" s="411">
        <f t="shared" si="12"/>
        <v>9.9</v>
      </c>
      <c r="CX8" s="184"/>
      <c r="CY8" s="185"/>
      <c r="CZ8" s="185"/>
      <c r="DA8" s="186"/>
      <c r="DB8" s="187"/>
      <c r="DC8" s="188"/>
      <c r="DD8" s="594" t="str">
        <f t="shared" si="13"/>
        <v/>
      </c>
      <c r="DE8" s="194"/>
      <c r="DF8" s="182"/>
      <c r="DG8" s="183"/>
      <c r="DH8" s="195"/>
      <c r="DI8" s="30" t="str">
        <f t="shared" si="14"/>
        <v>12A1Vũ SongAnh20/04/2004</v>
      </c>
    </row>
    <row r="9" spans="1:113" s="30" customFormat="1" ht="15.9" customHeight="1">
      <c r="A9" s="407"/>
      <c r="B9" s="111">
        <f>IF(C9&lt;&gt;"",MAX($B$4:B8)+1,"")</f>
        <v>6</v>
      </c>
      <c r="C9" s="196" t="s">
        <v>681</v>
      </c>
      <c r="D9" s="197" t="s">
        <v>697</v>
      </c>
      <c r="E9" s="198" t="s">
        <v>698</v>
      </c>
      <c r="F9" s="199" t="s">
        <v>699</v>
      </c>
      <c r="G9" s="453" t="s">
        <v>165</v>
      </c>
      <c r="H9" s="196" t="s">
        <v>119</v>
      </c>
      <c r="I9" s="196"/>
      <c r="J9" s="196"/>
      <c r="K9" s="849">
        <v>10</v>
      </c>
      <c r="L9" s="202">
        <v>9</v>
      </c>
      <c r="M9" s="202">
        <v>10</v>
      </c>
      <c r="N9" s="203">
        <v>10</v>
      </c>
      <c r="O9" s="204">
        <v>9.4</v>
      </c>
      <c r="P9" s="205">
        <v>9.1999999999999993</v>
      </c>
      <c r="Q9" s="413">
        <f t="shared" si="0"/>
        <v>9.5</v>
      </c>
      <c r="R9" s="849">
        <v>9</v>
      </c>
      <c r="S9" s="155">
        <v>10</v>
      </c>
      <c r="T9" s="202">
        <v>10</v>
      </c>
      <c r="U9" s="203">
        <v>10</v>
      </c>
      <c r="V9" s="204">
        <v>9.5</v>
      </c>
      <c r="W9" s="205">
        <v>8.8000000000000007</v>
      </c>
      <c r="X9" s="596">
        <f t="shared" si="1"/>
        <v>9.4</v>
      </c>
      <c r="Y9" s="849">
        <v>10</v>
      </c>
      <c r="Z9" s="155">
        <v>7</v>
      </c>
      <c r="AA9" s="202">
        <v>10</v>
      </c>
      <c r="AB9" s="203">
        <v>10</v>
      </c>
      <c r="AC9" s="204">
        <v>8.6</v>
      </c>
      <c r="AD9" s="205">
        <v>9</v>
      </c>
      <c r="AE9" s="413">
        <f t="shared" si="2"/>
        <v>9</v>
      </c>
      <c r="AF9" s="849">
        <v>10</v>
      </c>
      <c r="AG9" s="155">
        <v>9</v>
      </c>
      <c r="AH9" s="202">
        <v>8.3000000000000007</v>
      </c>
      <c r="AI9" s="203"/>
      <c r="AJ9" s="204">
        <v>9</v>
      </c>
      <c r="AK9" s="205">
        <v>8.3000000000000007</v>
      </c>
      <c r="AL9" s="596">
        <f t="shared" si="3"/>
        <v>8.8000000000000007</v>
      </c>
      <c r="AM9" s="849">
        <v>10</v>
      </c>
      <c r="AN9" s="202">
        <v>10</v>
      </c>
      <c r="AO9" s="202">
        <v>9</v>
      </c>
      <c r="AP9" s="203"/>
      <c r="AQ9" s="204">
        <v>9</v>
      </c>
      <c r="AR9" s="205">
        <v>10</v>
      </c>
      <c r="AS9" s="413">
        <f t="shared" si="4"/>
        <v>9.6</v>
      </c>
      <c r="AT9" s="849">
        <v>9</v>
      </c>
      <c r="AU9" s="202">
        <v>9</v>
      </c>
      <c r="AV9" s="202">
        <v>7</v>
      </c>
      <c r="AW9" s="203">
        <v>8</v>
      </c>
      <c r="AX9" s="204">
        <v>7.3</v>
      </c>
      <c r="AY9" s="205">
        <v>5.8</v>
      </c>
      <c r="AZ9" s="596">
        <f t="shared" si="5"/>
        <v>7.2</v>
      </c>
      <c r="BA9" s="849">
        <v>10</v>
      </c>
      <c r="BB9" s="202">
        <v>9</v>
      </c>
      <c r="BC9" s="202">
        <v>10</v>
      </c>
      <c r="BD9" s="203"/>
      <c r="BE9" s="204">
        <v>10</v>
      </c>
      <c r="BF9" s="205">
        <v>9.8000000000000007</v>
      </c>
      <c r="BG9" s="413">
        <f t="shared" si="6"/>
        <v>9.8000000000000007</v>
      </c>
      <c r="BH9" s="849">
        <v>10</v>
      </c>
      <c r="BI9" s="202">
        <v>9</v>
      </c>
      <c r="BJ9" s="202">
        <v>10</v>
      </c>
      <c r="BK9" s="203"/>
      <c r="BL9" s="204">
        <v>10</v>
      </c>
      <c r="BM9" s="205">
        <v>10</v>
      </c>
      <c r="BN9" s="596">
        <f t="shared" si="7"/>
        <v>9.9</v>
      </c>
      <c r="BO9" s="849">
        <v>10</v>
      </c>
      <c r="BP9" s="202">
        <v>9</v>
      </c>
      <c r="BQ9" s="202">
        <v>10</v>
      </c>
      <c r="BR9" s="203">
        <v>9</v>
      </c>
      <c r="BS9" s="204">
        <v>9.8000000000000007</v>
      </c>
      <c r="BT9" s="205">
        <v>9.8000000000000007</v>
      </c>
      <c r="BU9" s="413">
        <f t="shared" si="8"/>
        <v>9.6999999999999993</v>
      </c>
      <c r="BV9" s="849">
        <v>9</v>
      </c>
      <c r="BW9" s="202">
        <v>10</v>
      </c>
      <c r="BX9" s="202"/>
      <c r="BY9" s="203"/>
      <c r="BZ9" s="204">
        <v>10</v>
      </c>
      <c r="CA9" s="205">
        <v>9.8000000000000007</v>
      </c>
      <c r="CB9" s="596">
        <f t="shared" si="9"/>
        <v>9.8000000000000007</v>
      </c>
      <c r="CC9" s="850">
        <v>10</v>
      </c>
      <c r="CD9" s="202">
        <v>9</v>
      </c>
      <c r="CE9" s="202"/>
      <c r="CF9" s="203"/>
      <c r="CG9" s="204">
        <v>10</v>
      </c>
      <c r="CH9" s="205">
        <v>10</v>
      </c>
      <c r="CI9" s="413">
        <f t="shared" si="10"/>
        <v>9.9</v>
      </c>
      <c r="CJ9" s="159" t="s">
        <v>800</v>
      </c>
      <c r="CK9" s="207" t="s">
        <v>800</v>
      </c>
      <c r="CL9" s="207" t="s">
        <v>800</v>
      </c>
      <c r="CM9" s="208"/>
      <c r="CN9" s="209" t="s">
        <v>800</v>
      </c>
      <c r="CO9" s="210" t="s">
        <v>800</v>
      </c>
      <c r="CP9" s="597" t="str">
        <f t="shared" si="11"/>
        <v>Đ</v>
      </c>
      <c r="CQ9" s="849">
        <v>10</v>
      </c>
      <c r="CR9" s="202">
        <v>9</v>
      </c>
      <c r="CS9" s="202"/>
      <c r="CT9" s="203"/>
      <c r="CU9" s="204">
        <v>10</v>
      </c>
      <c r="CV9" s="205">
        <v>10</v>
      </c>
      <c r="CW9" s="413">
        <f t="shared" si="12"/>
        <v>9.9</v>
      </c>
      <c r="CX9" s="201"/>
      <c r="CY9" s="202"/>
      <c r="CZ9" s="202"/>
      <c r="DA9" s="203"/>
      <c r="DB9" s="204"/>
      <c r="DC9" s="205"/>
      <c r="DD9" s="596" t="str">
        <f t="shared" si="13"/>
        <v/>
      </c>
      <c r="DE9" s="211"/>
      <c r="DF9" s="199"/>
      <c r="DG9" s="200"/>
      <c r="DH9" s="212"/>
      <c r="DI9" s="30" t="str">
        <f t="shared" si="14"/>
        <v>12A1Phan GiaBảo27/10/2004</v>
      </c>
    </row>
    <row r="10" spans="1:113" s="30" customFormat="1" ht="15.9" customHeight="1">
      <c r="A10" s="407"/>
      <c r="B10" s="99">
        <f>IF(C10&lt;&gt;"",MAX($B$4:B9)+1,"")</f>
        <v>7</v>
      </c>
      <c r="C10" s="166" t="s">
        <v>681</v>
      </c>
      <c r="D10" s="167" t="s">
        <v>700</v>
      </c>
      <c r="E10" s="168" t="s">
        <v>701</v>
      </c>
      <c r="F10" s="163" t="s">
        <v>702</v>
      </c>
      <c r="G10" s="451" t="s">
        <v>703</v>
      </c>
      <c r="H10" s="166" t="s">
        <v>119</v>
      </c>
      <c r="I10" s="166"/>
      <c r="J10" s="166"/>
      <c r="K10" s="847">
        <v>10</v>
      </c>
      <c r="L10" s="170">
        <v>10</v>
      </c>
      <c r="M10" s="170">
        <v>10</v>
      </c>
      <c r="N10" s="171">
        <v>10</v>
      </c>
      <c r="O10" s="172">
        <v>10</v>
      </c>
      <c r="P10" s="173">
        <v>9.4</v>
      </c>
      <c r="Q10" s="409">
        <f t="shared" si="0"/>
        <v>9.8000000000000007</v>
      </c>
      <c r="R10" s="847">
        <v>10</v>
      </c>
      <c r="S10" s="170">
        <v>10</v>
      </c>
      <c r="T10" s="170">
        <v>10</v>
      </c>
      <c r="U10" s="171">
        <v>10</v>
      </c>
      <c r="V10" s="172">
        <v>9.5</v>
      </c>
      <c r="W10" s="173">
        <v>10</v>
      </c>
      <c r="X10" s="592">
        <f t="shared" si="1"/>
        <v>9.9</v>
      </c>
      <c r="Y10" s="847">
        <v>9</v>
      </c>
      <c r="Z10" s="170">
        <v>10</v>
      </c>
      <c r="AA10" s="170">
        <v>9</v>
      </c>
      <c r="AB10" s="171">
        <v>10</v>
      </c>
      <c r="AC10" s="172">
        <v>9.6</v>
      </c>
      <c r="AD10" s="173">
        <v>9.8000000000000007</v>
      </c>
      <c r="AE10" s="409">
        <f t="shared" si="2"/>
        <v>9.6</v>
      </c>
      <c r="AF10" s="847">
        <v>10</v>
      </c>
      <c r="AG10" s="170">
        <v>10</v>
      </c>
      <c r="AH10" s="170">
        <v>9.5</v>
      </c>
      <c r="AI10" s="171"/>
      <c r="AJ10" s="172">
        <v>9.5</v>
      </c>
      <c r="AK10" s="173">
        <v>9.5</v>
      </c>
      <c r="AL10" s="592">
        <f t="shared" si="3"/>
        <v>9.6</v>
      </c>
      <c r="AM10" s="847">
        <v>10</v>
      </c>
      <c r="AN10" s="170">
        <v>10</v>
      </c>
      <c r="AO10" s="170">
        <v>10</v>
      </c>
      <c r="AP10" s="171"/>
      <c r="AQ10" s="172">
        <v>9</v>
      </c>
      <c r="AR10" s="173">
        <v>10</v>
      </c>
      <c r="AS10" s="409">
        <f t="shared" si="4"/>
        <v>9.8000000000000007</v>
      </c>
      <c r="AT10" s="847">
        <v>10</v>
      </c>
      <c r="AU10" s="170">
        <v>10</v>
      </c>
      <c r="AV10" s="170">
        <v>7</v>
      </c>
      <c r="AW10" s="171">
        <v>9</v>
      </c>
      <c r="AX10" s="172">
        <v>7.5</v>
      </c>
      <c r="AY10" s="173">
        <v>7</v>
      </c>
      <c r="AZ10" s="592">
        <f t="shared" si="5"/>
        <v>8</v>
      </c>
      <c r="BA10" s="847">
        <v>10</v>
      </c>
      <c r="BB10" s="170">
        <v>10</v>
      </c>
      <c r="BC10" s="170">
        <v>10</v>
      </c>
      <c r="BD10" s="171"/>
      <c r="BE10" s="172">
        <v>9.5</v>
      </c>
      <c r="BF10" s="173">
        <v>9.5</v>
      </c>
      <c r="BG10" s="409">
        <f t="shared" si="6"/>
        <v>9.6999999999999993</v>
      </c>
      <c r="BH10" s="847">
        <v>10</v>
      </c>
      <c r="BI10" s="170">
        <v>9</v>
      </c>
      <c r="BJ10" s="170">
        <v>10</v>
      </c>
      <c r="BK10" s="171"/>
      <c r="BL10" s="172">
        <v>9.5</v>
      </c>
      <c r="BM10" s="173">
        <v>9.5</v>
      </c>
      <c r="BN10" s="592">
        <f t="shared" si="7"/>
        <v>9.6</v>
      </c>
      <c r="BO10" s="847">
        <v>10</v>
      </c>
      <c r="BP10" s="170">
        <v>9</v>
      </c>
      <c r="BQ10" s="170">
        <v>10</v>
      </c>
      <c r="BR10" s="171">
        <v>9</v>
      </c>
      <c r="BS10" s="172">
        <v>9.8000000000000007</v>
      </c>
      <c r="BT10" s="173">
        <v>9.6</v>
      </c>
      <c r="BU10" s="409">
        <f t="shared" si="8"/>
        <v>9.6</v>
      </c>
      <c r="BV10" s="847">
        <v>10</v>
      </c>
      <c r="BW10" s="170">
        <v>9</v>
      </c>
      <c r="BX10" s="170"/>
      <c r="BY10" s="171"/>
      <c r="BZ10" s="172">
        <v>9.3000000000000007</v>
      </c>
      <c r="CA10" s="173">
        <v>9.3000000000000007</v>
      </c>
      <c r="CB10" s="592">
        <f t="shared" si="9"/>
        <v>9.4</v>
      </c>
      <c r="CC10" s="851">
        <v>10</v>
      </c>
      <c r="CD10" s="170">
        <v>9</v>
      </c>
      <c r="CE10" s="170"/>
      <c r="CF10" s="171"/>
      <c r="CG10" s="172">
        <v>9.5</v>
      </c>
      <c r="CH10" s="173">
        <v>9.5</v>
      </c>
      <c r="CI10" s="409">
        <f t="shared" si="10"/>
        <v>9.5</v>
      </c>
      <c r="CJ10" s="175" t="s">
        <v>800</v>
      </c>
      <c r="CK10" s="175" t="s">
        <v>800</v>
      </c>
      <c r="CL10" s="175" t="s">
        <v>800</v>
      </c>
      <c r="CM10" s="176"/>
      <c r="CN10" s="177" t="s">
        <v>800</v>
      </c>
      <c r="CO10" s="178" t="s">
        <v>800</v>
      </c>
      <c r="CP10" s="593" t="str">
        <f t="shared" si="11"/>
        <v>Đ</v>
      </c>
      <c r="CQ10" s="847">
        <v>10</v>
      </c>
      <c r="CR10" s="170">
        <v>9</v>
      </c>
      <c r="CS10" s="170"/>
      <c r="CT10" s="171"/>
      <c r="CU10" s="172">
        <v>10</v>
      </c>
      <c r="CV10" s="173">
        <v>10</v>
      </c>
      <c r="CW10" s="409">
        <f t="shared" si="12"/>
        <v>9.9</v>
      </c>
      <c r="CX10" s="169"/>
      <c r="CY10" s="170"/>
      <c r="CZ10" s="170"/>
      <c r="DA10" s="171"/>
      <c r="DB10" s="172"/>
      <c r="DC10" s="173"/>
      <c r="DD10" s="592" t="str">
        <f t="shared" si="13"/>
        <v/>
      </c>
      <c r="DE10" s="162"/>
      <c r="DF10" s="163"/>
      <c r="DG10" s="164"/>
      <c r="DH10" s="165"/>
      <c r="DI10" s="30" t="str">
        <f t="shared" si="14"/>
        <v>12A1Nguyễn PhúcBình20/06/2004</v>
      </c>
    </row>
    <row r="11" spans="1:113" s="30" customFormat="1" ht="15.9" customHeight="1">
      <c r="A11" s="407"/>
      <c r="B11" s="99">
        <f>IF(C11&lt;&gt;"",MAX($B$4:B10)+1,"")</f>
        <v>8</v>
      </c>
      <c r="C11" s="166" t="s">
        <v>681</v>
      </c>
      <c r="D11" s="167" t="s">
        <v>704</v>
      </c>
      <c r="E11" s="168" t="s">
        <v>705</v>
      </c>
      <c r="F11" s="163" t="s">
        <v>706</v>
      </c>
      <c r="G11" s="451" t="s">
        <v>707</v>
      </c>
      <c r="H11" s="166" t="s">
        <v>119</v>
      </c>
      <c r="I11" s="166"/>
      <c r="J11" s="166"/>
      <c r="K11" s="847">
        <v>10</v>
      </c>
      <c r="L11" s="170">
        <v>10</v>
      </c>
      <c r="M11" s="170">
        <v>9</v>
      </c>
      <c r="N11" s="171">
        <v>10</v>
      </c>
      <c r="O11" s="172">
        <v>9.4</v>
      </c>
      <c r="P11" s="173">
        <v>9.4</v>
      </c>
      <c r="Q11" s="409">
        <f t="shared" si="0"/>
        <v>9.6</v>
      </c>
      <c r="R11" s="847">
        <v>9</v>
      </c>
      <c r="S11" s="170">
        <v>10</v>
      </c>
      <c r="T11" s="170">
        <v>10</v>
      </c>
      <c r="U11" s="171">
        <v>10</v>
      </c>
      <c r="V11" s="172">
        <v>9.5</v>
      </c>
      <c r="W11" s="173">
        <v>9.5</v>
      </c>
      <c r="X11" s="592">
        <f t="shared" si="1"/>
        <v>9.6</v>
      </c>
      <c r="Y11" s="847">
        <v>9</v>
      </c>
      <c r="Z11" s="170">
        <v>9</v>
      </c>
      <c r="AA11" s="170">
        <v>9</v>
      </c>
      <c r="AB11" s="171">
        <v>10</v>
      </c>
      <c r="AC11" s="172">
        <v>9</v>
      </c>
      <c r="AD11" s="173">
        <v>9.3000000000000007</v>
      </c>
      <c r="AE11" s="409">
        <f t="shared" si="2"/>
        <v>9.1999999999999993</v>
      </c>
      <c r="AF11" s="847">
        <v>9</v>
      </c>
      <c r="AG11" s="170">
        <v>8</v>
      </c>
      <c r="AH11" s="170">
        <v>8</v>
      </c>
      <c r="AI11" s="171"/>
      <c r="AJ11" s="172">
        <v>9.8000000000000007</v>
      </c>
      <c r="AK11" s="173">
        <v>8</v>
      </c>
      <c r="AL11" s="592">
        <f t="shared" si="3"/>
        <v>8.6</v>
      </c>
      <c r="AM11" s="847">
        <v>10</v>
      </c>
      <c r="AN11" s="170">
        <v>9</v>
      </c>
      <c r="AO11" s="170">
        <v>10</v>
      </c>
      <c r="AP11" s="171"/>
      <c r="AQ11" s="172">
        <v>9</v>
      </c>
      <c r="AR11" s="173">
        <v>10</v>
      </c>
      <c r="AS11" s="409">
        <f t="shared" si="4"/>
        <v>9.6</v>
      </c>
      <c r="AT11" s="847">
        <v>9</v>
      </c>
      <c r="AU11" s="170">
        <v>9</v>
      </c>
      <c r="AV11" s="170">
        <v>7</v>
      </c>
      <c r="AW11" s="171">
        <v>7</v>
      </c>
      <c r="AX11" s="172">
        <v>8</v>
      </c>
      <c r="AY11" s="173">
        <v>5.8</v>
      </c>
      <c r="AZ11" s="592">
        <f t="shared" si="5"/>
        <v>7.3</v>
      </c>
      <c r="BA11" s="847">
        <v>10</v>
      </c>
      <c r="BB11" s="170">
        <v>9</v>
      </c>
      <c r="BC11" s="170">
        <v>10</v>
      </c>
      <c r="BD11" s="171"/>
      <c r="BE11" s="172">
        <v>9.5</v>
      </c>
      <c r="BF11" s="173">
        <v>9.5</v>
      </c>
      <c r="BG11" s="409">
        <f t="shared" si="6"/>
        <v>9.6</v>
      </c>
      <c r="BH11" s="847">
        <v>10</v>
      </c>
      <c r="BI11" s="170">
        <v>9</v>
      </c>
      <c r="BJ11" s="170">
        <v>10</v>
      </c>
      <c r="BK11" s="171"/>
      <c r="BL11" s="172">
        <v>10</v>
      </c>
      <c r="BM11" s="173">
        <v>9.8000000000000007</v>
      </c>
      <c r="BN11" s="592">
        <f t="shared" si="7"/>
        <v>9.8000000000000007</v>
      </c>
      <c r="BO11" s="847">
        <v>10</v>
      </c>
      <c r="BP11" s="170">
        <v>9</v>
      </c>
      <c r="BQ11" s="170">
        <v>9</v>
      </c>
      <c r="BR11" s="171">
        <v>9</v>
      </c>
      <c r="BS11" s="172">
        <v>9.8000000000000007</v>
      </c>
      <c r="BT11" s="173">
        <v>9.1999999999999993</v>
      </c>
      <c r="BU11" s="409">
        <f t="shared" si="8"/>
        <v>9.4</v>
      </c>
      <c r="BV11" s="847">
        <v>10</v>
      </c>
      <c r="BW11" s="170">
        <v>9</v>
      </c>
      <c r="BX11" s="170"/>
      <c r="BY11" s="171"/>
      <c r="BZ11" s="172">
        <v>9</v>
      </c>
      <c r="CA11" s="173">
        <v>9</v>
      </c>
      <c r="CB11" s="592">
        <f t="shared" si="9"/>
        <v>9.1</v>
      </c>
      <c r="CC11" s="851">
        <v>10</v>
      </c>
      <c r="CD11" s="170">
        <v>9</v>
      </c>
      <c r="CE11" s="170"/>
      <c r="CF11" s="171"/>
      <c r="CG11" s="172">
        <v>10</v>
      </c>
      <c r="CH11" s="173">
        <v>10</v>
      </c>
      <c r="CI11" s="409">
        <f t="shared" si="10"/>
        <v>9.9</v>
      </c>
      <c r="CJ11" s="175" t="s">
        <v>800</v>
      </c>
      <c r="CK11" s="175" t="s">
        <v>800</v>
      </c>
      <c r="CL11" s="175" t="s">
        <v>800</v>
      </c>
      <c r="CM11" s="176"/>
      <c r="CN11" s="177" t="s">
        <v>800</v>
      </c>
      <c r="CO11" s="178" t="s">
        <v>800</v>
      </c>
      <c r="CP11" s="593" t="str">
        <f t="shared" si="11"/>
        <v>Đ</v>
      </c>
      <c r="CQ11" s="847">
        <v>10</v>
      </c>
      <c r="CR11" s="170">
        <v>9</v>
      </c>
      <c r="CS11" s="170"/>
      <c r="CT11" s="171"/>
      <c r="CU11" s="172">
        <v>10</v>
      </c>
      <c r="CV11" s="173">
        <v>10</v>
      </c>
      <c r="CW11" s="409">
        <f t="shared" si="12"/>
        <v>9.9</v>
      </c>
      <c r="CX11" s="169"/>
      <c r="CY11" s="170"/>
      <c r="CZ11" s="170"/>
      <c r="DA11" s="171"/>
      <c r="DB11" s="172"/>
      <c r="DC11" s="173"/>
      <c r="DD11" s="592" t="str">
        <f t="shared" si="13"/>
        <v/>
      </c>
      <c r="DE11" s="162"/>
      <c r="DF11" s="163"/>
      <c r="DG11" s="164"/>
      <c r="DH11" s="165"/>
      <c r="DI11" s="30" t="str">
        <f t="shared" si="14"/>
        <v>12A1Trần LêCường08/04/2004</v>
      </c>
    </row>
    <row r="12" spans="1:113" s="30" customFormat="1" ht="15.9" customHeight="1">
      <c r="A12" s="407"/>
      <c r="B12" s="99">
        <f>IF(C12&lt;&gt;"",MAX($B$4:B11)+1,"")</f>
        <v>9</v>
      </c>
      <c r="C12" s="166" t="s">
        <v>681</v>
      </c>
      <c r="D12" s="167" t="s">
        <v>708</v>
      </c>
      <c r="E12" s="168" t="s">
        <v>709</v>
      </c>
      <c r="F12" s="163" t="s">
        <v>710</v>
      </c>
      <c r="G12" s="451" t="s">
        <v>165</v>
      </c>
      <c r="H12" s="166" t="s">
        <v>6</v>
      </c>
      <c r="I12" s="166"/>
      <c r="J12" s="166"/>
      <c r="K12" s="847">
        <v>9</v>
      </c>
      <c r="L12" s="170">
        <v>9</v>
      </c>
      <c r="M12" s="170">
        <v>10</v>
      </c>
      <c r="N12" s="171">
        <v>10</v>
      </c>
      <c r="O12" s="172">
        <v>9.4</v>
      </c>
      <c r="P12" s="173">
        <v>9.4</v>
      </c>
      <c r="Q12" s="409">
        <f t="shared" si="0"/>
        <v>9.4</v>
      </c>
      <c r="R12" s="847">
        <v>10</v>
      </c>
      <c r="S12" s="170">
        <v>10</v>
      </c>
      <c r="T12" s="170">
        <v>10</v>
      </c>
      <c r="U12" s="171">
        <v>10</v>
      </c>
      <c r="V12" s="172">
        <v>9.5</v>
      </c>
      <c r="W12" s="173">
        <v>9.8000000000000007</v>
      </c>
      <c r="X12" s="592">
        <f t="shared" si="1"/>
        <v>9.8000000000000007</v>
      </c>
      <c r="Y12" s="847">
        <v>10</v>
      </c>
      <c r="Z12" s="170">
        <v>10</v>
      </c>
      <c r="AA12" s="170">
        <v>10</v>
      </c>
      <c r="AB12" s="171">
        <v>10</v>
      </c>
      <c r="AC12" s="172">
        <v>9</v>
      </c>
      <c r="AD12" s="173">
        <v>9.3000000000000007</v>
      </c>
      <c r="AE12" s="409">
        <f t="shared" si="2"/>
        <v>9.5</v>
      </c>
      <c r="AF12" s="847">
        <v>10</v>
      </c>
      <c r="AG12" s="170">
        <v>10</v>
      </c>
      <c r="AH12" s="170">
        <v>9.3000000000000007</v>
      </c>
      <c r="AI12" s="171"/>
      <c r="AJ12" s="172">
        <v>9.5</v>
      </c>
      <c r="AK12" s="173">
        <v>9.3000000000000007</v>
      </c>
      <c r="AL12" s="592">
        <f t="shared" si="3"/>
        <v>9.5</v>
      </c>
      <c r="AM12" s="847">
        <v>10</v>
      </c>
      <c r="AN12" s="170">
        <v>10</v>
      </c>
      <c r="AO12" s="170">
        <v>10</v>
      </c>
      <c r="AP12" s="171"/>
      <c r="AQ12" s="172">
        <v>9</v>
      </c>
      <c r="AR12" s="173">
        <v>10</v>
      </c>
      <c r="AS12" s="409">
        <f t="shared" si="4"/>
        <v>9.8000000000000007</v>
      </c>
      <c r="AT12" s="847">
        <v>9</v>
      </c>
      <c r="AU12" s="170">
        <v>9</v>
      </c>
      <c r="AV12" s="170">
        <v>7</v>
      </c>
      <c r="AW12" s="171">
        <v>8</v>
      </c>
      <c r="AX12" s="172">
        <v>8</v>
      </c>
      <c r="AY12" s="173">
        <v>6.5</v>
      </c>
      <c r="AZ12" s="592">
        <f t="shared" si="5"/>
        <v>7.6</v>
      </c>
      <c r="BA12" s="847">
        <v>10</v>
      </c>
      <c r="BB12" s="170">
        <v>9</v>
      </c>
      <c r="BC12" s="170">
        <v>10</v>
      </c>
      <c r="BD12" s="171"/>
      <c r="BE12" s="172">
        <v>9.5</v>
      </c>
      <c r="BF12" s="173">
        <v>9.5</v>
      </c>
      <c r="BG12" s="409">
        <f t="shared" si="6"/>
        <v>9.6</v>
      </c>
      <c r="BH12" s="847">
        <v>10</v>
      </c>
      <c r="BI12" s="170">
        <v>9</v>
      </c>
      <c r="BJ12" s="170">
        <v>10</v>
      </c>
      <c r="BK12" s="171"/>
      <c r="BL12" s="172">
        <v>9.5</v>
      </c>
      <c r="BM12" s="173">
        <v>9.5</v>
      </c>
      <c r="BN12" s="592">
        <f t="shared" si="7"/>
        <v>9.6</v>
      </c>
      <c r="BO12" s="847">
        <v>10</v>
      </c>
      <c r="BP12" s="170">
        <v>9</v>
      </c>
      <c r="BQ12" s="170">
        <v>10</v>
      </c>
      <c r="BR12" s="171">
        <v>10</v>
      </c>
      <c r="BS12" s="172">
        <v>9.8000000000000007</v>
      </c>
      <c r="BT12" s="173">
        <v>9.8000000000000007</v>
      </c>
      <c r="BU12" s="409">
        <f t="shared" si="8"/>
        <v>9.8000000000000007</v>
      </c>
      <c r="BV12" s="847">
        <v>10</v>
      </c>
      <c r="BW12" s="170">
        <v>9</v>
      </c>
      <c r="BX12" s="170"/>
      <c r="BY12" s="171"/>
      <c r="BZ12" s="172">
        <v>9</v>
      </c>
      <c r="CA12" s="173">
        <v>9</v>
      </c>
      <c r="CB12" s="592">
        <f t="shared" si="9"/>
        <v>9.1</v>
      </c>
      <c r="CC12" s="851">
        <v>10</v>
      </c>
      <c r="CD12" s="170">
        <v>9</v>
      </c>
      <c r="CE12" s="170"/>
      <c r="CF12" s="171"/>
      <c r="CG12" s="172">
        <v>10</v>
      </c>
      <c r="CH12" s="173">
        <v>10</v>
      </c>
      <c r="CI12" s="409">
        <f t="shared" si="10"/>
        <v>9.9</v>
      </c>
      <c r="CJ12" s="175" t="s">
        <v>800</v>
      </c>
      <c r="CK12" s="207" t="s">
        <v>800</v>
      </c>
      <c r="CL12" s="207" t="s">
        <v>800</v>
      </c>
      <c r="CM12" s="208"/>
      <c r="CN12" s="209" t="s">
        <v>800</v>
      </c>
      <c r="CO12" s="178" t="s">
        <v>800</v>
      </c>
      <c r="CP12" s="593" t="str">
        <f t="shared" si="11"/>
        <v>Đ</v>
      </c>
      <c r="CQ12" s="847">
        <v>10</v>
      </c>
      <c r="CR12" s="170">
        <v>9</v>
      </c>
      <c r="CS12" s="170"/>
      <c r="CT12" s="171"/>
      <c r="CU12" s="172">
        <v>10</v>
      </c>
      <c r="CV12" s="173">
        <v>10</v>
      </c>
      <c r="CW12" s="409">
        <f t="shared" si="12"/>
        <v>9.9</v>
      </c>
      <c r="CX12" s="169"/>
      <c r="CY12" s="170"/>
      <c r="CZ12" s="170"/>
      <c r="DA12" s="171"/>
      <c r="DB12" s="172"/>
      <c r="DC12" s="173"/>
      <c r="DD12" s="592" t="str">
        <f t="shared" si="13"/>
        <v/>
      </c>
      <c r="DE12" s="162"/>
      <c r="DF12" s="163"/>
      <c r="DG12" s="164"/>
      <c r="DH12" s="165"/>
      <c r="DI12" s="30" t="str">
        <f t="shared" si="14"/>
        <v>12A1Nguyễn ThanhDuyên16/11/2004</v>
      </c>
    </row>
    <row r="13" spans="1:113" s="30" customFormat="1" ht="15.9" customHeight="1">
      <c r="A13" s="407"/>
      <c r="B13" s="105">
        <f>IF(C13&lt;&gt;"",MAX($B$4:B12)+1,"")</f>
        <v>10</v>
      </c>
      <c r="C13" s="179" t="s">
        <v>681</v>
      </c>
      <c r="D13" s="180" t="s">
        <v>711</v>
      </c>
      <c r="E13" s="181" t="s">
        <v>712</v>
      </c>
      <c r="F13" s="182" t="s">
        <v>713</v>
      </c>
      <c r="G13" s="452" t="s">
        <v>707</v>
      </c>
      <c r="H13" s="179" t="s">
        <v>119</v>
      </c>
      <c r="I13" s="179"/>
      <c r="J13" s="179"/>
      <c r="K13" s="848">
        <v>10</v>
      </c>
      <c r="L13" s="185">
        <v>10</v>
      </c>
      <c r="M13" s="185">
        <v>9</v>
      </c>
      <c r="N13" s="186">
        <v>10</v>
      </c>
      <c r="O13" s="187">
        <v>9.1999999999999993</v>
      </c>
      <c r="P13" s="188">
        <v>9.1999999999999993</v>
      </c>
      <c r="Q13" s="411">
        <f t="shared" si="0"/>
        <v>9.4</v>
      </c>
      <c r="R13" s="848">
        <v>10</v>
      </c>
      <c r="S13" s="185">
        <v>10</v>
      </c>
      <c r="T13" s="185">
        <v>10</v>
      </c>
      <c r="U13" s="186">
        <v>9</v>
      </c>
      <c r="V13" s="187">
        <v>9.5</v>
      </c>
      <c r="W13" s="188">
        <v>9.3000000000000007</v>
      </c>
      <c r="X13" s="594">
        <f t="shared" si="1"/>
        <v>9.5</v>
      </c>
      <c r="Y13" s="848">
        <v>10</v>
      </c>
      <c r="Z13" s="185">
        <v>9</v>
      </c>
      <c r="AA13" s="185">
        <v>10</v>
      </c>
      <c r="AB13" s="186">
        <v>10</v>
      </c>
      <c r="AC13" s="187">
        <v>9.1999999999999993</v>
      </c>
      <c r="AD13" s="188">
        <v>9.8000000000000007</v>
      </c>
      <c r="AE13" s="411">
        <f t="shared" si="2"/>
        <v>9.6</v>
      </c>
      <c r="AF13" s="848">
        <v>9</v>
      </c>
      <c r="AG13" s="185">
        <v>9</v>
      </c>
      <c r="AH13" s="185">
        <v>9</v>
      </c>
      <c r="AI13" s="186"/>
      <c r="AJ13" s="187">
        <v>9.5</v>
      </c>
      <c r="AK13" s="188">
        <v>9</v>
      </c>
      <c r="AL13" s="594">
        <f t="shared" si="3"/>
        <v>9.1</v>
      </c>
      <c r="AM13" s="848">
        <v>10</v>
      </c>
      <c r="AN13" s="185">
        <v>10</v>
      </c>
      <c r="AO13" s="185">
        <v>9</v>
      </c>
      <c r="AP13" s="186"/>
      <c r="AQ13" s="187">
        <v>9</v>
      </c>
      <c r="AR13" s="188">
        <v>10</v>
      </c>
      <c r="AS13" s="411">
        <f t="shared" si="4"/>
        <v>9.6</v>
      </c>
      <c r="AT13" s="848">
        <v>9</v>
      </c>
      <c r="AU13" s="185">
        <v>9</v>
      </c>
      <c r="AV13" s="185">
        <v>8</v>
      </c>
      <c r="AW13" s="186">
        <v>8</v>
      </c>
      <c r="AX13" s="187">
        <v>7.8</v>
      </c>
      <c r="AY13" s="188">
        <v>7</v>
      </c>
      <c r="AZ13" s="594">
        <f t="shared" si="5"/>
        <v>7.8</v>
      </c>
      <c r="BA13" s="848">
        <v>10</v>
      </c>
      <c r="BB13" s="185">
        <v>9</v>
      </c>
      <c r="BC13" s="185">
        <v>10</v>
      </c>
      <c r="BD13" s="186"/>
      <c r="BE13" s="187">
        <v>10</v>
      </c>
      <c r="BF13" s="188">
        <v>9.8000000000000007</v>
      </c>
      <c r="BG13" s="411">
        <f t="shared" si="6"/>
        <v>9.8000000000000007</v>
      </c>
      <c r="BH13" s="848">
        <v>10</v>
      </c>
      <c r="BI13" s="185">
        <v>9</v>
      </c>
      <c r="BJ13" s="185">
        <v>10</v>
      </c>
      <c r="BK13" s="186"/>
      <c r="BL13" s="187">
        <v>10</v>
      </c>
      <c r="BM13" s="188">
        <v>10</v>
      </c>
      <c r="BN13" s="594">
        <f t="shared" si="7"/>
        <v>9.9</v>
      </c>
      <c r="BO13" s="848">
        <v>10</v>
      </c>
      <c r="BP13" s="185">
        <v>9</v>
      </c>
      <c r="BQ13" s="185">
        <v>9</v>
      </c>
      <c r="BR13" s="186">
        <v>9</v>
      </c>
      <c r="BS13" s="187">
        <v>10</v>
      </c>
      <c r="BT13" s="188">
        <v>8.8000000000000007</v>
      </c>
      <c r="BU13" s="411">
        <f t="shared" si="8"/>
        <v>9.3000000000000007</v>
      </c>
      <c r="BV13" s="848">
        <v>10</v>
      </c>
      <c r="BW13" s="185">
        <v>9</v>
      </c>
      <c r="BX13" s="185"/>
      <c r="BY13" s="186"/>
      <c r="BZ13" s="187">
        <v>9</v>
      </c>
      <c r="CA13" s="188">
        <v>9.8000000000000007</v>
      </c>
      <c r="CB13" s="594">
        <f t="shared" si="9"/>
        <v>9.5</v>
      </c>
      <c r="CC13" s="852">
        <v>10</v>
      </c>
      <c r="CD13" s="185">
        <v>10</v>
      </c>
      <c r="CE13" s="185"/>
      <c r="CF13" s="186"/>
      <c r="CG13" s="187">
        <v>9</v>
      </c>
      <c r="CH13" s="188">
        <v>9.8000000000000007</v>
      </c>
      <c r="CI13" s="411">
        <f t="shared" si="10"/>
        <v>9.6</v>
      </c>
      <c r="CJ13" s="190" t="s">
        <v>800</v>
      </c>
      <c r="CK13" s="214" t="s">
        <v>800</v>
      </c>
      <c r="CL13" s="214" t="s">
        <v>800</v>
      </c>
      <c r="CM13" s="215"/>
      <c r="CN13" s="216" t="s">
        <v>800</v>
      </c>
      <c r="CO13" s="193" t="s">
        <v>800</v>
      </c>
      <c r="CP13" s="595" t="str">
        <f t="shared" si="11"/>
        <v>Đ</v>
      </c>
      <c r="CQ13" s="848">
        <v>10</v>
      </c>
      <c r="CR13" s="185">
        <v>9</v>
      </c>
      <c r="CS13" s="185"/>
      <c r="CT13" s="186"/>
      <c r="CU13" s="187">
        <v>10</v>
      </c>
      <c r="CV13" s="188">
        <v>10</v>
      </c>
      <c r="CW13" s="411">
        <f t="shared" si="12"/>
        <v>9.9</v>
      </c>
      <c r="CX13" s="184"/>
      <c r="CY13" s="185"/>
      <c r="CZ13" s="185"/>
      <c r="DA13" s="186"/>
      <c r="DB13" s="187"/>
      <c r="DC13" s="188"/>
      <c r="DD13" s="594" t="str">
        <f t="shared" si="13"/>
        <v/>
      </c>
      <c r="DE13" s="194"/>
      <c r="DF13" s="182"/>
      <c r="DG13" s="183"/>
      <c r="DH13" s="195"/>
      <c r="DI13" s="30" t="str">
        <f t="shared" si="14"/>
        <v>12A1Trương ĐắcĐiền08/05/2004</v>
      </c>
    </row>
    <row r="14" spans="1:113" s="30" customFormat="1" ht="15.9" customHeight="1">
      <c r="A14" s="407"/>
      <c r="B14" s="111">
        <f>IF(C14&lt;&gt;"",MAX($B$4:B13)+1,"")</f>
        <v>11</v>
      </c>
      <c r="C14" s="196" t="s">
        <v>681</v>
      </c>
      <c r="D14" s="197" t="s">
        <v>714</v>
      </c>
      <c r="E14" s="198" t="s">
        <v>715</v>
      </c>
      <c r="F14" s="199" t="s">
        <v>716</v>
      </c>
      <c r="G14" s="453" t="s">
        <v>717</v>
      </c>
      <c r="H14" s="196"/>
      <c r="I14" s="196"/>
      <c r="J14" s="196"/>
      <c r="K14" s="849">
        <v>10</v>
      </c>
      <c r="L14" s="202">
        <v>10</v>
      </c>
      <c r="M14" s="202">
        <v>10</v>
      </c>
      <c r="N14" s="203">
        <v>9</v>
      </c>
      <c r="O14" s="204">
        <v>9.4</v>
      </c>
      <c r="P14" s="205">
        <v>9.4</v>
      </c>
      <c r="Q14" s="413">
        <f t="shared" si="0"/>
        <v>9.6</v>
      </c>
      <c r="R14" s="849">
        <v>9</v>
      </c>
      <c r="S14" s="155">
        <v>10</v>
      </c>
      <c r="T14" s="202">
        <v>9</v>
      </c>
      <c r="U14" s="203">
        <v>9</v>
      </c>
      <c r="V14" s="204">
        <v>9.3000000000000007</v>
      </c>
      <c r="W14" s="205">
        <v>9.5</v>
      </c>
      <c r="X14" s="596">
        <f t="shared" si="1"/>
        <v>9.3000000000000007</v>
      </c>
      <c r="Y14" s="849">
        <v>8</v>
      </c>
      <c r="Z14" s="155">
        <v>8</v>
      </c>
      <c r="AA14" s="202">
        <v>8</v>
      </c>
      <c r="AB14" s="203">
        <v>9</v>
      </c>
      <c r="AC14" s="204">
        <v>8.8000000000000007</v>
      </c>
      <c r="AD14" s="205">
        <v>9.8000000000000007</v>
      </c>
      <c r="AE14" s="413">
        <f t="shared" si="2"/>
        <v>8.9</v>
      </c>
      <c r="AF14" s="849">
        <v>9</v>
      </c>
      <c r="AG14" s="155">
        <v>9</v>
      </c>
      <c r="AH14" s="202">
        <v>9.3000000000000007</v>
      </c>
      <c r="AI14" s="203"/>
      <c r="AJ14" s="204">
        <v>9.8000000000000007</v>
      </c>
      <c r="AK14" s="205">
        <v>9.3000000000000007</v>
      </c>
      <c r="AL14" s="596">
        <f t="shared" si="3"/>
        <v>9.4</v>
      </c>
      <c r="AM14" s="849">
        <v>10</v>
      </c>
      <c r="AN14" s="202">
        <v>9</v>
      </c>
      <c r="AO14" s="202">
        <v>10</v>
      </c>
      <c r="AP14" s="203"/>
      <c r="AQ14" s="204">
        <v>9</v>
      </c>
      <c r="AR14" s="205">
        <v>10</v>
      </c>
      <c r="AS14" s="413">
        <f t="shared" si="4"/>
        <v>9.6</v>
      </c>
      <c r="AT14" s="849">
        <v>8</v>
      </c>
      <c r="AU14" s="202">
        <v>8</v>
      </c>
      <c r="AV14" s="202">
        <v>7</v>
      </c>
      <c r="AW14" s="203">
        <v>8</v>
      </c>
      <c r="AX14" s="204">
        <v>6.8</v>
      </c>
      <c r="AY14" s="205">
        <v>6.5</v>
      </c>
      <c r="AZ14" s="596">
        <f t="shared" si="5"/>
        <v>7.1</v>
      </c>
      <c r="BA14" s="849">
        <v>10</v>
      </c>
      <c r="BB14" s="202">
        <v>9</v>
      </c>
      <c r="BC14" s="202">
        <v>10</v>
      </c>
      <c r="BD14" s="203"/>
      <c r="BE14" s="204">
        <v>9.5</v>
      </c>
      <c r="BF14" s="205">
        <v>9.5</v>
      </c>
      <c r="BG14" s="413">
        <f t="shared" si="6"/>
        <v>9.6</v>
      </c>
      <c r="BH14" s="849">
        <v>9</v>
      </c>
      <c r="BI14" s="202">
        <v>10</v>
      </c>
      <c r="BJ14" s="202">
        <v>9</v>
      </c>
      <c r="BK14" s="203"/>
      <c r="BL14" s="204">
        <v>9.3000000000000007</v>
      </c>
      <c r="BM14" s="205">
        <v>9.3000000000000007</v>
      </c>
      <c r="BN14" s="596">
        <f t="shared" si="7"/>
        <v>9.3000000000000007</v>
      </c>
      <c r="BO14" s="849">
        <v>10</v>
      </c>
      <c r="BP14" s="202">
        <v>9</v>
      </c>
      <c r="BQ14" s="202">
        <v>9</v>
      </c>
      <c r="BR14" s="203">
        <v>9</v>
      </c>
      <c r="BS14" s="204">
        <v>9.4</v>
      </c>
      <c r="BT14" s="205">
        <v>9.1999999999999993</v>
      </c>
      <c r="BU14" s="413">
        <f t="shared" si="8"/>
        <v>9.3000000000000007</v>
      </c>
      <c r="BV14" s="849">
        <v>9</v>
      </c>
      <c r="BW14" s="202">
        <v>10</v>
      </c>
      <c r="BX14" s="202"/>
      <c r="BY14" s="203"/>
      <c r="BZ14" s="204">
        <v>9</v>
      </c>
      <c r="CA14" s="205">
        <v>9</v>
      </c>
      <c r="CB14" s="596">
        <f t="shared" si="9"/>
        <v>9.1</v>
      </c>
      <c r="CC14" s="850">
        <v>9</v>
      </c>
      <c r="CD14" s="202">
        <v>10</v>
      </c>
      <c r="CE14" s="202"/>
      <c r="CF14" s="203"/>
      <c r="CG14" s="204">
        <v>10</v>
      </c>
      <c r="CH14" s="205">
        <v>10</v>
      </c>
      <c r="CI14" s="413">
        <f t="shared" si="10"/>
        <v>9.9</v>
      </c>
      <c r="CJ14" s="159" t="s">
        <v>800</v>
      </c>
      <c r="CK14" s="207" t="s">
        <v>800</v>
      </c>
      <c r="CL14" s="207" t="s">
        <v>800</v>
      </c>
      <c r="CM14" s="208"/>
      <c r="CN14" s="209" t="s">
        <v>800</v>
      </c>
      <c r="CO14" s="210" t="s">
        <v>800</v>
      </c>
      <c r="CP14" s="597" t="str">
        <f t="shared" si="11"/>
        <v>Đ</v>
      </c>
      <c r="CQ14" s="849">
        <v>9</v>
      </c>
      <c r="CR14" s="202">
        <v>10</v>
      </c>
      <c r="CS14" s="202"/>
      <c r="CT14" s="203"/>
      <c r="CU14" s="204">
        <v>10</v>
      </c>
      <c r="CV14" s="205">
        <v>9</v>
      </c>
      <c r="CW14" s="413">
        <f t="shared" si="12"/>
        <v>9.4</v>
      </c>
      <c r="CX14" s="201"/>
      <c r="CY14" s="202"/>
      <c r="CZ14" s="202"/>
      <c r="DA14" s="203"/>
      <c r="DB14" s="204"/>
      <c r="DC14" s="205"/>
      <c r="DD14" s="596" t="str">
        <f t="shared" si="13"/>
        <v/>
      </c>
      <c r="DE14" s="211"/>
      <c r="DF14" s="199"/>
      <c r="DG14" s="200"/>
      <c r="DH14" s="212"/>
      <c r="DI14" s="30" t="str">
        <f t="shared" si="14"/>
        <v>12A1Hồ NgọcHải25/10/2004</v>
      </c>
    </row>
    <row r="15" spans="1:113" s="30" customFormat="1" ht="15.9" customHeight="1">
      <c r="A15" s="407"/>
      <c r="B15" s="99">
        <f>IF(C15&lt;&gt;"",MAX($B$4:B14)+1,"")</f>
        <v>12</v>
      </c>
      <c r="C15" s="166" t="s">
        <v>681</v>
      </c>
      <c r="D15" s="167" t="s">
        <v>718</v>
      </c>
      <c r="E15" s="168" t="s">
        <v>719</v>
      </c>
      <c r="F15" s="163" t="s">
        <v>720</v>
      </c>
      <c r="G15" s="451" t="s">
        <v>721</v>
      </c>
      <c r="H15" s="166" t="s">
        <v>119</v>
      </c>
      <c r="I15" s="166"/>
      <c r="J15" s="166"/>
      <c r="K15" s="847">
        <v>10</v>
      </c>
      <c r="L15" s="170">
        <v>9</v>
      </c>
      <c r="M15" s="170">
        <v>10</v>
      </c>
      <c r="N15" s="171">
        <v>9</v>
      </c>
      <c r="O15" s="172">
        <v>9.4</v>
      </c>
      <c r="P15" s="173">
        <v>9.4</v>
      </c>
      <c r="Q15" s="409">
        <f t="shared" si="0"/>
        <v>9.4</v>
      </c>
      <c r="R15" s="847">
        <v>10</v>
      </c>
      <c r="S15" s="170">
        <v>9</v>
      </c>
      <c r="T15" s="170">
        <v>10</v>
      </c>
      <c r="U15" s="171">
        <v>9</v>
      </c>
      <c r="V15" s="172">
        <v>9.5</v>
      </c>
      <c r="W15" s="173">
        <v>9.8000000000000007</v>
      </c>
      <c r="X15" s="592">
        <f t="shared" si="1"/>
        <v>9.6</v>
      </c>
      <c r="Y15" s="847">
        <v>9</v>
      </c>
      <c r="Z15" s="170">
        <v>8</v>
      </c>
      <c r="AA15" s="170">
        <v>9</v>
      </c>
      <c r="AB15" s="171">
        <v>9</v>
      </c>
      <c r="AC15" s="172">
        <v>8.8000000000000007</v>
      </c>
      <c r="AD15" s="173">
        <v>9.8000000000000007</v>
      </c>
      <c r="AE15" s="409">
        <f t="shared" si="2"/>
        <v>9.1</v>
      </c>
      <c r="AF15" s="847">
        <v>9</v>
      </c>
      <c r="AG15" s="170">
        <v>9</v>
      </c>
      <c r="AH15" s="170">
        <v>9</v>
      </c>
      <c r="AI15" s="171"/>
      <c r="AJ15" s="172">
        <v>9.3000000000000007</v>
      </c>
      <c r="AK15" s="173">
        <v>9</v>
      </c>
      <c r="AL15" s="592">
        <f t="shared" si="3"/>
        <v>9.1</v>
      </c>
      <c r="AM15" s="847">
        <v>10</v>
      </c>
      <c r="AN15" s="170">
        <v>10</v>
      </c>
      <c r="AO15" s="170">
        <v>9</v>
      </c>
      <c r="AP15" s="171"/>
      <c r="AQ15" s="172">
        <v>9</v>
      </c>
      <c r="AR15" s="173">
        <v>10</v>
      </c>
      <c r="AS15" s="409">
        <f t="shared" si="4"/>
        <v>9.6</v>
      </c>
      <c r="AT15" s="847">
        <v>9</v>
      </c>
      <c r="AU15" s="170">
        <v>9</v>
      </c>
      <c r="AV15" s="170">
        <v>7</v>
      </c>
      <c r="AW15" s="171">
        <v>9</v>
      </c>
      <c r="AX15" s="172">
        <v>7.5</v>
      </c>
      <c r="AY15" s="173">
        <v>5.8</v>
      </c>
      <c r="AZ15" s="592">
        <f t="shared" si="5"/>
        <v>7.4</v>
      </c>
      <c r="BA15" s="847">
        <v>10</v>
      </c>
      <c r="BB15" s="170">
        <v>9</v>
      </c>
      <c r="BC15" s="170">
        <v>10</v>
      </c>
      <c r="BD15" s="171"/>
      <c r="BE15" s="172">
        <v>10</v>
      </c>
      <c r="BF15" s="173">
        <v>9.8000000000000007</v>
      </c>
      <c r="BG15" s="409">
        <f t="shared" si="6"/>
        <v>9.8000000000000007</v>
      </c>
      <c r="BH15" s="847">
        <v>10</v>
      </c>
      <c r="BI15" s="170">
        <v>9</v>
      </c>
      <c r="BJ15" s="170">
        <v>10</v>
      </c>
      <c r="BK15" s="171"/>
      <c r="BL15" s="172">
        <v>10</v>
      </c>
      <c r="BM15" s="173">
        <v>10</v>
      </c>
      <c r="BN15" s="592">
        <f t="shared" si="7"/>
        <v>9.9</v>
      </c>
      <c r="BO15" s="847">
        <v>9</v>
      </c>
      <c r="BP15" s="170">
        <v>10</v>
      </c>
      <c r="BQ15" s="170">
        <v>6</v>
      </c>
      <c r="BR15" s="171">
        <v>6</v>
      </c>
      <c r="BS15" s="172">
        <v>10</v>
      </c>
      <c r="BT15" s="173">
        <v>5.8</v>
      </c>
      <c r="BU15" s="409">
        <f t="shared" si="8"/>
        <v>7.6</v>
      </c>
      <c r="BV15" s="847">
        <v>10</v>
      </c>
      <c r="BW15" s="170">
        <v>9</v>
      </c>
      <c r="BX15" s="170"/>
      <c r="BY15" s="171"/>
      <c r="BZ15" s="172">
        <v>9</v>
      </c>
      <c r="CA15" s="173">
        <v>9</v>
      </c>
      <c r="CB15" s="592">
        <f t="shared" si="9"/>
        <v>9.1</v>
      </c>
      <c r="CC15" s="851">
        <v>10</v>
      </c>
      <c r="CD15" s="170">
        <v>9</v>
      </c>
      <c r="CE15" s="170"/>
      <c r="CF15" s="171"/>
      <c r="CG15" s="172">
        <v>10</v>
      </c>
      <c r="CH15" s="173">
        <v>10</v>
      </c>
      <c r="CI15" s="409">
        <f t="shared" si="10"/>
        <v>9.9</v>
      </c>
      <c r="CJ15" s="175" t="s">
        <v>800</v>
      </c>
      <c r="CK15" s="175" t="s">
        <v>800</v>
      </c>
      <c r="CL15" s="175" t="s">
        <v>800</v>
      </c>
      <c r="CM15" s="176"/>
      <c r="CN15" s="177" t="s">
        <v>800</v>
      </c>
      <c r="CO15" s="178" t="s">
        <v>800</v>
      </c>
      <c r="CP15" s="593" t="str">
        <f t="shared" si="11"/>
        <v>Đ</v>
      </c>
      <c r="CQ15" s="847">
        <v>10</v>
      </c>
      <c r="CR15" s="170">
        <v>9</v>
      </c>
      <c r="CS15" s="170"/>
      <c r="CT15" s="171"/>
      <c r="CU15" s="172">
        <v>10</v>
      </c>
      <c r="CV15" s="173">
        <v>10</v>
      </c>
      <c r="CW15" s="409">
        <f t="shared" si="12"/>
        <v>9.9</v>
      </c>
      <c r="CX15" s="169"/>
      <c r="CY15" s="170"/>
      <c r="CZ15" s="170"/>
      <c r="DA15" s="171"/>
      <c r="DB15" s="172"/>
      <c r="DC15" s="173"/>
      <c r="DD15" s="592" t="str">
        <f t="shared" si="13"/>
        <v/>
      </c>
      <c r="DE15" s="162"/>
      <c r="DF15" s="163"/>
      <c r="DG15" s="164"/>
      <c r="DH15" s="165"/>
      <c r="DI15" s="30" t="str">
        <f t="shared" si="14"/>
        <v>12A1Hồ SơnHậu08/01/2004</v>
      </c>
    </row>
    <row r="16" spans="1:113" s="30" customFormat="1" ht="15.9" customHeight="1">
      <c r="A16" s="407"/>
      <c r="B16" s="99">
        <f>IF(C16&lt;&gt;"",MAX($B$4:B15)+1,"")</f>
        <v>13</v>
      </c>
      <c r="C16" s="166" t="s">
        <v>681</v>
      </c>
      <c r="D16" s="167" t="s">
        <v>722</v>
      </c>
      <c r="E16" s="168" t="s">
        <v>723</v>
      </c>
      <c r="F16" s="163" t="s">
        <v>724</v>
      </c>
      <c r="G16" s="451" t="s">
        <v>725</v>
      </c>
      <c r="H16" s="166" t="s">
        <v>6</v>
      </c>
      <c r="I16" s="166"/>
      <c r="J16" s="166"/>
      <c r="K16" s="847">
        <v>10</v>
      </c>
      <c r="L16" s="170">
        <v>10</v>
      </c>
      <c r="M16" s="170">
        <v>10</v>
      </c>
      <c r="N16" s="171">
        <v>10</v>
      </c>
      <c r="O16" s="172">
        <v>9.8000000000000007</v>
      </c>
      <c r="P16" s="173">
        <v>9.6</v>
      </c>
      <c r="Q16" s="409">
        <f t="shared" si="0"/>
        <v>9.8000000000000007</v>
      </c>
      <c r="R16" s="847">
        <v>10</v>
      </c>
      <c r="S16" s="170">
        <v>10</v>
      </c>
      <c r="T16" s="170">
        <v>10</v>
      </c>
      <c r="U16" s="171">
        <v>10</v>
      </c>
      <c r="V16" s="172">
        <v>9.5</v>
      </c>
      <c r="W16" s="173">
        <v>10</v>
      </c>
      <c r="X16" s="592">
        <f t="shared" si="1"/>
        <v>9.9</v>
      </c>
      <c r="Y16" s="847">
        <v>9</v>
      </c>
      <c r="Z16" s="170">
        <v>10</v>
      </c>
      <c r="AA16" s="170">
        <v>9</v>
      </c>
      <c r="AB16" s="171">
        <v>10</v>
      </c>
      <c r="AC16" s="172">
        <v>9.6</v>
      </c>
      <c r="AD16" s="173">
        <v>9.8000000000000007</v>
      </c>
      <c r="AE16" s="409">
        <f t="shared" si="2"/>
        <v>9.6</v>
      </c>
      <c r="AF16" s="847">
        <v>10</v>
      </c>
      <c r="AG16" s="170">
        <v>9</v>
      </c>
      <c r="AH16" s="170">
        <v>9</v>
      </c>
      <c r="AI16" s="171"/>
      <c r="AJ16" s="172">
        <v>9.5</v>
      </c>
      <c r="AK16" s="173">
        <v>9</v>
      </c>
      <c r="AL16" s="592">
        <f t="shared" si="3"/>
        <v>9.3000000000000007</v>
      </c>
      <c r="AM16" s="847">
        <v>10</v>
      </c>
      <c r="AN16" s="170">
        <v>10</v>
      </c>
      <c r="AO16" s="170">
        <v>9</v>
      </c>
      <c r="AP16" s="171"/>
      <c r="AQ16" s="172">
        <v>9</v>
      </c>
      <c r="AR16" s="173">
        <v>10</v>
      </c>
      <c r="AS16" s="409">
        <f t="shared" si="4"/>
        <v>9.6</v>
      </c>
      <c r="AT16" s="847">
        <v>9</v>
      </c>
      <c r="AU16" s="170">
        <v>9</v>
      </c>
      <c r="AV16" s="170">
        <v>7</v>
      </c>
      <c r="AW16" s="171">
        <v>9</v>
      </c>
      <c r="AX16" s="172">
        <v>8.5</v>
      </c>
      <c r="AY16" s="173">
        <v>7.8</v>
      </c>
      <c r="AZ16" s="592">
        <f t="shared" si="5"/>
        <v>8.3000000000000007</v>
      </c>
      <c r="BA16" s="847">
        <v>9</v>
      </c>
      <c r="BB16" s="170">
        <v>10</v>
      </c>
      <c r="BC16" s="170">
        <v>10</v>
      </c>
      <c r="BD16" s="171"/>
      <c r="BE16" s="172">
        <v>10</v>
      </c>
      <c r="BF16" s="173">
        <v>10</v>
      </c>
      <c r="BG16" s="409">
        <f t="shared" si="6"/>
        <v>9.9</v>
      </c>
      <c r="BH16" s="847">
        <v>10</v>
      </c>
      <c r="BI16" s="170">
        <v>9</v>
      </c>
      <c r="BJ16" s="170">
        <v>10</v>
      </c>
      <c r="BK16" s="171"/>
      <c r="BL16" s="172">
        <v>10</v>
      </c>
      <c r="BM16" s="173">
        <v>10</v>
      </c>
      <c r="BN16" s="592">
        <f t="shared" si="7"/>
        <v>9.9</v>
      </c>
      <c r="BO16" s="847">
        <v>10</v>
      </c>
      <c r="BP16" s="170">
        <v>9</v>
      </c>
      <c r="BQ16" s="170">
        <v>9</v>
      </c>
      <c r="BR16" s="171">
        <v>9</v>
      </c>
      <c r="BS16" s="172">
        <v>9.8000000000000007</v>
      </c>
      <c r="BT16" s="173">
        <v>9.4</v>
      </c>
      <c r="BU16" s="409">
        <f t="shared" si="8"/>
        <v>9.4</v>
      </c>
      <c r="BV16" s="847">
        <v>9</v>
      </c>
      <c r="BW16" s="170">
        <v>10</v>
      </c>
      <c r="BX16" s="170"/>
      <c r="BY16" s="171"/>
      <c r="BZ16" s="172">
        <v>9.3000000000000007</v>
      </c>
      <c r="CA16" s="173">
        <v>9.3000000000000007</v>
      </c>
      <c r="CB16" s="592">
        <f t="shared" si="9"/>
        <v>9.4</v>
      </c>
      <c r="CC16" s="851">
        <v>9</v>
      </c>
      <c r="CD16" s="170">
        <v>10</v>
      </c>
      <c r="CE16" s="170"/>
      <c r="CF16" s="171"/>
      <c r="CG16" s="172">
        <v>10</v>
      </c>
      <c r="CH16" s="173">
        <v>10</v>
      </c>
      <c r="CI16" s="409">
        <f t="shared" si="10"/>
        <v>9.9</v>
      </c>
      <c r="CJ16" s="175" t="s">
        <v>800</v>
      </c>
      <c r="CK16" s="207" t="s">
        <v>800</v>
      </c>
      <c r="CL16" s="207" t="s">
        <v>800</v>
      </c>
      <c r="CM16" s="208"/>
      <c r="CN16" s="209" t="s">
        <v>800</v>
      </c>
      <c r="CO16" s="178" t="s">
        <v>800</v>
      </c>
      <c r="CP16" s="593" t="str">
        <f t="shared" si="11"/>
        <v>Đ</v>
      </c>
      <c r="CQ16" s="847">
        <v>9</v>
      </c>
      <c r="CR16" s="170">
        <v>10</v>
      </c>
      <c r="CS16" s="170"/>
      <c r="CT16" s="171"/>
      <c r="CU16" s="172">
        <v>10</v>
      </c>
      <c r="CV16" s="173">
        <v>9</v>
      </c>
      <c r="CW16" s="409">
        <f t="shared" si="12"/>
        <v>9.4</v>
      </c>
      <c r="CX16" s="169"/>
      <c r="CY16" s="170"/>
      <c r="CZ16" s="170"/>
      <c r="DA16" s="171"/>
      <c r="DB16" s="172"/>
      <c r="DC16" s="173"/>
      <c r="DD16" s="592" t="str">
        <f t="shared" si="13"/>
        <v/>
      </c>
      <c r="DE16" s="162"/>
      <c r="DF16" s="163"/>
      <c r="DG16" s="164"/>
      <c r="DH16" s="165"/>
      <c r="DI16" s="30" t="str">
        <f t="shared" si="14"/>
        <v>12A1Nguyễn Thị ThuHiền20/05/2004</v>
      </c>
    </row>
    <row r="17" spans="1:113" s="30" customFormat="1" ht="15.9" customHeight="1">
      <c r="A17" s="407"/>
      <c r="B17" s="99">
        <f>IF(C17&lt;&gt;"",MAX($B$4:B16)+1,"")</f>
        <v>14</v>
      </c>
      <c r="C17" s="166" t="s">
        <v>681</v>
      </c>
      <c r="D17" s="167" t="s">
        <v>726</v>
      </c>
      <c r="E17" s="168" t="s">
        <v>727</v>
      </c>
      <c r="F17" s="163" t="s">
        <v>728</v>
      </c>
      <c r="G17" s="451" t="s">
        <v>165</v>
      </c>
      <c r="H17" s="166" t="s">
        <v>119</v>
      </c>
      <c r="I17" s="166"/>
      <c r="J17" s="166"/>
      <c r="K17" s="847">
        <v>10</v>
      </c>
      <c r="L17" s="170">
        <v>10</v>
      </c>
      <c r="M17" s="170">
        <v>10</v>
      </c>
      <c r="N17" s="171">
        <v>10</v>
      </c>
      <c r="O17" s="172">
        <v>9.8000000000000007</v>
      </c>
      <c r="P17" s="173">
        <v>9.8000000000000007</v>
      </c>
      <c r="Q17" s="409">
        <f t="shared" si="0"/>
        <v>9.9</v>
      </c>
      <c r="R17" s="847">
        <v>10</v>
      </c>
      <c r="S17" s="170">
        <v>10</v>
      </c>
      <c r="T17" s="170">
        <v>10</v>
      </c>
      <c r="U17" s="171">
        <v>10</v>
      </c>
      <c r="V17" s="172">
        <v>10</v>
      </c>
      <c r="W17" s="173">
        <v>9.8000000000000007</v>
      </c>
      <c r="X17" s="592">
        <f t="shared" si="1"/>
        <v>9.9</v>
      </c>
      <c r="Y17" s="847">
        <v>9</v>
      </c>
      <c r="Z17" s="170">
        <v>9</v>
      </c>
      <c r="AA17" s="170">
        <v>9</v>
      </c>
      <c r="AB17" s="171">
        <v>10</v>
      </c>
      <c r="AC17" s="172">
        <v>8.8000000000000007</v>
      </c>
      <c r="AD17" s="173">
        <v>9.3000000000000007</v>
      </c>
      <c r="AE17" s="409">
        <f t="shared" si="2"/>
        <v>9.1999999999999993</v>
      </c>
      <c r="AF17" s="847">
        <v>10</v>
      </c>
      <c r="AG17" s="170">
        <v>9</v>
      </c>
      <c r="AH17" s="170">
        <v>8.3000000000000007</v>
      </c>
      <c r="AI17" s="171"/>
      <c r="AJ17" s="172">
        <v>10</v>
      </c>
      <c r="AK17" s="173">
        <v>8.3000000000000007</v>
      </c>
      <c r="AL17" s="592">
        <f t="shared" si="3"/>
        <v>9</v>
      </c>
      <c r="AM17" s="847">
        <v>10</v>
      </c>
      <c r="AN17" s="170">
        <v>10</v>
      </c>
      <c r="AO17" s="170">
        <v>9</v>
      </c>
      <c r="AP17" s="171"/>
      <c r="AQ17" s="172">
        <v>9</v>
      </c>
      <c r="AR17" s="173">
        <v>10</v>
      </c>
      <c r="AS17" s="409">
        <f t="shared" si="4"/>
        <v>9.6</v>
      </c>
      <c r="AT17" s="847">
        <v>9</v>
      </c>
      <c r="AU17" s="170">
        <v>9</v>
      </c>
      <c r="AV17" s="170">
        <v>8</v>
      </c>
      <c r="AW17" s="171">
        <v>8</v>
      </c>
      <c r="AX17" s="172">
        <v>6.8</v>
      </c>
      <c r="AY17" s="173">
        <v>5.8</v>
      </c>
      <c r="AZ17" s="592">
        <f t="shared" si="5"/>
        <v>7.2</v>
      </c>
      <c r="BA17" s="847">
        <v>10</v>
      </c>
      <c r="BB17" s="170">
        <v>9</v>
      </c>
      <c r="BC17" s="170">
        <v>9</v>
      </c>
      <c r="BD17" s="171"/>
      <c r="BE17" s="172">
        <v>9.5</v>
      </c>
      <c r="BF17" s="173">
        <v>9.3000000000000007</v>
      </c>
      <c r="BG17" s="409">
        <f t="shared" si="6"/>
        <v>9.4</v>
      </c>
      <c r="BH17" s="847">
        <v>10</v>
      </c>
      <c r="BI17" s="170">
        <v>9</v>
      </c>
      <c r="BJ17" s="170">
        <v>9</v>
      </c>
      <c r="BK17" s="171"/>
      <c r="BL17" s="172">
        <v>9.3000000000000007</v>
      </c>
      <c r="BM17" s="173">
        <v>9.3000000000000007</v>
      </c>
      <c r="BN17" s="592">
        <f t="shared" si="7"/>
        <v>9.3000000000000007</v>
      </c>
      <c r="BO17" s="847">
        <v>9</v>
      </c>
      <c r="BP17" s="170">
        <v>10</v>
      </c>
      <c r="BQ17" s="170">
        <v>7</v>
      </c>
      <c r="BR17" s="171">
        <v>7</v>
      </c>
      <c r="BS17" s="172">
        <v>10</v>
      </c>
      <c r="BT17" s="173">
        <v>7</v>
      </c>
      <c r="BU17" s="409">
        <f t="shared" si="8"/>
        <v>8.1999999999999993</v>
      </c>
      <c r="BV17" s="847">
        <v>10</v>
      </c>
      <c r="BW17" s="170">
        <v>9</v>
      </c>
      <c r="BX17" s="170"/>
      <c r="BY17" s="171"/>
      <c r="BZ17" s="172">
        <v>9.3000000000000007</v>
      </c>
      <c r="CA17" s="173">
        <v>9.3000000000000007</v>
      </c>
      <c r="CB17" s="592">
        <f t="shared" si="9"/>
        <v>9.4</v>
      </c>
      <c r="CC17" s="851">
        <v>10</v>
      </c>
      <c r="CD17" s="170">
        <v>9</v>
      </c>
      <c r="CE17" s="170"/>
      <c r="CF17" s="171"/>
      <c r="CG17" s="172">
        <v>10</v>
      </c>
      <c r="CH17" s="173">
        <v>10</v>
      </c>
      <c r="CI17" s="409">
        <f t="shared" si="10"/>
        <v>9.9</v>
      </c>
      <c r="CJ17" s="175" t="s">
        <v>800</v>
      </c>
      <c r="CK17" s="175" t="s">
        <v>800</v>
      </c>
      <c r="CL17" s="175" t="s">
        <v>800</v>
      </c>
      <c r="CM17" s="176"/>
      <c r="CN17" s="177" t="s">
        <v>800</v>
      </c>
      <c r="CO17" s="178" t="s">
        <v>800</v>
      </c>
      <c r="CP17" s="593" t="str">
        <f t="shared" si="11"/>
        <v>Đ</v>
      </c>
      <c r="CQ17" s="847">
        <v>10</v>
      </c>
      <c r="CR17" s="170">
        <v>9</v>
      </c>
      <c r="CS17" s="170"/>
      <c r="CT17" s="171"/>
      <c r="CU17" s="172">
        <v>10</v>
      </c>
      <c r="CV17" s="173">
        <v>10</v>
      </c>
      <c r="CW17" s="409">
        <f t="shared" si="12"/>
        <v>9.9</v>
      </c>
      <c r="CX17" s="169"/>
      <c r="CY17" s="170"/>
      <c r="CZ17" s="170"/>
      <c r="DA17" s="171"/>
      <c r="DB17" s="172"/>
      <c r="DC17" s="173"/>
      <c r="DD17" s="592" t="str">
        <f t="shared" si="13"/>
        <v/>
      </c>
      <c r="DE17" s="162"/>
      <c r="DF17" s="163"/>
      <c r="DG17" s="164"/>
      <c r="DH17" s="165"/>
      <c r="DI17" s="30" t="str">
        <f t="shared" si="14"/>
        <v>12A1Lê Phan NgọcHiếu01/02/2004</v>
      </c>
    </row>
    <row r="18" spans="1:113" s="30" customFormat="1" ht="15.9" customHeight="1">
      <c r="A18" s="407"/>
      <c r="B18" s="105">
        <f>IF(C18&lt;&gt;"",MAX($B$4:B17)+1,"")</f>
        <v>15</v>
      </c>
      <c r="C18" s="179" t="s">
        <v>681</v>
      </c>
      <c r="D18" s="180" t="s">
        <v>729</v>
      </c>
      <c r="E18" s="181" t="s">
        <v>730</v>
      </c>
      <c r="F18" s="182" t="s">
        <v>731</v>
      </c>
      <c r="G18" s="452" t="s">
        <v>732</v>
      </c>
      <c r="H18" s="179" t="s">
        <v>119</v>
      </c>
      <c r="I18" s="179"/>
      <c r="J18" s="179"/>
      <c r="K18" s="848">
        <v>10</v>
      </c>
      <c r="L18" s="185">
        <v>10</v>
      </c>
      <c r="M18" s="185">
        <v>10</v>
      </c>
      <c r="N18" s="186">
        <v>9</v>
      </c>
      <c r="O18" s="187">
        <v>9.6</v>
      </c>
      <c r="P18" s="188">
        <v>9.6</v>
      </c>
      <c r="Q18" s="411">
        <f t="shared" si="0"/>
        <v>9.6999999999999993</v>
      </c>
      <c r="R18" s="848">
        <v>9</v>
      </c>
      <c r="S18" s="185">
        <v>10</v>
      </c>
      <c r="T18" s="185">
        <v>10</v>
      </c>
      <c r="U18" s="186">
        <v>10</v>
      </c>
      <c r="V18" s="187">
        <v>10</v>
      </c>
      <c r="W18" s="188">
        <v>9.8000000000000007</v>
      </c>
      <c r="X18" s="594">
        <f t="shared" si="1"/>
        <v>9.8000000000000007</v>
      </c>
      <c r="Y18" s="848">
        <v>8</v>
      </c>
      <c r="Z18" s="185">
        <v>9</v>
      </c>
      <c r="AA18" s="185">
        <v>8</v>
      </c>
      <c r="AB18" s="186">
        <v>10</v>
      </c>
      <c r="AC18" s="187">
        <v>9</v>
      </c>
      <c r="AD18" s="188">
        <v>9.3000000000000007</v>
      </c>
      <c r="AE18" s="411">
        <f t="shared" si="2"/>
        <v>9</v>
      </c>
      <c r="AF18" s="848">
        <v>9</v>
      </c>
      <c r="AG18" s="185">
        <v>9</v>
      </c>
      <c r="AH18" s="185">
        <v>8.5</v>
      </c>
      <c r="AI18" s="186"/>
      <c r="AJ18" s="187">
        <v>9.3000000000000007</v>
      </c>
      <c r="AK18" s="188">
        <v>8.5</v>
      </c>
      <c r="AL18" s="594">
        <f t="shared" si="3"/>
        <v>8.8000000000000007</v>
      </c>
      <c r="AM18" s="848">
        <v>10</v>
      </c>
      <c r="AN18" s="185">
        <v>10</v>
      </c>
      <c r="AO18" s="185">
        <v>10</v>
      </c>
      <c r="AP18" s="186"/>
      <c r="AQ18" s="187">
        <v>9</v>
      </c>
      <c r="AR18" s="188">
        <v>10</v>
      </c>
      <c r="AS18" s="411">
        <f t="shared" si="4"/>
        <v>9.8000000000000007</v>
      </c>
      <c r="AT18" s="848">
        <v>9</v>
      </c>
      <c r="AU18" s="185">
        <v>9</v>
      </c>
      <c r="AV18" s="185">
        <v>7</v>
      </c>
      <c r="AW18" s="186">
        <v>8</v>
      </c>
      <c r="AX18" s="187">
        <v>7</v>
      </c>
      <c r="AY18" s="188">
        <v>6.8</v>
      </c>
      <c r="AZ18" s="594">
        <f t="shared" si="5"/>
        <v>7.5</v>
      </c>
      <c r="BA18" s="848">
        <v>10</v>
      </c>
      <c r="BB18" s="185">
        <v>9</v>
      </c>
      <c r="BC18" s="185">
        <v>10</v>
      </c>
      <c r="BD18" s="186"/>
      <c r="BE18" s="187">
        <v>10</v>
      </c>
      <c r="BF18" s="188">
        <v>9.8000000000000007</v>
      </c>
      <c r="BG18" s="411">
        <f t="shared" si="6"/>
        <v>9.8000000000000007</v>
      </c>
      <c r="BH18" s="848">
        <v>10</v>
      </c>
      <c r="BI18" s="185">
        <v>9</v>
      </c>
      <c r="BJ18" s="185">
        <v>9</v>
      </c>
      <c r="BK18" s="186"/>
      <c r="BL18" s="187">
        <v>9</v>
      </c>
      <c r="BM18" s="188">
        <v>9</v>
      </c>
      <c r="BN18" s="594">
        <f t="shared" si="7"/>
        <v>9.1</v>
      </c>
      <c r="BO18" s="848">
        <v>10</v>
      </c>
      <c r="BP18" s="185">
        <v>9</v>
      </c>
      <c r="BQ18" s="185">
        <v>9</v>
      </c>
      <c r="BR18" s="186">
        <v>9</v>
      </c>
      <c r="BS18" s="187">
        <v>10</v>
      </c>
      <c r="BT18" s="188">
        <v>9.4</v>
      </c>
      <c r="BU18" s="411">
        <f t="shared" si="8"/>
        <v>9.5</v>
      </c>
      <c r="BV18" s="848">
        <v>10</v>
      </c>
      <c r="BW18" s="185">
        <v>9</v>
      </c>
      <c r="BX18" s="185"/>
      <c r="BY18" s="186"/>
      <c r="BZ18" s="187">
        <v>9</v>
      </c>
      <c r="CA18" s="188">
        <v>9</v>
      </c>
      <c r="CB18" s="594">
        <f t="shared" si="9"/>
        <v>9.1</v>
      </c>
      <c r="CC18" s="852">
        <v>10</v>
      </c>
      <c r="CD18" s="185">
        <v>9</v>
      </c>
      <c r="CE18" s="185"/>
      <c r="CF18" s="186"/>
      <c r="CG18" s="187">
        <v>10</v>
      </c>
      <c r="CH18" s="188">
        <v>10</v>
      </c>
      <c r="CI18" s="411">
        <f t="shared" si="10"/>
        <v>9.9</v>
      </c>
      <c r="CJ18" s="190" t="s">
        <v>800</v>
      </c>
      <c r="CK18" s="214" t="s">
        <v>800</v>
      </c>
      <c r="CL18" s="214" t="s">
        <v>800</v>
      </c>
      <c r="CM18" s="215"/>
      <c r="CN18" s="216" t="s">
        <v>800</v>
      </c>
      <c r="CO18" s="193" t="s">
        <v>800</v>
      </c>
      <c r="CP18" s="595" t="str">
        <f t="shared" si="11"/>
        <v>Đ</v>
      </c>
      <c r="CQ18" s="848">
        <v>10</v>
      </c>
      <c r="CR18" s="185">
        <v>9</v>
      </c>
      <c r="CS18" s="185"/>
      <c r="CT18" s="186"/>
      <c r="CU18" s="187">
        <v>10</v>
      </c>
      <c r="CV18" s="188">
        <v>10</v>
      </c>
      <c r="CW18" s="411">
        <f t="shared" si="12"/>
        <v>9.9</v>
      </c>
      <c r="CX18" s="184"/>
      <c r="CY18" s="185"/>
      <c r="CZ18" s="185"/>
      <c r="DA18" s="186"/>
      <c r="DB18" s="187"/>
      <c r="DC18" s="188"/>
      <c r="DD18" s="594" t="str">
        <f t="shared" si="13"/>
        <v/>
      </c>
      <c r="DE18" s="194"/>
      <c r="DF18" s="182"/>
      <c r="DG18" s="183"/>
      <c r="DH18" s="195"/>
      <c r="DI18" s="30" t="str">
        <f t="shared" si="14"/>
        <v>12A1Trần HoàngHưng11/06/2004</v>
      </c>
    </row>
    <row r="19" spans="1:113" s="30" customFormat="1" ht="15.9" customHeight="1">
      <c r="A19" s="407"/>
      <c r="B19" s="111">
        <f>IF(C19&lt;&gt;"",MAX($B$4:B18)+1,"")</f>
        <v>16</v>
      </c>
      <c r="C19" s="196" t="s">
        <v>681</v>
      </c>
      <c r="D19" s="197" t="s">
        <v>733</v>
      </c>
      <c r="E19" s="198" t="s">
        <v>734</v>
      </c>
      <c r="F19" s="199" t="s">
        <v>735</v>
      </c>
      <c r="G19" s="453" t="s">
        <v>707</v>
      </c>
      <c r="H19" s="196" t="s">
        <v>119</v>
      </c>
      <c r="I19" s="196"/>
      <c r="J19" s="196"/>
      <c r="K19" s="849">
        <v>10</v>
      </c>
      <c r="L19" s="202">
        <v>10</v>
      </c>
      <c r="M19" s="202">
        <v>9</v>
      </c>
      <c r="N19" s="203">
        <v>10</v>
      </c>
      <c r="O19" s="204">
        <v>9.4</v>
      </c>
      <c r="P19" s="205">
        <v>9.4</v>
      </c>
      <c r="Q19" s="413">
        <f t="shared" si="0"/>
        <v>9.6</v>
      </c>
      <c r="R19" s="849">
        <v>9</v>
      </c>
      <c r="S19" s="155">
        <v>10</v>
      </c>
      <c r="T19" s="202">
        <v>10</v>
      </c>
      <c r="U19" s="203">
        <v>8</v>
      </c>
      <c r="V19" s="204">
        <v>9.5</v>
      </c>
      <c r="W19" s="205">
        <v>9.5</v>
      </c>
      <c r="X19" s="596">
        <f t="shared" si="1"/>
        <v>9.4</v>
      </c>
      <c r="Y19" s="849">
        <v>10</v>
      </c>
      <c r="Z19" s="155">
        <v>10</v>
      </c>
      <c r="AA19" s="202">
        <v>10</v>
      </c>
      <c r="AB19" s="203">
        <v>9</v>
      </c>
      <c r="AC19" s="204">
        <v>9.1999999999999993</v>
      </c>
      <c r="AD19" s="205">
        <v>9.8000000000000007</v>
      </c>
      <c r="AE19" s="413">
        <f t="shared" si="2"/>
        <v>9.6</v>
      </c>
      <c r="AF19" s="849">
        <v>10</v>
      </c>
      <c r="AG19" s="155">
        <v>9</v>
      </c>
      <c r="AH19" s="202">
        <v>8.5</v>
      </c>
      <c r="AI19" s="203"/>
      <c r="AJ19" s="204">
        <v>9.5</v>
      </c>
      <c r="AK19" s="205">
        <v>8.5</v>
      </c>
      <c r="AL19" s="596">
        <f t="shared" si="3"/>
        <v>9</v>
      </c>
      <c r="AM19" s="849">
        <v>10</v>
      </c>
      <c r="AN19" s="202">
        <v>10</v>
      </c>
      <c r="AO19" s="202">
        <v>10</v>
      </c>
      <c r="AP19" s="203"/>
      <c r="AQ19" s="204">
        <v>9</v>
      </c>
      <c r="AR19" s="205">
        <v>10</v>
      </c>
      <c r="AS19" s="413">
        <f t="shared" si="4"/>
        <v>9.8000000000000007</v>
      </c>
      <c r="AT19" s="849">
        <v>10</v>
      </c>
      <c r="AU19" s="202">
        <v>10</v>
      </c>
      <c r="AV19" s="202">
        <v>7</v>
      </c>
      <c r="AW19" s="203">
        <v>6</v>
      </c>
      <c r="AX19" s="204">
        <v>6.8</v>
      </c>
      <c r="AY19" s="205">
        <v>6.5</v>
      </c>
      <c r="AZ19" s="596">
        <f t="shared" si="5"/>
        <v>7.3</v>
      </c>
      <c r="BA19" s="849">
        <v>10</v>
      </c>
      <c r="BB19" s="202">
        <v>10</v>
      </c>
      <c r="BC19" s="202">
        <v>10</v>
      </c>
      <c r="BD19" s="203"/>
      <c r="BE19" s="204">
        <v>10</v>
      </c>
      <c r="BF19" s="205">
        <v>9.8000000000000007</v>
      </c>
      <c r="BG19" s="413">
        <f t="shared" si="6"/>
        <v>9.9</v>
      </c>
      <c r="BH19" s="849">
        <v>10</v>
      </c>
      <c r="BI19" s="202">
        <v>10</v>
      </c>
      <c r="BJ19" s="202">
        <v>10</v>
      </c>
      <c r="BK19" s="203"/>
      <c r="BL19" s="204">
        <v>10</v>
      </c>
      <c r="BM19" s="205">
        <v>9.8000000000000007</v>
      </c>
      <c r="BN19" s="596">
        <f t="shared" si="7"/>
        <v>9.9</v>
      </c>
      <c r="BO19" s="849">
        <v>10</v>
      </c>
      <c r="BP19" s="202">
        <v>9</v>
      </c>
      <c r="BQ19" s="202">
        <v>10</v>
      </c>
      <c r="BR19" s="203">
        <v>10</v>
      </c>
      <c r="BS19" s="204">
        <v>9.6</v>
      </c>
      <c r="BT19" s="205">
        <v>9.8000000000000007</v>
      </c>
      <c r="BU19" s="413">
        <f t="shared" si="8"/>
        <v>9.6999999999999993</v>
      </c>
      <c r="BV19" s="849">
        <v>10</v>
      </c>
      <c r="BW19" s="202">
        <v>9</v>
      </c>
      <c r="BX19" s="202"/>
      <c r="BY19" s="203"/>
      <c r="BZ19" s="204">
        <v>9</v>
      </c>
      <c r="CA19" s="205">
        <v>9</v>
      </c>
      <c r="CB19" s="596">
        <f t="shared" si="9"/>
        <v>9.1</v>
      </c>
      <c r="CC19" s="850">
        <v>10</v>
      </c>
      <c r="CD19" s="202">
        <v>10</v>
      </c>
      <c r="CE19" s="202"/>
      <c r="CF19" s="203"/>
      <c r="CG19" s="204">
        <v>10</v>
      </c>
      <c r="CH19" s="205">
        <v>9.8000000000000007</v>
      </c>
      <c r="CI19" s="413">
        <f t="shared" si="10"/>
        <v>9.9</v>
      </c>
      <c r="CJ19" s="159" t="s">
        <v>800</v>
      </c>
      <c r="CK19" s="207" t="s">
        <v>800</v>
      </c>
      <c r="CL19" s="207" t="s">
        <v>800</v>
      </c>
      <c r="CM19" s="208"/>
      <c r="CN19" s="209" t="s">
        <v>800</v>
      </c>
      <c r="CO19" s="210" t="s">
        <v>800</v>
      </c>
      <c r="CP19" s="597" t="str">
        <f t="shared" si="11"/>
        <v>Đ</v>
      </c>
      <c r="CQ19" s="849">
        <v>10</v>
      </c>
      <c r="CR19" s="202">
        <v>9</v>
      </c>
      <c r="CS19" s="202"/>
      <c r="CT19" s="203"/>
      <c r="CU19" s="204">
        <v>10</v>
      </c>
      <c r="CV19" s="205">
        <v>10</v>
      </c>
      <c r="CW19" s="413">
        <f t="shared" si="12"/>
        <v>9.9</v>
      </c>
      <c r="CX19" s="201"/>
      <c r="CY19" s="202"/>
      <c r="CZ19" s="202"/>
      <c r="DA19" s="203"/>
      <c r="DB19" s="204"/>
      <c r="DC19" s="205"/>
      <c r="DD19" s="596" t="str">
        <f t="shared" si="13"/>
        <v/>
      </c>
      <c r="DE19" s="211"/>
      <c r="DF19" s="199"/>
      <c r="DG19" s="200"/>
      <c r="DH19" s="212"/>
      <c r="DI19" s="30" t="str">
        <f t="shared" si="14"/>
        <v>12A1Trần ĐăngKhải22/04/2004</v>
      </c>
    </row>
    <row r="20" spans="1:113" s="30" customFormat="1" ht="15.9" customHeight="1">
      <c r="A20" s="407"/>
      <c r="B20" s="99">
        <f>IF(C20&lt;&gt;"",MAX($B$4:B19)+1,"")</f>
        <v>17</v>
      </c>
      <c r="C20" s="166" t="s">
        <v>681</v>
      </c>
      <c r="D20" s="167" t="s">
        <v>736</v>
      </c>
      <c r="E20" s="168" t="s">
        <v>737</v>
      </c>
      <c r="F20" s="163" t="s">
        <v>738</v>
      </c>
      <c r="G20" s="451" t="s">
        <v>165</v>
      </c>
      <c r="H20" s="166" t="s">
        <v>119</v>
      </c>
      <c r="I20" s="166"/>
      <c r="J20" s="166"/>
      <c r="K20" s="847">
        <v>10</v>
      </c>
      <c r="L20" s="170">
        <v>10</v>
      </c>
      <c r="M20" s="170">
        <v>8</v>
      </c>
      <c r="N20" s="171">
        <v>9</v>
      </c>
      <c r="O20" s="172">
        <v>8.6</v>
      </c>
      <c r="P20" s="173">
        <v>9</v>
      </c>
      <c r="Q20" s="409">
        <f t="shared" si="0"/>
        <v>9</v>
      </c>
      <c r="R20" s="847">
        <v>9</v>
      </c>
      <c r="S20" s="170">
        <v>10</v>
      </c>
      <c r="T20" s="170">
        <v>10</v>
      </c>
      <c r="U20" s="171">
        <v>9</v>
      </c>
      <c r="V20" s="172">
        <v>9</v>
      </c>
      <c r="W20" s="173">
        <v>9.3000000000000007</v>
      </c>
      <c r="X20" s="592">
        <f t="shared" si="1"/>
        <v>9.3000000000000007</v>
      </c>
      <c r="Y20" s="847">
        <v>10</v>
      </c>
      <c r="Z20" s="170">
        <v>8</v>
      </c>
      <c r="AA20" s="170">
        <v>10</v>
      </c>
      <c r="AB20" s="171">
        <v>9</v>
      </c>
      <c r="AC20" s="172">
        <v>7.6</v>
      </c>
      <c r="AD20" s="173">
        <v>7.5</v>
      </c>
      <c r="AE20" s="409">
        <f t="shared" si="2"/>
        <v>8.3000000000000007</v>
      </c>
      <c r="AF20" s="847">
        <v>9</v>
      </c>
      <c r="AG20" s="170">
        <v>9</v>
      </c>
      <c r="AH20" s="170">
        <v>9</v>
      </c>
      <c r="AI20" s="171"/>
      <c r="AJ20" s="172">
        <v>9.8000000000000007</v>
      </c>
      <c r="AK20" s="173">
        <v>9</v>
      </c>
      <c r="AL20" s="592">
        <f t="shared" si="3"/>
        <v>9.1999999999999993</v>
      </c>
      <c r="AM20" s="847">
        <v>10</v>
      </c>
      <c r="AN20" s="170">
        <v>9</v>
      </c>
      <c r="AO20" s="170">
        <v>10</v>
      </c>
      <c r="AP20" s="171"/>
      <c r="AQ20" s="172">
        <v>9</v>
      </c>
      <c r="AR20" s="173">
        <v>10</v>
      </c>
      <c r="AS20" s="409">
        <f t="shared" si="4"/>
        <v>9.6</v>
      </c>
      <c r="AT20" s="847">
        <v>10</v>
      </c>
      <c r="AU20" s="170">
        <v>10</v>
      </c>
      <c r="AV20" s="170">
        <v>7</v>
      </c>
      <c r="AW20" s="171">
        <v>8</v>
      </c>
      <c r="AX20" s="172">
        <v>8</v>
      </c>
      <c r="AY20" s="173">
        <v>6.8</v>
      </c>
      <c r="AZ20" s="592">
        <f t="shared" si="5"/>
        <v>7.9</v>
      </c>
      <c r="BA20" s="847">
        <v>10</v>
      </c>
      <c r="BB20" s="170">
        <v>9</v>
      </c>
      <c r="BC20" s="170">
        <v>10</v>
      </c>
      <c r="BD20" s="171"/>
      <c r="BE20" s="172">
        <v>9.5</v>
      </c>
      <c r="BF20" s="173">
        <v>9.5</v>
      </c>
      <c r="BG20" s="409">
        <f t="shared" si="6"/>
        <v>9.6</v>
      </c>
      <c r="BH20" s="847">
        <v>10</v>
      </c>
      <c r="BI20" s="170">
        <v>9</v>
      </c>
      <c r="BJ20" s="170">
        <v>10</v>
      </c>
      <c r="BK20" s="171"/>
      <c r="BL20" s="172">
        <v>10</v>
      </c>
      <c r="BM20" s="173">
        <v>10</v>
      </c>
      <c r="BN20" s="592">
        <f t="shared" si="7"/>
        <v>9.9</v>
      </c>
      <c r="BO20" s="847">
        <v>10</v>
      </c>
      <c r="BP20" s="170">
        <v>9</v>
      </c>
      <c r="BQ20" s="170">
        <v>9</v>
      </c>
      <c r="BR20" s="171">
        <v>9</v>
      </c>
      <c r="BS20" s="172">
        <v>9.6</v>
      </c>
      <c r="BT20" s="173">
        <v>9</v>
      </c>
      <c r="BU20" s="409">
        <f t="shared" si="8"/>
        <v>9.1999999999999993</v>
      </c>
      <c r="BV20" s="847">
        <v>9</v>
      </c>
      <c r="BW20" s="170">
        <v>10</v>
      </c>
      <c r="BX20" s="170"/>
      <c r="BY20" s="171"/>
      <c r="BZ20" s="172">
        <v>9.5</v>
      </c>
      <c r="CA20" s="173">
        <v>9.5</v>
      </c>
      <c r="CB20" s="592">
        <f t="shared" si="9"/>
        <v>9.5</v>
      </c>
      <c r="CC20" s="851">
        <v>9</v>
      </c>
      <c r="CD20" s="170">
        <v>10</v>
      </c>
      <c r="CE20" s="170"/>
      <c r="CF20" s="171"/>
      <c r="CG20" s="172">
        <v>10</v>
      </c>
      <c r="CH20" s="173">
        <v>9.8000000000000007</v>
      </c>
      <c r="CI20" s="409">
        <f t="shared" si="10"/>
        <v>9.8000000000000007</v>
      </c>
      <c r="CJ20" s="175" t="s">
        <v>800</v>
      </c>
      <c r="CK20" s="207" t="s">
        <v>800</v>
      </c>
      <c r="CL20" s="207" t="s">
        <v>800</v>
      </c>
      <c r="CM20" s="208"/>
      <c r="CN20" s="209" t="s">
        <v>800</v>
      </c>
      <c r="CO20" s="178" t="s">
        <v>800</v>
      </c>
      <c r="CP20" s="593" t="str">
        <f t="shared" si="11"/>
        <v>Đ</v>
      </c>
      <c r="CQ20" s="847">
        <v>10</v>
      </c>
      <c r="CR20" s="170">
        <v>9</v>
      </c>
      <c r="CS20" s="170"/>
      <c r="CT20" s="171"/>
      <c r="CU20" s="172">
        <v>10</v>
      </c>
      <c r="CV20" s="173">
        <v>10</v>
      </c>
      <c r="CW20" s="409">
        <f t="shared" si="12"/>
        <v>9.9</v>
      </c>
      <c r="CX20" s="169"/>
      <c r="CY20" s="170"/>
      <c r="CZ20" s="170"/>
      <c r="DA20" s="171"/>
      <c r="DB20" s="172"/>
      <c r="DC20" s="173"/>
      <c r="DD20" s="592" t="str">
        <f t="shared" si="13"/>
        <v/>
      </c>
      <c r="DE20" s="162"/>
      <c r="DF20" s="163"/>
      <c r="DG20" s="164"/>
      <c r="DH20" s="165"/>
      <c r="DI20" s="30" t="str">
        <f t="shared" si="14"/>
        <v>12A1Nguyễn Huỳnh PhúcKhang14/12/2004</v>
      </c>
    </row>
    <row r="21" spans="1:113" s="30" customFormat="1" ht="15.9" customHeight="1">
      <c r="A21" s="407"/>
      <c r="B21" s="99">
        <f>IF(C21&lt;&gt;"",MAX($B$4:B20)+1,"")</f>
        <v>18</v>
      </c>
      <c r="C21" s="166" t="s">
        <v>681</v>
      </c>
      <c r="D21" s="167" t="s">
        <v>739</v>
      </c>
      <c r="E21" s="168" t="s">
        <v>740</v>
      </c>
      <c r="F21" s="163" t="s">
        <v>741</v>
      </c>
      <c r="G21" s="451" t="s">
        <v>165</v>
      </c>
      <c r="H21" s="166" t="s">
        <v>119</v>
      </c>
      <c r="I21" s="166"/>
      <c r="J21" s="166"/>
      <c r="K21" s="847">
        <v>10</v>
      </c>
      <c r="L21" s="170">
        <v>10</v>
      </c>
      <c r="M21" s="170">
        <v>10</v>
      </c>
      <c r="N21" s="171">
        <v>10</v>
      </c>
      <c r="O21" s="172">
        <v>10</v>
      </c>
      <c r="P21" s="173">
        <v>9.8000000000000007</v>
      </c>
      <c r="Q21" s="409">
        <f t="shared" si="0"/>
        <v>9.9</v>
      </c>
      <c r="R21" s="847">
        <v>10</v>
      </c>
      <c r="S21" s="170">
        <v>10</v>
      </c>
      <c r="T21" s="170">
        <v>10</v>
      </c>
      <c r="U21" s="171">
        <v>10</v>
      </c>
      <c r="V21" s="172">
        <v>10</v>
      </c>
      <c r="W21" s="173">
        <v>10</v>
      </c>
      <c r="X21" s="592">
        <f t="shared" si="1"/>
        <v>10</v>
      </c>
      <c r="Y21" s="847">
        <v>10</v>
      </c>
      <c r="Z21" s="170">
        <v>10</v>
      </c>
      <c r="AA21" s="170">
        <v>10</v>
      </c>
      <c r="AB21" s="171">
        <v>10</v>
      </c>
      <c r="AC21" s="854">
        <v>9.6</v>
      </c>
      <c r="AD21" s="173">
        <v>10</v>
      </c>
      <c r="AE21" s="409">
        <f t="shared" si="2"/>
        <v>9.9</v>
      </c>
      <c r="AF21" s="847">
        <v>10</v>
      </c>
      <c r="AG21" s="170">
        <v>10</v>
      </c>
      <c r="AH21" s="170">
        <v>9.3000000000000007</v>
      </c>
      <c r="AI21" s="171"/>
      <c r="AJ21" s="172">
        <v>9.3000000000000007</v>
      </c>
      <c r="AK21" s="173">
        <v>9.3000000000000007</v>
      </c>
      <c r="AL21" s="592">
        <f t="shared" si="3"/>
        <v>9.5</v>
      </c>
      <c r="AM21" s="847">
        <v>10</v>
      </c>
      <c r="AN21" s="170">
        <v>10</v>
      </c>
      <c r="AO21" s="170">
        <v>10</v>
      </c>
      <c r="AP21" s="171"/>
      <c r="AQ21" s="172">
        <v>9</v>
      </c>
      <c r="AR21" s="173">
        <v>10</v>
      </c>
      <c r="AS21" s="409">
        <f t="shared" si="4"/>
        <v>9.8000000000000007</v>
      </c>
      <c r="AT21" s="847">
        <v>10</v>
      </c>
      <c r="AU21" s="170">
        <v>10</v>
      </c>
      <c r="AV21" s="170">
        <v>7</v>
      </c>
      <c r="AW21" s="171">
        <v>9</v>
      </c>
      <c r="AX21" s="172">
        <v>8</v>
      </c>
      <c r="AY21" s="173">
        <v>7</v>
      </c>
      <c r="AZ21" s="592">
        <f t="shared" si="5"/>
        <v>8.1</v>
      </c>
      <c r="BA21" s="847">
        <v>10</v>
      </c>
      <c r="BB21" s="170">
        <v>9</v>
      </c>
      <c r="BC21" s="170">
        <v>10</v>
      </c>
      <c r="BD21" s="171"/>
      <c r="BE21" s="172">
        <v>10</v>
      </c>
      <c r="BF21" s="173">
        <v>9.8000000000000007</v>
      </c>
      <c r="BG21" s="409">
        <f t="shared" si="6"/>
        <v>9.8000000000000007</v>
      </c>
      <c r="BH21" s="847">
        <v>10</v>
      </c>
      <c r="BI21" s="170">
        <v>9</v>
      </c>
      <c r="BJ21" s="170">
        <v>10</v>
      </c>
      <c r="BK21" s="171"/>
      <c r="BL21" s="172">
        <v>10</v>
      </c>
      <c r="BM21" s="173">
        <v>10</v>
      </c>
      <c r="BN21" s="592">
        <f t="shared" si="7"/>
        <v>9.9</v>
      </c>
      <c r="BO21" s="847">
        <v>9</v>
      </c>
      <c r="BP21" s="170">
        <v>10</v>
      </c>
      <c r="BQ21" s="170">
        <v>9</v>
      </c>
      <c r="BR21" s="171">
        <v>9</v>
      </c>
      <c r="BS21" s="172">
        <v>9.8000000000000007</v>
      </c>
      <c r="BT21" s="173">
        <v>9</v>
      </c>
      <c r="BU21" s="409">
        <f t="shared" si="8"/>
        <v>9.3000000000000007</v>
      </c>
      <c r="BV21" s="847">
        <v>10</v>
      </c>
      <c r="BW21" s="170">
        <v>10</v>
      </c>
      <c r="BX21" s="170"/>
      <c r="BY21" s="171"/>
      <c r="BZ21" s="172">
        <v>9</v>
      </c>
      <c r="CA21" s="173">
        <v>9</v>
      </c>
      <c r="CB21" s="592">
        <f t="shared" si="9"/>
        <v>9.3000000000000007</v>
      </c>
      <c r="CC21" s="851">
        <v>10</v>
      </c>
      <c r="CD21" s="170">
        <v>9</v>
      </c>
      <c r="CE21" s="170"/>
      <c r="CF21" s="171"/>
      <c r="CG21" s="172">
        <v>10</v>
      </c>
      <c r="CH21" s="173">
        <v>9.8000000000000007</v>
      </c>
      <c r="CI21" s="409">
        <f t="shared" si="10"/>
        <v>9.8000000000000007</v>
      </c>
      <c r="CJ21" s="175" t="s">
        <v>800</v>
      </c>
      <c r="CK21" s="175" t="s">
        <v>800</v>
      </c>
      <c r="CL21" s="175" t="s">
        <v>800</v>
      </c>
      <c r="CM21" s="176"/>
      <c r="CN21" s="177" t="s">
        <v>800</v>
      </c>
      <c r="CO21" s="178" t="s">
        <v>800</v>
      </c>
      <c r="CP21" s="593" t="str">
        <f t="shared" si="11"/>
        <v>Đ</v>
      </c>
      <c r="CQ21" s="847">
        <v>10</v>
      </c>
      <c r="CR21" s="170">
        <v>9</v>
      </c>
      <c r="CS21" s="170"/>
      <c r="CT21" s="171"/>
      <c r="CU21" s="172">
        <v>10</v>
      </c>
      <c r="CV21" s="173">
        <v>10</v>
      </c>
      <c r="CW21" s="409">
        <f t="shared" si="12"/>
        <v>9.9</v>
      </c>
      <c r="CX21" s="169"/>
      <c r="CY21" s="170"/>
      <c r="CZ21" s="170"/>
      <c r="DA21" s="171"/>
      <c r="DB21" s="172"/>
      <c r="DC21" s="173"/>
      <c r="DD21" s="592" t="str">
        <f t="shared" si="13"/>
        <v/>
      </c>
      <c r="DE21" s="162"/>
      <c r="DF21" s="163"/>
      <c r="DG21" s="164"/>
      <c r="DH21" s="165"/>
      <c r="DI21" s="30" t="str">
        <f t="shared" si="14"/>
        <v>12A1Nguyễn ĐăngKhoa07/11/2004</v>
      </c>
    </row>
    <row r="22" spans="1:113" s="30" customFormat="1" ht="15.9" customHeight="1">
      <c r="A22" s="407"/>
      <c r="B22" s="99">
        <f>IF(C22&lt;&gt;"",MAX($B$4:B21)+1,"")</f>
        <v>19</v>
      </c>
      <c r="C22" s="166" t="s">
        <v>681</v>
      </c>
      <c r="D22" s="167" t="s">
        <v>742</v>
      </c>
      <c r="E22" s="168" t="s">
        <v>743</v>
      </c>
      <c r="F22" s="163" t="s">
        <v>744</v>
      </c>
      <c r="G22" s="451" t="s">
        <v>725</v>
      </c>
      <c r="H22" s="166" t="s">
        <v>119</v>
      </c>
      <c r="I22" s="166"/>
      <c r="J22" s="166"/>
      <c r="K22" s="847">
        <v>10</v>
      </c>
      <c r="L22" s="170">
        <v>10</v>
      </c>
      <c r="M22" s="170">
        <v>10</v>
      </c>
      <c r="N22" s="171">
        <v>10</v>
      </c>
      <c r="O22" s="172">
        <v>10</v>
      </c>
      <c r="P22" s="173">
        <v>10</v>
      </c>
      <c r="Q22" s="409">
        <f t="shared" si="0"/>
        <v>10</v>
      </c>
      <c r="R22" s="847">
        <v>10</v>
      </c>
      <c r="S22" s="170">
        <v>10</v>
      </c>
      <c r="T22" s="170">
        <v>10</v>
      </c>
      <c r="U22" s="171">
        <v>10</v>
      </c>
      <c r="V22" s="172">
        <v>10</v>
      </c>
      <c r="W22" s="173">
        <v>10</v>
      </c>
      <c r="X22" s="592">
        <f t="shared" si="1"/>
        <v>10</v>
      </c>
      <c r="Y22" s="847">
        <v>10</v>
      </c>
      <c r="Z22" s="170">
        <v>10</v>
      </c>
      <c r="AA22" s="170">
        <v>10</v>
      </c>
      <c r="AB22" s="171">
        <v>10</v>
      </c>
      <c r="AC22" s="172">
        <v>9.8000000000000007</v>
      </c>
      <c r="AD22" s="173">
        <v>9.8000000000000007</v>
      </c>
      <c r="AE22" s="409">
        <f t="shared" si="2"/>
        <v>9.9</v>
      </c>
      <c r="AF22" s="847">
        <v>9</v>
      </c>
      <c r="AG22" s="170">
        <v>10</v>
      </c>
      <c r="AH22" s="170">
        <v>9.3000000000000007</v>
      </c>
      <c r="AI22" s="171"/>
      <c r="AJ22" s="172">
        <v>9.5</v>
      </c>
      <c r="AK22" s="173">
        <v>9.3000000000000007</v>
      </c>
      <c r="AL22" s="592">
        <f t="shared" si="3"/>
        <v>9.4</v>
      </c>
      <c r="AM22" s="847">
        <v>10</v>
      </c>
      <c r="AN22" s="170">
        <v>10</v>
      </c>
      <c r="AO22" s="170">
        <v>10</v>
      </c>
      <c r="AP22" s="171"/>
      <c r="AQ22" s="172">
        <v>9</v>
      </c>
      <c r="AR22" s="173">
        <v>10</v>
      </c>
      <c r="AS22" s="409">
        <f t="shared" si="4"/>
        <v>9.8000000000000007</v>
      </c>
      <c r="AT22" s="847">
        <v>9</v>
      </c>
      <c r="AU22" s="170">
        <v>9</v>
      </c>
      <c r="AV22" s="170">
        <v>7</v>
      </c>
      <c r="AW22" s="171">
        <v>8</v>
      </c>
      <c r="AX22" s="172">
        <v>8</v>
      </c>
      <c r="AY22" s="173">
        <v>6.3</v>
      </c>
      <c r="AZ22" s="592">
        <f t="shared" si="5"/>
        <v>7.5</v>
      </c>
      <c r="BA22" s="847">
        <v>10</v>
      </c>
      <c r="BB22" s="170">
        <v>9</v>
      </c>
      <c r="BC22" s="170">
        <v>9</v>
      </c>
      <c r="BD22" s="171"/>
      <c r="BE22" s="172">
        <v>9.5</v>
      </c>
      <c r="BF22" s="173">
        <v>9.3000000000000007</v>
      </c>
      <c r="BG22" s="409">
        <f t="shared" si="6"/>
        <v>9.4</v>
      </c>
      <c r="BH22" s="847">
        <v>10</v>
      </c>
      <c r="BI22" s="170">
        <v>9</v>
      </c>
      <c r="BJ22" s="170">
        <v>10</v>
      </c>
      <c r="BK22" s="171"/>
      <c r="BL22" s="172">
        <v>9.5</v>
      </c>
      <c r="BM22" s="173">
        <v>9.5</v>
      </c>
      <c r="BN22" s="592">
        <f t="shared" si="7"/>
        <v>9.6</v>
      </c>
      <c r="BO22" s="847">
        <v>9</v>
      </c>
      <c r="BP22" s="170">
        <v>10</v>
      </c>
      <c r="BQ22" s="170">
        <v>9</v>
      </c>
      <c r="BR22" s="171">
        <v>9</v>
      </c>
      <c r="BS22" s="172">
        <v>10</v>
      </c>
      <c r="BT22" s="173">
        <v>9.1999999999999993</v>
      </c>
      <c r="BU22" s="409">
        <f t="shared" si="8"/>
        <v>9.4</v>
      </c>
      <c r="BV22" s="847">
        <v>10</v>
      </c>
      <c r="BW22" s="170">
        <v>10</v>
      </c>
      <c r="BX22" s="170"/>
      <c r="BY22" s="171"/>
      <c r="BZ22" s="172">
        <v>9.5</v>
      </c>
      <c r="CA22" s="173">
        <v>9.5</v>
      </c>
      <c r="CB22" s="592">
        <f t="shared" si="9"/>
        <v>9.6</v>
      </c>
      <c r="CC22" s="851">
        <v>10</v>
      </c>
      <c r="CD22" s="170">
        <v>9</v>
      </c>
      <c r="CE22" s="170"/>
      <c r="CF22" s="171"/>
      <c r="CG22" s="172">
        <v>10</v>
      </c>
      <c r="CH22" s="173">
        <v>9.8000000000000007</v>
      </c>
      <c r="CI22" s="409">
        <f t="shared" si="10"/>
        <v>9.8000000000000007</v>
      </c>
      <c r="CJ22" s="175" t="s">
        <v>800</v>
      </c>
      <c r="CK22" s="175" t="s">
        <v>800</v>
      </c>
      <c r="CL22" s="175" t="s">
        <v>800</v>
      </c>
      <c r="CM22" s="176"/>
      <c r="CN22" s="177" t="s">
        <v>800</v>
      </c>
      <c r="CO22" s="178" t="s">
        <v>800</v>
      </c>
      <c r="CP22" s="593" t="str">
        <f t="shared" si="11"/>
        <v>Đ</v>
      </c>
      <c r="CQ22" s="847">
        <v>10</v>
      </c>
      <c r="CR22" s="170">
        <v>9</v>
      </c>
      <c r="CS22" s="170"/>
      <c r="CT22" s="171"/>
      <c r="CU22" s="172">
        <v>10</v>
      </c>
      <c r="CV22" s="173">
        <v>10</v>
      </c>
      <c r="CW22" s="409">
        <f t="shared" si="12"/>
        <v>9.9</v>
      </c>
      <c r="CX22" s="169"/>
      <c r="CY22" s="170"/>
      <c r="CZ22" s="170"/>
      <c r="DA22" s="171"/>
      <c r="DB22" s="172"/>
      <c r="DC22" s="173"/>
      <c r="DD22" s="592" t="str">
        <f t="shared" si="13"/>
        <v/>
      </c>
      <c r="DE22" s="162"/>
      <c r="DF22" s="163"/>
      <c r="DG22" s="164"/>
      <c r="DH22" s="165"/>
      <c r="DI22" s="30" t="str">
        <f t="shared" si="14"/>
        <v>12A1Lê TiếnKhôi14/10/2004</v>
      </c>
    </row>
    <row r="23" spans="1:113" s="30" customFormat="1" ht="15.9" customHeight="1">
      <c r="A23" s="407"/>
      <c r="B23" s="105">
        <f>IF(C23&lt;&gt;"",MAX($B$4:B22)+1,"")</f>
        <v>20</v>
      </c>
      <c r="C23" s="179" t="s">
        <v>681</v>
      </c>
      <c r="D23" s="180" t="s">
        <v>700</v>
      </c>
      <c r="E23" s="181" t="s">
        <v>745</v>
      </c>
      <c r="F23" s="182" t="s">
        <v>746</v>
      </c>
      <c r="G23" s="452" t="s">
        <v>747</v>
      </c>
      <c r="H23" s="179" t="s">
        <v>119</v>
      </c>
      <c r="I23" s="179"/>
      <c r="J23" s="179"/>
      <c r="K23" s="848">
        <v>10</v>
      </c>
      <c r="L23" s="185">
        <v>8</v>
      </c>
      <c r="M23" s="185">
        <v>10</v>
      </c>
      <c r="N23" s="186">
        <v>9</v>
      </c>
      <c r="O23" s="187">
        <v>9.1999999999999993</v>
      </c>
      <c r="P23" s="188">
        <v>9.4</v>
      </c>
      <c r="Q23" s="411">
        <f t="shared" si="0"/>
        <v>9.3000000000000007</v>
      </c>
      <c r="R23" s="848">
        <v>9</v>
      </c>
      <c r="S23" s="185">
        <v>8</v>
      </c>
      <c r="T23" s="185">
        <v>9</v>
      </c>
      <c r="U23" s="186">
        <v>9</v>
      </c>
      <c r="V23" s="187">
        <v>8.5</v>
      </c>
      <c r="W23" s="188">
        <v>9.3000000000000007</v>
      </c>
      <c r="X23" s="594">
        <f t="shared" si="1"/>
        <v>8.9</v>
      </c>
      <c r="Y23" s="848">
        <v>10</v>
      </c>
      <c r="Z23" s="185">
        <v>9</v>
      </c>
      <c r="AA23" s="185">
        <v>10</v>
      </c>
      <c r="AB23" s="186">
        <v>9</v>
      </c>
      <c r="AC23" s="187">
        <v>8.8000000000000007</v>
      </c>
      <c r="AD23" s="188">
        <v>9.5</v>
      </c>
      <c r="AE23" s="411">
        <f t="shared" si="2"/>
        <v>9.3000000000000007</v>
      </c>
      <c r="AF23" s="848">
        <v>10</v>
      </c>
      <c r="AG23" s="185">
        <v>8</v>
      </c>
      <c r="AH23" s="185">
        <v>8</v>
      </c>
      <c r="AI23" s="186"/>
      <c r="AJ23" s="187">
        <v>9.5</v>
      </c>
      <c r="AK23" s="188">
        <v>8</v>
      </c>
      <c r="AL23" s="594">
        <f t="shared" si="3"/>
        <v>8.6</v>
      </c>
      <c r="AM23" s="848">
        <v>10</v>
      </c>
      <c r="AN23" s="185">
        <v>10</v>
      </c>
      <c r="AO23" s="185">
        <v>10</v>
      </c>
      <c r="AP23" s="186"/>
      <c r="AQ23" s="187">
        <v>9</v>
      </c>
      <c r="AR23" s="188">
        <v>10</v>
      </c>
      <c r="AS23" s="411">
        <f t="shared" si="4"/>
        <v>9.8000000000000007</v>
      </c>
      <c r="AT23" s="848">
        <v>9</v>
      </c>
      <c r="AU23" s="185">
        <v>9</v>
      </c>
      <c r="AV23" s="185">
        <v>7</v>
      </c>
      <c r="AW23" s="186">
        <v>7</v>
      </c>
      <c r="AX23" s="187">
        <v>8</v>
      </c>
      <c r="AY23" s="188">
        <v>6.3</v>
      </c>
      <c r="AZ23" s="594">
        <f t="shared" si="5"/>
        <v>7.4</v>
      </c>
      <c r="BA23" s="848">
        <v>10</v>
      </c>
      <c r="BB23" s="185">
        <v>9</v>
      </c>
      <c r="BC23" s="185">
        <v>10</v>
      </c>
      <c r="BD23" s="186"/>
      <c r="BE23" s="187">
        <v>9.5</v>
      </c>
      <c r="BF23" s="188">
        <v>9.5</v>
      </c>
      <c r="BG23" s="411">
        <f t="shared" si="6"/>
        <v>9.6</v>
      </c>
      <c r="BH23" s="848">
        <v>10</v>
      </c>
      <c r="BI23" s="185">
        <v>9</v>
      </c>
      <c r="BJ23" s="185">
        <v>9</v>
      </c>
      <c r="BK23" s="186"/>
      <c r="BL23" s="187">
        <v>9</v>
      </c>
      <c r="BM23" s="188">
        <v>9</v>
      </c>
      <c r="BN23" s="594">
        <f t="shared" si="7"/>
        <v>9.1</v>
      </c>
      <c r="BO23" s="848">
        <v>10</v>
      </c>
      <c r="BP23" s="185">
        <v>9</v>
      </c>
      <c r="BQ23" s="185">
        <v>6</v>
      </c>
      <c r="BR23" s="186">
        <v>6</v>
      </c>
      <c r="BS23" s="187">
        <v>9.6</v>
      </c>
      <c r="BT23" s="188">
        <v>5.4</v>
      </c>
      <c r="BU23" s="411">
        <f t="shared" si="8"/>
        <v>7.4</v>
      </c>
      <c r="BV23" s="848">
        <v>10</v>
      </c>
      <c r="BW23" s="185">
        <v>9</v>
      </c>
      <c r="BX23" s="185"/>
      <c r="BY23" s="186"/>
      <c r="BZ23" s="187">
        <v>9</v>
      </c>
      <c r="CA23" s="188">
        <v>9</v>
      </c>
      <c r="CB23" s="594">
        <f t="shared" si="9"/>
        <v>9.1</v>
      </c>
      <c r="CC23" s="852">
        <v>10</v>
      </c>
      <c r="CD23" s="185">
        <v>9</v>
      </c>
      <c r="CE23" s="185"/>
      <c r="CF23" s="186"/>
      <c r="CG23" s="187">
        <v>10</v>
      </c>
      <c r="CH23" s="188">
        <v>10</v>
      </c>
      <c r="CI23" s="411">
        <f t="shared" si="10"/>
        <v>9.9</v>
      </c>
      <c r="CJ23" s="190" t="s">
        <v>800</v>
      </c>
      <c r="CK23" s="214" t="s">
        <v>800</v>
      </c>
      <c r="CL23" s="214" t="s">
        <v>800</v>
      </c>
      <c r="CM23" s="215"/>
      <c r="CN23" s="216" t="s">
        <v>800</v>
      </c>
      <c r="CO23" s="193" t="s">
        <v>800</v>
      </c>
      <c r="CP23" s="595" t="str">
        <f t="shared" si="11"/>
        <v>Đ</v>
      </c>
      <c r="CQ23" s="848">
        <v>10</v>
      </c>
      <c r="CR23" s="185">
        <v>9</v>
      </c>
      <c r="CS23" s="185"/>
      <c r="CT23" s="186"/>
      <c r="CU23" s="187">
        <v>10</v>
      </c>
      <c r="CV23" s="188">
        <v>10</v>
      </c>
      <c r="CW23" s="411">
        <f t="shared" si="12"/>
        <v>9.9</v>
      </c>
      <c r="CX23" s="184"/>
      <c r="CY23" s="185"/>
      <c r="CZ23" s="185"/>
      <c r="DA23" s="186"/>
      <c r="DB23" s="187"/>
      <c r="DC23" s="188"/>
      <c r="DD23" s="594" t="str">
        <f t="shared" si="13"/>
        <v/>
      </c>
      <c r="DE23" s="194"/>
      <c r="DF23" s="182"/>
      <c r="DG23" s="183"/>
      <c r="DH23" s="195"/>
      <c r="DI23" s="30" t="str">
        <f t="shared" si="14"/>
        <v>12A1Nguyễn PhúcLâm02/04/2004</v>
      </c>
    </row>
    <row r="24" spans="1:113" s="30" customFormat="1" ht="15.9" customHeight="1">
      <c r="A24" s="407"/>
      <c r="B24" s="111">
        <f>IF(C24&lt;&gt;"",MAX($B$4:B23)+1,"")</f>
        <v>21</v>
      </c>
      <c r="C24" s="196" t="s">
        <v>681</v>
      </c>
      <c r="D24" s="197" t="s">
        <v>748</v>
      </c>
      <c r="E24" s="198" t="s">
        <v>749</v>
      </c>
      <c r="F24" s="199" t="s">
        <v>750</v>
      </c>
      <c r="G24" s="453" t="s">
        <v>751</v>
      </c>
      <c r="H24" s="196" t="s">
        <v>119</v>
      </c>
      <c r="I24" s="196"/>
      <c r="J24" s="196"/>
      <c r="K24" s="849">
        <v>10</v>
      </c>
      <c r="L24" s="202">
        <v>10</v>
      </c>
      <c r="M24" s="202">
        <v>10</v>
      </c>
      <c r="N24" s="203">
        <v>9</v>
      </c>
      <c r="O24" s="204">
        <v>9</v>
      </c>
      <c r="P24" s="205">
        <v>9.4</v>
      </c>
      <c r="Q24" s="413">
        <f t="shared" si="0"/>
        <v>9.5</v>
      </c>
      <c r="R24" s="849">
        <v>10</v>
      </c>
      <c r="S24" s="155">
        <v>10</v>
      </c>
      <c r="T24" s="202">
        <v>9</v>
      </c>
      <c r="U24" s="203">
        <v>9</v>
      </c>
      <c r="V24" s="204">
        <v>10</v>
      </c>
      <c r="W24" s="205">
        <v>9</v>
      </c>
      <c r="X24" s="596">
        <f t="shared" si="1"/>
        <v>9.4</v>
      </c>
      <c r="Y24" s="849">
        <v>10</v>
      </c>
      <c r="Z24" s="155">
        <v>8</v>
      </c>
      <c r="AA24" s="202">
        <v>10</v>
      </c>
      <c r="AB24" s="203">
        <v>9</v>
      </c>
      <c r="AC24" s="204">
        <v>8.6</v>
      </c>
      <c r="AD24" s="205">
        <v>9.3000000000000007</v>
      </c>
      <c r="AE24" s="413">
        <f t="shared" si="2"/>
        <v>9.1</v>
      </c>
      <c r="AF24" s="849">
        <v>10</v>
      </c>
      <c r="AG24" s="155">
        <v>8</v>
      </c>
      <c r="AH24" s="202">
        <v>8</v>
      </c>
      <c r="AI24" s="203"/>
      <c r="AJ24" s="204">
        <v>10</v>
      </c>
      <c r="AK24" s="205">
        <v>8</v>
      </c>
      <c r="AL24" s="596">
        <f t="shared" si="3"/>
        <v>8.8000000000000007</v>
      </c>
      <c r="AM24" s="849">
        <v>10</v>
      </c>
      <c r="AN24" s="202">
        <v>10</v>
      </c>
      <c r="AO24" s="202">
        <v>10</v>
      </c>
      <c r="AP24" s="203"/>
      <c r="AQ24" s="204">
        <v>9</v>
      </c>
      <c r="AR24" s="205">
        <v>10</v>
      </c>
      <c r="AS24" s="413">
        <f t="shared" si="4"/>
        <v>9.8000000000000007</v>
      </c>
      <c r="AT24" s="849">
        <v>9</v>
      </c>
      <c r="AU24" s="202">
        <v>9</v>
      </c>
      <c r="AV24" s="202">
        <v>7</v>
      </c>
      <c r="AW24" s="203">
        <v>8</v>
      </c>
      <c r="AX24" s="204">
        <v>7.5</v>
      </c>
      <c r="AY24" s="205">
        <v>6</v>
      </c>
      <c r="AZ24" s="596">
        <f t="shared" si="5"/>
        <v>7.3</v>
      </c>
      <c r="BA24" s="849">
        <v>10</v>
      </c>
      <c r="BB24" s="202">
        <v>9</v>
      </c>
      <c r="BC24" s="202">
        <v>10</v>
      </c>
      <c r="BD24" s="203"/>
      <c r="BE24" s="204">
        <v>10</v>
      </c>
      <c r="BF24" s="205">
        <v>9.8000000000000007</v>
      </c>
      <c r="BG24" s="413">
        <f t="shared" si="6"/>
        <v>9.8000000000000007</v>
      </c>
      <c r="BH24" s="849">
        <v>10</v>
      </c>
      <c r="BI24" s="202">
        <v>9</v>
      </c>
      <c r="BJ24" s="202">
        <v>10</v>
      </c>
      <c r="BK24" s="203"/>
      <c r="BL24" s="204">
        <v>10</v>
      </c>
      <c r="BM24" s="205">
        <v>10</v>
      </c>
      <c r="BN24" s="596">
        <f t="shared" si="7"/>
        <v>9.9</v>
      </c>
      <c r="BO24" s="849">
        <v>10</v>
      </c>
      <c r="BP24" s="202">
        <v>9</v>
      </c>
      <c r="BQ24" s="202">
        <v>8</v>
      </c>
      <c r="BR24" s="203">
        <v>8</v>
      </c>
      <c r="BS24" s="204">
        <v>9.6</v>
      </c>
      <c r="BT24" s="205">
        <v>8.1999999999999993</v>
      </c>
      <c r="BU24" s="413">
        <f t="shared" si="8"/>
        <v>8.8000000000000007</v>
      </c>
      <c r="BV24" s="849">
        <v>10</v>
      </c>
      <c r="BW24" s="202">
        <v>9</v>
      </c>
      <c r="BX24" s="202"/>
      <c r="BY24" s="203"/>
      <c r="BZ24" s="204">
        <v>8.5</v>
      </c>
      <c r="CA24" s="205">
        <v>8.5</v>
      </c>
      <c r="CB24" s="596">
        <f t="shared" si="9"/>
        <v>8.8000000000000007</v>
      </c>
      <c r="CC24" s="850">
        <v>10</v>
      </c>
      <c r="CD24" s="202">
        <v>9</v>
      </c>
      <c r="CE24" s="202"/>
      <c r="CF24" s="203"/>
      <c r="CG24" s="204">
        <v>10</v>
      </c>
      <c r="CH24" s="205">
        <v>9.8000000000000007</v>
      </c>
      <c r="CI24" s="413">
        <f t="shared" si="10"/>
        <v>9.8000000000000007</v>
      </c>
      <c r="CJ24" s="159" t="s">
        <v>800</v>
      </c>
      <c r="CK24" s="207" t="s">
        <v>800</v>
      </c>
      <c r="CL24" s="207" t="s">
        <v>800</v>
      </c>
      <c r="CM24" s="208"/>
      <c r="CN24" s="209" t="s">
        <v>800</v>
      </c>
      <c r="CO24" s="210" t="s">
        <v>800</v>
      </c>
      <c r="CP24" s="597" t="str">
        <f t="shared" si="11"/>
        <v>Đ</v>
      </c>
      <c r="CQ24" s="849">
        <v>10</v>
      </c>
      <c r="CR24" s="202">
        <v>9</v>
      </c>
      <c r="CS24" s="202"/>
      <c r="CT24" s="203"/>
      <c r="CU24" s="204">
        <v>10</v>
      </c>
      <c r="CV24" s="205">
        <v>10</v>
      </c>
      <c r="CW24" s="413">
        <f t="shared" si="12"/>
        <v>9.9</v>
      </c>
      <c r="CX24" s="201"/>
      <c r="CY24" s="202"/>
      <c r="CZ24" s="202"/>
      <c r="DA24" s="203"/>
      <c r="DB24" s="204"/>
      <c r="DC24" s="205"/>
      <c r="DD24" s="596" t="str">
        <f t="shared" si="13"/>
        <v/>
      </c>
      <c r="DE24" s="211"/>
      <c r="DF24" s="199"/>
      <c r="DG24" s="200"/>
      <c r="DH24" s="212"/>
      <c r="DI24" s="30" t="str">
        <f t="shared" si="14"/>
        <v>12A1Phạm TấnLộc05/07/2004</v>
      </c>
    </row>
    <row r="25" spans="1:113" s="30" customFormat="1" ht="15.9" customHeight="1">
      <c r="A25" s="407"/>
      <c r="B25" s="99">
        <f>IF(C25&lt;&gt;"",MAX($B$4:B24)+1,"")</f>
        <v>22</v>
      </c>
      <c r="C25" s="166" t="s">
        <v>681</v>
      </c>
      <c r="D25" s="167" t="s">
        <v>752</v>
      </c>
      <c r="E25" s="168" t="s">
        <v>753</v>
      </c>
      <c r="F25" s="163" t="s">
        <v>754</v>
      </c>
      <c r="G25" s="451" t="s">
        <v>689</v>
      </c>
      <c r="H25" s="166" t="s">
        <v>6</v>
      </c>
      <c r="I25" s="166"/>
      <c r="J25" s="166"/>
      <c r="K25" s="847">
        <v>10</v>
      </c>
      <c r="L25" s="170">
        <v>10</v>
      </c>
      <c r="M25" s="170">
        <v>10</v>
      </c>
      <c r="N25" s="171">
        <v>9</v>
      </c>
      <c r="O25" s="172">
        <v>9.4</v>
      </c>
      <c r="P25" s="173">
        <v>9.1999999999999993</v>
      </c>
      <c r="Q25" s="409">
        <f t="shared" si="0"/>
        <v>9.5</v>
      </c>
      <c r="R25" s="847">
        <v>10</v>
      </c>
      <c r="S25" s="170">
        <v>9</v>
      </c>
      <c r="T25" s="170">
        <v>10</v>
      </c>
      <c r="U25" s="171">
        <v>9</v>
      </c>
      <c r="V25" s="172">
        <v>9.3000000000000007</v>
      </c>
      <c r="W25" s="173">
        <v>9.5</v>
      </c>
      <c r="X25" s="592">
        <f t="shared" si="1"/>
        <v>9.5</v>
      </c>
      <c r="Y25" s="847">
        <v>9</v>
      </c>
      <c r="Z25" s="170">
        <v>9</v>
      </c>
      <c r="AA25" s="170">
        <v>9</v>
      </c>
      <c r="AB25" s="171">
        <v>10</v>
      </c>
      <c r="AC25" s="172">
        <v>9</v>
      </c>
      <c r="AD25" s="173">
        <v>9.8000000000000007</v>
      </c>
      <c r="AE25" s="409">
        <f t="shared" si="2"/>
        <v>9.4</v>
      </c>
      <c r="AF25" s="847">
        <v>10</v>
      </c>
      <c r="AG25" s="170">
        <v>9</v>
      </c>
      <c r="AH25" s="170">
        <v>9.3000000000000007</v>
      </c>
      <c r="AI25" s="171"/>
      <c r="AJ25" s="172">
        <v>10</v>
      </c>
      <c r="AK25" s="173">
        <v>9.3000000000000007</v>
      </c>
      <c r="AL25" s="592">
        <f t="shared" si="3"/>
        <v>9.5</v>
      </c>
      <c r="AM25" s="847">
        <v>10</v>
      </c>
      <c r="AN25" s="170">
        <v>10</v>
      </c>
      <c r="AO25" s="170">
        <v>10</v>
      </c>
      <c r="AP25" s="171"/>
      <c r="AQ25" s="172">
        <v>9</v>
      </c>
      <c r="AR25" s="173">
        <v>10</v>
      </c>
      <c r="AS25" s="409">
        <f t="shared" si="4"/>
        <v>9.8000000000000007</v>
      </c>
      <c r="AT25" s="847">
        <v>9</v>
      </c>
      <c r="AU25" s="170">
        <v>9</v>
      </c>
      <c r="AV25" s="170">
        <v>7</v>
      </c>
      <c r="AW25" s="171">
        <v>8</v>
      </c>
      <c r="AX25" s="172">
        <v>7.5</v>
      </c>
      <c r="AY25" s="173">
        <v>6.3</v>
      </c>
      <c r="AZ25" s="592">
        <f t="shared" si="5"/>
        <v>7.4</v>
      </c>
      <c r="BA25" s="847">
        <v>10</v>
      </c>
      <c r="BB25" s="170">
        <v>9</v>
      </c>
      <c r="BC25" s="170">
        <v>10</v>
      </c>
      <c r="BD25" s="171"/>
      <c r="BE25" s="172">
        <v>9.5</v>
      </c>
      <c r="BF25" s="173">
        <v>9.5</v>
      </c>
      <c r="BG25" s="409">
        <f t="shared" si="6"/>
        <v>9.6</v>
      </c>
      <c r="BH25" s="847">
        <v>10</v>
      </c>
      <c r="BI25" s="170">
        <v>9</v>
      </c>
      <c r="BJ25" s="170">
        <v>10</v>
      </c>
      <c r="BK25" s="171"/>
      <c r="BL25" s="172">
        <v>10</v>
      </c>
      <c r="BM25" s="173">
        <v>9.8000000000000007</v>
      </c>
      <c r="BN25" s="592">
        <f t="shared" si="7"/>
        <v>9.8000000000000007</v>
      </c>
      <c r="BO25" s="847">
        <v>10</v>
      </c>
      <c r="BP25" s="170">
        <v>9</v>
      </c>
      <c r="BQ25" s="170">
        <v>9</v>
      </c>
      <c r="BR25" s="171">
        <v>9</v>
      </c>
      <c r="BS25" s="172">
        <v>9.6</v>
      </c>
      <c r="BT25" s="173">
        <v>9</v>
      </c>
      <c r="BU25" s="409">
        <f t="shared" si="8"/>
        <v>9.1999999999999993</v>
      </c>
      <c r="BV25" s="847">
        <v>10</v>
      </c>
      <c r="BW25" s="170">
        <v>9</v>
      </c>
      <c r="BX25" s="170"/>
      <c r="BY25" s="171"/>
      <c r="BZ25" s="172">
        <v>10</v>
      </c>
      <c r="CA25" s="173">
        <v>9.8000000000000007</v>
      </c>
      <c r="CB25" s="592">
        <f t="shared" si="9"/>
        <v>9.8000000000000007</v>
      </c>
      <c r="CC25" s="851">
        <v>10</v>
      </c>
      <c r="CD25" s="170">
        <v>9</v>
      </c>
      <c r="CE25" s="170"/>
      <c r="CF25" s="171"/>
      <c r="CG25" s="172">
        <v>10</v>
      </c>
      <c r="CH25" s="173">
        <v>9.8000000000000007</v>
      </c>
      <c r="CI25" s="409">
        <f t="shared" si="10"/>
        <v>9.8000000000000007</v>
      </c>
      <c r="CJ25" s="175" t="s">
        <v>800</v>
      </c>
      <c r="CK25" s="175" t="s">
        <v>800</v>
      </c>
      <c r="CL25" s="175" t="s">
        <v>800</v>
      </c>
      <c r="CM25" s="176"/>
      <c r="CN25" s="177" t="s">
        <v>800</v>
      </c>
      <c r="CO25" s="178" t="s">
        <v>800</v>
      </c>
      <c r="CP25" s="593" t="str">
        <f t="shared" si="11"/>
        <v>Đ</v>
      </c>
      <c r="CQ25" s="847">
        <v>10</v>
      </c>
      <c r="CR25" s="170">
        <v>9</v>
      </c>
      <c r="CS25" s="170"/>
      <c r="CT25" s="171"/>
      <c r="CU25" s="172">
        <v>10</v>
      </c>
      <c r="CV25" s="173">
        <v>10</v>
      </c>
      <c r="CW25" s="409">
        <f t="shared" si="12"/>
        <v>9.9</v>
      </c>
      <c r="CX25" s="169"/>
      <c r="CY25" s="170"/>
      <c r="CZ25" s="170"/>
      <c r="DA25" s="171"/>
      <c r="DB25" s="172"/>
      <c r="DC25" s="173"/>
      <c r="DD25" s="592" t="str">
        <f t="shared" si="13"/>
        <v/>
      </c>
      <c r="DE25" s="162"/>
      <c r="DF25" s="163"/>
      <c r="DG25" s="164"/>
      <c r="DH25" s="165"/>
      <c r="DI25" s="30" t="str">
        <f t="shared" si="14"/>
        <v>12A1Phạm Thị KhảMy28/02/2004</v>
      </c>
    </row>
    <row r="26" spans="1:113" s="30" customFormat="1" ht="15.9" customHeight="1">
      <c r="A26" s="407"/>
      <c r="B26" s="99">
        <f>IF(C26&lt;&gt;"",MAX($B$4:B25)+1,"")</f>
        <v>23</v>
      </c>
      <c r="C26" s="166" t="s">
        <v>681</v>
      </c>
      <c r="D26" s="167" t="s">
        <v>755</v>
      </c>
      <c r="E26" s="168" t="s">
        <v>756</v>
      </c>
      <c r="F26" s="163" t="s">
        <v>757</v>
      </c>
      <c r="G26" s="451" t="s">
        <v>758</v>
      </c>
      <c r="H26" s="166" t="s">
        <v>6</v>
      </c>
      <c r="I26" s="166"/>
      <c r="J26" s="166"/>
      <c r="K26" s="847">
        <v>10</v>
      </c>
      <c r="L26" s="170">
        <v>9</v>
      </c>
      <c r="M26" s="170">
        <v>10</v>
      </c>
      <c r="N26" s="171">
        <v>9</v>
      </c>
      <c r="O26" s="172">
        <v>9.1999999999999993</v>
      </c>
      <c r="P26" s="173">
        <v>9.4</v>
      </c>
      <c r="Q26" s="409">
        <f t="shared" si="0"/>
        <v>9.4</v>
      </c>
      <c r="R26" s="847">
        <v>10</v>
      </c>
      <c r="S26" s="170">
        <v>10</v>
      </c>
      <c r="T26" s="170">
        <v>10</v>
      </c>
      <c r="U26" s="171">
        <v>9</v>
      </c>
      <c r="V26" s="172">
        <v>9.5</v>
      </c>
      <c r="W26" s="173">
        <v>9.8000000000000007</v>
      </c>
      <c r="X26" s="592">
        <f t="shared" si="1"/>
        <v>9.6999999999999993</v>
      </c>
      <c r="Y26" s="847">
        <v>9</v>
      </c>
      <c r="Z26" s="170">
        <v>8</v>
      </c>
      <c r="AA26" s="170">
        <v>9</v>
      </c>
      <c r="AB26" s="171">
        <v>10</v>
      </c>
      <c r="AC26" s="172">
        <v>8.6</v>
      </c>
      <c r="AD26" s="173">
        <v>9.3000000000000007</v>
      </c>
      <c r="AE26" s="409">
        <f t="shared" si="2"/>
        <v>9</v>
      </c>
      <c r="AF26" s="847">
        <v>10</v>
      </c>
      <c r="AG26" s="170">
        <v>9</v>
      </c>
      <c r="AH26" s="170">
        <v>8.8000000000000007</v>
      </c>
      <c r="AI26" s="171"/>
      <c r="AJ26" s="172">
        <v>9.3000000000000007</v>
      </c>
      <c r="AK26" s="173">
        <v>8.8000000000000007</v>
      </c>
      <c r="AL26" s="592">
        <f t="shared" si="3"/>
        <v>9.1</v>
      </c>
      <c r="AM26" s="847">
        <v>10</v>
      </c>
      <c r="AN26" s="170">
        <v>9</v>
      </c>
      <c r="AO26" s="170">
        <v>10</v>
      </c>
      <c r="AP26" s="171"/>
      <c r="AQ26" s="172">
        <v>9</v>
      </c>
      <c r="AR26" s="173">
        <v>10</v>
      </c>
      <c r="AS26" s="409">
        <f t="shared" si="4"/>
        <v>9.6</v>
      </c>
      <c r="AT26" s="847">
        <v>9</v>
      </c>
      <c r="AU26" s="170">
        <v>9</v>
      </c>
      <c r="AV26" s="170">
        <v>7</v>
      </c>
      <c r="AW26" s="171">
        <v>8</v>
      </c>
      <c r="AX26" s="172">
        <v>8.5</v>
      </c>
      <c r="AY26" s="173">
        <v>6.5</v>
      </c>
      <c r="AZ26" s="592">
        <f t="shared" si="5"/>
        <v>7.7</v>
      </c>
      <c r="BA26" s="847">
        <v>10</v>
      </c>
      <c r="BB26" s="170">
        <v>9</v>
      </c>
      <c r="BC26" s="170">
        <v>10</v>
      </c>
      <c r="BD26" s="171"/>
      <c r="BE26" s="172">
        <v>10</v>
      </c>
      <c r="BF26" s="173">
        <v>9.8000000000000007</v>
      </c>
      <c r="BG26" s="409">
        <f t="shared" si="6"/>
        <v>9.8000000000000007</v>
      </c>
      <c r="BH26" s="847">
        <v>10</v>
      </c>
      <c r="BI26" s="170">
        <v>9</v>
      </c>
      <c r="BJ26" s="170">
        <v>10</v>
      </c>
      <c r="BK26" s="171"/>
      <c r="BL26" s="172">
        <v>10</v>
      </c>
      <c r="BM26" s="173">
        <v>10</v>
      </c>
      <c r="BN26" s="592">
        <f t="shared" si="7"/>
        <v>9.9</v>
      </c>
      <c r="BO26" s="847">
        <v>9</v>
      </c>
      <c r="BP26" s="170">
        <v>10</v>
      </c>
      <c r="BQ26" s="170">
        <v>8</v>
      </c>
      <c r="BR26" s="171">
        <v>8</v>
      </c>
      <c r="BS26" s="172">
        <v>9.4</v>
      </c>
      <c r="BT26" s="173">
        <v>8</v>
      </c>
      <c r="BU26" s="409">
        <f t="shared" si="8"/>
        <v>8.6</v>
      </c>
      <c r="BV26" s="847">
        <v>10</v>
      </c>
      <c r="BW26" s="170">
        <v>9</v>
      </c>
      <c r="BX26" s="170"/>
      <c r="BY26" s="171"/>
      <c r="BZ26" s="172">
        <v>9.3000000000000007</v>
      </c>
      <c r="CA26" s="173">
        <v>9.3000000000000007</v>
      </c>
      <c r="CB26" s="592">
        <f t="shared" si="9"/>
        <v>9.4</v>
      </c>
      <c r="CC26" s="851">
        <v>10</v>
      </c>
      <c r="CD26" s="170">
        <v>9</v>
      </c>
      <c r="CE26" s="170"/>
      <c r="CF26" s="171"/>
      <c r="CG26" s="172">
        <v>10</v>
      </c>
      <c r="CH26" s="173">
        <v>10</v>
      </c>
      <c r="CI26" s="409">
        <f t="shared" si="10"/>
        <v>9.9</v>
      </c>
      <c r="CJ26" s="175" t="s">
        <v>800</v>
      </c>
      <c r="CK26" s="175" t="s">
        <v>800</v>
      </c>
      <c r="CL26" s="175" t="s">
        <v>800</v>
      </c>
      <c r="CM26" s="176"/>
      <c r="CN26" s="177" t="s">
        <v>800</v>
      </c>
      <c r="CO26" s="178" t="s">
        <v>800</v>
      </c>
      <c r="CP26" s="593" t="str">
        <f t="shared" si="11"/>
        <v>Đ</v>
      </c>
      <c r="CQ26" s="847">
        <v>9</v>
      </c>
      <c r="CR26" s="170">
        <v>10</v>
      </c>
      <c r="CS26" s="170"/>
      <c r="CT26" s="171"/>
      <c r="CU26" s="172">
        <v>10</v>
      </c>
      <c r="CV26" s="173">
        <v>9</v>
      </c>
      <c r="CW26" s="409">
        <f t="shared" si="12"/>
        <v>9.4</v>
      </c>
      <c r="CX26" s="169"/>
      <c r="CY26" s="170"/>
      <c r="CZ26" s="170"/>
      <c r="DA26" s="171"/>
      <c r="DB26" s="172"/>
      <c r="DC26" s="173"/>
      <c r="DD26" s="592" t="str">
        <f t="shared" si="13"/>
        <v/>
      </c>
      <c r="DE26" s="162"/>
      <c r="DF26" s="163"/>
      <c r="DG26" s="164"/>
      <c r="DH26" s="165"/>
      <c r="DI26" s="30" t="str">
        <f t="shared" si="14"/>
        <v>12A1LêNa29/02/2004</v>
      </c>
    </row>
    <row r="27" spans="1:113" s="30" customFormat="1" ht="15.9" customHeight="1">
      <c r="A27" s="892"/>
      <c r="B27" s="99">
        <f>IF(C27&lt;&gt;"",MAX($B$4:B26)+1,"")</f>
        <v>24</v>
      </c>
      <c r="C27" s="166" t="s">
        <v>681</v>
      </c>
      <c r="D27" s="167" t="s">
        <v>759</v>
      </c>
      <c r="E27" s="168" t="s">
        <v>760</v>
      </c>
      <c r="F27" s="163" t="s">
        <v>761</v>
      </c>
      <c r="G27" s="451" t="s">
        <v>758</v>
      </c>
      <c r="H27" s="166" t="s">
        <v>119</v>
      </c>
      <c r="I27" s="166"/>
      <c r="J27" s="166"/>
      <c r="K27" s="847">
        <v>10</v>
      </c>
      <c r="L27" s="170">
        <v>8</v>
      </c>
      <c r="M27" s="170">
        <v>9</v>
      </c>
      <c r="N27" s="171">
        <v>10</v>
      </c>
      <c r="O27" s="172">
        <v>9.1999999999999993</v>
      </c>
      <c r="P27" s="173">
        <v>9.4</v>
      </c>
      <c r="Q27" s="409">
        <f t="shared" si="0"/>
        <v>9.3000000000000007</v>
      </c>
      <c r="R27" s="847">
        <v>9</v>
      </c>
      <c r="S27" s="170">
        <v>9</v>
      </c>
      <c r="T27" s="170">
        <v>9</v>
      </c>
      <c r="U27" s="171">
        <v>9</v>
      </c>
      <c r="V27" s="172">
        <v>9</v>
      </c>
      <c r="W27" s="173">
        <v>9.5</v>
      </c>
      <c r="X27" s="592">
        <f t="shared" si="1"/>
        <v>9.1999999999999993</v>
      </c>
      <c r="Y27" s="847">
        <v>9</v>
      </c>
      <c r="Z27" s="170">
        <v>8</v>
      </c>
      <c r="AA27" s="170">
        <v>9</v>
      </c>
      <c r="AB27" s="171">
        <v>9</v>
      </c>
      <c r="AC27" s="172">
        <v>8.6</v>
      </c>
      <c r="AD27" s="173">
        <v>9.3000000000000007</v>
      </c>
      <c r="AE27" s="409">
        <f t="shared" si="2"/>
        <v>8.9</v>
      </c>
      <c r="AF27" s="847">
        <v>10</v>
      </c>
      <c r="AG27" s="170">
        <v>8</v>
      </c>
      <c r="AH27" s="170">
        <v>8</v>
      </c>
      <c r="AI27" s="171"/>
      <c r="AJ27" s="172">
        <v>9</v>
      </c>
      <c r="AK27" s="173">
        <v>7.8</v>
      </c>
      <c r="AL27" s="592">
        <f t="shared" si="3"/>
        <v>8.4</v>
      </c>
      <c r="AM27" s="847">
        <v>10</v>
      </c>
      <c r="AN27" s="170">
        <v>10</v>
      </c>
      <c r="AO27" s="170">
        <v>10</v>
      </c>
      <c r="AP27" s="171"/>
      <c r="AQ27" s="172">
        <v>9</v>
      </c>
      <c r="AR27" s="173">
        <v>10</v>
      </c>
      <c r="AS27" s="409">
        <f t="shared" si="4"/>
        <v>9.8000000000000007</v>
      </c>
      <c r="AT27" s="847">
        <v>9</v>
      </c>
      <c r="AU27" s="170">
        <v>9</v>
      </c>
      <c r="AV27" s="170">
        <v>7</v>
      </c>
      <c r="AW27" s="171">
        <v>8</v>
      </c>
      <c r="AX27" s="172">
        <v>6.5</v>
      </c>
      <c r="AY27" s="173">
        <v>5.3</v>
      </c>
      <c r="AZ27" s="592">
        <f t="shared" si="5"/>
        <v>6.9</v>
      </c>
      <c r="BA27" s="847">
        <v>10</v>
      </c>
      <c r="BB27" s="170">
        <v>9</v>
      </c>
      <c r="BC27" s="170">
        <v>10</v>
      </c>
      <c r="BD27" s="171"/>
      <c r="BE27" s="172">
        <v>10</v>
      </c>
      <c r="BF27" s="173">
        <v>9.8000000000000007</v>
      </c>
      <c r="BG27" s="409">
        <f t="shared" si="6"/>
        <v>9.8000000000000007</v>
      </c>
      <c r="BH27" s="847">
        <v>10</v>
      </c>
      <c r="BI27" s="170">
        <v>9</v>
      </c>
      <c r="BJ27" s="170">
        <v>10</v>
      </c>
      <c r="BK27" s="171"/>
      <c r="BL27" s="172">
        <v>9.5</v>
      </c>
      <c r="BM27" s="173">
        <v>9.5</v>
      </c>
      <c r="BN27" s="592">
        <f t="shared" si="7"/>
        <v>9.6</v>
      </c>
      <c r="BO27" s="847">
        <v>10</v>
      </c>
      <c r="BP27" s="170">
        <v>9</v>
      </c>
      <c r="BQ27" s="170">
        <v>9</v>
      </c>
      <c r="BR27" s="171">
        <v>9</v>
      </c>
      <c r="BS27" s="172">
        <v>10</v>
      </c>
      <c r="BT27" s="173">
        <v>9.1999999999999993</v>
      </c>
      <c r="BU27" s="409">
        <f t="shared" si="8"/>
        <v>9.4</v>
      </c>
      <c r="BV27" s="847">
        <v>10</v>
      </c>
      <c r="BW27" s="170">
        <v>9</v>
      </c>
      <c r="BX27" s="170"/>
      <c r="BY27" s="171"/>
      <c r="BZ27" s="172">
        <v>9.3000000000000007</v>
      </c>
      <c r="CA27" s="173">
        <v>9.3000000000000007</v>
      </c>
      <c r="CB27" s="592">
        <f t="shared" si="9"/>
        <v>9.4</v>
      </c>
      <c r="CC27" s="851">
        <v>10</v>
      </c>
      <c r="CD27" s="170">
        <v>9</v>
      </c>
      <c r="CE27" s="170"/>
      <c r="CF27" s="171"/>
      <c r="CG27" s="172">
        <v>10</v>
      </c>
      <c r="CH27" s="173">
        <v>9.8000000000000007</v>
      </c>
      <c r="CI27" s="409">
        <f t="shared" si="10"/>
        <v>9.8000000000000007</v>
      </c>
      <c r="CJ27" s="175" t="s">
        <v>800</v>
      </c>
      <c r="CK27" s="175" t="s">
        <v>800</v>
      </c>
      <c r="CL27" s="175" t="s">
        <v>800</v>
      </c>
      <c r="CM27" s="176"/>
      <c r="CN27" s="177" t="s">
        <v>800</v>
      </c>
      <c r="CO27" s="178" t="s">
        <v>800</v>
      </c>
      <c r="CP27" s="593" t="str">
        <f t="shared" si="11"/>
        <v>Đ</v>
      </c>
      <c r="CQ27" s="847">
        <v>10</v>
      </c>
      <c r="CR27" s="170">
        <v>9</v>
      </c>
      <c r="CS27" s="170"/>
      <c r="CT27" s="171"/>
      <c r="CU27" s="172">
        <v>10</v>
      </c>
      <c r="CV27" s="173">
        <v>10</v>
      </c>
      <c r="CW27" s="409">
        <f t="shared" si="12"/>
        <v>9.9</v>
      </c>
      <c r="CX27" s="169"/>
      <c r="CY27" s="170"/>
      <c r="CZ27" s="170"/>
      <c r="DA27" s="171"/>
      <c r="DB27" s="172"/>
      <c r="DC27" s="173"/>
      <c r="DD27" s="592" t="str">
        <f t="shared" si="13"/>
        <v/>
      </c>
      <c r="DE27" s="162"/>
      <c r="DF27" s="163"/>
      <c r="DG27" s="164"/>
      <c r="DH27" s="165"/>
      <c r="DI27" s="30" t="str">
        <f t="shared" si="14"/>
        <v>12A1Quách Tống MinhNhật01/12/2004</v>
      </c>
    </row>
    <row r="28" spans="1:113" s="30" customFormat="1" ht="15.9" customHeight="1">
      <c r="A28" s="892"/>
      <c r="B28" s="105">
        <f>IF(C28&lt;&gt;"",MAX($B$4:B27)+1,"")</f>
        <v>25</v>
      </c>
      <c r="C28" s="179" t="s">
        <v>681</v>
      </c>
      <c r="D28" s="180" t="s">
        <v>762</v>
      </c>
      <c r="E28" s="181" t="s">
        <v>763</v>
      </c>
      <c r="F28" s="182" t="s">
        <v>764</v>
      </c>
      <c r="G28" s="452" t="s">
        <v>165</v>
      </c>
      <c r="H28" s="179" t="s">
        <v>6</v>
      </c>
      <c r="I28" s="179"/>
      <c r="J28" s="179"/>
      <c r="K28" s="848">
        <v>10</v>
      </c>
      <c r="L28" s="185">
        <v>10</v>
      </c>
      <c r="M28" s="185">
        <v>10</v>
      </c>
      <c r="N28" s="186">
        <v>9</v>
      </c>
      <c r="O28" s="187">
        <v>9.8000000000000007</v>
      </c>
      <c r="P28" s="188">
        <v>9.8000000000000007</v>
      </c>
      <c r="Q28" s="411">
        <f t="shared" si="0"/>
        <v>9.8000000000000007</v>
      </c>
      <c r="R28" s="848">
        <v>9</v>
      </c>
      <c r="S28" s="185">
        <v>10</v>
      </c>
      <c r="T28" s="185">
        <v>10</v>
      </c>
      <c r="U28" s="186">
        <v>10</v>
      </c>
      <c r="V28" s="187">
        <v>9.5</v>
      </c>
      <c r="W28" s="188">
        <v>9.8000000000000007</v>
      </c>
      <c r="X28" s="594">
        <f t="shared" si="1"/>
        <v>9.6999999999999993</v>
      </c>
      <c r="Y28" s="848">
        <v>10</v>
      </c>
      <c r="Z28" s="185">
        <v>10</v>
      </c>
      <c r="AA28" s="185">
        <v>10</v>
      </c>
      <c r="AB28" s="186">
        <v>10</v>
      </c>
      <c r="AC28" s="187">
        <v>9.6</v>
      </c>
      <c r="AD28" s="188">
        <v>9.8000000000000007</v>
      </c>
      <c r="AE28" s="411">
        <f t="shared" si="2"/>
        <v>9.8000000000000007</v>
      </c>
      <c r="AF28" s="848">
        <v>9</v>
      </c>
      <c r="AG28" s="185">
        <v>9</v>
      </c>
      <c r="AH28" s="185">
        <v>8.5</v>
      </c>
      <c r="AI28" s="186"/>
      <c r="AJ28" s="187">
        <v>9.5</v>
      </c>
      <c r="AK28" s="188">
        <v>8.5</v>
      </c>
      <c r="AL28" s="594">
        <f t="shared" si="3"/>
        <v>8.9</v>
      </c>
      <c r="AM28" s="848">
        <v>10</v>
      </c>
      <c r="AN28" s="185">
        <v>10</v>
      </c>
      <c r="AO28" s="185">
        <v>10</v>
      </c>
      <c r="AP28" s="186"/>
      <c r="AQ28" s="187">
        <v>9</v>
      </c>
      <c r="AR28" s="188">
        <v>10</v>
      </c>
      <c r="AS28" s="411">
        <f t="shared" si="4"/>
        <v>9.8000000000000007</v>
      </c>
      <c r="AT28" s="848">
        <v>9</v>
      </c>
      <c r="AU28" s="185">
        <v>9</v>
      </c>
      <c r="AV28" s="185">
        <v>7</v>
      </c>
      <c r="AW28" s="186">
        <v>9</v>
      </c>
      <c r="AX28" s="187">
        <v>7.8</v>
      </c>
      <c r="AY28" s="188">
        <v>7.3</v>
      </c>
      <c r="AZ28" s="594">
        <f t="shared" si="5"/>
        <v>7.9</v>
      </c>
      <c r="BA28" s="848">
        <v>10</v>
      </c>
      <c r="BB28" s="185">
        <v>9</v>
      </c>
      <c r="BC28" s="185">
        <v>10</v>
      </c>
      <c r="BD28" s="186"/>
      <c r="BE28" s="187">
        <v>10</v>
      </c>
      <c r="BF28" s="188">
        <v>9.8000000000000007</v>
      </c>
      <c r="BG28" s="411">
        <f t="shared" si="6"/>
        <v>9.8000000000000007</v>
      </c>
      <c r="BH28" s="848">
        <v>10</v>
      </c>
      <c r="BI28" s="185">
        <v>9</v>
      </c>
      <c r="BJ28" s="185">
        <v>10</v>
      </c>
      <c r="BK28" s="186"/>
      <c r="BL28" s="187">
        <v>10</v>
      </c>
      <c r="BM28" s="188">
        <v>9.8000000000000007</v>
      </c>
      <c r="BN28" s="594">
        <f t="shared" si="7"/>
        <v>9.8000000000000007</v>
      </c>
      <c r="BO28" s="848">
        <v>10</v>
      </c>
      <c r="BP28" s="185">
        <v>9</v>
      </c>
      <c r="BQ28" s="185">
        <v>10</v>
      </c>
      <c r="BR28" s="186">
        <v>10</v>
      </c>
      <c r="BS28" s="187">
        <v>9.1999999999999993</v>
      </c>
      <c r="BT28" s="188">
        <v>9.6</v>
      </c>
      <c r="BU28" s="411">
        <f t="shared" si="8"/>
        <v>9.6</v>
      </c>
      <c r="BV28" s="848">
        <v>9</v>
      </c>
      <c r="BW28" s="185">
        <v>10</v>
      </c>
      <c r="BX28" s="185"/>
      <c r="BY28" s="186"/>
      <c r="BZ28" s="187">
        <v>9</v>
      </c>
      <c r="CA28" s="188">
        <v>9</v>
      </c>
      <c r="CB28" s="594">
        <f t="shared" si="9"/>
        <v>9.1</v>
      </c>
      <c r="CC28" s="852">
        <v>9</v>
      </c>
      <c r="CD28" s="185">
        <v>10</v>
      </c>
      <c r="CE28" s="185"/>
      <c r="CF28" s="186"/>
      <c r="CG28" s="187">
        <v>9.5</v>
      </c>
      <c r="CH28" s="188">
        <v>9.5</v>
      </c>
      <c r="CI28" s="411">
        <f t="shared" si="10"/>
        <v>9.5</v>
      </c>
      <c r="CJ28" s="190" t="s">
        <v>800</v>
      </c>
      <c r="CK28" s="214" t="s">
        <v>800</v>
      </c>
      <c r="CL28" s="214" t="s">
        <v>800</v>
      </c>
      <c r="CM28" s="215"/>
      <c r="CN28" s="216" t="s">
        <v>800</v>
      </c>
      <c r="CO28" s="193" t="s">
        <v>800</v>
      </c>
      <c r="CP28" s="595" t="str">
        <f t="shared" si="11"/>
        <v>Đ</v>
      </c>
      <c r="CQ28" s="848">
        <v>9</v>
      </c>
      <c r="CR28" s="185">
        <v>10</v>
      </c>
      <c r="CS28" s="185"/>
      <c r="CT28" s="186"/>
      <c r="CU28" s="187">
        <v>10</v>
      </c>
      <c r="CV28" s="188">
        <v>10</v>
      </c>
      <c r="CW28" s="411">
        <f t="shared" si="12"/>
        <v>9.9</v>
      </c>
      <c r="CX28" s="184"/>
      <c r="CY28" s="185"/>
      <c r="CZ28" s="185"/>
      <c r="DA28" s="186"/>
      <c r="DB28" s="187"/>
      <c r="DC28" s="188"/>
      <c r="DD28" s="594" t="str">
        <f t="shared" si="13"/>
        <v/>
      </c>
      <c r="DE28" s="194"/>
      <c r="DF28" s="182"/>
      <c r="DG28" s="183"/>
      <c r="DH28" s="195"/>
      <c r="DI28" s="30" t="str">
        <f t="shared" si="14"/>
        <v>12A1Nguyễn ThụcNhi04/10/2004</v>
      </c>
    </row>
    <row r="29" spans="1:113" s="30" customFormat="1" ht="15.9" customHeight="1">
      <c r="A29" s="414"/>
      <c r="B29" s="111">
        <f>IF(C29&lt;&gt;"",MAX($B$4:B28)+1,"")</f>
        <v>26</v>
      </c>
      <c r="C29" s="196" t="s">
        <v>681</v>
      </c>
      <c r="D29" s="197" t="s">
        <v>765</v>
      </c>
      <c r="E29" s="198" t="s">
        <v>766</v>
      </c>
      <c r="F29" s="199" t="s">
        <v>767</v>
      </c>
      <c r="G29" s="453" t="s">
        <v>165</v>
      </c>
      <c r="H29" s="196" t="s">
        <v>6</v>
      </c>
      <c r="I29" s="196"/>
      <c r="J29" s="196"/>
      <c r="K29" s="849">
        <v>10</v>
      </c>
      <c r="L29" s="202">
        <v>9</v>
      </c>
      <c r="M29" s="202">
        <v>10</v>
      </c>
      <c r="N29" s="203">
        <v>9</v>
      </c>
      <c r="O29" s="204">
        <v>9.1999999999999993</v>
      </c>
      <c r="P29" s="205">
        <v>9.1999999999999993</v>
      </c>
      <c r="Q29" s="413">
        <f t="shared" si="0"/>
        <v>9.3000000000000007</v>
      </c>
      <c r="R29" s="849">
        <v>9</v>
      </c>
      <c r="S29" s="155">
        <v>10</v>
      </c>
      <c r="T29" s="202">
        <v>10</v>
      </c>
      <c r="U29" s="203">
        <v>10</v>
      </c>
      <c r="V29" s="204">
        <v>9.8000000000000007</v>
      </c>
      <c r="W29" s="205">
        <v>9.5</v>
      </c>
      <c r="X29" s="596">
        <f t="shared" si="1"/>
        <v>9.6999999999999993</v>
      </c>
      <c r="Y29" s="849">
        <v>9</v>
      </c>
      <c r="Z29" s="155">
        <v>10</v>
      </c>
      <c r="AA29" s="202">
        <v>9</v>
      </c>
      <c r="AB29" s="203">
        <v>10</v>
      </c>
      <c r="AC29" s="204">
        <v>9.4</v>
      </c>
      <c r="AD29" s="205">
        <v>9.5</v>
      </c>
      <c r="AE29" s="413">
        <f t="shared" si="2"/>
        <v>9.5</v>
      </c>
      <c r="AF29" s="849">
        <v>10</v>
      </c>
      <c r="AG29" s="155">
        <v>9</v>
      </c>
      <c r="AH29" s="202">
        <v>8.3000000000000007</v>
      </c>
      <c r="AI29" s="203"/>
      <c r="AJ29" s="204">
        <v>10</v>
      </c>
      <c r="AK29" s="205">
        <v>8.3000000000000007</v>
      </c>
      <c r="AL29" s="596">
        <f t="shared" si="3"/>
        <v>9</v>
      </c>
      <c r="AM29" s="849">
        <v>10</v>
      </c>
      <c r="AN29" s="202">
        <v>9</v>
      </c>
      <c r="AO29" s="202">
        <v>10</v>
      </c>
      <c r="AP29" s="203"/>
      <c r="AQ29" s="204">
        <v>9</v>
      </c>
      <c r="AR29" s="205">
        <v>10</v>
      </c>
      <c r="AS29" s="413">
        <f t="shared" si="4"/>
        <v>9.6</v>
      </c>
      <c r="AT29" s="849">
        <v>9</v>
      </c>
      <c r="AU29" s="202">
        <v>9</v>
      </c>
      <c r="AV29" s="202">
        <v>7</v>
      </c>
      <c r="AW29" s="203">
        <v>8</v>
      </c>
      <c r="AX29" s="204">
        <v>7.5</v>
      </c>
      <c r="AY29" s="205">
        <v>6</v>
      </c>
      <c r="AZ29" s="596">
        <f t="shared" si="5"/>
        <v>7.3</v>
      </c>
      <c r="BA29" s="849">
        <v>10</v>
      </c>
      <c r="BB29" s="202">
        <v>9</v>
      </c>
      <c r="BC29" s="202">
        <v>9</v>
      </c>
      <c r="BD29" s="203"/>
      <c r="BE29" s="204">
        <v>9.5</v>
      </c>
      <c r="BF29" s="205">
        <v>9.3000000000000007</v>
      </c>
      <c r="BG29" s="413">
        <f t="shared" si="6"/>
        <v>9.4</v>
      </c>
      <c r="BH29" s="849">
        <v>10</v>
      </c>
      <c r="BI29" s="202">
        <v>9</v>
      </c>
      <c r="BJ29" s="202">
        <v>10</v>
      </c>
      <c r="BK29" s="203"/>
      <c r="BL29" s="204">
        <v>10</v>
      </c>
      <c r="BM29" s="205">
        <v>9.8000000000000007</v>
      </c>
      <c r="BN29" s="596">
        <f t="shared" si="7"/>
        <v>9.8000000000000007</v>
      </c>
      <c r="BO29" s="849">
        <v>10</v>
      </c>
      <c r="BP29" s="202">
        <v>9</v>
      </c>
      <c r="BQ29" s="202">
        <v>9</v>
      </c>
      <c r="BR29" s="203">
        <v>9</v>
      </c>
      <c r="BS29" s="204">
        <v>10</v>
      </c>
      <c r="BT29" s="205">
        <v>9</v>
      </c>
      <c r="BU29" s="413">
        <f t="shared" si="8"/>
        <v>9.3000000000000007</v>
      </c>
      <c r="BV29" s="849">
        <v>10</v>
      </c>
      <c r="BW29" s="202">
        <v>9</v>
      </c>
      <c r="BX29" s="202"/>
      <c r="BY29" s="203"/>
      <c r="BZ29" s="204">
        <v>8.5</v>
      </c>
      <c r="CA29" s="205">
        <v>8.5</v>
      </c>
      <c r="CB29" s="596">
        <f t="shared" si="9"/>
        <v>8.8000000000000007</v>
      </c>
      <c r="CC29" s="850">
        <v>10</v>
      </c>
      <c r="CD29" s="202">
        <v>9</v>
      </c>
      <c r="CE29" s="202"/>
      <c r="CF29" s="203"/>
      <c r="CG29" s="204">
        <v>9.3000000000000007</v>
      </c>
      <c r="CH29" s="205">
        <v>9.3000000000000007</v>
      </c>
      <c r="CI29" s="413">
        <f t="shared" si="10"/>
        <v>9.4</v>
      </c>
      <c r="CJ29" s="159" t="s">
        <v>800</v>
      </c>
      <c r="CK29" s="207" t="s">
        <v>800</v>
      </c>
      <c r="CL29" s="207" t="s">
        <v>800</v>
      </c>
      <c r="CM29" s="208"/>
      <c r="CN29" s="209" t="s">
        <v>800</v>
      </c>
      <c r="CO29" s="210" t="s">
        <v>800</v>
      </c>
      <c r="CP29" s="597" t="str">
        <f t="shared" si="11"/>
        <v>Đ</v>
      </c>
      <c r="CQ29" s="849">
        <v>10</v>
      </c>
      <c r="CR29" s="202">
        <v>9</v>
      </c>
      <c r="CS29" s="202"/>
      <c r="CT29" s="203"/>
      <c r="CU29" s="204">
        <v>10</v>
      </c>
      <c r="CV29" s="205">
        <v>10</v>
      </c>
      <c r="CW29" s="413">
        <f t="shared" si="12"/>
        <v>9.9</v>
      </c>
      <c r="CX29" s="201"/>
      <c r="CY29" s="202"/>
      <c r="CZ29" s="202"/>
      <c r="DA29" s="203"/>
      <c r="DB29" s="204"/>
      <c r="DC29" s="205"/>
      <c r="DD29" s="596" t="str">
        <f t="shared" si="13"/>
        <v/>
      </c>
      <c r="DE29" s="211"/>
      <c r="DF29" s="199"/>
      <c r="DG29" s="200"/>
      <c r="DH29" s="212"/>
      <c r="DI29" s="30" t="str">
        <f t="shared" si="14"/>
        <v>12A1Trần Thị HảiNhư17/08/2004</v>
      </c>
    </row>
    <row r="30" spans="1:113" s="30" customFormat="1" ht="15.9" customHeight="1">
      <c r="A30" s="414"/>
      <c r="B30" s="99">
        <f>IF(C30&lt;&gt;"",MAX($B$4:B29)+1,"")</f>
        <v>27</v>
      </c>
      <c r="C30" s="166" t="s">
        <v>681</v>
      </c>
      <c r="D30" s="167" t="s">
        <v>768</v>
      </c>
      <c r="E30" s="168" t="s">
        <v>769</v>
      </c>
      <c r="F30" s="163" t="s">
        <v>770</v>
      </c>
      <c r="G30" s="451" t="s">
        <v>165</v>
      </c>
      <c r="H30" s="166" t="s">
        <v>119</v>
      </c>
      <c r="I30" s="166"/>
      <c r="J30" s="166"/>
      <c r="K30" s="847">
        <v>10</v>
      </c>
      <c r="L30" s="170">
        <v>9</v>
      </c>
      <c r="M30" s="170">
        <v>10</v>
      </c>
      <c r="N30" s="171">
        <v>10</v>
      </c>
      <c r="O30" s="172">
        <v>9.4</v>
      </c>
      <c r="P30" s="173">
        <v>9.4</v>
      </c>
      <c r="Q30" s="409">
        <f t="shared" si="0"/>
        <v>9.6</v>
      </c>
      <c r="R30" s="847">
        <v>10</v>
      </c>
      <c r="S30" s="170">
        <v>10</v>
      </c>
      <c r="T30" s="170">
        <v>10</v>
      </c>
      <c r="U30" s="171">
        <v>10</v>
      </c>
      <c r="V30" s="172">
        <v>10</v>
      </c>
      <c r="W30" s="173">
        <v>9.8000000000000007</v>
      </c>
      <c r="X30" s="592">
        <f t="shared" si="1"/>
        <v>9.9</v>
      </c>
      <c r="Y30" s="847">
        <v>10</v>
      </c>
      <c r="Z30" s="170">
        <v>9</v>
      </c>
      <c r="AA30" s="170">
        <v>10</v>
      </c>
      <c r="AB30" s="171">
        <v>10</v>
      </c>
      <c r="AC30" s="172">
        <v>9</v>
      </c>
      <c r="AD30" s="173">
        <v>9.3000000000000007</v>
      </c>
      <c r="AE30" s="409">
        <f t="shared" si="2"/>
        <v>9.4</v>
      </c>
      <c r="AF30" s="847">
        <v>10</v>
      </c>
      <c r="AG30" s="170">
        <v>9</v>
      </c>
      <c r="AH30" s="170">
        <v>8.8000000000000007</v>
      </c>
      <c r="AI30" s="171"/>
      <c r="AJ30" s="172">
        <v>8.5</v>
      </c>
      <c r="AK30" s="173">
        <v>8.8000000000000007</v>
      </c>
      <c r="AL30" s="592">
        <f t="shared" si="3"/>
        <v>8.9</v>
      </c>
      <c r="AM30" s="847">
        <v>10</v>
      </c>
      <c r="AN30" s="170">
        <v>9</v>
      </c>
      <c r="AO30" s="170">
        <v>9</v>
      </c>
      <c r="AP30" s="171"/>
      <c r="AQ30" s="172">
        <v>10</v>
      </c>
      <c r="AR30" s="173">
        <v>10</v>
      </c>
      <c r="AS30" s="409">
        <f t="shared" si="4"/>
        <v>9.8000000000000007</v>
      </c>
      <c r="AT30" s="847">
        <v>9</v>
      </c>
      <c r="AU30" s="170">
        <v>9</v>
      </c>
      <c r="AV30" s="170">
        <v>8</v>
      </c>
      <c r="AW30" s="171">
        <v>8</v>
      </c>
      <c r="AX30" s="172">
        <v>8.3000000000000007</v>
      </c>
      <c r="AY30" s="173">
        <v>6</v>
      </c>
      <c r="AZ30" s="592">
        <f t="shared" si="5"/>
        <v>7.6</v>
      </c>
      <c r="BA30" s="847">
        <v>10</v>
      </c>
      <c r="BB30" s="170">
        <v>9</v>
      </c>
      <c r="BC30" s="170">
        <v>10</v>
      </c>
      <c r="BD30" s="171"/>
      <c r="BE30" s="172">
        <v>10</v>
      </c>
      <c r="BF30" s="173">
        <v>10</v>
      </c>
      <c r="BG30" s="409">
        <f t="shared" si="6"/>
        <v>9.9</v>
      </c>
      <c r="BH30" s="847">
        <v>10</v>
      </c>
      <c r="BI30" s="170">
        <v>9</v>
      </c>
      <c r="BJ30" s="170">
        <v>10</v>
      </c>
      <c r="BK30" s="171"/>
      <c r="BL30" s="172">
        <v>10</v>
      </c>
      <c r="BM30" s="173">
        <v>10</v>
      </c>
      <c r="BN30" s="592">
        <f t="shared" si="7"/>
        <v>9.9</v>
      </c>
      <c r="BO30" s="847">
        <v>10</v>
      </c>
      <c r="BP30" s="170">
        <v>9</v>
      </c>
      <c r="BQ30" s="170">
        <v>9</v>
      </c>
      <c r="BR30" s="171">
        <v>9</v>
      </c>
      <c r="BS30" s="172">
        <v>9.6</v>
      </c>
      <c r="BT30" s="173">
        <v>8.8000000000000007</v>
      </c>
      <c r="BU30" s="409">
        <f t="shared" si="8"/>
        <v>9.1999999999999993</v>
      </c>
      <c r="BV30" s="847">
        <v>10</v>
      </c>
      <c r="BW30" s="170">
        <v>9</v>
      </c>
      <c r="BX30" s="170"/>
      <c r="BY30" s="171"/>
      <c r="BZ30" s="172">
        <v>9.5</v>
      </c>
      <c r="CA30" s="173">
        <v>9.5</v>
      </c>
      <c r="CB30" s="592">
        <f t="shared" si="9"/>
        <v>9.5</v>
      </c>
      <c r="CC30" s="851">
        <v>10</v>
      </c>
      <c r="CD30" s="170">
        <v>9</v>
      </c>
      <c r="CE30" s="170"/>
      <c r="CF30" s="171"/>
      <c r="CG30" s="172">
        <v>10</v>
      </c>
      <c r="CH30" s="173">
        <v>10</v>
      </c>
      <c r="CI30" s="409">
        <f t="shared" si="10"/>
        <v>9.9</v>
      </c>
      <c r="CJ30" s="175" t="s">
        <v>800</v>
      </c>
      <c r="CK30" s="175" t="s">
        <v>800</v>
      </c>
      <c r="CL30" s="175" t="s">
        <v>800</v>
      </c>
      <c r="CM30" s="176"/>
      <c r="CN30" s="177" t="s">
        <v>800</v>
      </c>
      <c r="CO30" s="178" t="s">
        <v>800</v>
      </c>
      <c r="CP30" s="593" t="str">
        <f t="shared" si="11"/>
        <v>Đ</v>
      </c>
      <c r="CQ30" s="847">
        <v>10</v>
      </c>
      <c r="CR30" s="170">
        <v>9</v>
      </c>
      <c r="CS30" s="170"/>
      <c r="CT30" s="171"/>
      <c r="CU30" s="172">
        <v>10</v>
      </c>
      <c r="CV30" s="173">
        <v>10</v>
      </c>
      <c r="CW30" s="409">
        <f t="shared" si="12"/>
        <v>9.9</v>
      </c>
      <c r="CX30" s="169"/>
      <c r="CY30" s="170"/>
      <c r="CZ30" s="170"/>
      <c r="DA30" s="171"/>
      <c r="DB30" s="172"/>
      <c r="DC30" s="173"/>
      <c r="DD30" s="592" t="str">
        <f t="shared" si="13"/>
        <v/>
      </c>
      <c r="DE30" s="162"/>
      <c r="DF30" s="163"/>
      <c r="DG30" s="164"/>
      <c r="DH30" s="165"/>
      <c r="DI30" s="30" t="str">
        <f t="shared" si="14"/>
        <v>12A1Nguyễn Bá NhậtQuang18/07/2004</v>
      </c>
    </row>
    <row r="31" spans="1:113" s="30" customFormat="1" ht="15.9" customHeight="1">
      <c r="A31" s="414"/>
      <c r="B31" s="99">
        <f>IF(C31&lt;&gt;"",MAX($B$4:B30)+1,"")</f>
        <v>28</v>
      </c>
      <c r="C31" s="166" t="s">
        <v>681</v>
      </c>
      <c r="D31" s="167" t="s">
        <v>771</v>
      </c>
      <c r="E31" s="168" t="s">
        <v>772</v>
      </c>
      <c r="F31" s="163" t="s">
        <v>773</v>
      </c>
      <c r="G31" s="451" t="s">
        <v>707</v>
      </c>
      <c r="H31" s="166" t="s">
        <v>119</v>
      </c>
      <c r="I31" s="166"/>
      <c r="J31" s="166"/>
      <c r="K31" s="847">
        <v>9</v>
      </c>
      <c r="L31" s="170">
        <v>9</v>
      </c>
      <c r="M31" s="170">
        <v>9</v>
      </c>
      <c r="N31" s="171">
        <v>10</v>
      </c>
      <c r="O31" s="172">
        <v>9.4</v>
      </c>
      <c r="P31" s="173">
        <v>9.8000000000000007</v>
      </c>
      <c r="Q31" s="409">
        <f t="shared" si="0"/>
        <v>9.5</v>
      </c>
      <c r="R31" s="847">
        <v>9</v>
      </c>
      <c r="S31" s="170">
        <v>9</v>
      </c>
      <c r="T31" s="170">
        <v>10</v>
      </c>
      <c r="U31" s="171">
        <v>8</v>
      </c>
      <c r="V31" s="172">
        <v>9</v>
      </c>
      <c r="W31" s="173">
        <v>9.5</v>
      </c>
      <c r="X31" s="592">
        <f t="shared" si="1"/>
        <v>9.1999999999999993</v>
      </c>
      <c r="Y31" s="847">
        <v>10</v>
      </c>
      <c r="Z31" s="170">
        <v>7</v>
      </c>
      <c r="AA31" s="170">
        <v>10</v>
      </c>
      <c r="AB31" s="171">
        <v>8</v>
      </c>
      <c r="AC31" s="172">
        <v>8.1999999999999993</v>
      </c>
      <c r="AD31" s="173">
        <v>9.5</v>
      </c>
      <c r="AE31" s="409">
        <f t="shared" si="2"/>
        <v>8.9</v>
      </c>
      <c r="AF31" s="847">
        <v>10</v>
      </c>
      <c r="AG31" s="170">
        <v>9</v>
      </c>
      <c r="AH31" s="170">
        <v>9.3000000000000007</v>
      </c>
      <c r="AI31" s="171"/>
      <c r="AJ31" s="172">
        <v>9.8000000000000007</v>
      </c>
      <c r="AK31" s="173">
        <v>9.3000000000000007</v>
      </c>
      <c r="AL31" s="592">
        <f t="shared" si="3"/>
        <v>9.5</v>
      </c>
      <c r="AM31" s="847">
        <v>10</v>
      </c>
      <c r="AN31" s="170">
        <v>9</v>
      </c>
      <c r="AO31" s="170">
        <v>9</v>
      </c>
      <c r="AP31" s="171"/>
      <c r="AQ31" s="172">
        <v>10</v>
      </c>
      <c r="AR31" s="173">
        <v>10</v>
      </c>
      <c r="AS31" s="409">
        <f t="shared" si="4"/>
        <v>9.8000000000000007</v>
      </c>
      <c r="AT31" s="847">
        <v>9</v>
      </c>
      <c r="AU31" s="170">
        <v>9</v>
      </c>
      <c r="AV31" s="170">
        <v>7</v>
      </c>
      <c r="AW31" s="171">
        <v>8</v>
      </c>
      <c r="AX31" s="172">
        <v>8.5</v>
      </c>
      <c r="AY31" s="173">
        <v>6.3</v>
      </c>
      <c r="AZ31" s="592">
        <f t="shared" si="5"/>
        <v>7.7</v>
      </c>
      <c r="BA31" s="847">
        <v>10</v>
      </c>
      <c r="BB31" s="170">
        <v>9</v>
      </c>
      <c r="BC31" s="170">
        <v>10</v>
      </c>
      <c r="BD31" s="171"/>
      <c r="BE31" s="172">
        <v>9.5</v>
      </c>
      <c r="BF31" s="173">
        <v>9.5</v>
      </c>
      <c r="BG31" s="409">
        <f t="shared" si="6"/>
        <v>9.6</v>
      </c>
      <c r="BH31" s="847">
        <v>10</v>
      </c>
      <c r="BI31" s="170">
        <v>9</v>
      </c>
      <c r="BJ31" s="170">
        <v>10</v>
      </c>
      <c r="BK31" s="171"/>
      <c r="BL31" s="172">
        <v>10</v>
      </c>
      <c r="BM31" s="173">
        <v>10</v>
      </c>
      <c r="BN31" s="592">
        <f t="shared" si="7"/>
        <v>9.9</v>
      </c>
      <c r="BO31" s="847">
        <v>10</v>
      </c>
      <c r="BP31" s="170">
        <v>9</v>
      </c>
      <c r="BQ31" s="170">
        <v>6</v>
      </c>
      <c r="BR31" s="171">
        <v>6</v>
      </c>
      <c r="BS31" s="172">
        <v>9.4</v>
      </c>
      <c r="BT31" s="173">
        <v>6</v>
      </c>
      <c r="BU31" s="409">
        <f t="shared" si="8"/>
        <v>7.5</v>
      </c>
      <c r="BV31" s="847">
        <v>10</v>
      </c>
      <c r="BW31" s="170">
        <v>9</v>
      </c>
      <c r="BX31" s="170"/>
      <c r="BY31" s="171"/>
      <c r="BZ31" s="172">
        <v>9</v>
      </c>
      <c r="CA31" s="173">
        <v>8.8000000000000007</v>
      </c>
      <c r="CB31" s="592">
        <f t="shared" si="9"/>
        <v>9.1</v>
      </c>
      <c r="CC31" s="851">
        <v>10</v>
      </c>
      <c r="CD31" s="170">
        <v>9</v>
      </c>
      <c r="CE31" s="170"/>
      <c r="CF31" s="171"/>
      <c r="CG31" s="172">
        <v>10</v>
      </c>
      <c r="CH31" s="173">
        <v>9.8000000000000007</v>
      </c>
      <c r="CI31" s="409">
        <f t="shared" si="10"/>
        <v>9.8000000000000007</v>
      </c>
      <c r="CJ31" s="175" t="s">
        <v>800</v>
      </c>
      <c r="CK31" s="175" t="s">
        <v>800</v>
      </c>
      <c r="CL31" s="175" t="s">
        <v>800</v>
      </c>
      <c r="CM31" s="176"/>
      <c r="CN31" s="177" t="s">
        <v>800</v>
      </c>
      <c r="CO31" s="178" t="s">
        <v>800</v>
      </c>
      <c r="CP31" s="593" t="str">
        <f t="shared" si="11"/>
        <v>Đ</v>
      </c>
      <c r="CQ31" s="847">
        <v>10</v>
      </c>
      <c r="CR31" s="170">
        <v>9</v>
      </c>
      <c r="CS31" s="170"/>
      <c r="CT31" s="171"/>
      <c r="CU31" s="172">
        <v>10</v>
      </c>
      <c r="CV31" s="173">
        <v>10</v>
      </c>
      <c r="CW31" s="409">
        <f t="shared" si="12"/>
        <v>9.9</v>
      </c>
      <c r="CX31" s="169"/>
      <c r="CY31" s="170"/>
      <c r="CZ31" s="170"/>
      <c r="DA31" s="171"/>
      <c r="DB31" s="172"/>
      <c r="DC31" s="173"/>
      <c r="DD31" s="592" t="str">
        <f t="shared" si="13"/>
        <v/>
      </c>
      <c r="DE31" s="162"/>
      <c r="DF31" s="163"/>
      <c r="DG31" s="164"/>
      <c r="DH31" s="165"/>
      <c r="DI31" s="30" t="str">
        <f t="shared" si="14"/>
        <v>12A1Phan Trương KiếnQuốc03/12/2004</v>
      </c>
    </row>
    <row r="32" spans="1:113" s="30" customFormat="1" ht="15.9" customHeight="1">
      <c r="A32" s="415"/>
      <c r="B32" s="99">
        <f>IF(C32&lt;&gt;"",MAX($B$4:B31)+1,"")</f>
        <v>29</v>
      </c>
      <c r="C32" s="217" t="s">
        <v>681</v>
      </c>
      <c r="D32" s="167" t="s">
        <v>774</v>
      </c>
      <c r="E32" s="168" t="s">
        <v>775</v>
      </c>
      <c r="F32" s="163" t="s">
        <v>776</v>
      </c>
      <c r="G32" s="451" t="s">
        <v>747</v>
      </c>
      <c r="H32" s="166" t="s">
        <v>6</v>
      </c>
      <c r="I32" s="166"/>
      <c r="J32" s="166"/>
      <c r="K32" s="847">
        <v>10</v>
      </c>
      <c r="L32" s="170">
        <v>10</v>
      </c>
      <c r="M32" s="170">
        <v>10</v>
      </c>
      <c r="N32" s="171">
        <v>10</v>
      </c>
      <c r="O32" s="172">
        <v>9.8000000000000007</v>
      </c>
      <c r="P32" s="173">
        <v>9.6</v>
      </c>
      <c r="Q32" s="409">
        <f t="shared" si="0"/>
        <v>9.8000000000000007</v>
      </c>
      <c r="R32" s="847">
        <v>10</v>
      </c>
      <c r="S32" s="170">
        <v>10</v>
      </c>
      <c r="T32" s="170">
        <v>10</v>
      </c>
      <c r="U32" s="171">
        <v>10</v>
      </c>
      <c r="V32" s="172">
        <v>9.5</v>
      </c>
      <c r="W32" s="173">
        <v>10</v>
      </c>
      <c r="X32" s="592">
        <f t="shared" si="1"/>
        <v>9.9</v>
      </c>
      <c r="Y32" s="847">
        <v>10</v>
      </c>
      <c r="Z32" s="170">
        <v>9</v>
      </c>
      <c r="AA32" s="170">
        <v>10</v>
      </c>
      <c r="AB32" s="171">
        <v>10</v>
      </c>
      <c r="AC32" s="172">
        <v>9</v>
      </c>
      <c r="AD32" s="173">
        <v>9.3000000000000007</v>
      </c>
      <c r="AE32" s="409">
        <f t="shared" si="2"/>
        <v>9.4</v>
      </c>
      <c r="AF32" s="847">
        <v>10</v>
      </c>
      <c r="AG32" s="170">
        <v>9</v>
      </c>
      <c r="AH32" s="170">
        <v>8.8000000000000007</v>
      </c>
      <c r="AI32" s="171"/>
      <c r="AJ32" s="172">
        <v>10</v>
      </c>
      <c r="AK32" s="173">
        <v>8.8000000000000007</v>
      </c>
      <c r="AL32" s="592">
        <f t="shared" si="3"/>
        <v>9.3000000000000007</v>
      </c>
      <c r="AM32" s="847">
        <v>10</v>
      </c>
      <c r="AN32" s="170">
        <v>9</v>
      </c>
      <c r="AO32" s="170">
        <v>10</v>
      </c>
      <c r="AP32" s="171"/>
      <c r="AQ32" s="172">
        <v>10</v>
      </c>
      <c r="AR32" s="173">
        <v>10</v>
      </c>
      <c r="AS32" s="409">
        <f t="shared" si="4"/>
        <v>9.9</v>
      </c>
      <c r="AT32" s="847">
        <v>9</v>
      </c>
      <c r="AU32" s="170">
        <v>9</v>
      </c>
      <c r="AV32" s="170">
        <v>7</v>
      </c>
      <c r="AW32" s="171">
        <v>9</v>
      </c>
      <c r="AX32" s="172">
        <v>8.5</v>
      </c>
      <c r="AY32" s="173">
        <v>6.3</v>
      </c>
      <c r="AZ32" s="592">
        <f t="shared" si="5"/>
        <v>7.8</v>
      </c>
      <c r="BA32" s="847">
        <v>10</v>
      </c>
      <c r="BB32" s="170">
        <v>9</v>
      </c>
      <c r="BC32" s="170">
        <v>10</v>
      </c>
      <c r="BD32" s="171"/>
      <c r="BE32" s="172">
        <v>9.5</v>
      </c>
      <c r="BF32" s="173">
        <v>9.5</v>
      </c>
      <c r="BG32" s="409">
        <f t="shared" si="6"/>
        <v>9.6</v>
      </c>
      <c r="BH32" s="847">
        <v>10</v>
      </c>
      <c r="BI32" s="170">
        <v>9</v>
      </c>
      <c r="BJ32" s="170">
        <v>10</v>
      </c>
      <c r="BK32" s="171"/>
      <c r="BL32" s="172">
        <v>9.5</v>
      </c>
      <c r="BM32" s="173">
        <v>9.5</v>
      </c>
      <c r="BN32" s="592">
        <f t="shared" si="7"/>
        <v>9.6</v>
      </c>
      <c r="BO32" s="847">
        <v>9</v>
      </c>
      <c r="BP32" s="170">
        <v>10</v>
      </c>
      <c r="BQ32" s="170">
        <v>8</v>
      </c>
      <c r="BR32" s="171">
        <v>8</v>
      </c>
      <c r="BS32" s="172">
        <v>10</v>
      </c>
      <c r="BT32" s="173">
        <v>7.8</v>
      </c>
      <c r="BU32" s="409">
        <f t="shared" si="8"/>
        <v>8.6999999999999993</v>
      </c>
      <c r="BV32" s="847">
        <v>10</v>
      </c>
      <c r="BW32" s="170">
        <v>9</v>
      </c>
      <c r="BX32" s="170"/>
      <c r="BY32" s="171"/>
      <c r="BZ32" s="172">
        <v>9.5</v>
      </c>
      <c r="CA32" s="173">
        <v>9.5</v>
      </c>
      <c r="CB32" s="592">
        <f t="shared" si="9"/>
        <v>9.5</v>
      </c>
      <c r="CC32" s="851">
        <v>10</v>
      </c>
      <c r="CD32" s="170">
        <v>9</v>
      </c>
      <c r="CE32" s="170"/>
      <c r="CF32" s="171"/>
      <c r="CG32" s="172">
        <v>10</v>
      </c>
      <c r="CH32" s="173">
        <v>9.8000000000000007</v>
      </c>
      <c r="CI32" s="409">
        <f t="shared" si="10"/>
        <v>9.8000000000000007</v>
      </c>
      <c r="CJ32" s="175" t="s">
        <v>800</v>
      </c>
      <c r="CK32" s="207" t="s">
        <v>800</v>
      </c>
      <c r="CL32" s="207" t="s">
        <v>800</v>
      </c>
      <c r="CM32" s="208"/>
      <c r="CN32" s="209" t="s">
        <v>800</v>
      </c>
      <c r="CO32" s="178" t="s">
        <v>800</v>
      </c>
      <c r="CP32" s="593" t="str">
        <f t="shared" si="11"/>
        <v>Đ</v>
      </c>
      <c r="CQ32" s="847">
        <v>10</v>
      </c>
      <c r="CR32" s="170">
        <v>9</v>
      </c>
      <c r="CS32" s="170"/>
      <c r="CT32" s="171"/>
      <c r="CU32" s="172">
        <v>10</v>
      </c>
      <c r="CV32" s="173">
        <v>10</v>
      </c>
      <c r="CW32" s="409">
        <f t="shared" si="12"/>
        <v>9.9</v>
      </c>
      <c r="CX32" s="169"/>
      <c r="CY32" s="170"/>
      <c r="CZ32" s="170"/>
      <c r="DA32" s="171"/>
      <c r="DB32" s="172"/>
      <c r="DC32" s="173"/>
      <c r="DD32" s="592" t="str">
        <f t="shared" si="13"/>
        <v/>
      </c>
      <c r="DE32" s="162"/>
      <c r="DF32" s="163"/>
      <c r="DG32" s="164"/>
      <c r="DH32" s="165"/>
      <c r="DI32" s="30" t="str">
        <f t="shared" si="14"/>
        <v>12A1Trần Thị NhưQuỳnh28/01/2004</v>
      </c>
    </row>
    <row r="33" spans="1:113" s="30" customFormat="1" ht="15.9" customHeight="1">
      <c r="A33" s="415"/>
      <c r="B33" s="105">
        <f>IF(C33&lt;&gt;"",MAX($B$4:B32)+1,"")</f>
        <v>30</v>
      </c>
      <c r="C33" s="179" t="s">
        <v>681</v>
      </c>
      <c r="D33" s="180" t="s">
        <v>777</v>
      </c>
      <c r="E33" s="181" t="s">
        <v>778</v>
      </c>
      <c r="F33" s="182" t="s">
        <v>688</v>
      </c>
      <c r="G33" s="452" t="s">
        <v>779</v>
      </c>
      <c r="H33" s="179" t="s">
        <v>119</v>
      </c>
      <c r="I33" s="179"/>
      <c r="J33" s="179"/>
      <c r="K33" s="848">
        <v>10</v>
      </c>
      <c r="L33" s="185">
        <v>9</v>
      </c>
      <c r="M33" s="185">
        <v>10</v>
      </c>
      <c r="N33" s="186">
        <v>10</v>
      </c>
      <c r="O33" s="187">
        <v>9.8000000000000007</v>
      </c>
      <c r="P33" s="188">
        <v>9.8000000000000007</v>
      </c>
      <c r="Q33" s="411">
        <f t="shared" si="0"/>
        <v>9.8000000000000007</v>
      </c>
      <c r="R33" s="848">
        <v>9</v>
      </c>
      <c r="S33" s="185">
        <v>10</v>
      </c>
      <c r="T33" s="185">
        <v>10</v>
      </c>
      <c r="U33" s="186">
        <v>10</v>
      </c>
      <c r="V33" s="187">
        <v>9.5</v>
      </c>
      <c r="W33" s="188">
        <v>9.5</v>
      </c>
      <c r="X33" s="594">
        <f t="shared" si="1"/>
        <v>9.6</v>
      </c>
      <c r="Y33" s="848">
        <v>9</v>
      </c>
      <c r="Z33" s="185">
        <v>8</v>
      </c>
      <c r="AA33" s="185">
        <v>9</v>
      </c>
      <c r="AB33" s="186">
        <v>9</v>
      </c>
      <c r="AC33" s="187">
        <v>8.8000000000000007</v>
      </c>
      <c r="AD33" s="188">
        <v>9.5</v>
      </c>
      <c r="AE33" s="411">
        <f t="shared" si="2"/>
        <v>9</v>
      </c>
      <c r="AF33" s="848">
        <v>10</v>
      </c>
      <c r="AG33" s="185">
        <v>8</v>
      </c>
      <c r="AH33" s="185">
        <v>8</v>
      </c>
      <c r="AI33" s="186"/>
      <c r="AJ33" s="187">
        <v>8.8000000000000007</v>
      </c>
      <c r="AK33" s="188">
        <v>8</v>
      </c>
      <c r="AL33" s="594">
        <f t="shared" si="3"/>
        <v>8.5</v>
      </c>
      <c r="AM33" s="848">
        <v>10</v>
      </c>
      <c r="AN33" s="185">
        <v>9</v>
      </c>
      <c r="AO33" s="185">
        <v>9</v>
      </c>
      <c r="AP33" s="186"/>
      <c r="AQ33" s="187">
        <v>10</v>
      </c>
      <c r="AR33" s="188">
        <v>10</v>
      </c>
      <c r="AS33" s="411">
        <f t="shared" si="4"/>
        <v>9.8000000000000007</v>
      </c>
      <c r="AT33" s="848">
        <v>9</v>
      </c>
      <c r="AU33" s="185">
        <v>9</v>
      </c>
      <c r="AV33" s="185">
        <v>7</v>
      </c>
      <c r="AW33" s="186">
        <v>7</v>
      </c>
      <c r="AX33" s="187">
        <v>6.8</v>
      </c>
      <c r="AY33" s="188">
        <v>5</v>
      </c>
      <c r="AZ33" s="594">
        <f t="shared" si="5"/>
        <v>6.7</v>
      </c>
      <c r="BA33" s="848">
        <v>10</v>
      </c>
      <c r="BB33" s="185">
        <v>9</v>
      </c>
      <c r="BC33" s="185">
        <v>9</v>
      </c>
      <c r="BD33" s="186"/>
      <c r="BE33" s="187">
        <v>9.5</v>
      </c>
      <c r="BF33" s="188">
        <v>9.3000000000000007</v>
      </c>
      <c r="BG33" s="411">
        <f t="shared" si="6"/>
        <v>9.4</v>
      </c>
      <c r="BH33" s="848">
        <v>10</v>
      </c>
      <c r="BI33" s="185">
        <v>9</v>
      </c>
      <c r="BJ33" s="185">
        <v>10</v>
      </c>
      <c r="BK33" s="186"/>
      <c r="BL33" s="187">
        <v>10</v>
      </c>
      <c r="BM33" s="188">
        <v>9.8000000000000007</v>
      </c>
      <c r="BN33" s="594">
        <f t="shared" si="7"/>
        <v>9.8000000000000007</v>
      </c>
      <c r="BO33" s="848">
        <v>10</v>
      </c>
      <c r="BP33" s="185">
        <v>9</v>
      </c>
      <c r="BQ33" s="185">
        <v>8</v>
      </c>
      <c r="BR33" s="186">
        <v>8</v>
      </c>
      <c r="BS33" s="187">
        <v>9.8000000000000007</v>
      </c>
      <c r="BT33" s="188">
        <v>7.6</v>
      </c>
      <c r="BU33" s="411">
        <f t="shared" si="8"/>
        <v>8.6</v>
      </c>
      <c r="BV33" s="848">
        <v>10</v>
      </c>
      <c r="BW33" s="185">
        <v>9</v>
      </c>
      <c r="BX33" s="185"/>
      <c r="BY33" s="186"/>
      <c r="BZ33" s="187">
        <v>9</v>
      </c>
      <c r="CA33" s="188">
        <v>9</v>
      </c>
      <c r="CB33" s="594">
        <f t="shared" si="9"/>
        <v>9.1</v>
      </c>
      <c r="CC33" s="852">
        <v>10</v>
      </c>
      <c r="CD33" s="185">
        <v>9</v>
      </c>
      <c r="CE33" s="185"/>
      <c r="CF33" s="186"/>
      <c r="CG33" s="187">
        <v>10</v>
      </c>
      <c r="CH33" s="188">
        <v>9.8000000000000007</v>
      </c>
      <c r="CI33" s="411">
        <f t="shared" si="10"/>
        <v>9.8000000000000007</v>
      </c>
      <c r="CJ33" s="190" t="s">
        <v>800</v>
      </c>
      <c r="CK33" s="214" t="s">
        <v>800</v>
      </c>
      <c r="CL33" s="214" t="s">
        <v>800</v>
      </c>
      <c r="CM33" s="215"/>
      <c r="CN33" s="216" t="s">
        <v>800</v>
      </c>
      <c r="CO33" s="193" t="s">
        <v>800</v>
      </c>
      <c r="CP33" s="595" t="str">
        <f t="shared" si="11"/>
        <v>Đ</v>
      </c>
      <c r="CQ33" s="848">
        <v>10</v>
      </c>
      <c r="CR33" s="185">
        <v>9</v>
      </c>
      <c r="CS33" s="185"/>
      <c r="CT33" s="186"/>
      <c r="CU33" s="187">
        <v>10</v>
      </c>
      <c r="CV33" s="188">
        <v>10</v>
      </c>
      <c r="CW33" s="411">
        <f t="shared" si="12"/>
        <v>9.9</v>
      </c>
      <c r="CX33" s="184"/>
      <c r="CY33" s="185"/>
      <c r="CZ33" s="185"/>
      <c r="DA33" s="186"/>
      <c r="DB33" s="187"/>
      <c r="DC33" s="188"/>
      <c r="DD33" s="594" t="str">
        <f t="shared" si="13"/>
        <v/>
      </c>
      <c r="DE33" s="194"/>
      <c r="DF33" s="182"/>
      <c r="DG33" s="183"/>
      <c r="DH33" s="195"/>
      <c r="DI33" s="30" t="str">
        <f t="shared" si="14"/>
        <v>12A1Nguyễn TháiSơn14/04/2004</v>
      </c>
    </row>
    <row r="34" spans="1:113" s="30" customFormat="1" ht="15.9" customHeight="1">
      <c r="A34" s="893"/>
      <c r="B34" s="111">
        <f>IF(C34&lt;&gt;"",MAX($B$4:B33)+1,"")</f>
        <v>31</v>
      </c>
      <c r="C34" s="196" t="s">
        <v>681</v>
      </c>
      <c r="D34" s="197" t="s">
        <v>780</v>
      </c>
      <c r="E34" s="198" t="s">
        <v>781</v>
      </c>
      <c r="F34" s="199" t="s">
        <v>782</v>
      </c>
      <c r="G34" s="453" t="s">
        <v>783</v>
      </c>
      <c r="H34" s="196" t="s">
        <v>119</v>
      </c>
      <c r="I34" s="196"/>
      <c r="J34" s="196"/>
      <c r="K34" s="849">
        <v>9</v>
      </c>
      <c r="L34" s="202">
        <v>10</v>
      </c>
      <c r="M34" s="202">
        <v>10</v>
      </c>
      <c r="N34" s="203">
        <v>10</v>
      </c>
      <c r="O34" s="204">
        <v>9.1999999999999993</v>
      </c>
      <c r="P34" s="205">
        <v>9.1999999999999993</v>
      </c>
      <c r="Q34" s="413">
        <f t="shared" si="0"/>
        <v>9.4</v>
      </c>
      <c r="R34" s="849">
        <v>9</v>
      </c>
      <c r="S34" s="155">
        <v>10</v>
      </c>
      <c r="T34" s="202">
        <v>10</v>
      </c>
      <c r="U34" s="203">
        <v>9</v>
      </c>
      <c r="V34" s="204">
        <v>9.5</v>
      </c>
      <c r="W34" s="205">
        <v>10</v>
      </c>
      <c r="X34" s="596">
        <f t="shared" si="1"/>
        <v>9.6999999999999993</v>
      </c>
      <c r="Y34" s="849">
        <v>8</v>
      </c>
      <c r="Z34" s="155">
        <v>9</v>
      </c>
      <c r="AA34" s="202">
        <v>8</v>
      </c>
      <c r="AB34" s="203">
        <v>10</v>
      </c>
      <c r="AC34" s="204">
        <v>9.4</v>
      </c>
      <c r="AD34" s="205">
        <v>10</v>
      </c>
      <c r="AE34" s="413">
        <f t="shared" si="2"/>
        <v>9.3000000000000007</v>
      </c>
      <c r="AF34" s="849">
        <v>8</v>
      </c>
      <c r="AG34" s="155">
        <v>8</v>
      </c>
      <c r="AH34" s="202">
        <v>8</v>
      </c>
      <c r="AI34" s="203"/>
      <c r="AJ34" s="204">
        <v>9</v>
      </c>
      <c r="AK34" s="205">
        <v>7.5</v>
      </c>
      <c r="AL34" s="596">
        <f t="shared" si="3"/>
        <v>8.1</v>
      </c>
      <c r="AM34" s="849">
        <v>10</v>
      </c>
      <c r="AN34" s="202">
        <v>10</v>
      </c>
      <c r="AO34" s="202">
        <v>10</v>
      </c>
      <c r="AP34" s="203"/>
      <c r="AQ34" s="204">
        <v>9</v>
      </c>
      <c r="AR34" s="205">
        <v>10</v>
      </c>
      <c r="AS34" s="413">
        <f t="shared" si="4"/>
        <v>9.8000000000000007</v>
      </c>
      <c r="AT34" s="849">
        <v>9</v>
      </c>
      <c r="AU34" s="202">
        <v>9</v>
      </c>
      <c r="AV34" s="202">
        <v>7</v>
      </c>
      <c r="AW34" s="203">
        <v>8</v>
      </c>
      <c r="AX34" s="204">
        <v>7.8</v>
      </c>
      <c r="AY34" s="205">
        <v>5.8</v>
      </c>
      <c r="AZ34" s="596">
        <f t="shared" si="5"/>
        <v>7.3</v>
      </c>
      <c r="BA34" s="849">
        <v>10</v>
      </c>
      <c r="BB34" s="202">
        <v>9</v>
      </c>
      <c r="BC34" s="202">
        <v>10</v>
      </c>
      <c r="BD34" s="203"/>
      <c r="BE34" s="204">
        <v>9.5</v>
      </c>
      <c r="BF34" s="205">
        <v>9.5</v>
      </c>
      <c r="BG34" s="413">
        <f t="shared" si="6"/>
        <v>9.6</v>
      </c>
      <c r="BH34" s="849">
        <v>9</v>
      </c>
      <c r="BI34" s="202">
        <v>10</v>
      </c>
      <c r="BJ34" s="202">
        <v>10</v>
      </c>
      <c r="BK34" s="203"/>
      <c r="BL34" s="204">
        <v>10</v>
      </c>
      <c r="BM34" s="205">
        <v>9.8000000000000007</v>
      </c>
      <c r="BN34" s="596">
        <f t="shared" si="7"/>
        <v>9.8000000000000007</v>
      </c>
      <c r="BO34" s="849">
        <v>9</v>
      </c>
      <c r="BP34" s="202">
        <v>10</v>
      </c>
      <c r="BQ34" s="202">
        <v>9</v>
      </c>
      <c r="BR34" s="203">
        <v>9</v>
      </c>
      <c r="BS34" s="204">
        <v>9.4</v>
      </c>
      <c r="BT34" s="205">
        <v>8.8000000000000007</v>
      </c>
      <c r="BU34" s="413">
        <f t="shared" si="8"/>
        <v>9.1</v>
      </c>
      <c r="BV34" s="849">
        <v>10</v>
      </c>
      <c r="BW34" s="202">
        <v>9</v>
      </c>
      <c r="BX34" s="202"/>
      <c r="BY34" s="203"/>
      <c r="BZ34" s="204">
        <v>8.5</v>
      </c>
      <c r="CA34" s="205">
        <v>8.5</v>
      </c>
      <c r="CB34" s="596">
        <f t="shared" si="9"/>
        <v>8.8000000000000007</v>
      </c>
      <c r="CC34" s="850">
        <v>10</v>
      </c>
      <c r="CD34" s="202">
        <v>9</v>
      </c>
      <c r="CE34" s="202"/>
      <c r="CF34" s="203"/>
      <c r="CG34" s="204">
        <v>10</v>
      </c>
      <c r="CH34" s="205">
        <v>10</v>
      </c>
      <c r="CI34" s="413">
        <f t="shared" si="10"/>
        <v>9.9</v>
      </c>
      <c r="CJ34" s="159" t="s">
        <v>800</v>
      </c>
      <c r="CK34" s="207" t="s">
        <v>800</v>
      </c>
      <c r="CL34" s="207" t="s">
        <v>800</v>
      </c>
      <c r="CM34" s="208"/>
      <c r="CN34" s="209" t="s">
        <v>800</v>
      </c>
      <c r="CO34" s="210" t="s">
        <v>800</v>
      </c>
      <c r="CP34" s="597" t="str">
        <f t="shared" si="11"/>
        <v>Đ</v>
      </c>
      <c r="CQ34" s="849">
        <v>10</v>
      </c>
      <c r="CR34" s="202">
        <v>9</v>
      </c>
      <c r="CS34" s="202"/>
      <c r="CT34" s="203"/>
      <c r="CU34" s="204">
        <v>10</v>
      </c>
      <c r="CV34" s="205">
        <v>10</v>
      </c>
      <c r="CW34" s="413">
        <f t="shared" si="12"/>
        <v>9.9</v>
      </c>
      <c r="CX34" s="201"/>
      <c r="CY34" s="202"/>
      <c r="CZ34" s="202"/>
      <c r="DA34" s="203"/>
      <c r="DB34" s="204"/>
      <c r="DC34" s="205"/>
      <c r="DD34" s="596" t="str">
        <f t="shared" si="13"/>
        <v/>
      </c>
      <c r="DE34" s="211"/>
      <c r="DF34" s="199"/>
      <c r="DG34" s="200"/>
      <c r="DH34" s="212"/>
      <c r="DI34" s="30" t="str">
        <f t="shared" si="14"/>
        <v>12A1Đặng HoàngTân26/09/2004</v>
      </c>
    </row>
    <row r="35" spans="1:113" s="30" customFormat="1" ht="15.9" customHeight="1">
      <c r="A35" s="893"/>
      <c r="B35" s="99">
        <f>IF(C35&lt;&gt;"",MAX($B$4:B34)+1,"")</f>
        <v>32</v>
      </c>
      <c r="C35" s="166" t="s">
        <v>681</v>
      </c>
      <c r="D35" s="167" t="s">
        <v>784</v>
      </c>
      <c r="E35" s="168" t="s">
        <v>785</v>
      </c>
      <c r="F35" s="163" t="s">
        <v>754</v>
      </c>
      <c r="G35" s="451" t="s">
        <v>786</v>
      </c>
      <c r="H35" s="166" t="s">
        <v>119</v>
      </c>
      <c r="I35" s="166"/>
      <c r="J35" s="166"/>
      <c r="K35" s="847">
        <v>10</v>
      </c>
      <c r="L35" s="170">
        <v>10</v>
      </c>
      <c r="M35" s="170">
        <v>9</v>
      </c>
      <c r="N35" s="171">
        <v>10</v>
      </c>
      <c r="O35" s="172">
        <v>9.4</v>
      </c>
      <c r="P35" s="173">
        <v>9.1999999999999993</v>
      </c>
      <c r="Q35" s="409">
        <f t="shared" si="0"/>
        <v>9.5</v>
      </c>
      <c r="R35" s="847">
        <v>9</v>
      </c>
      <c r="S35" s="170">
        <v>10</v>
      </c>
      <c r="T35" s="170">
        <v>10</v>
      </c>
      <c r="U35" s="171">
        <v>10</v>
      </c>
      <c r="V35" s="172">
        <v>9.5</v>
      </c>
      <c r="W35" s="173">
        <v>9.3000000000000007</v>
      </c>
      <c r="X35" s="592">
        <f t="shared" si="1"/>
        <v>9.5</v>
      </c>
      <c r="Y35" s="847">
        <v>9</v>
      </c>
      <c r="Z35" s="170">
        <v>8</v>
      </c>
      <c r="AA35" s="170">
        <v>9</v>
      </c>
      <c r="AB35" s="171">
        <v>9</v>
      </c>
      <c r="AC35" s="172">
        <v>8.4</v>
      </c>
      <c r="AD35" s="173">
        <v>9</v>
      </c>
      <c r="AE35" s="409">
        <f t="shared" si="2"/>
        <v>8.8000000000000007</v>
      </c>
      <c r="AF35" s="847">
        <v>10</v>
      </c>
      <c r="AG35" s="170">
        <v>10</v>
      </c>
      <c r="AH35" s="170">
        <v>9.5</v>
      </c>
      <c r="AI35" s="171"/>
      <c r="AJ35" s="172">
        <v>10</v>
      </c>
      <c r="AK35" s="173">
        <v>9.5</v>
      </c>
      <c r="AL35" s="592">
        <f t="shared" si="3"/>
        <v>9.8000000000000007</v>
      </c>
      <c r="AM35" s="847">
        <v>10</v>
      </c>
      <c r="AN35" s="170">
        <v>10</v>
      </c>
      <c r="AO35" s="170">
        <v>10</v>
      </c>
      <c r="AP35" s="171"/>
      <c r="AQ35" s="172">
        <v>9</v>
      </c>
      <c r="AR35" s="173">
        <v>10</v>
      </c>
      <c r="AS35" s="409">
        <f t="shared" si="4"/>
        <v>9.8000000000000007</v>
      </c>
      <c r="AT35" s="847">
        <v>9</v>
      </c>
      <c r="AU35" s="170">
        <v>9</v>
      </c>
      <c r="AV35" s="170">
        <v>8</v>
      </c>
      <c r="AW35" s="171">
        <v>8</v>
      </c>
      <c r="AX35" s="172">
        <v>7.8</v>
      </c>
      <c r="AY35" s="173">
        <v>7.3</v>
      </c>
      <c r="AZ35" s="592">
        <f t="shared" si="5"/>
        <v>7.9</v>
      </c>
      <c r="BA35" s="847">
        <v>10</v>
      </c>
      <c r="BB35" s="170">
        <v>9</v>
      </c>
      <c r="BC35" s="170">
        <v>10</v>
      </c>
      <c r="BD35" s="171"/>
      <c r="BE35" s="172">
        <v>9.5</v>
      </c>
      <c r="BF35" s="173">
        <v>9.5</v>
      </c>
      <c r="BG35" s="409">
        <f t="shared" si="6"/>
        <v>9.6</v>
      </c>
      <c r="BH35" s="847">
        <v>10</v>
      </c>
      <c r="BI35" s="170">
        <v>9</v>
      </c>
      <c r="BJ35" s="170">
        <v>10</v>
      </c>
      <c r="BK35" s="171"/>
      <c r="BL35" s="172">
        <v>10</v>
      </c>
      <c r="BM35" s="173">
        <v>9.8000000000000007</v>
      </c>
      <c r="BN35" s="592">
        <f t="shared" si="7"/>
        <v>9.8000000000000007</v>
      </c>
      <c r="BO35" s="847">
        <v>10</v>
      </c>
      <c r="BP35" s="170">
        <v>9</v>
      </c>
      <c r="BQ35" s="170">
        <v>9</v>
      </c>
      <c r="BR35" s="171">
        <v>9</v>
      </c>
      <c r="BS35" s="172">
        <v>9</v>
      </c>
      <c r="BT35" s="173">
        <v>8.6</v>
      </c>
      <c r="BU35" s="409">
        <f t="shared" si="8"/>
        <v>9</v>
      </c>
      <c r="BV35" s="847">
        <v>10</v>
      </c>
      <c r="BW35" s="170">
        <v>9</v>
      </c>
      <c r="BX35" s="170"/>
      <c r="BY35" s="171"/>
      <c r="BZ35" s="172">
        <v>10</v>
      </c>
      <c r="CA35" s="173">
        <v>9.8000000000000007</v>
      </c>
      <c r="CB35" s="592">
        <f t="shared" si="9"/>
        <v>9.8000000000000007</v>
      </c>
      <c r="CC35" s="851">
        <v>10</v>
      </c>
      <c r="CD35" s="170">
        <v>9</v>
      </c>
      <c r="CE35" s="170"/>
      <c r="CF35" s="171"/>
      <c r="CG35" s="172">
        <v>9.3000000000000007</v>
      </c>
      <c r="CH35" s="173">
        <v>9.3000000000000007</v>
      </c>
      <c r="CI35" s="409">
        <f t="shared" si="10"/>
        <v>9.4</v>
      </c>
      <c r="CJ35" s="175" t="s">
        <v>800</v>
      </c>
      <c r="CK35" s="175" t="s">
        <v>800</v>
      </c>
      <c r="CL35" s="175" t="s">
        <v>800</v>
      </c>
      <c r="CM35" s="176"/>
      <c r="CN35" s="177" t="s">
        <v>800</v>
      </c>
      <c r="CO35" s="178" t="s">
        <v>800</v>
      </c>
      <c r="CP35" s="593" t="str">
        <f t="shared" si="11"/>
        <v>Đ</v>
      </c>
      <c r="CQ35" s="847">
        <v>10</v>
      </c>
      <c r="CR35" s="170">
        <v>9</v>
      </c>
      <c r="CS35" s="170"/>
      <c r="CT35" s="171"/>
      <c r="CU35" s="172">
        <v>10</v>
      </c>
      <c r="CV35" s="173">
        <v>10</v>
      </c>
      <c r="CW35" s="409">
        <f t="shared" si="12"/>
        <v>9.9</v>
      </c>
      <c r="CX35" s="169"/>
      <c r="CY35" s="170"/>
      <c r="CZ35" s="170"/>
      <c r="DA35" s="171"/>
      <c r="DB35" s="172"/>
      <c r="DC35" s="173"/>
      <c r="DD35" s="592" t="str">
        <f t="shared" si="13"/>
        <v/>
      </c>
      <c r="DE35" s="162"/>
      <c r="DF35" s="163"/>
      <c r="DG35" s="164"/>
      <c r="DH35" s="165"/>
      <c r="DI35" s="30" t="str">
        <f t="shared" si="14"/>
        <v>12A1Hồ QuangThành28/02/2004</v>
      </c>
    </row>
    <row r="36" spans="1:113" s="30" customFormat="1" ht="15.9" customHeight="1">
      <c r="B36" s="99">
        <f>IF(C36&lt;&gt;"",MAX($B$4:B35)+1,"")</f>
        <v>33</v>
      </c>
      <c r="C36" s="166" t="s">
        <v>681</v>
      </c>
      <c r="D36" s="167" t="s">
        <v>787</v>
      </c>
      <c r="E36" s="168" t="s">
        <v>788</v>
      </c>
      <c r="F36" s="163" t="s">
        <v>789</v>
      </c>
      <c r="G36" s="451" t="s">
        <v>790</v>
      </c>
      <c r="H36" s="166" t="s">
        <v>119</v>
      </c>
      <c r="I36" s="166"/>
      <c r="J36" s="166"/>
      <c r="K36" s="847">
        <v>10</v>
      </c>
      <c r="L36" s="170">
        <v>10</v>
      </c>
      <c r="M36" s="170">
        <v>10</v>
      </c>
      <c r="N36" s="171">
        <v>10</v>
      </c>
      <c r="O36" s="172">
        <v>9.6</v>
      </c>
      <c r="P36" s="173">
        <v>9.8000000000000007</v>
      </c>
      <c r="Q36" s="409">
        <f t="shared" ref="Q36:Q58" si="15">IF(COUNTA(K36:P36)&gt;=1,ROUND(AVERAGE(K36:P36,O36:P36,P36),1),"")</f>
        <v>9.8000000000000007</v>
      </c>
      <c r="R36" s="847">
        <v>10</v>
      </c>
      <c r="S36" s="170">
        <v>10</v>
      </c>
      <c r="T36" s="170">
        <v>10</v>
      </c>
      <c r="U36" s="171">
        <v>9</v>
      </c>
      <c r="V36" s="172">
        <v>9.5</v>
      </c>
      <c r="W36" s="173">
        <v>9.5</v>
      </c>
      <c r="X36" s="592">
        <f t="shared" ref="X36:X58" si="16">IF(COUNTA(R36:W36)&gt;=1,ROUND(AVERAGE(R36:W36,V36:W36,W36),1),"")</f>
        <v>9.6</v>
      </c>
      <c r="Y36" s="847">
        <v>10</v>
      </c>
      <c r="Z36" s="170">
        <v>9</v>
      </c>
      <c r="AA36" s="170">
        <v>10</v>
      </c>
      <c r="AB36" s="171">
        <v>10</v>
      </c>
      <c r="AC36" s="172">
        <v>9</v>
      </c>
      <c r="AD36" s="173">
        <v>9.5</v>
      </c>
      <c r="AE36" s="409">
        <f t="shared" ref="AE36:AE58" si="17">IF(COUNTA(Y36:AD36)&gt;=1,ROUND(AVERAGE(Y36:AD36,AC36:AD36,AD36),1),"")</f>
        <v>9.5</v>
      </c>
      <c r="AF36" s="847">
        <v>9</v>
      </c>
      <c r="AG36" s="170">
        <v>9</v>
      </c>
      <c r="AH36" s="170">
        <v>9</v>
      </c>
      <c r="AI36" s="171"/>
      <c r="AJ36" s="172">
        <v>10</v>
      </c>
      <c r="AK36" s="173">
        <v>9</v>
      </c>
      <c r="AL36" s="592">
        <f t="shared" ref="AL36:AL58" si="18">IF(COUNTA(AF36:AK36)&gt;=1,ROUND(AVERAGE(AF36:AK36,AJ36:AK36,AK36),1),"")</f>
        <v>9.3000000000000007</v>
      </c>
      <c r="AM36" s="847">
        <v>10</v>
      </c>
      <c r="AN36" s="170">
        <v>9</v>
      </c>
      <c r="AO36" s="170">
        <v>10</v>
      </c>
      <c r="AP36" s="171"/>
      <c r="AQ36" s="172">
        <v>9</v>
      </c>
      <c r="AR36" s="173">
        <v>10</v>
      </c>
      <c r="AS36" s="409">
        <f t="shared" ref="AS36:AS58" si="19">IF(COUNTA(AM36:AR36)&gt;=1,ROUND(AVERAGE(AM36:AR36,AQ36:AR36,AR36),1),"")</f>
        <v>9.6</v>
      </c>
      <c r="AT36" s="847">
        <v>9</v>
      </c>
      <c r="AU36" s="170">
        <v>9</v>
      </c>
      <c r="AV36" s="170">
        <v>7</v>
      </c>
      <c r="AW36" s="171">
        <v>8</v>
      </c>
      <c r="AX36" s="172">
        <v>7.3</v>
      </c>
      <c r="AY36" s="173">
        <v>6</v>
      </c>
      <c r="AZ36" s="592">
        <f t="shared" ref="AZ36:AZ58" si="20">IF(COUNTA(AT36:AY36)&gt;=1,ROUND(AVERAGE(AT36:AY36,AX36:AY36,AY36),1),"")</f>
        <v>7.3</v>
      </c>
      <c r="BA36" s="847">
        <v>10</v>
      </c>
      <c r="BB36" s="170">
        <v>9</v>
      </c>
      <c r="BC36" s="170">
        <v>9</v>
      </c>
      <c r="BD36" s="171"/>
      <c r="BE36" s="172">
        <v>9</v>
      </c>
      <c r="BF36" s="173">
        <v>9</v>
      </c>
      <c r="BG36" s="409">
        <f t="shared" ref="BG36:BG58" si="21">IF(COUNTA(BA36:BF36)&gt;=1,ROUND(AVERAGE(BA36:BF36,BE36:BF36,BF36),1),"")</f>
        <v>9.1</v>
      </c>
      <c r="BH36" s="847">
        <v>10</v>
      </c>
      <c r="BI36" s="170">
        <v>9</v>
      </c>
      <c r="BJ36" s="170">
        <v>9</v>
      </c>
      <c r="BK36" s="171"/>
      <c r="BL36" s="172">
        <v>9</v>
      </c>
      <c r="BM36" s="173">
        <v>9</v>
      </c>
      <c r="BN36" s="592">
        <f t="shared" ref="BN36:BN58" si="22">IF(COUNTA(BH36:BM36)&gt;=1,ROUND(AVERAGE(BH36:BM36,BL36:BM36,BM36),1),"")</f>
        <v>9.1</v>
      </c>
      <c r="BO36" s="847">
        <v>10</v>
      </c>
      <c r="BP36" s="170">
        <v>9</v>
      </c>
      <c r="BQ36" s="170">
        <v>8</v>
      </c>
      <c r="BR36" s="171">
        <v>8</v>
      </c>
      <c r="BS36" s="172">
        <v>10</v>
      </c>
      <c r="BT36" s="173">
        <v>8.4</v>
      </c>
      <c r="BU36" s="409">
        <f t="shared" ref="BU36:BU58" si="23">IF(COUNTA(BO36:BT36)&gt;=1,ROUND(AVERAGE(BO36:BT36,BS36:BT36,BT36),1),"")</f>
        <v>8.9</v>
      </c>
      <c r="BV36" s="847">
        <v>10</v>
      </c>
      <c r="BW36" s="170">
        <v>9</v>
      </c>
      <c r="BX36" s="170"/>
      <c r="BY36" s="171"/>
      <c r="BZ36" s="172">
        <v>9</v>
      </c>
      <c r="CA36" s="173">
        <v>8.8000000000000007</v>
      </c>
      <c r="CB36" s="592">
        <f t="shared" ref="CB36:CB58" si="24">IF(COUNTA(BV36:CA36)&gt;=1,ROUND(AVERAGE(BV36:CA36,BZ36:CA36,CA36),1),"")</f>
        <v>9.1</v>
      </c>
      <c r="CC36" s="851">
        <v>10</v>
      </c>
      <c r="CD36" s="170">
        <v>9</v>
      </c>
      <c r="CE36" s="170"/>
      <c r="CF36" s="171"/>
      <c r="CG36" s="172">
        <v>10</v>
      </c>
      <c r="CH36" s="173">
        <v>9.8000000000000007</v>
      </c>
      <c r="CI36" s="409">
        <f t="shared" ref="CI36:CI58" si="25">IF(COUNTA(CC36:CH36)&gt;=1,ROUND(AVERAGE(CC36:CH36,CG36:CH36,CH36),1),"")</f>
        <v>9.8000000000000007</v>
      </c>
      <c r="CJ36" s="175" t="s">
        <v>800</v>
      </c>
      <c r="CK36" s="207" t="s">
        <v>800</v>
      </c>
      <c r="CL36" s="207" t="s">
        <v>800</v>
      </c>
      <c r="CM36" s="208"/>
      <c r="CN36" s="209" t="s">
        <v>800</v>
      </c>
      <c r="CO36" s="178" t="s">
        <v>800</v>
      </c>
      <c r="CP36" s="593" t="str">
        <f t="shared" ref="CP36:CP58" si="26">IF(COUNTA(CJ36:CO36)&gt;=1,IF(ROUND(2/3*COUNTIF(CJ36:CO36,"&lt;&gt;"),0)=0,"",IF(COUNTIF(CJ36:CO36,"Đ")&gt;=ROUND(2/3*COUNTIF(CJ36:CO36,"&lt;&gt;"),0),"Đ","CĐ")),"")</f>
        <v>Đ</v>
      </c>
      <c r="CQ36" s="847">
        <v>10</v>
      </c>
      <c r="CR36" s="170">
        <v>9</v>
      </c>
      <c r="CS36" s="170"/>
      <c r="CT36" s="171"/>
      <c r="CU36" s="172">
        <v>10</v>
      </c>
      <c r="CV36" s="173">
        <v>10</v>
      </c>
      <c r="CW36" s="409">
        <f t="shared" ref="CW36:CW58" si="27">IF(COUNTA(CQ36:CV36)&gt;=1,ROUND(AVERAGE(CQ36:CV36,CU36:CV36,CV36),1),"")</f>
        <v>9.9</v>
      </c>
      <c r="CX36" s="169"/>
      <c r="CY36" s="170"/>
      <c r="CZ36" s="170"/>
      <c r="DA36" s="171"/>
      <c r="DB36" s="172"/>
      <c r="DC36" s="173"/>
      <c r="DD36" s="592" t="str">
        <f t="shared" ref="DD36:DD58" si="28">IF(COUNTA(CX36:DC36)&gt;=1,ROUND(AVERAGE(CX36:DC36,DB36:DC36,DC36),1),"")</f>
        <v/>
      </c>
      <c r="DE36" s="162"/>
      <c r="DF36" s="163"/>
      <c r="DG36" s="164"/>
      <c r="DH36" s="165"/>
      <c r="DI36" s="30" t="str">
        <f t="shared" ref="DI36:DI58" si="29">UPPER(C36)&amp;TRIM(D36)&amp;TRIM(E36)&amp;TRIM(F36)</f>
        <v>12A1Trần ThịnhThịnh18/08/2004</v>
      </c>
    </row>
    <row r="37" spans="1:113" s="30" customFormat="1" ht="15.9" customHeight="1">
      <c r="B37" s="99">
        <f>IF(C37&lt;&gt;"",MAX($B$4:B36)+1,"")</f>
        <v>34</v>
      </c>
      <c r="C37" s="166" t="s">
        <v>681</v>
      </c>
      <c r="D37" s="167" t="s">
        <v>791</v>
      </c>
      <c r="E37" s="168" t="s">
        <v>792</v>
      </c>
      <c r="F37" s="163" t="s">
        <v>793</v>
      </c>
      <c r="G37" s="451" t="s">
        <v>747</v>
      </c>
      <c r="H37" s="166" t="s">
        <v>6</v>
      </c>
      <c r="I37" s="166"/>
      <c r="J37" s="166"/>
      <c r="K37" s="847">
        <v>10</v>
      </c>
      <c r="L37" s="170">
        <v>9</v>
      </c>
      <c r="M37" s="170">
        <v>9</v>
      </c>
      <c r="N37" s="171">
        <v>9</v>
      </c>
      <c r="O37" s="172">
        <v>9</v>
      </c>
      <c r="P37" s="173">
        <v>9.4</v>
      </c>
      <c r="Q37" s="409">
        <f t="shared" si="15"/>
        <v>9.1999999999999993</v>
      </c>
      <c r="R37" s="847">
        <v>9</v>
      </c>
      <c r="S37" s="170">
        <v>6</v>
      </c>
      <c r="T37" s="170">
        <v>10</v>
      </c>
      <c r="U37" s="171">
        <v>8</v>
      </c>
      <c r="V37" s="172">
        <v>8.5</v>
      </c>
      <c r="W37" s="173">
        <v>9.5</v>
      </c>
      <c r="X37" s="592">
        <f t="shared" si="16"/>
        <v>8.6999999999999993</v>
      </c>
      <c r="Y37" s="847">
        <v>8</v>
      </c>
      <c r="Z37" s="170">
        <v>9</v>
      </c>
      <c r="AA37" s="170">
        <v>8</v>
      </c>
      <c r="AB37" s="171">
        <v>10</v>
      </c>
      <c r="AC37" s="172">
        <v>9</v>
      </c>
      <c r="AD37" s="173">
        <v>9.8000000000000007</v>
      </c>
      <c r="AE37" s="409">
        <f t="shared" si="17"/>
        <v>9.1999999999999993</v>
      </c>
      <c r="AF37" s="847">
        <v>9</v>
      </c>
      <c r="AG37" s="170">
        <v>9</v>
      </c>
      <c r="AH37" s="170">
        <v>8.5</v>
      </c>
      <c r="AI37" s="171"/>
      <c r="AJ37" s="172">
        <v>9</v>
      </c>
      <c r="AK37" s="173">
        <v>8.5</v>
      </c>
      <c r="AL37" s="592">
        <f t="shared" si="18"/>
        <v>8.8000000000000007</v>
      </c>
      <c r="AM37" s="847">
        <v>10</v>
      </c>
      <c r="AN37" s="170">
        <v>10</v>
      </c>
      <c r="AO37" s="170">
        <v>9</v>
      </c>
      <c r="AP37" s="171"/>
      <c r="AQ37" s="172">
        <v>9</v>
      </c>
      <c r="AR37" s="173">
        <v>10</v>
      </c>
      <c r="AS37" s="409">
        <f t="shared" si="19"/>
        <v>9.6</v>
      </c>
      <c r="AT37" s="847">
        <v>9</v>
      </c>
      <c r="AU37" s="170">
        <v>9</v>
      </c>
      <c r="AV37" s="170">
        <v>7</v>
      </c>
      <c r="AW37" s="171">
        <v>9</v>
      </c>
      <c r="AX37" s="172">
        <v>7.8</v>
      </c>
      <c r="AY37" s="173">
        <v>7.5</v>
      </c>
      <c r="AZ37" s="592">
        <f t="shared" si="20"/>
        <v>8</v>
      </c>
      <c r="BA37" s="847">
        <v>10</v>
      </c>
      <c r="BB37" s="170">
        <v>9</v>
      </c>
      <c r="BC37" s="170">
        <v>10</v>
      </c>
      <c r="BD37" s="171"/>
      <c r="BE37" s="172">
        <v>10</v>
      </c>
      <c r="BF37" s="173">
        <v>9.8000000000000007</v>
      </c>
      <c r="BG37" s="409">
        <f t="shared" si="21"/>
        <v>9.8000000000000007</v>
      </c>
      <c r="BH37" s="847">
        <v>10</v>
      </c>
      <c r="BI37" s="170">
        <v>9</v>
      </c>
      <c r="BJ37" s="170">
        <v>10</v>
      </c>
      <c r="BK37" s="171"/>
      <c r="BL37" s="172">
        <v>10</v>
      </c>
      <c r="BM37" s="173">
        <v>10</v>
      </c>
      <c r="BN37" s="592">
        <f t="shared" si="22"/>
        <v>9.9</v>
      </c>
      <c r="BO37" s="847">
        <v>10</v>
      </c>
      <c r="BP37" s="170">
        <v>9</v>
      </c>
      <c r="BQ37" s="170">
        <v>8</v>
      </c>
      <c r="BR37" s="171">
        <v>8</v>
      </c>
      <c r="BS37" s="172">
        <v>9.6</v>
      </c>
      <c r="BT37" s="173">
        <v>8.1999999999999993</v>
      </c>
      <c r="BU37" s="409">
        <f t="shared" si="23"/>
        <v>8.8000000000000007</v>
      </c>
      <c r="BV37" s="847">
        <v>10</v>
      </c>
      <c r="BW37" s="170">
        <v>9</v>
      </c>
      <c r="BX37" s="170"/>
      <c r="BY37" s="171"/>
      <c r="BZ37" s="172">
        <v>9.3000000000000007</v>
      </c>
      <c r="CA37" s="173">
        <v>9.3000000000000007</v>
      </c>
      <c r="CB37" s="592">
        <f t="shared" si="24"/>
        <v>9.4</v>
      </c>
      <c r="CC37" s="851">
        <v>10</v>
      </c>
      <c r="CD37" s="170">
        <v>9</v>
      </c>
      <c r="CE37" s="170"/>
      <c r="CF37" s="171"/>
      <c r="CG37" s="172">
        <v>10</v>
      </c>
      <c r="CH37" s="173">
        <v>10</v>
      </c>
      <c r="CI37" s="409">
        <f t="shared" si="25"/>
        <v>9.9</v>
      </c>
      <c r="CJ37" s="175" t="s">
        <v>800</v>
      </c>
      <c r="CK37" s="175" t="s">
        <v>800</v>
      </c>
      <c r="CL37" s="175" t="s">
        <v>800</v>
      </c>
      <c r="CM37" s="176"/>
      <c r="CN37" s="177" t="s">
        <v>800</v>
      </c>
      <c r="CO37" s="178" t="s">
        <v>800</v>
      </c>
      <c r="CP37" s="593" t="str">
        <f t="shared" si="26"/>
        <v>Đ</v>
      </c>
      <c r="CQ37" s="847">
        <v>10</v>
      </c>
      <c r="CR37" s="170">
        <v>9</v>
      </c>
      <c r="CS37" s="170"/>
      <c r="CT37" s="171"/>
      <c r="CU37" s="172">
        <v>10</v>
      </c>
      <c r="CV37" s="173">
        <v>10</v>
      </c>
      <c r="CW37" s="409">
        <f t="shared" si="27"/>
        <v>9.9</v>
      </c>
      <c r="CX37" s="169"/>
      <c r="CY37" s="170"/>
      <c r="CZ37" s="170"/>
      <c r="DA37" s="171"/>
      <c r="DB37" s="172"/>
      <c r="DC37" s="173"/>
      <c r="DD37" s="592" t="str">
        <f t="shared" si="28"/>
        <v/>
      </c>
      <c r="DE37" s="162"/>
      <c r="DF37" s="163"/>
      <c r="DG37" s="164"/>
      <c r="DH37" s="165"/>
      <c r="DI37" s="30" t="str">
        <f t="shared" si="29"/>
        <v>12A1Trần Kim BảoTrân05/06/2004</v>
      </c>
    </row>
    <row r="38" spans="1:113" s="30" customFormat="1" ht="15.9" customHeight="1">
      <c r="B38" s="105">
        <f>IF(C38&lt;&gt;"",MAX($B$4:B37)+1,"")</f>
        <v>35</v>
      </c>
      <c r="C38" s="179" t="s">
        <v>681</v>
      </c>
      <c r="D38" s="180" t="s">
        <v>794</v>
      </c>
      <c r="E38" s="181" t="s">
        <v>795</v>
      </c>
      <c r="F38" s="182" t="s">
        <v>796</v>
      </c>
      <c r="G38" s="452" t="s">
        <v>165</v>
      </c>
      <c r="H38" s="179" t="s">
        <v>119</v>
      </c>
      <c r="I38" s="179"/>
      <c r="J38" s="179"/>
      <c r="K38" s="848">
        <v>10</v>
      </c>
      <c r="L38" s="185">
        <v>10</v>
      </c>
      <c r="M38" s="185">
        <v>10</v>
      </c>
      <c r="N38" s="186">
        <v>10</v>
      </c>
      <c r="O38" s="187">
        <v>9.6</v>
      </c>
      <c r="P38" s="188">
        <v>10</v>
      </c>
      <c r="Q38" s="411">
        <f t="shared" si="15"/>
        <v>9.9</v>
      </c>
      <c r="R38" s="848">
        <v>8</v>
      </c>
      <c r="S38" s="185">
        <v>10</v>
      </c>
      <c r="T38" s="185">
        <v>10</v>
      </c>
      <c r="U38" s="186">
        <v>10</v>
      </c>
      <c r="V38" s="187">
        <v>9.5</v>
      </c>
      <c r="W38" s="188">
        <v>9.8000000000000007</v>
      </c>
      <c r="X38" s="594">
        <f t="shared" si="16"/>
        <v>9.6</v>
      </c>
      <c r="Y38" s="848">
        <v>10</v>
      </c>
      <c r="Z38" s="185">
        <v>10</v>
      </c>
      <c r="AA38" s="185">
        <v>10</v>
      </c>
      <c r="AB38" s="186">
        <v>10</v>
      </c>
      <c r="AC38" s="187">
        <v>9.6</v>
      </c>
      <c r="AD38" s="188">
        <v>9.8000000000000007</v>
      </c>
      <c r="AE38" s="411">
        <f t="shared" si="17"/>
        <v>9.8000000000000007</v>
      </c>
      <c r="AF38" s="848">
        <v>10</v>
      </c>
      <c r="AG38" s="185">
        <v>10</v>
      </c>
      <c r="AH38" s="185">
        <v>9.5</v>
      </c>
      <c r="AI38" s="186"/>
      <c r="AJ38" s="187">
        <v>10</v>
      </c>
      <c r="AK38" s="188">
        <v>9.5</v>
      </c>
      <c r="AL38" s="594">
        <f t="shared" si="18"/>
        <v>9.8000000000000007</v>
      </c>
      <c r="AM38" s="848">
        <v>10</v>
      </c>
      <c r="AN38" s="185">
        <v>10</v>
      </c>
      <c r="AO38" s="185">
        <v>10</v>
      </c>
      <c r="AP38" s="186"/>
      <c r="AQ38" s="187">
        <v>9</v>
      </c>
      <c r="AR38" s="188">
        <v>10</v>
      </c>
      <c r="AS38" s="411">
        <f t="shared" si="19"/>
        <v>9.8000000000000007</v>
      </c>
      <c r="AT38" s="848">
        <v>9</v>
      </c>
      <c r="AU38" s="185">
        <v>9</v>
      </c>
      <c r="AV38" s="185">
        <v>8</v>
      </c>
      <c r="AW38" s="186">
        <v>8</v>
      </c>
      <c r="AX38" s="187">
        <v>7.3</v>
      </c>
      <c r="AY38" s="188">
        <v>6.3</v>
      </c>
      <c r="AZ38" s="594">
        <f t="shared" si="20"/>
        <v>7.5</v>
      </c>
      <c r="BA38" s="848">
        <v>10</v>
      </c>
      <c r="BB38" s="185">
        <v>9</v>
      </c>
      <c r="BC38" s="185">
        <v>10</v>
      </c>
      <c r="BD38" s="186"/>
      <c r="BE38" s="187">
        <v>10</v>
      </c>
      <c r="BF38" s="188">
        <v>9.8000000000000007</v>
      </c>
      <c r="BG38" s="411">
        <f t="shared" si="21"/>
        <v>9.8000000000000007</v>
      </c>
      <c r="BH38" s="848">
        <v>10</v>
      </c>
      <c r="BI38" s="185">
        <v>9</v>
      </c>
      <c r="BJ38" s="185">
        <v>10</v>
      </c>
      <c r="BK38" s="186"/>
      <c r="BL38" s="187">
        <v>9.5</v>
      </c>
      <c r="BM38" s="188">
        <v>9.5</v>
      </c>
      <c r="BN38" s="594">
        <f t="shared" si="22"/>
        <v>9.6</v>
      </c>
      <c r="BO38" s="848">
        <v>10</v>
      </c>
      <c r="BP38" s="185">
        <v>9</v>
      </c>
      <c r="BQ38" s="185">
        <v>8</v>
      </c>
      <c r="BR38" s="186">
        <v>8</v>
      </c>
      <c r="BS38" s="187">
        <v>9.4</v>
      </c>
      <c r="BT38" s="188">
        <v>7.8</v>
      </c>
      <c r="BU38" s="411">
        <f t="shared" si="23"/>
        <v>8.6</v>
      </c>
      <c r="BV38" s="848">
        <v>10</v>
      </c>
      <c r="BW38" s="185">
        <v>9</v>
      </c>
      <c r="BX38" s="185"/>
      <c r="BY38" s="186"/>
      <c r="BZ38" s="187">
        <v>9</v>
      </c>
      <c r="CA38" s="188">
        <v>9</v>
      </c>
      <c r="CB38" s="594">
        <f t="shared" si="24"/>
        <v>9.1</v>
      </c>
      <c r="CC38" s="852">
        <v>10</v>
      </c>
      <c r="CD38" s="185">
        <v>9</v>
      </c>
      <c r="CE38" s="185"/>
      <c r="CF38" s="186"/>
      <c r="CG38" s="187">
        <v>10</v>
      </c>
      <c r="CH38" s="188">
        <v>10</v>
      </c>
      <c r="CI38" s="411">
        <f t="shared" si="25"/>
        <v>9.9</v>
      </c>
      <c r="CJ38" s="190" t="s">
        <v>800</v>
      </c>
      <c r="CK38" s="214" t="s">
        <v>800</v>
      </c>
      <c r="CL38" s="214" t="s">
        <v>800</v>
      </c>
      <c r="CM38" s="215"/>
      <c r="CN38" s="216" t="s">
        <v>800</v>
      </c>
      <c r="CO38" s="193" t="s">
        <v>800</v>
      </c>
      <c r="CP38" s="595" t="str">
        <f t="shared" si="26"/>
        <v>Đ</v>
      </c>
      <c r="CQ38" s="848">
        <v>10</v>
      </c>
      <c r="CR38" s="185">
        <v>9</v>
      </c>
      <c r="CS38" s="185"/>
      <c r="CT38" s="186"/>
      <c r="CU38" s="187">
        <v>10</v>
      </c>
      <c r="CV38" s="188">
        <v>10</v>
      </c>
      <c r="CW38" s="411">
        <f t="shared" si="27"/>
        <v>9.9</v>
      </c>
      <c r="CX38" s="184"/>
      <c r="CY38" s="185"/>
      <c r="CZ38" s="185"/>
      <c r="DA38" s="186"/>
      <c r="DB38" s="187"/>
      <c r="DC38" s="188"/>
      <c r="DD38" s="594" t="str">
        <f t="shared" si="28"/>
        <v/>
      </c>
      <c r="DE38" s="194"/>
      <c r="DF38" s="182"/>
      <c r="DG38" s="183"/>
      <c r="DH38" s="195"/>
      <c r="DI38" s="30" t="str">
        <f t="shared" si="29"/>
        <v>12A1Phạm ĐứcTrung07/10/2004</v>
      </c>
    </row>
    <row r="39" spans="1:113" s="30" customFormat="1" ht="15.9" customHeight="1">
      <c r="B39" s="111">
        <f>IF(C39&lt;&gt;"",MAX($B$4:B38)+1,"")</f>
        <v>36</v>
      </c>
      <c r="C39" s="196" t="s">
        <v>681</v>
      </c>
      <c r="D39" s="197" t="s">
        <v>797</v>
      </c>
      <c r="E39" s="198" t="s">
        <v>798</v>
      </c>
      <c r="F39" s="199" t="s">
        <v>799</v>
      </c>
      <c r="G39" s="453" t="s">
        <v>165</v>
      </c>
      <c r="H39" s="196" t="s">
        <v>6</v>
      </c>
      <c r="I39" s="196"/>
      <c r="J39" s="196"/>
      <c r="K39" s="849">
        <v>10</v>
      </c>
      <c r="L39" s="202">
        <v>10</v>
      </c>
      <c r="M39" s="202">
        <v>10</v>
      </c>
      <c r="N39" s="203">
        <v>10</v>
      </c>
      <c r="O39" s="204">
        <v>9.6</v>
      </c>
      <c r="P39" s="205">
        <v>9.4</v>
      </c>
      <c r="Q39" s="413">
        <f t="shared" si="15"/>
        <v>9.6999999999999993</v>
      </c>
      <c r="R39" s="849">
        <v>10</v>
      </c>
      <c r="S39" s="155">
        <v>10</v>
      </c>
      <c r="T39" s="202">
        <v>10</v>
      </c>
      <c r="U39" s="203">
        <v>10</v>
      </c>
      <c r="V39" s="204">
        <v>10</v>
      </c>
      <c r="W39" s="205">
        <v>9.8000000000000007</v>
      </c>
      <c r="X39" s="596">
        <f t="shared" si="16"/>
        <v>9.9</v>
      </c>
      <c r="Y39" s="849">
        <v>10</v>
      </c>
      <c r="Z39" s="155">
        <v>10</v>
      </c>
      <c r="AA39" s="202">
        <v>10</v>
      </c>
      <c r="AB39" s="203">
        <v>10</v>
      </c>
      <c r="AC39" s="204">
        <v>9.6</v>
      </c>
      <c r="AD39" s="205">
        <v>9.5</v>
      </c>
      <c r="AE39" s="413">
        <f t="shared" si="17"/>
        <v>9.6999999999999993</v>
      </c>
      <c r="AF39" s="849">
        <v>10</v>
      </c>
      <c r="AG39" s="155">
        <v>10</v>
      </c>
      <c r="AH39" s="202">
        <v>9.8000000000000007</v>
      </c>
      <c r="AI39" s="203"/>
      <c r="AJ39" s="204">
        <v>8</v>
      </c>
      <c r="AK39" s="205">
        <v>9.8000000000000007</v>
      </c>
      <c r="AL39" s="596">
        <f t="shared" si="18"/>
        <v>9.4</v>
      </c>
      <c r="AM39" s="849">
        <v>10</v>
      </c>
      <c r="AN39" s="202">
        <v>10</v>
      </c>
      <c r="AO39" s="202">
        <v>10</v>
      </c>
      <c r="AP39" s="203"/>
      <c r="AQ39" s="204">
        <v>9</v>
      </c>
      <c r="AR39" s="205">
        <v>10</v>
      </c>
      <c r="AS39" s="413">
        <f t="shared" si="19"/>
        <v>9.8000000000000007</v>
      </c>
      <c r="AT39" s="849">
        <v>9</v>
      </c>
      <c r="AU39" s="202">
        <v>9</v>
      </c>
      <c r="AV39" s="202">
        <v>7</v>
      </c>
      <c r="AW39" s="203">
        <v>7</v>
      </c>
      <c r="AX39" s="204">
        <v>7.3</v>
      </c>
      <c r="AY39" s="205">
        <v>7.8</v>
      </c>
      <c r="AZ39" s="596">
        <f t="shared" si="20"/>
        <v>7.8</v>
      </c>
      <c r="BA39" s="849">
        <v>10</v>
      </c>
      <c r="BB39" s="202">
        <v>9</v>
      </c>
      <c r="BC39" s="202">
        <v>10</v>
      </c>
      <c r="BD39" s="203"/>
      <c r="BE39" s="204">
        <v>10</v>
      </c>
      <c r="BF39" s="205">
        <v>9.8000000000000007</v>
      </c>
      <c r="BG39" s="413">
        <f t="shared" si="21"/>
        <v>9.8000000000000007</v>
      </c>
      <c r="BH39" s="849">
        <v>10</v>
      </c>
      <c r="BI39" s="202">
        <v>9</v>
      </c>
      <c r="BJ39" s="202">
        <v>10</v>
      </c>
      <c r="BK39" s="203"/>
      <c r="BL39" s="204">
        <v>10</v>
      </c>
      <c r="BM39" s="205">
        <v>10</v>
      </c>
      <c r="BN39" s="596">
        <f t="shared" si="22"/>
        <v>9.9</v>
      </c>
      <c r="BO39" s="849">
        <v>10</v>
      </c>
      <c r="BP39" s="202">
        <v>9</v>
      </c>
      <c r="BQ39" s="202">
        <v>10</v>
      </c>
      <c r="BR39" s="203">
        <v>10</v>
      </c>
      <c r="BS39" s="204">
        <v>9</v>
      </c>
      <c r="BT39" s="205">
        <v>9.8000000000000007</v>
      </c>
      <c r="BU39" s="413">
        <f t="shared" si="23"/>
        <v>9.6</v>
      </c>
      <c r="BV39" s="849">
        <v>9</v>
      </c>
      <c r="BW39" s="202">
        <v>10</v>
      </c>
      <c r="BX39" s="202"/>
      <c r="BY39" s="203"/>
      <c r="BZ39" s="204">
        <v>10</v>
      </c>
      <c r="CA39" s="205">
        <v>9.8000000000000007</v>
      </c>
      <c r="CB39" s="596">
        <f t="shared" si="24"/>
        <v>9.8000000000000007</v>
      </c>
      <c r="CC39" s="853">
        <v>10</v>
      </c>
      <c r="CD39" s="202">
        <v>9</v>
      </c>
      <c r="CE39" s="202"/>
      <c r="CF39" s="203"/>
      <c r="CG39" s="204">
        <v>10</v>
      </c>
      <c r="CH39" s="205">
        <v>10</v>
      </c>
      <c r="CI39" s="413">
        <f t="shared" si="25"/>
        <v>9.9</v>
      </c>
      <c r="CJ39" s="159" t="s">
        <v>800</v>
      </c>
      <c r="CK39" s="207" t="s">
        <v>800</v>
      </c>
      <c r="CL39" s="207" t="s">
        <v>800</v>
      </c>
      <c r="CM39" s="208"/>
      <c r="CN39" s="209" t="s">
        <v>800</v>
      </c>
      <c r="CO39" s="210" t="s">
        <v>800</v>
      </c>
      <c r="CP39" s="597" t="str">
        <f t="shared" si="26"/>
        <v>Đ</v>
      </c>
      <c r="CQ39" s="849">
        <v>10</v>
      </c>
      <c r="CR39" s="202">
        <v>9</v>
      </c>
      <c r="CS39" s="202"/>
      <c r="CT39" s="203"/>
      <c r="CU39" s="204">
        <v>10</v>
      </c>
      <c r="CV39" s="205">
        <v>10</v>
      </c>
      <c r="CW39" s="413">
        <f t="shared" si="27"/>
        <v>9.9</v>
      </c>
      <c r="CX39" s="201"/>
      <c r="CY39" s="202"/>
      <c r="CZ39" s="202"/>
      <c r="DA39" s="203"/>
      <c r="DB39" s="204"/>
      <c r="DC39" s="205"/>
      <c r="DD39" s="596" t="str">
        <f t="shared" si="28"/>
        <v/>
      </c>
      <c r="DE39" s="211"/>
      <c r="DF39" s="199"/>
      <c r="DG39" s="200"/>
      <c r="DH39" s="212"/>
      <c r="DI39" s="30" t="str">
        <f t="shared" si="29"/>
        <v>12A1Võ ThủyVân30/10/2004</v>
      </c>
    </row>
    <row r="40" spans="1:113" s="30" customFormat="1" ht="15.9" customHeight="1">
      <c r="B40" s="99" t="str">
        <f>IF(C40&lt;&gt;"",MAX($B$4:B39)+1,"")</f>
        <v/>
      </c>
      <c r="C40" s="166"/>
      <c r="D40" s="167"/>
      <c r="E40" s="168"/>
      <c r="F40" s="163"/>
      <c r="G40" s="451"/>
      <c r="H40" s="166"/>
      <c r="I40" s="166"/>
      <c r="J40" s="166"/>
      <c r="K40" s="169"/>
      <c r="L40" s="170"/>
      <c r="M40" s="170"/>
      <c r="N40" s="171"/>
      <c r="O40" s="172"/>
      <c r="P40" s="173"/>
      <c r="Q40" s="409" t="str">
        <f t="shared" si="15"/>
        <v/>
      </c>
      <c r="R40" s="169"/>
      <c r="S40" s="170"/>
      <c r="T40" s="170"/>
      <c r="U40" s="171"/>
      <c r="V40" s="172"/>
      <c r="W40" s="173"/>
      <c r="X40" s="592" t="str">
        <f t="shared" si="16"/>
        <v/>
      </c>
      <c r="Y40" s="169"/>
      <c r="Z40" s="170"/>
      <c r="AA40" s="170"/>
      <c r="AB40" s="171"/>
      <c r="AC40" s="172"/>
      <c r="AD40" s="173"/>
      <c r="AE40" s="409" t="str">
        <f t="shared" si="17"/>
        <v/>
      </c>
      <c r="AF40" s="169"/>
      <c r="AG40" s="170"/>
      <c r="AH40" s="170"/>
      <c r="AI40" s="171"/>
      <c r="AJ40" s="172"/>
      <c r="AK40" s="173"/>
      <c r="AL40" s="592" t="str">
        <f t="shared" si="18"/>
        <v/>
      </c>
      <c r="AM40" s="169"/>
      <c r="AN40" s="170"/>
      <c r="AO40" s="170"/>
      <c r="AP40" s="171"/>
      <c r="AQ40" s="172"/>
      <c r="AR40" s="173"/>
      <c r="AS40" s="409" t="str">
        <f t="shared" si="19"/>
        <v/>
      </c>
      <c r="AT40" s="169"/>
      <c r="AU40" s="170"/>
      <c r="AV40" s="170"/>
      <c r="AW40" s="171"/>
      <c r="AX40" s="172"/>
      <c r="AY40" s="173"/>
      <c r="AZ40" s="592" t="str">
        <f t="shared" si="20"/>
        <v/>
      </c>
      <c r="BA40" s="169"/>
      <c r="BB40" s="170"/>
      <c r="BC40" s="170"/>
      <c r="BD40" s="171"/>
      <c r="BE40" s="172"/>
      <c r="BF40" s="173"/>
      <c r="BG40" s="409" t="str">
        <f t="shared" si="21"/>
        <v/>
      </c>
      <c r="BH40" s="169"/>
      <c r="BI40" s="170"/>
      <c r="BJ40" s="170"/>
      <c r="BK40" s="171"/>
      <c r="BL40" s="172"/>
      <c r="BM40" s="173"/>
      <c r="BN40" s="592" t="str">
        <f t="shared" si="22"/>
        <v/>
      </c>
      <c r="BO40" s="169"/>
      <c r="BP40" s="170"/>
      <c r="BQ40" s="170"/>
      <c r="BR40" s="171"/>
      <c r="BS40" s="172"/>
      <c r="BT40" s="173"/>
      <c r="BU40" s="409" t="str">
        <f t="shared" si="23"/>
        <v/>
      </c>
      <c r="BV40" s="169"/>
      <c r="BW40" s="170"/>
      <c r="BX40" s="170"/>
      <c r="BY40" s="171"/>
      <c r="BZ40" s="172"/>
      <c r="CA40" s="173"/>
      <c r="CB40" s="592" t="str">
        <f t="shared" si="24"/>
        <v/>
      </c>
      <c r="CC40" s="169"/>
      <c r="CD40" s="170"/>
      <c r="CE40" s="170"/>
      <c r="CF40" s="171"/>
      <c r="CG40" s="172"/>
      <c r="CH40" s="173"/>
      <c r="CI40" s="409" t="str">
        <f t="shared" si="25"/>
        <v/>
      </c>
      <c r="CJ40" s="174"/>
      <c r="CK40" s="207"/>
      <c r="CL40" s="207"/>
      <c r="CM40" s="208"/>
      <c r="CN40" s="209"/>
      <c r="CO40" s="178"/>
      <c r="CP40" s="593" t="str">
        <f t="shared" si="26"/>
        <v/>
      </c>
      <c r="CQ40" s="169"/>
      <c r="CR40" s="170"/>
      <c r="CS40" s="170"/>
      <c r="CT40" s="171"/>
      <c r="CU40" s="172"/>
      <c r="CV40" s="173"/>
      <c r="CW40" s="409" t="str">
        <f t="shared" si="27"/>
        <v/>
      </c>
      <c r="CX40" s="169"/>
      <c r="CY40" s="170"/>
      <c r="CZ40" s="170"/>
      <c r="DA40" s="171"/>
      <c r="DB40" s="172"/>
      <c r="DC40" s="173"/>
      <c r="DD40" s="592" t="str">
        <f t="shared" si="28"/>
        <v/>
      </c>
      <c r="DE40" s="162"/>
      <c r="DF40" s="163"/>
      <c r="DG40" s="164"/>
      <c r="DH40" s="165"/>
      <c r="DI40" s="30" t="str">
        <f t="shared" si="29"/>
        <v/>
      </c>
    </row>
    <row r="41" spans="1:113" s="30" customFormat="1" ht="15.9" customHeight="1">
      <c r="B41" s="99" t="str">
        <f>IF(C41&lt;&gt;"",MAX($B$4:B40)+1,"")</f>
        <v/>
      </c>
      <c r="C41" s="166"/>
      <c r="D41" s="167"/>
      <c r="E41" s="168"/>
      <c r="F41" s="163"/>
      <c r="G41" s="451"/>
      <c r="H41" s="166"/>
      <c r="I41" s="166"/>
      <c r="J41" s="166"/>
      <c r="K41" s="169"/>
      <c r="L41" s="170"/>
      <c r="M41" s="170"/>
      <c r="N41" s="171"/>
      <c r="O41" s="172"/>
      <c r="P41" s="173"/>
      <c r="Q41" s="409" t="str">
        <f t="shared" si="15"/>
        <v/>
      </c>
      <c r="R41" s="169"/>
      <c r="S41" s="170"/>
      <c r="T41" s="170"/>
      <c r="U41" s="171"/>
      <c r="V41" s="172"/>
      <c r="W41" s="173"/>
      <c r="X41" s="592" t="str">
        <f t="shared" si="16"/>
        <v/>
      </c>
      <c r="Y41" s="169"/>
      <c r="Z41" s="170"/>
      <c r="AA41" s="170"/>
      <c r="AB41" s="171"/>
      <c r="AC41" s="172"/>
      <c r="AD41" s="173"/>
      <c r="AE41" s="409" t="str">
        <f t="shared" si="17"/>
        <v/>
      </c>
      <c r="AF41" s="169"/>
      <c r="AG41" s="170"/>
      <c r="AH41" s="170"/>
      <c r="AI41" s="171"/>
      <c r="AJ41" s="172"/>
      <c r="AK41" s="173"/>
      <c r="AL41" s="592" t="str">
        <f t="shared" si="18"/>
        <v/>
      </c>
      <c r="AM41" s="169"/>
      <c r="AN41" s="170"/>
      <c r="AO41" s="170"/>
      <c r="AP41" s="171"/>
      <c r="AQ41" s="172"/>
      <c r="AR41" s="173"/>
      <c r="AS41" s="409" t="str">
        <f t="shared" si="19"/>
        <v/>
      </c>
      <c r="AT41" s="169"/>
      <c r="AU41" s="170"/>
      <c r="AV41" s="170"/>
      <c r="AW41" s="171"/>
      <c r="AX41" s="172"/>
      <c r="AY41" s="173"/>
      <c r="AZ41" s="592" t="str">
        <f t="shared" si="20"/>
        <v/>
      </c>
      <c r="BA41" s="169"/>
      <c r="BB41" s="170"/>
      <c r="BC41" s="170"/>
      <c r="BD41" s="171"/>
      <c r="BE41" s="172"/>
      <c r="BF41" s="173"/>
      <c r="BG41" s="409" t="str">
        <f t="shared" si="21"/>
        <v/>
      </c>
      <c r="BH41" s="169"/>
      <c r="BI41" s="170"/>
      <c r="BJ41" s="170"/>
      <c r="BK41" s="171"/>
      <c r="BL41" s="172"/>
      <c r="BM41" s="173"/>
      <c r="BN41" s="592" t="str">
        <f t="shared" si="22"/>
        <v/>
      </c>
      <c r="BO41" s="169"/>
      <c r="BP41" s="170"/>
      <c r="BQ41" s="170"/>
      <c r="BR41" s="171"/>
      <c r="BS41" s="172"/>
      <c r="BT41" s="173"/>
      <c r="BU41" s="409" t="str">
        <f t="shared" si="23"/>
        <v/>
      </c>
      <c r="BV41" s="169"/>
      <c r="BW41" s="170"/>
      <c r="BX41" s="170"/>
      <c r="BY41" s="171"/>
      <c r="BZ41" s="172"/>
      <c r="CA41" s="173"/>
      <c r="CB41" s="592" t="str">
        <f t="shared" si="24"/>
        <v/>
      </c>
      <c r="CC41" s="169"/>
      <c r="CD41" s="170"/>
      <c r="CE41" s="170"/>
      <c r="CF41" s="171"/>
      <c r="CG41" s="172"/>
      <c r="CH41" s="173"/>
      <c r="CI41" s="409" t="str">
        <f t="shared" si="25"/>
        <v/>
      </c>
      <c r="CJ41" s="174"/>
      <c r="CK41" s="175"/>
      <c r="CL41" s="175"/>
      <c r="CM41" s="176"/>
      <c r="CN41" s="177"/>
      <c r="CO41" s="178"/>
      <c r="CP41" s="593" t="str">
        <f t="shared" si="26"/>
        <v/>
      </c>
      <c r="CQ41" s="169"/>
      <c r="CR41" s="170"/>
      <c r="CS41" s="170"/>
      <c r="CT41" s="171"/>
      <c r="CU41" s="172"/>
      <c r="CV41" s="173"/>
      <c r="CW41" s="409" t="str">
        <f t="shared" si="27"/>
        <v/>
      </c>
      <c r="CX41" s="169"/>
      <c r="CY41" s="170"/>
      <c r="CZ41" s="170"/>
      <c r="DA41" s="171"/>
      <c r="DB41" s="172"/>
      <c r="DC41" s="173"/>
      <c r="DD41" s="592" t="str">
        <f t="shared" si="28"/>
        <v/>
      </c>
      <c r="DE41" s="162"/>
      <c r="DF41" s="163"/>
      <c r="DG41" s="164"/>
      <c r="DH41" s="165"/>
      <c r="DI41" s="30" t="str">
        <f t="shared" si="29"/>
        <v/>
      </c>
    </row>
    <row r="42" spans="1:113" s="30" customFormat="1" ht="15.9" customHeight="1">
      <c r="B42" s="99" t="str">
        <f>IF(C42&lt;&gt;"",MAX($B$4:B41)+1,"")</f>
        <v/>
      </c>
      <c r="C42" s="166"/>
      <c r="D42" s="167"/>
      <c r="E42" s="168"/>
      <c r="F42" s="163"/>
      <c r="G42" s="451"/>
      <c r="H42" s="166"/>
      <c r="I42" s="166"/>
      <c r="J42" s="166"/>
      <c r="K42" s="169"/>
      <c r="L42" s="170"/>
      <c r="M42" s="170"/>
      <c r="N42" s="171"/>
      <c r="O42" s="172"/>
      <c r="P42" s="173"/>
      <c r="Q42" s="409" t="str">
        <f t="shared" si="15"/>
        <v/>
      </c>
      <c r="R42" s="169"/>
      <c r="S42" s="170"/>
      <c r="T42" s="170"/>
      <c r="U42" s="171"/>
      <c r="V42" s="172"/>
      <c r="W42" s="173"/>
      <c r="X42" s="592" t="str">
        <f t="shared" si="16"/>
        <v/>
      </c>
      <c r="Y42" s="169"/>
      <c r="Z42" s="170"/>
      <c r="AA42" s="170"/>
      <c r="AB42" s="171"/>
      <c r="AC42" s="172"/>
      <c r="AD42" s="173"/>
      <c r="AE42" s="409" t="str">
        <f t="shared" si="17"/>
        <v/>
      </c>
      <c r="AF42" s="169"/>
      <c r="AG42" s="170"/>
      <c r="AH42" s="170"/>
      <c r="AI42" s="171"/>
      <c r="AJ42" s="172"/>
      <c r="AK42" s="173"/>
      <c r="AL42" s="592" t="str">
        <f t="shared" si="18"/>
        <v/>
      </c>
      <c r="AM42" s="169"/>
      <c r="AN42" s="170"/>
      <c r="AO42" s="170"/>
      <c r="AP42" s="171"/>
      <c r="AQ42" s="172"/>
      <c r="AR42" s="173"/>
      <c r="AS42" s="409" t="str">
        <f t="shared" si="19"/>
        <v/>
      </c>
      <c r="AT42" s="169"/>
      <c r="AU42" s="170"/>
      <c r="AV42" s="170"/>
      <c r="AW42" s="171"/>
      <c r="AX42" s="172"/>
      <c r="AY42" s="173"/>
      <c r="AZ42" s="592" t="str">
        <f t="shared" si="20"/>
        <v/>
      </c>
      <c r="BA42" s="169"/>
      <c r="BB42" s="170"/>
      <c r="BC42" s="170"/>
      <c r="BD42" s="171"/>
      <c r="BE42" s="172"/>
      <c r="BF42" s="173"/>
      <c r="BG42" s="409" t="str">
        <f t="shared" si="21"/>
        <v/>
      </c>
      <c r="BH42" s="169"/>
      <c r="BI42" s="170"/>
      <c r="BJ42" s="170"/>
      <c r="BK42" s="171"/>
      <c r="BL42" s="172"/>
      <c r="BM42" s="173"/>
      <c r="BN42" s="592" t="str">
        <f t="shared" si="22"/>
        <v/>
      </c>
      <c r="BO42" s="169"/>
      <c r="BP42" s="170"/>
      <c r="BQ42" s="170"/>
      <c r="BR42" s="171"/>
      <c r="BS42" s="172"/>
      <c r="BT42" s="173"/>
      <c r="BU42" s="409" t="str">
        <f t="shared" si="23"/>
        <v/>
      </c>
      <c r="BV42" s="169"/>
      <c r="BW42" s="170"/>
      <c r="BX42" s="170"/>
      <c r="BY42" s="171"/>
      <c r="BZ42" s="172"/>
      <c r="CA42" s="173"/>
      <c r="CB42" s="592" t="str">
        <f t="shared" si="24"/>
        <v/>
      </c>
      <c r="CC42" s="169"/>
      <c r="CD42" s="170"/>
      <c r="CE42" s="170"/>
      <c r="CF42" s="171"/>
      <c r="CG42" s="172"/>
      <c r="CH42" s="173"/>
      <c r="CI42" s="409" t="str">
        <f t="shared" si="25"/>
        <v/>
      </c>
      <c r="CJ42" s="206"/>
      <c r="CK42" s="175"/>
      <c r="CL42" s="175"/>
      <c r="CM42" s="176"/>
      <c r="CN42" s="177"/>
      <c r="CO42" s="178"/>
      <c r="CP42" s="593" t="str">
        <f t="shared" si="26"/>
        <v/>
      </c>
      <c r="CQ42" s="169"/>
      <c r="CR42" s="170"/>
      <c r="CS42" s="170"/>
      <c r="CT42" s="171"/>
      <c r="CU42" s="172"/>
      <c r="CV42" s="173"/>
      <c r="CW42" s="409" t="str">
        <f t="shared" si="27"/>
        <v/>
      </c>
      <c r="CX42" s="169"/>
      <c r="CY42" s="170"/>
      <c r="CZ42" s="170"/>
      <c r="DA42" s="171"/>
      <c r="DB42" s="172"/>
      <c r="DC42" s="173"/>
      <c r="DD42" s="592" t="str">
        <f t="shared" si="28"/>
        <v/>
      </c>
      <c r="DE42" s="162"/>
      <c r="DF42" s="163"/>
      <c r="DG42" s="164"/>
      <c r="DH42" s="165"/>
      <c r="DI42" s="30" t="str">
        <f t="shared" si="29"/>
        <v/>
      </c>
    </row>
    <row r="43" spans="1:113" s="30" customFormat="1" ht="15.9" customHeight="1">
      <c r="B43" s="105" t="str">
        <f>IF(C43&lt;&gt;"",MAX($B$4:B42)+1,"")</f>
        <v/>
      </c>
      <c r="C43" s="179"/>
      <c r="D43" s="180"/>
      <c r="E43" s="181"/>
      <c r="F43" s="182"/>
      <c r="G43" s="452"/>
      <c r="H43" s="179"/>
      <c r="I43" s="179"/>
      <c r="J43" s="179"/>
      <c r="K43" s="184"/>
      <c r="L43" s="185"/>
      <c r="M43" s="185"/>
      <c r="N43" s="186"/>
      <c r="O43" s="187"/>
      <c r="P43" s="188"/>
      <c r="Q43" s="411" t="str">
        <f t="shared" si="15"/>
        <v/>
      </c>
      <c r="R43" s="184"/>
      <c r="S43" s="185"/>
      <c r="T43" s="185"/>
      <c r="U43" s="186"/>
      <c r="V43" s="187"/>
      <c r="W43" s="188"/>
      <c r="X43" s="594" t="str">
        <f t="shared" si="16"/>
        <v/>
      </c>
      <c r="Y43" s="184"/>
      <c r="Z43" s="185"/>
      <c r="AA43" s="185"/>
      <c r="AB43" s="186"/>
      <c r="AC43" s="187"/>
      <c r="AD43" s="188"/>
      <c r="AE43" s="411" t="str">
        <f t="shared" si="17"/>
        <v/>
      </c>
      <c r="AF43" s="184"/>
      <c r="AG43" s="185"/>
      <c r="AH43" s="185"/>
      <c r="AI43" s="186"/>
      <c r="AJ43" s="187"/>
      <c r="AK43" s="188"/>
      <c r="AL43" s="594" t="str">
        <f t="shared" si="18"/>
        <v/>
      </c>
      <c r="AM43" s="184"/>
      <c r="AN43" s="185"/>
      <c r="AO43" s="185"/>
      <c r="AP43" s="186"/>
      <c r="AQ43" s="187"/>
      <c r="AR43" s="188"/>
      <c r="AS43" s="411" t="str">
        <f t="shared" si="19"/>
        <v/>
      </c>
      <c r="AT43" s="184"/>
      <c r="AU43" s="185"/>
      <c r="AV43" s="185"/>
      <c r="AW43" s="186"/>
      <c r="AX43" s="187"/>
      <c r="AY43" s="188"/>
      <c r="AZ43" s="594" t="str">
        <f t="shared" si="20"/>
        <v/>
      </c>
      <c r="BA43" s="184"/>
      <c r="BB43" s="185"/>
      <c r="BC43" s="185"/>
      <c r="BD43" s="186"/>
      <c r="BE43" s="187"/>
      <c r="BF43" s="188"/>
      <c r="BG43" s="411" t="str">
        <f t="shared" si="21"/>
        <v/>
      </c>
      <c r="BH43" s="184"/>
      <c r="BI43" s="185"/>
      <c r="BJ43" s="185"/>
      <c r="BK43" s="186"/>
      <c r="BL43" s="187"/>
      <c r="BM43" s="188"/>
      <c r="BN43" s="594" t="str">
        <f t="shared" si="22"/>
        <v/>
      </c>
      <c r="BO43" s="184"/>
      <c r="BP43" s="185"/>
      <c r="BQ43" s="185"/>
      <c r="BR43" s="186"/>
      <c r="BS43" s="187"/>
      <c r="BT43" s="188"/>
      <c r="BU43" s="411" t="str">
        <f t="shared" si="23"/>
        <v/>
      </c>
      <c r="BV43" s="184"/>
      <c r="BW43" s="185"/>
      <c r="BX43" s="185"/>
      <c r="BY43" s="186"/>
      <c r="BZ43" s="187"/>
      <c r="CA43" s="188"/>
      <c r="CB43" s="594" t="str">
        <f t="shared" si="24"/>
        <v/>
      </c>
      <c r="CC43" s="184"/>
      <c r="CD43" s="185"/>
      <c r="CE43" s="185"/>
      <c r="CF43" s="186"/>
      <c r="CG43" s="187"/>
      <c r="CH43" s="188"/>
      <c r="CI43" s="411" t="str">
        <f t="shared" si="25"/>
        <v/>
      </c>
      <c r="CJ43" s="213"/>
      <c r="CK43" s="214"/>
      <c r="CL43" s="214"/>
      <c r="CM43" s="215"/>
      <c r="CN43" s="216"/>
      <c r="CO43" s="193"/>
      <c r="CP43" s="595" t="str">
        <f t="shared" si="26"/>
        <v/>
      </c>
      <c r="CQ43" s="184"/>
      <c r="CR43" s="185"/>
      <c r="CS43" s="185"/>
      <c r="CT43" s="186"/>
      <c r="CU43" s="187"/>
      <c r="CV43" s="188"/>
      <c r="CW43" s="411" t="str">
        <f t="shared" si="27"/>
        <v/>
      </c>
      <c r="CX43" s="184"/>
      <c r="CY43" s="185"/>
      <c r="CZ43" s="185"/>
      <c r="DA43" s="186"/>
      <c r="DB43" s="187"/>
      <c r="DC43" s="188"/>
      <c r="DD43" s="594" t="str">
        <f t="shared" si="28"/>
        <v/>
      </c>
      <c r="DE43" s="194"/>
      <c r="DF43" s="182"/>
      <c r="DG43" s="183"/>
      <c r="DH43" s="195"/>
      <c r="DI43" s="30" t="str">
        <f t="shared" si="29"/>
        <v/>
      </c>
    </row>
    <row r="44" spans="1:113" s="30" customFormat="1" ht="15.9" customHeight="1">
      <c r="B44" s="111" t="str">
        <f>IF(C44&lt;&gt;"",MAX($B$4:B43)+1,"")</f>
        <v/>
      </c>
      <c r="C44" s="196"/>
      <c r="D44" s="197"/>
      <c r="E44" s="198"/>
      <c r="F44" s="199"/>
      <c r="G44" s="453"/>
      <c r="H44" s="196"/>
      <c r="I44" s="196"/>
      <c r="J44" s="196"/>
      <c r="K44" s="201"/>
      <c r="L44" s="202"/>
      <c r="M44" s="202"/>
      <c r="N44" s="203"/>
      <c r="O44" s="204"/>
      <c r="P44" s="205"/>
      <c r="Q44" s="413" t="str">
        <f t="shared" si="15"/>
        <v/>
      </c>
      <c r="R44" s="201"/>
      <c r="S44" s="202"/>
      <c r="T44" s="202"/>
      <c r="U44" s="203"/>
      <c r="V44" s="204"/>
      <c r="W44" s="205"/>
      <c r="X44" s="596" t="str">
        <f t="shared" si="16"/>
        <v/>
      </c>
      <c r="Y44" s="201"/>
      <c r="Z44" s="202"/>
      <c r="AA44" s="202"/>
      <c r="AB44" s="203"/>
      <c r="AC44" s="204"/>
      <c r="AD44" s="205"/>
      <c r="AE44" s="413" t="str">
        <f t="shared" si="17"/>
        <v/>
      </c>
      <c r="AF44" s="201"/>
      <c r="AG44" s="202"/>
      <c r="AH44" s="202"/>
      <c r="AI44" s="203"/>
      <c r="AJ44" s="204"/>
      <c r="AK44" s="205"/>
      <c r="AL44" s="596" t="str">
        <f t="shared" si="18"/>
        <v/>
      </c>
      <c r="AM44" s="201"/>
      <c r="AN44" s="202"/>
      <c r="AO44" s="202"/>
      <c r="AP44" s="203"/>
      <c r="AQ44" s="204"/>
      <c r="AR44" s="205"/>
      <c r="AS44" s="413" t="str">
        <f t="shared" si="19"/>
        <v/>
      </c>
      <c r="AT44" s="201"/>
      <c r="AU44" s="202"/>
      <c r="AV44" s="202"/>
      <c r="AW44" s="203"/>
      <c r="AX44" s="204"/>
      <c r="AY44" s="205"/>
      <c r="AZ44" s="596" t="str">
        <f t="shared" si="20"/>
        <v/>
      </c>
      <c r="BA44" s="201"/>
      <c r="BB44" s="202"/>
      <c r="BC44" s="202"/>
      <c r="BD44" s="203"/>
      <c r="BE44" s="204"/>
      <c r="BF44" s="205"/>
      <c r="BG44" s="413" t="str">
        <f t="shared" si="21"/>
        <v/>
      </c>
      <c r="BH44" s="201"/>
      <c r="BI44" s="202"/>
      <c r="BJ44" s="202"/>
      <c r="BK44" s="203"/>
      <c r="BL44" s="204"/>
      <c r="BM44" s="205"/>
      <c r="BN44" s="596" t="str">
        <f t="shared" si="22"/>
        <v/>
      </c>
      <c r="BO44" s="201"/>
      <c r="BP44" s="202"/>
      <c r="BQ44" s="202"/>
      <c r="BR44" s="203"/>
      <c r="BS44" s="204"/>
      <c r="BT44" s="205"/>
      <c r="BU44" s="413" t="str">
        <f t="shared" si="23"/>
        <v/>
      </c>
      <c r="BV44" s="201"/>
      <c r="BW44" s="202"/>
      <c r="BX44" s="202"/>
      <c r="BY44" s="203"/>
      <c r="BZ44" s="204"/>
      <c r="CA44" s="205"/>
      <c r="CB44" s="596" t="str">
        <f t="shared" si="24"/>
        <v/>
      </c>
      <c r="CC44" s="201"/>
      <c r="CD44" s="202"/>
      <c r="CE44" s="202"/>
      <c r="CF44" s="203"/>
      <c r="CG44" s="204"/>
      <c r="CH44" s="205"/>
      <c r="CI44" s="413" t="str">
        <f t="shared" si="25"/>
        <v/>
      </c>
      <c r="CJ44" s="206"/>
      <c r="CK44" s="207"/>
      <c r="CL44" s="207"/>
      <c r="CM44" s="208"/>
      <c r="CN44" s="209"/>
      <c r="CO44" s="210"/>
      <c r="CP44" s="597" t="str">
        <f t="shared" si="26"/>
        <v/>
      </c>
      <c r="CQ44" s="201"/>
      <c r="CR44" s="202"/>
      <c r="CS44" s="202"/>
      <c r="CT44" s="203"/>
      <c r="CU44" s="204"/>
      <c r="CV44" s="205"/>
      <c r="CW44" s="413" t="str">
        <f t="shared" si="27"/>
        <v/>
      </c>
      <c r="CX44" s="201"/>
      <c r="CY44" s="202"/>
      <c r="CZ44" s="202"/>
      <c r="DA44" s="203"/>
      <c r="DB44" s="204"/>
      <c r="DC44" s="205"/>
      <c r="DD44" s="596" t="str">
        <f t="shared" si="28"/>
        <v/>
      </c>
      <c r="DE44" s="211"/>
      <c r="DF44" s="199"/>
      <c r="DG44" s="200"/>
      <c r="DH44" s="212"/>
      <c r="DI44" s="30" t="str">
        <f t="shared" si="29"/>
        <v/>
      </c>
    </row>
    <row r="45" spans="1:113" s="30" customFormat="1" ht="15.9" customHeight="1">
      <c r="B45" s="99" t="str">
        <f>IF(C45&lt;&gt;"",MAX($B$4:B44)+1,"")</f>
        <v/>
      </c>
      <c r="C45" s="166"/>
      <c r="D45" s="167"/>
      <c r="E45" s="168"/>
      <c r="F45" s="163"/>
      <c r="G45" s="451"/>
      <c r="H45" s="166"/>
      <c r="I45" s="166"/>
      <c r="J45" s="166"/>
      <c r="K45" s="169"/>
      <c r="L45" s="170"/>
      <c r="M45" s="170"/>
      <c r="N45" s="171"/>
      <c r="O45" s="172"/>
      <c r="P45" s="173"/>
      <c r="Q45" s="409" t="str">
        <f t="shared" si="15"/>
        <v/>
      </c>
      <c r="R45" s="169"/>
      <c r="S45" s="170"/>
      <c r="T45" s="170"/>
      <c r="U45" s="171"/>
      <c r="V45" s="172"/>
      <c r="W45" s="173"/>
      <c r="X45" s="592" t="str">
        <f t="shared" si="16"/>
        <v/>
      </c>
      <c r="Y45" s="169"/>
      <c r="Z45" s="170"/>
      <c r="AA45" s="170"/>
      <c r="AB45" s="171"/>
      <c r="AC45" s="172"/>
      <c r="AD45" s="173"/>
      <c r="AE45" s="409" t="str">
        <f t="shared" si="17"/>
        <v/>
      </c>
      <c r="AF45" s="169"/>
      <c r="AG45" s="170"/>
      <c r="AH45" s="170"/>
      <c r="AI45" s="171"/>
      <c r="AJ45" s="172"/>
      <c r="AK45" s="173"/>
      <c r="AL45" s="592" t="str">
        <f t="shared" si="18"/>
        <v/>
      </c>
      <c r="AM45" s="169"/>
      <c r="AN45" s="170"/>
      <c r="AO45" s="170"/>
      <c r="AP45" s="171"/>
      <c r="AQ45" s="172"/>
      <c r="AR45" s="173"/>
      <c r="AS45" s="409" t="str">
        <f t="shared" si="19"/>
        <v/>
      </c>
      <c r="AT45" s="169"/>
      <c r="AU45" s="170"/>
      <c r="AV45" s="170"/>
      <c r="AW45" s="171"/>
      <c r="AX45" s="172"/>
      <c r="AY45" s="173"/>
      <c r="AZ45" s="592" t="str">
        <f t="shared" si="20"/>
        <v/>
      </c>
      <c r="BA45" s="169"/>
      <c r="BB45" s="170"/>
      <c r="BC45" s="170"/>
      <c r="BD45" s="171"/>
      <c r="BE45" s="172"/>
      <c r="BF45" s="173"/>
      <c r="BG45" s="409" t="str">
        <f t="shared" si="21"/>
        <v/>
      </c>
      <c r="BH45" s="169"/>
      <c r="BI45" s="170"/>
      <c r="BJ45" s="170"/>
      <c r="BK45" s="171"/>
      <c r="BL45" s="172"/>
      <c r="BM45" s="173"/>
      <c r="BN45" s="592" t="str">
        <f t="shared" si="22"/>
        <v/>
      </c>
      <c r="BO45" s="169"/>
      <c r="BP45" s="170"/>
      <c r="BQ45" s="170"/>
      <c r="BR45" s="171"/>
      <c r="BS45" s="172"/>
      <c r="BT45" s="173"/>
      <c r="BU45" s="409" t="str">
        <f t="shared" si="23"/>
        <v/>
      </c>
      <c r="BV45" s="169"/>
      <c r="BW45" s="170"/>
      <c r="BX45" s="170"/>
      <c r="BY45" s="171"/>
      <c r="BZ45" s="172"/>
      <c r="CA45" s="173"/>
      <c r="CB45" s="592" t="str">
        <f t="shared" si="24"/>
        <v/>
      </c>
      <c r="CC45" s="169"/>
      <c r="CD45" s="170"/>
      <c r="CE45" s="170"/>
      <c r="CF45" s="171"/>
      <c r="CG45" s="172"/>
      <c r="CH45" s="173"/>
      <c r="CI45" s="409" t="str">
        <f t="shared" si="25"/>
        <v/>
      </c>
      <c r="CJ45" s="174"/>
      <c r="CK45" s="175"/>
      <c r="CL45" s="175"/>
      <c r="CM45" s="176"/>
      <c r="CN45" s="177"/>
      <c r="CO45" s="178"/>
      <c r="CP45" s="593" t="str">
        <f t="shared" si="26"/>
        <v/>
      </c>
      <c r="CQ45" s="169"/>
      <c r="CR45" s="170"/>
      <c r="CS45" s="170"/>
      <c r="CT45" s="171"/>
      <c r="CU45" s="172"/>
      <c r="CV45" s="173"/>
      <c r="CW45" s="409" t="str">
        <f t="shared" si="27"/>
        <v/>
      </c>
      <c r="CX45" s="169"/>
      <c r="CY45" s="170"/>
      <c r="CZ45" s="170"/>
      <c r="DA45" s="171"/>
      <c r="DB45" s="172"/>
      <c r="DC45" s="173"/>
      <c r="DD45" s="592" t="str">
        <f t="shared" si="28"/>
        <v/>
      </c>
      <c r="DE45" s="162"/>
      <c r="DF45" s="163"/>
      <c r="DG45" s="164"/>
      <c r="DH45" s="165"/>
      <c r="DI45" s="30" t="str">
        <f t="shared" si="29"/>
        <v/>
      </c>
    </row>
    <row r="46" spans="1:113" s="30" customFormat="1" ht="15.9" customHeight="1">
      <c r="B46" s="99" t="str">
        <f>IF(C46&lt;&gt;"",MAX($B$4:B45)+1,"")</f>
        <v/>
      </c>
      <c r="C46" s="166"/>
      <c r="D46" s="167"/>
      <c r="E46" s="168"/>
      <c r="F46" s="163"/>
      <c r="G46" s="451"/>
      <c r="H46" s="166"/>
      <c r="I46" s="166"/>
      <c r="J46" s="166"/>
      <c r="K46" s="169"/>
      <c r="L46" s="170"/>
      <c r="M46" s="170"/>
      <c r="N46" s="171"/>
      <c r="O46" s="172"/>
      <c r="P46" s="173"/>
      <c r="Q46" s="409" t="str">
        <f t="shared" si="15"/>
        <v/>
      </c>
      <c r="R46" s="169"/>
      <c r="S46" s="170"/>
      <c r="T46" s="170"/>
      <c r="U46" s="171"/>
      <c r="V46" s="172"/>
      <c r="W46" s="173"/>
      <c r="X46" s="592" t="str">
        <f t="shared" si="16"/>
        <v/>
      </c>
      <c r="Y46" s="169"/>
      <c r="Z46" s="170"/>
      <c r="AA46" s="170"/>
      <c r="AB46" s="171"/>
      <c r="AC46" s="172"/>
      <c r="AD46" s="173"/>
      <c r="AE46" s="409" t="str">
        <f t="shared" si="17"/>
        <v/>
      </c>
      <c r="AF46" s="169"/>
      <c r="AG46" s="170"/>
      <c r="AH46" s="170"/>
      <c r="AI46" s="171"/>
      <c r="AJ46" s="172"/>
      <c r="AK46" s="173"/>
      <c r="AL46" s="592" t="str">
        <f t="shared" si="18"/>
        <v/>
      </c>
      <c r="AM46" s="169"/>
      <c r="AN46" s="170"/>
      <c r="AO46" s="170"/>
      <c r="AP46" s="171"/>
      <c r="AQ46" s="172"/>
      <c r="AR46" s="173"/>
      <c r="AS46" s="409" t="str">
        <f t="shared" si="19"/>
        <v/>
      </c>
      <c r="AT46" s="169"/>
      <c r="AU46" s="170"/>
      <c r="AV46" s="170"/>
      <c r="AW46" s="171"/>
      <c r="AX46" s="172"/>
      <c r="AY46" s="173"/>
      <c r="AZ46" s="592" t="str">
        <f t="shared" si="20"/>
        <v/>
      </c>
      <c r="BA46" s="169"/>
      <c r="BB46" s="170"/>
      <c r="BC46" s="170"/>
      <c r="BD46" s="171"/>
      <c r="BE46" s="172"/>
      <c r="BF46" s="173"/>
      <c r="BG46" s="409" t="str">
        <f t="shared" si="21"/>
        <v/>
      </c>
      <c r="BH46" s="169"/>
      <c r="BI46" s="170"/>
      <c r="BJ46" s="170"/>
      <c r="BK46" s="171"/>
      <c r="BL46" s="172"/>
      <c r="BM46" s="173"/>
      <c r="BN46" s="592" t="str">
        <f t="shared" si="22"/>
        <v/>
      </c>
      <c r="BO46" s="169"/>
      <c r="BP46" s="170"/>
      <c r="BQ46" s="170"/>
      <c r="BR46" s="171"/>
      <c r="BS46" s="172"/>
      <c r="BT46" s="173"/>
      <c r="BU46" s="409" t="str">
        <f t="shared" si="23"/>
        <v/>
      </c>
      <c r="BV46" s="169"/>
      <c r="BW46" s="170"/>
      <c r="BX46" s="170"/>
      <c r="BY46" s="171"/>
      <c r="BZ46" s="172"/>
      <c r="CA46" s="173"/>
      <c r="CB46" s="592" t="str">
        <f t="shared" si="24"/>
        <v/>
      </c>
      <c r="CC46" s="169"/>
      <c r="CD46" s="170"/>
      <c r="CE46" s="170"/>
      <c r="CF46" s="171"/>
      <c r="CG46" s="172"/>
      <c r="CH46" s="173"/>
      <c r="CI46" s="409" t="str">
        <f t="shared" si="25"/>
        <v/>
      </c>
      <c r="CJ46" s="174"/>
      <c r="CK46" s="175"/>
      <c r="CL46" s="175"/>
      <c r="CM46" s="176"/>
      <c r="CN46" s="177"/>
      <c r="CO46" s="178"/>
      <c r="CP46" s="593" t="str">
        <f t="shared" si="26"/>
        <v/>
      </c>
      <c r="CQ46" s="169"/>
      <c r="CR46" s="170"/>
      <c r="CS46" s="170"/>
      <c r="CT46" s="171"/>
      <c r="CU46" s="172"/>
      <c r="CV46" s="173"/>
      <c r="CW46" s="409" t="str">
        <f t="shared" si="27"/>
        <v/>
      </c>
      <c r="CX46" s="169"/>
      <c r="CY46" s="170"/>
      <c r="CZ46" s="170"/>
      <c r="DA46" s="171"/>
      <c r="DB46" s="172"/>
      <c r="DC46" s="173"/>
      <c r="DD46" s="592" t="str">
        <f t="shared" si="28"/>
        <v/>
      </c>
      <c r="DE46" s="162"/>
      <c r="DF46" s="163"/>
      <c r="DG46" s="164"/>
      <c r="DH46" s="165"/>
      <c r="DI46" s="30" t="str">
        <f t="shared" si="29"/>
        <v/>
      </c>
    </row>
    <row r="47" spans="1:113" s="30" customFormat="1" ht="15.9" customHeight="1">
      <c r="B47" s="99" t="str">
        <f>IF(C47&lt;&gt;"",MAX($B$4:B46)+1,"")</f>
        <v/>
      </c>
      <c r="C47" s="166"/>
      <c r="D47" s="167"/>
      <c r="E47" s="168"/>
      <c r="F47" s="163"/>
      <c r="G47" s="451"/>
      <c r="H47" s="166"/>
      <c r="I47" s="166"/>
      <c r="J47" s="166"/>
      <c r="K47" s="169"/>
      <c r="L47" s="170"/>
      <c r="M47" s="170"/>
      <c r="N47" s="171"/>
      <c r="O47" s="172"/>
      <c r="P47" s="173"/>
      <c r="Q47" s="409" t="str">
        <f t="shared" si="15"/>
        <v/>
      </c>
      <c r="R47" s="169"/>
      <c r="S47" s="170"/>
      <c r="T47" s="170"/>
      <c r="U47" s="171"/>
      <c r="V47" s="172"/>
      <c r="W47" s="173"/>
      <c r="X47" s="592" t="str">
        <f t="shared" si="16"/>
        <v/>
      </c>
      <c r="Y47" s="169"/>
      <c r="Z47" s="170"/>
      <c r="AA47" s="170"/>
      <c r="AB47" s="171"/>
      <c r="AC47" s="172"/>
      <c r="AD47" s="173"/>
      <c r="AE47" s="409" t="str">
        <f t="shared" si="17"/>
        <v/>
      </c>
      <c r="AF47" s="169"/>
      <c r="AG47" s="170"/>
      <c r="AH47" s="170"/>
      <c r="AI47" s="171"/>
      <c r="AJ47" s="172"/>
      <c r="AK47" s="173"/>
      <c r="AL47" s="592" t="str">
        <f t="shared" si="18"/>
        <v/>
      </c>
      <c r="AM47" s="169"/>
      <c r="AN47" s="170"/>
      <c r="AO47" s="170"/>
      <c r="AP47" s="171"/>
      <c r="AQ47" s="172"/>
      <c r="AR47" s="173"/>
      <c r="AS47" s="409" t="str">
        <f t="shared" si="19"/>
        <v/>
      </c>
      <c r="AT47" s="169"/>
      <c r="AU47" s="170"/>
      <c r="AV47" s="170"/>
      <c r="AW47" s="171"/>
      <c r="AX47" s="172"/>
      <c r="AY47" s="173"/>
      <c r="AZ47" s="592" t="str">
        <f t="shared" si="20"/>
        <v/>
      </c>
      <c r="BA47" s="169"/>
      <c r="BB47" s="170"/>
      <c r="BC47" s="170"/>
      <c r="BD47" s="171"/>
      <c r="BE47" s="172"/>
      <c r="BF47" s="173"/>
      <c r="BG47" s="409" t="str">
        <f t="shared" si="21"/>
        <v/>
      </c>
      <c r="BH47" s="169"/>
      <c r="BI47" s="170"/>
      <c r="BJ47" s="170"/>
      <c r="BK47" s="171"/>
      <c r="BL47" s="172"/>
      <c r="BM47" s="173"/>
      <c r="BN47" s="592" t="str">
        <f t="shared" si="22"/>
        <v/>
      </c>
      <c r="BO47" s="169"/>
      <c r="BP47" s="170"/>
      <c r="BQ47" s="170"/>
      <c r="BR47" s="171"/>
      <c r="BS47" s="172"/>
      <c r="BT47" s="173"/>
      <c r="BU47" s="409" t="str">
        <f t="shared" si="23"/>
        <v/>
      </c>
      <c r="BV47" s="169"/>
      <c r="BW47" s="170"/>
      <c r="BX47" s="170"/>
      <c r="BY47" s="171"/>
      <c r="BZ47" s="172"/>
      <c r="CA47" s="173"/>
      <c r="CB47" s="592" t="str">
        <f t="shared" si="24"/>
        <v/>
      </c>
      <c r="CC47" s="169"/>
      <c r="CD47" s="170"/>
      <c r="CE47" s="170"/>
      <c r="CF47" s="171"/>
      <c r="CG47" s="172"/>
      <c r="CH47" s="173"/>
      <c r="CI47" s="409" t="str">
        <f t="shared" si="25"/>
        <v/>
      </c>
      <c r="CJ47" s="174"/>
      <c r="CK47" s="175"/>
      <c r="CL47" s="175"/>
      <c r="CM47" s="176"/>
      <c r="CN47" s="177"/>
      <c r="CO47" s="178"/>
      <c r="CP47" s="593" t="str">
        <f t="shared" si="26"/>
        <v/>
      </c>
      <c r="CQ47" s="169"/>
      <c r="CR47" s="170"/>
      <c r="CS47" s="170"/>
      <c r="CT47" s="171"/>
      <c r="CU47" s="172"/>
      <c r="CV47" s="173"/>
      <c r="CW47" s="409" t="str">
        <f t="shared" si="27"/>
        <v/>
      </c>
      <c r="CX47" s="169"/>
      <c r="CY47" s="170"/>
      <c r="CZ47" s="170"/>
      <c r="DA47" s="171"/>
      <c r="DB47" s="172"/>
      <c r="DC47" s="173"/>
      <c r="DD47" s="592" t="str">
        <f t="shared" si="28"/>
        <v/>
      </c>
      <c r="DE47" s="162"/>
      <c r="DF47" s="163"/>
      <c r="DG47" s="164"/>
      <c r="DH47" s="165"/>
      <c r="DI47" s="30" t="str">
        <f t="shared" si="29"/>
        <v/>
      </c>
    </row>
    <row r="48" spans="1:113" s="30" customFormat="1" ht="15.9" customHeight="1">
      <c r="B48" s="105" t="str">
        <f>IF(C48&lt;&gt;"",MAX($B$4:B47)+1,"")</f>
        <v/>
      </c>
      <c r="C48" s="179"/>
      <c r="D48" s="180"/>
      <c r="E48" s="181"/>
      <c r="F48" s="182"/>
      <c r="G48" s="452"/>
      <c r="H48" s="179"/>
      <c r="I48" s="179"/>
      <c r="J48" s="179"/>
      <c r="K48" s="184"/>
      <c r="L48" s="185"/>
      <c r="M48" s="185"/>
      <c r="N48" s="186"/>
      <c r="O48" s="187"/>
      <c r="P48" s="188"/>
      <c r="Q48" s="411" t="str">
        <f t="shared" si="15"/>
        <v/>
      </c>
      <c r="R48" s="184"/>
      <c r="S48" s="185"/>
      <c r="T48" s="185"/>
      <c r="U48" s="186"/>
      <c r="V48" s="187"/>
      <c r="W48" s="188"/>
      <c r="X48" s="594" t="str">
        <f t="shared" si="16"/>
        <v/>
      </c>
      <c r="Y48" s="184"/>
      <c r="Z48" s="185"/>
      <c r="AA48" s="185"/>
      <c r="AB48" s="186"/>
      <c r="AC48" s="187"/>
      <c r="AD48" s="188"/>
      <c r="AE48" s="411" t="str">
        <f t="shared" si="17"/>
        <v/>
      </c>
      <c r="AF48" s="184"/>
      <c r="AG48" s="185"/>
      <c r="AH48" s="185"/>
      <c r="AI48" s="186"/>
      <c r="AJ48" s="187"/>
      <c r="AK48" s="188"/>
      <c r="AL48" s="594" t="str">
        <f t="shared" si="18"/>
        <v/>
      </c>
      <c r="AM48" s="184"/>
      <c r="AN48" s="185"/>
      <c r="AO48" s="185"/>
      <c r="AP48" s="186"/>
      <c r="AQ48" s="187"/>
      <c r="AR48" s="188"/>
      <c r="AS48" s="411" t="str">
        <f t="shared" si="19"/>
        <v/>
      </c>
      <c r="AT48" s="184"/>
      <c r="AU48" s="185"/>
      <c r="AV48" s="185"/>
      <c r="AW48" s="186"/>
      <c r="AX48" s="187"/>
      <c r="AY48" s="188"/>
      <c r="AZ48" s="594" t="str">
        <f t="shared" si="20"/>
        <v/>
      </c>
      <c r="BA48" s="184"/>
      <c r="BB48" s="185"/>
      <c r="BC48" s="185"/>
      <c r="BD48" s="186"/>
      <c r="BE48" s="187"/>
      <c r="BF48" s="188"/>
      <c r="BG48" s="411" t="str">
        <f t="shared" si="21"/>
        <v/>
      </c>
      <c r="BH48" s="184"/>
      <c r="BI48" s="185"/>
      <c r="BJ48" s="185"/>
      <c r="BK48" s="186"/>
      <c r="BL48" s="187"/>
      <c r="BM48" s="188"/>
      <c r="BN48" s="594" t="str">
        <f t="shared" si="22"/>
        <v/>
      </c>
      <c r="BO48" s="184"/>
      <c r="BP48" s="185"/>
      <c r="BQ48" s="185"/>
      <c r="BR48" s="186"/>
      <c r="BS48" s="187"/>
      <c r="BT48" s="188"/>
      <c r="BU48" s="411" t="str">
        <f t="shared" si="23"/>
        <v/>
      </c>
      <c r="BV48" s="184"/>
      <c r="BW48" s="185"/>
      <c r="BX48" s="185"/>
      <c r="BY48" s="186"/>
      <c r="BZ48" s="187"/>
      <c r="CA48" s="188"/>
      <c r="CB48" s="594" t="str">
        <f t="shared" si="24"/>
        <v/>
      </c>
      <c r="CC48" s="184"/>
      <c r="CD48" s="185"/>
      <c r="CE48" s="185"/>
      <c r="CF48" s="186"/>
      <c r="CG48" s="187"/>
      <c r="CH48" s="188"/>
      <c r="CI48" s="411" t="str">
        <f t="shared" si="25"/>
        <v/>
      </c>
      <c r="CJ48" s="213"/>
      <c r="CK48" s="214"/>
      <c r="CL48" s="214"/>
      <c r="CM48" s="215"/>
      <c r="CN48" s="216"/>
      <c r="CO48" s="193"/>
      <c r="CP48" s="595" t="str">
        <f t="shared" si="26"/>
        <v/>
      </c>
      <c r="CQ48" s="184"/>
      <c r="CR48" s="185"/>
      <c r="CS48" s="185"/>
      <c r="CT48" s="186"/>
      <c r="CU48" s="187"/>
      <c r="CV48" s="188"/>
      <c r="CW48" s="411" t="str">
        <f t="shared" si="27"/>
        <v/>
      </c>
      <c r="CX48" s="184"/>
      <c r="CY48" s="185"/>
      <c r="CZ48" s="185"/>
      <c r="DA48" s="186"/>
      <c r="DB48" s="187"/>
      <c r="DC48" s="188"/>
      <c r="DD48" s="594" t="str">
        <f t="shared" si="28"/>
        <v/>
      </c>
      <c r="DE48" s="194"/>
      <c r="DF48" s="182"/>
      <c r="DG48" s="183"/>
      <c r="DH48" s="195"/>
      <c r="DI48" s="30" t="str">
        <f t="shared" si="29"/>
        <v/>
      </c>
    </row>
    <row r="49" spans="2:113" s="30" customFormat="1" ht="15.9" customHeight="1">
      <c r="B49" s="111" t="str">
        <f>IF(C49&lt;&gt;"",MAX($B$4:B48)+1,"")</f>
        <v/>
      </c>
      <c r="C49" s="196"/>
      <c r="D49" s="197"/>
      <c r="E49" s="198"/>
      <c r="F49" s="199"/>
      <c r="G49" s="453"/>
      <c r="H49" s="196"/>
      <c r="I49" s="196"/>
      <c r="J49" s="196"/>
      <c r="K49" s="201"/>
      <c r="L49" s="202"/>
      <c r="M49" s="202"/>
      <c r="N49" s="203"/>
      <c r="O49" s="204"/>
      <c r="P49" s="205"/>
      <c r="Q49" s="413" t="str">
        <f t="shared" si="15"/>
        <v/>
      </c>
      <c r="R49" s="201"/>
      <c r="S49" s="202"/>
      <c r="T49" s="202"/>
      <c r="U49" s="203"/>
      <c r="V49" s="204"/>
      <c r="W49" s="205"/>
      <c r="X49" s="596" t="str">
        <f t="shared" si="16"/>
        <v/>
      </c>
      <c r="Y49" s="201"/>
      <c r="Z49" s="202"/>
      <c r="AA49" s="202"/>
      <c r="AB49" s="203"/>
      <c r="AC49" s="204"/>
      <c r="AD49" s="205"/>
      <c r="AE49" s="413" t="str">
        <f t="shared" si="17"/>
        <v/>
      </c>
      <c r="AF49" s="201"/>
      <c r="AG49" s="202"/>
      <c r="AH49" s="202"/>
      <c r="AI49" s="203"/>
      <c r="AJ49" s="204"/>
      <c r="AK49" s="205"/>
      <c r="AL49" s="596" t="str">
        <f t="shared" si="18"/>
        <v/>
      </c>
      <c r="AM49" s="201"/>
      <c r="AN49" s="202"/>
      <c r="AO49" s="202"/>
      <c r="AP49" s="203"/>
      <c r="AQ49" s="204"/>
      <c r="AR49" s="205"/>
      <c r="AS49" s="413" t="str">
        <f t="shared" si="19"/>
        <v/>
      </c>
      <c r="AT49" s="201"/>
      <c r="AU49" s="202"/>
      <c r="AV49" s="202"/>
      <c r="AW49" s="203"/>
      <c r="AX49" s="204"/>
      <c r="AY49" s="205"/>
      <c r="AZ49" s="596" t="str">
        <f t="shared" si="20"/>
        <v/>
      </c>
      <c r="BA49" s="201"/>
      <c r="BB49" s="202"/>
      <c r="BC49" s="202"/>
      <c r="BD49" s="203"/>
      <c r="BE49" s="204"/>
      <c r="BF49" s="205"/>
      <c r="BG49" s="413" t="str">
        <f t="shared" si="21"/>
        <v/>
      </c>
      <c r="BH49" s="201"/>
      <c r="BI49" s="202"/>
      <c r="BJ49" s="202"/>
      <c r="BK49" s="203"/>
      <c r="BL49" s="204"/>
      <c r="BM49" s="205"/>
      <c r="BN49" s="596" t="str">
        <f t="shared" si="22"/>
        <v/>
      </c>
      <c r="BO49" s="201"/>
      <c r="BP49" s="202"/>
      <c r="BQ49" s="202"/>
      <c r="BR49" s="203"/>
      <c r="BS49" s="204"/>
      <c r="BT49" s="205"/>
      <c r="BU49" s="413" t="str">
        <f t="shared" si="23"/>
        <v/>
      </c>
      <c r="BV49" s="201"/>
      <c r="BW49" s="202"/>
      <c r="BX49" s="202"/>
      <c r="BY49" s="203"/>
      <c r="BZ49" s="204"/>
      <c r="CA49" s="205"/>
      <c r="CB49" s="596" t="str">
        <f t="shared" si="24"/>
        <v/>
      </c>
      <c r="CC49" s="201"/>
      <c r="CD49" s="202"/>
      <c r="CE49" s="202"/>
      <c r="CF49" s="203"/>
      <c r="CG49" s="204"/>
      <c r="CH49" s="205"/>
      <c r="CI49" s="413" t="str">
        <f t="shared" si="25"/>
        <v/>
      </c>
      <c r="CJ49" s="206"/>
      <c r="CK49" s="207"/>
      <c r="CL49" s="207"/>
      <c r="CM49" s="208"/>
      <c r="CN49" s="209"/>
      <c r="CO49" s="210"/>
      <c r="CP49" s="597" t="str">
        <f t="shared" si="26"/>
        <v/>
      </c>
      <c r="CQ49" s="201"/>
      <c r="CR49" s="202"/>
      <c r="CS49" s="202"/>
      <c r="CT49" s="203"/>
      <c r="CU49" s="204"/>
      <c r="CV49" s="205"/>
      <c r="CW49" s="413" t="str">
        <f t="shared" si="27"/>
        <v/>
      </c>
      <c r="CX49" s="201"/>
      <c r="CY49" s="202"/>
      <c r="CZ49" s="202"/>
      <c r="DA49" s="203"/>
      <c r="DB49" s="204"/>
      <c r="DC49" s="205"/>
      <c r="DD49" s="596" t="str">
        <f t="shared" si="28"/>
        <v/>
      </c>
      <c r="DE49" s="211"/>
      <c r="DF49" s="199"/>
      <c r="DG49" s="200"/>
      <c r="DH49" s="212"/>
      <c r="DI49" s="30" t="str">
        <f t="shared" si="29"/>
        <v/>
      </c>
    </row>
    <row r="50" spans="2:113" s="30" customFormat="1" ht="15.9" customHeight="1">
      <c r="B50" s="99" t="str">
        <f>IF(C50&lt;&gt;"",MAX($B$4:B49)+1,"")</f>
        <v/>
      </c>
      <c r="C50" s="166"/>
      <c r="D50" s="167"/>
      <c r="E50" s="168"/>
      <c r="F50" s="163"/>
      <c r="G50" s="451"/>
      <c r="H50" s="166"/>
      <c r="I50" s="166"/>
      <c r="J50" s="166"/>
      <c r="K50" s="169"/>
      <c r="L50" s="170"/>
      <c r="M50" s="170"/>
      <c r="N50" s="171"/>
      <c r="O50" s="172"/>
      <c r="P50" s="173"/>
      <c r="Q50" s="409" t="str">
        <f t="shared" si="15"/>
        <v/>
      </c>
      <c r="R50" s="169"/>
      <c r="S50" s="170"/>
      <c r="T50" s="170"/>
      <c r="U50" s="171"/>
      <c r="V50" s="172"/>
      <c r="W50" s="173"/>
      <c r="X50" s="592" t="str">
        <f t="shared" si="16"/>
        <v/>
      </c>
      <c r="Y50" s="169"/>
      <c r="Z50" s="170"/>
      <c r="AA50" s="170"/>
      <c r="AB50" s="171"/>
      <c r="AC50" s="172"/>
      <c r="AD50" s="173"/>
      <c r="AE50" s="409" t="str">
        <f t="shared" si="17"/>
        <v/>
      </c>
      <c r="AF50" s="169"/>
      <c r="AG50" s="170"/>
      <c r="AH50" s="170"/>
      <c r="AI50" s="171"/>
      <c r="AJ50" s="172"/>
      <c r="AK50" s="173"/>
      <c r="AL50" s="592" t="str">
        <f t="shared" si="18"/>
        <v/>
      </c>
      <c r="AM50" s="169"/>
      <c r="AN50" s="170"/>
      <c r="AO50" s="170"/>
      <c r="AP50" s="171"/>
      <c r="AQ50" s="172"/>
      <c r="AR50" s="173"/>
      <c r="AS50" s="409" t="str">
        <f t="shared" si="19"/>
        <v/>
      </c>
      <c r="AT50" s="169"/>
      <c r="AU50" s="170"/>
      <c r="AV50" s="170"/>
      <c r="AW50" s="171"/>
      <c r="AX50" s="172"/>
      <c r="AY50" s="173"/>
      <c r="AZ50" s="592" t="str">
        <f t="shared" si="20"/>
        <v/>
      </c>
      <c r="BA50" s="169"/>
      <c r="BB50" s="170"/>
      <c r="BC50" s="170"/>
      <c r="BD50" s="171"/>
      <c r="BE50" s="172"/>
      <c r="BF50" s="173"/>
      <c r="BG50" s="409" t="str">
        <f t="shared" si="21"/>
        <v/>
      </c>
      <c r="BH50" s="169"/>
      <c r="BI50" s="170"/>
      <c r="BJ50" s="170"/>
      <c r="BK50" s="171"/>
      <c r="BL50" s="172"/>
      <c r="BM50" s="173"/>
      <c r="BN50" s="592" t="str">
        <f t="shared" si="22"/>
        <v/>
      </c>
      <c r="BO50" s="169"/>
      <c r="BP50" s="170"/>
      <c r="BQ50" s="170"/>
      <c r="BR50" s="171"/>
      <c r="BS50" s="172"/>
      <c r="BT50" s="173"/>
      <c r="BU50" s="409" t="str">
        <f t="shared" si="23"/>
        <v/>
      </c>
      <c r="BV50" s="169"/>
      <c r="BW50" s="170"/>
      <c r="BX50" s="170"/>
      <c r="BY50" s="171"/>
      <c r="BZ50" s="172"/>
      <c r="CA50" s="173"/>
      <c r="CB50" s="592" t="str">
        <f t="shared" si="24"/>
        <v/>
      </c>
      <c r="CC50" s="169"/>
      <c r="CD50" s="170"/>
      <c r="CE50" s="170"/>
      <c r="CF50" s="171"/>
      <c r="CG50" s="172"/>
      <c r="CH50" s="173"/>
      <c r="CI50" s="409" t="str">
        <f t="shared" si="25"/>
        <v/>
      </c>
      <c r="CJ50" s="174"/>
      <c r="CK50" s="175"/>
      <c r="CL50" s="175"/>
      <c r="CM50" s="176"/>
      <c r="CN50" s="177"/>
      <c r="CO50" s="178"/>
      <c r="CP50" s="593" t="str">
        <f t="shared" si="26"/>
        <v/>
      </c>
      <c r="CQ50" s="169"/>
      <c r="CR50" s="170"/>
      <c r="CS50" s="170"/>
      <c r="CT50" s="171"/>
      <c r="CU50" s="172"/>
      <c r="CV50" s="173"/>
      <c r="CW50" s="409" t="str">
        <f t="shared" si="27"/>
        <v/>
      </c>
      <c r="CX50" s="169"/>
      <c r="CY50" s="170"/>
      <c r="CZ50" s="170"/>
      <c r="DA50" s="171"/>
      <c r="DB50" s="172"/>
      <c r="DC50" s="173"/>
      <c r="DD50" s="592" t="str">
        <f t="shared" si="28"/>
        <v/>
      </c>
      <c r="DE50" s="162"/>
      <c r="DF50" s="163"/>
      <c r="DG50" s="164"/>
      <c r="DH50" s="165"/>
      <c r="DI50" s="30" t="str">
        <f t="shared" si="29"/>
        <v/>
      </c>
    </row>
    <row r="51" spans="2:113" s="30" customFormat="1" ht="15.9" customHeight="1">
      <c r="B51" s="99" t="str">
        <f>IF(C51&lt;&gt;"",MAX($B$4:B50)+1,"")</f>
        <v/>
      </c>
      <c r="C51" s="166"/>
      <c r="D51" s="167"/>
      <c r="E51" s="168"/>
      <c r="F51" s="163"/>
      <c r="G51" s="451"/>
      <c r="H51" s="166"/>
      <c r="I51" s="166"/>
      <c r="J51" s="166"/>
      <c r="K51" s="169"/>
      <c r="L51" s="170"/>
      <c r="M51" s="170"/>
      <c r="N51" s="171"/>
      <c r="O51" s="172"/>
      <c r="P51" s="173"/>
      <c r="Q51" s="409" t="str">
        <f t="shared" si="15"/>
        <v/>
      </c>
      <c r="R51" s="169"/>
      <c r="S51" s="170"/>
      <c r="T51" s="170"/>
      <c r="U51" s="171"/>
      <c r="V51" s="172"/>
      <c r="W51" s="173"/>
      <c r="X51" s="592" t="str">
        <f t="shared" si="16"/>
        <v/>
      </c>
      <c r="Y51" s="169"/>
      <c r="Z51" s="170"/>
      <c r="AA51" s="170"/>
      <c r="AB51" s="171"/>
      <c r="AC51" s="172"/>
      <c r="AD51" s="173"/>
      <c r="AE51" s="409" t="str">
        <f t="shared" si="17"/>
        <v/>
      </c>
      <c r="AF51" s="169"/>
      <c r="AG51" s="170"/>
      <c r="AH51" s="170"/>
      <c r="AI51" s="171"/>
      <c r="AJ51" s="172"/>
      <c r="AK51" s="173"/>
      <c r="AL51" s="592" t="str">
        <f t="shared" si="18"/>
        <v/>
      </c>
      <c r="AM51" s="169"/>
      <c r="AN51" s="170"/>
      <c r="AO51" s="170"/>
      <c r="AP51" s="171"/>
      <c r="AQ51" s="172"/>
      <c r="AR51" s="173"/>
      <c r="AS51" s="409" t="str">
        <f t="shared" si="19"/>
        <v/>
      </c>
      <c r="AT51" s="169"/>
      <c r="AU51" s="170"/>
      <c r="AV51" s="170"/>
      <c r="AW51" s="171"/>
      <c r="AX51" s="172"/>
      <c r="AY51" s="173"/>
      <c r="AZ51" s="592" t="str">
        <f t="shared" si="20"/>
        <v/>
      </c>
      <c r="BA51" s="169"/>
      <c r="BB51" s="170"/>
      <c r="BC51" s="170"/>
      <c r="BD51" s="171"/>
      <c r="BE51" s="172"/>
      <c r="BF51" s="173"/>
      <c r="BG51" s="409" t="str">
        <f t="shared" si="21"/>
        <v/>
      </c>
      <c r="BH51" s="169"/>
      <c r="BI51" s="170"/>
      <c r="BJ51" s="170"/>
      <c r="BK51" s="171"/>
      <c r="BL51" s="172"/>
      <c r="BM51" s="173"/>
      <c r="BN51" s="592" t="str">
        <f t="shared" si="22"/>
        <v/>
      </c>
      <c r="BO51" s="169"/>
      <c r="BP51" s="170"/>
      <c r="BQ51" s="170"/>
      <c r="BR51" s="171"/>
      <c r="BS51" s="172"/>
      <c r="BT51" s="173"/>
      <c r="BU51" s="409" t="str">
        <f t="shared" si="23"/>
        <v/>
      </c>
      <c r="BV51" s="169"/>
      <c r="BW51" s="170"/>
      <c r="BX51" s="170"/>
      <c r="BY51" s="171"/>
      <c r="BZ51" s="172"/>
      <c r="CA51" s="173"/>
      <c r="CB51" s="592" t="str">
        <f t="shared" si="24"/>
        <v/>
      </c>
      <c r="CC51" s="169"/>
      <c r="CD51" s="170"/>
      <c r="CE51" s="170"/>
      <c r="CF51" s="171"/>
      <c r="CG51" s="172"/>
      <c r="CH51" s="173"/>
      <c r="CI51" s="409" t="str">
        <f t="shared" si="25"/>
        <v/>
      </c>
      <c r="CJ51" s="174"/>
      <c r="CK51" s="175"/>
      <c r="CL51" s="175"/>
      <c r="CM51" s="176"/>
      <c r="CN51" s="177"/>
      <c r="CO51" s="178"/>
      <c r="CP51" s="593" t="str">
        <f t="shared" si="26"/>
        <v/>
      </c>
      <c r="CQ51" s="169"/>
      <c r="CR51" s="170"/>
      <c r="CS51" s="170"/>
      <c r="CT51" s="171"/>
      <c r="CU51" s="172"/>
      <c r="CV51" s="173"/>
      <c r="CW51" s="409" t="str">
        <f t="shared" si="27"/>
        <v/>
      </c>
      <c r="CX51" s="169"/>
      <c r="CY51" s="170"/>
      <c r="CZ51" s="170"/>
      <c r="DA51" s="171"/>
      <c r="DB51" s="172"/>
      <c r="DC51" s="173"/>
      <c r="DD51" s="592" t="str">
        <f t="shared" si="28"/>
        <v/>
      </c>
      <c r="DE51" s="162"/>
      <c r="DF51" s="163"/>
      <c r="DG51" s="164"/>
      <c r="DH51" s="165"/>
      <c r="DI51" s="30" t="str">
        <f t="shared" si="29"/>
        <v/>
      </c>
    </row>
    <row r="52" spans="2:113" s="30" customFormat="1" ht="15.9" customHeight="1">
      <c r="B52" s="99" t="str">
        <f>IF(C52&lt;&gt;"",MAX($B$4:B51)+1,"")</f>
        <v/>
      </c>
      <c r="C52" s="166"/>
      <c r="D52" s="167"/>
      <c r="E52" s="168"/>
      <c r="F52" s="163"/>
      <c r="G52" s="451"/>
      <c r="H52" s="166"/>
      <c r="I52" s="166"/>
      <c r="J52" s="166"/>
      <c r="K52" s="169"/>
      <c r="L52" s="170"/>
      <c r="M52" s="170"/>
      <c r="N52" s="171"/>
      <c r="O52" s="172"/>
      <c r="P52" s="173"/>
      <c r="Q52" s="409" t="str">
        <f t="shared" si="15"/>
        <v/>
      </c>
      <c r="R52" s="169"/>
      <c r="S52" s="170"/>
      <c r="T52" s="170"/>
      <c r="U52" s="171"/>
      <c r="V52" s="172"/>
      <c r="W52" s="173"/>
      <c r="X52" s="592" t="str">
        <f t="shared" si="16"/>
        <v/>
      </c>
      <c r="Y52" s="169"/>
      <c r="Z52" s="170"/>
      <c r="AA52" s="170"/>
      <c r="AB52" s="171"/>
      <c r="AC52" s="172"/>
      <c r="AD52" s="173"/>
      <c r="AE52" s="409" t="str">
        <f t="shared" si="17"/>
        <v/>
      </c>
      <c r="AF52" s="169"/>
      <c r="AG52" s="170"/>
      <c r="AH52" s="170"/>
      <c r="AI52" s="171"/>
      <c r="AJ52" s="172"/>
      <c r="AK52" s="173"/>
      <c r="AL52" s="592" t="str">
        <f t="shared" si="18"/>
        <v/>
      </c>
      <c r="AM52" s="169"/>
      <c r="AN52" s="170"/>
      <c r="AO52" s="170"/>
      <c r="AP52" s="171"/>
      <c r="AQ52" s="172"/>
      <c r="AR52" s="173"/>
      <c r="AS52" s="409" t="str">
        <f t="shared" si="19"/>
        <v/>
      </c>
      <c r="AT52" s="169"/>
      <c r="AU52" s="170"/>
      <c r="AV52" s="170"/>
      <c r="AW52" s="171"/>
      <c r="AX52" s="172"/>
      <c r="AY52" s="173"/>
      <c r="AZ52" s="592" t="str">
        <f t="shared" si="20"/>
        <v/>
      </c>
      <c r="BA52" s="169"/>
      <c r="BB52" s="170"/>
      <c r="BC52" s="170"/>
      <c r="BD52" s="171"/>
      <c r="BE52" s="172"/>
      <c r="BF52" s="173"/>
      <c r="BG52" s="409" t="str">
        <f t="shared" si="21"/>
        <v/>
      </c>
      <c r="BH52" s="169"/>
      <c r="BI52" s="170"/>
      <c r="BJ52" s="170"/>
      <c r="BK52" s="171"/>
      <c r="BL52" s="172"/>
      <c r="BM52" s="173"/>
      <c r="BN52" s="592" t="str">
        <f t="shared" si="22"/>
        <v/>
      </c>
      <c r="BO52" s="169"/>
      <c r="BP52" s="170"/>
      <c r="BQ52" s="170"/>
      <c r="BR52" s="171"/>
      <c r="BS52" s="172"/>
      <c r="BT52" s="173"/>
      <c r="BU52" s="409" t="str">
        <f t="shared" si="23"/>
        <v/>
      </c>
      <c r="BV52" s="169"/>
      <c r="BW52" s="170"/>
      <c r="BX52" s="170"/>
      <c r="BY52" s="171"/>
      <c r="BZ52" s="172"/>
      <c r="CA52" s="173"/>
      <c r="CB52" s="592" t="str">
        <f t="shared" si="24"/>
        <v/>
      </c>
      <c r="CC52" s="169"/>
      <c r="CD52" s="170"/>
      <c r="CE52" s="170"/>
      <c r="CF52" s="171"/>
      <c r="CG52" s="172"/>
      <c r="CH52" s="173"/>
      <c r="CI52" s="409" t="str">
        <f t="shared" si="25"/>
        <v/>
      </c>
      <c r="CJ52" s="206"/>
      <c r="CK52" s="207"/>
      <c r="CL52" s="207"/>
      <c r="CM52" s="208"/>
      <c r="CN52" s="209"/>
      <c r="CO52" s="178"/>
      <c r="CP52" s="593" t="str">
        <f t="shared" si="26"/>
        <v/>
      </c>
      <c r="CQ52" s="169"/>
      <c r="CR52" s="170"/>
      <c r="CS52" s="170"/>
      <c r="CT52" s="171"/>
      <c r="CU52" s="172"/>
      <c r="CV52" s="173"/>
      <c r="CW52" s="409" t="str">
        <f t="shared" si="27"/>
        <v/>
      </c>
      <c r="CX52" s="169"/>
      <c r="CY52" s="170"/>
      <c r="CZ52" s="170"/>
      <c r="DA52" s="171"/>
      <c r="DB52" s="172"/>
      <c r="DC52" s="173"/>
      <c r="DD52" s="592" t="str">
        <f t="shared" si="28"/>
        <v/>
      </c>
      <c r="DE52" s="162"/>
      <c r="DF52" s="163"/>
      <c r="DG52" s="164"/>
      <c r="DH52" s="165"/>
      <c r="DI52" s="30" t="str">
        <f t="shared" si="29"/>
        <v/>
      </c>
    </row>
    <row r="53" spans="2:113" s="30" customFormat="1" ht="15.9" customHeight="1">
      <c r="B53" s="105" t="str">
        <f>IF(C53&lt;&gt;"",MAX($B$4:B52)+1,"")</f>
        <v/>
      </c>
      <c r="C53" s="179"/>
      <c r="D53" s="180"/>
      <c r="E53" s="181"/>
      <c r="F53" s="182"/>
      <c r="G53" s="452"/>
      <c r="H53" s="179"/>
      <c r="I53" s="179"/>
      <c r="J53" s="179"/>
      <c r="K53" s="184"/>
      <c r="L53" s="185"/>
      <c r="M53" s="185"/>
      <c r="N53" s="186"/>
      <c r="O53" s="187"/>
      <c r="P53" s="188"/>
      <c r="Q53" s="411" t="str">
        <f t="shared" si="15"/>
        <v/>
      </c>
      <c r="R53" s="184"/>
      <c r="S53" s="185"/>
      <c r="T53" s="185"/>
      <c r="U53" s="186"/>
      <c r="V53" s="187"/>
      <c r="W53" s="188"/>
      <c r="X53" s="594" t="str">
        <f t="shared" si="16"/>
        <v/>
      </c>
      <c r="Y53" s="184"/>
      <c r="Z53" s="185"/>
      <c r="AA53" s="185"/>
      <c r="AB53" s="186"/>
      <c r="AC53" s="187"/>
      <c r="AD53" s="188"/>
      <c r="AE53" s="411" t="str">
        <f t="shared" si="17"/>
        <v/>
      </c>
      <c r="AF53" s="184"/>
      <c r="AG53" s="185"/>
      <c r="AH53" s="185"/>
      <c r="AI53" s="186"/>
      <c r="AJ53" s="187"/>
      <c r="AK53" s="188"/>
      <c r="AL53" s="594" t="str">
        <f t="shared" si="18"/>
        <v/>
      </c>
      <c r="AM53" s="184"/>
      <c r="AN53" s="185"/>
      <c r="AO53" s="185"/>
      <c r="AP53" s="186"/>
      <c r="AQ53" s="187"/>
      <c r="AR53" s="188"/>
      <c r="AS53" s="411" t="str">
        <f t="shared" si="19"/>
        <v/>
      </c>
      <c r="AT53" s="184"/>
      <c r="AU53" s="185"/>
      <c r="AV53" s="185"/>
      <c r="AW53" s="186"/>
      <c r="AX53" s="187"/>
      <c r="AY53" s="188"/>
      <c r="AZ53" s="594" t="str">
        <f t="shared" si="20"/>
        <v/>
      </c>
      <c r="BA53" s="184"/>
      <c r="BB53" s="185"/>
      <c r="BC53" s="185"/>
      <c r="BD53" s="186"/>
      <c r="BE53" s="187"/>
      <c r="BF53" s="188"/>
      <c r="BG53" s="411" t="str">
        <f t="shared" si="21"/>
        <v/>
      </c>
      <c r="BH53" s="184"/>
      <c r="BI53" s="185"/>
      <c r="BJ53" s="185"/>
      <c r="BK53" s="186"/>
      <c r="BL53" s="187"/>
      <c r="BM53" s="188"/>
      <c r="BN53" s="594" t="str">
        <f t="shared" si="22"/>
        <v/>
      </c>
      <c r="BO53" s="184"/>
      <c r="BP53" s="185"/>
      <c r="BQ53" s="185"/>
      <c r="BR53" s="186"/>
      <c r="BS53" s="187"/>
      <c r="BT53" s="188"/>
      <c r="BU53" s="411" t="str">
        <f t="shared" si="23"/>
        <v/>
      </c>
      <c r="BV53" s="184"/>
      <c r="BW53" s="185"/>
      <c r="BX53" s="185"/>
      <c r="BY53" s="186"/>
      <c r="BZ53" s="187"/>
      <c r="CA53" s="188"/>
      <c r="CB53" s="594" t="str">
        <f t="shared" si="24"/>
        <v/>
      </c>
      <c r="CC53" s="184"/>
      <c r="CD53" s="185"/>
      <c r="CE53" s="185"/>
      <c r="CF53" s="186"/>
      <c r="CG53" s="187"/>
      <c r="CH53" s="188"/>
      <c r="CI53" s="411" t="str">
        <f t="shared" si="25"/>
        <v/>
      </c>
      <c r="CJ53" s="213"/>
      <c r="CK53" s="214"/>
      <c r="CL53" s="214"/>
      <c r="CM53" s="215"/>
      <c r="CN53" s="216"/>
      <c r="CO53" s="193"/>
      <c r="CP53" s="595" t="str">
        <f t="shared" si="26"/>
        <v/>
      </c>
      <c r="CQ53" s="184"/>
      <c r="CR53" s="185"/>
      <c r="CS53" s="185"/>
      <c r="CT53" s="186"/>
      <c r="CU53" s="187"/>
      <c r="CV53" s="188"/>
      <c r="CW53" s="411" t="str">
        <f t="shared" si="27"/>
        <v/>
      </c>
      <c r="CX53" s="184"/>
      <c r="CY53" s="185"/>
      <c r="CZ53" s="185"/>
      <c r="DA53" s="186"/>
      <c r="DB53" s="187"/>
      <c r="DC53" s="188"/>
      <c r="DD53" s="594" t="str">
        <f t="shared" si="28"/>
        <v/>
      </c>
      <c r="DE53" s="194"/>
      <c r="DF53" s="182"/>
      <c r="DG53" s="183"/>
      <c r="DH53" s="195"/>
      <c r="DI53" s="30" t="str">
        <f t="shared" si="29"/>
        <v/>
      </c>
    </row>
    <row r="54" spans="2:113" s="30" customFormat="1" ht="15.9" customHeight="1">
      <c r="B54" s="111" t="str">
        <f>IF(C54&lt;&gt;"",MAX($B$4:B53)+1,"")</f>
        <v/>
      </c>
      <c r="C54" s="196"/>
      <c r="D54" s="197"/>
      <c r="E54" s="198"/>
      <c r="F54" s="199"/>
      <c r="G54" s="453"/>
      <c r="H54" s="196"/>
      <c r="I54" s="196"/>
      <c r="J54" s="196"/>
      <c r="K54" s="201"/>
      <c r="L54" s="202"/>
      <c r="M54" s="202"/>
      <c r="N54" s="203"/>
      <c r="O54" s="204"/>
      <c r="P54" s="205"/>
      <c r="Q54" s="413" t="str">
        <f t="shared" si="15"/>
        <v/>
      </c>
      <c r="R54" s="201"/>
      <c r="S54" s="202"/>
      <c r="T54" s="202"/>
      <c r="U54" s="203"/>
      <c r="V54" s="204"/>
      <c r="W54" s="205"/>
      <c r="X54" s="596" t="str">
        <f t="shared" si="16"/>
        <v/>
      </c>
      <c r="Y54" s="201"/>
      <c r="Z54" s="202"/>
      <c r="AA54" s="202"/>
      <c r="AB54" s="203"/>
      <c r="AC54" s="204"/>
      <c r="AD54" s="205"/>
      <c r="AE54" s="413" t="str">
        <f t="shared" si="17"/>
        <v/>
      </c>
      <c r="AF54" s="201"/>
      <c r="AG54" s="202"/>
      <c r="AH54" s="202"/>
      <c r="AI54" s="203"/>
      <c r="AJ54" s="204"/>
      <c r="AK54" s="205"/>
      <c r="AL54" s="596" t="str">
        <f t="shared" si="18"/>
        <v/>
      </c>
      <c r="AM54" s="201"/>
      <c r="AN54" s="202"/>
      <c r="AO54" s="202"/>
      <c r="AP54" s="203"/>
      <c r="AQ54" s="204"/>
      <c r="AR54" s="205"/>
      <c r="AS54" s="413" t="str">
        <f t="shared" si="19"/>
        <v/>
      </c>
      <c r="AT54" s="201"/>
      <c r="AU54" s="202"/>
      <c r="AV54" s="202"/>
      <c r="AW54" s="203"/>
      <c r="AX54" s="204"/>
      <c r="AY54" s="205"/>
      <c r="AZ54" s="596" t="str">
        <f t="shared" si="20"/>
        <v/>
      </c>
      <c r="BA54" s="201"/>
      <c r="BB54" s="202"/>
      <c r="BC54" s="202"/>
      <c r="BD54" s="203"/>
      <c r="BE54" s="204"/>
      <c r="BF54" s="205"/>
      <c r="BG54" s="413" t="str">
        <f t="shared" si="21"/>
        <v/>
      </c>
      <c r="BH54" s="201"/>
      <c r="BI54" s="202"/>
      <c r="BJ54" s="202"/>
      <c r="BK54" s="203"/>
      <c r="BL54" s="204"/>
      <c r="BM54" s="205"/>
      <c r="BN54" s="596" t="str">
        <f t="shared" si="22"/>
        <v/>
      </c>
      <c r="BO54" s="201"/>
      <c r="BP54" s="202"/>
      <c r="BQ54" s="202"/>
      <c r="BR54" s="203"/>
      <c r="BS54" s="204"/>
      <c r="BT54" s="205"/>
      <c r="BU54" s="413" t="str">
        <f t="shared" si="23"/>
        <v/>
      </c>
      <c r="BV54" s="201"/>
      <c r="BW54" s="202"/>
      <c r="BX54" s="202"/>
      <c r="BY54" s="203"/>
      <c r="BZ54" s="204"/>
      <c r="CA54" s="205"/>
      <c r="CB54" s="596" t="str">
        <f t="shared" si="24"/>
        <v/>
      </c>
      <c r="CC54" s="201"/>
      <c r="CD54" s="202"/>
      <c r="CE54" s="202"/>
      <c r="CF54" s="203"/>
      <c r="CG54" s="204"/>
      <c r="CH54" s="205"/>
      <c r="CI54" s="413" t="str">
        <f t="shared" si="25"/>
        <v/>
      </c>
      <c r="CJ54" s="206"/>
      <c r="CK54" s="207"/>
      <c r="CL54" s="207"/>
      <c r="CM54" s="208"/>
      <c r="CN54" s="209"/>
      <c r="CO54" s="210"/>
      <c r="CP54" s="597" t="str">
        <f t="shared" si="26"/>
        <v/>
      </c>
      <c r="CQ54" s="201"/>
      <c r="CR54" s="202"/>
      <c r="CS54" s="202"/>
      <c r="CT54" s="203"/>
      <c r="CU54" s="204"/>
      <c r="CV54" s="205"/>
      <c r="CW54" s="413" t="str">
        <f t="shared" si="27"/>
        <v/>
      </c>
      <c r="CX54" s="201"/>
      <c r="CY54" s="202"/>
      <c r="CZ54" s="202"/>
      <c r="DA54" s="203"/>
      <c r="DB54" s="204"/>
      <c r="DC54" s="205"/>
      <c r="DD54" s="596" t="str">
        <f t="shared" si="28"/>
        <v/>
      </c>
      <c r="DE54" s="211"/>
      <c r="DF54" s="199"/>
      <c r="DG54" s="200"/>
      <c r="DH54" s="212"/>
      <c r="DI54" s="30" t="str">
        <f t="shared" si="29"/>
        <v/>
      </c>
    </row>
    <row r="55" spans="2:113" s="30" customFormat="1" ht="15.9" customHeight="1">
      <c r="B55" s="99" t="str">
        <f>IF(C55&lt;&gt;"",MAX($B$4:B54)+1,"")</f>
        <v/>
      </c>
      <c r="C55" s="166"/>
      <c r="D55" s="167"/>
      <c r="E55" s="168"/>
      <c r="F55" s="163"/>
      <c r="G55" s="451"/>
      <c r="H55" s="166"/>
      <c r="I55" s="166"/>
      <c r="J55" s="166"/>
      <c r="K55" s="169"/>
      <c r="L55" s="170"/>
      <c r="M55" s="170"/>
      <c r="N55" s="171"/>
      <c r="O55" s="172"/>
      <c r="P55" s="173"/>
      <c r="Q55" s="409" t="str">
        <f t="shared" si="15"/>
        <v/>
      </c>
      <c r="R55" s="169"/>
      <c r="S55" s="170"/>
      <c r="T55" s="170"/>
      <c r="U55" s="171"/>
      <c r="V55" s="172"/>
      <c r="W55" s="173"/>
      <c r="X55" s="592" t="str">
        <f t="shared" si="16"/>
        <v/>
      </c>
      <c r="Y55" s="169"/>
      <c r="Z55" s="170"/>
      <c r="AA55" s="170"/>
      <c r="AB55" s="171"/>
      <c r="AC55" s="172"/>
      <c r="AD55" s="173"/>
      <c r="AE55" s="409" t="str">
        <f t="shared" si="17"/>
        <v/>
      </c>
      <c r="AF55" s="169"/>
      <c r="AG55" s="170"/>
      <c r="AH55" s="170"/>
      <c r="AI55" s="171"/>
      <c r="AJ55" s="172"/>
      <c r="AK55" s="173"/>
      <c r="AL55" s="592" t="str">
        <f t="shared" si="18"/>
        <v/>
      </c>
      <c r="AM55" s="169"/>
      <c r="AN55" s="170"/>
      <c r="AO55" s="170"/>
      <c r="AP55" s="171"/>
      <c r="AQ55" s="172"/>
      <c r="AR55" s="173"/>
      <c r="AS55" s="409" t="str">
        <f t="shared" si="19"/>
        <v/>
      </c>
      <c r="AT55" s="169"/>
      <c r="AU55" s="170"/>
      <c r="AV55" s="170"/>
      <c r="AW55" s="171"/>
      <c r="AX55" s="172"/>
      <c r="AY55" s="173"/>
      <c r="AZ55" s="592" t="str">
        <f t="shared" si="20"/>
        <v/>
      </c>
      <c r="BA55" s="169"/>
      <c r="BB55" s="170"/>
      <c r="BC55" s="170"/>
      <c r="BD55" s="171"/>
      <c r="BE55" s="172"/>
      <c r="BF55" s="173"/>
      <c r="BG55" s="409" t="str">
        <f t="shared" si="21"/>
        <v/>
      </c>
      <c r="BH55" s="169"/>
      <c r="BI55" s="170"/>
      <c r="BJ55" s="170"/>
      <c r="BK55" s="171"/>
      <c r="BL55" s="172"/>
      <c r="BM55" s="173"/>
      <c r="BN55" s="592" t="str">
        <f t="shared" si="22"/>
        <v/>
      </c>
      <c r="BO55" s="169"/>
      <c r="BP55" s="170"/>
      <c r="BQ55" s="170"/>
      <c r="BR55" s="171"/>
      <c r="BS55" s="172"/>
      <c r="BT55" s="173"/>
      <c r="BU55" s="409" t="str">
        <f t="shared" si="23"/>
        <v/>
      </c>
      <c r="BV55" s="169"/>
      <c r="BW55" s="170"/>
      <c r="BX55" s="170"/>
      <c r="BY55" s="171"/>
      <c r="BZ55" s="172"/>
      <c r="CA55" s="173"/>
      <c r="CB55" s="592" t="str">
        <f t="shared" si="24"/>
        <v/>
      </c>
      <c r="CC55" s="169"/>
      <c r="CD55" s="170"/>
      <c r="CE55" s="170"/>
      <c r="CF55" s="171"/>
      <c r="CG55" s="172"/>
      <c r="CH55" s="173"/>
      <c r="CI55" s="409" t="str">
        <f t="shared" si="25"/>
        <v/>
      </c>
      <c r="CJ55" s="174"/>
      <c r="CK55" s="175"/>
      <c r="CL55" s="175"/>
      <c r="CM55" s="176"/>
      <c r="CN55" s="177"/>
      <c r="CO55" s="178"/>
      <c r="CP55" s="593" t="str">
        <f t="shared" si="26"/>
        <v/>
      </c>
      <c r="CQ55" s="169"/>
      <c r="CR55" s="170"/>
      <c r="CS55" s="170"/>
      <c r="CT55" s="171"/>
      <c r="CU55" s="172"/>
      <c r="CV55" s="173"/>
      <c r="CW55" s="409" t="str">
        <f t="shared" si="27"/>
        <v/>
      </c>
      <c r="CX55" s="169"/>
      <c r="CY55" s="170"/>
      <c r="CZ55" s="170"/>
      <c r="DA55" s="171"/>
      <c r="DB55" s="172"/>
      <c r="DC55" s="173"/>
      <c r="DD55" s="592" t="str">
        <f t="shared" si="28"/>
        <v/>
      </c>
      <c r="DE55" s="162"/>
      <c r="DF55" s="163"/>
      <c r="DG55" s="164"/>
      <c r="DH55" s="165"/>
      <c r="DI55" s="30" t="str">
        <f t="shared" si="29"/>
        <v/>
      </c>
    </row>
    <row r="56" spans="2:113" s="30" customFormat="1" ht="15.9" customHeight="1">
      <c r="B56" s="99" t="str">
        <f>IF(C56&lt;&gt;"",MAX($B$4:B55)+1,"")</f>
        <v/>
      </c>
      <c r="C56" s="166"/>
      <c r="D56" s="167"/>
      <c r="E56" s="168"/>
      <c r="F56" s="163"/>
      <c r="G56" s="451"/>
      <c r="H56" s="166"/>
      <c r="I56" s="166"/>
      <c r="J56" s="166"/>
      <c r="K56" s="169"/>
      <c r="L56" s="170"/>
      <c r="M56" s="170"/>
      <c r="N56" s="171"/>
      <c r="O56" s="172"/>
      <c r="P56" s="173"/>
      <c r="Q56" s="409" t="str">
        <f t="shared" si="15"/>
        <v/>
      </c>
      <c r="R56" s="169"/>
      <c r="S56" s="170"/>
      <c r="T56" s="170"/>
      <c r="U56" s="171"/>
      <c r="V56" s="172"/>
      <c r="W56" s="173"/>
      <c r="X56" s="592" t="str">
        <f t="shared" si="16"/>
        <v/>
      </c>
      <c r="Y56" s="169"/>
      <c r="Z56" s="170"/>
      <c r="AA56" s="170"/>
      <c r="AB56" s="171"/>
      <c r="AC56" s="172"/>
      <c r="AD56" s="173"/>
      <c r="AE56" s="409" t="str">
        <f t="shared" si="17"/>
        <v/>
      </c>
      <c r="AF56" s="169"/>
      <c r="AG56" s="170"/>
      <c r="AH56" s="170"/>
      <c r="AI56" s="171"/>
      <c r="AJ56" s="172"/>
      <c r="AK56" s="173"/>
      <c r="AL56" s="592" t="str">
        <f t="shared" si="18"/>
        <v/>
      </c>
      <c r="AM56" s="169"/>
      <c r="AN56" s="170"/>
      <c r="AO56" s="170"/>
      <c r="AP56" s="171"/>
      <c r="AQ56" s="172"/>
      <c r="AR56" s="173"/>
      <c r="AS56" s="409" t="str">
        <f t="shared" si="19"/>
        <v/>
      </c>
      <c r="AT56" s="169"/>
      <c r="AU56" s="170"/>
      <c r="AV56" s="170"/>
      <c r="AW56" s="171"/>
      <c r="AX56" s="172"/>
      <c r="AY56" s="173"/>
      <c r="AZ56" s="592" t="str">
        <f t="shared" si="20"/>
        <v/>
      </c>
      <c r="BA56" s="169"/>
      <c r="BB56" s="170"/>
      <c r="BC56" s="170"/>
      <c r="BD56" s="171"/>
      <c r="BE56" s="172"/>
      <c r="BF56" s="173"/>
      <c r="BG56" s="409" t="str">
        <f t="shared" si="21"/>
        <v/>
      </c>
      <c r="BH56" s="169"/>
      <c r="BI56" s="170"/>
      <c r="BJ56" s="170"/>
      <c r="BK56" s="171"/>
      <c r="BL56" s="172"/>
      <c r="BM56" s="173"/>
      <c r="BN56" s="592" t="str">
        <f t="shared" si="22"/>
        <v/>
      </c>
      <c r="BO56" s="169"/>
      <c r="BP56" s="170"/>
      <c r="BQ56" s="170"/>
      <c r="BR56" s="171"/>
      <c r="BS56" s="172"/>
      <c r="BT56" s="173"/>
      <c r="BU56" s="409" t="str">
        <f t="shared" si="23"/>
        <v/>
      </c>
      <c r="BV56" s="169"/>
      <c r="BW56" s="170"/>
      <c r="BX56" s="170"/>
      <c r="BY56" s="171"/>
      <c r="BZ56" s="172"/>
      <c r="CA56" s="173"/>
      <c r="CB56" s="592" t="str">
        <f t="shared" si="24"/>
        <v/>
      </c>
      <c r="CC56" s="169"/>
      <c r="CD56" s="170"/>
      <c r="CE56" s="170"/>
      <c r="CF56" s="171"/>
      <c r="CG56" s="172"/>
      <c r="CH56" s="173"/>
      <c r="CI56" s="409" t="str">
        <f t="shared" si="25"/>
        <v/>
      </c>
      <c r="CJ56" s="174"/>
      <c r="CK56" s="175"/>
      <c r="CL56" s="175"/>
      <c r="CM56" s="176"/>
      <c r="CN56" s="177"/>
      <c r="CO56" s="178"/>
      <c r="CP56" s="593" t="str">
        <f t="shared" si="26"/>
        <v/>
      </c>
      <c r="CQ56" s="169"/>
      <c r="CR56" s="170"/>
      <c r="CS56" s="170"/>
      <c r="CT56" s="171"/>
      <c r="CU56" s="172"/>
      <c r="CV56" s="173"/>
      <c r="CW56" s="409" t="str">
        <f t="shared" si="27"/>
        <v/>
      </c>
      <c r="CX56" s="169"/>
      <c r="CY56" s="170"/>
      <c r="CZ56" s="170"/>
      <c r="DA56" s="171"/>
      <c r="DB56" s="172"/>
      <c r="DC56" s="173"/>
      <c r="DD56" s="592" t="str">
        <f t="shared" si="28"/>
        <v/>
      </c>
      <c r="DE56" s="162"/>
      <c r="DF56" s="163"/>
      <c r="DG56" s="164"/>
      <c r="DH56" s="165"/>
      <c r="DI56" s="30" t="str">
        <f t="shared" si="29"/>
        <v/>
      </c>
    </row>
    <row r="57" spans="2:113" s="30" customFormat="1" ht="15.9" customHeight="1">
      <c r="B57" s="99" t="str">
        <f>IF(C57&lt;&gt;"",MAX($B$4:B56)+1,"")</f>
        <v/>
      </c>
      <c r="C57" s="166"/>
      <c r="D57" s="167"/>
      <c r="E57" s="168"/>
      <c r="F57" s="163"/>
      <c r="G57" s="451"/>
      <c r="H57" s="166"/>
      <c r="I57" s="166"/>
      <c r="J57" s="166"/>
      <c r="K57" s="169"/>
      <c r="L57" s="170"/>
      <c r="M57" s="170"/>
      <c r="N57" s="171"/>
      <c r="O57" s="172"/>
      <c r="P57" s="173"/>
      <c r="Q57" s="409" t="str">
        <f t="shared" si="15"/>
        <v/>
      </c>
      <c r="R57" s="169"/>
      <c r="S57" s="170"/>
      <c r="T57" s="170"/>
      <c r="U57" s="171"/>
      <c r="V57" s="172"/>
      <c r="W57" s="173"/>
      <c r="X57" s="592" t="str">
        <f t="shared" si="16"/>
        <v/>
      </c>
      <c r="Y57" s="169"/>
      <c r="Z57" s="170"/>
      <c r="AA57" s="170"/>
      <c r="AB57" s="171"/>
      <c r="AC57" s="172"/>
      <c r="AD57" s="173"/>
      <c r="AE57" s="409" t="str">
        <f t="shared" si="17"/>
        <v/>
      </c>
      <c r="AF57" s="169"/>
      <c r="AG57" s="170"/>
      <c r="AH57" s="170"/>
      <c r="AI57" s="171"/>
      <c r="AJ57" s="172"/>
      <c r="AK57" s="173"/>
      <c r="AL57" s="592" t="str">
        <f t="shared" si="18"/>
        <v/>
      </c>
      <c r="AM57" s="169"/>
      <c r="AN57" s="170"/>
      <c r="AO57" s="170"/>
      <c r="AP57" s="171"/>
      <c r="AQ57" s="172"/>
      <c r="AR57" s="173"/>
      <c r="AS57" s="409" t="str">
        <f t="shared" si="19"/>
        <v/>
      </c>
      <c r="AT57" s="169"/>
      <c r="AU57" s="170"/>
      <c r="AV57" s="170"/>
      <c r="AW57" s="171"/>
      <c r="AX57" s="172"/>
      <c r="AY57" s="173"/>
      <c r="AZ57" s="592" t="str">
        <f t="shared" si="20"/>
        <v/>
      </c>
      <c r="BA57" s="169"/>
      <c r="BB57" s="170"/>
      <c r="BC57" s="170"/>
      <c r="BD57" s="171"/>
      <c r="BE57" s="172"/>
      <c r="BF57" s="173"/>
      <c r="BG57" s="409" t="str">
        <f t="shared" si="21"/>
        <v/>
      </c>
      <c r="BH57" s="169"/>
      <c r="BI57" s="170"/>
      <c r="BJ57" s="170"/>
      <c r="BK57" s="171"/>
      <c r="BL57" s="172"/>
      <c r="BM57" s="173"/>
      <c r="BN57" s="592" t="str">
        <f t="shared" si="22"/>
        <v/>
      </c>
      <c r="BO57" s="169"/>
      <c r="BP57" s="170"/>
      <c r="BQ57" s="170"/>
      <c r="BR57" s="171"/>
      <c r="BS57" s="172"/>
      <c r="BT57" s="173"/>
      <c r="BU57" s="409" t="str">
        <f t="shared" si="23"/>
        <v/>
      </c>
      <c r="BV57" s="169"/>
      <c r="BW57" s="170"/>
      <c r="BX57" s="170"/>
      <c r="BY57" s="171"/>
      <c r="BZ57" s="172"/>
      <c r="CA57" s="173"/>
      <c r="CB57" s="592" t="str">
        <f t="shared" si="24"/>
        <v/>
      </c>
      <c r="CC57" s="169"/>
      <c r="CD57" s="170"/>
      <c r="CE57" s="170"/>
      <c r="CF57" s="171"/>
      <c r="CG57" s="172"/>
      <c r="CH57" s="173"/>
      <c r="CI57" s="409" t="str">
        <f t="shared" si="25"/>
        <v/>
      </c>
      <c r="CJ57" s="174"/>
      <c r="CK57" s="175"/>
      <c r="CL57" s="175"/>
      <c r="CM57" s="176"/>
      <c r="CN57" s="177"/>
      <c r="CO57" s="178"/>
      <c r="CP57" s="593" t="str">
        <f t="shared" si="26"/>
        <v/>
      </c>
      <c r="CQ57" s="169"/>
      <c r="CR57" s="170"/>
      <c r="CS57" s="170"/>
      <c r="CT57" s="171"/>
      <c r="CU57" s="172"/>
      <c r="CV57" s="173"/>
      <c r="CW57" s="409" t="str">
        <f t="shared" si="27"/>
        <v/>
      </c>
      <c r="CX57" s="169"/>
      <c r="CY57" s="170"/>
      <c r="CZ57" s="170"/>
      <c r="DA57" s="171"/>
      <c r="DB57" s="172"/>
      <c r="DC57" s="173"/>
      <c r="DD57" s="592" t="str">
        <f t="shared" si="28"/>
        <v/>
      </c>
      <c r="DE57" s="162"/>
      <c r="DF57" s="163"/>
      <c r="DG57" s="164"/>
      <c r="DH57" s="165"/>
      <c r="DI57" s="30" t="str">
        <f t="shared" si="29"/>
        <v/>
      </c>
    </row>
    <row r="58" spans="2:113" s="30" customFormat="1" ht="15.9" customHeight="1" thickBot="1">
      <c r="B58" s="118" t="str">
        <f>IF(C58&lt;&gt;"",MAX($B$4:B57)+1,"")</f>
        <v/>
      </c>
      <c r="C58" s="218"/>
      <c r="D58" s="219"/>
      <c r="E58" s="220"/>
      <c r="F58" s="221"/>
      <c r="G58" s="454"/>
      <c r="H58" s="218"/>
      <c r="I58" s="218"/>
      <c r="J58" s="218"/>
      <c r="K58" s="222"/>
      <c r="L58" s="223"/>
      <c r="M58" s="223"/>
      <c r="N58" s="224"/>
      <c r="O58" s="225"/>
      <c r="P58" s="226"/>
      <c r="Q58" s="417" t="str">
        <f t="shared" si="15"/>
        <v/>
      </c>
      <c r="R58" s="222"/>
      <c r="S58" s="223"/>
      <c r="T58" s="223"/>
      <c r="U58" s="224"/>
      <c r="V58" s="225"/>
      <c r="W58" s="226"/>
      <c r="X58" s="598" t="str">
        <f t="shared" si="16"/>
        <v/>
      </c>
      <c r="Y58" s="222"/>
      <c r="Z58" s="223"/>
      <c r="AA58" s="223"/>
      <c r="AB58" s="224"/>
      <c r="AC58" s="225"/>
      <c r="AD58" s="226"/>
      <c r="AE58" s="417" t="str">
        <f t="shared" si="17"/>
        <v/>
      </c>
      <c r="AF58" s="222"/>
      <c r="AG58" s="223"/>
      <c r="AH58" s="223"/>
      <c r="AI58" s="224"/>
      <c r="AJ58" s="225"/>
      <c r="AK58" s="226"/>
      <c r="AL58" s="598" t="str">
        <f t="shared" si="18"/>
        <v/>
      </c>
      <c r="AM58" s="222"/>
      <c r="AN58" s="223"/>
      <c r="AO58" s="223"/>
      <c r="AP58" s="224"/>
      <c r="AQ58" s="225"/>
      <c r="AR58" s="226"/>
      <c r="AS58" s="417" t="str">
        <f t="shared" si="19"/>
        <v/>
      </c>
      <c r="AT58" s="222"/>
      <c r="AU58" s="223"/>
      <c r="AV58" s="223"/>
      <c r="AW58" s="224"/>
      <c r="AX58" s="225"/>
      <c r="AY58" s="226"/>
      <c r="AZ58" s="598" t="str">
        <f t="shared" si="20"/>
        <v/>
      </c>
      <c r="BA58" s="222"/>
      <c r="BB58" s="223"/>
      <c r="BC58" s="223"/>
      <c r="BD58" s="224"/>
      <c r="BE58" s="225"/>
      <c r="BF58" s="226"/>
      <c r="BG58" s="417" t="str">
        <f t="shared" si="21"/>
        <v/>
      </c>
      <c r="BH58" s="222"/>
      <c r="BI58" s="223"/>
      <c r="BJ58" s="223"/>
      <c r="BK58" s="224"/>
      <c r="BL58" s="225"/>
      <c r="BM58" s="226"/>
      <c r="BN58" s="598" t="str">
        <f t="shared" si="22"/>
        <v/>
      </c>
      <c r="BO58" s="222"/>
      <c r="BP58" s="223"/>
      <c r="BQ58" s="223"/>
      <c r="BR58" s="224"/>
      <c r="BS58" s="225"/>
      <c r="BT58" s="226"/>
      <c r="BU58" s="417" t="str">
        <f t="shared" si="23"/>
        <v/>
      </c>
      <c r="BV58" s="222"/>
      <c r="BW58" s="223"/>
      <c r="BX58" s="223"/>
      <c r="BY58" s="224"/>
      <c r="BZ58" s="225"/>
      <c r="CA58" s="226"/>
      <c r="CB58" s="598" t="str">
        <f t="shared" si="24"/>
        <v/>
      </c>
      <c r="CC58" s="222"/>
      <c r="CD58" s="223"/>
      <c r="CE58" s="223"/>
      <c r="CF58" s="224"/>
      <c r="CG58" s="225"/>
      <c r="CH58" s="226"/>
      <c r="CI58" s="417" t="str">
        <f t="shared" si="25"/>
        <v/>
      </c>
      <c r="CJ58" s="227"/>
      <c r="CK58" s="228"/>
      <c r="CL58" s="228"/>
      <c r="CM58" s="229"/>
      <c r="CN58" s="230"/>
      <c r="CO58" s="231"/>
      <c r="CP58" s="599" t="str">
        <f t="shared" si="26"/>
        <v/>
      </c>
      <c r="CQ58" s="222"/>
      <c r="CR58" s="223"/>
      <c r="CS58" s="223"/>
      <c r="CT58" s="224"/>
      <c r="CU58" s="225"/>
      <c r="CV58" s="226"/>
      <c r="CW58" s="417" t="str">
        <f t="shared" si="27"/>
        <v/>
      </c>
      <c r="CX58" s="222"/>
      <c r="CY58" s="223"/>
      <c r="CZ58" s="223"/>
      <c r="DA58" s="224"/>
      <c r="DB58" s="225"/>
      <c r="DC58" s="226"/>
      <c r="DD58" s="598" t="str">
        <f t="shared" si="28"/>
        <v/>
      </c>
      <c r="DE58" s="232"/>
      <c r="DF58" s="233"/>
      <c r="DG58" s="234"/>
      <c r="DH58" s="235"/>
      <c r="DI58" s="30" t="str">
        <f t="shared" si="29"/>
        <v/>
      </c>
    </row>
    <row r="59" spans="2:113" s="129" customFormat="1" ht="15.9" customHeight="1" thickBot="1">
      <c r="B59" s="119" t="s">
        <v>51</v>
      </c>
      <c r="C59" s="120">
        <f>COUNTA(C4:C58)</f>
        <v>36</v>
      </c>
      <c r="D59" s="121"/>
      <c r="E59" s="122"/>
      <c r="F59" s="120"/>
      <c r="G59" s="600"/>
      <c r="H59" s="120">
        <f>COUNTIFS($C$4:$C$58,"?*",$H$4:$H$58,"x")</f>
        <v>13</v>
      </c>
      <c r="I59" s="120">
        <f>COUNTIFS($C$4:$C$58,"?*",$I$4:$I$58,"x")</f>
        <v>0</v>
      </c>
      <c r="J59" s="120">
        <f>COUNTIFS($C$4:$C$58,"?*",$J$4:$J$58,"x")</f>
        <v>0</v>
      </c>
      <c r="K59" s="601">
        <f t="shared" ref="K59:P59" si="30">IFERROR(IF(COUNTA(K4:K58)&gt;=1,ROUND(AVERAGEIFS(K4:K58,$C$4:$C$58,"?*"),1),""),"")</f>
        <v>9.9</v>
      </c>
      <c r="L59" s="123">
        <f t="shared" si="30"/>
        <v>9.5</v>
      </c>
      <c r="M59" s="123">
        <f t="shared" si="30"/>
        <v>9.6999999999999993</v>
      </c>
      <c r="N59" s="602">
        <f t="shared" si="30"/>
        <v>9.6</v>
      </c>
      <c r="O59" s="601">
        <f t="shared" si="30"/>
        <v>9.5</v>
      </c>
      <c r="P59" s="603">
        <f t="shared" si="30"/>
        <v>9.5</v>
      </c>
      <c r="Q59" s="124" t="s">
        <v>8</v>
      </c>
      <c r="R59" s="601">
        <f>IFERROR(IF(COUNTA(R4:R58)&gt;=1,ROUND(AVERAGEIFS(R4:R58,$C$4:$C$58,"?*"),1),""),"")</f>
        <v>9.4</v>
      </c>
      <c r="S59" s="123">
        <f>IFERROR(IF(COUNTA(S4:S58)&gt;=1,ROUND(AVERAGEIFS(S4:S58,$C$4:$C$58,"?*"),1),""),"")</f>
        <v>9.6</v>
      </c>
      <c r="T59" s="123">
        <f t="shared" ref="T59:W59" si="31">IFERROR(IF(COUNTA(T4:T58)&gt;=1,ROUND(AVERAGEIFS(T4:T58,$C$4:$C$58,"?*"),1),""),"")</f>
        <v>9.9</v>
      </c>
      <c r="U59" s="602">
        <f t="shared" si="31"/>
        <v>9.4</v>
      </c>
      <c r="V59" s="601">
        <f t="shared" si="31"/>
        <v>9.5</v>
      </c>
      <c r="W59" s="603">
        <f t="shared" si="31"/>
        <v>9.6</v>
      </c>
      <c r="X59" s="124" t="s">
        <v>8</v>
      </c>
      <c r="Y59" s="601">
        <f t="shared" ref="Y59:AD59" si="32">IFERROR(IF(COUNTA(Y4:Y58)&gt;=1,ROUND(AVERAGEIFS(Y4:Y58,$C$4:$C$58,"?*"),1),""),"")</f>
        <v>9.4</v>
      </c>
      <c r="Z59" s="123">
        <f t="shared" si="32"/>
        <v>8.9</v>
      </c>
      <c r="AA59" s="123">
        <f t="shared" si="32"/>
        <v>9.4</v>
      </c>
      <c r="AB59" s="602">
        <f t="shared" si="32"/>
        <v>9.6999999999999993</v>
      </c>
      <c r="AC59" s="601">
        <f t="shared" si="32"/>
        <v>9</v>
      </c>
      <c r="AD59" s="603">
        <f t="shared" si="32"/>
        <v>9.5</v>
      </c>
      <c r="AE59" s="124" t="s">
        <v>8</v>
      </c>
      <c r="AF59" s="601">
        <f t="shared" ref="AF59:AK59" si="33">IFERROR(IF(COUNTA(AF4:AF58)&gt;=1,ROUND(AVERAGEIFS(AF4:AF58,$C$4:$C$58,"?*"),1),""),"")</f>
        <v>9.6</v>
      </c>
      <c r="AG59" s="123">
        <f t="shared" si="33"/>
        <v>9</v>
      </c>
      <c r="AH59" s="123">
        <f t="shared" si="33"/>
        <v>8.8000000000000007</v>
      </c>
      <c r="AI59" s="602" t="str">
        <f t="shared" si="33"/>
        <v/>
      </c>
      <c r="AJ59" s="601">
        <f t="shared" si="33"/>
        <v>9.5</v>
      </c>
      <c r="AK59" s="603">
        <f t="shared" si="33"/>
        <v>8.8000000000000007</v>
      </c>
      <c r="AL59" s="124" t="s">
        <v>8</v>
      </c>
      <c r="AM59" s="601">
        <f t="shared" ref="AM59:AR59" si="34">IFERROR(IF(COUNTA(AM4:AM58)&gt;=1,ROUND(AVERAGEIFS(AM4:AM58,$C$4:$C$58,"?*"),1),""),"")</f>
        <v>10</v>
      </c>
      <c r="AN59" s="123">
        <f t="shared" si="34"/>
        <v>9.6999999999999993</v>
      </c>
      <c r="AO59" s="123">
        <f t="shared" si="34"/>
        <v>9.6999999999999993</v>
      </c>
      <c r="AP59" s="602" t="str">
        <f t="shared" si="34"/>
        <v/>
      </c>
      <c r="AQ59" s="601">
        <f t="shared" si="34"/>
        <v>9.1</v>
      </c>
      <c r="AR59" s="603">
        <f t="shared" si="34"/>
        <v>10</v>
      </c>
      <c r="AS59" s="124" t="s">
        <v>8</v>
      </c>
      <c r="AT59" s="601">
        <f t="shared" ref="AT59:AY59" si="35">IFERROR(IF(COUNTA(AT4:AT58)&gt;=1,ROUND(AVERAGEIFS(AT4:AT58,$C$4:$C$58,"?*"),1),""),"")</f>
        <v>9.1</v>
      </c>
      <c r="AU59" s="123">
        <f t="shared" si="35"/>
        <v>9.1</v>
      </c>
      <c r="AV59" s="123">
        <f t="shared" si="35"/>
        <v>7.2</v>
      </c>
      <c r="AW59" s="602">
        <f t="shared" si="35"/>
        <v>8</v>
      </c>
      <c r="AX59" s="601">
        <f t="shared" si="35"/>
        <v>7.6</v>
      </c>
      <c r="AY59" s="603">
        <f t="shared" si="35"/>
        <v>6.4</v>
      </c>
      <c r="AZ59" s="124" t="s">
        <v>8</v>
      </c>
      <c r="BA59" s="601">
        <f t="shared" ref="BA59:BF59" si="36">IFERROR(IF(COUNTA(BA4:BA58)&gt;=1,ROUND(AVERAGEIFS(BA4:BA58,$C$4:$C$58,"?*"),1),""),"")</f>
        <v>10</v>
      </c>
      <c r="BB59" s="123">
        <f t="shared" si="36"/>
        <v>9.1</v>
      </c>
      <c r="BC59" s="123">
        <f t="shared" si="36"/>
        <v>9.8000000000000007</v>
      </c>
      <c r="BD59" s="602" t="str">
        <f t="shared" si="36"/>
        <v/>
      </c>
      <c r="BE59" s="601">
        <f t="shared" si="36"/>
        <v>9.6999999999999993</v>
      </c>
      <c r="BF59" s="603">
        <f t="shared" si="36"/>
        <v>9.6</v>
      </c>
      <c r="BG59" s="124" t="s">
        <v>8</v>
      </c>
      <c r="BH59" s="601">
        <f t="shared" ref="BH59:BM59" si="37">IFERROR(IF(COUNTA(BH4:BH58)&gt;=1,ROUND(AVERAGEIFS(BH4:BH58,$C$4:$C$58,"?*"),1),""),"")</f>
        <v>9.9</v>
      </c>
      <c r="BI59" s="123">
        <f t="shared" si="37"/>
        <v>9.1</v>
      </c>
      <c r="BJ59" s="123">
        <f t="shared" si="37"/>
        <v>9.9</v>
      </c>
      <c r="BK59" s="602" t="str">
        <f t="shared" si="37"/>
        <v/>
      </c>
      <c r="BL59" s="601">
        <f t="shared" si="37"/>
        <v>9.8000000000000007</v>
      </c>
      <c r="BM59" s="603">
        <f t="shared" si="37"/>
        <v>9.6999999999999993</v>
      </c>
      <c r="BN59" s="124" t="s">
        <v>8</v>
      </c>
      <c r="BO59" s="601">
        <f t="shared" ref="BO59:BT59" si="38">IFERROR(IF(COUNTA(BO4:BO58)&gt;=1,ROUND(AVERAGEIFS(BO4:BO58,$C$4:$C$58,"?*"),1),""),"")</f>
        <v>9.6999999999999993</v>
      </c>
      <c r="BP59" s="123">
        <f t="shared" si="38"/>
        <v>9.3000000000000007</v>
      </c>
      <c r="BQ59" s="123">
        <f t="shared" si="38"/>
        <v>8.6</v>
      </c>
      <c r="BR59" s="602">
        <f t="shared" si="38"/>
        <v>8.5</v>
      </c>
      <c r="BS59" s="601">
        <f t="shared" si="38"/>
        <v>9.6999999999999993</v>
      </c>
      <c r="BT59" s="603">
        <f t="shared" si="38"/>
        <v>8.5</v>
      </c>
      <c r="BU59" s="124" t="s">
        <v>8</v>
      </c>
      <c r="BV59" s="601">
        <f t="shared" ref="BV59:CA59" si="39">IFERROR(IF(COUNTA(BV4:BV58)&gt;=1,ROUND(AVERAGEIFS(BV4:BV58,$C$4:$C$58,"?*"),1),""),"")</f>
        <v>9.8000000000000007</v>
      </c>
      <c r="BW59" s="123">
        <f t="shared" si="39"/>
        <v>9.3000000000000007</v>
      </c>
      <c r="BX59" s="123" t="str">
        <f t="shared" si="39"/>
        <v/>
      </c>
      <c r="BY59" s="602" t="str">
        <f t="shared" si="39"/>
        <v/>
      </c>
      <c r="BZ59" s="601">
        <f t="shared" si="39"/>
        <v>9.1999999999999993</v>
      </c>
      <c r="CA59" s="603">
        <f t="shared" si="39"/>
        <v>9.1999999999999993</v>
      </c>
      <c r="CB59" s="124" t="s">
        <v>8</v>
      </c>
      <c r="CC59" s="601">
        <f t="shared" ref="CC59:CH59" si="40">IFERROR(IF(COUNTA(CC4:CC58)&gt;=1,ROUND(AVERAGEIFS(CC4:CC58,$C$4:$C$58,"?*"),1),""),"")</f>
        <v>9.9</v>
      </c>
      <c r="CD59" s="123">
        <f t="shared" si="40"/>
        <v>9.1999999999999993</v>
      </c>
      <c r="CE59" s="123" t="str">
        <f t="shared" si="40"/>
        <v/>
      </c>
      <c r="CF59" s="602" t="str">
        <f t="shared" si="40"/>
        <v/>
      </c>
      <c r="CG59" s="601">
        <f t="shared" si="40"/>
        <v>9.9</v>
      </c>
      <c r="CH59" s="603">
        <f t="shared" si="40"/>
        <v>9.8000000000000007</v>
      </c>
      <c r="CI59" s="124" t="s">
        <v>8</v>
      </c>
      <c r="CJ59" s="601"/>
      <c r="CK59" s="123"/>
      <c r="CL59" s="123"/>
      <c r="CM59" s="602"/>
      <c r="CN59" s="601"/>
      <c r="CO59" s="603"/>
      <c r="CP59" s="124"/>
      <c r="CQ59" s="601">
        <f t="shared" ref="CQ59:CV59" si="41">IFERROR(IF(COUNTA(CQ4:CQ58)&gt;=1,ROUND(AVERAGEIFS(CQ4:CQ58,$C$4:$C$58,"?*"),1),""),"")</f>
        <v>9.9</v>
      </c>
      <c r="CR59" s="123">
        <f t="shared" si="41"/>
        <v>9.1</v>
      </c>
      <c r="CS59" s="123" t="str">
        <f t="shared" si="41"/>
        <v/>
      </c>
      <c r="CT59" s="602" t="str">
        <f t="shared" si="41"/>
        <v/>
      </c>
      <c r="CU59" s="601">
        <f t="shared" si="41"/>
        <v>10</v>
      </c>
      <c r="CV59" s="603">
        <f t="shared" si="41"/>
        <v>9.9</v>
      </c>
      <c r="CW59" s="124" t="s">
        <v>8</v>
      </c>
      <c r="CX59" s="601" t="str">
        <f t="shared" ref="CX59:DC59" si="42">IFERROR(IF(COUNTA(CX4:CX58)&gt;=1,ROUND(AVERAGEIFS(CX4:CX58,$C$4:$C$58,"?*"),1),""),"")</f>
        <v/>
      </c>
      <c r="CY59" s="123" t="str">
        <f t="shared" si="42"/>
        <v/>
      </c>
      <c r="CZ59" s="123" t="str">
        <f t="shared" si="42"/>
        <v/>
      </c>
      <c r="DA59" s="602" t="str">
        <f t="shared" si="42"/>
        <v/>
      </c>
      <c r="DB59" s="601" t="str">
        <f t="shared" si="42"/>
        <v/>
      </c>
      <c r="DC59" s="603" t="str">
        <f t="shared" si="42"/>
        <v/>
      </c>
      <c r="DD59" s="124" t="s">
        <v>8</v>
      </c>
      <c r="DE59" s="125"/>
      <c r="DF59" s="126"/>
      <c r="DG59" s="127"/>
      <c r="DH59" s="128"/>
    </row>
    <row r="60" spans="2:113" s="129" customFormat="1" ht="15.9" customHeight="1">
      <c r="B60" s="129">
        <v>1</v>
      </c>
      <c r="C60" s="129">
        <v>2</v>
      </c>
      <c r="D60" s="129">
        <v>3</v>
      </c>
      <c r="E60" s="129">
        <v>4</v>
      </c>
      <c r="F60" s="129">
        <v>5</v>
      </c>
      <c r="G60" s="129">
        <v>6</v>
      </c>
      <c r="H60" s="129">
        <v>7</v>
      </c>
      <c r="I60" s="129">
        <v>8</v>
      </c>
      <c r="J60" s="129">
        <v>9</v>
      </c>
      <c r="K60" s="129">
        <v>10</v>
      </c>
      <c r="L60" s="129">
        <v>11</v>
      </c>
      <c r="M60" s="129">
        <v>12</v>
      </c>
      <c r="N60" s="129">
        <v>13</v>
      </c>
      <c r="O60" s="129">
        <v>14</v>
      </c>
      <c r="P60" s="129">
        <v>15</v>
      </c>
      <c r="Q60" s="129">
        <v>16</v>
      </c>
      <c r="R60" s="129">
        <v>17</v>
      </c>
      <c r="S60" s="129">
        <v>18</v>
      </c>
      <c r="T60" s="129">
        <v>19</v>
      </c>
      <c r="U60" s="129">
        <v>20</v>
      </c>
      <c r="V60" s="129">
        <v>21</v>
      </c>
      <c r="W60" s="129">
        <v>22</v>
      </c>
      <c r="X60" s="129">
        <v>23</v>
      </c>
      <c r="Y60" s="129">
        <v>24</v>
      </c>
      <c r="Z60" s="129">
        <v>25</v>
      </c>
      <c r="AA60" s="129">
        <v>26</v>
      </c>
      <c r="AB60" s="129">
        <v>27</v>
      </c>
      <c r="AC60" s="129">
        <v>28</v>
      </c>
      <c r="AD60" s="129">
        <v>29</v>
      </c>
      <c r="AE60" s="129">
        <v>30</v>
      </c>
      <c r="AF60" s="129">
        <v>31</v>
      </c>
      <c r="AG60" s="129">
        <v>32</v>
      </c>
      <c r="AH60" s="129">
        <v>33</v>
      </c>
      <c r="AI60" s="129">
        <v>34</v>
      </c>
      <c r="AJ60" s="129">
        <v>35</v>
      </c>
      <c r="AK60" s="129">
        <v>36</v>
      </c>
      <c r="AL60" s="129">
        <v>37</v>
      </c>
      <c r="AM60" s="129">
        <v>38</v>
      </c>
      <c r="AN60" s="129">
        <v>39</v>
      </c>
      <c r="AO60" s="129">
        <v>40</v>
      </c>
      <c r="AP60" s="129">
        <v>41</v>
      </c>
      <c r="AQ60" s="129">
        <v>42</v>
      </c>
      <c r="AR60" s="129">
        <v>43</v>
      </c>
      <c r="AS60" s="129">
        <v>44</v>
      </c>
      <c r="AT60" s="129">
        <v>45</v>
      </c>
      <c r="AU60" s="129">
        <v>46</v>
      </c>
      <c r="AV60" s="129">
        <v>47</v>
      </c>
      <c r="AW60" s="129">
        <v>48</v>
      </c>
      <c r="AX60" s="129">
        <v>49</v>
      </c>
      <c r="AY60" s="129">
        <v>50</v>
      </c>
      <c r="AZ60" s="129">
        <v>51</v>
      </c>
      <c r="BA60" s="129">
        <v>52</v>
      </c>
      <c r="BB60" s="129">
        <v>53</v>
      </c>
      <c r="BC60" s="129">
        <v>54</v>
      </c>
      <c r="BD60" s="129">
        <v>55</v>
      </c>
      <c r="BE60" s="129">
        <v>56</v>
      </c>
      <c r="BF60" s="129">
        <v>57</v>
      </c>
      <c r="BG60" s="129">
        <v>58</v>
      </c>
      <c r="BH60" s="129">
        <v>59</v>
      </c>
      <c r="BI60" s="129">
        <v>60</v>
      </c>
      <c r="BJ60" s="129">
        <v>61</v>
      </c>
      <c r="BK60" s="129">
        <v>62</v>
      </c>
      <c r="BL60" s="129">
        <v>63</v>
      </c>
      <c r="BM60" s="129">
        <v>64</v>
      </c>
      <c r="BN60" s="129">
        <v>65</v>
      </c>
      <c r="BO60" s="129">
        <v>66</v>
      </c>
      <c r="BP60" s="129">
        <v>67</v>
      </c>
      <c r="BQ60" s="129">
        <v>68</v>
      </c>
      <c r="BR60" s="129">
        <v>69</v>
      </c>
      <c r="BS60" s="129">
        <v>70</v>
      </c>
      <c r="BT60" s="129">
        <v>71</v>
      </c>
      <c r="BU60" s="129">
        <v>72</v>
      </c>
      <c r="BV60" s="129">
        <v>73</v>
      </c>
      <c r="BW60" s="129">
        <v>74</v>
      </c>
      <c r="BX60" s="129">
        <v>75</v>
      </c>
      <c r="BY60" s="129">
        <v>76</v>
      </c>
      <c r="BZ60" s="129">
        <v>77</v>
      </c>
      <c r="CA60" s="129">
        <v>78</v>
      </c>
      <c r="CB60" s="129">
        <v>79</v>
      </c>
      <c r="CC60" s="129">
        <v>80</v>
      </c>
      <c r="CD60" s="129">
        <v>81</v>
      </c>
      <c r="CE60" s="129">
        <v>82</v>
      </c>
      <c r="CF60" s="129">
        <v>83</v>
      </c>
      <c r="CG60" s="129">
        <v>84</v>
      </c>
      <c r="CH60" s="129">
        <v>85</v>
      </c>
      <c r="CI60" s="129">
        <v>86</v>
      </c>
      <c r="CJ60" s="129">
        <v>87</v>
      </c>
      <c r="CK60" s="129">
        <v>88</v>
      </c>
      <c r="CL60" s="129">
        <v>89</v>
      </c>
      <c r="CM60" s="129">
        <v>90</v>
      </c>
      <c r="CN60" s="129">
        <v>91</v>
      </c>
      <c r="CO60" s="129">
        <v>92</v>
      </c>
      <c r="CP60" s="129">
        <v>93</v>
      </c>
      <c r="CQ60" s="129">
        <v>94</v>
      </c>
      <c r="CR60" s="129">
        <v>95</v>
      </c>
      <c r="CS60" s="129">
        <v>96</v>
      </c>
      <c r="CT60" s="129">
        <v>97</v>
      </c>
      <c r="CU60" s="129">
        <v>98</v>
      </c>
      <c r="CV60" s="129">
        <v>99</v>
      </c>
      <c r="CW60" s="129">
        <v>100</v>
      </c>
      <c r="CX60" s="129">
        <v>101</v>
      </c>
      <c r="CY60" s="129">
        <v>102</v>
      </c>
      <c r="CZ60" s="129">
        <v>103</v>
      </c>
      <c r="DA60" s="129">
        <v>104</v>
      </c>
      <c r="DB60" s="129">
        <v>105</v>
      </c>
      <c r="DC60" s="129">
        <v>106</v>
      </c>
      <c r="DD60" s="129">
        <v>107</v>
      </c>
      <c r="DE60" s="129">
        <v>108</v>
      </c>
      <c r="DF60" s="129">
        <v>109</v>
      </c>
      <c r="DG60" s="129">
        <v>110</v>
      </c>
      <c r="DH60" s="129">
        <v>111</v>
      </c>
      <c r="DI60" s="129">
        <v>294</v>
      </c>
    </row>
    <row r="61" spans="2:113" s="129" customFormat="1" ht="15.9" customHeight="1">
      <c r="B61" s="894" t="s">
        <v>116</v>
      </c>
      <c r="C61" s="895"/>
      <c r="D61" s="895"/>
      <c r="E61" s="896"/>
      <c r="F61" s="889" t="s">
        <v>16</v>
      </c>
      <c r="G61" s="883"/>
      <c r="H61" s="883"/>
      <c r="I61" s="883"/>
      <c r="J61" s="884"/>
      <c r="K61" s="883" t="str">
        <f>K1</f>
        <v>MÔN TOÁN</v>
      </c>
      <c r="L61" s="883"/>
      <c r="M61" s="883"/>
      <c r="N61" s="883"/>
      <c r="O61" s="883"/>
      <c r="P61" s="883"/>
      <c r="Q61" s="884"/>
      <c r="R61" s="883" t="str">
        <f>R1</f>
        <v>MÔN VẬT LÍ</v>
      </c>
      <c r="S61" s="883"/>
      <c r="T61" s="883"/>
      <c r="U61" s="883"/>
      <c r="V61" s="883"/>
      <c r="W61" s="883"/>
      <c r="X61" s="884"/>
      <c r="Y61" s="883" t="str">
        <f>Y1</f>
        <v>MÔN HÓA HỌC</v>
      </c>
      <c r="Z61" s="883"/>
      <c r="AA61" s="883"/>
      <c r="AB61" s="883"/>
      <c r="AC61" s="883"/>
      <c r="AD61" s="883"/>
      <c r="AE61" s="884"/>
      <c r="AF61" s="883" t="str">
        <f>AF1</f>
        <v>MÔN SINH HỌC</v>
      </c>
      <c r="AG61" s="883"/>
      <c r="AH61" s="883"/>
      <c r="AI61" s="883"/>
      <c r="AJ61" s="883"/>
      <c r="AK61" s="883"/>
      <c r="AL61" s="884"/>
      <c r="AM61" s="883" t="str">
        <f>AM1</f>
        <v>MÔN TIN HỌC</v>
      </c>
      <c r="AN61" s="883"/>
      <c r="AO61" s="883"/>
      <c r="AP61" s="883"/>
      <c r="AQ61" s="883"/>
      <c r="AR61" s="883"/>
      <c r="AS61" s="884"/>
      <c r="AT61" s="883" t="str">
        <f>AT1</f>
        <v>MÔN NGỮ VĂN</v>
      </c>
      <c r="AU61" s="883"/>
      <c r="AV61" s="883"/>
      <c r="AW61" s="883"/>
      <c r="AX61" s="883"/>
      <c r="AY61" s="883"/>
      <c r="AZ61" s="884"/>
      <c r="BA61" s="883" t="str">
        <f>BA1</f>
        <v>MÔN LỊCH SỬ</v>
      </c>
      <c r="BB61" s="883"/>
      <c r="BC61" s="883"/>
      <c r="BD61" s="883"/>
      <c r="BE61" s="883"/>
      <c r="BF61" s="883"/>
      <c r="BG61" s="884"/>
      <c r="BH61" s="883" t="str">
        <f>BH1</f>
        <v>MÔN ĐỊA LÍ</v>
      </c>
      <c r="BI61" s="883"/>
      <c r="BJ61" s="883"/>
      <c r="BK61" s="883"/>
      <c r="BL61" s="883"/>
      <c r="BM61" s="883"/>
      <c r="BN61" s="884"/>
      <c r="BO61" s="883" t="str">
        <f>BO1</f>
        <v>MÔN ANH VĂN</v>
      </c>
      <c r="BP61" s="883"/>
      <c r="BQ61" s="883"/>
      <c r="BR61" s="883"/>
      <c r="BS61" s="883"/>
      <c r="BT61" s="883"/>
      <c r="BU61" s="884"/>
      <c r="BV61" s="883" t="str">
        <f>BV1</f>
        <v>MÔN GDCD</v>
      </c>
      <c r="BW61" s="883"/>
      <c r="BX61" s="883"/>
      <c r="BY61" s="883"/>
      <c r="BZ61" s="883"/>
      <c r="CA61" s="883"/>
      <c r="CB61" s="884"/>
      <c r="CC61" s="883" t="str">
        <f>CC1</f>
        <v>MÔN CÔNG NGHỆ</v>
      </c>
      <c r="CD61" s="883"/>
      <c r="CE61" s="883"/>
      <c r="CF61" s="883"/>
      <c r="CG61" s="883"/>
      <c r="CH61" s="883"/>
      <c r="CI61" s="884"/>
      <c r="CJ61" s="883" t="str">
        <f>CJ1</f>
        <v>MÔN THỂ DỤC</v>
      </c>
      <c r="CK61" s="883"/>
      <c r="CL61" s="883"/>
      <c r="CM61" s="883"/>
      <c r="CN61" s="883"/>
      <c r="CO61" s="883"/>
      <c r="CP61" s="883"/>
      <c r="CQ61" s="889" t="str">
        <f>CQ1</f>
        <v>MÔN GDQP-AN</v>
      </c>
      <c r="CR61" s="883"/>
      <c r="CS61" s="883"/>
      <c r="CT61" s="883"/>
      <c r="CU61" s="883"/>
      <c r="CV61" s="883"/>
      <c r="CW61" s="884"/>
      <c r="CX61" s="883" t="str">
        <f>CX1</f>
        <v>MÔN NGHỀ PHỔ THÔNG</v>
      </c>
      <c r="CY61" s="883"/>
      <c r="CZ61" s="883"/>
      <c r="DA61" s="883"/>
      <c r="DB61" s="883"/>
      <c r="DC61" s="883"/>
      <c r="DD61" s="884"/>
    </row>
    <row r="62" spans="2:113" s="129" customFormat="1" ht="15.9" customHeight="1">
      <c r="B62" s="903" t="s">
        <v>77</v>
      </c>
      <c r="C62" s="904"/>
      <c r="D62" s="904"/>
      <c r="E62" s="905"/>
      <c r="F62" s="130" t="s">
        <v>11</v>
      </c>
      <c r="G62" s="604" t="s">
        <v>170</v>
      </c>
      <c r="H62" s="131">
        <v>10</v>
      </c>
      <c r="I62" s="132"/>
      <c r="J62" s="133"/>
      <c r="K62" s="135">
        <f t="shared" ref="K62:AP62" si="43">COUNTIFS($C$4:$C$58,"?*",K4:K58,"&lt;=10") - COUNTIFS($C$4:$C$58,"?*",K4:K58,"&lt;=7.9")</f>
        <v>36</v>
      </c>
      <c r="L62" s="135">
        <f t="shared" si="43"/>
        <v>36</v>
      </c>
      <c r="M62" s="135">
        <f t="shared" si="43"/>
        <v>36</v>
      </c>
      <c r="N62" s="135">
        <f t="shared" si="43"/>
        <v>36</v>
      </c>
      <c r="O62" s="135">
        <f t="shared" si="43"/>
        <v>36</v>
      </c>
      <c r="P62" s="135">
        <f t="shared" si="43"/>
        <v>36</v>
      </c>
      <c r="Q62" s="136">
        <f t="shared" si="43"/>
        <v>36</v>
      </c>
      <c r="R62" s="135">
        <f t="shared" si="43"/>
        <v>36</v>
      </c>
      <c r="S62" s="135">
        <f t="shared" si="43"/>
        <v>36</v>
      </c>
      <c r="T62" s="135">
        <f t="shared" si="43"/>
        <v>36</v>
      </c>
      <c r="U62" s="135">
        <f t="shared" si="43"/>
        <v>36</v>
      </c>
      <c r="V62" s="135">
        <f t="shared" si="43"/>
        <v>36</v>
      </c>
      <c r="W62" s="135">
        <f t="shared" si="43"/>
        <v>36</v>
      </c>
      <c r="X62" s="136">
        <f t="shared" si="43"/>
        <v>36</v>
      </c>
      <c r="Y62" s="135">
        <f t="shared" si="43"/>
        <v>36</v>
      </c>
      <c r="Z62" s="135">
        <f t="shared" si="43"/>
        <v>36</v>
      </c>
      <c r="AA62" s="135">
        <f t="shared" si="43"/>
        <v>36</v>
      </c>
      <c r="AB62" s="135">
        <f t="shared" si="43"/>
        <v>36</v>
      </c>
      <c r="AC62" s="135">
        <f t="shared" si="43"/>
        <v>35</v>
      </c>
      <c r="AD62" s="135">
        <f t="shared" si="43"/>
        <v>36</v>
      </c>
      <c r="AE62" s="136">
        <f t="shared" si="43"/>
        <v>36</v>
      </c>
      <c r="AF62" s="135">
        <f t="shared" si="43"/>
        <v>36</v>
      </c>
      <c r="AG62" s="135">
        <f t="shared" si="43"/>
        <v>36</v>
      </c>
      <c r="AH62" s="135">
        <f t="shared" si="43"/>
        <v>36</v>
      </c>
      <c r="AI62" s="135">
        <f t="shared" si="43"/>
        <v>0</v>
      </c>
      <c r="AJ62" s="135">
        <f t="shared" si="43"/>
        <v>36</v>
      </c>
      <c r="AK62" s="135">
        <f t="shared" si="43"/>
        <v>36</v>
      </c>
      <c r="AL62" s="136">
        <f t="shared" si="43"/>
        <v>36</v>
      </c>
      <c r="AM62" s="135">
        <f t="shared" si="43"/>
        <v>36</v>
      </c>
      <c r="AN62" s="135">
        <f t="shared" si="43"/>
        <v>36</v>
      </c>
      <c r="AO62" s="135">
        <f t="shared" si="43"/>
        <v>36</v>
      </c>
      <c r="AP62" s="135">
        <f t="shared" si="43"/>
        <v>0</v>
      </c>
      <c r="AQ62" s="135">
        <f t="shared" ref="AQ62:BV62" si="44">COUNTIFS($C$4:$C$58,"?*",AQ4:AQ58,"&lt;=10") - COUNTIFS($C$4:$C$58,"?*",AQ4:AQ58,"&lt;=7.9")</f>
        <v>36</v>
      </c>
      <c r="AR62" s="135">
        <f t="shared" si="44"/>
        <v>36</v>
      </c>
      <c r="AS62" s="136">
        <f t="shared" si="44"/>
        <v>36</v>
      </c>
      <c r="AT62" s="135">
        <f t="shared" si="44"/>
        <v>36</v>
      </c>
      <c r="AU62" s="135">
        <f t="shared" si="44"/>
        <v>36</v>
      </c>
      <c r="AV62" s="135">
        <f t="shared" si="44"/>
        <v>36</v>
      </c>
      <c r="AW62" s="135">
        <f>COUNTIFS($C$4:$C$58,"?*",AW4:AW58,"&lt;=10") - COUNTIFS($C$4:$C$58,"?*",AW4:AW58,"&lt;=7.9")</f>
        <v>30</v>
      </c>
      <c r="AX62" s="135">
        <f>COUNTIFS($C$4:$C$58,"?*",AX4:AX58,"&lt;=10") - COUNTIFS($C$4:$C$58,"?*",AX4:AX58,"&lt;=7.9")</f>
        <v>12</v>
      </c>
      <c r="AY62" s="135">
        <f>COUNTIFS($C$4:$C$58,"?*",AY4:AY58,"&lt;=10") - COUNTIFS($C$4:$C$58,"?*",AY4:AY58,"&lt;=7.9")</f>
        <v>0</v>
      </c>
      <c r="AZ62" s="136">
        <f>COUNTIFS($C$4:$C$58,"?*",AZ4:AZ58,"&lt;=10") - COUNTIFS($C$4:$C$58,"?*",AZ4:AZ58,"&lt;=7.9")</f>
        <v>5</v>
      </c>
      <c r="BA62" s="135">
        <f t="shared" si="44"/>
        <v>36</v>
      </c>
      <c r="BB62" s="135">
        <f t="shared" si="44"/>
        <v>36</v>
      </c>
      <c r="BC62" s="135">
        <f t="shared" si="44"/>
        <v>36</v>
      </c>
      <c r="BD62" s="135">
        <f t="shared" si="44"/>
        <v>0</v>
      </c>
      <c r="BE62" s="135">
        <f t="shared" si="44"/>
        <v>36</v>
      </c>
      <c r="BF62" s="135">
        <f t="shared" si="44"/>
        <v>36</v>
      </c>
      <c r="BG62" s="136">
        <f t="shared" si="44"/>
        <v>36</v>
      </c>
      <c r="BH62" s="135">
        <f t="shared" si="44"/>
        <v>36</v>
      </c>
      <c r="BI62" s="135">
        <f t="shared" si="44"/>
        <v>36</v>
      </c>
      <c r="BJ62" s="135">
        <f t="shared" si="44"/>
        <v>36</v>
      </c>
      <c r="BK62" s="135">
        <f t="shared" si="44"/>
        <v>0</v>
      </c>
      <c r="BL62" s="135">
        <f t="shared" si="44"/>
        <v>36</v>
      </c>
      <c r="BM62" s="135">
        <f t="shared" si="44"/>
        <v>36</v>
      </c>
      <c r="BN62" s="136">
        <f t="shared" si="44"/>
        <v>36</v>
      </c>
      <c r="BO62" s="135">
        <f t="shared" si="44"/>
        <v>36</v>
      </c>
      <c r="BP62" s="135">
        <f t="shared" si="44"/>
        <v>36</v>
      </c>
      <c r="BQ62" s="135">
        <f t="shared" si="44"/>
        <v>36</v>
      </c>
      <c r="BR62" s="135">
        <f t="shared" si="44"/>
        <v>36</v>
      </c>
      <c r="BS62" s="135">
        <f t="shared" si="44"/>
        <v>36</v>
      </c>
      <c r="BT62" s="135">
        <f t="shared" si="44"/>
        <v>36</v>
      </c>
      <c r="BU62" s="136">
        <f t="shared" si="44"/>
        <v>36</v>
      </c>
      <c r="BV62" s="135">
        <f t="shared" si="44"/>
        <v>36</v>
      </c>
      <c r="BW62" s="135">
        <f t="shared" ref="BW62:CI62" si="45">COUNTIFS($C$4:$C$58,"?*",BW4:BW58,"&lt;=10") - COUNTIFS($C$4:$C$58,"?*",BW4:BW58,"&lt;=7.9")</f>
        <v>36</v>
      </c>
      <c r="BX62" s="135">
        <f t="shared" si="45"/>
        <v>0</v>
      </c>
      <c r="BY62" s="135">
        <f t="shared" si="45"/>
        <v>0</v>
      </c>
      <c r="BZ62" s="135">
        <f t="shared" si="45"/>
        <v>36</v>
      </c>
      <c r="CA62" s="135">
        <f t="shared" si="45"/>
        <v>36</v>
      </c>
      <c r="CB62" s="136">
        <f t="shared" si="45"/>
        <v>36</v>
      </c>
      <c r="CC62" s="135">
        <f t="shared" si="45"/>
        <v>36</v>
      </c>
      <c r="CD62" s="135">
        <f t="shared" si="45"/>
        <v>36</v>
      </c>
      <c r="CE62" s="135">
        <f t="shared" si="45"/>
        <v>0</v>
      </c>
      <c r="CF62" s="135">
        <f t="shared" si="45"/>
        <v>0</v>
      </c>
      <c r="CG62" s="135">
        <f t="shared" si="45"/>
        <v>36</v>
      </c>
      <c r="CH62" s="135">
        <f t="shared" si="45"/>
        <v>36</v>
      </c>
      <c r="CI62" s="136">
        <f t="shared" si="45"/>
        <v>36</v>
      </c>
      <c r="CJ62" s="135">
        <f t="shared" ref="CJ62:CP62" si="46">COUNTIFS($C$4:$C$58,"?*",CJ4:CJ58,"Đ")</f>
        <v>36</v>
      </c>
      <c r="CK62" s="135">
        <f t="shared" si="46"/>
        <v>36</v>
      </c>
      <c r="CL62" s="135">
        <f t="shared" si="46"/>
        <v>36</v>
      </c>
      <c r="CM62" s="135">
        <f t="shared" si="46"/>
        <v>0</v>
      </c>
      <c r="CN62" s="135">
        <f t="shared" si="46"/>
        <v>36</v>
      </c>
      <c r="CO62" s="135">
        <f t="shared" si="46"/>
        <v>36</v>
      </c>
      <c r="CP62" s="605">
        <f t="shared" si="46"/>
        <v>36</v>
      </c>
      <c r="CQ62" s="134">
        <f t="shared" ref="CQ62:DD62" si="47">COUNTIFS($C$4:$C$58,"?*",CQ4:CQ58,"&lt;=10") - COUNTIFS($C$4:$C$58,"?*",CQ4:CQ58,"&lt;=7.9")</f>
        <v>36</v>
      </c>
      <c r="CR62" s="135">
        <f t="shared" si="47"/>
        <v>36</v>
      </c>
      <c r="CS62" s="135">
        <f t="shared" si="47"/>
        <v>0</v>
      </c>
      <c r="CT62" s="135">
        <f t="shared" si="47"/>
        <v>0</v>
      </c>
      <c r="CU62" s="135">
        <f t="shared" si="47"/>
        <v>36</v>
      </c>
      <c r="CV62" s="135">
        <f t="shared" si="47"/>
        <v>36</v>
      </c>
      <c r="CW62" s="136">
        <f t="shared" si="47"/>
        <v>36</v>
      </c>
      <c r="CX62" s="135">
        <f t="shared" si="47"/>
        <v>0</v>
      </c>
      <c r="CY62" s="135">
        <f t="shared" si="47"/>
        <v>0</v>
      </c>
      <c r="CZ62" s="135">
        <f t="shared" si="47"/>
        <v>0</v>
      </c>
      <c r="DA62" s="135">
        <f t="shared" si="47"/>
        <v>0</v>
      </c>
      <c r="DB62" s="135">
        <f t="shared" si="47"/>
        <v>0</v>
      </c>
      <c r="DC62" s="135">
        <f t="shared" si="47"/>
        <v>0</v>
      </c>
      <c r="DD62" s="136">
        <f t="shared" si="47"/>
        <v>-36</v>
      </c>
    </row>
    <row r="63" spans="2:113" s="129" customFormat="1" ht="15.9" customHeight="1">
      <c r="B63" s="906"/>
      <c r="C63" s="907"/>
      <c r="D63" s="907"/>
      <c r="E63" s="908"/>
      <c r="F63" s="137" t="s">
        <v>12</v>
      </c>
      <c r="G63" s="606" t="s">
        <v>41</v>
      </c>
      <c r="H63" s="138">
        <v>7.9</v>
      </c>
      <c r="I63" s="139"/>
      <c r="J63" s="140"/>
      <c r="K63" s="142">
        <f t="shared" ref="K63:Q63" si="48">COUNTIFS($C$4:$C$58,"?*",K4:K58,"&lt;=7.9") - COUNTIFS($C$4:$C$58,"?*",K4:K58,"&lt;=6.4")</f>
        <v>0</v>
      </c>
      <c r="L63" s="142">
        <f t="shared" si="48"/>
        <v>0</v>
      </c>
      <c r="M63" s="142">
        <f t="shared" si="48"/>
        <v>0</v>
      </c>
      <c r="N63" s="142">
        <f t="shared" si="48"/>
        <v>0</v>
      </c>
      <c r="O63" s="142">
        <f t="shared" si="48"/>
        <v>0</v>
      </c>
      <c r="P63" s="142">
        <f t="shared" si="48"/>
        <v>0</v>
      </c>
      <c r="Q63" s="143">
        <f t="shared" si="48"/>
        <v>0</v>
      </c>
      <c r="R63" s="142">
        <f t="shared" ref="R63:AE63" si="49">COUNTIFS($C$4:$C$58,"?*",R4:R58,"&lt;=7.9") - COUNTIFS($C$4:$C$58,"?*",R4:R58,"&lt;=6.4")</f>
        <v>0</v>
      </c>
      <c r="S63" s="142">
        <f t="shared" si="49"/>
        <v>0</v>
      </c>
      <c r="T63" s="142">
        <f t="shared" si="49"/>
        <v>0</v>
      </c>
      <c r="U63" s="142">
        <f t="shared" si="49"/>
        <v>0</v>
      </c>
      <c r="V63" s="142">
        <f t="shared" si="49"/>
        <v>0</v>
      </c>
      <c r="W63" s="142">
        <f t="shared" si="49"/>
        <v>0</v>
      </c>
      <c r="X63" s="143">
        <f t="shared" si="49"/>
        <v>0</v>
      </c>
      <c r="Y63" s="142">
        <f t="shared" si="49"/>
        <v>0</v>
      </c>
      <c r="Z63" s="142">
        <f t="shared" si="49"/>
        <v>0</v>
      </c>
      <c r="AA63" s="142">
        <f t="shared" si="49"/>
        <v>0</v>
      </c>
      <c r="AB63" s="142">
        <f t="shared" si="49"/>
        <v>0</v>
      </c>
      <c r="AC63" s="142">
        <f t="shared" si="49"/>
        <v>1</v>
      </c>
      <c r="AD63" s="142">
        <f t="shared" si="49"/>
        <v>0</v>
      </c>
      <c r="AE63" s="143">
        <f t="shared" si="49"/>
        <v>0</v>
      </c>
      <c r="AF63" s="142">
        <f t="shared" ref="AF63:BG63" si="50">COUNTIFS($C$4:$C$58,"?*",AF4:AF58,"&lt;=7.9") - COUNTIFS($C$4:$C$58,"?*",AF4:AF58,"&lt;=6.4")</f>
        <v>0</v>
      </c>
      <c r="AG63" s="142">
        <f t="shared" si="50"/>
        <v>0</v>
      </c>
      <c r="AH63" s="142">
        <f t="shared" si="50"/>
        <v>0</v>
      </c>
      <c r="AI63" s="142">
        <f t="shared" si="50"/>
        <v>0</v>
      </c>
      <c r="AJ63" s="142">
        <f t="shared" si="50"/>
        <v>0</v>
      </c>
      <c r="AK63" s="142">
        <f t="shared" si="50"/>
        <v>0</v>
      </c>
      <c r="AL63" s="143">
        <f t="shared" si="50"/>
        <v>0</v>
      </c>
      <c r="AM63" s="142">
        <f t="shared" si="50"/>
        <v>0</v>
      </c>
      <c r="AN63" s="142">
        <f t="shared" si="50"/>
        <v>0</v>
      </c>
      <c r="AO63" s="142">
        <f t="shared" si="50"/>
        <v>0</v>
      </c>
      <c r="AP63" s="142">
        <f t="shared" si="50"/>
        <v>0</v>
      </c>
      <c r="AQ63" s="142">
        <f t="shared" si="50"/>
        <v>0</v>
      </c>
      <c r="AR63" s="142">
        <f t="shared" si="50"/>
        <v>0</v>
      </c>
      <c r="AS63" s="143">
        <f t="shared" si="50"/>
        <v>0</v>
      </c>
      <c r="AT63" s="142">
        <f t="shared" si="50"/>
        <v>0</v>
      </c>
      <c r="AU63" s="142">
        <f t="shared" si="50"/>
        <v>0</v>
      </c>
      <c r="AV63" s="142">
        <f t="shared" si="50"/>
        <v>0</v>
      </c>
      <c r="AW63" s="142">
        <f>COUNTIFS($C$4:$C$58,"?*",AW4:AW58,"&lt;=7.9") - COUNTIFS($C$4:$C$58,"?*",AW4:AW58,"&lt;=6.4")</f>
        <v>5</v>
      </c>
      <c r="AX63" s="142">
        <f>COUNTIFS($C$4:$C$58,"?*",AX4:AX58,"&lt;=7.9") - COUNTIFS($C$4:$C$58,"?*",AX4:AX58,"&lt;=6.4")</f>
        <v>24</v>
      </c>
      <c r="AY63" s="142">
        <f>COUNTIFS($C$4:$C$58,"?*",AY4:AY58,"&lt;=7.9") - COUNTIFS($C$4:$C$58,"?*",AY4:AY58,"&lt;=6.4")</f>
        <v>17</v>
      </c>
      <c r="AZ63" s="143">
        <f>COUNTIFS($C$4:$C$58,"?*",AZ4:AZ58,"&lt;=7.9") - COUNTIFS($C$4:$C$58,"?*",AZ4:AZ58,"&lt;=6.4")</f>
        <v>31</v>
      </c>
      <c r="BA63" s="142">
        <f t="shared" si="50"/>
        <v>0</v>
      </c>
      <c r="BB63" s="142">
        <f t="shared" si="50"/>
        <v>0</v>
      </c>
      <c r="BC63" s="142">
        <f t="shared" si="50"/>
        <v>0</v>
      </c>
      <c r="BD63" s="142">
        <f t="shared" si="50"/>
        <v>0</v>
      </c>
      <c r="BE63" s="142">
        <f t="shared" si="50"/>
        <v>0</v>
      </c>
      <c r="BF63" s="142">
        <f t="shared" si="50"/>
        <v>0</v>
      </c>
      <c r="BG63" s="143">
        <f t="shared" si="50"/>
        <v>0</v>
      </c>
      <c r="BH63" s="142">
        <f t="shared" ref="BH63:CI63" si="51">COUNTIFS($C$4:$C$58,"?*",BH4:BH58,"&lt;=7.9") - COUNTIFS($C$4:$C$58,"?*",BH4:BH58,"&lt;=6.4")</f>
        <v>0</v>
      </c>
      <c r="BI63" s="142">
        <f t="shared" si="51"/>
        <v>0</v>
      </c>
      <c r="BJ63" s="142">
        <f t="shared" si="51"/>
        <v>0</v>
      </c>
      <c r="BK63" s="142">
        <f t="shared" si="51"/>
        <v>0</v>
      </c>
      <c r="BL63" s="142">
        <f t="shared" si="51"/>
        <v>0</v>
      </c>
      <c r="BM63" s="142">
        <f t="shared" si="51"/>
        <v>0</v>
      </c>
      <c r="BN63" s="143">
        <f t="shared" si="51"/>
        <v>0</v>
      </c>
      <c r="BO63" s="142">
        <f t="shared" si="51"/>
        <v>0</v>
      </c>
      <c r="BP63" s="142">
        <f t="shared" si="51"/>
        <v>0</v>
      </c>
      <c r="BQ63" s="142">
        <f t="shared" si="51"/>
        <v>0</v>
      </c>
      <c r="BR63" s="142">
        <f t="shared" si="51"/>
        <v>0</v>
      </c>
      <c r="BS63" s="142">
        <f t="shared" si="51"/>
        <v>0</v>
      </c>
      <c r="BT63" s="142">
        <f t="shared" si="51"/>
        <v>0</v>
      </c>
      <c r="BU63" s="143">
        <f t="shared" si="51"/>
        <v>0</v>
      </c>
      <c r="BV63" s="142">
        <f t="shared" si="51"/>
        <v>0</v>
      </c>
      <c r="BW63" s="142">
        <f t="shared" si="51"/>
        <v>0</v>
      </c>
      <c r="BX63" s="142">
        <f t="shared" si="51"/>
        <v>0</v>
      </c>
      <c r="BY63" s="142">
        <f t="shared" si="51"/>
        <v>0</v>
      </c>
      <c r="BZ63" s="142">
        <f t="shared" si="51"/>
        <v>0</v>
      </c>
      <c r="CA63" s="142">
        <f t="shared" si="51"/>
        <v>0</v>
      </c>
      <c r="CB63" s="143">
        <f t="shared" si="51"/>
        <v>0</v>
      </c>
      <c r="CC63" s="142">
        <f t="shared" si="51"/>
        <v>0</v>
      </c>
      <c r="CD63" s="142">
        <f t="shared" si="51"/>
        <v>0</v>
      </c>
      <c r="CE63" s="142">
        <f t="shared" si="51"/>
        <v>0</v>
      </c>
      <c r="CF63" s="142">
        <f t="shared" si="51"/>
        <v>0</v>
      </c>
      <c r="CG63" s="142">
        <f t="shared" si="51"/>
        <v>0</v>
      </c>
      <c r="CH63" s="142">
        <f t="shared" si="51"/>
        <v>0</v>
      </c>
      <c r="CI63" s="143">
        <f t="shared" si="51"/>
        <v>0</v>
      </c>
      <c r="CJ63" s="607">
        <f t="shared" ref="CJ63:CP63" si="52">COUNTIFS($C$4:$C$58,"?*",CJ4:CJ58,"CĐ")</f>
        <v>0</v>
      </c>
      <c r="CK63" s="607">
        <f t="shared" si="52"/>
        <v>0</v>
      </c>
      <c r="CL63" s="607">
        <f t="shared" si="52"/>
        <v>0</v>
      </c>
      <c r="CM63" s="607">
        <f t="shared" si="52"/>
        <v>0</v>
      </c>
      <c r="CN63" s="607">
        <f t="shared" si="52"/>
        <v>0</v>
      </c>
      <c r="CO63" s="607">
        <f t="shared" si="52"/>
        <v>0</v>
      </c>
      <c r="CP63" s="608">
        <f t="shared" si="52"/>
        <v>0</v>
      </c>
      <c r="CQ63" s="141">
        <f t="shared" ref="CQ63:DD63" si="53">COUNTIFS($C$4:$C$58,"?*",CQ4:CQ58,"&lt;=7.9") - COUNTIFS($C$4:$C$58,"?*",CQ4:CQ58,"&lt;=6.4")</f>
        <v>0</v>
      </c>
      <c r="CR63" s="142">
        <f t="shared" si="53"/>
        <v>0</v>
      </c>
      <c r="CS63" s="142">
        <f t="shared" si="53"/>
        <v>0</v>
      </c>
      <c r="CT63" s="142">
        <f t="shared" si="53"/>
        <v>0</v>
      </c>
      <c r="CU63" s="142">
        <f t="shared" si="53"/>
        <v>0</v>
      </c>
      <c r="CV63" s="142">
        <f t="shared" si="53"/>
        <v>0</v>
      </c>
      <c r="CW63" s="143">
        <f t="shared" si="53"/>
        <v>0</v>
      </c>
      <c r="CX63" s="142">
        <f t="shared" si="53"/>
        <v>0</v>
      </c>
      <c r="CY63" s="142">
        <f t="shared" si="53"/>
        <v>0</v>
      </c>
      <c r="CZ63" s="142">
        <f t="shared" si="53"/>
        <v>0</v>
      </c>
      <c r="DA63" s="142">
        <f t="shared" si="53"/>
        <v>0</v>
      </c>
      <c r="DB63" s="142">
        <f t="shared" si="53"/>
        <v>0</v>
      </c>
      <c r="DC63" s="142">
        <f t="shared" si="53"/>
        <v>0</v>
      </c>
      <c r="DD63" s="143">
        <f t="shared" si="53"/>
        <v>0</v>
      </c>
    </row>
    <row r="64" spans="2:113" s="129" customFormat="1" ht="15.9" customHeight="1">
      <c r="B64" s="906"/>
      <c r="C64" s="907"/>
      <c r="D64" s="907"/>
      <c r="E64" s="908"/>
      <c r="F64" s="137" t="s">
        <v>13</v>
      </c>
      <c r="G64" s="606" t="s">
        <v>171</v>
      </c>
      <c r="H64" s="138">
        <v>6.4</v>
      </c>
      <c r="I64" s="139"/>
      <c r="J64" s="140"/>
      <c r="K64" s="142">
        <f t="shared" ref="K64:Q64" si="54">COUNTIFS($C$4:$C$58,"?*",K4:K58,"&lt;=6.4") - COUNTIFS($C$4:$C$58,"?*",K4:K58,"&lt;=4.9")</f>
        <v>0</v>
      </c>
      <c r="L64" s="142">
        <f t="shared" si="54"/>
        <v>0</v>
      </c>
      <c r="M64" s="142">
        <f t="shared" si="54"/>
        <v>0</v>
      </c>
      <c r="N64" s="142">
        <f t="shared" si="54"/>
        <v>0</v>
      </c>
      <c r="O64" s="142">
        <f t="shared" si="54"/>
        <v>0</v>
      </c>
      <c r="P64" s="142">
        <f t="shared" si="54"/>
        <v>0</v>
      </c>
      <c r="Q64" s="143">
        <f t="shared" si="54"/>
        <v>0</v>
      </c>
      <c r="R64" s="142">
        <f t="shared" ref="R64:AE64" si="55">COUNTIFS($C$4:$C$58,"?*",R4:R58,"&lt;=6.4") - COUNTIFS($C$4:$C$58,"?*",R4:R58,"&lt;=4.9")</f>
        <v>0</v>
      </c>
      <c r="S64" s="142">
        <f t="shared" si="55"/>
        <v>0</v>
      </c>
      <c r="T64" s="142">
        <f t="shared" si="55"/>
        <v>0</v>
      </c>
      <c r="U64" s="142">
        <f t="shared" si="55"/>
        <v>0</v>
      </c>
      <c r="V64" s="142">
        <f t="shared" si="55"/>
        <v>0</v>
      </c>
      <c r="W64" s="142">
        <f t="shared" si="55"/>
        <v>0</v>
      </c>
      <c r="X64" s="143">
        <f t="shared" si="55"/>
        <v>0</v>
      </c>
      <c r="Y64" s="142">
        <f t="shared" si="55"/>
        <v>0</v>
      </c>
      <c r="Z64" s="142">
        <f t="shared" si="55"/>
        <v>0</v>
      </c>
      <c r="AA64" s="142">
        <f t="shared" si="55"/>
        <v>0</v>
      </c>
      <c r="AB64" s="142">
        <f t="shared" si="55"/>
        <v>0</v>
      </c>
      <c r="AC64" s="142">
        <f t="shared" si="55"/>
        <v>0</v>
      </c>
      <c r="AD64" s="142">
        <f t="shared" si="55"/>
        <v>0</v>
      </c>
      <c r="AE64" s="143">
        <f t="shared" si="55"/>
        <v>0</v>
      </c>
      <c r="AF64" s="142">
        <f t="shared" ref="AF64:BG64" si="56">COUNTIFS($C$4:$C$58,"?*",AF4:AF58,"&lt;=6.4") - COUNTIFS($C$4:$C$58,"?*",AF4:AF58,"&lt;=4.9")</f>
        <v>0</v>
      </c>
      <c r="AG64" s="142">
        <f t="shared" si="56"/>
        <v>0</v>
      </c>
      <c r="AH64" s="142">
        <f t="shared" si="56"/>
        <v>0</v>
      </c>
      <c r="AI64" s="142">
        <f t="shared" si="56"/>
        <v>0</v>
      </c>
      <c r="AJ64" s="142">
        <f t="shared" si="56"/>
        <v>0</v>
      </c>
      <c r="AK64" s="142">
        <f t="shared" si="56"/>
        <v>0</v>
      </c>
      <c r="AL64" s="143">
        <f t="shared" si="56"/>
        <v>0</v>
      </c>
      <c r="AM64" s="142">
        <f t="shared" si="56"/>
        <v>0</v>
      </c>
      <c r="AN64" s="142">
        <f t="shared" si="56"/>
        <v>0</v>
      </c>
      <c r="AO64" s="142">
        <f t="shared" si="56"/>
        <v>0</v>
      </c>
      <c r="AP64" s="142">
        <f t="shared" si="56"/>
        <v>0</v>
      </c>
      <c r="AQ64" s="142">
        <f t="shared" si="56"/>
        <v>0</v>
      </c>
      <c r="AR64" s="142">
        <f t="shared" si="56"/>
        <v>0</v>
      </c>
      <c r="AS64" s="143">
        <f t="shared" si="56"/>
        <v>0</v>
      </c>
      <c r="AT64" s="142">
        <f t="shared" si="56"/>
        <v>0</v>
      </c>
      <c r="AU64" s="142">
        <f t="shared" si="56"/>
        <v>0</v>
      </c>
      <c r="AV64" s="142">
        <f t="shared" si="56"/>
        <v>0</v>
      </c>
      <c r="AW64" s="142">
        <f>COUNTIFS($C$4:$C$58,"?*",AW4:AW58,"&lt;=6.4") - COUNTIFS($C$4:$C$58,"?*",AW4:AW58,"&lt;=4.9")</f>
        <v>1</v>
      </c>
      <c r="AX64" s="142">
        <f>COUNTIFS($C$4:$C$58,"?*",AX4:AX58,"&lt;=6.4") - COUNTIFS($C$4:$C$58,"?*",AX4:AX58,"&lt;=4.9")</f>
        <v>0</v>
      </c>
      <c r="AY64" s="142">
        <f>COUNTIFS($C$4:$C$58,"?*",AY4:AY58,"&lt;=6.4") - COUNTIFS($C$4:$C$58,"?*",AY4:AY58,"&lt;=4.9")</f>
        <v>19</v>
      </c>
      <c r="AZ64" s="143">
        <f>COUNTIFS($C$4:$C$58,"?*",AZ4:AZ58,"&lt;=6.4") - COUNTIFS($C$4:$C$58,"?*",AZ4:AZ58,"&lt;=4.9")</f>
        <v>0</v>
      </c>
      <c r="BA64" s="142">
        <f t="shared" si="56"/>
        <v>0</v>
      </c>
      <c r="BB64" s="142">
        <f t="shared" si="56"/>
        <v>0</v>
      </c>
      <c r="BC64" s="142">
        <f t="shared" si="56"/>
        <v>0</v>
      </c>
      <c r="BD64" s="142">
        <f t="shared" si="56"/>
        <v>0</v>
      </c>
      <c r="BE64" s="142">
        <f t="shared" si="56"/>
        <v>0</v>
      </c>
      <c r="BF64" s="142">
        <f t="shared" si="56"/>
        <v>0</v>
      </c>
      <c r="BG64" s="143">
        <f t="shared" si="56"/>
        <v>0</v>
      </c>
      <c r="BH64" s="142">
        <f t="shared" ref="BH64:CI64" si="57">COUNTIFS($C$4:$C$58,"?*",BH4:BH58,"&lt;=6.4") - COUNTIFS($C$4:$C$58,"?*",BH4:BH58,"&lt;=4.9")</f>
        <v>0</v>
      </c>
      <c r="BI64" s="142">
        <f t="shared" si="57"/>
        <v>0</v>
      </c>
      <c r="BJ64" s="142">
        <f t="shared" si="57"/>
        <v>0</v>
      </c>
      <c r="BK64" s="142">
        <f t="shared" si="57"/>
        <v>0</v>
      </c>
      <c r="BL64" s="142">
        <f t="shared" si="57"/>
        <v>0</v>
      </c>
      <c r="BM64" s="142">
        <f t="shared" si="57"/>
        <v>0</v>
      </c>
      <c r="BN64" s="143">
        <f t="shared" si="57"/>
        <v>0</v>
      </c>
      <c r="BO64" s="142">
        <f t="shared" si="57"/>
        <v>0</v>
      </c>
      <c r="BP64" s="142">
        <f t="shared" si="57"/>
        <v>0</v>
      </c>
      <c r="BQ64" s="142">
        <f t="shared" si="57"/>
        <v>0</v>
      </c>
      <c r="BR64" s="142">
        <f t="shared" si="57"/>
        <v>0</v>
      </c>
      <c r="BS64" s="142">
        <f t="shared" si="57"/>
        <v>0</v>
      </c>
      <c r="BT64" s="142">
        <f t="shared" si="57"/>
        <v>0</v>
      </c>
      <c r="BU64" s="143">
        <f t="shared" si="57"/>
        <v>0</v>
      </c>
      <c r="BV64" s="142">
        <f t="shared" si="57"/>
        <v>0</v>
      </c>
      <c r="BW64" s="142">
        <f t="shared" si="57"/>
        <v>0</v>
      </c>
      <c r="BX64" s="142">
        <f t="shared" si="57"/>
        <v>0</v>
      </c>
      <c r="BY64" s="142">
        <f t="shared" si="57"/>
        <v>0</v>
      </c>
      <c r="BZ64" s="142">
        <f t="shared" si="57"/>
        <v>0</v>
      </c>
      <c r="CA64" s="142">
        <f t="shared" si="57"/>
        <v>0</v>
      </c>
      <c r="CB64" s="143">
        <f t="shared" si="57"/>
        <v>0</v>
      </c>
      <c r="CC64" s="142">
        <f t="shared" si="57"/>
        <v>0</v>
      </c>
      <c r="CD64" s="142">
        <f t="shared" si="57"/>
        <v>0</v>
      </c>
      <c r="CE64" s="142">
        <f t="shared" si="57"/>
        <v>0</v>
      </c>
      <c r="CF64" s="142">
        <f t="shared" si="57"/>
        <v>0</v>
      </c>
      <c r="CG64" s="142">
        <f t="shared" si="57"/>
        <v>0</v>
      </c>
      <c r="CH64" s="142">
        <f t="shared" si="57"/>
        <v>0</v>
      </c>
      <c r="CI64" s="143">
        <f t="shared" si="57"/>
        <v>0</v>
      </c>
      <c r="CQ64" s="141">
        <f t="shared" ref="CQ64:DD64" si="58">COUNTIFS($C$4:$C$58,"?*",CQ4:CQ58,"&lt;=6.4") - COUNTIFS($C$4:$C$58,"?*",CQ4:CQ58,"&lt;=4.9")</f>
        <v>0</v>
      </c>
      <c r="CR64" s="142">
        <f t="shared" si="58"/>
        <v>0</v>
      </c>
      <c r="CS64" s="142">
        <f t="shared" si="58"/>
        <v>0</v>
      </c>
      <c r="CT64" s="142">
        <f t="shared" si="58"/>
        <v>0</v>
      </c>
      <c r="CU64" s="142">
        <f t="shared" si="58"/>
        <v>0</v>
      </c>
      <c r="CV64" s="142">
        <f t="shared" si="58"/>
        <v>0</v>
      </c>
      <c r="CW64" s="143">
        <f t="shared" si="58"/>
        <v>0</v>
      </c>
      <c r="CX64" s="142">
        <f t="shared" si="58"/>
        <v>0</v>
      </c>
      <c r="CY64" s="142">
        <f t="shared" si="58"/>
        <v>0</v>
      </c>
      <c r="CZ64" s="142">
        <f t="shared" si="58"/>
        <v>0</v>
      </c>
      <c r="DA64" s="142">
        <f t="shared" si="58"/>
        <v>0</v>
      </c>
      <c r="DB64" s="142">
        <f t="shared" si="58"/>
        <v>0</v>
      </c>
      <c r="DC64" s="142">
        <f t="shared" si="58"/>
        <v>0</v>
      </c>
      <c r="DD64" s="143">
        <f t="shared" si="58"/>
        <v>0</v>
      </c>
    </row>
    <row r="65" spans="2:108" s="129" customFormat="1" ht="15.9" customHeight="1">
      <c r="B65" s="906"/>
      <c r="C65" s="907"/>
      <c r="D65" s="907"/>
      <c r="E65" s="908"/>
      <c r="F65" s="137" t="s">
        <v>14</v>
      </c>
      <c r="G65" s="606" t="s">
        <v>43</v>
      </c>
      <c r="H65" s="138">
        <v>4.9000000000000004</v>
      </c>
      <c r="I65" s="139"/>
      <c r="J65" s="140"/>
      <c r="K65" s="142">
        <f t="shared" ref="K65:Q65" si="59">COUNTIFS($C$4:$C$58,"?*",K4:K58,"&lt;=4.9") - COUNTIFS($C$4:$C$58,"?*",K4:K58,"&lt;=3.4")</f>
        <v>0</v>
      </c>
      <c r="L65" s="142">
        <f t="shared" si="59"/>
        <v>0</v>
      </c>
      <c r="M65" s="142">
        <f t="shared" si="59"/>
        <v>0</v>
      </c>
      <c r="N65" s="142">
        <f t="shared" si="59"/>
        <v>0</v>
      </c>
      <c r="O65" s="142">
        <f t="shared" si="59"/>
        <v>0</v>
      </c>
      <c r="P65" s="142">
        <f t="shared" si="59"/>
        <v>0</v>
      </c>
      <c r="Q65" s="143">
        <f t="shared" si="59"/>
        <v>0</v>
      </c>
      <c r="R65" s="142">
        <f t="shared" ref="R65:AE65" si="60">COUNTIFS($C$4:$C$58,"?*",R4:R58,"&lt;=4.9") - COUNTIFS($C$4:$C$58,"?*",R4:R58,"&lt;=3.4")</f>
        <v>0</v>
      </c>
      <c r="S65" s="142">
        <f t="shared" si="60"/>
        <v>0</v>
      </c>
      <c r="T65" s="142">
        <f t="shared" si="60"/>
        <v>0</v>
      </c>
      <c r="U65" s="142">
        <f t="shared" si="60"/>
        <v>0</v>
      </c>
      <c r="V65" s="142">
        <f t="shared" si="60"/>
        <v>0</v>
      </c>
      <c r="W65" s="142">
        <f t="shared" si="60"/>
        <v>0</v>
      </c>
      <c r="X65" s="143">
        <f t="shared" si="60"/>
        <v>0</v>
      </c>
      <c r="Y65" s="142">
        <f t="shared" si="60"/>
        <v>0</v>
      </c>
      <c r="Z65" s="142">
        <f t="shared" si="60"/>
        <v>0</v>
      </c>
      <c r="AA65" s="142">
        <f t="shared" si="60"/>
        <v>0</v>
      </c>
      <c r="AB65" s="142">
        <f t="shared" si="60"/>
        <v>0</v>
      </c>
      <c r="AC65" s="142">
        <f t="shared" si="60"/>
        <v>0</v>
      </c>
      <c r="AD65" s="142">
        <f t="shared" si="60"/>
        <v>0</v>
      </c>
      <c r="AE65" s="143">
        <f t="shared" si="60"/>
        <v>0</v>
      </c>
      <c r="AF65" s="142">
        <f t="shared" ref="AF65:BG65" si="61">COUNTIFS($C$4:$C$58,"?*",AF4:AF58,"&lt;=4.9") - COUNTIFS($C$4:$C$58,"?*",AF4:AF58,"&lt;=3.4")</f>
        <v>0</v>
      </c>
      <c r="AG65" s="142">
        <f t="shared" si="61"/>
        <v>0</v>
      </c>
      <c r="AH65" s="142">
        <f t="shared" si="61"/>
        <v>0</v>
      </c>
      <c r="AI65" s="142">
        <f t="shared" si="61"/>
        <v>0</v>
      </c>
      <c r="AJ65" s="142">
        <f t="shared" si="61"/>
        <v>0</v>
      </c>
      <c r="AK65" s="142">
        <f t="shared" si="61"/>
        <v>0</v>
      </c>
      <c r="AL65" s="143">
        <f t="shared" si="61"/>
        <v>0</v>
      </c>
      <c r="AM65" s="142">
        <f t="shared" si="61"/>
        <v>0</v>
      </c>
      <c r="AN65" s="142">
        <f t="shared" si="61"/>
        <v>0</v>
      </c>
      <c r="AO65" s="142">
        <f t="shared" si="61"/>
        <v>0</v>
      </c>
      <c r="AP65" s="142">
        <f t="shared" si="61"/>
        <v>0</v>
      </c>
      <c r="AQ65" s="142">
        <f t="shared" si="61"/>
        <v>0</v>
      </c>
      <c r="AR65" s="142">
        <f t="shared" si="61"/>
        <v>0</v>
      </c>
      <c r="AS65" s="143">
        <f t="shared" si="61"/>
        <v>0</v>
      </c>
      <c r="AT65" s="142">
        <f t="shared" si="61"/>
        <v>0</v>
      </c>
      <c r="AU65" s="142">
        <f t="shared" si="61"/>
        <v>0</v>
      </c>
      <c r="AV65" s="142">
        <f t="shared" si="61"/>
        <v>0</v>
      </c>
      <c r="AW65" s="142">
        <f>COUNTIFS($C$4:$C$58,"?*",AW4:AW58,"&lt;=4.9") - COUNTIFS($C$4:$C$58,"?*",AW4:AW58,"&lt;=3.4")</f>
        <v>0</v>
      </c>
      <c r="AX65" s="142">
        <f>COUNTIFS($C$4:$C$58,"?*",AX4:AX58,"&lt;=4.9") - COUNTIFS($C$4:$C$58,"?*",AX4:AX58,"&lt;=3.4")</f>
        <v>0</v>
      </c>
      <c r="AY65" s="142">
        <f>COUNTIFS($C$4:$C$58,"?*",AY4:AY58,"&lt;=4.9") - COUNTIFS($C$4:$C$58,"?*",AY4:AY58,"&lt;=3.4")</f>
        <v>0</v>
      </c>
      <c r="AZ65" s="143">
        <f>COUNTIFS($C$4:$C$58,"?*",AZ4:AZ58,"&lt;=4.9") - COUNTIFS($C$4:$C$58,"?*",AZ4:AZ58,"&lt;=3.4")</f>
        <v>0</v>
      </c>
      <c r="BA65" s="142">
        <f t="shared" si="61"/>
        <v>0</v>
      </c>
      <c r="BB65" s="142">
        <f t="shared" si="61"/>
        <v>0</v>
      </c>
      <c r="BC65" s="142">
        <f t="shared" si="61"/>
        <v>0</v>
      </c>
      <c r="BD65" s="142">
        <f t="shared" si="61"/>
        <v>0</v>
      </c>
      <c r="BE65" s="142">
        <f t="shared" si="61"/>
        <v>0</v>
      </c>
      <c r="BF65" s="142">
        <f t="shared" si="61"/>
        <v>0</v>
      </c>
      <c r="BG65" s="143">
        <f t="shared" si="61"/>
        <v>0</v>
      </c>
      <c r="BH65" s="142">
        <f t="shared" ref="BH65:CI65" si="62">COUNTIFS($C$4:$C$58,"?*",BH4:BH58,"&lt;=4.9") - COUNTIFS($C$4:$C$58,"?*",BH4:BH58,"&lt;=3.4")</f>
        <v>0</v>
      </c>
      <c r="BI65" s="142">
        <f t="shared" si="62"/>
        <v>0</v>
      </c>
      <c r="BJ65" s="142">
        <f t="shared" si="62"/>
        <v>0</v>
      </c>
      <c r="BK65" s="142">
        <f t="shared" si="62"/>
        <v>0</v>
      </c>
      <c r="BL65" s="142">
        <f t="shared" si="62"/>
        <v>0</v>
      </c>
      <c r="BM65" s="142">
        <f t="shared" si="62"/>
        <v>0</v>
      </c>
      <c r="BN65" s="143">
        <f t="shared" si="62"/>
        <v>0</v>
      </c>
      <c r="BO65" s="142">
        <f t="shared" si="62"/>
        <v>0</v>
      </c>
      <c r="BP65" s="142">
        <f t="shared" si="62"/>
        <v>0</v>
      </c>
      <c r="BQ65" s="142">
        <f t="shared" si="62"/>
        <v>0</v>
      </c>
      <c r="BR65" s="142">
        <f t="shared" si="62"/>
        <v>0</v>
      </c>
      <c r="BS65" s="142">
        <f t="shared" si="62"/>
        <v>0</v>
      </c>
      <c r="BT65" s="142">
        <f t="shared" si="62"/>
        <v>0</v>
      </c>
      <c r="BU65" s="143">
        <f t="shared" si="62"/>
        <v>0</v>
      </c>
      <c r="BV65" s="142">
        <f t="shared" si="62"/>
        <v>0</v>
      </c>
      <c r="BW65" s="142">
        <f t="shared" si="62"/>
        <v>0</v>
      </c>
      <c r="BX65" s="142">
        <f t="shared" si="62"/>
        <v>0</v>
      </c>
      <c r="BY65" s="142">
        <f t="shared" si="62"/>
        <v>0</v>
      </c>
      <c r="BZ65" s="142">
        <f t="shared" si="62"/>
        <v>0</v>
      </c>
      <c r="CA65" s="142">
        <f t="shared" si="62"/>
        <v>0</v>
      </c>
      <c r="CB65" s="143">
        <f t="shared" si="62"/>
        <v>0</v>
      </c>
      <c r="CC65" s="142">
        <f t="shared" si="62"/>
        <v>0</v>
      </c>
      <c r="CD65" s="142">
        <f t="shared" si="62"/>
        <v>0</v>
      </c>
      <c r="CE65" s="142">
        <f t="shared" si="62"/>
        <v>0</v>
      </c>
      <c r="CF65" s="142">
        <f t="shared" si="62"/>
        <v>0</v>
      </c>
      <c r="CG65" s="142">
        <f t="shared" si="62"/>
        <v>0</v>
      </c>
      <c r="CH65" s="142">
        <f t="shared" si="62"/>
        <v>0</v>
      </c>
      <c r="CI65" s="143">
        <f t="shared" si="62"/>
        <v>0</v>
      </c>
      <c r="CQ65" s="141">
        <f t="shared" ref="CQ65:DD65" si="63">COUNTIFS($C$4:$C$58,"?*",CQ4:CQ58,"&lt;=4.9") - COUNTIFS($C$4:$C$58,"?*",CQ4:CQ58,"&lt;=3.4")</f>
        <v>0</v>
      </c>
      <c r="CR65" s="142">
        <f t="shared" si="63"/>
        <v>0</v>
      </c>
      <c r="CS65" s="142">
        <f t="shared" si="63"/>
        <v>0</v>
      </c>
      <c r="CT65" s="142">
        <f t="shared" si="63"/>
        <v>0</v>
      </c>
      <c r="CU65" s="142">
        <f t="shared" si="63"/>
        <v>0</v>
      </c>
      <c r="CV65" s="142">
        <f t="shared" si="63"/>
        <v>0</v>
      </c>
      <c r="CW65" s="143">
        <f t="shared" si="63"/>
        <v>0</v>
      </c>
      <c r="CX65" s="142">
        <f t="shared" si="63"/>
        <v>0</v>
      </c>
      <c r="CY65" s="142">
        <f t="shared" si="63"/>
        <v>0</v>
      </c>
      <c r="CZ65" s="142">
        <f t="shared" si="63"/>
        <v>0</v>
      </c>
      <c r="DA65" s="142">
        <f t="shared" si="63"/>
        <v>0</v>
      </c>
      <c r="DB65" s="142">
        <f t="shared" si="63"/>
        <v>0</v>
      </c>
      <c r="DC65" s="142">
        <f t="shared" si="63"/>
        <v>0</v>
      </c>
      <c r="DD65" s="143">
        <f t="shared" si="63"/>
        <v>0</v>
      </c>
    </row>
    <row r="66" spans="2:108" s="129" customFormat="1" ht="15.9" customHeight="1">
      <c r="B66" s="909"/>
      <c r="C66" s="910"/>
      <c r="D66" s="910"/>
      <c r="E66" s="911"/>
      <c r="F66" s="145" t="s">
        <v>15</v>
      </c>
      <c r="G66" s="609" t="s">
        <v>172</v>
      </c>
      <c r="H66" s="146">
        <v>3.4</v>
      </c>
      <c r="I66" s="147"/>
      <c r="J66" s="148"/>
      <c r="K66" s="149">
        <f t="shared" ref="K66:Q66" si="64">COUNTIFS($C$4:$C$58,"?*",K4:K58,"&lt;=3.4") - COUNTIFS($C$4:$C$58,"?*",K4:K58,"&lt;0")</f>
        <v>0</v>
      </c>
      <c r="L66" s="149">
        <f t="shared" si="64"/>
        <v>0</v>
      </c>
      <c r="M66" s="149">
        <f t="shared" si="64"/>
        <v>0</v>
      </c>
      <c r="N66" s="149">
        <f t="shared" si="64"/>
        <v>0</v>
      </c>
      <c r="O66" s="149">
        <f t="shared" si="64"/>
        <v>0</v>
      </c>
      <c r="P66" s="149">
        <f t="shared" si="64"/>
        <v>0</v>
      </c>
      <c r="Q66" s="150">
        <f t="shared" si="64"/>
        <v>0</v>
      </c>
      <c r="R66" s="149">
        <f t="shared" ref="R66:AE66" si="65">COUNTIFS($C$4:$C$58,"?*",R4:R58,"&lt;=3.4") - COUNTIFS($C$4:$C$58,"?*",R4:R58,"&lt;0")</f>
        <v>0</v>
      </c>
      <c r="S66" s="149">
        <f t="shared" si="65"/>
        <v>0</v>
      </c>
      <c r="T66" s="149">
        <f t="shared" si="65"/>
        <v>0</v>
      </c>
      <c r="U66" s="149">
        <f t="shared" si="65"/>
        <v>0</v>
      </c>
      <c r="V66" s="149">
        <f t="shared" si="65"/>
        <v>0</v>
      </c>
      <c r="W66" s="149">
        <f t="shared" si="65"/>
        <v>0</v>
      </c>
      <c r="X66" s="150">
        <f t="shared" si="65"/>
        <v>0</v>
      </c>
      <c r="Y66" s="149">
        <f t="shared" si="65"/>
        <v>0</v>
      </c>
      <c r="Z66" s="149">
        <f t="shared" si="65"/>
        <v>0</v>
      </c>
      <c r="AA66" s="149">
        <f t="shared" si="65"/>
        <v>0</v>
      </c>
      <c r="AB66" s="149">
        <f t="shared" si="65"/>
        <v>0</v>
      </c>
      <c r="AC66" s="149">
        <f t="shared" si="65"/>
        <v>0</v>
      </c>
      <c r="AD66" s="149">
        <f t="shared" si="65"/>
        <v>0</v>
      </c>
      <c r="AE66" s="150">
        <f t="shared" si="65"/>
        <v>0</v>
      </c>
      <c r="AF66" s="149">
        <f t="shared" ref="AF66:BG66" si="66">COUNTIFS($C$4:$C$58,"?*",AF4:AF58,"&lt;=3.4") - COUNTIFS($C$4:$C$58,"?*",AF4:AF58,"&lt;0")</f>
        <v>0</v>
      </c>
      <c r="AG66" s="149">
        <f t="shared" si="66"/>
        <v>0</v>
      </c>
      <c r="AH66" s="149">
        <f t="shared" si="66"/>
        <v>0</v>
      </c>
      <c r="AI66" s="149">
        <f t="shared" si="66"/>
        <v>0</v>
      </c>
      <c r="AJ66" s="149">
        <f t="shared" si="66"/>
        <v>0</v>
      </c>
      <c r="AK66" s="149">
        <f t="shared" si="66"/>
        <v>0</v>
      </c>
      <c r="AL66" s="150">
        <f t="shared" si="66"/>
        <v>0</v>
      </c>
      <c r="AM66" s="149">
        <f t="shared" si="66"/>
        <v>0</v>
      </c>
      <c r="AN66" s="149">
        <f t="shared" si="66"/>
        <v>0</v>
      </c>
      <c r="AO66" s="149">
        <f t="shared" si="66"/>
        <v>0</v>
      </c>
      <c r="AP66" s="149">
        <f t="shared" si="66"/>
        <v>0</v>
      </c>
      <c r="AQ66" s="149">
        <f t="shared" si="66"/>
        <v>0</v>
      </c>
      <c r="AR66" s="149">
        <f t="shared" si="66"/>
        <v>0</v>
      </c>
      <c r="AS66" s="150">
        <f t="shared" si="66"/>
        <v>0</v>
      </c>
      <c r="AT66" s="149">
        <f t="shared" si="66"/>
        <v>0</v>
      </c>
      <c r="AU66" s="149">
        <f t="shared" si="66"/>
        <v>0</v>
      </c>
      <c r="AV66" s="149">
        <f t="shared" si="66"/>
        <v>0</v>
      </c>
      <c r="AW66" s="149">
        <f>COUNTIFS($C$4:$C$58,"?*",AW4:AW58,"&lt;=3.4") - COUNTIFS($C$4:$C$58,"?*",AW4:AW58,"&lt;0")</f>
        <v>0</v>
      </c>
      <c r="AX66" s="149">
        <f>COUNTIFS($C$4:$C$58,"?*",AX4:AX58,"&lt;=3.4") - COUNTIFS($C$4:$C$58,"?*",AX4:AX58,"&lt;0")</f>
        <v>0</v>
      </c>
      <c r="AY66" s="149">
        <f>COUNTIFS($C$4:$C$58,"?*",AY4:AY58,"&lt;=3.4") - COUNTIFS($C$4:$C$58,"?*",AY4:AY58,"&lt;0")</f>
        <v>0</v>
      </c>
      <c r="AZ66" s="150">
        <f>COUNTIFS($C$4:$C$58,"?*",AZ4:AZ58,"&lt;=3.4") - COUNTIFS($C$4:$C$58,"?*",AZ4:AZ58,"&lt;0")</f>
        <v>0</v>
      </c>
      <c r="BA66" s="149">
        <f t="shared" si="66"/>
        <v>0</v>
      </c>
      <c r="BB66" s="149">
        <f t="shared" si="66"/>
        <v>0</v>
      </c>
      <c r="BC66" s="149">
        <f t="shared" si="66"/>
        <v>0</v>
      </c>
      <c r="BD66" s="149">
        <f t="shared" si="66"/>
        <v>0</v>
      </c>
      <c r="BE66" s="149">
        <f t="shared" si="66"/>
        <v>0</v>
      </c>
      <c r="BF66" s="149">
        <f t="shared" si="66"/>
        <v>0</v>
      </c>
      <c r="BG66" s="150">
        <f t="shared" si="66"/>
        <v>0</v>
      </c>
      <c r="BH66" s="149">
        <f t="shared" ref="BH66:CI66" si="67">COUNTIFS($C$4:$C$58,"?*",BH4:BH58,"&lt;=3.4") - COUNTIFS($C$4:$C$58,"?*",BH4:BH58,"&lt;0")</f>
        <v>0</v>
      </c>
      <c r="BI66" s="149">
        <f t="shared" si="67"/>
        <v>0</v>
      </c>
      <c r="BJ66" s="149">
        <f t="shared" si="67"/>
        <v>0</v>
      </c>
      <c r="BK66" s="149">
        <f t="shared" si="67"/>
        <v>0</v>
      </c>
      <c r="BL66" s="149">
        <f t="shared" si="67"/>
        <v>0</v>
      </c>
      <c r="BM66" s="149">
        <f t="shared" si="67"/>
        <v>0</v>
      </c>
      <c r="BN66" s="150">
        <f t="shared" si="67"/>
        <v>0</v>
      </c>
      <c r="BO66" s="149">
        <f t="shared" si="67"/>
        <v>0</v>
      </c>
      <c r="BP66" s="149">
        <f t="shared" si="67"/>
        <v>0</v>
      </c>
      <c r="BQ66" s="149">
        <f t="shared" si="67"/>
        <v>0</v>
      </c>
      <c r="BR66" s="149">
        <f t="shared" si="67"/>
        <v>0</v>
      </c>
      <c r="BS66" s="149">
        <f t="shared" si="67"/>
        <v>0</v>
      </c>
      <c r="BT66" s="149">
        <f t="shared" si="67"/>
        <v>0</v>
      </c>
      <c r="BU66" s="150">
        <f t="shared" si="67"/>
        <v>0</v>
      </c>
      <c r="BV66" s="149">
        <f t="shared" si="67"/>
        <v>0</v>
      </c>
      <c r="BW66" s="149">
        <f t="shared" si="67"/>
        <v>0</v>
      </c>
      <c r="BX66" s="149">
        <f t="shared" si="67"/>
        <v>0</v>
      </c>
      <c r="BY66" s="149">
        <f t="shared" si="67"/>
        <v>0</v>
      </c>
      <c r="BZ66" s="149">
        <f t="shared" si="67"/>
        <v>0</v>
      </c>
      <c r="CA66" s="149">
        <f t="shared" si="67"/>
        <v>0</v>
      </c>
      <c r="CB66" s="150">
        <f t="shared" si="67"/>
        <v>0</v>
      </c>
      <c r="CC66" s="149">
        <f t="shared" si="67"/>
        <v>0</v>
      </c>
      <c r="CD66" s="149">
        <f t="shared" si="67"/>
        <v>0</v>
      </c>
      <c r="CE66" s="149">
        <f t="shared" si="67"/>
        <v>0</v>
      </c>
      <c r="CF66" s="149">
        <f t="shared" si="67"/>
        <v>0</v>
      </c>
      <c r="CG66" s="149">
        <f t="shared" si="67"/>
        <v>0</v>
      </c>
      <c r="CH66" s="149">
        <f t="shared" si="67"/>
        <v>0</v>
      </c>
      <c r="CI66" s="150">
        <f t="shared" si="67"/>
        <v>0</v>
      </c>
      <c r="CQ66" s="144">
        <f t="shared" ref="CQ66:DD66" si="68">COUNTIFS($C$4:$C$58,"?*",CQ4:CQ58,"&lt;=3.4") - COUNTIFS($C$4:$C$58,"?*",CQ4:CQ58,"&lt;0")</f>
        <v>0</v>
      </c>
      <c r="CR66" s="149">
        <f t="shared" si="68"/>
        <v>0</v>
      </c>
      <c r="CS66" s="149">
        <f t="shared" si="68"/>
        <v>0</v>
      </c>
      <c r="CT66" s="149">
        <f t="shared" si="68"/>
        <v>0</v>
      </c>
      <c r="CU66" s="149">
        <f t="shared" si="68"/>
        <v>0</v>
      </c>
      <c r="CV66" s="149">
        <f t="shared" si="68"/>
        <v>0</v>
      </c>
      <c r="CW66" s="150">
        <f t="shared" si="68"/>
        <v>0</v>
      </c>
      <c r="CX66" s="149">
        <f t="shared" si="68"/>
        <v>0</v>
      </c>
      <c r="CY66" s="149">
        <f t="shared" si="68"/>
        <v>0</v>
      </c>
      <c r="CZ66" s="149">
        <f t="shared" si="68"/>
        <v>0</v>
      </c>
      <c r="DA66" s="149">
        <f t="shared" si="68"/>
        <v>0</v>
      </c>
      <c r="DB66" s="149">
        <f t="shared" si="68"/>
        <v>0</v>
      </c>
      <c r="DC66" s="149">
        <f t="shared" si="68"/>
        <v>0</v>
      </c>
      <c r="DD66" s="150">
        <f t="shared" si="68"/>
        <v>36</v>
      </c>
    </row>
    <row r="67" spans="2:108" s="129" customFormat="1" ht="18" customHeight="1">
      <c r="CK67" s="912" t="s">
        <v>228</v>
      </c>
      <c r="CL67" s="913"/>
      <c r="CM67" s="914"/>
      <c r="CN67" s="912" t="s">
        <v>229</v>
      </c>
      <c r="CO67" s="913"/>
      <c r="CP67" s="914"/>
    </row>
    <row r="68" spans="2:108" s="129" customFormat="1" ht="15.9" customHeight="1">
      <c r="K68" s="874" t="s">
        <v>227</v>
      </c>
      <c r="L68" s="472" t="s">
        <v>3</v>
      </c>
      <c r="M68" s="581" t="s">
        <v>11</v>
      </c>
      <c r="N68" s="581" t="s">
        <v>12</v>
      </c>
      <c r="O68" s="581" t="s">
        <v>8</v>
      </c>
      <c r="P68" s="582" t="s">
        <v>14</v>
      </c>
      <c r="Q68" s="583" t="s">
        <v>15</v>
      </c>
      <c r="R68" s="874" t="s">
        <v>227</v>
      </c>
      <c r="S68" s="472" t="s">
        <v>3</v>
      </c>
      <c r="T68" s="581" t="s">
        <v>11</v>
      </c>
      <c r="U68" s="581" t="s">
        <v>12</v>
      </c>
      <c r="V68" s="581" t="s">
        <v>8</v>
      </c>
      <c r="W68" s="582" t="s">
        <v>14</v>
      </c>
      <c r="X68" s="583" t="s">
        <v>15</v>
      </c>
      <c r="Y68" s="874" t="s">
        <v>227</v>
      </c>
      <c r="Z68" s="472" t="s">
        <v>3</v>
      </c>
      <c r="AA68" s="581" t="s">
        <v>11</v>
      </c>
      <c r="AB68" s="581" t="s">
        <v>12</v>
      </c>
      <c r="AC68" s="581" t="s">
        <v>8</v>
      </c>
      <c r="AD68" s="582" t="s">
        <v>14</v>
      </c>
      <c r="AE68" s="583" t="s">
        <v>15</v>
      </c>
      <c r="AF68" s="874" t="s">
        <v>227</v>
      </c>
      <c r="AG68" s="472" t="s">
        <v>3</v>
      </c>
      <c r="AH68" s="581" t="s">
        <v>11</v>
      </c>
      <c r="AI68" s="581" t="s">
        <v>12</v>
      </c>
      <c r="AJ68" s="581" t="s">
        <v>8</v>
      </c>
      <c r="AK68" s="582" t="s">
        <v>14</v>
      </c>
      <c r="AL68" s="583" t="s">
        <v>15</v>
      </c>
      <c r="AM68" s="874" t="s">
        <v>227</v>
      </c>
      <c r="AN68" s="472" t="s">
        <v>3</v>
      </c>
      <c r="AO68" s="581" t="s">
        <v>11</v>
      </c>
      <c r="AP68" s="581" t="s">
        <v>12</v>
      </c>
      <c r="AQ68" s="581" t="s">
        <v>8</v>
      </c>
      <c r="AR68" s="582" t="s">
        <v>14</v>
      </c>
      <c r="AS68" s="583" t="s">
        <v>15</v>
      </c>
      <c r="AT68" s="874" t="s">
        <v>227</v>
      </c>
      <c r="AU68" s="472" t="s">
        <v>3</v>
      </c>
      <c r="AV68" s="581" t="s">
        <v>11</v>
      </c>
      <c r="AW68" s="581" t="s">
        <v>12</v>
      </c>
      <c r="AX68" s="581" t="s">
        <v>8</v>
      </c>
      <c r="AY68" s="582" t="s">
        <v>14</v>
      </c>
      <c r="AZ68" s="583" t="s">
        <v>15</v>
      </c>
      <c r="BA68" s="874" t="s">
        <v>227</v>
      </c>
      <c r="BB68" s="472" t="s">
        <v>3</v>
      </c>
      <c r="BC68" s="581" t="s">
        <v>11</v>
      </c>
      <c r="BD68" s="581" t="s">
        <v>12</v>
      </c>
      <c r="BE68" s="581" t="s">
        <v>8</v>
      </c>
      <c r="BF68" s="582" t="s">
        <v>14</v>
      </c>
      <c r="BG68" s="583" t="s">
        <v>15</v>
      </c>
      <c r="BH68" s="874" t="s">
        <v>227</v>
      </c>
      <c r="BI68" s="472" t="s">
        <v>3</v>
      </c>
      <c r="BJ68" s="581" t="s">
        <v>11</v>
      </c>
      <c r="BK68" s="581" t="s">
        <v>12</v>
      </c>
      <c r="BL68" s="581" t="s">
        <v>8</v>
      </c>
      <c r="BM68" s="582" t="s">
        <v>14</v>
      </c>
      <c r="BN68" s="583" t="s">
        <v>15</v>
      </c>
      <c r="BO68" s="874" t="s">
        <v>227</v>
      </c>
      <c r="BP68" s="472" t="s">
        <v>3</v>
      </c>
      <c r="BQ68" s="581" t="s">
        <v>11</v>
      </c>
      <c r="BR68" s="581" t="s">
        <v>12</v>
      </c>
      <c r="BS68" s="581" t="s">
        <v>8</v>
      </c>
      <c r="BT68" s="582" t="s">
        <v>14</v>
      </c>
      <c r="BU68" s="583" t="s">
        <v>15</v>
      </c>
      <c r="BV68" s="874" t="s">
        <v>227</v>
      </c>
      <c r="BW68" s="472" t="s">
        <v>3</v>
      </c>
      <c r="BX68" s="581" t="s">
        <v>11</v>
      </c>
      <c r="BY68" s="581" t="s">
        <v>12</v>
      </c>
      <c r="BZ68" s="581" t="s">
        <v>8</v>
      </c>
      <c r="CA68" s="582" t="s">
        <v>14</v>
      </c>
      <c r="CB68" s="583" t="s">
        <v>15</v>
      </c>
      <c r="CC68" s="874" t="s">
        <v>227</v>
      </c>
      <c r="CD68" s="472" t="s">
        <v>3</v>
      </c>
      <c r="CE68" s="581" t="s">
        <v>11</v>
      </c>
      <c r="CF68" s="581" t="s">
        <v>12</v>
      </c>
      <c r="CG68" s="581" t="s">
        <v>8</v>
      </c>
      <c r="CH68" s="582" t="s">
        <v>14</v>
      </c>
      <c r="CI68" s="583" t="s">
        <v>15</v>
      </c>
      <c r="CK68" s="535"/>
      <c r="CL68" s="237" t="s">
        <v>54</v>
      </c>
      <c r="CM68" s="238" t="s">
        <v>53</v>
      </c>
      <c r="CN68" s="535"/>
      <c r="CO68" s="237" t="s">
        <v>54</v>
      </c>
      <c r="CP68" s="238" t="s">
        <v>53</v>
      </c>
      <c r="CQ68" s="874" t="s">
        <v>227</v>
      </c>
      <c r="CR68" s="472" t="s">
        <v>3</v>
      </c>
      <c r="CS68" s="581" t="s">
        <v>11</v>
      </c>
      <c r="CT68" s="581" t="s">
        <v>12</v>
      </c>
      <c r="CU68" s="581" t="s">
        <v>8</v>
      </c>
      <c r="CV68" s="582" t="s">
        <v>14</v>
      </c>
      <c r="CW68" s="583" t="s">
        <v>15</v>
      </c>
      <c r="CX68" s="874" t="s">
        <v>227</v>
      </c>
      <c r="CY68" s="472" t="s">
        <v>3</v>
      </c>
      <c r="CZ68" s="581" t="s">
        <v>11</v>
      </c>
      <c r="DA68" s="581" t="s">
        <v>12</v>
      </c>
      <c r="DB68" s="581" t="s">
        <v>8</v>
      </c>
      <c r="DC68" s="582" t="s">
        <v>14</v>
      </c>
      <c r="DD68" s="583" t="s">
        <v>15</v>
      </c>
    </row>
    <row r="69" spans="2:108" s="129" customFormat="1" ht="15.9" customHeight="1">
      <c r="K69" s="875"/>
      <c r="L69" s="610" t="s">
        <v>49</v>
      </c>
      <c r="M69" s="611">
        <f>COUNTIFS($C$4:$C$58,"?*",P4:P58,"&lt;=10") - COUNTIFS($C$4:$C$58,"?*",P4:P58,"&lt;=7.9")</f>
        <v>36</v>
      </c>
      <c r="N69" s="612">
        <f>COUNTIFS($C$4:$C$58,"?*",P4:P58,"&lt;=7.9") - COUNTIFS($C$4:$C$58,"?*",P4:P58,"&lt;=6.4")</f>
        <v>0</v>
      </c>
      <c r="O69" s="612">
        <f>COUNTIFS($C$4:$C$58,"?*",P4:P58,"&lt;=6.4") - COUNTIFS($C$4:$C$58,"?*",P4:P58,"&lt;=4.9")</f>
        <v>0</v>
      </c>
      <c r="P69" s="612">
        <f>COUNTIFS($C$4:$C$58,"?*",P4:P58,"&lt;=4.9") - COUNTIFS($C$4:$C$58,"?*",P4:P58,"&lt;=3.4")</f>
        <v>0</v>
      </c>
      <c r="Q69" s="613">
        <f>COUNTIFS($C$4:$C$58,"?*",P4:P58,"&lt;=3.4") - COUNTIFS($C$4:$C$58,"?*",P4:P58,"&lt;0")</f>
        <v>0</v>
      </c>
      <c r="R69" s="875"/>
      <c r="S69" s="610" t="s">
        <v>49</v>
      </c>
      <c r="T69" s="611">
        <f>COUNTIFS($C$4:$C$58,"?*",W4:W58,"&lt;=10") - COUNTIFS($C$4:$C$58,"?*",W4:W58,"&lt;=7.9")</f>
        <v>36</v>
      </c>
      <c r="U69" s="612">
        <f>COUNTIFS($C$4:$C$58,"?*",W4:W58,"&lt;=7.9") - COUNTIFS($C$4:$C$58,"?*",W4:W58,"&lt;=6.4")</f>
        <v>0</v>
      </c>
      <c r="V69" s="612">
        <f>COUNTIFS($C$4:$C$58,"?*",W4:W58,"&lt;=6.4") - COUNTIFS($C$4:$C$58,"?*",W4:W58,"&lt;=4.9")</f>
        <v>0</v>
      </c>
      <c r="W69" s="612">
        <f>COUNTIFS($C$4:$C$58,"?*",W4:W58,"&lt;=4.9") - COUNTIFS($C$4:$C$58,"?*",W4:W58,"&lt;=3.4")</f>
        <v>0</v>
      </c>
      <c r="X69" s="613">
        <f>COUNTIFS($C$4:$C$58,"?*",W4:W58,"&lt;=3.4") - COUNTIFS($C$4:$C$58,"?*",W4:W58,"&lt;0")</f>
        <v>0</v>
      </c>
      <c r="Y69" s="875"/>
      <c r="Z69" s="610" t="s">
        <v>49</v>
      </c>
      <c r="AA69" s="611">
        <f>COUNTIFS($C$4:$C$58,"?*",AD4:AD58,"&lt;=10") - COUNTIFS($C$4:$C$58,"?*",AD4:AD58,"&lt;=7.9")</f>
        <v>35</v>
      </c>
      <c r="AB69" s="612">
        <f>COUNTIFS($C$4:$C$58,"?*",AD4:AD58,"&lt;=7.9") - COUNTIFS($C$4:$C$58,"?*",AD4:AD58,"&lt;=6.4")</f>
        <v>1</v>
      </c>
      <c r="AC69" s="612">
        <f>COUNTIFS($C$4:$C$58,"?*",AD4:AD58,"&lt;=6.4") - COUNTIFS($C$4:$C$58,"?*",AD4:AD58,"&lt;=4.9")</f>
        <v>0</v>
      </c>
      <c r="AD69" s="612">
        <f>COUNTIFS($C$4:$C$58,"?*",AD4:AD58,"&lt;=4.9") - COUNTIFS($C$4:$C$58,"?*",AD4:AD58,"&lt;=3.4")</f>
        <v>0</v>
      </c>
      <c r="AE69" s="613">
        <f>COUNTIFS($C$4:$C$58,"?*",AD4:AD58,"&lt;=3.4") - COUNTIFS($C$4:$C$58,"?*",AD4:AD58,"&lt;0")</f>
        <v>0</v>
      </c>
      <c r="AF69" s="875"/>
      <c r="AG69" s="610" t="s">
        <v>49</v>
      </c>
      <c r="AH69" s="611">
        <f>COUNTIFS($C$4:$C$58,"?*",AK4:AK58,"&lt;=10") - COUNTIFS($C$4:$C$58,"?*",AK4:AK58,"&lt;=7.9")</f>
        <v>33</v>
      </c>
      <c r="AI69" s="612">
        <f>COUNTIFS($C$4:$C$58,"?*",AK4:AK58,"&lt;=7.9") - COUNTIFS($C$4:$C$58,"?*",AK4:AK58,"&lt;=6.4")</f>
        <v>3</v>
      </c>
      <c r="AJ69" s="612">
        <f>COUNTIFS($C$4:$C$58,"?*",AK4:AK58,"&lt;=6.4") - COUNTIFS($C$4:$C$58,"?*",AK4:AK58,"&lt;=4.9")</f>
        <v>0</v>
      </c>
      <c r="AK69" s="612">
        <f>COUNTIFS($C$4:$C$58,"?*",AK4:AK58,"&lt;=4.9") - COUNTIFS($C$4:$C$58,"?*",AK4:AK58,"&lt;=3.4")</f>
        <v>0</v>
      </c>
      <c r="AL69" s="613">
        <f>COUNTIFS($C$4:$C$58,"?*",AK4:AK58,"&lt;=3.4") - COUNTIFS($C$4:$C$58,"?*",AK4:AK58,"&lt;0")</f>
        <v>0</v>
      </c>
      <c r="AM69" s="875"/>
      <c r="AN69" s="610" t="s">
        <v>49</v>
      </c>
      <c r="AO69" s="611">
        <f>COUNTIFS($C$4:$C$58,"?*",AR4:AR58,"&lt;=10") - COUNTIFS($C$4:$C$58,"?*",AR4:AR58,"&lt;=7.9")</f>
        <v>36</v>
      </c>
      <c r="AP69" s="612">
        <f>COUNTIFS($C$4:$C$58,"?*",AR4:AR58,"&lt;=7.9") - COUNTIFS($C$4:$C$58,"?*",AR4:AR58,"&lt;=6.4")</f>
        <v>0</v>
      </c>
      <c r="AQ69" s="612">
        <f>COUNTIFS($C$4:$C$58,"?*",AR4:AR58,"&lt;=6.4") - COUNTIFS($C$4:$C$58,"?*",AR4:AR58,"&lt;=4.9")</f>
        <v>0</v>
      </c>
      <c r="AR69" s="612">
        <f>COUNTIFS($C$4:$C$58,"?*",AR4:AR58,"&lt;=4.9") - COUNTIFS($C$4:$C$58,"?*",AR4:AR58,"&lt;=3.4")</f>
        <v>0</v>
      </c>
      <c r="AS69" s="613">
        <f>COUNTIFS($C$4:$C$58,"?*",AR4:AR58,"&lt;=3.4") - COUNTIFS($C$4:$C$58,"?*",AR4:AR58,"&lt;0")</f>
        <v>0</v>
      </c>
      <c r="AT69" s="875"/>
      <c r="AU69" s="610" t="s">
        <v>49</v>
      </c>
      <c r="AV69" s="611">
        <f>COUNTIFS($C$4:$C$58,"?*",AY4:AY58,"&lt;=10") - COUNTIFS($C$4:$C$58,"?*",AY4:AY58,"&lt;=7.9")</f>
        <v>0</v>
      </c>
      <c r="AW69" s="612">
        <f>COUNTIFS($C$4:$C$58,"?*",AY4:AY58,"&lt;=7.9") - COUNTIFS($C$4:$C$58,"?*",AY4:AY58,"&lt;=6.4")</f>
        <v>17</v>
      </c>
      <c r="AX69" s="612">
        <f>COUNTIFS($C$4:$C$58,"?*",AY4:AY58,"&lt;=6.4") - COUNTIFS($C$4:$C$58,"?*",AY4:AY58,"&lt;=4.9")</f>
        <v>19</v>
      </c>
      <c r="AY69" s="612">
        <f>COUNTIFS($C$4:$C$58,"?*",AY4:AY58,"&lt;=4.9") - COUNTIFS($C$4:$C$58,"?*",AY4:AY58,"&lt;=3.4")</f>
        <v>0</v>
      </c>
      <c r="AZ69" s="613">
        <f>COUNTIFS($C$4:$C$58,"?*",AY4:AY58,"&lt;=3.4") - COUNTIFS($C$4:$C$58,"?*",AY4:AY58,"&lt;0")</f>
        <v>0</v>
      </c>
      <c r="BA69" s="875"/>
      <c r="BB69" s="610" t="s">
        <v>49</v>
      </c>
      <c r="BC69" s="611">
        <f>COUNTIFS($C$4:$C$58,"?*",BF4:BF58,"&lt;=10") - COUNTIFS($C$4:$C$58,"?*",BF4:BF58,"&lt;=7.9")</f>
        <v>36</v>
      </c>
      <c r="BD69" s="612">
        <f>COUNTIFS($C$4:$C$58,"?*",BF4:BF58,"&lt;=7.9") - COUNTIFS($C$4:$C$58,"?*",BF4:BF58,"&lt;=6.4")</f>
        <v>0</v>
      </c>
      <c r="BE69" s="612">
        <f>COUNTIFS($C$4:$C$58,"?*",BF4:BF58,"&lt;=6.4") - COUNTIFS($C$4:$C$58,"?*",BF4:BF58,"&lt;=4.9")</f>
        <v>0</v>
      </c>
      <c r="BF69" s="612">
        <f>COUNTIFS($C$4:$C$58,"?*",BF4:BF58,"&lt;=4.9") - COUNTIFS($C$4:$C$58,"?*",BF4:BF58,"&lt;=3.4")</f>
        <v>0</v>
      </c>
      <c r="BG69" s="613">
        <f>COUNTIFS($C$4:$C$58,"?*",BF4:BF58,"&lt;=3.4") - COUNTIFS($C$4:$C$58,"?*",BF4:BF58,"&lt;0")</f>
        <v>0</v>
      </c>
      <c r="BH69" s="875"/>
      <c r="BI69" s="610" t="s">
        <v>49</v>
      </c>
      <c r="BJ69" s="611">
        <f>COUNTIFS($C$4:$C$58,"?*",BM4:BM58,"&lt;=10") - COUNTIFS($C$4:$C$58,"?*",BM4:BM58,"&lt;=7.9")</f>
        <v>36</v>
      </c>
      <c r="BK69" s="612">
        <f>COUNTIFS($C$4:$C$58,"?*",BM4:BM58,"&lt;=7.9") - COUNTIFS($C$4:$C$58,"?*",BM4:BM58,"&lt;=6.4")</f>
        <v>0</v>
      </c>
      <c r="BL69" s="612">
        <f>COUNTIFS($C$4:$C$58,"?*",BM4:BM58,"&lt;=6.4") - COUNTIFS($C$4:$C$58,"?*",BM4:BM58,"&lt;=4.9")</f>
        <v>0</v>
      </c>
      <c r="BM69" s="612">
        <f>COUNTIFS($C$4:$C$58,"?*",BM4:BM58,"&lt;=4.9") - COUNTIFS($C$4:$C$58,"?*",BM4:BM58,"&lt;=3.4")</f>
        <v>0</v>
      </c>
      <c r="BN69" s="613">
        <f>COUNTIFS($C$4:$C$58,"?*",BM4:BM58,"&lt;=3.4") - COUNTIFS($C$4:$C$58,"?*",BM4:BM58,"&lt;0")</f>
        <v>0</v>
      </c>
      <c r="BO69" s="875"/>
      <c r="BP69" s="610" t="s">
        <v>49</v>
      </c>
      <c r="BQ69" s="611">
        <f>COUNTIFS($C$4:$C$58,"?*",BT4:BT58,"&lt;=10") - COUNTIFS($C$4:$C$58,"?*",BT4:BT58,"&lt;=7.9")</f>
        <v>27</v>
      </c>
      <c r="BR69" s="612">
        <f>COUNTIFS($C$4:$C$58,"?*",BT4:BT58,"&lt;=7.9") - COUNTIFS($C$4:$C$58,"?*",BT4:BT58,"&lt;=6.4")</f>
        <v>6</v>
      </c>
      <c r="BS69" s="612">
        <f>COUNTIFS($C$4:$C$58,"?*",BT4:BT58,"&lt;=6.4") - COUNTIFS($C$4:$C$58,"?*",BT4:BT58,"&lt;=4.9")</f>
        <v>3</v>
      </c>
      <c r="BT69" s="612">
        <f>COUNTIFS($C$4:$C$58,"?*",BT4:BT58,"&lt;=4.9") - COUNTIFS($C$4:$C$58,"?*",BT4:BT58,"&lt;=3.4")</f>
        <v>0</v>
      </c>
      <c r="BU69" s="613">
        <f>COUNTIFS($C$4:$C$58,"?*",BT4:BT58,"&lt;=3.4") - COUNTIFS($C$4:$C$58,"?*",BT4:BT58,"&lt;0")</f>
        <v>0</v>
      </c>
      <c r="BV69" s="875"/>
      <c r="BW69" s="610" t="s">
        <v>49</v>
      </c>
      <c r="BX69" s="611">
        <f>COUNTIFS($C$4:$C$58,"?*",CA4:CA58,"&lt;=10") - COUNTIFS($C$4:$C$58,"?*",CA4:CA58,"&lt;=7.9")</f>
        <v>36</v>
      </c>
      <c r="BY69" s="612">
        <f>COUNTIFS($C$4:$C$58,"?*",CA4:CA58,"&lt;=7.9") - COUNTIFS($C$4:$C$58,"?*",CA4:CA58,"&lt;=6.4")</f>
        <v>0</v>
      </c>
      <c r="BZ69" s="612">
        <f>COUNTIFS($C$4:$C$58,"?*",CA4:CA58,"&lt;=6.4") - COUNTIFS($C$4:$C$58,"?*",CA4:CA58,"&lt;=4.9")</f>
        <v>0</v>
      </c>
      <c r="CA69" s="612">
        <f>COUNTIFS($C$4:$C$58,"?*",CA4:CA58,"&lt;=4.9") - COUNTIFS($C$4:$C$58,"?*",CA4:CA58,"&lt;=3.4")</f>
        <v>0</v>
      </c>
      <c r="CB69" s="613">
        <f>COUNTIFS($C$4:$C$58,"?*",CA4:CA58,"&lt;=3.4") - COUNTIFS($C$4:$C$58,"?*",CA4:CA58,"&lt;0")</f>
        <v>0</v>
      </c>
      <c r="CC69" s="875"/>
      <c r="CD69" s="610" t="s">
        <v>49</v>
      </c>
      <c r="CE69" s="611">
        <f>COUNTIFS($C$4:$C$58,"?*",CH4:CH58,"&lt;=10") - COUNTIFS($C$4:$C$58,"?*",CH4:CH58,"&lt;=7.9")</f>
        <v>36</v>
      </c>
      <c r="CF69" s="612">
        <f>COUNTIFS($C$4:$C$58,"?*",CH4:CH58,"&lt;=7.9") - COUNTIFS($C$4:$C$58,"?*",CH4:CH58,"&lt;=6.4")</f>
        <v>0</v>
      </c>
      <c r="CG69" s="612">
        <f>COUNTIFS($C$4:$C$58,"?*",CH4:CH58,"&lt;=6.4") - COUNTIFS($C$4:$C$58,"?*",CH4:CH58,"&lt;=4.9")</f>
        <v>0</v>
      </c>
      <c r="CH69" s="612">
        <f>COUNTIFS($C$4:$C$58,"?*",CH4:CH58,"&lt;=4.9") - COUNTIFS($C$4:$C$58,"?*",CH4:CH58,"&lt;=3.4")</f>
        <v>0</v>
      </c>
      <c r="CI69" s="613">
        <f>COUNTIFS($C$4:$C$58,"?*",CH4:CH58,"&lt;=3.4") - COUNTIFS($C$4:$C$58,"?*",CH4:CH58,"&lt;0")</f>
        <v>0</v>
      </c>
      <c r="CK69" s="536" t="s">
        <v>49</v>
      </c>
      <c r="CL69" s="537">
        <f>COUNTIFS($C$4:$C$58,"?*",CO4:CO58,"Đ")</f>
        <v>36</v>
      </c>
      <c r="CM69" s="538">
        <f>COUNTIFS($C$4:$C$58,"?*",CO4:CO58,"CĐ")</f>
        <v>0</v>
      </c>
      <c r="CN69" s="536" t="s">
        <v>49</v>
      </c>
      <c r="CO69" s="537">
        <f>COUNTIFS($C$4:$C$58,"?*",CP4:CP58,"Đ")</f>
        <v>36</v>
      </c>
      <c r="CP69" s="538">
        <f>COUNTIFS($C$4:$C$58,"?*",CP4:CP58,"CĐ")</f>
        <v>0</v>
      </c>
      <c r="CQ69" s="875"/>
      <c r="CR69" s="610" t="s">
        <v>49</v>
      </c>
      <c r="CS69" s="611">
        <f>COUNTIFS($C$4:$C$58,"?*",CV4:CV58,"&lt;=10") - COUNTIFS($C$4:$C$58,"?*",CV4:CV58,"&lt;=7.9")</f>
        <v>36</v>
      </c>
      <c r="CT69" s="612">
        <f>COUNTIFS($C$4:$C$58,"?*",CV4:CV58,"&lt;=7.9") - COUNTIFS($C$4:$C$58,"?*",CV4:CV58,"&lt;=6.4")</f>
        <v>0</v>
      </c>
      <c r="CU69" s="612">
        <f>COUNTIFS($C$4:$C$58,"?*",CV4:CV58,"&lt;=6.4") - COUNTIFS($C$4:$C$58,"?*",CV4:CV58,"&lt;=4.9")</f>
        <v>0</v>
      </c>
      <c r="CV69" s="612">
        <f>COUNTIFS($C$4:$C$58,"?*",CV4:CV58,"&lt;=4.9") - COUNTIFS($C$4:$C$58,"?*",CV4:CV58,"&lt;=3.4")</f>
        <v>0</v>
      </c>
      <c r="CW69" s="613">
        <f>COUNTIFS($C$4:$C$58,"?*",CV4:CV58,"&lt;=3.4") - COUNTIFS($C$4:$C$58,"?*",CV4:CV58,"&lt;0")</f>
        <v>0</v>
      </c>
      <c r="CX69" s="875"/>
      <c r="CY69" s="610" t="s">
        <v>49</v>
      </c>
      <c r="CZ69" s="611">
        <f>COUNTIFS($C$4:$C$58,"?*",DC4:DC58,"&lt;=10") - COUNTIFS($C$4:$C$58,"?*",DC4:DC58,"&lt;=7.9")</f>
        <v>0</v>
      </c>
      <c r="DA69" s="612">
        <f>COUNTIFS($C$4:$C$58,"?*",DC4:DC58,"&lt;=7.9") - COUNTIFS($C$4:$C$58,"?*",DC4:DC58,"&lt;=6.4")</f>
        <v>0</v>
      </c>
      <c r="DB69" s="612">
        <f>COUNTIFS($C$4:$C$58,"?*",DC4:DC58,"&lt;=6.4") - COUNTIFS($C$4:$C$58,"?*",DC4:DC58,"&lt;=4.9")</f>
        <v>0</v>
      </c>
      <c r="DC69" s="612">
        <f>COUNTIFS($C$4:$C$58,"?*",DC4:DC58,"&lt;=4.9") - COUNTIFS($C$4:$C$58,"?*",DC4:DC58,"&lt;=3.4")</f>
        <v>0</v>
      </c>
      <c r="DD69" s="613">
        <f>COUNTIFS($C$4:$C$58,"?*",DC4:DC58,"&lt;=3.4") - COUNTIFS($C$4:$C$58,"?*",DC4:DC58,"&lt;0")</f>
        <v>0</v>
      </c>
    </row>
    <row r="70" spans="2:108" s="129" customFormat="1" ht="15.9" customHeight="1">
      <c r="K70" s="875"/>
      <c r="L70" s="539" t="s">
        <v>17</v>
      </c>
      <c r="M70" s="614">
        <f>COUNTIFS($C$4:$C$58,"?*",$H$4:$H$58,"",P4:P58,"&lt;=10") - COUNTIFS($C$4:$C$58,"?*",$H$4:$H$58,"",P4:P58,"&lt;=7.9")</f>
        <v>23</v>
      </c>
      <c r="N70" s="540">
        <f>COUNTIFS($C$4:$C$58,"?*",$H$4:$H$58,"",P4:P58,"&lt;=7.9") - COUNTIFS($C$4:$C$58,"?*",$H$4:$H$58,"",P4:P58,"&lt;=6.4")</f>
        <v>0</v>
      </c>
      <c r="O70" s="540">
        <f>COUNTIFS($C$4:$C$58,"?*",$H$4:$H$58,"",P4:P58,"&lt;=6.4") - COUNTIFS($C$4:$C$58,"?*",$H$4:$H$58,"",P4:P58,"&lt;=4.9")</f>
        <v>0</v>
      </c>
      <c r="P70" s="540">
        <f>COUNTIFS($C$4:$C$58,"?*",$H$4:$H$58,"",P4:P58,"&lt;=4.9") - COUNTIFS($C$4:$C$58,"?*",$H$4:$H$58,"",P4:P58,"&lt;=3.4")</f>
        <v>0</v>
      </c>
      <c r="Q70" s="541">
        <f>COUNTIFS($C$4:$C$58,"?*",$H$4:$H$58,"",P4:P58,"&lt;=3.4") - COUNTIFS($C$4:$C$58,"?*",$H$4:$H$58,"",P4:P58,"&lt;0")</f>
        <v>0</v>
      </c>
      <c r="R70" s="875"/>
      <c r="S70" s="539" t="s">
        <v>17</v>
      </c>
      <c r="T70" s="614">
        <f>COUNTIFS($C$4:$C$58,"?*",$H$4:$H$58,"",W4:W58,"&lt;=10") - COUNTIFS($C$4:$C$58,"?*",$H$4:$H$58,"",W4:W58,"&lt;=7.9")</f>
        <v>23</v>
      </c>
      <c r="U70" s="540">
        <f>COUNTIFS($C$4:$C$58,"?*",$H$4:$H$58,"",W4:W58,"&lt;=7.9") - COUNTIFS($C$4:$C$58,"?*",$H$4:$H$58,"",W4:W58,"&lt;=6.4")</f>
        <v>0</v>
      </c>
      <c r="V70" s="540">
        <f>COUNTIFS($C$4:$C$58,"?*",$H$4:$H$58,"",W4:W58,"&lt;=6.4") - COUNTIFS($C$4:$C$58,"?*",$H$4:$H$58,"",W4:W58,"&lt;=4.9")</f>
        <v>0</v>
      </c>
      <c r="W70" s="540">
        <f>COUNTIFS($C$4:$C$58,"?*",$H$4:$H$58,"",W4:W58,"&lt;=4.9") - COUNTIFS($C$4:$C$58,"?*",$H$4:$H$58,"",W4:W58,"&lt;=3.4")</f>
        <v>0</v>
      </c>
      <c r="X70" s="541">
        <f>COUNTIFS($C$4:$C$58,"?*",$H$4:$H$58,"",W4:W58,"&lt;=3.4") - COUNTIFS($C$4:$C$58,"?*",$H$4:$H$58,"",W4:W58,"&lt;0")</f>
        <v>0</v>
      </c>
      <c r="Y70" s="875"/>
      <c r="Z70" s="539" t="s">
        <v>17</v>
      </c>
      <c r="AA70" s="614">
        <f>COUNTIFS($C$4:$C$58,"?*",$H$4:$H$58,"",AD4:AD58,"&lt;=10") - COUNTIFS($C$4:$C$58,"?*",$H$4:$H$58,"",AD4:AD58,"&lt;=7.9")</f>
        <v>23</v>
      </c>
      <c r="AB70" s="540">
        <f>COUNTIFS($C$4:$C$58,"?*",$H$4:$H$58,"",AD4:AD58,"&lt;=7.9") - COUNTIFS($C$4:$C$58,"?*",$H$4:$H$58,"",AD4:AD58,"&lt;=6.4")</f>
        <v>0</v>
      </c>
      <c r="AC70" s="540">
        <f>COUNTIFS($C$4:$C$58,"?*",$H$4:$H$58,"",AD4:AD58,"&lt;=6.4") - COUNTIFS($C$4:$C$58,"?*",$H$4:$H$58,"",AD4:AD58,"&lt;=4.9")</f>
        <v>0</v>
      </c>
      <c r="AD70" s="540">
        <f>COUNTIFS($C$4:$C$58,"?*",$H$4:$H$58,"",AD4:AD58,"&lt;=4.9") - COUNTIFS($C$4:$C$58,"?*",$H$4:$H$58,"",AD4:AD58,"&lt;=3.4")</f>
        <v>0</v>
      </c>
      <c r="AE70" s="541">
        <f>COUNTIFS($C$4:$C$58,"?*",$H$4:$H$58,"",AD4:AD58,"&lt;=3.4") - COUNTIFS($C$4:$C$58,"?*",$H$4:$H$58,"",AD4:AD58,"&lt;0")</f>
        <v>0</v>
      </c>
      <c r="AF70" s="875"/>
      <c r="AG70" s="539" t="s">
        <v>17</v>
      </c>
      <c r="AH70" s="614">
        <f>COUNTIFS($C$4:$C$58,"?*",$H$4:$H$58,"",AK4:AK58,"&lt;=10") - COUNTIFS($C$4:$C$58,"?*",$H$4:$H$58,"",AK4:AK58,"&lt;=7.9")</f>
        <v>23</v>
      </c>
      <c r="AI70" s="540">
        <f>COUNTIFS($C$4:$C$58,"?*",$H$4:$H$58,"",AK4:AK58,"&lt;=7.9") - COUNTIFS($C$4:$C$58,"?*",$H$4:$H$58,"",AK4:AK58,"&lt;=6.4")</f>
        <v>0</v>
      </c>
      <c r="AJ70" s="540">
        <f>COUNTIFS($C$4:$C$58,"?*",$H$4:$H$58,"",AK4:AK58,"&lt;=6.4") - COUNTIFS($C$4:$C$58,"?*",$H$4:$H$58,"",AK4:AK58,"&lt;=4.9")</f>
        <v>0</v>
      </c>
      <c r="AK70" s="540">
        <f>COUNTIFS($C$4:$C$58,"?*",$H$4:$H$58,"",AK4:AK58,"&lt;=4.9") - COUNTIFS($C$4:$C$58,"?*",$H$4:$H$58,"",AK4:AK58,"&lt;=3.4")</f>
        <v>0</v>
      </c>
      <c r="AL70" s="541">
        <f>COUNTIFS($C$4:$C$58,"?*",$H$4:$H$58,"",AK4:AK58,"&lt;=3.4") - COUNTIFS($C$4:$C$58,"?*",$H$4:$H$58,"",AK4:AK58,"&lt;0")</f>
        <v>0</v>
      </c>
      <c r="AM70" s="875"/>
      <c r="AN70" s="539" t="s">
        <v>17</v>
      </c>
      <c r="AO70" s="614">
        <f>COUNTIFS($C$4:$C$58,"?*",$H$4:$H$58,"",AR4:AR58,"&lt;=10") - COUNTIFS($C$4:$C$58,"?*",$H$4:$H$58,"",AR4:AR58,"&lt;=7.9")</f>
        <v>23</v>
      </c>
      <c r="AP70" s="540">
        <f>COUNTIFS($C$4:$C$58,"?*",$H$4:$H$58,"",AR4:AR58,"&lt;=7.9") - COUNTIFS($C$4:$C$58,"?*",$H$4:$H$58,"",AR4:AR58,"&lt;=6.4")</f>
        <v>0</v>
      </c>
      <c r="AQ70" s="540">
        <f>COUNTIFS($C$4:$C$58,"?*",$H$4:$H$58,"",AR4:AR58,"&lt;=6.4") - COUNTIFS($C$4:$C$58,"?*",$H$4:$H$58,"",AR4:AR58,"&lt;=4.9")</f>
        <v>0</v>
      </c>
      <c r="AR70" s="540">
        <f>COUNTIFS($C$4:$C$58,"?*",$H$4:$H$58,"",AR4:AR58,"&lt;=4.9") - COUNTIFS($C$4:$C$58,"?*",$H$4:$H$58,"",AR4:AR58,"&lt;=3.4")</f>
        <v>0</v>
      </c>
      <c r="AS70" s="541">
        <f>COUNTIFS($C$4:$C$58,"?*",$H$4:$H$58,"",AR4:AR58,"&lt;=3.4") - COUNTIFS($C$4:$C$58,"?*",$H$4:$H$58,"",AR4:AR58,"&lt;0")</f>
        <v>0</v>
      </c>
      <c r="AT70" s="875"/>
      <c r="AU70" s="539" t="s">
        <v>17</v>
      </c>
      <c r="AV70" s="614">
        <f>COUNTIFS($C$4:$C$58,"?*",$H$4:$H$58,"",AY4:AY58,"&lt;=10") - COUNTIFS($C$4:$C$58,"?*",$H$4:$H$58,"",AY4:AY58,"&lt;=7.9")</f>
        <v>23</v>
      </c>
      <c r="AW70" s="540">
        <f>COUNTIFS($C$4:$C$58,"?*",$H$4:$H$58,"",AY4:AY58,"&lt;=7.9") - COUNTIFS($C$4:$C$58,"?*",$H$4:$H$58,"",AY4:AY58,"&lt;=6.4")</f>
        <v>0</v>
      </c>
      <c r="AX70" s="540">
        <f>COUNTIFS($C$4:$C$58,"?*",$H$4:$H$58,"",AY4:AY58,"&lt;=6.4") - COUNTIFS($C$4:$C$58,"?*",$H$4:$H$58,"",AY4:AY58,"&lt;=4.9")</f>
        <v>0</v>
      </c>
      <c r="AY70" s="540">
        <f>COUNTIFS($C$4:$C$58,"?*",$H$4:$H$58,"",AY4:AY58,"&lt;=4.9") - COUNTIFS($C$4:$C$58,"?*",$H$4:$H$58,"",AY4:AY58,"&lt;=3.4")</f>
        <v>0</v>
      </c>
      <c r="AZ70" s="541">
        <f>COUNTIFS($C$4:$C$58,"?*",$H$4:$H$58,"",AY4:AY58,"&lt;=3.4") - COUNTIFS($C$4:$C$58,"?*",$H$4:$H$58,"",AY4:AY58,"&lt;0")</f>
        <v>0</v>
      </c>
      <c r="BA70" s="875"/>
      <c r="BB70" s="539" t="s">
        <v>17</v>
      </c>
      <c r="BC70" s="614">
        <f>COUNTIFS($C$4:$C$58,"?*",$H$4:$H$58,"",BF4:BF58,"&lt;=10") - COUNTIFS($C$4:$C$58,"?*",$H$4:$H$58,"",BF4:BF58,"&lt;=7.9")</f>
        <v>23</v>
      </c>
      <c r="BD70" s="540">
        <f>COUNTIFS($C$4:$C$58,"?*",$H$4:$H$58,"",BF4:BF58,"&lt;=7.9") - COUNTIFS($C$4:$C$58,"?*",$H$4:$H$58,"",BF4:BF58,"&lt;=6.4")</f>
        <v>0</v>
      </c>
      <c r="BE70" s="540">
        <f>COUNTIFS($C$4:$C$58,"?*",$H$4:$H$58,"",BF4:BF58,"&lt;=6.4") - COUNTIFS($C$4:$C$58,"?*",$H$4:$H$58,"",BF4:BF58,"&lt;=4.9")</f>
        <v>0</v>
      </c>
      <c r="BF70" s="540">
        <f>COUNTIFS($C$4:$C$58,"?*",$H$4:$H$58,"",BF4:BF58,"&lt;=4.9") - COUNTIFS($C$4:$C$58,"?*",$H$4:$H$58,"",BF4:BF58,"&lt;=3.4")</f>
        <v>0</v>
      </c>
      <c r="BG70" s="541">
        <f>COUNTIFS($C$4:$C$58,"?*",$H$4:$H$58,"",BF4:BF58,"&lt;=3.4") - COUNTIFS($C$4:$C$58,"?*",$H$4:$H$58,"",BF4:BF58,"&lt;0")</f>
        <v>0</v>
      </c>
      <c r="BH70" s="875"/>
      <c r="BI70" s="539" t="s">
        <v>17</v>
      </c>
      <c r="BJ70" s="614">
        <f>COUNTIFS($C$4:$C$58,"?*",$H$4:$H$58,"",BM4:BM58,"&lt;=10") - COUNTIFS($C$4:$C$58,"?*",$H$4:$H$58,"",BM4:BM58,"&lt;=7.9")</f>
        <v>23</v>
      </c>
      <c r="BK70" s="540">
        <f>COUNTIFS($C$4:$C$58,"?*",$H$4:$H$58,"",BM4:BM58,"&lt;=7.9") - COUNTIFS($C$4:$C$58,"?*",$H$4:$H$58,"",BM4:BM58,"&lt;=6.4")</f>
        <v>0</v>
      </c>
      <c r="BL70" s="540">
        <f>COUNTIFS($C$4:$C$58,"?*",$H$4:$H$58,"",BM4:BM58,"&lt;=6.4") - COUNTIFS($C$4:$C$58,"?*",$H$4:$H$58,"",BM4:BM58,"&lt;=4.9")</f>
        <v>0</v>
      </c>
      <c r="BM70" s="540">
        <f>COUNTIFS($C$4:$C$58,"?*",$H$4:$H$58,"",BM4:BM58,"&lt;=4.9") - COUNTIFS($C$4:$C$58,"?*",$H$4:$H$58,"",BM4:BM58,"&lt;=3.4")</f>
        <v>0</v>
      </c>
      <c r="BN70" s="541">
        <f>COUNTIFS($C$4:$C$58,"?*",$H$4:$H$58,"",BM4:BM58,"&lt;=3.4") - COUNTIFS($C$4:$C$58,"?*",$H$4:$H$58,"",BM4:BM58,"&lt;0")</f>
        <v>0</v>
      </c>
      <c r="BO70" s="875"/>
      <c r="BP70" s="539" t="s">
        <v>17</v>
      </c>
      <c r="BQ70" s="614">
        <f>COUNTIFS($C$4:$C$58,"?*",$H$4:$H$58,"",BT4:BT58,"&lt;=10") - COUNTIFS($C$4:$C$58,"?*",$H$4:$H$58,"",BT4:BT58,"&lt;=7.9")</f>
        <v>23</v>
      </c>
      <c r="BR70" s="540">
        <f>COUNTIFS($C$4:$C$58,"?*",$H$4:$H$58,"",BT4:BT58,"&lt;=7.9") - COUNTIFS($C$4:$C$58,"?*",$H$4:$H$58,"",BT4:BT58,"&lt;=6.4")</f>
        <v>0</v>
      </c>
      <c r="BS70" s="540">
        <f>COUNTIFS($C$4:$C$58,"?*",$H$4:$H$58,"",BT4:BT58,"&lt;=6.4") - COUNTIFS($C$4:$C$58,"?*",$H$4:$H$58,"",BT4:BT58,"&lt;=4.9")</f>
        <v>0</v>
      </c>
      <c r="BT70" s="540">
        <f>COUNTIFS($C$4:$C$58,"?*",$H$4:$H$58,"",BT4:BT58,"&lt;=4.9") - COUNTIFS($C$4:$C$58,"?*",$H$4:$H$58,"",BT4:BT58,"&lt;=3.4")</f>
        <v>0</v>
      </c>
      <c r="BU70" s="541">
        <f>COUNTIFS($C$4:$C$58,"?*",$H$4:$H$58,"",BT4:BT58,"&lt;=3.4") - COUNTIFS($C$4:$C$58,"?*",$H$4:$H$58,"",BT4:BT58,"&lt;0")</f>
        <v>0</v>
      </c>
      <c r="BV70" s="875"/>
      <c r="BW70" s="539" t="s">
        <v>17</v>
      </c>
      <c r="BX70" s="614">
        <f>COUNTIFS($C$4:$C$58,"?*",$H$4:$H$58,"",CA4:CA58,"&lt;=10") - COUNTIFS($C$4:$C$58,"?*",$H$4:$H$58,"",CA4:CA58,"&lt;=7.9")</f>
        <v>23</v>
      </c>
      <c r="BY70" s="540">
        <f>COUNTIFS($C$4:$C$58,"?*",$H$4:$H$58,"",CA4:CA58,"&lt;=7.9") - COUNTIFS($C$4:$C$58,"?*",$H$4:$H$58,"",CA4:CA58,"&lt;=6.4")</f>
        <v>0</v>
      </c>
      <c r="BZ70" s="540">
        <f>COUNTIFS($C$4:$C$58,"?*",$H$4:$H$58,"",CA4:CA58,"&lt;=6.4") - COUNTIFS($C$4:$C$58,"?*",$H$4:$H$58,"",CA4:CA58,"&lt;=4.9")</f>
        <v>0</v>
      </c>
      <c r="CA70" s="540">
        <f>COUNTIFS($C$4:$C$58,"?*",$H$4:$H$58,"",CA4:CA58,"&lt;=4.9") - COUNTIFS($C$4:$C$58,"?*",$H$4:$H$58,"",CA4:CA58,"&lt;=3.4")</f>
        <v>0</v>
      </c>
      <c r="CB70" s="541">
        <f>COUNTIFS($C$4:$C$58,"?*",$H$4:$H$58,"",CA4:CA58,"&lt;=3.4") - COUNTIFS($C$4:$C$58,"?*",$H$4:$H$58,"",CA4:CA58,"&lt;0")</f>
        <v>0</v>
      </c>
      <c r="CC70" s="875"/>
      <c r="CD70" s="539" t="s">
        <v>17</v>
      </c>
      <c r="CE70" s="614">
        <f>COUNTIFS($C$4:$C$58,"?*",$H$4:$H$58,"",CH4:CH58,"&lt;=10") - COUNTIFS($C$4:$C$58,"?*",$H$4:$H$58,"",CH4:CH58,"&lt;=7.9")</f>
        <v>23</v>
      </c>
      <c r="CF70" s="540">
        <f>COUNTIFS($C$4:$C$58,"?*",$H$4:$H$58,"",CH4:CH58,"&lt;=7.9") - COUNTIFS($C$4:$C$58,"?*",$H$4:$H$58,"",CH4:CH58,"&lt;=6.4")</f>
        <v>0</v>
      </c>
      <c r="CG70" s="540">
        <f>COUNTIFS($C$4:$C$58,"?*",$H$4:$H$58,"",CH4:CH58,"&lt;=6.4") - COUNTIFS($C$4:$C$58,"?*",$H$4:$H$58,"",CH4:CH58,"&lt;=4.9")</f>
        <v>0</v>
      </c>
      <c r="CH70" s="540">
        <f>COUNTIFS($C$4:$C$58,"?*",$H$4:$H$58,"",CH4:CH58,"&lt;=4.9") - COUNTIFS($C$4:$C$58,"?*",$H$4:$H$58,"",CH4:CH58,"&lt;=3.4")</f>
        <v>0</v>
      </c>
      <c r="CI70" s="541">
        <f>COUNTIFS($C$4:$C$58,"?*",$H$4:$H$58,"",CH4:CH58,"&lt;=3.4") - COUNTIFS($C$4:$C$58,"?*",$H$4:$H$58,"",CH4:CH58,"&lt;0")</f>
        <v>0</v>
      </c>
      <c r="CK70" s="539" t="s">
        <v>17</v>
      </c>
      <c r="CL70" s="540">
        <f>COUNTIFS($C$4:$C$58,"?*",$H$4:$H$58,"",CO4:CO58,"Đ")</f>
        <v>23</v>
      </c>
      <c r="CM70" s="541">
        <f>COUNTIFS($C$4:$C$58,"?*",$H$4:$H$58,"",CO4:CO58,"CĐ")</f>
        <v>0</v>
      </c>
      <c r="CN70" s="539" t="s">
        <v>17</v>
      </c>
      <c r="CO70" s="540">
        <f>COUNTIFS($C$4:$C$58,"?*",$H$4:$H$58,"",CP4:CP58,"Đ")</f>
        <v>23</v>
      </c>
      <c r="CP70" s="541">
        <f>COUNTIFS($C$4:$C$58,"?*",$H$4:$H$58,"",CP4:CP58,"CĐ")</f>
        <v>0</v>
      </c>
      <c r="CQ70" s="875"/>
      <c r="CR70" s="539" t="s">
        <v>17</v>
      </c>
      <c r="CS70" s="614">
        <f>COUNTIFS($C$4:$C$58,"?*",$H$4:$H$58,"",CV4:CV58,"&lt;=10") - COUNTIFS($C$4:$C$58,"?*",$H$4:$H$58,"",CV4:CV58,"&lt;=7.9")</f>
        <v>23</v>
      </c>
      <c r="CT70" s="540">
        <f>COUNTIFS($C$4:$C$58,"?*",$H$4:$H$58,"",CV4:CV58,"&lt;=7.9") - COUNTIFS($C$4:$C$58,"?*",$H$4:$H$58,"",CV4:CV58,"&lt;=6.4")</f>
        <v>0</v>
      </c>
      <c r="CU70" s="540">
        <f>COUNTIFS($C$4:$C$58,"?*",$H$4:$H$58,"",CV4:CV58,"&lt;=6.4") - COUNTIFS($C$4:$C$58,"?*",$H$4:$H$58,"",CV4:CV58,"&lt;=4.9")</f>
        <v>0</v>
      </c>
      <c r="CV70" s="540">
        <f>COUNTIFS($C$4:$C$58,"?*",$H$4:$H$58,"",CV4:CV58,"&lt;=4.9") - COUNTIFS($C$4:$C$58,"?*",$H$4:$H$58,"",CV4:CV58,"&lt;=3.4")</f>
        <v>0</v>
      </c>
      <c r="CW70" s="541">
        <f>COUNTIFS($C$4:$C$58,"?*",$H$4:$H$58,"",CV4:CV58,"&lt;=3.4") - COUNTIFS($C$4:$C$58,"?*",$H$4:$H$58,"",CV4:CV58,"&lt;0")</f>
        <v>0</v>
      </c>
      <c r="CX70" s="875"/>
      <c r="CY70" s="539" t="s">
        <v>17</v>
      </c>
      <c r="CZ70" s="614">
        <f>COUNTIFS($C$4:$C$58,"?*",$H$4:$H$58,"",DC4:DC58,"&lt;=10") - COUNTIFS($C$4:$C$58,"?*",$H$4:$H$58,"",DC4:DC58,"&lt;=7.9")</f>
        <v>0</v>
      </c>
      <c r="DA70" s="540">
        <f>COUNTIFS($C$4:$C$58,"?*",$H$4:$H$58,"",DC4:DC58,"&lt;=7.9") - COUNTIFS($C$4:$C$58,"?*",$H$4:$H$58,"",DC4:DC58,"&lt;=6.4")</f>
        <v>0</v>
      </c>
      <c r="DB70" s="540">
        <f>COUNTIFS($C$4:$C$58,"?*",$H$4:$H$58,"",DC4:DC58,"&lt;=6.4") - COUNTIFS($C$4:$C$58,"?*",$H$4:$H$58,"",DC4:DC58,"&lt;=4.9")</f>
        <v>0</v>
      </c>
      <c r="DC70" s="540">
        <f>COUNTIFS($C$4:$C$58,"?*",$H$4:$H$58,"",DC4:DC58,"&lt;=4.9") - COUNTIFS($C$4:$C$58,"?*",$H$4:$H$58,"",DC4:DC58,"&lt;=3.4")</f>
        <v>0</v>
      </c>
      <c r="DD70" s="541">
        <f>COUNTIFS($C$4:$C$58,"?*",$H$4:$H$58,"",DC4:DC58,"&lt;=3.4") - COUNTIFS($C$4:$C$58,"?*",$H$4:$H$58,"",DC4:DC58,"&lt;0")</f>
        <v>0</v>
      </c>
    </row>
    <row r="71" spans="2:108" s="129" customFormat="1" ht="15.9" customHeight="1">
      <c r="K71" s="875"/>
      <c r="L71" s="539" t="s">
        <v>18</v>
      </c>
      <c r="M71" s="614">
        <f>COUNTIFS($C$4:$C$58,"?*",$H$4:$H$58,"x",P4:P58,"&lt;=10") - COUNTIFS($C$4:$C$58,"?*",$H$4:$H$58,"x",P4:P58,"&lt;=7.9")</f>
        <v>13</v>
      </c>
      <c r="N71" s="540">
        <f>COUNTIFS($C$4:$C$58,"?*",$H$4:$H$58,"x",P4:P58,"&lt;=7.9") - COUNTIFS($C$4:$C$58,"?*",$H$4:$H$58,"x",P4:P58,"&lt;=6.4")</f>
        <v>0</v>
      </c>
      <c r="O71" s="540">
        <f>COUNTIFS($C$4:$C$58,"?*",$H$4:$H$58,"x",P4:P58,"&lt;=6.4") - COUNTIFS($C$4:$C$58,"?*",$H$4:$H$58,"x",P4:P58,"&lt;=4.9")</f>
        <v>0</v>
      </c>
      <c r="P71" s="540">
        <f>COUNTIFS($C$4:$C$58,"?*",$H$4:$H$58,"x",P4:P58,"&lt;=4.9") - COUNTIFS($C$4:$C$58,"?*",$H$4:$H$58,"x",P4:P58,"&lt;=3.4")</f>
        <v>0</v>
      </c>
      <c r="Q71" s="541">
        <f>COUNTIFS($C$4:$C$58,"?*",$H$4:$H$58,"x",P4:P58,"&lt;=3.4") - COUNTIFS($C$4:$C$58,"?*",$H$4:$H$58,"x",P4:P58,"&lt;0")</f>
        <v>0</v>
      </c>
      <c r="R71" s="875"/>
      <c r="S71" s="539" t="s">
        <v>18</v>
      </c>
      <c r="T71" s="614">
        <f>COUNTIFS($C$4:$C$58,"?*",$H$4:$H$58,"x",W4:W58,"&lt;=10") - COUNTIFS($C$4:$C$58,"?*",$H$4:$H$58,"x",W4:W58,"&lt;=7.9")</f>
        <v>13</v>
      </c>
      <c r="U71" s="540">
        <f>COUNTIFS($C$4:$C$58,"?*",$H$4:$H$58,"x",W4:W58,"&lt;=7.9") - COUNTIFS($C$4:$C$58,"?*",$H$4:$H$58,"x",W4:W58,"&lt;=6.4")</f>
        <v>0</v>
      </c>
      <c r="V71" s="540">
        <f>COUNTIFS($C$4:$C$58,"?*",$H$4:$H$58,"x",W4:W58,"&lt;=6.4") - COUNTIFS($C$4:$C$58,"?*",$H$4:$H$58,"x",W4:W58,"&lt;=4.9")</f>
        <v>0</v>
      </c>
      <c r="W71" s="540">
        <f>COUNTIFS($C$4:$C$58,"?*",$H$4:$H$58,"x",W4:W58,"&lt;=4.9") - COUNTIFS($C$4:$C$58,"?*",$H$4:$H$58,"x",W4:W58,"&lt;=3.4")</f>
        <v>0</v>
      </c>
      <c r="X71" s="541">
        <f>COUNTIFS($C$4:$C$58,"?*",$H$4:$H$58,"x",W4:W58,"&lt;=3.4") - COUNTIFS($C$4:$C$58,"?*",$H$4:$H$58,"x",W4:W58,"&lt;0")</f>
        <v>0</v>
      </c>
      <c r="Y71" s="875"/>
      <c r="Z71" s="539" t="s">
        <v>18</v>
      </c>
      <c r="AA71" s="614">
        <f>COUNTIFS($C$4:$C$58,"?*",$H$4:$H$58,"x",AD4:AD58,"&lt;=10") - COUNTIFS($C$4:$C$58,"?*",$H$4:$H$58,"x",AD4:AD58,"&lt;=7.9")</f>
        <v>13</v>
      </c>
      <c r="AB71" s="540">
        <f>COUNTIFS($C$4:$C$58,"?*",$H$4:$H$58,"x",AD4:AD58,"&lt;=7.9") - COUNTIFS($C$4:$C$58,"?*",$H$4:$H$58,"x",AD4:AD58,"&lt;=6.4")</f>
        <v>0</v>
      </c>
      <c r="AC71" s="540">
        <f>COUNTIFS($C$4:$C$58,"?*",$H$4:$H$58,"x",AD4:AD58,"&lt;=6.4") - COUNTIFS($C$4:$C$58,"?*",$H$4:$H$58,"x",AD4:AD58,"&lt;=4.9")</f>
        <v>0</v>
      </c>
      <c r="AD71" s="540">
        <f>COUNTIFS($C$4:$C$58,"?*",$H$4:$H$58,"x",AD4:AD58,"&lt;=4.9") - COUNTIFS($C$4:$C$58,"?*",$H$4:$H$58,"x",AD4:AD58,"&lt;=3.4")</f>
        <v>0</v>
      </c>
      <c r="AE71" s="541">
        <f>COUNTIFS($C$4:$C$58,"?*",$H$4:$H$58,"x",AD4:AD58,"&lt;=3.4") - COUNTIFS($C$4:$C$58,"?*",$H$4:$H$58,"x",AD4:AD58,"&lt;0")</f>
        <v>0</v>
      </c>
      <c r="AF71" s="875"/>
      <c r="AG71" s="539" t="s">
        <v>18</v>
      </c>
      <c r="AH71" s="614">
        <f>COUNTIFS($C$4:$C$58,"?*",$H$4:$H$58,"x",AK4:AK58,"&lt;=10") - COUNTIFS($C$4:$C$58,"?*",$H$4:$H$58,"x",AK4:AK58,"&lt;=7.9")</f>
        <v>13</v>
      </c>
      <c r="AI71" s="540">
        <f>COUNTIFS($C$4:$C$58,"?*",$H$4:$H$58,"x",AK4:AK58,"&lt;=7.9") - COUNTIFS($C$4:$C$58,"?*",$H$4:$H$58,"x",AK4:AK58,"&lt;=6.4")</f>
        <v>0</v>
      </c>
      <c r="AJ71" s="540">
        <f>COUNTIFS($C$4:$C$58,"?*",$H$4:$H$58,"x",AK4:AK58,"&lt;=6.4") - COUNTIFS($C$4:$C$58,"?*",$H$4:$H$58,"x",AK4:AK58,"&lt;=4.9")</f>
        <v>0</v>
      </c>
      <c r="AK71" s="540">
        <f>COUNTIFS($C$4:$C$58,"?*",$H$4:$H$58,"x",AK4:AK58,"&lt;=4.9") - COUNTIFS($C$4:$C$58,"?*",$H$4:$H$58,"x",AK4:AK58,"&lt;=3.4")</f>
        <v>0</v>
      </c>
      <c r="AL71" s="541">
        <f>COUNTIFS($C$4:$C$58,"?*",$H$4:$H$58,"x",AK4:AK58,"&lt;=3.4") - COUNTIFS($C$4:$C$58,"?*",$H$4:$H$58,"x",AK4:AK58,"&lt;0")</f>
        <v>0</v>
      </c>
      <c r="AM71" s="875"/>
      <c r="AN71" s="539" t="s">
        <v>18</v>
      </c>
      <c r="AO71" s="614">
        <f>COUNTIFS($C$4:$C$58,"?*",$H$4:$H$58,"x",AR4:AR58,"&lt;=10") - COUNTIFS($C$4:$C$58,"?*",$H$4:$H$58,"x",AR4:AR58,"&lt;=7.9")</f>
        <v>13</v>
      </c>
      <c r="AP71" s="540">
        <f>COUNTIFS($C$4:$C$58,"?*",$H$4:$H$58,"x",AR4:AR58,"&lt;=7.9") - COUNTIFS($C$4:$C$58,"?*",$H$4:$H$58,"x",AR4:AR58,"&lt;=6.4")</f>
        <v>0</v>
      </c>
      <c r="AQ71" s="540">
        <f>COUNTIFS($C$4:$C$58,"?*",$H$4:$H$58,"x",AR4:AR58,"&lt;=6.4") - COUNTIFS($C$4:$C$58,"?*",$H$4:$H$58,"x",AR4:AR58,"&lt;=4.9")</f>
        <v>0</v>
      </c>
      <c r="AR71" s="540">
        <f>COUNTIFS($C$4:$C$58,"?*",$H$4:$H$58,"x",AR4:AR58,"&lt;=4.9") - COUNTIFS($C$4:$C$58,"?*",$H$4:$H$58,"x",AR4:AR58,"&lt;=3.4")</f>
        <v>0</v>
      </c>
      <c r="AS71" s="541">
        <f>COUNTIFS($C$4:$C$58,"?*",$H$4:$H$58,"x",AR4:AR58,"&lt;=3.4") - COUNTIFS($C$4:$C$58,"?*",$H$4:$H$58,"x",AR4:AR58,"&lt;0")</f>
        <v>0</v>
      </c>
      <c r="AT71" s="875"/>
      <c r="AU71" s="539" t="s">
        <v>18</v>
      </c>
      <c r="AV71" s="614">
        <f>COUNTIFS($C$4:$C$58,"?*",$H$4:$H$58,"x",AY4:AY58,"&lt;=10") - COUNTIFS($C$4:$C$58,"?*",$H$4:$H$58,"x",AY4:AY58,"&lt;=7.9")</f>
        <v>13</v>
      </c>
      <c r="AW71" s="540">
        <f>COUNTIFS($C$4:$C$58,"?*",$H$4:$H$58,"x",AY4:AY58,"&lt;=7.9") - COUNTIFS($C$4:$C$58,"?*",$H$4:$H$58,"x",AY4:AY58,"&lt;=6.4")</f>
        <v>0</v>
      </c>
      <c r="AX71" s="540">
        <f>COUNTIFS($C$4:$C$58,"?*",$H$4:$H$58,"x",AY4:AY58,"&lt;=6.4") - COUNTIFS($C$4:$C$58,"?*",$H$4:$H$58,"x",AY4:AY58,"&lt;=4.9")</f>
        <v>0</v>
      </c>
      <c r="AY71" s="540">
        <f>COUNTIFS($C$4:$C$58,"?*",$H$4:$H$58,"x",AY4:AY58,"&lt;=4.9") - COUNTIFS($C$4:$C$58,"?*",$H$4:$H$58,"x",AY4:AY58,"&lt;=3.4")</f>
        <v>0</v>
      </c>
      <c r="AZ71" s="541">
        <f>COUNTIFS($C$4:$C$58,"?*",$H$4:$H$58,"x",AY4:AY58,"&lt;=3.4") - COUNTIFS($C$4:$C$58,"?*",$H$4:$H$58,"x",AY4:AY58,"&lt;0")</f>
        <v>0</v>
      </c>
      <c r="BA71" s="875"/>
      <c r="BB71" s="539" t="s">
        <v>18</v>
      </c>
      <c r="BC71" s="614">
        <f>COUNTIFS($C$4:$C$58,"?*",$H$4:$H$58,"x",BF4:BF58,"&lt;=10") - COUNTIFS($C$4:$C$58,"?*",$H$4:$H$58,"x",BF4:BF58,"&lt;=7.9")</f>
        <v>13</v>
      </c>
      <c r="BD71" s="540">
        <f>COUNTIFS($C$4:$C$58,"?*",$H$4:$H$58,"x",BF4:BF58,"&lt;=7.9") - COUNTIFS($C$4:$C$58,"?*",$H$4:$H$58,"x",BF4:BF58,"&lt;=6.4")</f>
        <v>0</v>
      </c>
      <c r="BE71" s="540">
        <f>COUNTIFS($C$4:$C$58,"?*",$H$4:$H$58,"x",BF4:BF58,"&lt;=6.4") - COUNTIFS($C$4:$C$58,"?*",$H$4:$H$58,"x",BF4:BF58,"&lt;=4.9")</f>
        <v>0</v>
      </c>
      <c r="BF71" s="540">
        <f>COUNTIFS($C$4:$C$58,"?*",$H$4:$H$58,"x",BF4:BF58,"&lt;=4.9") - COUNTIFS($C$4:$C$58,"?*",$H$4:$H$58,"x",BF4:BF58,"&lt;=3.4")</f>
        <v>0</v>
      </c>
      <c r="BG71" s="541">
        <f>COUNTIFS($C$4:$C$58,"?*",$H$4:$H$58,"x",BF4:BF58,"&lt;=3.4") - COUNTIFS($C$4:$C$58,"?*",$H$4:$H$58,"x",BF4:BF58,"&lt;0")</f>
        <v>0</v>
      </c>
      <c r="BH71" s="875"/>
      <c r="BI71" s="539" t="s">
        <v>18</v>
      </c>
      <c r="BJ71" s="614">
        <f>COUNTIFS($C$4:$C$58,"?*",$H$4:$H$58,"x",BM4:BM58,"&lt;=10") - COUNTIFS($C$4:$C$58,"?*",$H$4:$H$58,"x",BM4:BM58,"&lt;=7.9")</f>
        <v>13</v>
      </c>
      <c r="BK71" s="540">
        <f>COUNTIFS($C$4:$C$58,"?*",$H$4:$H$58,"x",BM4:BM58,"&lt;=7.9") - COUNTIFS($C$4:$C$58,"?*",$H$4:$H$58,"x",BM4:BM58,"&lt;=6.4")</f>
        <v>0</v>
      </c>
      <c r="BL71" s="540">
        <f>COUNTIFS($C$4:$C$58,"?*",$H$4:$H$58,"x",BM4:BM58,"&lt;=6.4") - COUNTIFS($C$4:$C$58,"?*",$H$4:$H$58,"x",BM4:BM58,"&lt;=4.9")</f>
        <v>0</v>
      </c>
      <c r="BM71" s="540">
        <f>COUNTIFS($C$4:$C$58,"?*",$H$4:$H$58,"x",BM4:BM58,"&lt;=4.9") - COUNTIFS($C$4:$C$58,"?*",$H$4:$H$58,"x",BM4:BM58,"&lt;=3.4")</f>
        <v>0</v>
      </c>
      <c r="BN71" s="541">
        <f>COUNTIFS($C$4:$C$58,"?*",$H$4:$H$58,"x",BM4:BM58,"&lt;=3.4") - COUNTIFS($C$4:$C$58,"?*",$H$4:$H$58,"x",BM4:BM58,"&lt;0")</f>
        <v>0</v>
      </c>
      <c r="BO71" s="875"/>
      <c r="BP71" s="539" t="s">
        <v>18</v>
      </c>
      <c r="BQ71" s="614">
        <f>COUNTIFS($C$4:$C$58,"?*",$H$4:$H$58,"x",BT4:BT58,"&lt;=10") - COUNTIFS($C$4:$C$58,"?*",$H$4:$H$58,"x",BT4:BT58,"&lt;=7.9")</f>
        <v>13</v>
      </c>
      <c r="BR71" s="540">
        <f>COUNTIFS($C$4:$C$58,"?*",$H$4:$H$58,"x",BT4:BT58,"&lt;=7.9") - COUNTIFS($C$4:$C$58,"?*",$H$4:$H$58,"x",BT4:BT58,"&lt;=6.4")</f>
        <v>0</v>
      </c>
      <c r="BS71" s="540">
        <f>COUNTIFS($C$4:$C$58,"?*",$H$4:$H$58,"x",BT4:BT58,"&lt;=6.4") - COUNTIFS($C$4:$C$58,"?*",$H$4:$H$58,"x",BT4:BT58,"&lt;=4.9")</f>
        <v>0</v>
      </c>
      <c r="BT71" s="540">
        <f>COUNTIFS($C$4:$C$58,"?*",$H$4:$H$58,"x",BT4:BT58,"&lt;=4.9") - COUNTIFS($C$4:$C$58,"?*",$H$4:$H$58,"x",BT4:BT58,"&lt;=3.4")</f>
        <v>0</v>
      </c>
      <c r="BU71" s="541">
        <f>COUNTIFS($C$4:$C$58,"?*",$H$4:$H$58,"x",BT4:BT58,"&lt;=3.4") - COUNTIFS($C$4:$C$58,"?*",$H$4:$H$58,"x",BT4:BT58,"&lt;0")</f>
        <v>0</v>
      </c>
      <c r="BV71" s="875"/>
      <c r="BW71" s="539" t="s">
        <v>18</v>
      </c>
      <c r="BX71" s="614">
        <f>COUNTIFS($C$4:$C$58,"?*",$H$4:$H$58,"x",CA4:CA58,"&lt;=10") - COUNTIFS($C$4:$C$58,"?*",$H$4:$H$58,"x",CA4:CA58,"&lt;=7.9")</f>
        <v>13</v>
      </c>
      <c r="BY71" s="540">
        <f>COUNTIFS($C$4:$C$58,"?*",$H$4:$H$58,"x",CA4:CA58,"&lt;=7.9") - COUNTIFS($C$4:$C$58,"?*",$H$4:$H$58,"x",CA4:CA58,"&lt;=6.4")</f>
        <v>0</v>
      </c>
      <c r="BZ71" s="540">
        <f>COUNTIFS($C$4:$C$58,"?*",$H$4:$H$58,"x",CA4:CA58,"&lt;=6.4") - COUNTIFS($C$4:$C$58,"?*",$H$4:$H$58,"x",CA4:CA58,"&lt;=4.9")</f>
        <v>0</v>
      </c>
      <c r="CA71" s="540">
        <f>COUNTIFS($C$4:$C$58,"?*",$H$4:$H$58,"x",CA4:CA58,"&lt;=4.9") - COUNTIFS($C$4:$C$58,"?*",$H$4:$H$58,"x",CA4:CA58,"&lt;=3.4")</f>
        <v>0</v>
      </c>
      <c r="CB71" s="541">
        <f>COUNTIFS($C$4:$C$58,"?*",$H$4:$H$58,"x",CA4:CA58,"&lt;=3.4") - COUNTIFS($C$4:$C$58,"?*",$H$4:$H$58,"x",CA4:CA58,"&lt;0")</f>
        <v>0</v>
      </c>
      <c r="CC71" s="875"/>
      <c r="CD71" s="539" t="s">
        <v>18</v>
      </c>
      <c r="CE71" s="614">
        <f>COUNTIFS($C$4:$C$58,"?*",$H$4:$H$58,"x",CH4:CH58,"&lt;=10") - COUNTIFS($C$4:$C$58,"?*",$H$4:$H$58,"x",CH4:CH58,"&lt;=7.9")</f>
        <v>13</v>
      </c>
      <c r="CF71" s="540">
        <f>COUNTIFS($C$4:$C$58,"?*",$H$4:$H$58,"x",CH4:CH58,"&lt;=7.9") - COUNTIFS($C$4:$C$58,"?*",$H$4:$H$58,"x",CH4:CH58,"&lt;=6.4")</f>
        <v>0</v>
      </c>
      <c r="CG71" s="540">
        <f>COUNTIFS($C$4:$C$58,"?*",$H$4:$H$58,"x",CH4:CH58,"&lt;=6.4") - COUNTIFS($C$4:$C$58,"?*",$H$4:$H$58,"x",CH4:CH58,"&lt;=4.9")</f>
        <v>0</v>
      </c>
      <c r="CH71" s="540">
        <f>COUNTIFS($C$4:$C$58,"?*",$H$4:$H$58,"x",CH4:CH58,"&lt;=4.9") - COUNTIFS($C$4:$C$58,"?*",$H$4:$H$58,"x",CH4:CH58,"&lt;=3.4")</f>
        <v>0</v>
      </c>
      <c r="CI71" s="541">
        <f>COUNTIFS($C$4:$C$58,"?*",$H$4:$H$58,"x",CH4:CH58,"&lt;=3.4") - COUNTIFS($C$4:$C$58,"?*",$H$4:$H$58,"x",CH4:CH58,"&lt;0")</f>
        <v>0</v>
      </c>
      <c r="CK71" s="539" t="s">
        <v>18</v>
      </c>
      <c r="CL71" s="540">
        <f>COUNTIFS($C$4:$C$58,"?*",$H$4:$H$58,"x",CO4:CO58,"Đ")</f>
        <v>13</v>
      </c>
      <c r="CM71" s="541">
        <f>COUNTIFS($C$4:$C$58,"?*",$H$4:$H$58,"x",CO4:CO58,"CĐ")</f>
        <v>0</v>
      </c>
      <c r="CN71" s="539" t="s">
        <v>18</v>
      </c>
      <c r="CO71" s="540">
        <f>COUNTIFS($C$4:$C$58,"?*",$H$4:$H$58,"x",CP4:CP58,"Đ")</f>
        <v>13</v>
      </c>
      <c r="CP71" s="541">
        <f>COUNTIFS($C$4:$C$58,"?*",$H$4:$H$58,"x",CP4:CP58,"CĐ")</f>
        <v>0</v>
      </c>
      <c r="CQ71" s="875"/>
      <c r="CR71" s="539" t="s">
        <v>18</v>
      </c>
      <c r="CS71" s="614">
        <f>COUNTIFS($C$4:$C$58,"?*",$H$4:$H$58,"x",CV4:CV58,"&lt;=10") - COUNTIFS($C$4:$C$58,"?*",$H$4:$H$58,"x",CV4:CV58,"&lt;=7.9")</f>
        <v>13</v>
      </c>
      <c r="CT71" s="540">
        <f>COUNTIFS($C$4:$C$58,"?*",$H$4:$H$58,"x",CV4:CV58,"&lt;=7.9") - COUNTIFS($C$4:$C$58,"?*",$H$4:$H$58,"x",CV4:CV58,"&lt;=6.4")</f>
        <v>0</v>
      </c>
      <c r="CU71" s="540">
        <f>COUNTIFS($C$4:$C$58,"?*",$H$4:$H$58,"x",CV4:CV58,"&lt;=6.4") - COUNTIFS($C$4:$C$58,"?*",$H$4:$H$58,"x",CV4:CV58,"&lt;=4.9")</f>
        <v>0</v>
      </c>
      <c r="CV71" s="540">
        <f>COUNTIFS($C$4:$C$58,"?*",$H$4:$H$58,"x",CV4:CV58,"&lt;=4.9") - COUNTIFS($C$4:$C$58,"?*",$H$4:$H$58,"x",CV4:CV58,"&lt;=3.4")</f>
        <v>0</v>
      </c>
      <c r="CW71" s="541">
        <f>COUNTIFS($C$4:$C$58,"?*",$H$4:$H$58,"x",CV4:CV58,"&lt;=3.4") - COUNTIFS($C$4:$C$58,"?*",$H$4:$H$58,"x",CV4:CV58,"&lt;0")</f>
        <v>0</v>
      </c>
      <c r="CX71" s="875"/>
      <c r="CY71" s="539" t="s">
        <v>18</v>
      </c>
      <c r="CZ71" s="614">
        <f>COUNTIFS($C$4:$C$58,"?*",$H$4:$H$58,"x",DC4:DC58,"&lt;=10") - COUNTIFS($C$4:$C$58,"?*",$H$4:$H$58,"x",DC4:DC58,"&lt;=7.9")</f>
        <v>0</v>
      </c>
      <c r="DA71" s="540">
        <f>COUNTIFS($C$4:$C$58,"?*",$H$4:$H$58,"x",DC4:DC58,"&lt;=7.9") - COUNTIFS($C$4:$C$58,"?*",$H$4:$H$58,"x",DC4:DC58,"&lt;=6.4")</f>
        <v>0</v>
      </c>
      <c r="DB71" s="540">
        <f>COUNTIFS($C$4:$C$58,"?*",$H$4:$H$58,"x",DC4:DC58,"&lt;=6.4") - COUNTIFS($C$4:$C$58,"?*",$H$4:$H$58,"x",DC4:DC58,"&lt;=4.9")</f>
        <v>0</v>
      </c>
      <c r="DC71" s="540">
        <f>COUNTIFS($C$4:$C$58,"?*",$H$4:$H$58,"x",DC4:DC58,"&lt;=4.9") - COUNTIFS($C$4:$C$58,"?*",$H$4:$H$58,"x",DC4:DC58,"&lt;=3.4")</f>
        <v>0</v>
      </c>
      <c r="DD71" s="541">
        <f>COUNTIFS($C$4:$C$58,"?*",$H$4:$H$58,"x",DC4:DC58,"&lt;=3.4") - COUNTIFS($C$4:$C$58,"?*",$H$4:$H$58,"x",DC4:DC58,"&lt;0")</f>
        <v>0</v>
      </c>
    </row>
    <row r="72" spans="2:108" s="129" customFormat="1" ht="15.9" customHeight="1">
      <c r="K72" s="875"/>
      <c r="L72" s="539" t="s">
        <v>50</v>
      </c>
      <c r="M72" s="614">
        <f>COUNTIFS($C$4:$C$58,"?*",$I$4:$I$58,"x",P4:P58,"&lt;=10") - COUNTIFS($C$4:$C$58,"?*",$I$4:$I$58,"x",P4:P58,"&lt;=7.9")</f>
        <v>0</v>
      </c>
      <c r="N72" s="540">
        <f>COUNTIFS($C$4:$C$58,"?*",$I$4:$I$58,"x",P4:P58,"&lt;=7.9") - COUNTIFS($C$4:$C$58,"?*",$I$4:$I$58,"x",P4:P58,"&lt;=6.4")</f>
        <v>0</v>
      </c>
      <c r="O72" s="540">
        <f>COUNTIFS($C$4:$C$58,"?*",$I$4:$I$58,"x",P4:P58,"&lt;=6.4") - COUNTIFS($C$4:$C$58,"?*",$I$4:$I$58,"x",P4:P58,"&lt;=4.9")</f>
        <v>0</v>
      </c>
      <c r="P72" s="540">
        <f>COUNTIFS($C$4:$C$58,"?*",$I$4:$I$58,"x",P4:P58,"&lt;=4.9") - COUNTIFS($C$4:$C$58,"?*",$I$4:$I$58,"x",P4:P58,"&lt;=3.4")</f>
        <v>0</v>
      </c>
      <c r="Q72" s="541">
        <f>COUNTIFS($C$4:$C$58,"?*",$I$4:$I$58,"x",P4:P58,"&lt;=3.4") - COUNTIFS($C$4:$C$58,"?*",$I$4:$I$58,"x",P4:P58,"&lt;0")</f>
        <v>0</v>
      </c>
      <c r="R72" s="875"/>
      <c r="S72" s="539" t="s">
        <v>50</v>
      </c>
      <c r="T72" s="614">
        <f>COUNTIFS($C$4:$C$58,"?*",$I$4:$I$58,"x",W4:W58,"&lt;=10") - COUNTIFS($C$4:$C$58,"?*",$I$4:$I$58,"x",W4:W58,"&lt;=7.9")</f>
        <v>0</v>
      </c>
      <c r="U72" s="540">
        <f>COUNTIFS($C$4:$C$58,"?*",$I$4:$I$58,"x",W4:W58,"&lt;=7.9") - COUNTIFS($C$4:$C$58,"?*",$I$4:$I$58,"x",W4:W58,"&lt;=6.4")</f>
        <v>0</v>
      </c>
      <c r="V72" s="540">
        <f>COUNTIFS($C$4:$C$58,"?*",$I$4:$I$58,"x",W4:W58,"&lt;=6.4") - COUNTIFS($C$4:$C$58,"?*",$I$4:$I$58,"x",W4:W58,"&lt;=4.9")</f>
        <v>0</v>
      </c>
      <c r="W72" s="540">
        <f>COUNTIFS($C$4:$C$58,"?*",$I$4:$I$58,"x",W4:W58,"&lt;=4.9") - COUNTIFS($C$4:$C$58,"?*",$I$4:$I$58,"x",W4:W58,"&lt;=3.4")</f>
        <v>0</v>
      </c>
      <c r="X72" s="541">
        <f>COUNTIFS($C$4:$C$58,"?*",$I$4:$I$58,"x",W4:W58,"&lt;=3.4") - COUNTIFS($C$4:$C$58,"?*",$I$4:$I$58,"x",W4:W58,"&lt;0")</f>
        <v>0</v>
      </c>
      <c r="Y72" s="875"/>
      <c r="Z72" s="539" t="s">
        <v>50</v>
      </c>
      <c r="AA72" s="614">
        <f>COUNTIFS($C$4:$C$58,"?*",$I$4:$I$58,"x",AD4:AD58,"&lt;=10") - COUNTIFS($C$4:$C$58,"?*",$I$4:$I$58,"x",AD4:AD58,"&lt;=7.9")</f>
        <v>0</v>
      </c>
      <c r="AB72" s="540">
        <f>COUNTIFS($C$4:$C$58,"?*",$I$4:$I$58,"x",AD4:AD58,"&lt;=7.9") - COUNTIFS($C$4:$C$58,"?*",$I$4:$I$58,"x",AD4:AD58,"&lt;=6.4")</f>
        <v>0</v>
      </c>
      <c r="AC72" s="540">
        <f>COUNTIFS($C$4:$C$58,"?*",$I$4:$I$58,"x",AD4:AD58,"&lt;=6.4") - COUNTIFS($C$4:$C$58,"?*",$I$4:$I$58,"x",AD4:AD58,"&lt;=4.9")</f>
        <v>0</v>
      </c>
      <c r="AD72" s="540">
        <f>COUNTIFS($C$4:$C$58,"?*",$I$4:$I$58,"x",AD4:AD58,"&lt;=4.9") - COUNTIFS($C$4:$C$58,"?*",$I$4:$I$58,"x",AD4:AD58,"&lt;=3.4")</f>
        <v>0</v>
      </c>
      <c r="AE72" s="541">
        <f>COUNTIFS($C$4:$C$58,"?*",$I$4:$I$58,"x",AD4:AD58,"&lt;=3.4") - COUNTIFS($C$4:$C$58,"?*",$I$4:$I$58,"x",AD4:AD58,"&lt;0")</f>
        <v>0</v>
      </c>
      <c r="AF72" s="875"/>
      <c r="AG72" s="539" t="s">
        <v>50</v>
      </c>
      <c r="AH72" s="614">
        <f>COUNTIFS($C$4:$C$58,"?*",$I$4:$I$58,"x",AK4:AK58,"&lt;=10") - COUNTIFS($C$4:$C$58,"?*",$I$4:$I$58,"x",AK4:AK58,"&lt;=7.9")</f>
        <v>0</v>
      </c>
      <c r="AI72" s="540">
        <f>COUNTIFS($C$4:$C$58,"?*",$I$4:$I$58,"x",AK4:AK58,"&lt;=7.9") - COUNTIFS($C$4:$C$58,"?*",$I$4:$I$58,"x",AK4:AK58,"&lt;=6.4")</f>
        <v>0</v>
      </c>
      <c r="AJ72" s="540">
        <f>COUNTIFS($C$4:$C$58,"?*",$I$4:$I$58,"x",AK4:AK58,"&lt;=6.4") - COUNTIFS($C$4:$C$58,"?*",$I$4:$I$58,"x",AK4:AK58,"&lt;=4.9")</f>
        <v>0</v>
      </c>
      <c r="AK72" s="540">
        <f>COUNTIFS($C$4:$C$58,"?*",$I$4:$I$58,"x",AK4:AK58,"&lt;=4.9") - COUNTIFS($C$4:$C$58,"?*",$I$4:$I$58,"x",AK4:AK58,"&lt;=3.4")</f>
        <v>0</v>
      </c>
      <c r="AL72" s="541">
        <f>COUNTIFS($C$4:$C$58,"?*",$I$4:$I$58,"x",AK4:AK58,"&lt;=3.4") - COUNTIFS($C$4:$C$58,"?*",$I$4:$I$58,"x",AK4:AK58,"&lt;0")</f>
        <v>0</v>
      </c>
      <c r="AM72" s="875"/>
      <c r="AN72" s="539" t="s">
        <v>50</v>
      </c>
      <c r="AO72" s="614">
        <f>COUNTIFS($C$4:$C$58,"?*",$I$4:$I$58,"x",AR4:AR58,"&lt;=10") - COUNTIFS($C$4:$C$58,"?*",$I$4:$I$58,"x",AR4:AR58,"&lt;=7.9")</f>
        <v>0</v>
      </c>
      <c r="AP72" s="540">
        <f>COUNTIFS($C$4:$C$58,"?*",$I$4:$I$58,"x",AR4:AR58,"&lt;=7.9") - COUNTIFS($C$4:$C$58,"?*",$I$4:$I$58,"x",AR4:AR58,"&lt;=6.4")</f>
        <v>0</v>
      </c>
      <c r="AQ72" s="540">
        <f>COUNTIFS($C$4:$C$58,"?*",$I$4:$I$58,"x",AR4:AR58,"&lt;=6.4") - COUNTIFS($C$4:$C$58,"?*",$I$4:$I$58,"x",AR4:AR58,"&lt;=4.9")</f>
        <v>0</v>
      </c>
      <c r="AR72" s="540">
        <f>COUNTIFS($C$4:$C$58,"?*",$I$4:$I$58,"x",AR4:AR58,"&lt;=4.9") - COUNTIFS($C$4:$C$58,"?*",$I$4:$I$58,"x",AR4:AR58,"&lt;=3.4")</f>
        <v>0</v>
      </c>
      <c r="AS72" s="541">
        <f>COUNTIFS($C$4:$C$58,"?*",$I$4:$I$58,"x",AR4:AR58,"&lt;=3.4") - COUNTIFS($C$4:$C$58,"?*",$I$4:$I$58,"x",AR4:AR58,"&lt;0")</f>
        <v>0</v>
      </c>
      <c r="AT72" s="875"/>
      <c r="AU72" s="539" t="s">
        <v>50</v>
      </c>
      <c r="AV72" s="614">
        <f>COUNTIFS($C$4:$C$58,"?*",$I$4:$I$58,"x",AY4:AY58,"&lt;=10") - COUNTIFS($C$4:$C$58,"?*",$I$4:$I$58,"x",AY4:AY58,"&lt;=7.9")</f>
        <v>0</v>
      </c>
      <c r="AW72" s="540">
        <f>COUNTIFS($C$4:$C$58,"?*",$I$4:$I$58,"x",AY4:AY58,"&lt;=7.9") - COUNTIFS($C$4:$C$58,"?*",$I$4:$I$58,"x",AY4:AY58,"&lt;=6.4")</f>
        <v>0</v>
      </c>
      <c r="AX72" s="540">
        <f>COUNTIFS($C$4:$C$58,"?*",$I$4:$I$58,"x",AY4:AY58,"&lt;=6.4") - COUNTIFS($C$4:$C$58,"?*",$I$4:$I$58,"x",AY4:AY58,"&lt;=4.9")</f>
        <v>0</v>
      </c>
      <c r="AY72" s="540">
        <f>COUNTIFS($C$4:$C$58,"?*",$I$4:$I$58,"x",AY4:AY58,"&lt;=4.9") - COUNTIFS($C$4:$C$58,"?*",$I$4:$I$58,"x",AY4:AY58,"&lt;=3.4")</f>
        <v>0</v>
      </c>
      <c r="AZ72" s="541">
        <f>COUNTIFS($C$4:$C$58,"?*",$I$4:$I$58,"x",AY4:AY58,"&lt;=3.4") - COUNTIFS($C$4:$C$58,"?*",$I$4:$I$58,"x",AY4:AY58,"&lt;0")</f>
        <v>0</v>
      </c>
      <c r="BA72" s="875"/>
      <c r="BB72" s="539" t="s">
        <v>50</v>
      </c>
      <c r="BC72" s="614">
        <f>COUNTIFS($C$4:$C$58,"?*",$I$4:$I$58,"x",BF4:BF58,"&lt;=10") - COUNTIFS($C$4:$C$58,"?*",$I$4:$I$58,"x",BF4:BF58,"&lt;=7.9")</f>
        <v>0</v>
      </c>
      <c r="BD72" s="540">
        <f>COUNTIFS($C$4:$C$58,"?*",$I$4:$I$58,"x",BF4:BF58,"&lt;=7.9") - COUNTIFS($C$4:$C$58,"?*",$I$4:$I$58,"x",BF4:BF58,"&lt;=6.4")</f>
        <v>0</v>
      </c>
      <c r="BE72" s="540">
        <f>COUNTIFS($C$4:$C$58,"?*",$I$4:$I$58,"x",BF4:BF58,"&lt;=6.4") - COUNTIFS($C$4:$C$58,"?*",$I$4:$I$58,"x",BF4:BF58,"&lt;=4.9")</f>
        <v>0</v>
      </c>
      <c r="BF72" s="540">
        <f>COUNTIFS($C$4:$C$58,"?*",$I$4:$I$58,"x",BF4:BF58,"&lt;=4.9") - COUNTIFS($C$4:$C$58,"?*",$I$4:$I$58,"x",BF4:BF58,"&lt;=3.4")</f>
        <v>0</v>
      </c>
      <c r="BG72" s="541">
        <f>COUNTIFS($C$4:$C$58,"?*",$I$4:$I$58,"x",BF4:BF58,"&lt;=3.4") - COUNTIFS($C$4:$C$58,"?*",$I$4:$I$58,"x",BF4:BF58,"&lt;0")</f>
        <v>0</v>
      </c>
      <c r="BH72" s="875"/>
      <c r="BI72" s="539" t="s">
        <v>50</v>
      </c>
      <c r="BJ72" s="614">
        <f>COUNTIFS($C$4:$C$58,"?*",$I$4:$I$58,"x",BM4:BM58,"&lt;=10") - COUNTIFS($C$4:$C$58,"?*",$I$4:$I$58,"x",BM4:BM58,"&lt;=7.9")</f>
        <v>0</v>
      </c>
      <c r="BK72" s="540">
        <f>COUNTIFS($C$4:$C$58,"?*",$I$4:$I$58,"x",BM4:BM58,"&lt;=7.9") - COUNTIFS($C$4:$C$58,"?*",$I$4:$I$58,"x",BM4:BM58,"&lt;=6.4")</f>
        <v>0</v>
      </c>
      <c r="BL72" s="540">
        <f>COUNTIFS($C$4:$C$58,"?*",$I$4:$I$58,"x",BM4:BM58,"&lt;=6.4") - COUNTIFS($C$4:$C$58,"?*",$I$4:$I$58,"x",BM4:BM58,"&lt;=4.9")</f>
        <v>0</v>
      </c>
      <c r="BM72" s="540">
        <f>COUNTIFS($C$4:$C$58,"?*",$I$4:$I$58,"x",BM4:BM58,"&lt;=4.9") - COUNTIFS($C$4:$C$58,"?*",$I$4:$I$58,"x",BM4:BM58,"&lt;=3.4")</f>
        <v>0</v>
      </c>
      <c r="BN72" s="541">
        <f>COUNTIFS($C$4:$C$58,"?*",$I$4:$I$58,"x",BM4:BM58,"&lt;=3.4") - COUNTIFS($C$4:$C$58,"?*",$I$4:$I$58,"x",BM4:BM58,"&lt;0")</f>
        <v>0</v>
      </c>
      <c r="BO72" s="875"/>
      <c r="BP72" s="539" t="s">
        <v>50</v>
      </c>
      <c r="BQ72" s="614">
        <f>COUNTIFS($C$4:$C$58,"?*",$I$4:$I$58,"x",BT4:BT58,"&lt;=10") - COUNTIFS($C$4:$C$58,"?*",$I$4:$I$58,"x",BT4:BT58,"&lt;=7.9")</f>
        <v>0</v>
      </c>
      <c r="BR72" s="540">
        <f>COUNTIFS($C$4:$C$58,"?*",$I$4:$I$58,"x",BT4:BT58,"&lt;=7.9") - COUNTIFS($C$4:$C$58,"?*",$I$4:$I$58,"x",BT4:BT58,"&lt;=6.4")</f>
        <v>0</v>
      </c>
      <c r="BS72" s="540">
        <f>COUNTIFS($C$4:$C$58,"?*",$I$4:$I$58,"x",BT4:BT58,"&lt;=6.4") - COUNTIFS($C$4:$C$58,"?*",$I$4:$I$58,"x",BT4:BT58,"&lt;=4.9")</f>
        <v>0</v>
      </c>
      <c r="BT72" s="540">
        <f>COUNTIFS($C$4:$C$58,"?*",$I$4:$I$58,"x",BT4:BT58,"&lt;=4.9") - COUNTIFS($C$4:$C$58,"?*",$I$4:$I$58,"x",BT4:BT58,"&lt;=3.4")</f>
        <v>0</v>
      </c>
      <c r="BU72" s="541">
        <f>COUNTIFS($C$4:$C$58,"?*",$I$4:$I$58,"x",BT4:BT58,"&lt;=3.4") - COUNTIFS($C$4:$C$58,"?*",$I$4:$I$58,"x",BT4:BT58,"&lt;0")</f>
        <v>0</v>
      </c>
      <c r="BV72" s="875"/>
      <c r="BW72" s="539" t="s">
        <v>50</v>
      </c>
      <c r="BX72" s="614">
        <f>COUNTIFS($C$4:$C$58,"?*",$I$4:$I$58,"x",CA4:CA58,"&lt;=10") - COUNTIFS($C$4:$C$58,"?*",$I$4:$I$58,"x",CA4:CA58,"&lt;=7.9")</f>
        <v>0</v>
      </c>
      <c r="BY72" s="540">
        <f>COUNTIFS($C$4:$C$58,"?*",$I$4:$I$58,"x",CA4:CA58,"&lt;=7.9") - COUNTIFS($C$4:$C$58,"?*",$I$4:$I$58,"x",CA4:CA58,"&lt;=6.4")</f>
        <v>0</v>
      </c>
      <c r="BZ72" s="540">
        <f>COUNTIFS($C$4:$C$58,"?*",$I$4:$I$58,"x",CA4:CA58,"&lt;=6.4") - COUNTIFS($C$4:$C$58,"?*",$I$4:$I$58,"x",CA4:CA58,"&lt;=4.9")</f>
        <v>0</v>
      </c>
      <c r="CA72" s="540">
        <f>COUNTIFS($C$4:$C$58,"?*",$I$4:$I$58,"x",CA4:CA58,"&lt;=4.9") - COUNTIFS($C$4:$C$58,"?*",$I$4:$I$58,"x",CA4:CA58,"&lt;=3.4")</f>
        <v>0</v>
      </c>
      <c r="CB72" s="541">
        <f>COUNTIFS($C$4:$C$58,"?*",$I$4:$I$58,"x",CA4:CA58,"&lt;=3.4") - COUNTIFS($C$4:$C$58,"?*",$I$4:$I$58,"x",CA4:CA58,"&lt;0")</f>
        <v>0</v>
      </c>
      <c r="CC72" s="875"/>
      <c r="CD72" s="539" t="s">
        <v>50</v>
      </c>
      <c r="CE72" s="614">
        <f>COUNTIFS($C$4:$C$58,"?*",$I$4:$I$58,"x",CH4:CH58,"&lt;=10") - COUNTIFS($C$4:$C$58,"?*",$I$4:$I$58,"x",CH4:CH58,"&lt;=7.9")</f>
        <v>0</v>
      </c>
      <c r="CF72" s="540">
        <f>COUNTIFS($C$4:$C$58,"?*",$I$4:$I$58,"x",CH4:CH58,"&lt;=7.9") - COUNTIFS($C$4:$C$58,"?*",$I$4:$I$58,"x",CH4:CH58,"&lt;=6.4")</f>
        <v>0</v>
      </c>
      <c r="CG72" s="540">
        <f>COUNTIFS($C$4:$C$58,"?*",$I$4:$I$58,"x",CH4:CH58,"&lt;=6.4") - COUNTIFS($C$4:$C$58,"?*",$I$4:$I$58,"x",CH4:CH58,"&lt;=4.9")</f>
        <v>0</v>
      </c>
      <c r="CH72" s="540">
        <f>COUNTIFS($C$4:$C$58,"?*",$I$4:$I$58,"x",CH4:CH58,"&lt;=4.9") - COUNTIFS($C$4:$C$58,"?*",$I$4:$I$58,"x",CH4:CH58,"&lt;=3.4")</f>
        <v>0</v>
      </c>
      <c r="CI72" s="541">
        <f>COUNTIFS($C$4:$C$58,"?*",$I$4:$I$58,"x",CH4:CH58,"&lt;=3.4") - COUNTIFS($C$4:$C$58,"?*",$I$4:$I$58,"x",CH4:CH58,"&lt;0")</f>
        <v>0</v>
      </c>
      <c r="CK72" s="539" t="s">
        <v>50</v>
      </c>
      <c r="CL72" s="540">
        <f>COUNTIFS($C$4:$C$58,"?*",$I$4:$I$58,"x",CO4:CO58,"Đ")</f>
        <v>0</v>
      </c>
      <c r="CM72" s="541">
        <f>COUNTIFS($C$4:$C$58,"?*",$I$4:$I$58,"x",CO4:CO58,"CĐ")</f>
        <v>0</v>
      </c>
      <c r="CN72" s="539" t="s">
        <v>50</v>
      </c>
      <c r="CO72" s="540">
        <f>COUNTIFS($C$4:$C$58,"?*",$I$4:$I$58,"x",CP4:CP58,"Đ")</f>
        <v>0</v>
      </c>
      <c r="CP72" s="541">
        <f>COUNTIFS($C$4:$C$58,"?*",$I$4:$I$58,"x",CP4:CP58,"CĐ")</f>
        <v>0</v>
      </c>
      <c r="CQ72" s="875"/>
      <c r="CR72" s="539" t="s">
        <v>50</v>
      </c>
      <c r="CS72" s="614">
        <f>COUNTIFS($C$4:$C$58,"?*",$I$4:$I$58,"x",CV4:CV58,"&lt;=10") - COUNTIFS($C$4:$C$58,"?*",$I$4:$I$58,"x",CV4:CV58,"&lt;=7.9")</f>
        <v>0</v>
      </c>
      <c r="CT72" s="540">
        <f>COUNTIFS($C$4:$C$58,"?*",$I$4:$I$58,"x",CV4:CV58,"&lt;=7.9") - COUNTIFS($C$4:$C$58,"?*",$I$4:$I$58,"x",CV4:CV58,"&lt;=6.4")</f>
        <v>0</v>
      </c>
      <c r="CU72" s="540">
        <f>COUNTIFS($C$4:$C$58,"?*",$I$4:$I$58,"x",CV4:CV58,"&lt;=6.4") - COUNTIFS($C$4:$C$58,"?*",$I$4:$I$58,"x",CV4:CV58,"&lt;=4.9")</f>
        <v>0</v>
      </c>
      <c r="CV72" s="540">
        <f>COUNTIFS($C$4:$C$58,"?*",$I$4:$I$58,"x",CV4:CV58,"&lt;=4.9") - COUNTIFS($C$4:$C$58,"?*",$I$4:$I$58,"x",CV4:CV58,"&lt;=3.4")</f>
        <v>0</v>
      </c>
      <c r="CW72" s="541">
        <f>COUNTIFS($C$4:$C$58,"?*",$I$4:$I$58,"x",CV4:CV58,"&lt;=3.4") - COUNTIFS($C$4:$C$58,"?*",$I$4:$I$58,"x",CV4:CV58,"&lt;0")</f>
        <v>0</v>
      </c>
      <c r="CX72" s="875"/>
      <c r="CY72" s="539" t="s">
        <v>50</v>
      </c>
      <c r="CZ72" s="614">
        <f>COUNTIFS($C$4:$C$58,"?*",$I$4:$I$58,"x",DC4:DC58,"&lt;=10") - COUNTIFS($C$4:$C$58,"?*",$I$4:$I$58,"x",DC4:DC58,"&lt;=7.9")</f>
        <v>0</v>
      </c>
      <c r="DA72" s="540">
        <f>COUNTIFS($C$4:$C$58,"?*",$I$4:$I$58,"x",DC4:DC58,"&lt;=7.9") - COUNTIFS($C$4:$C$58,"?*",$I$4:$I$58,"x",DC4:DC58,"&lt;=6.4")</f>
        <v>0</v>
      </c>
      <c r="DB72" s="540">
        <f>COUNTIFS($C$4:$C$58,"?*",$I$4:$I$58,"x",DC4:DC58,"&lt;=6.4") - COUNTIFS($C$4:$C$58,"?*",$I$4:$I$58,"x",DC4:DC58,"&lt;=4.9")</f>
        <v>0</v>
      </c>
      <c r="DC72" s="540">
        <f>COUNTIFS($C$4:$C$58,"?*",$I$4:$I$58,"x",DC4:DC58,"&lt;=4.9") - COUNTIFS($C$4:$C$58,"?*",$I$4:$I$58,"x",DC4:DC58,"&lt;=3.4")</f>
        <v>0</v>
      </c>
      <c r="DD72" s="541">
        <f>COUNTIFS($C$4:$C$58,"?*",$I$4:$I$58,"x",DC4:DC58,"&lt;=3.4") - COUNTIFS($C$4:$C$58,"?*",$I$4:$I$58,"x",DC4:DC58,"&lt;0")</f>
        <v>0</v>
      </c>
    </row>
    <row r="73" spans="2:108" s="129" customFormat="1" ht="15.9" customHeight="1">
      <c r="K73" s="876"/>
      <c r="L73" s="542" t="s">
        <v>48</v>
      </c>
      <c r="M73" s="615">
        <f>COUNTIFS($C$4:$C$58,"?*",$J$4:$J$58,"x",P4:P58,"&lt;=10") - COUNTIFS($C$4:$C$58,"?*",$J$4:$J$58,"x",P4:P58,"&lt;=7.9")</f>
        <v>0</v>
      </c>
      <c r="N73" s="543">
        <f>COUNTIFS($C$4:$C$58,"?*",$J$4:$J$58,"x",P4:P58,"&lt;=7.9") - COUNTIFS($C$4:$C$58,"?*",$J$4:$J$58,"x",P4:P58,"&lt;=6.4")</f>
        <v>0</v>
      </c>
      <c r="O73" s="543">
        <f>COUNTIFS($C$4:$C$58,"?*",$J$4:$J$58,"x",P4:P58,"&lt;=6.4") - COUNTIFS($C$4:$C$58,"?*",$J$4:$J$58,"x",P4:P58,"&lt;=4.9")</f>
        <v>0</v>
      </c>
      <c r="P73" s="543">
        <f>COUNTIFS($C$4:$C$58,"?*",$J$4:$J$58,"x",P4:P58,"&lt;=4.9") - COUNTIFS($C$4:$C$58,"?*",$J$4:$J$58,"x",P4:P58,"&lt;=3.4")</f>
        <v>0</v>
      </c>
      <c r="Q73" s="544">
        <f>COUNTIFS($C$4:$C$58,"?*",$J$4:$J$58,"x",P4:P58,"&lt;=3.4") - COUNTIFS($C$4:$C$58,"?*",$J$4:$J$58,"x",P4:P58,"&lt;0")</f>
        <v>0</v>
      </c>
      <c r="R73" s="876"/>
      <c r="S73" s="542" t="s">
        <v>48</v>
      </c>
      <c r="T73" s="615">
        <f>COUNTIFS($C$4:$C$58,"?*",$J$4:$J$58,"x",W4:W58,"&lt;=10") - COUNTIFS($C$4:$C$58,"?*",$J$4:$J$58,"x",W4:W58,"&lt;=7.9")</f>
        <v>0</v>
      </c>
      <c r="U73" s="543">
        <f>COUNTIFS($C$4:$C$58,"?*",$J$4:$J$58,"x",W4:W58,"&lt;=7.9") - COUNTIFS($C$4:$C$58,"?*",$J$4:$J$58,"x",W4:W58,"&lt;=6.4")</f>
        <v>0</v>
      </c>
      <c r="V73" s="543">
        <f>COUNTIFS($C$4:$C$58,"?*",$J$4:$J$58,"x",W4:W58,"&lt;=6.4") - COUNTIFS($C$4:$C$58,"?*",$J$4:$J$58,"x",W4:W58,"&lt;=4.9")</f>
        <v>0</v>
      </c>
      <c r="W73" s="543">
        <f>COUNTIFS($C$4:$C$58,"?*",$J$4:$J$58,"x",W4:W58,"&lt;=4.9") - COUNTIFS($C$4:$C$58,"?*",$J$4:$J$58,"x",W4:W58,"&lt;=3.4")</f>
        <v>0</v>
      </c>
      <c r="X73" s="544">
        <f>COUNTIFS($C$4:$C$58,"?*",$J$4:$J$58,"x",W4:W58,"&lt;=3.4") - COUNTIFS($C$4:$C$58,"?*",$J$4:$J$58,"x",W4:W58,"&lt;0")</f>
        <v>0</v>
      </c>
      <c r="Y73" s="876"/>
      <c r="Z73" s="542" t="s">
        <v>48</v>
      </c>
      <c r="AA73" s="615">
        <f>COUNTIFS($C$4:$C$58,"?*",$J$4:$J$58,"x",AD4:AD58,"&lt;=10") - COUNTIFS($C$4:$C$58,"?*",$J$4:$J$58,"x",AD4:AD58,"&lt;=7.9")</f>
        <v>0</v>
      </c>
      <c r="AB73" s="543">
        <f>COUNTIFS($C$4:$C$58,"?*",$J$4:$J$58,"x",AD4:AD58,"&lt;=7.9") - COUNTIFS($C$4:$C$58,"?*",$J$4:$J$58,"x",AD4:AD58,"&lt;=6.4")</f>
        <v>0</v>
      </c>
      <c r="AC73" s="543">
        <f>COUNTIFS($C$4:$C$58,"?*",$J$4:$J$58,"x",AD4:AD58,"&lt;=6.4") - COUNTIFS($C$4:$C$58,"?*",$J$4:$J$58,"x",AD4:AD58,"&lt;=4.9")</f>
        <v>0</v>
      </c>
      <c r="AD73" s="543">
        <f>COUNTIFS($C$4:$C$58,"?*",$J$4:$J$58,"x",AD4:AD58,"&lt;=4.9") - COUNTIFS($C$4:$C$58,"?*",$J$4:$J$58,"x",AD4:AD58,"&lt;=3.4")</f>
        <v>0</v>
      </c>
      <c r="AE73" s="544">
        <f>COUNTIFS($C$4:$C$58,"?*",$J$4:$J$58,"x",AD4:AD58,"&lt;=3.4") - COUNTIFS($C$4:$C$58,"?*",$J$4:$J$58,"x",AD4:AD58,"&lt;0")</f>
        <v>0</v>
      </c>
      <c r="AF73" s="876"/>
      <c r="AG73" s="542" t="s">
        <v>48</v>
      </c>
      <c r="AH73" s="615">
        <f>COUNTIFS($C$4:$C$58,"?*",$J$4:$J$58,"x",AK4:AK58,"&lt;=10") - COUNTIFS($C$4:$C$58,"?*",$J$4:$J$58,"x",AK4:AK58,"&lt;=7.9")</f>
        <v>0</v>
      </c>
      <c r="AI73" s="543">
        <f>COUNTIFS($C$4:$C$58,"?*",$J$4:$J$58,"x",AK4:AK58,"&lt;=7.9") - COUNTIFS($C$4:$C$58,"?*",$J$4:$J$58,"x",AK4:AK58,"&lt;=6.4")</f>
        <v>0</v>
      </c>
      <c r="AJ73" s="543">
        <f>COUNTIFS($C$4:$C$58,"?*",$J$4:$J$58,"x",AK4:AK58,"&lt;=6.4") - COUNTIFS($C$4:$C$58,"?*",$J$4:$J$58,"x",AK4:AK58,"&lt;=4.9")</f>
        <v>0</v>
      </c>
      <c r="AK73" s="543">
        <f>COUNTIFS($C$4:$C$58,"?*",$J$4:$J$58,"x",AK4:AK58,"&lt;=4.9") - COUNTIFS($C$4:$C$58,"?*",$J$4:$J$58,"x",AK4:AK58,"&lt;=3.4")</f>
        <v>0</v>
      </c>
      <c r="AL73" s="544">
        <f>COUNTIFS($C$4:$C$58,"?*",$J$4:$J$58,"x",AK4:AK58,"&lt;=3.4") - COUNTIFS($C$4:$C$58,"?*",$J$4:$J$58,"x",AK4:AK58,"&lt;0")</f>
        <v>0</v>
      </c>
      <c r="AM73" s="876"/>
      <c r="AN73" s="542" t="s">
        <v>48</v>
      </c>
      <c r="AO73" s="615">
        <f>COUNTIFS($C$4:$C$58,"?*",$J$4:$J$58,"x",AR4:AR58,"&lt;=10") - COUNTIFS($C$4:$C$58,"?*",$J$4:$J$58,"x",AR4:AR58,"&lt;=7.9")</f>
        <v>0</v>
      </c>
      <c r="AP73" s="543">
        <f>COUNTIFS($C$4:$C$58,"?*",$J$4:$J$58,"x",AR4:AR58,"&lt;=7.9") - COUNTIFS($C$4:$C$58,"?*",$J$4:$J$58,"x",AR4:AR58,"&lt;=6.4")</f>
        <v>0</v>
      </c>
      <c r="AQ73" s="543">
        <f>COUNTIFS($C$4:$C$58,"?*",$J$4:$J$58,"x",AR4:AR58,"&lt;=6.4") - COUNTIFS($C$4:$C$58,"?*",$J$4:$J$58,"x",AR4:AR58,"&lt;=4.9")</f>
        <v>0</v>
      </c>
      <c r="AR73" s="543">
        <f>COUNTIFS($C$4:$C$58,"?*",$J$4:$J$58,"x",AR4:AR58,"&lt;=4.9") - COUNTIFS($C$4:$C$58,"?*",$J$4:$J$58,"x",AR4:AR58,"&lt;=3.4")</f>
        <v>0</v>
      </c>
      <c r="AS73" s="544">
        <f>COUNTIFS($C$4:$C$58,"?*",$J$4:$J$58,"x",AR4:AR58,"&lt;=3.4") - COUNTIFS($C$4:$C$58,"?*",$J$4:$J$58,"x",AR4:AR58,"&lt;0")</f>
        <v>0</v>
      </c>
      <c r="AT73" s="876"/>
      <c r="AU73" s="542" t="s">
        <v>48</v>
      </c>
      <c r="AV73" s="615">
        <f>COUNTIFS($C$4:$C$58,"?*",$J$4:$J$58,"x",AY4:AY58,"&lt;=10") - COUNTIFS($C$4:$C$58,"?*",$J$4:$J$58,"x",AY4:AY58,"&lt;=7.9")</f>
        <v>0</v>
      </c>
      <c r="AW73" s="543">
        <f>COUNTIFS($C$4:$C$58,"?*",$J$4:$J$58,"x",AY4:AY58,"&lt;=7.9") - COUNTIFS($C$4:$C$58,"?*",$J$4:$J$58,"x",AY4:AY58,"&lt;=6.4")</f>
        <v>0</v>
      </c>
      <c r="AX73" s="543">
        <f>COUNTIFS($C$4:$C$58,"?*",$J$4:$J$58,"x",AY4:AY58,"&lt;=6.4") - COUNTIFS($C$4:$C$58,"?*",$J$4:$J$58,"x",AY4:AY58,"&lt;=4.9")</f>
        <v>0</v>
      </c>
      <c r="AY73" s="543">
        <f>COUNTIFS($C$4:$C$58,"?*",$J$4:$J$58,"x",AY4:AY58,"&lt;=4.9") - COUNTIFS($C$4:$C$58,"?*",$J$4:$J$58,"x",AY4:AY58,"&lt;=3.4")</f>
        <v>0</v>
      </c>
      <c r="AZ73" s="544">
        <f>COUNTIFS($C$4:$C$58,"?*",$J$4:$J$58,"x",AY4:AY58,"&lt;=3.4") - COUNTIFS($C$4:$C$58,"?*",$J$4:$J$58,"x",AY4:AY58,"&lt;0")</f>
        <v>0</v>
      </c>
      <c r="BA73" s="876"/>
      <c r="BB73" s="542" t="s">
        <v>48</v>
      </c>
      <c r="BC73" s="615">
        <f>COUNTIFS($C$4:$C$58,"?*",$J$4:$J$58,"x",BF4:BF58,"&lt;=10") - COUNTIFS($C$4:$C$58,"?*",$J$4:$J$58,"x",BF4:BF58,"&lt;=7.9")</f>
        <v>0</v>
      </c>
      <c r="BD73" s="543">
        <f>COUNTIFS($C$4:$C$58,"?*",$J$4:$J$58,"x",BF4:BF58,"&lt;=7.9") - COUNTIFS($C$4:$C$58,"?*",$J$4:$J$58,"x",BF4:BF58,"&lt;=6.4")</f>
        <v>0</v>
      </c>
      <c r="BE73" s="543">
        <f>COUNTIFS($C$4:$C$58,"?*",$J$4:$J$58,"x",BF4:BF58,"&lt;=6.4") - COUNTIFS($C$4:$C$58,"?*",$J$4:$J$58,"x",BF4:BF58,"&lt;=4.9")</f>
        <v>0</v>
      </c>
      <c r="BF73" s="543">
        <f>COUNTIFS($C$4:$C$58,"?*",$J$4:$J$58,"x",BF4:BF58,"&lt;=4.9") - COUNTIFS($C$4:$C$58,"?*",$J$4:$J$58,"x",BF4:BF58,"&lt;=3.4")</f>
        <v>0</v>
      </c>
      <c r="BG73" s="544">
        <f>COUNTIFS($C$4:$C$58,"?*",$J$4:$J$58,"x",BF4:BF58,"&lt;=3.4") - COUNTIFS($C$4:$C$58,"?*",$J$4:$J$58,"x",BF4:BF58,"&lt;0")</f>
        <v>0</v>
      </c>
      <c r="BH73" s="876"/>
      <c r="BI73" s="542" t="s">
        <v>48</v>
      </c>
      <c r="BJ73" s="615">
        <f>COUNTIFS($C$4:$C$58,"?*",$J$4:$J$58,"x",BM4:BM58,"&lt;=10") - COUNTIFS($C$4:$C$58,"?*",$J$4:$J$58,"x",BM4:BM58,"&lt;=7.9")</f>
        <v>0</v>
      </c>
      <c r="BK73" s="543">
        <f>COUNTIFS($C$4:$C$58,"?*",$J$4:$J$58,"x",BM4:BM58,"&lt;=7.9") - COUNTIFS($C$4:$C$58,"?*",$J$4:$J$58,"x",BM4:BM58,"&lt;=6.4")</f>
        <v>0</v>
      </c>
      <c r="BL73" s="543">
        <f>COUNTIFS($C$4:$C$58,"?*",$J$4:$J$58,"x",BM4:BM58,"&lt;=6.4") - COUNTIFS($C$4:$C$58,"?*",$J$4:$J$58,"x",BM4:BM58,"&lt;=4.9")</f>
        <v>0</v>
      </c>
      <c r="BM73" s="543">
        <f>COUNTIFS($C$4:$C$58,"?*",$J$4:$J$58,"x",BM4:BM58,"&lt;=4.9") - COUNTIFS($C$4:$C$58,"?*",$J$4:$J$58,"x",BM4:BM58,"&lt;=3.4")</f>
        <v>0</v>
      </c>
      <c r="BN73" s="544">
        <f>COUNTIFS($C$4:$C$58,"?*",$J$4:$J$58,"x",BM4:BM58,"&lt;=3.4") - COUNTIFS($C$4:$C$58,"?*",$J$4:$J$58,"x",BM4:BM58,"&lt;0")</f>
        <v>0</v>
      </c>
      <c r="BO73" s="876"/>
      <c r="BP73" s="542" t="s">
        <v>48</v>
      </c>
      <c r="BQ73" s="615">
        <f>COUNTIFS($C$4:$C$58,"?*",$J$4:$J$58,"x",BT4:BT58,"&lt;=10") - COUNTIFS($C$4:$C$58,"?*",$J$4:$J$58,"x",BT4:BT58,"&lt;=7.9")</f>
        <v>0</v>
      </c>
      <c r="BR73" s="543">
        <f>COUNTIFS($C$4:$C$58,"?*",$J$4:$J$58,"x",BT4:BT58,"&lt;=7.9") - COUNTIFS($C$4:$C$58,"?*",$J$4:$J$58,"x",BT4:BT58,"&lt;=6.4")</f>
        <v>0</v>
      </c>
      <c r="BS73" s="543">
        <f>COUNTIFS($C$4:$C$58,"?*",$J$4:$J$58,"x",BT4:BT58,"&lt;=6.4") - COUNTIFS($C$4:$C$58,"?*",$J$4:$J$58,"x",BT4:BT58,"&lt;=4.9")</f>
        <v>0</v>
      </c>
      <c r="BT73" s="543">
        <f>COUNTIFS($C$4:$C$58,"?*",$J$4:$J$58,"x",BT4:BT58,"&lt;=4.9") - COUNTIFS($C$4:$C$58,"?*",$J$4:$J$58,"x",BT4:BT58,"&lt;=3.4")</f>
        <v>0</v>
      </c>
      <c r="BU73" s="544">
        <f>COUNTIFS($C$4:$C$58,"?*",$J$4:$J$58,"x",BT4:BT58,"&lt;=3.4") - COUNTIFS($C$4:$C$58,"?*",$J$4:$J$58,"x",BT4:BT58,"&lt;0")</f>
        <v>0</v>
      </c>
      <c r="BV73" s="876"/>
      <c r="BW73" s="542" t="s">
        <v>48</v>
      </c>
      <c r="BX73" s="615">
        <f>COUNTIFS($C$4:$C$58,"?*",$J$4:$J$58,"x",CA4:CA58,"&lt;=10") - COUNTIFS($C$4:$C$58,"?*",$J$4:$J$58,"x",CA4:CA58,"&lt;=7.9")</f>
        <v>0</v>
      </c>
      <c r="BY73" s="543">
        <f>COUNTIFS($C$4:$C$58,"?*",$J$4:$J$58,"x",CA4:CA58,"&lt;=7.9") - COUNTIFS($C$4:$C$58,"?*",$J$4:$J$58,"x",CA4:CA58,"&lt;=6.4")</f>
        <v>0</v>
      </c>
      <c r="BZ73" s="543">
        <f>COUNTIFS($C$4:$C$58,"?*",$J$4:$J$58,"x",CA4:CA58,"&lt;=6.4") - COUNTIFS($C$4:$C$58,"?*",$J$4:$J$58,"x",CA4:CA58,"&lt;=4.9")</f>
        <v>0</v>
      </c>
      <c r="CA73" s="543">
        <f>COUNTIFS($C$4:$C$58,"?*",$J$4:$J$58,"x",CA4:CA58,"&lt;=4.9") - COUNTIFS($C$4:$C$58,"?*",$J$4:$J$58,"x",CA4:CA58,"&lt;=3.4")</f>
        <v>0</v>
      </c>
      <c r="CB73" s="544">
        <f>COUNTIFS($C$4:$C$58,"?*",$J$4:$J$58,"x",CA4:CA58,"&lt;=3.4") - COUNTIFS($C$4:$C$58,"?*",$J$4:$J$58,"x",CA4:CA58,"&lt;0")</f>
        <v>0</v>
      </c>
      <c r="CC73" s="876"/>
      <c r="CD73" s="542" t="s">
        <v>48</v>
      </c>
      <c r="CE73" s="615">
        <f>COUNTIFS($C$4:$C$58,"?*",$J$4:$J$58,"x",CH4:CH58,"&lt;=10") - COUNTIFS($C$4:$C$58,"?*",$J$4:$J$58,"x",CH4:CH58,"&lt;=7.9")</f>
        <v>0</v>
      </c>
      <c r="CF73" s="543">
        <f>COUNTIFS($C$4:$C$58,"?*",$J$4:$J$58,"x",CH4:CH58,"&lt;=7.9") - COUNTIFS($C$4:$C$58,"?*",$J$4:$J$58,"x",CH4:CH58,"&lt;=6.4")</f>
        <v>0</v>
      </c>
      <c r="CG73" s="543">
        <f>COUNTIFS($C$4:$C$58,"?*",$J$4:$J$58,"x",CH4:CH58,"&lt;=6.4") - COUNTIFS($C$4:$C$58,"?*",$J$4:$J$58,"x",CH4:CH58,"&lt;=4.9")</f>
        <v>0</v>
      </c>
      <c r="CH73" s="543">
        <f>COUNTIFS($C$4:$C$58,"?*",$J$4:$J$58,"x",CH4:CH58,"&lt;=4.9") - COUNTIFS($C$4:$C$58,"?*",$J$4:$J$58,"x",CH4:CH58,"&lt;=3.4")</f>
        <v>0</v>
      </c>
      <c r="CI73" s="544">
        <f>COUNTIFS($C$4:$C$58,"?*",$J$4:$J$58,"x",CH4:CH58,"&lt;=3.4") - COUNTIFS($C$4:$C$58,"?*",$J$4:$J$58,"x",CH4:CH58,"&lt;0")</f>
        <v>0</v>
      </c>
      <c r="CK73" s="542" t="s">
        <v>48</v>
      </c>
      <c r="CL73" s="543">
        <f>COUNTIFS($C$4:$C$58,"?*",$J$4:$J$58,"x",CO4:CO58,"Đ")</f>
        <v>0</v>
      </c>
      <c r="CM73" s="544">
        <f>COUNTIFS($C$4:$C$58,"?*",$J$4:$J$58,"x",CO4:CO58,"CĐ")</f>
        <v>0</v>
      </c>
      <c r="CN73" s="542" t="s">
        <v>48</v>
      </c>
      <c r="CO73" s="543">
        <f>COUNTIFS($C$4:$C$58,"?*",$J$4:$J$58,"x",CP4:CP58,"Đ")</f>
        <v>0</v>
      </c>
      <c r="CP73" s="544">
        <f>COUNTIFS($C$4:$C$58,"?*",$J$4:$J$58,"x",CP4:CP58,"CĐ")</f>
        <v>0</v>
      </c>
      <c r="CQ73" s="876"/>
      <c r="CR73" s="542" t="s">
        <v>48</v>
      </c>
      <c r="CS73" s="615">
        <f>COUNTIFS($C$4:$C$58,"?*",$J$4:$J$58,"x",CV4:CV58,"&lt;=10") - COUNTIFS($C$4:$C$58,"?*",$J$4:$J$58,"x",CV4:CV58,"&lt;=7.9")</f>
        <v>0</v>
      </c>
      <c r="CT73" s="543">
        <f>COUNTIFS($C$4:$C$58,"?*",$J$4:$J$58,"x",CV4:CV58,"&lt;=7.9") - COUNTIFS($C$4:$C$58,"?*",$J$4:$J$58,"x",CV4:CV58,"&lt;=6.4")</f>
        <v>0</v>
      </c>
      <c r="CU73" s="543">
        <f>COUNTIFS($C$4:$C$58,"?*",$J$4:$J$58,"x",CV4:CV58,"&lt;=6.4") - COUNTIFS($C$4:$C$58,"?*",$J$4:$J$58,"x",CV4:CV58,"&lt;=4.9")</f>
        <v>0</v>
      </c>
      <c r="CV73" s="543">
        <f>COUNTIFS($C$4:$C$58,"?*",$J$4:$J$58,"x",CV4:CV58,"&lt;=4.9") - COUNTIFS($C$4:$C$58,"?*",$J$4:$J$58,"x",CV4:CV58,"&lt;=3.4")</f>
        <v>0</v>
      </c>
      <c r="CW73" s="544">
        <f>COUNTIFS($C$4:$C$58,"?*",$J$4:$J$58,"x",CV4:CV58,"&lt;=3.4") - COUNTIFS($C$4:$C$58,"?*",$J$4:$J$58,"x",CV4:CV58,"&lt;0")</f>
        <v>0</v>
      </c>
      <c r="CX73" s="876"/>
      <c r="CY73" s="542" t="s">
        <v>48</v>
      </c>
      <c r="CZ73" s="615">
        <f>COUNTIFS($C$4:$C$58,"?*",$J$4:$J$58,"x",DC4:DC58,"&lt;=10") - COUNTIFS($C$4:$C$58,"?*",$J$4:$J$58,"x",DC4:DC58,"&lt;=7.9")</f>
        <v>0</v>
      </c>
      <c r="DA73" s="543">
        <f>COUNTIFS($C$4:$C$58,"?*",$J$4:$J$58,"x",DC4:DC58,"&lt;=7.9") - COUNTIFS($C$4:$C$58,"?*",$J$4:$J$58,"x",DC4:DC58,"&lt;=6.4")</f>
        <v>0</v>
      </c>
      <c r="DB73" s="543">
        <f>COUNTIFS($C$4:$C$58,"?*",$J$4:$J$58,"x",DC4:DC58,"&lt;=6.4") - COUNTIFS($C$4:$C$58,"?*",$J$4:$J$58,"x",DC4:DC58,"&lt;=4.9")</f>
        <v>0</v>
      </c>
      <c r="DC73" s="543">
        <f>COUNTIFS($C$4:$C$58,"?*",$J$4:$J$58,"x",DC4:DC58,"&lt;=4.9") - COUNTIFS($C$4:$C$58,"?*",$J$4:$J$58,"x",DC4:DC58,"&lt;=3.4")</f>
        <v>0</v>
      </c>
      <c r="DD73" s="544">
        <f>COUNTIFS($C$4:$C$58,"?*",$J$4:$J$58,"x",DC4:DC58,"&lt;=3.4") - COUNTIFS($C$4:$C$58,"?*",$J$4:$J$58,"x",DC4:DC58,"&lt;0")</f>
        <v>0</v>
      </c>
    </row>
    <row r="74" spans="2:108" s="129" customFormat="1" ht="15.9" customHeight="1"/>
    <row r="75" spans="2:108" s="129" customFormat="1" ht="15.9" customHeight="1">
      <c r="K75" s="874" t="s">
        <v>226</v>
      </c>
      <c r="L75" s="472" t="s">
        <v>3</v>
      </c>
      <c r="M75" s="581" t="s">
        <v>11</v>
      </c>
      <c r="N75" s="581" t="s">
        <v>12</v>
      </c>
      <c r="O75" s="581" t="s">
        <v>8</v>
      </c>
      <c r="P75" s="582" t="s">
        <v>14</v>
      </c>
      <c r="Q75" s="583" t="s">
        <v>15</v>
      </c>
      <c r="R75" s="874" t="s">
        <v>226</v>
      </c>
      <c r="S75" s="472" t="s">
        <v>3</v>
      </c>
      <c r="T75" s="581" t="s">
        <v>11</v>
      </c>
      <c r="U75" s="581" t="s">
        <v>12</v>
      </c>
      <c r="V75" s="581" t="s">
        <v>8</v>
      </c>
      <c r="W75" s="582" t="s">
        <v>14</v>
      </c>
      <c r="X75" s="583" t="s">
        <v>15</v>
      </c>
      <c r="Y75" s="874" t="s">
        <v>226</v>
      </c>
      <c r="Z75" s="472" t="s">
        <v>3</v>
      </c>
      <c r="AA75" s="581" t="s">
        <v>11</v>
      </c>
      <c r="AB75" s="581" t="s">
        <v>12</v>
      </c>
      <c r="AC75" s="581" t="s">
        <v>8</v>
      </c>
      <c r="AD75" s="582" t="s">
        <v>14</v>
      </c>
      <c r="AE75" s="583" t="s">
        <v>15</v>
      </c>
      <c r="AF75" s="874" t="s">
        <v>226</v>
      </c>
      <c r="AG75" s="472" t="s">
        <v>3</v>
      </c>
      <c r="AH75" s="581" t="s">
        <v>11</v>
      </c>
      <c r="AI75" s="581" t="s">
        <v>12</v>
      </c>
      <c r="AJ75" s="581" t="s">
        <v>8</v>
      </c>
      <c r="AK75" s="582" t="s">
        <v>14</v>
      </c>
      <c r="AL75" s="583" t="s">
        <v>15</v>
      </c>
      <c r="AM75" s="874" t="s">
        <v>226</v>
      </c>
      <c r="AN75" s="472" t="s">
        <v>3</v>
      </c>
      <c r="AO75" s="581" t="s">
        <v>11</v>
      </c>
      <c r="AP75" s="581" t="s">
        <v>12</v>
      </c>
      <c r="AQ75" s="581" t="s">
        <v>8</v>
      </c>
      <c r="AR75" s="582" t="s">
        <v>14</v>
      </c>
      <c r="AS75" s="583" t="s">
        <v>15</v>
      </c>
      <c r="AT75" s="874" t="s">
        <v>226</v>
      </c>
      <c r="AU75" s="472" t="s">
        <v>3</v>
      </c>
      <c r="AV75" s="581" t="s">
        <v>11</v>
      </c>
      <c r="AW75" s="581" t="s">
        <v>12</v>
      </c>
      <c r="AX75" s="581" t="s">
        <v>8</v>
      </c>
      <c r="AY75" s="582" t="s">
        <v>14</v>
      </c>
      <c r="AZ75" s="583" t="s">
        <v>15</v>
      </c>
      <c r="BA75" s="874" t="s">
        <v>226</v>
      </c>
      <c r="BB75" s="472" t="s">
        <v>3</v>
      </c>
      <c r="BC75" s="581" t="s">
        <v>11</v>
      </c>
      <c r="BD75" s="581" t="s">
        <v>12</v>
      </c>
      <c r="BE75" s="581" t="s">
        <v>8</v>
      </c>
      <c r="BF75" s="582" t="s">
        <v>14</v>
      </c>
      <c r="BG75" s="583" t="s">
        <v>15</v>
      </c>
      <c r="BH75" s="874" t="s">
        <v>226</v>
      </c>
      <c r="BI75" s="472" t="s">
        <v>3</v>
      </c>
      <c r="BJ75" s="581" t="s">
        <v>11</v>
      </c>
      <c r="BK75" s="581" t="s">
        <v>12</v>
      </c>
      <c r="BL75" s="581" t="s">
        <v>8</v>
      </c>
      <c r="BM75" s="582" t="s">
        <v>14</v>
      </c>
      <c r="BN75" s="583" t="s">
        <v>15</v>
      </c>
      <c r="BO75" s="874" t="s">
        <v>226</v>
      </c>
      <c r="BP75" s="472" t="s">
        <v>3</v>
      </c>
      <c r="BQ75" s="581" t="s">
        <v>11</v>
      </c>
      <c r="BR75" s="581" t="s">
        <v>12</v>
      </c>
      <c r="BS75" s="581" t="s">
        <v>8</v>
      </c>
      <c r="BT75" s="582" t="s">
        <v>14</v>
      </c>
      <c r="BU75" s="583" t="s">
        <v>15</v>
      </c>
      <c r="BV75" s="874" t="s">
        <v>226</v>
      </c>
      <c r="BW75" s="472" t="s">
        <v>3</v>
      </c>
      <c r="BX75" s="581" t="s">
        <v>11</v>
      </c>
      <c r="BY75" s="581" t="s">
        <v>12</v>
      </c>
      <c r="BZ75" s="581" t="s">
        <v>8</v>
      </c>
      <c r="CA75" s="582" t="s">
        <v>14</v>
      </c>
      <c r="CB75" s="583" t="s">
        <v>15</v>
      </c>
      <c r="CC75" s="874" t="s">
        <v>226</v>
      </c>
      <c r="CD75" s="472" t="s">
        <v>3</v>
      </c>
      <c r="CE75" s="581" t="s">
        <v>11</v>
      </c>
      <c r="CF75" s="581" t="s">
        <v>12</v>
      </c>
      <c r="CG75" s="581" t="s">
        <v>8</v>
      </c>
      <c r="CH75" s="582" t="s">
        <v>14</v>
      </c>
      <c r="CI75" s="583" t="s">
        <v>15</v>
      </c>
      <c r="CQ75" s="874" t="s">
        <v>226</v>
      </c>
      <c r="CR75" s="472" t="s">
        <v>3</v>
      </c>
      <c r="CS75" s="581" t="s">
        <v>11</v>
      </c>
      <c r="CT75" s="581" t="s">
        <v>12</v>
      </c>
      <c r="CU75" s="581" t="s">
        <v>8</v>
      </c>
      <c r="CV75" s="582" t="s">
        <v>14</v>
      </c>
      <c r="CW75" s="583" t="s">
        <v>15</v>
      </c>
      <c r="CX75" s="874" t="s">
        <v>226</v>
      </c>
      <c r="CY75" s="472" t="s">
        <v>3</v>
      </c>
      <c r="CZ75" s="581" t="s">
        <v>11</v>
      </c>
      <c r="DA75" s="581" t="s">
        <v>12</v>
      </c>
      <c r="DB75" s="581" t="s">
        <v>8</v>
      </c>
      <c r="DC75" s="582" t="s">
        <v>14</v>
      </c>
      <c r="DD75" s="583" t="s">
        <v>15</v>
      </c>
    </row>
    <row r="76" spans="2:108" s="129" customFormat="1" ht="15.9" customHeight="1">
      <c r="K76" s="875"/>
      <c r="L76" s="610" t="s">
        <v>49</v>
      </c>
      <c r="M76" s="611">
        <f>COUNTIFS($C$4:$C$58,"?*",Q4:Q58,"&lt;=10") - COUNTIFS($C$4:$C$58,"?*",Q4:Q58,"&lt;=7.9")</f>
        <v>36</v>
      </c>
      <c r="N76" s="612">
        <f>COUNTIFS($C$4:$C$58,"?*",Q4:Q58,"&lt;=7.9") - COUNTIFS($C$4:$C$58,"?*",Q4:Q58,"&lt;=6.4")</f>
        <v>0</v>
      </c>
      <c r="O76" s="612">
        <f>COUNTIFS($C$4:$C$58,"?*",Q4:Q58,"&lt;=6.4") - COUNTIFS($C$4:$C$58,"?*",Q4:Q58,"&lt;=4.9")</f>
        <v>0</v>
      </c>
      <c r="P76" s="612">
        <f>COUNTIFS($C$4:$C$58,"?*",Q4:Q58,"&lt;=4.9") - COUNTIFS($C$4:$C$58,"?*",Q4:Q58,"&lt;=3.4")</f>
        <v>0</v>
      </c>
      <c r="Q76" s="613">
        <f>COUNTIFS($C$4:$C$58,"?*",Q4:Q58,"&lt;=3.4") - COUNTIFS($C$4:$C$58,"?*",Q4:Q58,"&lt;0")</f>
        <v>0</v>
      </c>
      <c r="R76" s="875"/>
      <c r="S76" s="610" t="s">
        <v>49</v>
      </c>
      <c r="T76" s="611">
        <f>COUNTIFS($C$4:$C$58,"?*",X4:X58,"&lt;=10") - COUNTIFS($C$4:$C$58,"?*",X4:X58,"&lt;=7.9")</f>
        <v>36</v>
      </c>
      <c r="U76" s="612">
        <f>COUNTIFS($C$4:$C$58,"?*",X4:X58,"&lt;=7.9") - COUNTIFS($C$4:$C$58,"?*",X4:X58,"&lt;=6.4")</f>
        <v>0</v>
      </c>
      <c r="V76" s="612">
        <f>COUNTIFS($C$4:$C$58,"?*",X4:X58,"&lt;=6.4") - COUNTIFS($C$4:$C$58,"?*",X4:X58,"&lt;=4.9")</f>
        <v>0</v>
      </c>
      <c r="W76" s="612">
        <f>COUNTIFS($C$4:$C$58,"?*",X4:X58,"&lt;=4.9") - COUNTIFS($C$4:$C$58,"?*",X4:X58,"&lt;=3.4")</f>
        <v>0</v>
      </c>
      <c r="X76" s="613">
        <f>COUNTIFS($C$4:$C$58,"?*",X4:X58,"&lt;=3.4") - COUNTIFS($C$4:$C$58,"?*",X4:X58,"&lt;0")</f>
        <v>0</v>
      </c>
      <c r="Y76" s="875"/>
      <c r="Z76" s="610" t="s">
        <v>49</v>
      </c>
      <c r="AA76" s="611">
        <f>COUNTIFS($C$4:$C$58,"?*",AE4:AE58,"&lt;=10") - COUNTIFS($C$4:$C$58,"?*",AE4:AE58,"&lt;=7.9")</f>
        <v>36</v>
      </c>
      <c r="AB76" s="612">
        <f>COUNTIFS($C$4:$C$58,"?*",AE4:AE58,"&lt;=7.9") - COUNTIFS($C$4:$C$58,"?*",AE4:AE58,"&lt;=6.4")</f>
        <v>0</v>
      </c>
      <c r="AC76" s="612">
        <f>COUNTIFS($C$4:$C$58,"?*",AE4:AE58,"&lt;=6.4") - COUNTIFS($C$4:$C$58,"?*",AE4:AE58,"&lt;=4.9")</f>
        <v>0</v>
      </c>
      <c r="AD76" s="612">
        <f>COUNTIFS($C$4:$C$58,"?*",AE4:AE58,"&lt;=4.9") - COUNTIFS($C$4:$C$58,"?*",AE4:AE58,"&lt;=3.4")</f>
        <v>0</v>
      </c>
      <c r="AE76" s="613">
        <f>COUNTIFS($C$4:$C$58,"?*",AE4:AE58,"&lt;=3.4") - COUNTIFS($C$4:$C$58,"?*",AE4:AE58,"&lt;0")</f>
        <v>0</v>
      </c>
      <c r="AF76" s="875"/>
      <c r="AG76" s="610" t="s">
        <v>49</v>
      </c>
      <c r="AH76" s="611">
        <f>COUNTIFS($C$4:$C$58,"?*",AL4:AL58,"&lt;=10") - COUNTIFS($C$4:$C$58,"?*",AL4:AL58,"&lt;=7.9")</f>
        <v>36</v>
      </c>
      <c r="AI76" s="612">
        <f>COUNTIFS($C$4:$C$58,"?*",AL4:AL58,"&lt;=7.9") - COUNTIFS($C$4:$C$58,"?*",AL4:AL58,"&lt;=6.4")</f>
        <v>0</v>
      </c>
      <c r="AJ76" s="612">
        <f>COUNTIFS($C$4:$C$58,"?*",AL4:AL58,"&lt;=6.4") - COUNTIFS($C$4:$C$58,"?*",AL4:AL58,"&lt;=4.9")</f>
        <v>0</v>
      </c>
      <c r="AK76" s="612">
        <f>COUNTIFS($C$4:$C$58,"?*",AL4:AL58,"&lt;=4.9") - COUNTIFS($C$4:$C$58,"?*",AL4:AL58,"&lt;=3.4")</f>
        <v>0</v>
      </c>
      <c r="AL76" s="613">
        <f>COUNTIFS($C$4:$C$58,"?*",AL4:AL58,"&lt;=3.4") - COUNTIFS($C$4:$C$58,"?*",AL4:AL58,"&lt;0")</f>
        <v>0</v>
      </c>
      <c r="AM76" s="875"/>
      <c r="AN76" s="610" t="s">
        <v>49</v>
      </c>
      <c r="AO76" s="611">
        <f>COUNTIFS($C$4:$C$58,"?*",AS4:AS58,"&lt;=10") - COUNTIFS($C$4:$C$58,"?*",AS4:AS58,"&lt;=7.9")</f>
        <v>36</v>
      </c>
      <c r="AP76" s="612">
        <f>COUNTIFS($C$4:$C$58,"?*",AS4:AS58,"&lt;=7.9") - COUNTIFS($C$4:$C$58,"?*",AS4:AS58,"&lt;=6.4")</f>
        <v>0</v>
      </c>
      <c r="AQ76" s="612">
        <f>COUNTIFS($C$4:$C$58,"?*",AS4:AS58,"&lt;=6.4") - COUNTIFS($C$4:$C$58,"?*",AS4:AS58,"&lt;=4.9")</f>
        <v>0</v>
      </c>
      <c r="AR76" s="612">
        <f>COUNTIFS($C$4:$C$58,"?*",AS4:AS58,"&lt;=4.9") - COUNTIFS($C$4:$C$58,"?*",AS4:AS58,"&lt;=3.4")</f>
        <v>0</v>
      </c>
      <c r="AS76" s="613">
        <f>COUNTIFS($C$4:$C$58,"?*",AS4:AS58,"&lt;=3.4") - COUNTIFS($C$4:$C$58,"?*",AS4:AS58,"&lt;0")</f>
        <v>0</v>
      </c>
      <c r="AT76" s="875"/>
      <c r="AU76" s="610" t="s">
        <v>49</v>
      </c>
      <c r="AV76" s="611">
        <f>COUNTIFS($C$4:$C$58,"?*",AZ4:AZ58,"&lt;=10") - COUNTIFS($C$4:$C$58,"?*",AZ4:AZ58,"&lt;=7.9")</f>
        <v>5</v>
      </c>
      <c r="AW76" s="612">
        <f>COUNTIFS($C$4:$C$58,"?*",AZ4:AZ58,"&lt;=7.9") - COUNTIFS($C$4:$C$58,"?*",AZ4:AZ58,"&lt;=6.4")</f>
        <v>31</v>
      </c>
      <c r="AX76" s="612">
        <f>COUNTIFS($C$4:$C$58,"?*",AZ4:AZ58,"&lt;=6.4") - COUNTIFS($C$4:$C$58,"?*",AZ4:AZ58,"&lt;=4.9")</f>
        <v>0</v>
      </c>
      <c r="AY76" s="612">
        <f>COUNTIFS($C$4:$C$58,"?*",AZ4:AZ58,"&lt;=4.9") - COUNTIFS($C$4:$C$58,"?*",AZ4:AZ58,"&lt;=3.4")</f>
        <v>0</v>
      </c>
      <c r="AZ76" s="613">
        <f>COUNTIFS($C$4:$C$58,"?*",AZ4:AZ58,"&lt;=3.4") - COUNTIFS($C$4:$C$58,"?*",AZ4:AZ58,"&lt;0")</f>
        <v>0</v>
      </c>
      <c r="BA76" s="875"/>
      <c r="BB76" s="610" t="s">
        <v>49</v>
      </c>
      <c r="BC76" s="611">
        <f>COUNTIFS($C$4:$C$58,"?*",BG4:BG58,"&lt;=10") - COUNTIFS($C$4:$C$58,"?*",BG4:BG58,"&lt;=7.9")</f>
        <v>36</v>
      </c>
      <c r="BD76" s="612">
        <f>COUNTIFS($C$4:$C$58,"?*",BG4:BG58,"&lt;=7.9") - COUNTIFS($C$4:$C$58,"?*",BG4:BG58,"&lt;=6.4")</f>
        <v>0</v>
      </c>
      <c r="BE76" s="612">
        <f>COUNTIFS($C$4:$C$58,"?*",BG4:BG58,"&lt;=6.4") - COUNTIFS($C$4:$C$58,"?*",BG4:BG58,"&lt;=4.9")</f>
        <v>0</v>
      </c>
      <c r="BF76" s="612">
        <f>COUNTIFS($C$4:$C$58,"?*",BG4:BG58,"&lt;=4.9") - COUNTIFS($C$4:$C$58,"?*",BG4:BG58,"&lt;=3.4")</f>
        <v>0</v>
      </c>
      <c r="BG76" s="613">
        <f>COUNTIFS($C$4:$C$58,"?*",BG4:BG58,"&lt;=3.4") - COUNTIFS($C$4:$C$58,"?*",BG4:BG58,"&lt;0")</f>
        <v>0</v>
      </c>
      <c r="BH76" s="875"/>
      <c r="BI76" s="610" t="s">
        <v>49</v>
      </c>
      <c r="BJ76" s="611">
        <f>COUNTIFS($C$4:$C$58,"?*",BN4:BN58,"&lt;=10") - COUNTIFS($C$4:$C$58,"?*",BN4:BN58,"&lt;=7.9")</f>
        <v>36</v>
      </c>
      <c r="BK76" s="612">
        <f>COUNTIFS($C$4:$C$58,"?*",BN4:BN58,"&lt;=7.9") - COUNTIFS($C$4:$C$58,"?*",BN4:BN58,"&lt;=6.4")</f>
        <v>0</v>
      </c>
      <c r="BL76" s="612">
        <f>COUNTIFS($C$4:$C$58,"?*",BN4:BN58,"&lt;=6.4") - COUNTIFS($C$4:$C$58,"?*",BN4:BN58,"&lt;=4.9")</f>
        <v>0</v>
      </c>
      <c r="BM76" s="612">
        <f>COUNTIFS($C$4:$C$58,"?*",BN4:BN58,"&lt;=4.9") - COUNTIFS($C$4:$C$58,"?*",BN4:BN58,"&lt;=3.4")</f>
        <v>0</v>
      </c>
      <c r="BN76" s="613">
        <f>COUNTIFS($C$4:$C$58,"?*",BN4:BN58,"&lt;=3.4") - COUNTIFS($C$4:$C$58,"?*",BN4:BN58,"&lt;0")</f>
        <v>0</v>
      </c>
      <c r="BO76" s="875"/>
      <c r="BP76" s="610" t="s">
        <v>49</v>
      </c>
      <c r="BQ76" s="611">
        <f>COUNTIFS($C$4:$C$58,"?*",BU4:BU58,"&lt;=10") - COUNTIFS($C$4:$C$58,"?*",BU4:BU58,"&lt;=7.9")</f>
        <v>33</v>
      </c>
      <c r="BR76" s="612">
        <f>COUNTIFS($C$4:$C$58,"?*",BU4:BU58,"&lt;=7.9") - COUNTIFS($C$4:$C$58,"?*",BU4:BU58,"&lt;=6.4")</f>
        <v>3</v>
      </c>
      <c r="BS76" s="612">
        <f>COUNTIFS($C$4:$C$58,"?*",BU4:BU58,"&lt;=6.4") - COUNTIFS($C$4:$C$58,"?*",BU4:BU58,"&lt;=4.9")</f>
        <v>0</v>
      </c>
      <c r="BT76" s="612">
        <f>COUNTIFS($C$4:$C$58,"?*",BU4:BU58,"&lt;=4.9") - COUNTIFS($C$4:$C$58,"?*",BU4:BU58,"&lt;=3.4")</f>
        <v>0</v>
      </c>
      <c r="BU76" s="613">
        <f>COUNTIFS($C$4:$C$58,"?*",BU4:BU58,"&lt;=3.4") - COUNTIFS($C$4:$C$58,"?*",BU4:BU58,"&lt;0")</f>
        <v>0</v>
      </c>
      <c r="BV76" s="875"/>
      <c r="BW76" s="610" t="s">
        <v>49</v>
      </c>
      <c r="BX76" s="611">
        <f>COUNTIFS($C$4:$C$58,"?*",CB4:CB58,"&lt;=10") - COUNTIFS($C$4:$C$58,"?*",CB4:CB58,"&lt;=7.9")</f>
        <v>36</v>
      </c>
      <c r="BY76" s="612">
        <f>COUNTIFS($C$4:$C$58,"?*",CB4:CB58,"&lt;=7.9") - COUNTIFS($C$4:$C$58,"?*",CB4:CB58,"&lt;=6.4")</f>
        <v>0</v>
      </c>
      <c r="BZ76" s="612">
        <f>COUNTIFS($C$4:$C$58,"?*",CB4:CB58,"&lt;=6.4") - COUNTIFS($C$4:$C$58,"?*",CB4:CB58,"&lt;=4.9")</f>
        <v>0</v>
      </c>
      <c r="CA76" s="612">
        <f>COUNTIFS($C$4:$C$58,"?*",CB4:CB58,"&lt;=4.9") - COUNTIFS($C$4:$C$58,"?*",CB4:CB58,"&lt;=3.4")</f>
        <v>0</v>
      </c>
      <c r="CB76" s="613">
        <f>COUNTIFS($C$4:$C$58,"?*",CB4:CB58,"&lt;=3.4") - COUNTIFS($C$4:$C$58,"?*",CB4:CB58,"&lt;0")</f>
        <v>0</v>
      </c>
      <c r="CC76" s="875"/>
      <c r="CD76" s="610" t="s">
        <v>49</v>
      </c>
      <c r="CE76" s="611">
        <f>COUNTIFS($C$4:$C$58,"?*",CI4:CI58,"&lt;=10") - COUNTIFS($C$4:$C$58,"?*",CI4:CI58,"&lt;=7.9")</f>
        <v>36</v>
      </c>
      <c r="CF76" s="612">
        <f>COUNTIFS($C$4:$C$58,"?*",CI4:CI58,"&lt;=7.9") - COUNTIFS($C$4:$C$58,"?*",CI4:CI58,"&lt;=6.4")</f>
        <v>0</v>
      </c>
      <c r="CG76" s="612">
        <f>COUNTIFS($C$4:$C$58,"?*",CI4:CI58,"&lt;=6.4") - COUNTIFS($C$4:$C$58,"?*",CI4:CI58,"&lt;=4.9")</f>
        <v>0</v>
      </c>
      <c r="CH76" s="612">
        <f>COUNTIFS($C$4:$C$58,"?*",CI4:CI58,"&lt;=4.9") - COUNTIFS($C$4:$C$58,"?*",CI4:CI58,"&lt;=3.4")</f>
        <v>0</v>
      </c>
      <c r="CI76" s="613">
        <f>COUNTIFS($C$4:$C$58,"?*",CI4:CI58,"&lt;=3.4") - COUNTIFS($C$4:$C$58,"?*",CI4:CI58,"&lt;0")</f>
        <v>0</v>
      </c>
      <c r="CQ76" s="875"/>
      <c r="CR76" s="610" t="s">
        <v>49</v>
      </c>
      <c r="CS76" s="611">
        <f>COUNTIFS($C$4:$C$58,"?*",CW4:CW58,"&lt;=10") - COUNTIFS($C$4:$C$58,"?*",CW4:CW58,"&lt;=7.9")</f>
        <v>36</v>
      </c>
      <c r="CT76" s="612">
        <f>COUNTIFS($C$4:$C$58,"?*",CW4:CW58,"&lt;=7.9") - COUNTIFS($C$4:$C$58,"?*",CW4:CW58,"&lt;=6.4")</f>
        <v>0</v>
      </c>
      <c r="CU76" s="612">
        <f>COUNTIFS($C$4:$C$58,"?*",CW4:CW58,"&lt;=6.4") - COUNTIFS($C$4:$C$58,"?*",CW4:CW58,"&lt;=4.9")</f>
        <v>0</v>
      </c>
      <c r="CV76" s="612">
        <f>COUNTIFS($C$4:$C$58,"?*",CW4:CW58,"&lt;=4.9") - COUNTIFS($C$4:$C$58,"?*",CW4:CW58,"&lt;=3.4")</f>
        <v>0</v>
      </c>
      <c r="CW76" s="613">
        <f>COUNTIFS($C$4:$C$58,"?*",CW4:CW58,"&lt;=3.4") - COUNTIFS($C$4:$C$58,"?*",CW4:CW58,"&lt;0")</f>
        <v>0</v>
      </c>
      <c r="CX76" s="875"/>
      <c r="CY76" s="610" t="s">
        <v>49</v>
      </c>
      <c r="CZ76" s="611">
        <f>COUNTIFS($C$4:$C$58,"?*",DD4:DD58,"&lt;=10") - COUNTIFS($C$4:$C$58,"?*",DD4:DD58,"&lt;=7.9")</f>
        <v>0</v>
      </c>
      <c r="DA76" s="612">
        <f>COUNTIFS($C$4:$C$58,"?*",DD4:DD58,"&lt;=7.9") - COUNTIFS($C$4:$C$58,"?*",DD4:DD58,"&lt;=6.4")</f>
        <v>0</v>
      </c>
      <c r="DB76" s="612">
        <f>COUNTIFS($C$4:$C$58,"?*",DD4:DD58,"&lt;=6.4") - COUNTIFS($C$4:$C$58,"?*",DD4:DD58,"&lt;=4.9")</f>
        <v>0</v>
      </c>
      <c r="DC76" s="612">
        <f>COUNTIFS($C$4:$C$58,"?*",DD4:DD58,"&lt;=4.9") - COUNTIFS($C$4:$C$58,"?*",DD4:DD58,"&lt;=3.4")</f>
        <v>0</v>
      </c>
      <c r="DD76" s="613">
        <f>COUNTIFS($C$4:$C$58,"?*",DD4:DD58,"&lt;=3.4") - COUNTIFS($C$4:$C$58,"?*",DD4:DD58,"&lt;0")</f>
        <v>36</v>
      </c>
    </row>
    <row r="77" spans="2:108" s="129" customFormat="1" ht="15.9" customHeight="1">
      <c r="K77" s="875"/>
      <c r="L77" s="539" t="s">
        <v>17</v>
      </c>
      <c r="M77" s="614">
        <f>COUNTIFS($C$4:$C$58,"?*",$H$4:$H$58,"",Q4:Q58,"&lt;=10") - COUNTIFS($C$4:$C$58,"?*",$H$4:$H$58,"",Q4:Q58,"&lt;=7.9")</f>
        <v>23</v>
      </c>
      <c r="N77" s="540">
        <f>COUNTIFS($C$4:$C$58,"?*",$H$4:$H$58,"",Q4:Q58,"&lt;=7.9") - COUNTIFS($C$4:$C$58,"?*",$H$4:$H$58,"",Q4:Q58,"&lt;=6.4")</f>
        <v>0</v>
      </c>
      <c r="O77" s="540">
        <f>COUNTIFS($C$4:$C$58,"?*",$H$4:$H$58,"",Q4:Q58,"&lt;=6.4") - COUNTIFS($C$4:$C$58,"?*",$H$4:$H$58,"",Q4:Q58,"&lt;=4.9")</f>
        <v>0</v>
      </c>
      <c r="P77" s="540">
        <f>COUNTIFS($C$4:$C$58,"?*",$H$4:$H$58,"",Q4:Q58,"&lt;=4.9") - COUNTIFS($C$4:$C$58,"?*",$H$4:$H$58,"",Q4:Q58,"&lt;=3.4")</f>
        <v>0</v>
      </c>
      <c r="Q77" s="541">
        <f>COUNTIFS($C$4:$C$58,"?*",$H$4:$H$58,"",Q4:Q58,"&lt;=3.4") - COUNTIFS($C$4:$C$58,"?*",$H$4:$H$58,"",Q4:Q58,"&lt;0")</f>
        <v>0</v>
      </c>
      <c r="R77" s="875"/>
      <c r="S77" s="539" t="s">
        <v>17</v>
      </c>
      <c r="T77" s="614">
        <f>COUNTIFS($C$4:$C$58,"?*",$H$4:$H$58,"",X4:X58,"&lt;=10") - COUNTIFS($C$4:$C$58,"?*",$H$4:$H$58,"",X4:X58,"&lt;=7.9")</f>
        <v>23</v>
      </c>
      <c r="U77" s="540">
        <f>COUNTIFS($C$4:$C$58,"?*",$H$4:$H$58,"",X4:X58,"&lt;=7.9") - COUNTIFS($C$4:$C$58,"?*",$H$4:$H$58,"",X4:X58,"&lt;=6.4")</f>
        <v>0</v>
      </c>
      <c r="V77" s="540">
        <f>COUNTIFS($C$4:$C$58,"?*",$H$4:$H$58,"",X4:X58,"&lt;=6.4") - COUNTIFS($C$4:$C$58,"?*",$H$4:$H$58,"",X4:X58,"&lt;=4.9")</f>
        <v>0</v>
      </c>
      <c r="W77" s="540">
        <f>COUNTIFS($C$4:$C$58,"?*",$H$4:$H$58,"",X4:X58,"&lt;=4.9") - COUNTIFS($C$4:$C$58,"?*",$H$4:$H$58,"",X4:X58,"&lt;=3.4")</f>
        <v>0</v>
      </c>
      <c r="X77" s="541">
        <f>COUNTIFS($C$4:$C$58,"?*",$H$4:$H$58,"",X4:X58,"&lt;=3.4") - COUNTIFS($C$4:$C$58,"?*",$H$4:$H$58,"",X4:X58,"&lt;0")</f>
        <v>0</v>
      </c>
      <c r="Y77" s="875"/>
      <c r="Z77" s="539" t="s">
        <v>17</v>
      </c>
      <c r="AA77" s="614">
        <f>COUNTIFS($C$4:$C$58,"?*",$H$4:$H$58,"",AE4:AE58,"&lt;=10") - COUNTIFS($C$4:$C$58,"?*",$H$4:$H$58,"",AE4:AE58,"&lt;=7.9")</f>
        <v>23</v>
      </c>
      <c r="AB77" s="540">
        <f>COUNTIFS($C$4:$C$58,"?*",$H$4:$H$58,"",AE4:AE58,"&lt;=7.9") - COUNTIFS($C$4:$C$58,"?*",$H$4:$H$58,"",AE4:AE58,"&lt;=6.4")</f>
        <v>0</v>
      </c>
      <c r="AC77" s="540">
        <f>COUNTIFS($C$4:$C$58,"?*",$H$4:$H$58,"",AE4:AE58,"&lt;=6.4") - COUNTIFS($C$4:$C$58,"?*",$H$4:$H$58,"",AE4:AE58,"&lt;=4.9")</f>
        <v>0</v>
      </c>
      <c r="AD77" s="540">
        <f>COUNTIFS($C$4:$C$58,"?*",$H$4:$H$58,"",AE4:AE58,"&lt;=4.9") - COUNTIFS($C$4:$C$58,"?*",$H$4:$H$58,"",AE4:AE58,"&lt;=3.4")</f>
        <v>0</v>
      </c>
      <c r="AE77" s="541">
        <f>COUNTIFS($C$4:$C$58,"?*",$H$4:$H$58,"",AE4:AE58,"&lt;=3.4") - COUNTIFS($C$4:$C$58,"?*",$H$4:$H$58,"",AE4:AE58,"&lt;0")</f>
        <v>0</v>
      </c>
      <c r="AF77" s="875"/>
      <c r="AG77" s="539" t="s">
        <v>17</v>
      </c>
      <c r="AH77" s="614">
        <f>COUNTIFS($C$4:$C$58,"?*",$H$4:$H$58,"",AL4:AL58,"&lt;=10") - COUNTIFS($C$4:$C$58,"?*",$H$4:$H$58,"",AL4:AL58,"&lt;=7.9")</f>
        <v>23</v>
      </c>
      <c r="AI77" s="540">
        <f>COUNTIFS($C$4:$C$58,"?*",$H$4:$H$58,"",AL4:AL58,"&lt;=7.9") - COUNTIFS($C$4:$C$58,"?*",$H$4:$H$58,"",AL4:AL58,"&lt;=6.4")</f>
        <v>0</v>
      </c>
      <c r="AJ77" s="540">
        <f>COUNTIFS($C$4:$C$58,"?*",$H$4:$H$58,"",AL4:AL58,"&lt;=6.4") - COUNTIFS($C$4:$C$58,"?*",$H$4:$H$58,"",AL4:AL58,"&lt;=4.9")</f>
        <v>0</v>
      </c>
      <c r="AK77" s="540">
        <f>COUNTIFS($C$4:$C$58,"?*",$H$4:$H$58,"",AL4:AL58,"&lt;=4.9") - COUNTIFS($C$4:$C$58,"?*",$H$4:$H$58,"",AL4:AL58,"&lt;=3.4")</f>
        <v>0</v>
      </c>
      <c r="AL77" s="541">
        <f>COUNTIFS($C$4:$C$58,"?*",$H$4:$H$58,"",AL4:AL58,"&lt;=3.4") - COUNTIFS($C$4:$C$58,"?*",$H$4:$H$58,"",AL4:AL58,"&lt;0")</f>
        <v>0</v>
      </c>
      <c r="AM77" s="875"/>
      <c r="AN77" s="539" t="s">
        <v>17</v>
      </c>
      <c r="AO77" s="614">
        <f>COUNTIFS($C$4:$C$58,"?*",$H$4:$H$58,"",AS4:AS58,"&lt;=10") - COUNTIFS($C$4:$C$58,"?*",$H$4:$H$58,"",AS4:AS58,"&lt;=7.9")</f>
        <v>23</v>
      </c>
      <c r="AP77" s="540">
        <f>COUNTIFS($C$4:$C$58,"?*",$H$4:$H$58,"",AS4:AS58,"&lt;=7.9") - COUNTIFS($C$4:$C$58,"?*",$H$4:$H$58,"",AS4:AS58,"&lt;=6.4")</f>
        <v>0</v>
      </c>
      <c r="AQ77" s="540">
        <f>COUNTIFS($C$4:$C$58,"?*",$H$4:$H$58,"",AS4:AS58,"&lt;=6.4") - COUNTIFS($C$4:$C$58,"?*",$H$4:$H$58,"",AS4:AS58,"&lt;=4.9")</f>
        <v>0</v>
      </c>
      <c r="AR77" s="540">
        <f>COUNTIFS($C$4:$C$58,"?*",$H$4:$H$58,"",AS4:AS58,"&lt;=4.9") - COUNTIFS($C$4:$C$58,"?*",$H$4:$H$58,"",AS4:AS58,"&lt;=3.4")</f>
        <v>0</v>
      </c>
      <c r="AS77" s="541">
        <f>COUNTIFS($C$4:$C$58,"?*",$H$4:$H$58,"",AS4:AS58,"&lt;=3.4") - COUNTIFS($C$4:$C$58,"?*",$H$4:$H$58,"",AS4:AS58,"&lt;0")</f>
        <v>0</v>
      </c>
      <c r="AT77" s="875"/>
      <c r="AU77" s="539" t="s">
        <v>17</v>
      </c>
      <c r="AV77" s="614">
        <f>COUNTIFS($C$4:$C$58,"?*",$H$4:$H$58,"",AZ4:AZ58,"&lt;=10") - COUNTIFS($C$4:$C$58,"?*",$H$4:$H$58,"",AZ4:AZ58,"&lt;=7.9")</f>
        <v>23</v>
      </c>
      <c r="AW77" s="540">
        <f>COUNTIFS($C$4:$C$58,"?*",$H$4:$H$58,"",AZ4:AZ58,"&lt;=7.9") - COUNTIFS($C$4:$C$58,"?*",$H$4:$H$58,"",AZ4:AZ58,"&lt;=6.4")</f>
        <v>0</v>
      </c>
      <c r="AX77" s="540">
        <f>COUNTIFS($C$4:$C$58,"?*",$H$4:$H$58,"",AZ4:AZ58,"&lt;=6.4") - COUNTIFS($C$4:$C$58,"?*",$H$4:$H$58,"",AZ4:AZ58,"&lt;=4.9")</f>
        <v>0</v>
      </c>
      <c r="AY77" s="540">
        <f>COUNTIFS($C$4:$C$58,"?*",$H$4:$H$58,"",AZ4:AZ58,"&lt;=4.9") - COUNTIFS($C$4:$C$58,"?*",$H$4:$H$58,"",AZ4:AZ58,"&lt;=3.4")</f>
        <v>0</v>
      </c>
      <c r="AZ77" s="541">
        <f>COUNTIFS($C$4:$C$58,"?*",$H$4:$H$58,"",AZ4:AZ58,"&lt;=3.4") - COUNTIFS($C$4:$C$58,"?*",$H$4:$H$58,"",AZ4:AZ58,"&lt;0")</f>
        <v>0</v>
      </c>
      <c r="BA77" s="875"/>
      <c r="BB77" s="539" t="s">
        <v>17</v>
      </c>
      <c r="BC77" s="614">
        <f>COUNTIFS($C$4:$C$58,"?*",$H$4:$H$58,"",BG4:BG58,"&lt;=10") - COUNTIFS($C$4:$C$58,"?*",$H$4:$H$58,"",BG4:BG58,"&lt;=7.9")</f>
        <v>23</v>
      </c>
      <c r="BD77" s="540">
        <f>COUNTIFS($C$4:$C$58,"?*",$H$4:$H$58,"",BG4:BG58,"&lt;=7.9") - COUNTIFS($C$4:$C$58,"?*",$H$4:$H$58,"",BG4:BG58,"&lt;=6.4")</f>
        <v>0</v>
      </c>
      <c r="BE77" s="540">
        <f>COUNTIFS($C$4:$C$58,"?*",$H$4:$H$58,"",BG4:BG58,"&lt;=6.4") - COUNTIFS($C$4:$C$58,"?*",$H$4:$H$58,"",BG4:BG58,"&lt;=4.9")</f>
        <v>0</v>
      </c>
      <c r="BF77" s="540">
        <f>COUNTIFS($C$4:$C$58,"?*",$H$4:$H$58,"",BG4:BG58,"&lt;=4.9") - COUNTIFS($C$4:$C$58,"?*",$H$4:$H$58,"",BG4:BG58,"&lt;=3.4")</f>
        <v>0</v>
      </c>
      <c r="BG77" s="541">
        <f>COUNTIFS($C$4:$C$58,"?*",$H$4:$H$58,"",BG4:BG58,"&lt;=3.4") - COUNTIFS($C$4:$C$58,"?*",$H$4:$H$58,"",BG4:BG58,"&lt;0")</f>
        <v>0</v>
      </c>
      <c r="BH77" s="875"/>
      <c r="BI77" s="539" t="s">
        <v>17</v>
      </c>
      <c r="BJ77" s="614">
        <f>COUNTIFS($C$4:$C$58,"?*",$H$4:$H$58,"",BN4:BN58,"&lt;=10") - COUNTIFS($C$4:$C$58,"?*",$H$4:$H$58,"",BN4:BN58,"&lt;=7.9")</f>
        <v>23</v>
      </c>
      <c r="BK77" s="540">
        <f>COUNTIFS($C$4:$C$58,"?*",$H$4:$H$58,"",BN4:BN58,"&lt;=7.9") - COUNTIFS($C$4:$C$58,"?*",$H$4:$H$58,"",BN4:BN58,"&lt;=6.4")</f>
        <v>0</v>
      </c>
      <c r="BL77" s="540">
        <f>COUNTIFS($C$4:$C$58,"?*",$H$4:$H$58,"",BN4:BN58,"&lt;=6.4") - COUNTIFS($C$4:$C$58,"?*",$H$4:$H$58,"",BN4:BN58,"&lt;=4.9")</f>
        <v>0</v>
      </c>
      <c r="BM77" s="540">
        <f>COUNTIFS($C$4:$C$58,"?*",$H$4:$H$58,"",BN4:BN58,"&lt;=4.9") - COUNTIFS($C$4:$C$58,"?*",$H$4:$H$58,"",BN4:BN58,"&lt;=3.4")</f>
        <v>0</v>
      </c>
      <c r="BN77" s="541">
        <f>COUNTIFS($C$4:$C$58,"?*",$H$4:$H$58,"",BN4:BN58,"&lt;=3.4") - COUNTIFS($C$4:$C$58,"?*",$H$4:$H$58,"",BN4:BN58,"&lt;0")</f>
        <v>0</v>
      </c>
      <c r="BO77" s="875"/>
      <c r="BP77" s="539" t="s">
        <v>17</v>
      </c>
      <c r="BQ77" s="614">
        <f>COUNTIFS($C$4:$C$58,"?*",$H$4:$H$58,"",BU4:BU58,"&lt;=10") - COUNTIFS($C$4:$C$58,"?*",$H$4:$H$58,"",BU4:BU58,"&lt;=7.9")</f>
        <v>23</v>
      </c>
      <c r="BR77" s="540">
        <f>COUNTIFS($C$4:$C$58,"?*",$H$4:$H$58,"",BU4:BU58,"&lt;=7.9") - COUNTIFS($C$4:$C$58,"?*",$H$4:$H$58,"",BU4:BU58,"&lt;=6.4")</f>
        <v>0</v>
      </c>
      <c r="BS77" s="540">
        <f>COUNTIFS($C$4:$C$58,"?*",$H$4:$H$58,"",BU4:BU58,"&lt;=6.4") - COUNTIFS($C$4:$C$58,"?*",$H$4:$H$58,"",BU4:BU58,"&lt;=4.9")</f>
        <v>0</v>
      </c>
      <c r="BT77" s="540">
        <f>COUNTIFS($C$4:$C$58,"?*",$H$4:$H$58,"",BU4:BU58,"&lt;=4.9") - COUNTIFS($C$4:$C$58,"?*",$H$4:$H$58,"",BU4:BU58,"&lt;=3.4")</f>
        <v>0</v>
      </c>
      <c r="BU77" s="541">
        <f>COUNTIFS($C$4:$C$58,"?*",$H$4:$H$58,"",BU4:BU58,"&lt;=3.4") - COUNTIFS($C$4:$C$58,"?*",$H$4:$H$58,"",BU4:BU58,"&lt;0")</f>
        <v>0</v>
      </c>
      <c r="BV77" s="875"/>
      <c r="BW77" s="539" t="s">
        <v>17</v>
      </c>
      <c r="BX77" s="614">
        <f>COUNTIFS($C$4:$C$58,"?*",$H$4:$H$58,"",CB4:CB58,"&lt;=10") - COUNTIFS($C$4:$C$58,"?*",$H$4:$H$58,"",CB4:CB58,"&lt;=7.9")</f>
        <v>23</v>
      </c>
      <c r="BY77" s="540">
        <f>COUNTIFS($C$4:$C$58,"?*",$H$4:$H$58,"",CB4:CB58,"&lt;=7.9") - COUNTIFS($C$4:$C$58,"?*",$H$4:$H$58,"",CB4:CB58,"&lt;=6.4")</f>
        <v>0</v>
      </c>
      <c r="BZ77" s="540">
        <f>COUNTIFS($C$4:$C$58,"?*",$H$4:$H$58,"",CB4:CB58,"&lt;=6.4") - COUNTIFS($C$4:$C$58,"?*",$H$4:$H$58,"",CB4:CB58,"&lt;=4.9")</f>
        <v>0</v>
      </c>
      <c r="CA77" s="540">
        <f>COUNTIFS($C$4:$C$58,"?*",$H$4:$H$58,"",CB4:CB58,"&lt;=4.9") - COUNTIFS($C$4:$C$58,"?*",$H$4:$H$58,"",CB4:CB58,"&lt;=3.4")</f>
        <v>0</v>
      </c>
      <c r="CB77" s="541">
        <f>COUNTIFS($C$4:$C$58,"?*",$H$4:$H$58,"",CB4:CB58,"&lt;=3.4") - COUNTIFS($C$4:$C$58,"?*",$H$4:$H$58,"",CB4:CB58,"&lt;0")</f>
        <v>0</v>
      </c>
      <c r="CC77" s="875"/>
      <c r="CD77" s="539" t="s">
        <v>17</v>
      </c>
      <c r="CE77" s="614">
        <f>COUNTIFS($C$4:$C$58,"?*",$H$4:$H$58,"",CI4:CI58,"&lt;=10") - COUNTIFS($C$4:$C$58,"?*",$H$4:$H$58,"",CI4:CI58,"&lt;=7.9")</f>
        <v>23</v>
      </c>
      <c r="CF77" s="540">
        <f>COUNTIFS($C$4:$C$58,"?*",$H$4:$H$58,"",CI4:CI58,"&lt;=7.9") - COUNTIFS($C$4:$C$58,"?*",$H$4:$H$58,"",CI4:CI58,"&lt;=6.4")</f>
        <v>0</v>
      </c>
      <c r="CG77" s="540">
        <f>COUNTIFS($C$4:$C$58,"?*",$H$4:$H$58,"",CI4:CI58,"&lt;=6.4") - COUNTIFS($C$4:$C$58,"?*",$H$4:$H$58,"",CI4:CI58,"&lt;=4.9")</f>
        <v>0</v>
      </c>
      <c r="CH77" s="540">
        <f>COUNTIFS($C$4:$C$58,"?*",$H$4:$H$58,"",CI4:CI58,"&lt;=4.9") - COUNTIFS($C$4:$C$58,"?*",$H$4:$H$58,"",CI4:CI58,"&lt;=3.4")</f>
        <v>0</v>
      </c>
      <c r="CI77" s="541">
        <f>COUNTIFS($C$4:$C$58,"?*",$H$4:$H$58,"",CI4:CI58,"&lt;=3.4") - COUNTIFS($C$4:$C$58,"?*",$H$4:$H$58,"",CI4:CI58,"&lt;0")</f>
        <v>0</v>
      </c>
      <c r="CQ77" s="875"/>
      <c r="CR77" s="539" t="s">
        <v>17</v>
      </c>
      <c r="CS77" s="614">
        <f>COUNTIFS($C$4:$C$58,"?*",$H$4:$H$58,"",CW4:CW58,"&lt;=10") - COUNTIFS($C$4:$C$58,"?*",$H$4:$H$58,"",CW4:CW58,"&lt;=7.9")</f>
        <v>23</v>
      </c>
      <c r="CT77" s="540">
        <f>COUNTIFS($C$4:$C$58,"?*",$H$4:$H$58,"",CW4:CW58,"&lt;=7.9") - COUNTIFS($C$4:$C$58,"?*",$H$4:$H$58,"",CW4:CW58,"&lt;=6.4")</f>
        <v>0</v>
      </c>
      <c r="CU77" s="540">
        <f>COUNTIFS($C$4:$C$58,"?*",$H$4:$H$58,"",CW4:CW58,"&lt;=6.4") - COUNTIFS($C$4:$C$58,"?*",$H$4:$H$58,"",CW4:CW58,"&lt;=4.9")</f>
        <v>0</v>
      </c>
      <c r="CV77" s="540">
        <f>COUNTIFS($C$4:$C$58,"?*",$H$4:$H$58,"",CW4:CW58,"&lt;=4.9") - COUNTIFS($C$4:$C$58,"?*",$H$4:$H$58,"",CW4:CW58,"&lt;=3.4")</f>
        <v>0</v>
      </c>
      <c r="CW77" s="541">
        <f>COUNTIFS($C$4:$C$58,"?*",$H$4:$H$58,"",CW4:CW58,"&lt;=3.4") - COUNTIFS($C$4:$C$58,"?*",$H$4:$H$58,"",CW4:CW58,"&lt;0")</f>
        <v>0</v>
      </c>
      <c r="CX77" s="875"/>
      <c r="CY77" s="539" t="s">
        <v>17</v>
      </c>
      <c r="CZ77" s="614">
        <f>COUNTIFS($C$4:$C$58,"?*",$H$4:$H$58,"",DD4:DD58,"&lt;=10") - COUNTIFS($C$4:$C$58,"?*",$H$4:$H$58,"",DD4:DD58,"&lt;=7.9")</f>
        <v>0</v>
      </c>
      <c r="DA77" s="540">
        <f>COUNTIFS($C$4:$C$58,"?*",$H$4:$H$58,"",DD4:DD58,"&lt;=7.9") - COUNTIFS($C$4:$C$58,"?*",$H$4:$H$58,"",DD4:DD58,"&lt;=6.4")</f>
        <v>0</v>
      </c>
      <c r="DB77" s="540">
        <f>COUNTIFS($C$4:$C$58,"?*",$H$4:$H$58,"",DD4:DD58,"&lt;=6.4") - COUNTIFS($C$4:$C$58,"?*",$H$4:$H$58,"",DD4:DD58,"&lt;=4.9")</f>
        <v>0</v>
      </c>
      <c r="DC77" s="540">
        <f>COUNTIFS($C$4:$C$58,"?*",$H$4:$H$58,"",DD4:DD58,"&lt;=4.9") - COUNTIFS($C$4:$C$58,"?*",$H$4:$H$58,"",DD4:DD58,"&lt;=3.4")</f>
        <v>0</v>
      </c>
      <c r="DD77" s="541">
        <f>COUNTIFS($C$4:$C$58,"?*",$H$4:$H$58,"",DD4:DD58,"&lt;=3.4") - COUNTIFS($C$4:$C$58,"?*",$H$4:$H$58,"",DD4:DD58,"&lt;0")</f>
        <v>23</v>
      </c>
    </row>
    <row r="78" spans="2:108" s="129" customFormat="1" ht="15.9" customHeight="1">
      <c r="K78" s="875"/>
      <c r="L78" s="539" t="s">
        <v>18</v>
      </c>
      <c r="M78" s="614">
        <f>COUNTIFS($C$4:$C$58,"?*",$H$4:$H$58,"x",Q4:Q58,"&lt;=10") - COUNTIFS($C$4:$C$58,"?*",$H$4:$H$58,"x",Q4:Q58,"&lt;=7.9")</f>
        <v>13</v>
      </c>
      <c r="N78" s="540">
        <f>COUNTIFS($C$4:$C$58,"?*",$H$4:$H$58,"x",Q4:Q58,"&lt;=7.9") - COUNTIFS($C$4:$C$58,"?*",$H$4:$H$58,"x",Q4:Q58,"&lt;=6.4")</f>
        <v>0</v>
      </c>
      <c r="O78" s="540">
        <f>COUNTIFS($C$4:$C$58,"?*",$H$4:$H$58,"x",Q4:Q58,"&lt;=6.4") - COUNTIFS($C$4:$C$58,"?*",$H$4:$H$58,"x",Q4:Q58,"&lt;=4.9")</f>
        <v>0</v>
      </c>
      <c r="P78" s="540">
        <f>COUNTIFS($C$4:$C$58,"?*",$H$4:$H$58,"x",Q4:Q58,"&lt;=4.9") - COUNTIFS($C$4:$C$58,"?*",$H$4:$H$58,"x",Q4:Q58,"&lt;=3.4")</f>
        <v>0</v>
      </c>
      <c r="Q78" s="541">
        <f>COUNTIFS($C$4:$C$58,"?*",$H$4:$H$58,"x",Q4:Q58,"&lt;=3.4") - COUNTIFS($C$4:$C$58,"?*",$H$4:$H$58,"x",Q4:Q58,"&lt;0")</f>
        <v>0</v>
      </c>
      <c r="R78" s="875"/>
      <c r="S78" s="539" t="s">
        <v>18</v>
      </c>
      <c r="T78" s="614">
        <f>COUNTIFS($C$4:$C$58,"?*",$H$4:$H$58,"x",X4:X58,"&lt;=10") - COUNTIFS($C$4:$C$58,"?*",$H$4:$H$58,"x",X4:X58,"&lt;=7.9")</f>
        <v>13</v>
      </c>
      <c r="U78" s="540">
        <f>COUNTIFS($C$4:$C$58,"?*",$H$4:$H$58,"x",X4:X58,"&lt;=7.9") - COUNTIFS($C$4:$C$58,"?*",$H$4:$H$58,"x",X4:X58,"&lt;=6.4")</f>
        <v>0</v>
      </c>
      <c r="V78" s="540">
        <f>COUNTIFS($C$4:$C$58,"?*",$H$4:$H$58,"x",X4:X58,"&lt;=6.4") - COUNTIFS($C$4:$C$58,"?*",$H$4:$H$58,"x",X4:X58,"&lt;=4.9")</f>
        <v>0</v>
      </c>
      <c r="W78" s="540">
        <f>COUNTIFS($C$4:$C$58,"?*",$H$4:$H$58,"x",X4:X58,"&lt;=4.9") - COUNTIFS($C$4:$C$58,"?*",$H$4:$H$58,"x",X4:X58,"&lt;=3.4")</f>
        <v>0</v>
      </c>
      <c r="X78" s="541">
        <f>COUNTIFS($C$4:$C$58,"?*",$H$4:$H$58,"x",X4:X58,"&lt;=3.4") - COUNTIFS($C$4:$C$58,"?*",$H$4:$H$58,"x",X4:X58,"&lt;0")</f>
        <v>0</v>
      </c>
      <c r="Y78" s="875"/>
      <c r="Z78" s="539" t="s">
        <v>18</v>
      </c>
      <c r="AA78" s="614">
        <f>COUNTIFS($C$4:$C$58,"?*",$H$4:$H$58,"x",AE4:AE58,"&lt;=10") - COUNTIFS($C$4:$C$58,"?*",$H$4:$H$58,"x",AE4:AE58,"&lt;=7.9")</f>
        <v>13</v>
      </c>
      <c r="AB78" s="540">
        <f>COUNTIFS($C$4:$C$58,"?*",$H$4:$H$58,"x",AE4:AE58,"&lt;=7.9") - COUNTIFS($C$4:$C$58,"?*",$H$4:$H$58,"x",AE4:AE58,"&lt;=6.4")</f>
        <v>0</v>
      </c>
      <c r="AC78" s="540">
        <f>COUNTIFS($C$4:$C$58,"?*",$H$4:$H$58,"x",AE4:AE58,"&lt;=6.4") - COUNTIFS($C$4:$C$58,"?*",$H$4:$H$58,"x",AE4:AE58,"&lt;=4.9")</f>
        <v>0</v>
      </c>
      <c r="AD78" s="540">
        <f>COUNTIFS($C$4:$C$58,"?*",$H$4:$H$58,"x",AE4:AE58,"&lt;=4.9") - COUNTIFS($C$4:$C$58,"?*",$H$4:$H$58,"x",AE4:AE58,"&lt;=3.4")</f>
        <v>0</v>
      </c>
      <c r="AE78" s="541">
        <f>COUNTIFS($C$4:$C$58,"?*",$H$4:$H$58,"x",AE4:AE58,"&lt;=3.4") - COUNTIFS($C$4:$C$58,"?*",$H$4:$H$58,"x",AE4:AE58,"&lt;0")</f>
        <v>0</v>
      </c>
      <c r="AF78" s="875"/>
      <c r="AG78" s="539" t="s">
        <v>18</v>
      </c>
      <c r="AH78" s="614">
        <f>COUNTIFS($C$4:$C$58,"?*",$H$4:$H$58,"x",AL4:AL58,"&lt;=10") - COUNTIFS($C$4:$C$58,"?*",$H$4:$H$58,"x",AL4:AL58,"&lt;=7.9")</f>
        <v>13</v>
      </c>
      <c r="AI78" s="540">
        <f>COUNTIFS($C$4:$C$58,"?*",$H$4:$H$58,"x",AL4:AL58,"&lt;=7.9") - COUNTIFS($C$4:$C$58,"?*",$H$4:$H$58,"x",AL4:AL58,"&lt;=6.4")</f>
        <v>0</v>
      </c>
      <c r="AJ78" s="540">
        <f>COUNTIFS($C$4:$C$58,"?*",$H$4:$H$58,"x",AL4:AL58,"&lt;=6.4") - COUNTIFS($C$4:$C$58,"?*",$H$4:$H$58,"x",AL4:AL58,"&lt;=4.9")</f>
        <v>0</v>
      </c>
      <c r="AK78" s="540">
        <f>COUNTIFS($C$4:$C$58,"?*",$H$4:$H$58,"x",AL4:AL58,"&lt;=4.9") - COUNTIFS($C$4:$C$58,"?*",$H$4:$H$58,"x",AL4:AL58,"&lt;=3.4")</f>
        <v>0</v>
      </c>
      <c r="AL78" s="541">
        <f>COUNTIFS($C$4:$C$58,"?*",$H$4:$H$58,"x",AL4:AL58,"&lt;=3.4") - COUNTIFS($C$4:$C$58,"?*",$H$4:$H$58,"x",AL4:AL58,"&lt;0")</f>
        <v>0</v>
      </c>
      <c r="AM78" s="875"/>
      <c r="AN78" s="539" t="s">
        <v>18</v>
      </c>
      <c r="AO78" s="614">
        <f>COUNTIFS($C$4:$C$58,"?*",$H$4:$H$58,"x",AS4:AS58,"&lt;=10") - COUNTIFS($C$4:$C$58,"?*",$H$4:$H$58,"x",AS4:AS58,"&lt;=7.9")</f>
        <v>13</v>
      </c>
      <c r="AP78" s="540">
        <f>COUNTIFS($C$4:$C$58,"?*",$H$4:$H$58,"x",AS4:AS58,"&lt;=7.9") - COUNTIFS($C$4:$C$58,"?*",$H$4:$H$58,"x",AS4:AS58,"&lt;=6.4")</f>
        <v>0</v>
      </c>
      <c r="AQ78" s="540">
        <f>COUNTIFS($C$4:$C$58,"?*",$H$4:$H$58,"x",AS4:AS58,"&lt;=6.4") - COUNTIFS($C$4:$C$58,"?*",$H$4:$H$58,"x",AS4:AS58,"&lt;=4.9")</f>
        <v>0</v>
      </c>
      <c r="AR78" s="540">
        <f>COUNTIFS($C$4:$C$58,"?*",$H$4:$H$58,"x",AS4:AS58,"&lt;=4.9") - COUNTIFS($C$4:$C$58,"?*",$H$4:$H$58,"x",AS4:AS58,"&lt;=3.4")</f>
        <v>0</v>
      </c>
      <c r="AS78" s="541">
        <f>COUNTIFS($C$4:$C$58,"?*",$H$4:$H$58,"x",AS4:AS58,"&lt;=3.4") - COUNTIFS($C$4:$C$58,"?*",$H$4:$H$58,"x",AS4:AS58,"&lt;0")</f>
        <v>0</v>
      </c>
      <c r="AT78" s="875"/>
      <c r="AU78" s="539" t="s">
        <v>18</v>
      </c>
      <c r="AV78" s="614">
        <f>COUNTIFS($C$4:$C$58,"?*",$H$4:$H$58,"x",AZ4:AZ58,"&lt;=10") - COUNTIFS($C$4:$C$58,"?*",$H$4:$H$58,"x",AZ4:AZ58,"&lt;=7.9")</f>
        <v>13</v>
      </c>
      <c r="AW78" s="540">
        <f>COUNTIFS($C$4:$C$58,"?*",$H$4:$H$58,"x",AZ4:AZ58,"&lt;=7.9") - COUNTIFS($C$4:$C$58,"?*",$H$4:$H$58,"x",AZ4:AZ58,"&lt;=6.4")</f>
        <v>0</v>
      </c>
      <c r="AX78" s="540">
        <f>COUNTIFS($C$4:$C$58,"?*",$H$4:$H$58,"x",AZ4:AZ58,"&lt;=6.4") - COUNTIFS($C$4:$C$58,"?*",$H$4:$H$58,"x",AZ4:AZ58,"&lt;=4.9")</f>
        <v>0</v>
      </c>
      <c r="AY78" s="540">
        <f>COUNTIFS($C$4:$C$58,"?*",$H$4:$H$58,"x",AZ4:AZ58,"&lt;=4.9") - COUNTIFS($C$4:$C$58,"?*",$H$4:$H$58,"x",AZ4:AZ58,"&lt;=3.4")</f>
        <v>0</v>
      </c>
      <c r="AZ78" s="541">
        <f>COUNTIFS($C$4:$C$58,"?*",$H$4:$H$58,"x",AZ4:AZ58,"&lt;=3.4") - COUNTIFS($C$4:$C$58,"?*",$H$4:$H$58,"x",AZ4:AZ58,"&lt;0")</f>
        <v>0</v>
      </c>
      <c r="BA78" s="875"/>
      <c r="BB78" s="539" t="s">
        <v>18</v>
      </c>
      <c r="BC78" s="614">
        <f>COUNTIFS($C$4:$C$58,"?*",$H$4:$H$58,"x",BG4:BG58,"&lt;=10") - COUNTIFS($C$4:$C$58,"?*",$H$4:$H$58,"x",BG4:BG58,"&lt;=7.9")</f>
        <v>13</v>
      </c>
      <c r="BD78" s="540">
        <f>COUNTIFS($C$4:$C$58,"?*",$H$4:$H$58,"x",BG4:BG58,"&lt;=7.9") - COUNTIFS($C$4:$C$58,"?*",$H$4:$H$58,"x",BG4:BG58,"&lt;=6.4")</f>
        <v>0</v>
      </c>
      <c r="BE78" s="540">
        <f>COUNTIFS($C$4:$C$58,"?*",$H$4:$H$58,"x",BG4:BG58,"&lt;=6.4") - COUNTIFS($C$4:$C$58,"?*",$H$4:$H$58,"x",BG4:BG58,"&lt;=4.9")</f>
        <v>0</v>
      </c>
      <c r="BF78" s="540">
        <f>COUNTIFS($C$4:$C$58,"?*",$H$4:$H$58,"x",BG4:BG58,"&lt;=4.9") - COUNTIFS($C$4:$C$58,"?*",$H$4:$H$58,"x",BG4:BG58,"&lt;=3.4")</f>
        <v>0</v>
      </c>
      <c r="BG78" s="541">
        <f>COUNTIFS($C$4:$C$58,"?*",$H$4:$H$58,"x",BG4:BG58,"&lt;=3.4") - COUNTIFS($C$4:$C$58,"?*",$H$4:$H$58,"x",BG4:BG58,"&lt;0")</f>
        <v>0</v>
      </c>
      <c r="BH78" s="875"/>
      <c r="BI78" s="539" t="s">
        <v>18</v>
      </c>
      <c r="BJ78" s="614">
        <f>COUNTIFS($C$4:$C$58,"?*",$H$4:$H$58,"x",BN4:BN58,"&lt;=10") - COUNTIFS($C$4:$C$58,"?*",$H$4:$H$58,"x",BN4:BN58,"&lt;=7.9")</f>
        <v>13</v>
      </c>
      <c r="BK78" s="540">
        <f>COUNTIFS($C$4:$C$58,"?*",$H$4:$H$58,"x",BN4:BN58,"&lt;=7.9") - COUNTIFS($C$4:$C$58,"?*",$H$4:$H$58,"x",BN4:BN58,"&lt;=6.4")</f>
        <v>0</v>
      </c>
      <c r="BL78" s="540">
        <f>COUNTIFS($C$4:$C$58,"?*",$H$4:$H$58,"x",BN4:BN58,"&lt;=6.4") - COUNTIFS($C$4:$C$58,"?*",$H$4:$H$58,"x",BN4:BN58,"&lt;=4.9")</f>
        <v>0</v>
      </c>
      <c r="BM78" s="540">
        <f>COUNTIFS($C$4:$C$58,"?*",$H$4:$H$58,"x",BN4:BN58,"&lt;=4.9") - COUNTIFS($C$4:$C$58,"?*",$H$4:$H$58,"x",BN4:BN58,"&lt;=3.4")</f>
        <v>0</v>
      </c>
      <c r="BN78" s="541">
        <f>COUNTIFS($C$4:$C$58,"?*",$H$4:$H$58,"x",BN4:BN58,"&lt;=3.4") - COUNTIFS($C$4:$C$58,"?*",$H$4:$H$58,"x",BN4:BN58,"&lt;0")</f>
        <v>0</v>
      </c>
      <c r="BO78" s="875"/>
      <c r="BP78" s="539" t="s">
        <v>18</v>
      </c>
      <c r="BQ78" s="614">
        <f>COUNTIFS($C$4:$C$58,"?*",$H$4:$H$58,"x",BU4:BU58,"&lt;=10") - COUNTIFS($C$4:$C$58,"?*",$H$4:$H$58,"x",BU4:BU58,"&lt;=7.9")</f>
        <v>13</v>
      </c>
      <c r="BR78" s="540">
        <f>COUNTIFS($C$4:$C$58,"?*",$H$4:$H$58,"x",BU4:BU58,"&lt;=7.9") - COUNTIFS($C$4:$C$58,"?*",$H$4:$H$58,"x",BU4:BU58,"&lt;=6.4")</f>
        <v>0</v>
      </c>
      <c r="BS78" s="540">
        <f>COUNTIFS($C$4:$C$58,"?*",$H$4:$H$58,"x",BU4:BU58,"&lt;=6.4") - COUNTIFS($C$4:$C$58,"?*",$H$4:$H$58,"x",BU4:BU58,"&lt;=4.9")</f>
        <v>0</v>
      </c>
      <c r="BT78" s="540">
        <f>COUNTIFS($C$4:$C$58,"?*",$H$4:$H$58,"x",BU4:BU58,"&lt;=4.9") - COUNTIFS($C$4:$C$58,"?*",$H$4:$H$58,"x",BU4:BU58,"&lt;=3.4")</f>
        <v>0</v>
      </c>
      <c r="BU78" s="541">
        <f>COUNTIFS($C$4:$C$58,"?*",$H$4:$H$58,"x",BU4:BU58,"&lt;=3.4") - COUNTIFS($C$4:$C$58,"?*",$H$4:$H$58,"x",BU4:BU58,"&lt;0")</f>
        <v>0</v>
      </c>
      <c r="BV78" s="875"/>
      <c r="BW78" s="539" t="s">
        <v>18</v>
      </c>
      <c r="BX78" s="614">
        <f>COUNTIFS($C$4:$C$58,"?*",$H$4:$H$58,"x",CB4:CB58,"&lt;=10") - COUNTIFS($C$4:$C$58,"?*",$H$4:$H$58,"x",CB4:CB58,"&lt;=7.9")</f>
        <v>13</v>
      </c>
      <c r="BY78" s="540">
        <f>COUNTIFS($C$4:$C$58,"?*",$H$4:$H$58,"x",CB4:CB58,"&lt;=7.9") - COUNTIFS($C$4:$C$58,"?*",$H$4:$H$58,"x",CB4:CB58,"&lt;=6.4")</f>
        <v>0</v>
      </c>
      <c r="BZ78" s="540">
        <f>COUNTIFS($C$4:$C$58,"?*",$H$4:$H$58,"x",CB4:CB58,"&lt;=6.4") - COUNTIFS($C$4:$C$58,"?*",$H$4:$H$58,"x",CB4:CB58,"&lt;=4.9")</f>
        <v>0</v>
      </c>
      <c r="CA78" s="540">
        <f>COUNTIFS($C$4:$C$58,"?*",$H$4:$H$58,"x",CB4:CB58,"&lt;=4.9") - COUNTIFS($C$4:$C$58,"?*",$H$4:$H$58,"x",CB4:CB58,"&lt;=3.4")</f>
        <v>0</v>
      </c>
      <c r="CB78" s="541">
        <f>COUNTIFS($C$4:$C$58,"?*",$H$4:$H$58,"x",CB4:CB58,"&lt;=3.4") - COUNTIFS($C$4:$C$58,"?*",$H$4:$H$58,"x",CB4:CB58,"&lt;0")</f>
        <v>0</v>
      </c>
      <c r="CC78" s="875"/>
      <c r="CD78" s="539" t="s">
        <v>18</v>
      </c>
      <c r="CE78" s="614">
        <f>COUNTIFS($C$4:$C$58,"?*",$H$4:$H$58,"x",CI4:CI58,"&lt;=10") - COUNTIFS($C$4:$C$58,"?*",$H$4:$H$58,"x",CI4:CI58,"&lt;=7.9")</f>
        <v>13</v>
      </c>
      <c r="CF78" s="540">
        <f>COUNTIFS($C$4:$C$58,"?*",$H$4:$H$58,"x",CI4:CI58,"&lt;=7.9") - COUNTIFS($C$4:$C$58,"?*",$H$4:$H$58,"x",CI4:CI58,"&lt;=6.4")</f>
        <v>0</v>
      </c>
      <c r="CG78" s="540">
        <f>COUNTIFS($C$4:$C$58,"?*",$H$4:$H$58,"x",CI4:CI58,"&lt;=6.4") - COUNTIFS($C$4:$C$58,"?*",$H$4:$H$58,"x",CI4:CI58,"&lt;=4.9")</f>
        <v>0</v>
      </c>
      <c r="CH78" s="540">
        <f>COUNTIFS($C$4:$C$58,"?*",$H$4:$H$58,"x",CI4:CI58,"&lt;=4.9") - COUNTIFS($C$4:$C$58,"?*",$H$4:$H$58,"x",CI4:CI58,"&lt;=3.4")</f>
        <v>0</v>
      </c>
      <c r="CI78" s="541">
        <f>COUNTIFS($C$4:$C$58,"?*",$H$4:$H$58,"x",CI4:CI58,"&lt;=3.4") - COUNTIFS($C$4:$C$58,"?*",$H$4:$H$58,"x",CI4:CI58,"&lt;0")</f>
        <v>0</v>
      </c>
      <c r="CQ78" s="875"/>
      <c r="CR78" s="539" t="s">
        <v>18</v>
      </c>
      <c r="CS78" s="614">
        <f>COUNTIFS($C$4:$C$58,"?*",$H$4:$H$58,"x",CW4:CW58,"&lt;=10") - COUNTIFS($C$4:$C$58,"?*",$H$4:$H$58,"x",CW4:CW58,"&lt;=7.9")</f>
        <v>13</v>
      </c>
      <c r="CT78" s="540">
        <f>COUNTIFS($C$4:$C$58,"?*",$H$4:$H$58,"x",CW4:CW58,"&lt;=7.9") - COUNTIFS($C$4:$C$58,"?*",$H$4:$H$58,"x",CW4:CW58,"&lt;=6.4")</f>
        <v>0</v>
      </c>
      <c r="CU78" s="540">
        <f>COUNTIFS($C$4:$C$58,"?*",$H$4:$H$58,"x",CW4:CW58,"&lt;=6.4") - COUNTIFS($C$4:$C$58,"?*",$H$4:$H$58,"x",CW4:CW58,"&lt;=4.9")</f>
        <v>0</v>
      </c>
      <c r="CV78" s="540">
        <f>COUNTIFS($C$4:$C$58,"?*",$H$4:$H$58,"x",CW4:CW58,"&lt;=4.9") - COUNTIFS($C$4:$C$58,"?*",$H$4:$H$58,"x",CW4:CW58,"&lt;=3.4")</f>
        <v>0</v>
      </c>
      <c r="CW78" s="541">
        <f>COUNTIFS($C$4:$C$58,"?*",$H$4:$H$58,"x",CW4:CW58,"&lt;=3.4") - COUNTIFS($C$4:$C$58,"?*",$H$4:$H$58,"x",CW4:CW58,"&lt;0")</f>
        <v>0</v>
      </c>
      <c r="CX78" s="875"/>
      <c r="CY78" s="539" t="s">
        <v>18</v>
      </c>
      <c r="CZ78" s="614">
        <f>COUNTIFS($C$4:$C$58,"?*",$H$4:$H$58,"x",DD4:DD58,"&lt;=10") - COUNTIFS($C$4:$C$58,"?*",$H$4:$H$58,"x",DD4:DD58,"&lt;=7.9")</f>
        <v>0</v>
      </c>
      <c r="DA78" s="540">
        <f>COUNTIFS($C$4:$C$58,"?*",$H$4:$H$58,"x",DD4:DD58,"&lt;=7.9") - COUNTIFS($C$4:$C$58,"?*",$H$4:$H$58,"x",DD4:DD58,"&lt;=6.4")</f>
        <v>0</v>
      </c>
      <c r="DB78" s="540">
        <f>COUNTIFS($C$4:$C$58,"?*",$H$4:$H$58,"x",DD4:DD58,"&lt;=6.4") - COUNTIFS($C$4:$C$58,"?*",$H$4:$H$58,"x",DD4:DD58,"&lt;=4.9")</f>
        <v>0</v>
      </c>
      <c r="DC78" s="540">
        <f>COUNTIFS($C$4:$C$58,"?*",$H$4:$H$58,"x",DD4:DD58,"&lt;=4.9") - COUNTIFS($C$4:$C$58,"?*",$H$4:$H$58,"x",DD4:DD58,"&lt;=3.4")</f>
        <v>0</v>
      </c>
      <c r="DD78" s="541">
        <f>COUNTIFS($C$4:$C$58,"?*",$H$4:$H$58,"x",DD4:DD58,"&lt;=3.4") - COUNTIFS($C$4:$C$58,"?*",$H$4:$H$58,"x",DD4:DD58,"&lt;0")</f>
        <v>13</v>
      </c>
    </row>
    <row r="79" spans="2:108" s="129" customFormat="1" ht="15.9" customHeight="1">
      <c r="K79" s="875"/>
      <c r="L79" s="539" t="s">
        <v>50</v>
      </c>
      <c r="M79" s="614">
        <f>COUNTIFS($C$4:$C$58,"?*",$I$4:$I$58,"x",Q4:Q58,"&lt;=10") - COUNTIFS($C$4:$C$58,"?*",$I$4:$I$58,"x",Q4:Q58,"&lt;=7.9")</f>
        <v>0</v>
      </c>
      <c r="N79" s="540">
        <f>COUNTIFS($C$4:$C$58,"?*",$I$4:$I$58,"x",Q4:Q58,"&lt;=7.9") - COUNTIFS($C$4:$C$58,"?*",$I$4:$I$58,"x",Q4:Q58,"&lt;=6.4")</f>
        <v>0</v>
      </c>
      <c r="O79" s="540">
        <f>COUNTIFS($C$4:$C$58,"?*",$I$4:$I$58,"x",Q4:Q58,"&lt;=6.4") - COUNTIFS($C$4:$C$58,"?*",$I$4:$I$58,"x",Q4:Q58,"&lt;=4.9")</f>
        <v>0</v>
      </c>
      <c r="P79" s="540">
        <f>COUNTIFS($C$4:$C$58,"?*",$I$4:$I$58,"x",Q4:Q58,"&lt;=4.9") - COUNTIFS($C$4:$C$58,"?*",$I$4:$I$58,"x",Q4:Q58,"&lt;=3.4")</f>
        <v>0</v>
      </c>
      <c r="Q79" s="541">
        <f>COUNTIFS($C$4:$C$58,"?*",$I$4:$I$58,"x",Q4:Q58,"&lt;=3.4") - COUNTIFS($C$4:$C$58,"?*",$I$4:$I$58,"x",Q4:Q58,"&lt;0")</f>
        <v>0</v>
      </c>
      <c r="R79" s="875"/>
      <c r="S79" s="539" t="s">
        <v>50</v>
      </c>
      <c r="T79" s="614">
        <f>COUNTIFS($C$4:$C$58,"?*",$I$4:$I$58,"x",X4:X58,"&lt;=10") - COUNTIFS($C$4:$C$58,"?*",$I$4:$I$58,"x",X4:X58,"&lt;=7.9")</f>
        <v>0</v>
      </c>
      <c r="U79" s="540">
        <f>COUNTIFS($C$4:$C$58,"?*",$I$4:$I$58,"x",X4:X58,"&lt;=7.9") - COUNTIFS($C$4:$C$58,"?*",$I$4:$I$58,"x",X4:X58,"&lt;=6.4")</f>
        <v>0</v>
      </c>
      <c r="V79" s="540">
        <f>COUNTIFS($C$4:$C$58,"?*",$I$4:$I$58,"x",X4:X58,"&lt;=6.4") - COUNTIFS($C$4:$C$58,"?*",$I$4:$I$58,"x",X4:X58,"&lt;=4.9")</f>
        <v>0</v>
      </c>
      <c r="W79" s="540">
        <f>COUNTIFS($C$4:$C$58,"?*",$I$4:$I$58,"x",X4:X58,"&lt;=4.9") - COUNTIFS($C$4:$C$58,"?*",$I$4:$I$58,"x",X4:X58,"&lt;=3.4")</f>
        <v>0</v>
      </c>
      <c r="X79" s="541">
        <f>COUNTIFS($C$4:$C$58,"?*",$I$4:$I$58,"x",X4:X58,"&lt;=3.4") - COUNTIFS($C$4:$C$58,"?*",$I$4:$I$58,"x",X4:X58,"&lt;0")</f>
        <v>0</v>
      </c>
      <c r="Y79" s="875"/>
      <c r="Z79" s="539" t="s">
        <v>50</v>
      </c>
      <c r="AA79" s="614">
        <f>COUNTIFS($C$4:$C$58,"?*",$I$4:$I$58,"x",AE4:AE58,"&lt;=10") - COUNTIFS($C$4:$C$58,"?*",$I$4:$I$58,"x",AE4:AE58,"&lt;=7.9")</f>
        <v>0</v>
      </c>
      <c r="AB79" s="540">
        <f>COUNTIFS($C$4:$C$58,"?*",$I$4:$I$58,"x",AE4:AE58,"&lt;=7.9") - COUNTIFS($C$4:$C$58,"?*",$I$4:$I$58,"x",AE4:AE58,"&lt;=6.4")</f>
        <v>0</v>
      </c>
      <c r="AC79" s="540">
        <f>COUNTIFS($C$4:$C$58,"?*",$I$4:$I$58,"x",AE4:AE58,"&lt;=6.4") - COUNTIFS($C$4:$C$58,"?*",$I$4:$I$58,"x",AE4:AE58,"&lt;=4.9")</f>
        <v>0</v>
      </c>
      <c r="AD79" s="540">
        <f>COUNTIFS($C$4:$C$58,"?*",$I$4:$I$58,"x",AE4:AE58,"&lt;=4.9") - COUNTIFS($C$4:$C$58,"?*",$I$4:$I$58,"x",AE4:AE58,"&lt;=3.4")</f>
        <v>0</v>
      </c>
      <c r="AE79" s="541">
        <f>COUNTIFS($C$4:$C$58,"?*",$I$4:$I$58,"x",AE4:AE58,"&lt;=3.4") - COUNTIFS($C$4:$C$58,"?*",$I$4:$I$58,"x",AE4:AE58,"&lt;0")</f>
        <v>0</v>
      </c>
      <c r="AF79" s="875"/>
      <c r="AG79" s="539" t="s">
        <v>50</v>
      </c>
      <c r="AH79" s="614">
        <f>COUNTIFS($C$4:$C$58,"?*",$I$4:$I$58,"x",AL4:AL58,"&lt;=10") - COUNTIFS($C$4:$C$58,"?*",$I$4:$I$58,"x",AL4:AL58,"&lt;=7.9")</f>
        <v>0</v>
      </c>
      <c r="AI79" s="540">
        <f>COUNTIFS($C$4:$C$58,"?*",$I$4:$I$58,"x",AL4:AL58,"&lt;=7.9") - COUNTIFS($C$4:$C$58,"?*",$I$4:$I$58,"x",AL4:AL58,"&lt;=6.4")</f>
        <v>0</v>
      </c>
      <c r="AJ79" s="540">
        <f>COUNTIFS($C$4:$C$58,"?*",$I$4:$I$58,"x",AL4:AL58,"&lt;=6.4") - COUNTIFS($C$4:$C$58,"?*",$I$4:$I$58,"x",AL4:AL58,"&lt;=4.9")</f>
        <v>0</v>
      </c>
      <c r="AK79" s="540">
        <f>COUNTIFS($C$4:$C$58,"?*",$I$4:$I$58,"x",AL4:AL58,"&lt;=4.9") - COUNTIFS($C$4:$C$58,"?*",$I$4:$I$58,"x",AL4:AL58,"&lt;=3.4")</f>
        <v>0</v>
      </c>
      <c r="AL79" s="541">
        <f>COUNTIFS($C$4:$C$58,"?*",$I$4:$I$58,"x",AL4:AL58,"&lt;=3.4") - COUNTIFS($C$4:$C$58,"?*",$I$4:$I$58,"x",AL4:AL58,"&lt;0")</f>
        <v>0</v>
      </c>
      <c r="AM79" s="875"/>
      <c r="AN79" s="539" t="s">
        <v>50</v>
      </c>
      <c r="AO79" s="614">
        <f>COUNTIFS($C$4:$C$58,"?*",$I$4:$I$58,"x",AS4:AS58,"&lt;=10") - COUNTIFS($C$4:$C$58,"?*",$I$4:$I$58,"x",AS4:AS58,"&lt;=7.9")</f>
        <v>0</v>
      </c>
      <c r="AP79" s="540">
        <f>COUNTIFS($C$4:$C$58,"?*",$I$4:$I$58,"x",AS4:AS58,"&lt;=7.9") - COUNTIFS($C$4:$C$58,"?*",$I$4:$I$58,"x",AS4:AS58,"&lt;=6.4")</f>
        <v>0</v>
      </c>
      <c r="AQ79" s="540">
        <f>COUNTIFS($C$4:$C$58,"?*",$I$4:$I$58,"x",AS4:AS58,"&lt;=6.4") - COUNTIFS($C$4:$C$58,"?*",$I$4:$I$58,"x",AS4:AS58,"&lt;=4.9")</f>
        <v>0</v>
      </c>
      <c r="AR79" s="540">
        <f>COUNTIFS($C$4:$C$58,"?*",$I$4:$I$58,"x",AS4:AS58,"&lt;=4.9") - COUNTIFS($C$4:$C$58,"?*",$I$4:$I$58,"x",AS4:AS58,"&lt;=3.4")</f>
        <v>0</v>
      </c>
      <c r="AS79" s="541">
        <f>COUNTIFS($C$4:$C$58,"?*",$I$4:$I$58,"x",AS4:AS58,"&lt;=3.4") - COUNTIFS($C$4:$C$58,"?*",$I$4:$I$58,"x",AS4:AS58,"&lt;0")</f>
        <v>0</v>
      </c>
      <c r="AT79" s="875"/>
      <c r="AU79" s="539" t="s">
        <v>50</v>
      </c>
      <c r="AV79" s="614">
        <f>COUNTIFS($C$4:$C$58,"?*",$I$4:$I$58,"x",AZ4:AZ58,"&lt;=10") - COUNTIFS($C$4:$C$58,"?*",$I$4:$I$58,"x",AZ4:AZ58,"&lt;=7.9")</f>
        <v>0</v>
      </c>
      <c r="AW79" s="540">
        <f>COUNTIFS($C$4:$C$58,"?*",$I$4:$I$58,"x",AZ4:AZ58,"&lt;=7.9") - COUNTIFS($C$4:$C$58,"?*",$I$4:$I$58,"x",AZ4:AZ58,"&lt;=6.4")</f>
        <v>0</v>
      </c>
      <c r="AX79" s="540">
        <f>COUNTIFS($C$4:$C$58,"?*",$I$4:$I$58,"x",AZ4:AZ58,"&lt;=6.4") - COUNTIFS($C$4:$C$58,"?*",$I$4:$I$58,"x",AZ4:AZ58,"&lt;=4.9")</f>
        <v>0</v>
      </c>
      <c r="AY79" s="540">
        <f>COUNTIFS($C$4:$C$58,"?*",$I$4:$I$58,"x",AZ4:AZ58,"&lt;=4.9") - COUNTIFS($C$4:$C$58,"?*",$I$4:$I$58,"x",AZ4:AZ58,"&lt;=3.4")</f>
        <v>0</v>
      </c>
      <c r="AZ79" s="541">
        <f>COUNTIFS($C$4:$C$58,"?*",$I$4:$I$58,"x",AZ4:AZ58,"&lt;=3.4") - COUNTIFS($C$4:$C$58,"?*",$I$4:$I$58,"x",AZ4:AZ58,"&lt;0")</f>
        <v>0</v>
      </c>
      <c r="BA79" s="875"/>
      <c r="BB79" s="539" t="s">
        <v>50</v>
      </c>
      <c r="BC79" s="614">
        <f>COUNTIFS($C$4:$C$58,"?*",$I$4:$I$58,"x",BG4:BG58,"&lt;=10") - COUNTIFS($C$4:$C$58,"?*",$I$4:$I$58,"x",BG4:BG58,"&lt;=7.9")</f>
        <v>0</v>
      </c>
      <c r="BD79" s="540">
        <f>COUNTIFS($C$4:$C$58,"?*",$I$4:$I$58,"x",BG4:BG58,"&lt;=7.9") - COUNTIFS($C$4:$C$58,"?*",$I$4:$I$58,"x",BG4:BG58,"&lt;=6.4")</f>
        <v>0</v>
      </c>
      <c r="BE79" s="540">
        <f>COUNTIFS($C$4:$C$58,"?*",$I$4:$I$58,"x",BG4:BG58,"&lt;=6.4") - COUNTIFS($C$4:$C$58,"?*",$I$4:$I$58,"x",BG4:BG58,"&lt;=4.9")</f>
        <v>0</v>
      </c>
      <c r="BF79" s="540">
        <f>COUNTIFS($C$4:$C$58,"?*",$I$4:$I$58,"x",BG4:BG58,"&lt;=4.9") - COUNTIFS($C$4:$C$58,"?*",$I$4:$I$58,"x",BG4:BG58,"&lt;=3.4")</f>
        <v>0</v>
      </c>
      <c r="BG79" s="541">
        <f>COUNTIFS($C$4:$C$58,"?*",$I$4:$I$58,"x",BG4:BG58,"&lt;=3.4") - COUNTIFS($C$4:$C$58,"?*",$I$4:$I$58,"x",BG4:BG58,"&lt;0")</f>
        <v>0</v>
      </c>
      <c r="BH79" s="875"/>
      <c r="BI79" s="539" t="s">
        <v>50</v>
      </c>
      <c r="BJ79" s="614">
        <f>COUNTIFS($C$4:$C$58,"?*",$I$4:$I$58,"x",BN4:BN58,"&lt;=10") - COUNTIFS($C$4:$C$58,"?*",$I$4:$I$58,"x",BN4:BN58,"&lt;=7.9")</f>
        <v>0</v>
      </c>
      <c r="BK79" s="540">
        <f>COUNTIFS($C$4:$C$58,"?*",$I$4:$I$58,"x",BN4:BN58,"&lt;=7.9") - COUNTIFS($C$4:$C$58,"?*",$I$4:$I$58,"x",BN4:BN58,"&lt;=6.4")</f>
        <v>0</v>
      </c>
      <c r="BL79" s="540">
        <f>COUNTIFS($C$4:$C$58,"?*",$I$4:$I$58,"x",BN4:BN58,"&lt;=6.4") - COUNTIFS($C$4:$C$58,"?*",$I$4:$I$58,"x",BN4:BN58,"&lt;=4.9")</f>
        <v>0</v>
      </c>
      <c r="BM79" s="540">
        <f>COUNTIFS($C$4:$C$58,"?*",$I$4:$I$58,"x",BN4:BN58,"&lt;=4.9") - COUNTIFS($C$4:$C$58,"?*",$I$4:$I$58,"x",BN4:BN58,"&lt;=3.4")</f>
        <v>0</v>
      </c>
      <c r="BN79" s="541">
        <f>COUNTIFS($C$4:$C$58,"?*",$I$4:$I$58,"x",BN4:BN58,"&lt;=3.4") - COUNTIFS($C$4:$C$58,"?*",$I$4:$I$58,"x",BN4:BN58,"&lt;0")</f>
        <v>0</v>
      </c>
      <c r="BO79" s="875"/>
      <c r="BP79" s="539" t="s">
        <v>50</v>
      </c>
      <c r="BQ79" s="614">
        <f>COUNTIFS($C$4:$C$58,"?*",$I$4:$I$58,"x",BU4:BU58,"&lt;=10") - COUNTIFS($C$4:$C$58,"?*",$I$4:$I$58,"x",BU4:BU58,"&lt;=7.9")</f>
        <v>0</v>
      </c>
      <c r="BR79" s="540">
        <f>COUNTIFS($C$4:$C$58,"?*",$I$4:$I$58,"x",BU4:BU58,"&lt;=7.9") - COUNTIFS($C$4:$C$58,"?*",$I$4:$I$58,"x",BU4:BU58,"&lt;=6.4")</f>
        <v>0</v>
      </c>
      <c r="BS79" s="540">
        <f>COUNTIFS($C$4:$C$58,"?*",$I$4:$I$58,"x",BU4:BU58,"&lt;=6.4") - COUNTIFS($C$4:$C$58,"?*",$I$4:$I$58,"x",BU4:BU58,"&lt;=4.9")</f>
        <v>0</v>
      </c>
      <c r="BT79" s="540">
        <f>COUNTIFS($C$4:$C$58,"?*",$I$4:$I$58,"x",BU4:BU58,"&lt;=4.9") - COUNTIFS($C$4:$C$58,"?*",$I$4:$I$58,"x",BU4:BU58,"&lt;=3.4")</f>
        <v>0</v>
      </c>
      <c r="BU79" s="541">
        <f>COUNTIFS($C$4:$C$58,"?*",$I$4:$I$58,"x",BU4:BU58,"&lt;=3.4") - COUNTIFS($C$4:$C$58,"?*",$I$4:$I$58,"x",BU4:BU58,"&lt;0")</f>
        <v>0</v>
      </c>
      <c r="BV79" s="875"/>
      <c r="BW79" s="539" t="s">
        <v>50</v>
      </c>
      <c r="BX79" s="614">
        <f>COUNTIFS($C$4:$C$58,"?*",$I$4:$I$58,"x",CB4:CB58,"&lt;=10") - COUNTIFS($C$4:$C$58,"?*",$I$4:$I$58,"x",CB4:CB58,"&lt;=7.9")</f>
        <v>0</v>
      </c>
      <c r="BY79" s="540">
        <f>COUNTIFS($C$4:$C$58,"?*",$I$4:$I$58,"x",CB4:CB58,"&lt;=7.9") - COUNTIFS($C$4:$C$58,"?*",$I$4:$I$58,"x",CB4:CB58,"&lt;=6.4")</f>
        <v>0</v>
      </c>
      <c r="BZ79" s="540">
        <f>COUNTIFS($C$4:$C$58,"?*",$I$4:$I$58,"x",CB4:CB58,"&lt;=6.4") - COUNTIFS($C$4:$C$58,"?*",$I$4:$I$58,"x",CB4:CB58,"&lt;=4.9")</f>
        <v>0</v>
      </c>
      <c r="CA79" s="540">
        <f>COUNTIFS($C$4:$C$58,"?*",$I$4:$I$58,"x",CB4:CB58,"&lt;=4.9") - COUNTIFS($C$4:$C$58,"?*",$I$4:$I$58,"x",CB4:CB58,"&lt;=3.4")</f>
        <v>0</v>
      </c>
      <c r="CB79" s="541">
        <f>COUNTIFS($C$4:$C$58,"?*",$I$4:$I$58,"x",CB4:CB58,"&lt;=3.4") - COUNTIFS($C$4:$C$58,"?*",$I$4:$I$58,"x",CB4:CB58,"&lt;0")</f>
        <v>0</v>
      </c>
      <c r="CC79" s="875"/>
      <c r="CD79" s="539" t="s">
        <v>50</v>
      </c>
      <c r="CE79" s="614">
        <f>COUNTIFS($C$4:$C$58,"?*",$I$4:$I$58,"x",CI4:CI58,"&lt;=10") - COUNTIFS($C$4:$C$58,"?*",$I$4:$I$58,"x",CI4:CI58,"&lt;=7.9")</f>
        <v>0</v>
      </c>
      <c r="CF79" s="540">
        <f>COUNTIFS($C$4:$C$58,"?*",$I$4:$I$58,"x",CI4:CI58,"&lt;=7.9") - COUNTIFS($C$4:$C$58,"?*",$I$4:$I$58,"x",CI4:CI58,"&lt;=6.4")</f>
        <v>0</v>
      </c>
      <c r="CG79" s="540">
        <f>COUNTIFS($C$4:$C$58,"?*",$I$4:$I$58,"x",CI4:CI58,"&lt;=6.4") - COUNTIFS($C$4:$C$58,"?*",$I$4:$I$58,"x",CI4:CI58,"&lt;=4.9")</f>
        <v>0</v>
      </c>
      <c r="CH79" s="540">
        <f>COUNTIFS($C$4:$C$58,"?*",$I$4:$I$58,"x",CI4:CI58,"&lt;=4.9") - COUNTIFS($C$4:$C$58,"?*",$I$4:$I$58,"x",CI4:CI58,"&lt;=3.4")</f>
        <v>0</v>
      </c>
      <c r="CI79" s="541">
        <f>COUNTIFS($C$4:$C$58,"?*",$I$4:$I$58,"x",CI4:CI58,"&lt;=3.4") - COUNTIFS($C$4:$C$58,"?*",$I$4:$I$58,"x",CI4:CI58,"&lt;0")</f>
        <v>0</v>
      </c>
      <c r="CQ79" s="875"/>
      <c r="CR79" s="539" t="s">
        <v>50</v>
      </c>
      <c r="CS79" s="614">
        <f>COUNTIFS($C$4:$C$58,"?*",$I$4:$I$58,"x",CW4:CW58,"&lt;=10") - COUNTIFS($C$4:$C$58,"?*",$I$4:$I$58,"x",CW4:CW58,"&lt;=7.9")</f>
        <v>0</v>
      </c>
      <c r="CT79" s="540">
        <f>COUNTIFS($C$4:$C$58,"?*",$I$4:$I$58,"x",CW4:CW58,"&lt;=7.9") - COUNTIFS($C$4:$C$58,"?*",$I$4:$I$58,"x",CW4:CW58,"&lt;=6.4")</f>
        <v>0</v>
      </c>
      <c r="CU79" s="540">
        <f>COUNTIFS($C$4:$C$58,"?*",$I$4:$I$58,"x",CW4:CW58,"&lt;=6.4") - COUNTIFS($C$4:$C$58,"?*",$I$4:$I$58,"x",CW4:CW58,"&lt;=4.9")</f>
        <v>0</v>
      </c>
      <c r="CV79" s="540">
        <f>COUNTIFS($C$4:$C$58,"?*",$I$4:$I$58,"x",CW4:CW58,"&lt;=4.9") - COUNTIFS($C$4:$C$58,"?*",$I$4:$I$58,"x",CW4:CW58,"&lt;=3.4")</f>
        <v>0</v>
      </c>
      <c r="CW79" s="541">
        <f>COUNTIFS($C$4:$C$58,"?*",$I$4:$I$58,"x",CW4:CW58,"&lt;=3.4") - COUNTIFS($C$4:$C$58,"?*",$I$4:$I$58,"x",CW4:CW58,"&lt;0")</f>
        <v>0</v>
      </c>
      <c r="CX79" s="875"/>
      <c r="CY79" s="539" t="s">
        <v>50</v>
      </c>
      <c r="CZ79" s="614">
        <f>COUNTIFS($C$4:$C$58,"?*",$I$4:$I$58,"x",DD4:DD58,"&lt;=10") - COUNTIFS($C$4:$C$58,"?*",$I$4:$I$58,"x",DD4:DD58,"&lt;=7.9")</f>
        <v>0</v>
      </c>
      <c r="DA79" s="540">
        <f>COUNTIFS($C$4:$C$58,"?*",$I$4:$I$58,"x",DD4:DD58,"&lt;=7.9") - COUNTIFS($C$4:$C$58,"?*",$I$4:$I$58,"x",DD4:DD58,"&lt;=6.4")</f>
        <v>0</v>
      </c>
      <c r="DB79" s="540">
        <f>COUNTIFS($C$4:$C$58,"?*",$I$4:$I$58,"x",DD4:DD58,"&lt;=6.4") - COUNTIFS($C$4:$C$58,"?*",$I$4:$I$58,"x",DD4:DD58,"&lt;=4.9")</f>
        <v>0</v>
      </c>
      <c r="DC79" s="540">
        <f>COUNTIFS($C$4:$C$58,"?*",$I$4:$I$58,"x",DD4:DD58,"&lt;=4.9") - COUNTIFS($C$4:$C$58,"?*",$I$4:$I$58,"x",DD4:DD58,"&lt;=3.4")</f>
        <v>0</v>
      </c>
      <c r="DD79" s="541">
        <f>COUNTIFS($C$4:$C$58,"?*",$I$4:$I$58,"x",DD4:DD58,"&lt;=3.4") - COUNTIFS($C$4:$C$58,"?*",$I$4:$I$58,"x",DD4:DD58,"&lt;0")</f>
        <v>0</v>
      </c>
    </row>
    <row r="80" spans="2:108" s="129" customFormat="1" ht="15.9" customHeight="1">
      <c r="K80" s="876"/>
      <c r="L80" s="542" t="s">
        <v>48</v>
      </c>
      <c r="M80" s="615">
        <f>COUNTIFS($C$4:$C$58,"?*",$J$4:$J$58,"x",Q4:Q58,"&lt;=10") - COUNTIFS($C$4:$C$58,"?*",$J$4:$J$58,"x",Q4:Q58,"&lt;=7.9")</f>
        <v>0</v>
      </c>
      <c r="N80" s="543">
        <f>COUNTIFS($C$4:$C$58,"?*",$J$4:$J$58,"x",Q4:Q58,"&lt;=7.9") - COUNTIFS($C$4:$C$58,"?*",$J$4:$J$58,"x",Q4:Q58,"&lt;=6.4")</f>
        <v>0</v>
      </c>
      <c r="O80" s="543">
        <f>COUNTIFS($C$4:$C$58,"?*",$J$4:$J$58,"x",Q4:Q58,"&lt;=6.4") - COUNTIFS($C$4:$C$58,"?*",$J$4:$J$58,"x",Q4:Q58,"&lt;=4.9")</f>
        <v>0</v>
      </c>
      <c r="P80" s="543">
        <f>COUNTIFS($C$4:$C$58,"?*",$J$4:$J$58,"x",Q4:Q58,"&lt;=4.9") - COUNTIFS($C$4:$C$58,"?*",$J$4:$J$58,"x",Q4:Q58,"&lt;=3.4")</f>
        <v>0</v>
      </c>
      <c r="Q80" s="544">
        <f>COUNTIFS($C$4:$C$58,"?*",$J$4:$J$58,"x",Q4:Q58,"&lt;=3.4") - COUNTIFS($C$4:$C$58,"?*",$J$4:$J$58,"x",Q4:Q58,"&lt;0")</f>
        <v>0</v>
      </c>
      <c r="R80" s="876"/>
      <c r="S80" s="542" t="s">
        <v>48</v>
      </c>
      <c r="T80" s="615">
        <f>COUNTIFS($C$4:$C$58,"?*",$J$4:$J$58,"x",X4:X58,"&lt;=10") - COUNTIFS($C$4:$C$58,"?*",$J$4:$J$58,"x",X4:X58,"&lt;=7.9")</f>
        <v>0</v>
      </c>
      <c r="U80" s="543">
        <f>COUNTIFS($C$4:$C$58,"?*",$J$4:$J$58,"x",X4:X58,"&lt;=7.9") - COUNTIFS($C$4:$C$58,"?*",$J$4:$J$58,"x",X4:X58,"&lt;=6.4")</f>
        <v>0</v>
      </c>
      <c r="V80" s="543">
        <f>COUNTIFS($C$4:$C$58,"?*",$J$4:$J$58,"x",X4:X58,"&lt;=6.4") - COUNTIFS($C$4:$C$58,"?*",$J$4:$J$58,"x",X4:X58,"&lt;=4.9")</f>
        <v>0</v>
      </c>
      <c r="W80" s="543">
        <f>COUNTIFS($C$4:$C$58,"?*",$J$4:$J$58,"x",X4:X58,"&lt;=4.9") - COUNTIFS($C$4:$C$58,"?*",$J$4:$J$58,"x",X4:X58,"&lt;=3.4")</f>
        <v>0</v>
      </c>
      <c r="X80" s="544">
        <f>COUNTIFS($C$4:$C$58,"?*",$J$4:$J$58,"x",X4:X58,"&lt;=3.4") - COUNTIFS($C$4:$C$58,"?*",$J$4:$J$58,"x",X4:X58,"&lt;0")</f>
        <v>0</v>
      </c>
      <c r="Y80" s="876"/>
      <c r="Z80" s="542" t="s">
        <v>48</v>
      </c>
      <c r="AA80" s="615">
        <f>COUNTIFS($C$4:$C$58,"?*",$J$4:$J$58,"x",AE4:AE58,"&lt;=10") - COUNTIFS($C$4:$C$58,"?*",$J$4:$J$58,"x",AE4:AE58,"&lt;=7.9")</f>
        <v>0</v>
      </c>
      <c r="AB80" s="543">
        <f>COUNTIFS($C$4:$C$58,"?*",$J$4:$J$58,"x",AE4:AE58,"&lt;=7.9") - COUNTIFS($C$4:$C$58,"?*",$J$4:$J$58,"x",AE4:AE58,"&lt;=6.4")</f>
        <v>0</v>
      </c>
      <c r="AC80" s="543">
        <f>COUNTIFS($C$4:$C$58,"?*",$J$4:$J$58,"x",AE4:AE58,"&lt;=6.4") - COUNTIFS($C$4:$C$58,"?*",$J$4:$J$58,"x",AE4:AE58,"&lt;=4.9")</f>
        <v>0</v>
      </c>
      <c r="AD80" s="543">
        <f>COUNTIFS($C$4:$C$58,"?*",$J$4:$J$58,"x",AE4:AE58,"&lt;=4.9") - COUNTIFS($C$4:$C$58,"?*",$J$4:$J$58,"x",AE4:AE58,"&lt;=3.4")</f>
        <v>0</v>
      </c>
      <c r="AE80" s="544">
        <f>COUNTIFS($C$4:$C$58,"?*",$J$4:$J$58,"x",AE4:AE58,"&lt;=3.4") - COUNTIFS($C$4:$C$58,"?*",$J$4:$J$58,"x",AE4:AE58,"&lt;0")</f>
        <v>0</v>
      </c>
      <c r="AF80" s="876"/>
      <c r="AG80" s="542" t="s">
        <v>48</v>
      </c>
      <c r="AH80" s="615">
        <f>COUNTIFS($C$4:$C$58,"?*",$J$4:$J$58,"x",AL4:AL58,"&lt;=10") - COUNTIFS($C$4:$C$58,"?*",$J$4:$J$58,"x",AL4:AL58,"&lt;=7.9")</f>
        <v>0</v>
      </c>
      <c r="AI80" s="543">
        <f>COUNTIFS($C$4:$C$58,"?*",$J$4:$J$58,"x",AL4:AL58,"&lt;=7.9") - COUNTIFS($C$4:$C$58,"?*",$J$4:$J$58,"x",AL4:AL58,"&lt;=6.4")</f>
        <v>0</v>
      </c>
      <c r="AJ80" s="543">
        <f>COUNTIFS($C$4:$C$58,"?*",$J$4:$J$58,"x",AL4:AL58,"&lt;=6.4") - COUNTIFS($C$4:$C$58,"?*",$J$4:$J$58,"x",AL4:AL58,"&lt;=4.9")</f>
        <v>0</v>
      </c>
      <c r="AK80" s="543">
        <f>COUNTIFS($C$4:$C$58,"?*",$J$4:$J$58,"x",AL4:AL58,"&lt;=4.9") - COUNTIFS($C$4:$C$58,"?*",$J$4:$J$58,"x",AL4:AL58,"&lt;=3.4")</f>
        <v>0</v>
      </c>
      <c r="AL80" s="544">
        <f>COUNTIFS($C$4:$C$58,"?*",$J$4:$J$58,"x",AL4:AL58,"&lt;=3.4") - COUNTIFS($C$4:$C$58,"?*",$J$4:$J$58,"x",AL4:AL58,"&lt;0")</f>
        <v>0</v>
      </c>
      <c r="AM80" s="876"/>
      <c r="AN80" s="542" t="s">
        <v>48</v>
      </c>
      <c r="AO80" s="615">
        <f>COUNTIFS($C$4:$C$58,"?*",$J$4:$J$58,"x",AS4:AS58,"&lt;=10") - COUNTIFS($C$4:$C$58,"?*",$J$4:$J$58,"x",AS4:AS58,"&lt;=7.9")</f>
        <v>0</v>
      </c>
      <c r="AP80" s="543">
        <f>COUNTIFS($C$4:$C$58,"?*",$J$4:$J$58,"x",AS4:AS58,"&lt;=7.9") - COUNTIFS($C$4:$C$58,"?*",$J$4:$J$58,"x",AS4:AS58,"&lt;=6.4")</f>
        <v>0</v>
      </c>
      <c r="AQ80" s="543">
        <f>COUNTIFS($C$4:$C$58,"?*",$J$4:$J$58,"x",AS4:AS58,"&lt;=6.4") - COUNTIFS($C$4:$C$58,"?*",$J$4:$J$58,"x",AS4:AS58,"&lt;=4.9")</f>
        <v>0</v>
      </c>
      <c r="AR80" s="543">
        <f>COUNTIFS($C$4:$C$58,"?*",$J$4:$J$58,"x",AS4:AS58,"&lt;=4.9") - COUNTIFS($C$4:$C$58,"?*",$J$4:$J$58,"x",AS4:AS58,"&lt;=3.4")</f>
        <v>0</v>
      </c>
      <c r="AS80" s="544">
        <f>COUNTIFS($C$4:$C$58,"?*",$J$4:$J$58,"x",AS4:AS58,"&lt;=3.4") - COUNTIFS($C$4:$C$58,"?*",$J$4:$J$58,"x",AS4:AS58,"&lt;0")</f>
        <v>0</v>
      </c>
      <c r="AT80" s="876"/>
      <c r="AU80" s="542" t="s">
        <v>48</v>
      </c>
      <c r="AV80" s="615">
        <f>COUNTIFS($C$4:$C$58,"?*",$J$4:$J$58,"x",AZ4:AZ58,"&lt;=10") - COUNTIFS($C$4:$C$58,"?*",$J$4:$J$58,"x",AZ4:AZ58,"&lt;=7.9")</f>
        <v>0</v>
      </c>
      <c r="AW80" s="543">
        <f>COUNTIFS($C$4:$C$58,"?*",$J$4:$J$58,"x",AZ4:AZ58,"&lt;=7.9") - COUNTIFS($C$4:$C$58,"?*",$J$4:$J$58,"x",AZ4:AZ58,"&lt;=6.4")</f>
        <v>0</v>
      </c>
      <c r="AX80" s="543">
        <f>COUNTIFS($C$4:$C$58,"?*",$J$4:$J$58,"x",AZ4:AZ58,"&lt;=6.4") - COUNTIFS($C$4:$C$58,"?*",$J$4:$J$58,"x",AZ4:AZ58,"&lt;=4.9")</f>
        <v>0</v>
      </c>
      <c r="AY80" s="543">
        <f>COUNTIFS($C$4:$C$58,"?*",$J$4:$J$58,"x",AZ4:AZ58,"&lt;=4.9") - COUNTIFS($C$4:$C$58,"?*",$J$4:$J$58,"x",AZ4:AZ58,"&lt;=3.4")</f>
        <v>0</v>
      </c>
      <c r="AZ80" s="544">
        <f>COUNTIFS($C$4:$C$58,"?*",$J$4:$J$58,"x",AZ4:AZ58,"&lt;=3.4") - COUNTIFS($C$4:$C$58,"?*",$J$4:$J$58,"x",AZ4:AZ58,"&lt;0")</f>
        <v>0</v>
      </c>
      <c r="BA80" s="876"/>
      <c r="BB80" s="542" t="s">
        <v>48</v>
      </c>
      <c r="BC80" s="615">
        <f>COUNTIFS($C$4:$C$58,"?*",$J$4:$J$58,"x",BG4:BG58,"&lt;=10") - COUNTIFS($C$4:$C$58,"?*",$J$4:$J$58,"x",BG4:BG58,"&lt;=7.9")</f>
        <v>0</v>
      </c>
      <c r="BD80" s="543">
        <f>COUNTIFS($C$4:$C$58,"?*",$J$4:$J$58,"x",BG4:BG58,"&lt;=7.9") - COUNTIFS($C$4:$C$58,"?*",$J$4:$J$58,"x",BG4:BG58,"&lt;=6.4")</f>
        <v>0</v>
      </c>
      <c r="BE80" s="543">
        <f>COUNTIFS($C$4:$C$58,"?*",$J$4:$J$58,"x",BG4:BG58,"&lt;=6.4") - COUNTIFS($C$4:$C$58,"?*",$J$4:$J$58,"x",BG4:BG58,"&lt;=4.9")</f>
        <v>0</v>
      </c>
      <c r="BF80" s="543">
        <f>COUNTIFS($C$4:$C$58,"?*",$J$4:$J$58,"x",BG4:BG58,"&lt;=4.9") - COUNTIFS($C$4:$C$58,"?*",$J$4:$J$58,"x",BG4:BG58,"&lt;=3.4")</f>
        <v>0</v>
      </c>
      <c r="BG80" s="544">
        <f>COUNTIFS($C$4:$C$58,"?*",$J$4:$J$58,"x",BG4:BG58,"&lt;=3.4") - COUNTIFS($C$4:$C$58,"?*",$J$4:$J$58,"x",BG4:BG58,"&lt;0")</f>
        <v>0</v>
      </c>
      <c r="BH80" s="876"/>
      <c r="BI80" s="542" t="s">
        <v>48</v>
      </c>
      <c r="BJ80" s="615">
        <f>COUNTIFS($C$4:$C$58,"?*",$J$4:$J$58,"x",BN4:BN58,"&lt;=10") - COUNTIFS($C$4:$C$58,"?*",$J$4:$J$58,"x",BN4:BN58,"&lt;=7.9")</f>
        <v>0</v>
      </c>
      <c r="BK80" s="543">
        <f>COUNTIFS($C$4:$C$58,"?*",$J$4:$J$58,"x",BN4:BN58,"&lt;=7.9") - COUNTIFS($C$4:$C$58,"?*",$J$4:$J$58,"x",BN4:BN58,"&lt;=6.4")</f>
        <v>0</v>
      </c>
      <c r="BL80" s="543">
        <f>COUNTIFS($C$4:$C$58,"?*",$J$4:$J$58,"x",BN4:BN58,"&lt;=6.4") - COUNTIFS($C$4:$C$58,"?*",$J$4:$J$58,"x",BN4:BN58,"&lt;=4.9")</f>
        <v>0</v>
      </c>
      <c r="BM80" s="543">
        <f>COUNTIFS($C$4:$C$58,"?*",$J$4:$J$58,"x",BN4:BN58,"&lt;=4.9") - COUNTIFS($C$4:$C$58,"?*",$J$4:$J$58,"x",BN4:BN58,"&lt;=3.4")</f>
        <v>0</v>
      </c>
      <c r="BN80" s="544">
        <f>COUNTIFS($C$4:$C$58,"?*",$J$4:$J$58,"x",BN4:BN58,"&lt;=3.4") - COUNTIFS($C$4:$C$58,"?*",$J$4:$J$58,"x",BN4:BN58,"&lt;0")</f>
        <v>0</v>
      </c>
      <c r="BO80" s="876"/>
      <c r="BP80" s="542" t="s">
        <v>48</v>
      </c>
      <c r="BQ80" s="615">
        <f>COUNTIFS($C$4:$C$58,"?*",$J$4:$J$58,"x",BU4:BU58,"&lt;=10") - COUNTIFS($C$4:$C$58,"?*",$J$4:$J$58,"x",BU4:BU58,"&lt;=7.9")</f>
        <v>0</v>
      </c>
      <c r="BR80" s="543">
        <f>COUNTIFS($C$4:$C$58,"?*",$J$4:$J$58,"x",BU4:BU58,"&lt;=7.9") - COUNTIFS($C$4:$C$58,"?*",$J$4:$J$58,"x",BU4:BU58,"&lt;=6.4")</f>
        <v>0</v>
      </c>
      <c r="BS80" s="543">
        <f>COUNTIFS($C$4:$C$58,"?*",$J$4:$J$58,"x",BU4:BU58,"&lt;=6.4") - COUNTIFS($C$4:$C$58,"?*",$J$4:$J$58,"x",BU4:BU58,"&lt;=4.9")</f>
        <v>0</v>
      </c>
      <c r="BT80" s="543">
        <f>COUNTIFS($C$4:$C$58,"?*",$J$4:$J$58,"x",BU4:BU58,"&lt;=4.9") - COUNTIFS($C$4:$C$58,"?*",$J$4:$J$58,"x",BU4:BU58,"&lt;=3.4")</f>
        <v>0</v>
      </c>
      <c r="BU80" s="544">
        <f>COUNTIFS($C$4:$C$58,"?*",$J$4:$J$58,"x",BU4:BU58,"&lt;=3.4") - COUNTIFS($C$4:$C$58,"?*",$J$4:$J$58,"x",BU4:BU58,"&lt;0")</f>
        <v>0</v>
      </c>
      <c r="BV80" s="876"/>
      <c r="BW80" s="542" t="s">
        <v>48</v>
      </c>
      <c r="BX80" s="615">
        <f>COUNTIFS($C$4:$C$58,"?*",$J$4:$J$58,"x",CB4:CB58,"&lt;=10") - COUNTIFS($C$4:$C$58,"?*",$J$4:$J$58,"x",CB4:CB58,"&lt;=7.9")</f>
        <v>0</v>
      </c>
      <c r="BY80" s="543">
        <f>COUNTIFS($C$4:$C$58,"?*",$J$4:$J$58,"x",CB4:CB58,"&lt;=7.9") - COUNTIFS($C$4:$C$58,"?*",$J$4:$J$58,"x",CB4:CB58,"&lt;=6.4")</f>
        <v>0</v>
      </c>
      <c r="BZ80" s="543">
        <f>COUNTIFS($C$4:$C$58,"?*",$J$4:$J$58,"x",CB4:CB58,"&lt;=6.4") - COUNTIFS($C$4:$C$58,"?*",$J$4:$J$58,"x",CB4:CB58,"&lt;=4.9")</f>
        <v>0</v>
      </c>
      <c r="CA80" s="543">
        <f>COUNTIFS($C$4:$C$58,"?*",$J$4:$J$58,"x",CB4:CB58,"&lt;=4.9") - COUNTIFS($C$4:$C$58,"?*",$J$4:$J$58,"x",CB4:CB58,"&lt;=3.4")</f>
        <v>0</v>
      </c>
      <c r="CB80" s="544">
        <f>COUNTIFS($C$4:$C$58,"?*",$J$4:$J$58,"x",CB4:CB58,"&lt;=3.4") - COUNTIFS($C$4:$C$58,"?*",$J$4:$J$58,"x",CB4:CB58,"&lt;0")</f>
        <v>0</v>
      </c>
      <c r="CC80" s="876"/>
      <c r="CD80" s="542" t="s">
        <v>48</v>
      </c>
      <c r="CE80" s="615">
        <f>COUNTIFS($C$4:$C$58,"?*",$J$4:$J$58,"x",CI4:CI58,"&lt;=10") - COUNTIFS($C$4:$C$58,"?*",$J$4:$J$58,"x",CI4:CI58,"&lt;=7.9")</f>
        <v>0</v>
      </c>
      <c r="CF80" s="543">
        <f>COUNTIFS($C$4:$C$58,"?*",$J$4:$J$58,"x",CI4:CI58,"&lt;=7.9") - COUNTIFS($C$4:$C$58,"?*",$J$4:$J$58,"x",CI4:CI58,"&lt;=6.4")</f>
        <v>0</v>
      </c>
      <c r="CG80" s="543">
        <f>COUNTIFS($C$4:$C$58,"?*",$J$4:$J$58,"x",CI4:CI58,"&lt;=6.4") - COUNTIFS($C$4:$C$58,"?*",$J$4:$J$58,"x",CI4:CI58,"&lt;=4.9")</f>
        <v>0</v>
      </c>
      <c r="CH80" s="543">
        <f>COUNTIFS($C$4:$C$58,"?*",$J$4:$J$58,"x",CI4:CI58,"&lt;=4.9") - COUNTIFS($C$4:$C$58,"?*",$J$4:$J$58,"x",CI4:CI58,"&lt;=3.4")</f>
        <v>0</v>
      </c>
      <c r="CI80" s="544">
        <f>COUNTIFS($C$4:$C$58,"?*",$J$4:$J$58,"x",CI4:CI58,"&lt;=3.4") - COUNTIFS($C$4:$C$58,"?*",$J$4:$J$58,"x",CI4:CI58,"&lt;0")</f>
        <v>0</v>
      </c>
      <c r="CQ80" s="876"/>
      <c r="CR80" s="542" t="s">
        <v>48</v>
      </c>
      <c r="CS80" s="615">
        <f>COUNTIFS($C$4:$C$58,"?*",$J$4:$J$58,"x",CW4:CW58,"&lt;=10") - COUNTIFS($C$4:$C$58,"?*",$J$4:$J$58,"x",CW4:CW58,"&lt;=7.9")</f>
        <v>0</v>
      </c>
      <c r="CT80" s="543">
        <f>COUNTIFS($C$4:$C$58,"?*",$J$4:$J$58,"x",CW4:CW58,"&lt;=7.9") - COUNTIFS($C$4:$C$58,"?*",$J$4:$J$58,"x",CW4:CW58,"&lt;=6.4")</f>
        <v>0</v>
      </c>
      <c r="CU80" s="543">
        <f>COUNTIFS($C$4:$C$58,"?*",$J$4:$J$58,"x",CW4:CW58,"&lt;=6.4") - COUNTIFS($C$4:$C$58,"?*",$J$4:$J$58,"x",CW4:CW58,"&lt;=4.9")</f>
        <v>0</v>
      </c>
      <c r="CV80" s="543">
        <f>COUNTIFS($C$4:$C$58,"?*",$J$4:$J$58,"x",CW4:CW58,"&lt;=4.9") - COUNTIFS($C$4:$C$58,"?*",$J$4:$J$58,"x",CW4:CW58,"&lt;=3.4")</f>
        <v>0</v>
      </c>
      <c r="CW80" s="544">
        <f>COUNTIFS($C$4:$C$58,"?*",$J$4:$J$58,"x",CW4:CW58,"&lt;=3.4") - COUNTIFS($C$4:$C$58,"?*",$J$4:$J$58,"x",CW4:CW58,"&lt;0")</f>
        <v>0</v>
      </c>
      <c r="CX80" s="876"/>
      <c r="CY80" s="542" t="s">
        <v>48</v>
      </c>
      <c r="CZ80" s="615">
        <f>COUNTIFS($C$4:$C$58,"?*",$J$4:$J$58,"x",DD4:DD58,"&lt;=10") - COUNTIFS($C$4:$C$58,"?*",$J$4:$J$58,"x",DD4:DD58,"&lt;=7.9")</f>
        <v>0</v>
      </c>
      <c r="DA80" s="543">
        <f>COUNTIFS($C$4:$C$58,"?*",$J$4:$J$58,"x",DD4:DD58,"&lt;=7.9") - COUNTIFS($C$4:$C$58,"?*",$J$4:$J$58,"x",DD4:DD58,"&lt;=6.4")</f>
        <v>0</v>
      </c>
      <c r="DB80" s="543">
        <f>COUNTIFS($C$4:$C$58,"?*",$J$4:$J$58,"x",DD4:DD58,"&lt;=6.4") - COUNTIFS($C$4:$C$58,"?*",$J$4:$J$58,"x",DD4:DD58,"&lt;=4.9")</f>
        <v>0</v>
      </c>
      <c r="DC80" s="543">
        <f>COUNTIFS($C$4:$C$58,"?*",$J$4:$J$58,"x",DD4:DD58,"&lt;=4.9") - COUNTIFS($C$4:$C$58,"?*",$J$4:$J$58,"x",DD4:DD58,"&lt;=3.4")</f>
        <v>0</v>
      </c>
      <c r="DD80" s="544">
        <f>COUNTIFS($C$4:$C$58,"?*",$J$4:$J$58,"x",DD4:DD58,"&lt;=3.4") - COUNTIFS($C$4:$C$58,"?*",$J$4:$J$58,"x",DD4:DD58,"&lt;0")</f>
        <v>0</v>
      </c>
    </row>
    <row r="81" spans="11:108" s="129" customFormat="1"/>
    <row r="82" spans="11:108" s="129" customFormat="1"/>
    <row r="83" spans="11:108" s="129" customFormat="1">
      <c r="K83" s="650">
        <f>COUNTIFS($C$4:$C$58,"?*",K4:K58,"&gt;=0")</f>
        <v>36</v>
      </c>
      <c r="L83" s="650">
        <f t="shared" ref="L83:BW83" si="69">COUNTIFS($C$4:$C$58,"?*",L4:L58,"&gt;=0")</f>
        <v>36</v>
      </c>
      <c r="M83" s="650">
        <f t="shared" si="69"/>
        <v>36</v>
      </c>
      <c r="N83" s="650">
        <f t="shared" si="69"/>
        <v>36</v>
      </c>
      <c r="O83" s="651">
        <f t="shared" si="69"/>
        <v>36</v>
      </c>
      <c r="P83" s="652">
        <f t="shared" si="69"/>
        <v>36</v>
      </c>
      <c r="Q83" s="653">
        <f t="shared" si="69"/>
        <v>36</v>
      </c>
      <c r="R83" s="650">
        <f t="shared" si="69"/>
        <v>36</v>
      </c>
      <c r="S83" s="650">
        <f t="shared" si="69"/>
        <v>36</v>
      </c>
      <c r="T83" s="650">
        <f t="shared" si="69"/>
        <v>36</v>
      </c>
      <c r="U83" s="650">
        <f t="shared" si="69"/>
        <v>36</v>
      </c>
      <c r="V83" s="651">
        <f t="shared" si="69"/>
        <v>36</v>
      </c>
      <c r="W83" s="652">
        <f t="shared" si="69"/>
        <v>36</v>
      </c>
      <c r="X83" s="653">
        <f t="shared" si="69"/>
        <v>36</v>
      </c>
      <c r="Y83" s="650">
        <f t="shared" si="69"/>
        <v>36</v>
      </c>
      <c r="Z83" s="650">
        <f t="shared" si="69"/>
        <v>36</v>
      </c>
      <c r="AA83" s="650">
        <f t="shared" si="69"/>
        <v>36</v>
      </c>
      <c r="AB83" s="650">
        <f t="shared" si="69"/>
        <v>36</v>
      </c>
      <c r="AC83" s="651">
        <f t="shared" si="69"/>
        <v>36</v>
      </c>
      <c r="AD83" s="652">
        <f t="shared" si="69"/>
        <v>36</v>
      </c>
      <c r="AE83" s="653">
        <f t="shared" si="69"/>
        <v>36</v>
      </c>
      <c r="AF83" s="650">
        <f t="shared" si="69"/>
        <v>36</v>
      </c>
      <c r="AG83" s="650">
        <f t="shared" si="69"/>
        <v>36</v>
      </c>
      <c r="AH83" s="650">
        <f t="shared" si="69"/>
        <v>36</v>
      </c>
      <c r="AI83" s="650">
        <f t="shared" si="69"/>
        <v>0</v>
      </c>
      <c r="AJ83" s="651">
        <f t="shared" si="69"/>
        <v>36</v>
      </c>
      <c r="AK83" s="652">
        <f t="shared" si="69"/>
        <v>36</v>
      </c>
      <c r="AL83" s="653">
        <f t="shared" si="69"/>
        <v>36</v>
      </c>
      <c r="AM83" s="650">
        <f t="shared" si="69"/>
        <v>36</v>
      </c>
      <c r="AN83" s="650">
        <f t="shared" si="69"/>
        <v>36</v>
      </c>
      <c r="AO83" s="650">
        <f t="shared" si="69"/>
        <v>36</v>
      </c>
      <c r="AP83" s="650">
        <f t="shared" si="69"/>
        <v>0</v>
      </c>
      <c r="AQ83" s="651">
        <f t="shared" si="69"/>
        <v>36</v>
      </c>
      <c r="AR83" s="652">
        <f t="shared" si="69"/>
        <v>36</v>
      </c>
      <c r="AS83" s="653">
        <f t="shared" si="69"/>
        <v>36</v>
      </c>
      <c r="AT83" s="650">
        <f t="shared" si="69"/>
        <v>36</v>
      </c>
      <c r="AU83" s="650">
        <f t="shared" si="69"/>
        <v>36</v>
      </c>
      <c r="AV83" s="650">
        <f t="shared" si="69"/>
        <v>36</v>
      </c>
      <c r="AW83" s="650">
        <f t="shared" si="69"/>
        <v>36</v>
      </c>
      <c r="AX83" s="651">
        <f t="shared" si="69"/>
        <v>36</v>
      </c>
      <c r="AY83" s="652">
        <f t="shared" si="69"/>
        <v>36</v>
      </c>
      <c r="AZ83" s="653">
        <f t="shared" si="69"/>
        <v>36</v>
      </c>
      <c r="BA83" s="650">
        <f t="shared" si="69"/>
        <v>36</v>
      </c>
      <c r="BB83" s="650">
        <f t="shared" si="69"/>
        <v>36</v>
      </c>
      <c r="BC83" s="650">
        <f t="shared" si="69"/>
        <v>36</v>
      </c>
      <c r="BD83" s="650">
        <f t="shared" si="69"/>
        <v>0</v>
      </c>
      <c r="BE83" s="651">
        <f t="shared" si="69"/>
        <v>36</v>
      </c>
      <c r="BF83" s="652">
        <f t="shared" si="69"/>
        <v>36</v>
      </c>
      <c r="BG83" s="653">
        <f t="shared" si="69"/>
        <v>36</v>
      </c>
      <c r="BH83" s="650">
        <f t="shared" si="69"/>
        <v>36</v>
      </c>
      <c r="BI83" s="650">
        <f t="shared" si="69"/>
        <v>36</v>
      </c>
      <c r="BJ83" s="650">
        <f t="shared" si="69"/>
        <v>36</v>
      </c>
      <c r="BK83" s="650">
        <f t="shared" si="69"/>
        <v>0</v>
      </c>
      <c r="BL83" s="651">
        <f t="shared" si="69"/>
        <v>36</v>
      </c>
      <c r="BM83" s="652">
        <f t="shared" si="69"/>
        <v>36</v>
      </c>
      <c r="BN83" s="653">
        <f t="shared" si="69"/>
        <v>36</v>
      </c>
      <c r="BO83" s="650">
        <f t="shared" si="69"/>
        <v>36</v>
      </c>
      <c r="BP83" s="650">
        <f t="shared" si="69"/>
        <v>36</v>
      </c>
      <c r="BQ83" s="650">
        <f t="shared" si="69"/>
        <v>36</v>
      </c>
      <c r="BR83" s="650">
        <f t="shared" si="69"/>
        <v>36</v>
      </c>
      <c r="BS83" s="651">
        <f t="shared" si="69"/>
        <v>36</v>
      </c>
      <c r="BT83" s="652">
        <f t="shared" si="69"/>
        <v>36</v>
      </c>
      <c r="BU83" s="653">
        <f t="shared" si="69"/>
        <v>36</v>
      </c>
      <c r="BV83" s="650">
        <f t="shared" si="69"/>
        <v>36</v>
      </c>
      <c r="BW83" s="650">
        <f t="shared" si="69"/>
        <v>36</v>
      </c>
      <c r="BX83" s="650">
        <f t="shared" ref="BX83:DD83" si="70">COUNTIFS($C$4:$C$58,"?*",BX4:BX58,"&gt;=0")</f>
        <v>0</v>
      </c>
      <c r="BY83" s="650">
        <f t="shared" si="70"/>
        <v>0</v>
      </c>
      <c r="BZ83" s="651">
        <f t="shared" si="70"/>
        <v>36</v>
      </c>
      <c r="CA83" s="652">
        <f t="shared" si="70"/>
        <v>36</v>
      </c>
      <c r="CB83" s="653">
        <f t="shared" si="70"/>
        <v>36</v>
      </c>
      <c r="CC83" s="650">
        <f t="shared" si="70"/>
        <v>36</v>
      </c>
      <c r="CD83" s="650">
        <f t="shared" si="70"/>
        <v>36</v>
      </c>
      <c r="CE83" s="650">
        <f t="shared" si="70"/>
        <v>0</v>
      </c>
      <c r="CF83" s="650">
        <f t="shared" si="70"/>
        <v>0</v>
      </c>
      <c r="CG83" s="651">
        <f t="shared" si="70"/>
        <v>36</v>
      </c>
      <c r="CH83" s="652">
        <f t="shared" si="70"/>
        <v>36</v>
      </c>
      <c r="CI83" s="653">
        <f t="shared" si="70"/>
        <v>36</v>
      </c>
      <c r="CJ83" s="650">
        <f>COUNTIFS($C$4:$C$58,"?*",CJ4:CJ58,"?")</f>
        <v>36</v>
      </c>
      <c r="CK83" s="650">
        <f t="shared" ref="CK83:CP83" si="71">COUNTIFS($C$4:$C$58,"?*",CK4:CK58,"?")</f>
        <v>36</v>
      </c>
      <c r="CL83" s="650">
        <f t="shared" si="71"/>
        <v>36</v>
      </c>
      <c r="CM83" s="650">
        <f t="shared" si="71"/>
        <v>0</v>
      </c>
      <c r="CN83" s="651">
        <f t="shared" si="71"/>
        <v>36</v>
      </c>
      <c r="CO83" s="652">
        <f t="shared" si="71"/>
        <v>36</v>
      </c>
      <c r="CP83" s="653">
        <f t="shared" si="71"/>
        <v>36</v>
      </c>
      <c r="CQ83" s="650">
        <f t="shared" si="70"/>
        <v>36</v>
      </c>
      <c r="CR83" s="650">
        <f t="shared" si="70"/>
        <v>36</v>
      </c>
      <c r="CS83" s="650">
        <f t="shared" si="70"/>
        <v>0</v>
      </c>
      <c r="CT83" s="650">
        <f t="shared" si="70"/>
        <v>0</v>
      </c>
      <c r="CU83" s="651">
        <f t="shared" si="70"/>
        <v>36</v>
      </c>
      <c r="CV83" s="652">
        <f t="shared" si="70"/>
        <v>36</v>
      </c>
      <c r="CW83" s="653">
        <f t="shared" si="70"/>
        <v>36</v>
      </c>
      <c r="CX83" s="650">
        <f t="shared" si="70"/>
        <v>0</v>
      </c>
      <c r="CY83" s="650">
        <f t="shared" si="70"/>
        <v>0</v>
      </c>
      <c r="CZ83" s="650">
        <f t="shared" si="70"/>
        <v>0</v>
      </c>
      <c r="DA83" s="650">
        <f t="shared" si="70"/>
        <v>0</v>
      </c>
      <c r="DB83" s="651">
        <f t="shared" si="70"/>
        <v>0</v>
      </c>
      <c r="DC83" s="652">
        <f t="shared" si="70"/>
        <v>0</v>
      </c>
      <c r="DD83" s="653">
        <f t="shared" si="70"/>
        <v>0</v>
      </c>
    </row>
    <row r="84" spans="11:108" s="129" customFormat="1"/>
    <row r="85" spans="11:108" s="129" customFormat="1"/>
    <row r="86" spans="11:108" s="129" customFormat="1"/>
    <row r="87" spans="11:108" s="129" customFormat="1"/>
    <row r="88" spans="11:108" s="129" customFormat="1"/>
    <row r="89" spans="11:108" s="129" customFormat="1"/>
    <row r="90" spans="11:108" s="129" customFormat="1"/>
    <row r="91" spans="11:108" s="129" customFormat="1"/>
  </sheetData>
  <sheetProtection algorithmName="SHA-512" hashValue="p3XSCpW96zxSCGNw2HD15tfZfm59HCsCmN1qMqdhLy8ZksQiHATi2vPoqHHSbYV61/gx1HNQDX921AbEGrQDmg==" saltValue="8AER7lhQ6HGqZ2nc9r4L/g==" spinCount="100000" sheet="1" formatCells="0" formatColumns="0" formatRows="0" sort="0"/>
  <sortState ref="D4:KD58">
    <sortCondition ref="D4"/>
  </sortState>
  <mergeCells count="82">
    <mergeCell ref="CQ75:CQ80"/>
    <mergeCell ref="CX75:CX80"/>
    <mergeCell ref="AM75:AM80"/>
    <mergeCell ref="AT75:AT80"/>
    <mergeCell ref="BA75:BA80"/>
    <mergeCell ref="BH75:BH80"/>
    <mergeCell ref="BO75:BO80"/>
    <mergeCell ref="BV75:BV80"/>
    <mergeCell ref="CC75:CC80"/>
    <mergeCell ref="Y75:Y80"/>
    <mergeCell ref="AF75:AF80"/>
    <mergeCell ref="BO61:BU61"/>
    <mergeCell ref="BV61:CB61"/>
    <mergeCell ref="CC61:CI61"/>
    <mergeCell ref="BO68:BO73"/>
    <mergeCell ref="BV68:BV73"/>
    <mergeCell ref="CC68:CC73"/>
    <mergeCell ref="K75:K80"/>
    <mergeCell ref="R1:X1"/>
    <mergeCell ref="R2:U2"/>
    <mergeCell ref="R61:X61"/>
    <mergeCell ref="R75:R80"/>
    <mergeCell ref="DE1:DH1"/>
    <mergeCell ref="DE2:DH2"/>
    <mergeCell ref="AM1:AS1"/>
    <mergeCell ref="AT1:AZ1"/>
    <mergeCell ref="BA1:BG1"/>
    <mergeCell ref="BH1:BN1"/>
    <mergeCell ref="AM2:AP2"/>
    <mergeCell ref="AT2:AW2"/>
    <mergeCell ref="BO1:BU1"/>
    <mergeCell ref="BV1:CB1"/>
    <mergeCell ref="CC1:CI1"/>
    <mergeCell ref="BO2:BR2"/>
    <mergeCell ref="BV2:BY2"/>
    <mergeCell ref="CC2:CF2"/>
    <mergeCell ref="CQ68:CQ73"/>
    <mergeCell ref="BA2:BD2"/>
    <mergeCell ref="BH2:BK2"/>
    <mergeCell ref="AM61:AS61"/>
    <mergeCell ref="Y1:AE1"/>
    <mergeCell ref="AF1:AL1"/>
    <mergeCell ref="CK67:CM67"/>
    <mergeCell ref="CN67:CP67"/>
    <mergeCell ref="AM68:AM73"/>
    <mergeCell ref="AT68:AT73"/>
    <mergeCell ref="BA68:BA73"/>
    <mergeCell ref="BH68:BH73"/>
    <mergeCell ref="AF68:AF73"/>
    <mergeCell ref="AF2:AI2"/>
    <mergeCell ref="Y61:AE61"/>
    <mergeCell ref="AF61:AL61"/>
    <mergeCell ref="B2:B3"/>
    <mergeCell ref="D2:E3"/>
    <mergeCell ref="K2:N2"/>
    <mergeCell ref="C2:C3"/>
    <mergeCell ref="Y68:Y73"/>
    <mergeCell ref="Y2:AB2"/>
    <mergeCell ref="B62:E66"/>
    <mergeCell ref="K68:K73"/>
    <mergeCell ref="R68:R73"/>
    <mergeCell ref="A27:A28"/>
    <mergeCell ref="A34:A35"/>
    <mergeCell ref="F61:J61"/>
    <mergeCell ref="K61:Q61"/>
    <mergeCell ref="B61:E61"/>
    <mergeCell ref="CX68:CX73"/>
    <mergeCell ref="CJ2:CM2"/>
    <mergeCell ref="CJ1:CP1"/>
    <mergeCell ref="G2:G3"/>
    <mergeCell ref="CJ61:CP61"/>
    <mergeCell ref="AT61:AZ61"/>
    <mergeCell ref="BA61:BG61"/>
    <mergeCell ref="BH61:BN61"/>
    <mergeCell ref="CQ1:CW1"/>
    <mergeCell ref="CX1:DD1"/>
    <mergeCell ref="CQ2:CT2"/>
    <mergeCell ref="CX2:DA2"/>
    <mergeCell ref="CQ61:CW61"/>
    <mergeCell ref="CX61:DD61"/>
    <mergeCell ref="B1:J1"/>
    <mergeCell ref="K1:Q1"/>
  </mergeCells>
  <conditionalFormatting sqref="CJ4:CP58 K4:Q58">
    <cfRule type="expression" dxfId="544" priority="212">
      <formula>LEN(K4)&gt;=4</formula>
    </cfRule>
    <cfRule type="cellIs" dxfId="543" priority="213" operator="lessThan">
      <formula>5</formula>
    </cfRule>
    <cfRule type="cellIs" dxfId="542" priority="214" operator="greaterThan">
      <formula>8</formula>
    </cfRule>
  </conditionalFormatting>
  <conditionalFormatting sqref="DI4:DI58">
    <cfRule type="duplicateValues" dxfId="541" priority="208"/>
  </conditionalFormatting>
  <conditionalFormatting sqref="O4:O58">
    <cfRule type="expression" dxfId="540" priority="215">
      <formula>COUNT(O4:O4)&gt;1</formula>
    </cfRule>
  </conditionalFormatting>
  <conditionalFormatting sqref="CN4:CN58">
    <cfRule type="expression" dxfId="539" priority="216">
      <formula>COUNTA(CN4:CN4)&gt;1</formula>
    </cfRule>
  </conditionalFormatting>
  <conditionalFormatting sqref="R4:X58">
    <cfRule type="expression" dxfId="538" priority="53">
      <formula>LEN(R4)&gt;=4</formula>
    </cfRule>
    <cfRule type="cellIs" dxfId="537" priority="54" operator="lessThan">
      <formula>5</formula>
    </cfRule>
    <cfRule type="cellIs" dxfId="536" priority="55" operator="greaterThan">
      <formula>8</formula>
    </cfRule>
  </conditionalFormatting>
  <conditionalFormatting sqref="V4:V58">
    <cfRule type="expression" dxfId="535" priority="56">
      <formula>COUNT(V4:V4)&gt;1</formula>
    </cfRule>
  </conditionalFormatting>
  <conditionalFormatting sqref="Y4:AE58">
    <cfRule type="expression" dxfId="534" priority="49">
      <formula>LEN(Y4)&gt;=4</formula>
    </cfRule>
    <cfRule type="cellIs" dxfId="533" priority="50" operator="lessThan">
      <formula>5</formula>
    </cfRule>
    <cfRule type="cellIs" dxfId="532" priority="51" operator="greaterThan">
      <formula>8</formula>
    </cfRule>
  </conditionalFormatting>
  <conditionalFormatting sqref="AC4:AC58">
    <cfRule type="expression" dxfId="531" priority="52">
      <formula>COUNT(AC4:AC4)&gt;1</formula>
    </cfRule>
  </conditionalFormatting>
  <conditionalFormatting sqref="AF4:AL58">
    <cfRule type="expression" dxfId="530" priority="45">
      <formula>LEN(AF4)&gt;=4</formula>
    </cfRule>
    <cfRule type="cellIs" dxfId="529" priority="46" operator="lessThan">
      <formula>5</formula>
    </cfRule>
    <cfRule type="cellIs" dxfId="528" priority="47" operator="greaterThan">
      <formula>8</formula>
    </cfRule>
  </conditionalFormatting>
  <conditionalFormatting sqref="AJ4:AJ58">
    <cfRule type="expression" dxfId="527" priority="48">
      <formula>COUNT(AJ4:AJ4)&gt;1</formula>
    </cfRule>
  </conditionalFormatting>
  <conditionalFormatting sqref="AM4:AS58">
    <cfRule type="expression" dxfId="526" priority="41">
      <formula>LEN(AM4)&gt;=4</formula>
    </cfRule>
    <cfRule type="cellIs" dxfId="525" priority="42" operator="lessThan">
      <formula>5</formula>
    </cfRule>
    <cfRule type="cellIs" dxfId="524" priority="43" operator="greaterThan">
      <formula>8</formula>
    </cfRule>
  </conditionalFormatting>
  <conditionalFormatting sqref="AQ4:AQ58">
    <cfRule type="expression" dxfId="523" priority="44">
      <formula>COUNT(AQ4:AQ4)&gt;1</formula>
    </cfRule>
  </conditionalFormatting>
  <conditionalFormatting sqref="AT4:AZ58">
    <cfRule type="expression" dxfId="522" priority="37">
      <formula>LEN(AT4)&gt;=4</formula>
    </cfRule>
    <cfRule type="cellIs" dxfId="521" priority="38" operator="lessThan">
      <formula>5</formula>
    </cfRule>
    <cfRule type="cellIs" dxfId="520" priority="39" operator="greaterThan">
      <formula>8</formula>
    </cfRule>
  </conditionalFormatting>
  <conditionalFormatting sqref="AX4:AX58">
    <cfRule type="expression" dxfId="519" priority="40">
      <formula>COUNT(AX4:AX4)&gt;1</formula>
    </cfRule>
  </conditionalFormatting>
  <conditionalFormatting sqref="BA4:BG58">
    <cfRule type="expression" dxfId="518" priority="33">
      <formula>LEN(BA4)&gt;=4</formula>
    </cfRule>
    <cfRule type="cellIs" dxfId="517" priority="34" operator="lessThan">
      <formula>5</formula>
    </cfRule>
    <cfRule type="cellIs" dxfId="516" priority="35" operator="greaterThan">
      <formula>8</formula>
    </cfRule>
  </conditionalFormatting>
  <conditionalFormatting sqref="BE4:BE58">
    <cfRule type="expression" dxfId="515" priority="36">
      <formula>COUNT(BE4:BE4)&gt;1</formula>
    </cfRule>
  </conditionalFormatting>
  <conditionalFormatting sqref="BH4:BN58">
    <cfRule type="expression" dxfId="514" priority="29">
      <formula>LEN(BH4)&gt;=4</formula>
    </cfRule>
    <cfRule type="cellIs" dxfId="513" priority="30" operator="lessThan">
      <formula>5</formula>
    </cfRule>
    <cfRule type="cellIs" dxfId="512" priority="31" operator="greaterThan">
      <formula>8</formula>
    </cfRule>
  </conditionalFormatting>
  <conditionalFormatting sqref="BL4:BL58">
    <cfRule type="expression" dxfId="511" priority="32">
      <formula>COUNT(BL4:BL4)&gt;1</formula>
    </cfRule>
  </conditionalFormatting>
  <conditionalFormatting sqref="BO4:BU58">
    <cfRule type="expression" dxfId="510" priority="25">
      <formula>LEN(BO4)&gt;=4</formula>
    </cfRule>
    <cfRule type="cellIs" dxfId="509" priority="26" operator="lessThan">
      <formula>5</formula>
    </cfRule>
    <cfRule type="cellIs" dxfId="508" priority="27" operator="greaterThan">
      <formula>8</formula>
    </cfRule>
  </conditionalFormatting>
  <conditionalFormatting sqref="BS4:BS58">
    <cfRule type="expression" dxfId="507" priority="28">
      <formula>COUNT(BS4:BS4)&gt;1</formula>
    </cfRule>
  </conditionalFormatting>
  <conditionalFormatting sqref="BV40:CB58 BW4:CB39">
    <cfRule type="expression" dxfId="506" priority="21">
      <formula>LEN(BV4)&gt;=4</formula>
    </cfRule>
    <cfRule type="cellIs" dxfId="505" priority="22" operator="lessThan">
      <formula>5</formula>
    </cfRule>
    <cfRule type="cellIs" dxfId="504" priority="23" operator="greaterThan">
      <formula>8</formula>
    </cfRule>
  </conditionalFormatting>
  <conditionalFormatting sqref="BZ4:BZ58">
    <cfRule type="expression" dxfId="503" priority="24">
      <formula>COUNT(BZ4:BZ4)&gt;1</formula>
    </cfRule>
  </conditionalFormatting>
  <conditionalFormatting sqref="CC40:CI58 CD4:CI39">
    <cfRule type="expression" dxfId="502" priority="17">
      <formula>LEN(CC4)&gt;=4</formula>
    </cfRule>
    <cfRule type="cellIs" dxfId="501" priority="18" operator="lessThan">
      <formula>5</formula>
    </cfRule>
    <cfRule type="cellIs" dxfId="500" priority="19" operator="greaterThan">
      <formula>8</formula>
    </cfRule>
  </conditionalFormatting>
  <conditionalFormatting sqref="CG4:CG58">
    <cfRule type="expression" dxfId="499" priority="20">
      <formula>COUNT(CG4:CG4)&gt;1</formula>
    </cfRule>
  </conditionalFormatting>
  <conditionalFormatting sqref="CQ4:CW58">
    <cfRule type="expression" dxfId="498" priority="9">
      <formula>LEN(CQ4)&gt;=4</formula>
    </cfRule>
    <cfRule type="cellIs" dxfId="497" priority="10" operator="lessThan">
      <formula>5</formula>
    </cfRule>
    <cfRule type="cellIs" dxfId="496" priority="11" operator="greaterThan">
      <formula>8</formula>
    </cfRule>
  </conditionalFormatting>
  <conditionalFormatting sqref="CU4:CU58">
    <cfRule type="expression" dxfId="495" priority="12">
      <formula>COUNT(CU4:CU4)&gt;1</formula>
    </cfRule>
  </conditionalFormatting>
  <conditionalFormatting sqref="CX4:DD58">
    <cfRule type="expression" dxfId="494" priority="5">
      <formula>LEN(CX4)&gt;=4</formula>
    </cfRule>
    <cfRule type="cellIs" dxfId="493" priority="6" operator="lessThan">
      <formula>5</formula>
    </cfRule>
    <cfRule type="cellIs" dxfId="492" priority="7" operator="greaterThan">
      <formula>8</formula>
    </cfRule>
  </conditionalFormatting>
  <conditionalFormatting sqref="DB4:DB58">
    <cfRule type="expression" dxfId="491" priority="8">
      <formula>COUNT(DB4:DB4)&gt;1</formula>
    </cfRule>
  </conditionalFormatting>
  <conditionalFormatting sqref="BV4:BV39">
    <cfRule type="expression" dxfId="490" priority="1">
      <formula>LEN(BV4)&gt;=4</formula>
    </cfRule>
    <cfRule type="cellIs" dxfId="489" priority="2" operator="lessThan">
      <formula>5</formula>
    </cfRule>
    <cfRule type="cellIs" dxfId="488" priority="3" operator="greaterThan">
      <formula>8</formula>
    </cfRule>
  </conditionalFormatting>
  <dataValidations count="4">
    <dataValidation type="decimal" allowBlank="1" showErrorMessage="1" errorTitle="Sai roi !" error="Dien tu 0 den 10." sqref="K4:CI58 CQ4:DD58">
      <formula1>0</formula1>
      <formula2>10</formula2>
    </dataValidation>
    <dataValidation type="list" allowBlank="1" showInputMessage="1" showErrorMessage="1" sqref="CJ4:CO58">
      <formula1>"Đ, CĐ"</formula1>
    </dataValidation>
    <dataValidation type="list" allowBlank="1" showDropDown="1" showErrorMessage="1" errorTitle="Chỉ nhập x" error="Nhập x" sqref="H4:J58">
      <formula1>"x"</formula1>
    </dataValidation>
    <dataValidation type="textLength" operator="equal" allowBlank="1" showInputMessage="1" showErrorMessage="1" errorTitle="Nhập đúng định dạng dd/mm/yyyy" error="Nhập đúng định dạng dd/mm/yyyy" sqref="F4:F58">
      <formula1>10</formula1>
    </dataValidation>
  </dataValidations>
  <pageMargins left="0.35" right="0.25" top="0.25" bottom="0.25" header="0" footer="0"/>
  <pageSetup paperSize="9" scale="75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oanhk1">
                <anchor moveWithCells="1" sizeWithCells="1">
                  <from>
                    <xdr:col>0</xdr:col>
                    <xdr:colOff>38100</xdr:colOff>
                    <xdr:row>3</xdr:row>
                    <xdr:rowOff>99060</xdr:rowOff>
                  </from>
                  <to>
                    <xdr:col>0</xdr:col>
                    <xdr:colOff>906780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Vatlihk1">
                <anchor moveWithCells="1" sizeWithCells="1">
                  <from>
                    <xdr:col>0</xdr:col>
                    <xdr:colOff>38100</xdr:colOff>
                    <xdr:row>4</xdr:row>
                    <xdr:rowOff>152400</xdr:rowOff>
                  </from>
                  <to>
                    <xdr:col>0</xdr:col>
                    <xdr:colOff>906780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Hoahochk1">
                <anchor moveWithCells="1" sizeWithCells="1">
                  <from>
                    <xdr:col>0</xdr:col>
                    <xdr:colOff>38100</xdr:colOff>
                    <xdr:row>6</xdr:row>
                    <xdr:rowOff>7620</xdr:rowOff>
                  </from>
                  <to>
                    <xdr:col>0</xdr:col>
                    <xdr:colOff>906780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Huongdan">
                <anchor moveWithCells="1" sizeWithCells="1">
                  <from>
                    <xdr:col>0</xdr:col>
                    <xdr:colOff>30480</xdr:colOff>
                    <xdr:row>29</xdr:row>
                    <xdr:rowOff>68580</xdr:rowOff>
                  </from>
                  <to>
                    <xdr:col>0</xdr:col>
                    <xdr:colOff>899160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Nguvanhk1">
                <anchor moveWithCells="1" sizeWithCells="1">
                  <from>
                    <xdr:col>0</xdr:col>
                    <xdr:colOff>38100</xdr:colOff>
                    <xdr:row>8</xdr:row>
                    <xdr:rowOff>99060</xdr:rowOff>
                  </from>
                  <to>
                    <xdr:col>0</xdr:col>
                    <xdr:colOff>906780</xdr:colOff>
                    <xdr:row>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Lichsuhk1">
                <anchor moveWithCells="1" sizeWithCells="1">
                  <from>
                    <xdr:col>0</xdr:col>
                    <xdr:colOff>38100</xdr:colOff>
                    <xdr:row>9</xdr:row>
                    <xdr:rowOff>152400</xdr:rowOff>
                  </from>
                  <to>
                    <xdr:col>0</xdr:col>
                    <xdr:colOff>906780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Dialihk1">
                <anchor moveWithCells="1" sizeWithCells="1">
                  <from>
                    <xdr:col>0</xdr:col>
                    <xdr:colOff>38100</xdr:colOff>
                    <xdr:row>11</xdr:row>
                    <xdr:rowOff>7620</xdr:rowOff>
                  </from>
                  <to>
                    <xdr:col>0</xdr:col>
                    <xdr:colOff>906780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Sinhhochk1">
                <anchor moveWithCells="1" sizeWithCells="1">
                  <from>
                    <xdr:col>0</xdr:col>
                    <xdr:colOff>38100</xdr:colOff>
                    <xdr:row>7</xdr:row>
                    <xdr:rowOff>60960</xdr:rowOff>
                  </from>
                  <to>
                    <xdr:col>0</xdr:col>
                    <xdr:colOff>906780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GDCDhk1">
                <anchor moveWithCells="1" sizeWithCells="1">
                  <from>
                    <xdr:col>0</xdr:col>
                    <xdr:colOff>38100</xdr:colOff>
                    <xdr:row>13</xdr:row>
                    <xdr:rowOff>106680</xdr:rowOff>
                  </from>
                  <to>
                    <xdr:col>0</xdr:col>
                    <xdr:colOff>906780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Congnghehk1">
                <anchor moveWithCells="1" sizeWithCells="1">
                  <from>
                    <xdr:col>0</xdr:col>
                    <xdr:colOff>38100</xdr:colOff>
                    <xdr:row>14</xdr:row>
                    <xdr:rowOff>160020</xdr:rowOff>
                  </from>
                  <to>
                    <xdr:col>0</xdr:col>
                    <xdr:colOff>906780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Theduchk1">
                <anchor moveWithCells="1" sizeWithCells="1">
                  <from>
                    <xdr:col>0</xdr:col>
                    <xdr:colOff>38100</xdr:colOff>
                    <xdr:row>16</xdr:row>
                    <xdr:rowOff>22860</xdr:rowOff>
                  </from>
                  <to>
                    <xdr:col>0</xdr:col>
                    <xdr:colOff>906780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Anhvanhk1">
                <anchor moveWithCells="1" sizeWithCells="1">
                  <from>
                    <xdr:col>0</xdr:col>
                    <xdr:colOff>38100</xdr:colOff>
                    <xdr:row>12</xdr:row>
                    <xdr:rowOff>60960</xdr:rowOff>
                  </from>
                  <to>
                    <xdr:col>0</xdr:col>
                    <xdr:colOff>906780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Mythuathk1">
                <anchor moveWithCells="1" sizeWithCells="1">
                  <from>
                    <xdr:col>0</xdr:col>
                    <xdr:colOff>38100</xdr:colOff>
                    <xdr:row>18</xdr:row>
                    <xdr:rowOff>121920</xdr:rowOff>
                  </from>
                  <to>
                    <xdr:col>0</xdr:col>
                    <xdr:colOff>906780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TCTinhochk1">
                <anchor moveWithCells="1" sizeWithCells="1">
                  <from>
                    <xdr:col>0</xdr:col>
                    <xdr:colOff>38100</xdr:colOff>
                    <xdr:row>19</xdr:row>
                    <xdr:rowOff>182880</xdr:rowOff>
                  </from>
                  <to>
                    <xdr:col>0</xdr:col>
                    <xdr:colOff>906780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Inphieudimhk1">
                <anchor moveWithCells="1" sizeWithCells="1">
                  <from>
                    <xdr:col>0</xdr:col>
                    <xdr:colOff>38100</xdr:colOff>
                    <xdr:row>23</xdr:row>
                    <xdr:rowOff>7620</xdr:rowOff>
                  </from>
                  <to>
                    <xdr:col>0</xdr:col>
                    <xdr:colOff>906780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Amnhachk1">
                <anchor moveWithCells="1" sizeWithCells="1">
                  <from>
                    <xdr:col>0</xdr:col>
                    <xdr:colOff>38100</xdr:colOff>
                    <xdr:row>17</xdr:row>
                    <xdr:rowOff>68580</xdr:rowOff>
                  </from>
                  <to>
                    <xdr:col>0</xdr:col>
                    <xdr:colOff>906780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Button 28">
              <controlPr defaultSize="0" print="0" autoFill="0" autoPict="0" macro="[0]!XoadiemHK1">
                <anchor moveWithCells="1" sizeWithCells="1">
                  <from>
                    <xdr:col>0</xdr:col>
                    <xdr:colOff>30480</xdr:colOff>
                    <xdr:row>27</xdr:row>
                    <xdr:rowOff>7620</xdr:rowOff>
                  </from>
                  <to>
                    <xdr:col>0</xdr:col>
                    <xdr:colOff>899160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Ghinhanxethk1">
                <anchor moveWithCells="1" sizeWithCells="1">
                  <from>
                    <xdr:col>0</xdr:col>
                    <xdr:colOff>38100</xdr:colOff>
                    <xdr:row>21</xdr:row>
                    <xdr:rowOff>45720</xdr:rowOff>
                  </from>
                  <to>
                    <xdr:col>0</xdr:col>
                    <xdr:colOff>906780</xdr:colOff>
                    <xdr:row>22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Button 31">
              <controlPr defaultSize="0" print="0" autoFill="0" autoPict="0" macro="[0]!InBTHHKIhd">
                <anchor moveWithCells="1" sizeWithCells="1">
                  <from>
                    <xdr:col>0</xdr:col>
                    <xdr:colOff>45720</xdr:colOff>
                    <xdr:row>24</xdr:row>
                    <xdr:rowOff>175260</xdr:rowOff>
                  </from>
                  <to>
                    <xdr:col>0</xdr:col>
                    <xdr:colOff>899160</xdr:colOff>
                    <xdr:row>26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7030A0"/>
    <pageSetUpPr fitToPage="1"/>
  </sheetPr>
  <dimension ref="A1:AJ78"/>
  <sheetViews>
    <sheetView workbookViewId="0">
      <selection activeCell="AC17" sqref="AC17"/>
    </sheetView>
  </sheetViews>
  <sheetFormatPr defaultColWidth="9.109375" defaultRowHeight="13.8"/>
  <cols>
    <col min="1" max="1" width="4.33203125" style="251" customWidth="1"/>
    <col min="2" max="2" width="20.5546875" style="7" customWidth="1"/>
    <col min="3" max="3" width="8.5546875" style="7" customWidth="1"/>
    <col min="4" max="4" width="13.44140625" style="7" customWidth="1"/>
    <col min="5" max="8" width="8.6640625" style="251" customWidth="1"/>
    <col min="9" max="11" width="9" style="251" customWidth="1"/>
    <col min="12" max="12" width="8.109375" style="251" customWidth="1"/>
    <col min="13" max="13" width="1.33203125" style="248" customWidth="1"/>
    <col min="14" max="14" width="11" style="458" customWidth="1"/>
    <col min="15" max="15" width="9.109375" style="248" customWidth="1"/>
    <col min="16" max="16" width="9.109375" style="248" hidden="1" customWidth="1"/>
    <col min="17" max="20" width="5.109375" style="1" hidden="1" customWidth="1"/>
    <col min="21" max="21" width="6.88671875" style="1" hidden="1" customWidth="1"/>
    <col min="22" max="22" width="7.44140625" style="1" hidden="1" customWidth="1"/>
    <col min="23" max="23" width="6.88671875" style="1" hidden="1" customWidth="1"/>
    <col min="24" max="38" width="4.109375" style="248" customWidth="1"/>
    <col min="39" max="16384" width="9.109375" style="248"/>
  </cols>
  <sheetData>
    <row r="1" spans="1:36" ht="17.25" customHeight="1">
      <c r="A1" s="921" t="str">
        <f>IF('Huong dan'!E3&lt;&gt;"","SỞ GIÁO DỤC VÀ ĐÀO TẠO "&amp;UPPER('Huong dan'!E3),"")</f>
        <v>SỞ GIÁO DỤC VÀ ĐÀO TẠO TP. HỒ CHÍ MINH</v>
      </c>
      <c r="B1" s="921"/>
      <c r="C1" s="921"/>
      <c r="D1" s="921"/>
      <c r="E1" s="922" t="s">
        <v>19</v>
      </c>
      <c r="F1" s="922"/>
      <c r="G1" s="922"/>
      <c r="H1" s="922"/>
      <c r="I1" s="922"/>
      <c r="J1" s="922"/>
      <c r="K1" s="922"/>
      <c r="L1" s="922"/>
    </row>
    <row r="2" spans="1:36" ht="15.6">
      <c r="A2" s="931" t="str">
        <f>IF('Huong dan'!E4&lt;&gt;"","TRƯỜNG "&amp;UPPER('Huong dan'!E4),"")</f>
        <v>TRƯỜNG THCS VÀ THPT NGUYỄN KHUYẾN</v>
      </c>
      <c r="B2" s="931"/>
      <c r="C2" s="931"/>
      <c r="D2" s="931"/>
      <c r="E2" s="923" t="s">
        <v>179</v>
      </c>
      <c r="F2" s="923"/>
      <c r="G2" s="923"/>
      <c r="H2" s="923"/>
      <c r="I2" s="923"/>
      <c r="J2" s="923"/>
      <c r="K2" s="923"/>
      <c r="L2" s="923"/>
    </row>
    <row r="3" spans="1:36" ht="13.5" customHeight="1">
      <c r="A3" s="458"/>
      <c r="B3" s="458"/>
      <c r="C3" s="458"/>
      <c r="D3" s="458"/>
      <c r="E3" s="458"/>
      <c r="F3" s="458"/>
      <c r="G3" s="458"/>
      <c r="H3" s="459"/>
      <c r="I3" s="459"/>
      <c r="J3" s="459"/>
      <c r="K3" s="459"/>
      <c r="L3" s="459"/>
      <c r="N3" s="249"/>
      <c r="O3" s="250"/>
    </row>
    <row r="4" spans="1:36" ht="21.75" customHeight="1">
      <c r="A4" s="932" t="str">
        <f>"PHIẾU ĐIỂM CÁ NHÂN - HỌC KỲ I NĂM HỌC "&amp;'Huong dan'!C5</f>
        <v>PHIẾU ĐIỂM CÁ NHÂN - HỌC KỲ I NĂM HỌC 2021 - 2022</v>
      </c>
      <c r="B4" s="932"/>
      <c r="C4" s="932"/>
      <c r="D4" s="932"/>
      <c r="E4" s="932"/>
      <c r="F4" s="932"/>
      <c r="G4" s="932"/>
      <c r="H4" s="932"/>
      <c r="I4" s="932"/>
      <c r="J4" s="932"/>
      <c r="K4" s="932"/>
      <c r="L4" s="932"/>
      <c r="N4" s="249"/>
      <c r="O4" s="250"/>
    </row>
    <row r="5" spans="1:36" ht="7.5" customHeight="1">
      <c r="A5" s="1"/>
      <c r="N5" s="249"/>
      <c r="O5" s="250"/>
    </row>
    <row r="6" spans="1:36">
      <c r="B6" s="466"/>
      <c r="C6" s="466" t="s">
        <v>64</v>
      </c>
      <c r="D6" s="924" t="s">
        <v>28</v>
      </c>
      <c r="E6" s="924"/>
      <c r="F6" s="925" t="s">
        <v>66</v>
      </c>
      <c r="G6" s="925"/>
      <c r="H6" s="930" t="str">
        <f>IF(D6&lt;&gt;"",PROPER(VLOOKUP(D6,'Huong dan'!B8:C21,2,0)),"")</f>
        <v/>
      </c>
      <c r="I6" s="930"/>
      <c r="J6" s="930"/>
      <c r="K6" s="458" t="s">
        <v>65</v>
      </c>
      <c r="L6" s="6" t="str">
        <f>IF('Huong dan'!C3&lt;&gt;"",UPPER('Huong dan'!C3),"")</f>
        <v>12A1</v>
      </c>
      <c r="N6" s="249"/>
      <c r="O6" s="250"/>
    </row>
    <row r="7" spans="1:36" ht="7.5" customHeight="1">
      <c r="N7" s="249"/>
      <c r="O7" s="250"/>
      <c r="Q7" s="888" t="s">
        <v>225</v>
      </c>
      <c r="R7" s="888"/>
      <c r="S7" s="888"/>
      <c r="T7" s="888"/>
      <c r="U7" s="468" t="s">
        <v>3</v>
      </c>
      <c r="V7" s="468" t="s">
        <v>223</v>
      </c>
      <c r="W7" s="572" t="s">
        <v>224</v>
      </c>
    </row>
    <row r="8" spans="1:36" ht="15" customHeight="1">
      <c r="A8" s="933" t="s">
        <v>0</v>
      </c>
      <c r="B8" s="927" t="s">
        <v>63</v>
      </c>
      <c r="C8" s="927"/>
      <c r="D8" s="928" t="s">
        <v>2</v>
      </c>
      <c r="E8" s="927" t="str">
        <f>IF(D6="Thể dục","Đánh giá thường xuyên","Điểm thường xuyên")</f>
        <v>Điểm thường xuyên</v>
      </c>
      <c r="F8" s="927"/>
      <c r="G8" s="927"/>
      <c r="H8" s="927"/>
      <c r="I8" s="455" t="str">
        <f>IF(D6="Thể dục","Đánh giá","Điểm")</f>
        <v>Điểm</v>
      </c>
      <c r="J8" s="455" t="str">
        <f>IF(D6="Thể dục","Đánh giá","Điểm")</f>
        <v>Điểm</v>
      </c>
      <c r="K8" s="444" t="s">
        <v>224</v>
      </c>
      <c r="L8" s="455" t="s">
        <v>67</v>
      </c>
      <c r="N8" s="935" t="s">
        <v>279</v>
      </c>
      <c r="Q8" s="399">
        <v>1</v>
      </c>
      <c r="R8" s="399">
        <v>2</v>
      </c>
      <c r="S8" s="399">
        <v>3</v>
      </c>
      <c r="T8" s="399">
        <v>4</v>
      </c>
      <c r="U8" s="469" t="s">
        <v>230</v>
      </c>
      <c r="V8" s="469" t="s">
        <v>4</v>
      </c>
      <c r="W8" s="573" t="s">
        <v>4</v>
      </c>
    </row>
    <row r="9" spans="1:36" ht="12.75" customHeight="1">
      <c r="A9" s="934"/>
      <c r="B9" s="927"/>
      <c r="C9" s="927"/>
      <c r="D9" s="929"/>
      <c r="E9" s="8">
        <v>1</v>
      </c>
      <c r="F9" s="8">
        <v>2</v>
      </c>
      <c r="G9" s="8">
        <v>3</v>
      </c>
      <c r="H9" s="8">
        <v>4</v>
      </c>
      <c r="I9" s="382" t="s">
        <v>230</v>
      </c>
      <c r="J9" s="382" t="s">
        <v>278</v>
      </c>
      <c r="K9" s="445" t="s">
        <v>4</v>
      </c>
      <c r="L9" s="382" t="s">
        <v>68</v>
      </c>
      <c r="N9" s="936"/>
      <c r="Q9" s="355">
        <v>2</v>
      </c>
      <c r="R9" s="355">
        <v>3</v>
      </c>
      <c r="S9" s="355">
        <v>4</v>
      </c>
      <c r="T9" s="355">
        <v>5</v>
      </c>
      <c r="U9" s="355">
        <v>6</v>
      </c>
      <c r="V9" s="355">
        <v>7</v>
      </c>
      <c r="W9" s="355">
        <v>8</v>
      </c>
      <c r="X9" s="252"/>
      <c r="Y9" s="252"/>
      <c r="Z9" s="252"/>
      <c r="AA9" s="252"/>
      <c r="AB9" s="252"/>
      <c r="AC9" s="252"/>
      <c r="AD9" s="252"/>
      <c r="AE9" s="252"/>
      <c r="AF9" s="252"/>
      <c r="AG9" s="252"/>
      <c r="AH9" s="252"/>
      <c r="AI9" s="252"/>
      <c r="AJ9" s="252"/>
    </row>
    <row r="10" spans="1:36" ht="21" customHeight="1">
      <c r="A10" s="253">
        <f>IF(COUNTA(DiemHKI!C4:C58)&gt;=1,MIN(DiemHKI!B4:B58),"")</f>
        <v>1</v>
      </c>
      <c r="B10" s="94" t="str">
        <f>IF($A10&lt;&gt;"",PROPER(INDEX(DiemHKI!$B$4:$CP$58,MATCH(InPDBM!$A10,DiemHKI!$B$4:$B$58,0),3)),"")</f>
        <v>Phạm Huỳnh Hiệp</v>
      </c>
      <c r="C10" s="254" t="str">
        <f>IF($A10&lt;&gt;"",PROPER(INDEX(DiemHKI!$B$4:$CP$58,MATCH(InPDBM!$A10,DiemHKI!$B$4:$B$58,0),4)),"")</f>
        <v>An</v>
      </c>
      <c r="D10" s="358" t="str">
        <f>IF($A10&lt;&gt;"",PROPER(INDEX(DiemHKI!$B$4:$CP$58,MATCH(InPDBM!$A10,DiemHKI!$B$4:$B$58,0),5)),"")</f>
        <v>16/10/2004</v>
      </c>
      <c r="E10" s="95">
        <f>IF($A10&lt;&gt;"",IF(INDEX(BDHKI,MATCH(InPDBM!$A10,DiemHKI!$B$4:$B$58,0),INDEX($P$10:$W$24,MATCH($D$6,$P$10:$P$24,0),Q$9))&lt;&gt;"",INDEX(BDHKI,MATCH(InPDBM!$A10,DiemHKI!$B$4:$B$58,0),INDEX($P$10:$W$24,MATCH($D$6,$P$10:$P$24,0),Q$9)),""),"")</f>
        <v>9</v>
      </c>
      <c r="F10" s="96">
        <f>IF($A10&lt;&gt;"",IF(INDEX(BDHKI,MATCH(InPDBM!$A10,DiemHKI!$B$4:$B$58,0),INDEX($P$10:$W$24,MATCH($D$6,$P$10:$P$24,0),R$9))&lt;&gt;"",INDEX(BDHKI,MATCH(InPDBM!$A10,DiemHKI!$B$4:$B$58,0),INDEX($P$10:$W$24,MATCH($D$6,$P$10:$P$24,0),R$9)),""),"")</f>
        <v>9</v>
      </c>
      <c r="G10" s="96">
        <f>IF($A10&lt;&gt;"",IF(INDEX(BDHKI,MATCH(InPDBM!$A10,DiemHKI!$B$4:$B$58,0),INDEX($P$10:$W$24,MATCH($D$6,$P$10:$P$24,0),S$9))&lt;&gt;"",INDEX(BDHKI,MATCH(InPDBM!$A10,DiemHKI!$B$4:$B$58,0),INDEX($P$10:$W$24,MATCH($D$6,$P$10:$P$24,0),S$9)),""),"")</f>
        <v>9</v>
      </c>
      <c r="H10" s="97">
        <f>IF($A10&lt;&gt;"",IF(INDEX(BDHKI,MATCH(InPDBM!$A10,DiemHKI!$B$4:$B$58,0),INDEX($P$10:$W$24,MATCH($D$6,$P$10:$P$24,0),T$9))&lt;&gt;"",INDEX(BDHKI,MATCH(InPDBM!$A10,DiemHKI!$B$4:$B$58,0),INDEX($P$10:$W$24,MATCH($D$6,$P$10:$P$24,0),T$9)),""),"")</f>
        <v>10</v>
      </c>
      <c r="I10" s="362">
        <f>IF($A10&lt;&gt;"",IF(INDEX(BDHKI,MATCH(InPDBM!$A10,DiemHKI!$B$4:$B$58,0),INDEX($P$10:$W$24,MATCH($D$6,$P$10:$P$24,0),U$9))&lt;&gt;"",INDEX(BDHKI,MATCH(InPDBM!$A10,DiemHKI!$B$4:$B$58,0),INDEX($P$10:$W$24,MATCH($D$6,$P$10:$P$24,0),U$9)),""),"")</f>
        <v>9</v>
      </c>
      <c r="J10" s="366">
        <f>IF($A10&lt;&gt;"",IF(INDEX(BDHKI,MATCH(InPDBM!$A10,DiemHKI!$B$4:$B$58,0),INDEX($P$10:$W$24,MATCH($D$6,$P$10:$P$24,0),V$9))&lt;&gt;"",INDEX(BDHKI,MATCH(InPDBM!$A10,DiemHKI!$B$4:$B$58,0),INDEX($P$10:$W$24,MATCH($D$6,$P$10:$P$24,0),V$9)),""),"")</f>
        <v>9.5</v>
      </c>
      <c r="K10" s="374">
        <f>IF($A10&lt;&gt;"",IF(INDEX(BDHKI,MATCH(InPDBM!$A10,DiemHKI!$B$4:$B$58,0),INDEX($P$10:$W$24,MATCH($D$6,$P$10:$P$24,0),W$9))&lt;&gt;"",INDEX(BDHKI,MATCH(InPDBM!$A10,DiemHKI!$B$4:$B$58,0),INDEX($P$10:$W$24,MATCH($D$6,$P$10:$P$24,0),W$9)),""),"")</f>
        <v>9.3000000000000007</v>
      </c>
      <c r="L10" s="370"/>
      <c r="N10" s="251">
        <f>IF(AND($K10&lt;&gt;"",$D$6&lt;&gt;"Thể dục"),RANK(K10,$K$10:$K$64),"")</f>
        <v>18</v>
      </c>
      <c r="P10" s="248" t="s">
        <v>26</v>
      </c>
      <c r="Q10" s="355">
        <v>10</v>
      </c>
      <c r="R10" s="355">
        <v>11</v>
      </c>
      <c r="S10" s="355">
        <v>12</v>
      </c>
      <c r="T10" s="355">
        <v>13</v>
      </c>
      <c r="U10" s="355">
        <v>14</v>
      </c>
      <c r="V10" s="355">
        <v>15</v>
      </c>
      <c r="W10" s="355">
        <v>16</v>
      </c>
      <c r="X10" s="252"/>
      <c r="Y10" s="252"/>
      <c r="Z10" s="252"/>
      <c r="AA10" s="252"/>
      <c r="AB10" s="252"/>
      <c r="AC10" s="252"/>
      <c r="AD10" s="252"/>
      <c r="AE10" s="252"/>
      <c r="AF10" s="252"/>
      <c r="AG10" s="252"/>
      <c r="AH10" s="252"/>
      <c r="AI10" s="252"/>
      <c r="AJ10" s="252"/>
    </row>
    <row r="11" spans="1:36" ht="21" customHeight="1">
      <c r="A11" s="117">
        <f>IF(A10&lt;MAX(DiemHKI!$B$4:$B$58),A10+1,"")</f>
        <v>2</v>
      </c>
      <c r="B11" s="100" t="str">
        <f>IF($A11&lt;&gt;"",PROPER(INDEX(DiemHKI!$B$4:$CP$58,MATCH(InPDBM!$A11,DiemHKI!$B$4:$B$58,0),3)),"")</f>
        <v>Chử Ngọc</v>
      </c>
      <c r="C11" s="257" t="str">
        <f>IF($A11&lt;&gt;"",PROPER(INDEX(DiemHKI!$B$4:$CP$58,MATCH(InPDBM!$A11,DiemHKI!$B$4:$B$58,0),4)),"")</f>
        <v>Anh</v>
      </c>
      <c r="D11" s="359" t="str">
        <f>IF($A11&lt;&gt;"",PROPER(INDEX(DiemHKI!$B$4:$CP$58,MATCH(InPDBM!$A11,DiemHKI!$B$4:$B$58,0),5)),"")</f>
        <v>14/04/2004</v>
      </c>
      <c r="E11" s="101">
        <f>IF($A11&lt;&gt;"",IF(INDEX(BDHKI,MATCH(InPDBM!$A11,DiemHKI!$B$4:$B$58,0),INDEX($P$10:$W$24,MATCH($D$6,$P$10:$P$24,0),Q$9))&lt;&gt;"",INDEX(BDHKI,MATCH(InPDBM!$A11,DiemHKI!$B$4:$B$58,0),INDEX($P$10:$W$24,MATCH($D$6,$P$10:$P$24,0),Q$9)),""),"")</f>
        <v>10</v>
      </c>
      <c r="F11" s="102">
        <f>IF($A11&lt;&gt;"",IF(INDEX(BDHKI,MATCH(InPDBM!$A11,DiemHKI!$B$4:$B$58,0),INDEX($P$10:$W$24,MATCH($D$6,$P$10:$P$24,0),R$9))&lt;&gt;"",INDEX(BDHKI,MATCH(InPDBM!$A11,DiemHKI!$B$4:$B$58,0),INDEX($P$10:$W$24,MATCH($D$6,$P$10:$P$24,0),R$9)),""),"")</f>
        <v>9</v>
      </c>
      <c r="G11" s="102">
        <f>IF($A11&lt;&gt;"",IF(INDEX(BDHKI,MATCH(InPDBM!$A11,DiemHKI!$B$4:$B$58,0),INDEX($P$10:$W$24,MATCH($D$6,$P$10:$P$24,0),S$9))&lt;&gt;"",INDEX(BDHKI,MATCH(InPDBM!$A11,DiemHKI!$B$4:$B$58,0),INDEX($P$10:$W$24,MATCH($D$6,$P$10:$P$24,0),S$9)),""),"")</f>
        <v>10</v>
      </c>
      <c r="H11" s="103">
        <f>IF($A11&lt;&gt;"",IF(INDEX(BDHKI,MATCH(InPDBM!$A11,DiemHKI!$B$4:$B$58,0),INDEX($P$10:$W$24,MATCH($D$6,$P$10:$P$24,0),T$9))&lt;&gt;"",INDEX(BDHKI,MATCH(InPDBM!$A11,DiemHKI!$B$4:$B$58,0),INDEX($P$10:$W$24,MATCH($D$6,$P$10:$P$24,0),T$9)),""),"")</f>
        <v>10</v>
      </c>
      <c r="I11" s="363">
        <f>IF($A11&lt;&gt;"",IF(INDEX(BDHKI,MATCH(InPDBM!$A11,DiemHKI!$B$4:$B$58,0),INDEX($P$10:$W$24,MATCH($D$6,$P$10:$P$24,0),U$9))&lt;&gt;"",INDEX(BDHKI,MATCH(InPDBM!$A11,DiemHKI!$B$4:$B$58,0),INDEX($P$10:$W$24,MATCH($D$6,$P$10:$P$24,0),U$9)),""),"")</f>
        <v>8.8000000000000007</v>
      </c>
      <c r="J11" s="367">
        <f>IF($A11&lt;&gt;"",IF(INDEX(BDHKI,MATCH(InPDBM!$A11,DiemHKI!$B$4:$B$58,0),INDEX($P$10:$W$24,MATCH($D$6,$P$10:$P$24,0),V$9))&lt;&gt;"",INDEX(BDHKI,MATCH(InPDBM!$A11,DiemHKI!$B$4:$B$58,0),INDEX($P$10:$W$24,MATCH($D$6,$P$10:$P$24,0),V$9)),""),"")</f>
        <v>9.3000000000000007</v>
      </c>
      <c r="K11" s="375">
        <f>IF($A11&lt;&gt;"",IF(INDEX(BDHKI,MATCH(InPDBM!$A11,DiemHKI!$B$4:$B$58,0),INDEX($P$10:$W$24,MATCH($D$6,$P$10:$P$24,0),W$9))&lt;&gt;"",INDEX(BDHKI,MATCH(InPDBM!$A11,DiemHKI!$B$4:$B$58,0),INDEX($P$10:$W$24,MATCH($D$6,$P$10:$P$24,0),W$9)),""),"")</f>
        <v>9.4</v>
      </c>
      <c r="L11" s="371"/>
      <c r="N11" s="251">
        <f t="shared" ref="N11:N64" si="0">IF(AND($K11&lt;&gt;"",$D$6&lt;&gt;"Thể dục"),RANK(K11,$K$10:$K$64),"")</f>
        <v>13</v>
      </c>
      <c r="P11" s="248" t="s">
        <v>27</v>
      </c>
      <c r="Q11" s="355">
        <v>17</v>
      </c>
      <c r="R11" s="355">
        <v>18</v>
      </c>
      <c r="S11" s="355">
        <v>19</v>
      </c>
      <c r="T11" s="355">
        <v>20</v>
      </c>
      <c r="U11" s="355">
        <v>21</v>
      </c>
      <c r="V11" s="355">
        <v>22</v>
      </c>
      <c r="W11" s="355">
        <v>23</v>
      </c>
      <c r="X11" s="252"/>
      <c r="Y11" s="252"/>
      <c r="Z11" s="252"/>
      <c r="AA11" s="252"/>
      <c r="AB11" s="252"/>
      <c r="AC11" s="252"/>
      <c r="AD11" s="252"/>
      <c r="AE11" s="252"/>
      <c r="AF11" s="252"/>
      <c r="AG11" s="252"/>
      <c r="AH11" s="252"/>
      <c r="AI11" s="252"/>
      <c r="AJ11" s="252"/>
    </row>
    <row r="12" spans="1:36" ht="21" customHeight="1">
      <c r="A12" s="117">
        <f>IF(A11&lt;MAX(DiemHKI!$B$4:$B$58),A11+1,"")</f>
        <v>3</v>
      </c>
      <c r="B12" s="100" t="str">
        <f>IF($A12&lt;&gt;"",PROPER(INDEX(DiemHKI!$B$4:$CP$58,MATCH(InPDBM!$A12,DiemHKI!$B$4:$B$58,0),3)),"")</f>
        <v>Lê Tuấn</v>
      </c>
      <c r="C12" s="257" t="str">
        <f>IF($A12&lt;&gt;"",PROPER(INDEX(DiemHKI!$B$4:$CP$58,MATCH(InPDBM!$A12,DiemHKI!$B$4:$B$58,0),4)),"")</f>
        <v>Anh</v>
      </c>
      <c r="D12" s="359" t="str">
        <f>IF($A12&lt;&gt;"",PROPER(INDEX(DiemHKI!$B$4:$CP$58,MATCH(InPDBM!$A12,DiemHKI!$B$4:$B$58,0),5)),"")</f>
        <v>20/10/2004</v>
      </c>
      <c r="E12" s="101">
        <f>IF($A12&lt;&gt;"",IF(INDEX(BDHKI,MATCH(InPDBM!$A12,DiemHKI!$B$4:$B$58,0),INDEX($P$10:$W$24,MATCH($D$6,$P$10:$P$24,0),Q$9))&lt;&gt;"",INDEX(BDHKI,MATCH(InPDBM!$A12,DiemHKI!$B$4:$B$58,0),INDEX($P$10:$W$24,MATCH($D$6,$P$10:$P$24,0),Q$9)),""),"")</f>
        <v>9</v>
      </c>
      <c r="F12" s="102">
        <f>IF($A12&lt;&gt;"",IF(INDEX(BDHKI,MATCH(InPDBM!$A12,DiemHKI!$B$4:$B$58,0),INDEX($P$10:$W$24,MATCH($D$6,$P$10:$P$24,0),R$9))&lt;&gt;"",INDEX(BDHKI,MATCH(InPDBM!$A12,DiemHKI!$B$4:$B$58,0),INDEX($P$10:$W$24,MATCH($D$6,$P$10:$P$24,0),R$9)),""),"")</f>
        <v>9</v>
      </c>
      <c r="G12" s="102">
        <f>IF($A12&lt;&gt;"",IF(INDEX(BDHKI,MATCH(InPDBM!$A12,DiemHKI!$B$4:$B$58,0),INDEX($P$10:$W$24,MATCH($D$6,$P$10:$P$24,0),S$9))&lt;&gt;"",INDEX(BDHKI,MATCH(InPDBM!$A12,DiemHKI!$B$4:$B$58,0),INDEX($P$10:$W$24,MATCH($D$6,$P$10:$P$24,0),S$9)),""),"")</f>
        <v>9</v>
      </c>
      <c r="H12" s="103">
        <f>IF($A12&lt;&gt;"",IF(INDEX(BDHKI,MATCH(InPDBM!$A12,DiemHKI!$B$4:$B$58,0),INDEX($P$10:$W$24,MATCH($D$6,$P$10:$P$24,0),T$9))&lt;&gt;"",INDEX(BDHKI,MATCH(InPDBM!$A12,DiemHKI!$B$4:$B$58,0),INDEX($P$10:$W$24,MATCH($D$6,$P$10:$P$24,0),T$9)),""),"")</f>
        <v>10</v>
      </c>
      <c r="I12" s="363">
        <f>IF($A12&lt;&gt;"",IF(INDEX(BDHKI,MATCH(InPDBM!$A12,DiemHKI!$B$4:$B$58,0),INDEX($P$10:$W$24,MATCH($D$6,$P$10:$P$24,0),U$9))&lt;&gt;"",INDEX(BDHKI,MATCH(InPDBM!$A12,DiemHKI!$B$4:$B$58,0),INDEX($P$10:$W$24,MATCH($D$6,$P$10:$P$24,0),U$9)),""),"")</f>
        <v>9.1999999999999993</v>
      </c>
      <c r="J12" s="367">
        <f>IF($A12&lt;&gt;"",IF(INDEX(BDHKI,MATCH(InPDBM!$A12,DiemHKI!$B$4:$B$58,0),INDEX($P$10:$W$24,MATCH($D$6,$P$10:$P$24,0),V$9))&lt;&gt;"",INDEX(BDHKI,MATCH(InPDBM!$A12,DiemHKI!$B$4:$B$58,0),INDEX($P$10:$W$24,MATCH($D$6,$P$10:$P$24,0),V$9)),""),"")</f>
        <v>9.8000000000000007</v>
      </c>
      <c r="K12" s="375">
        <f>IF($A12&lt;&gt;"",IF(INDEX(BDHKI,MATCH(InPDBM!$A12,DiemHKI!$B$4:$B$58,0),INDEX($P$10:$W$24,MATCH($D$6,$P$10:$P$24,0),W$9))&lt;&gt;"",INDEX(BDHKI,MATCH(InPDBM!$A12,DiemHKI!$B$4:$B$58,0),INDEX($P$10:$W$24,MATCH($D$6,$P$10:$P$24,0),W$9)),""),"")</f>
        <v>9.4</v>
      </c>
      <c r="L12" s="371"/>
      <c r="N12" s="251">
        <f t="shared" si="0"/>
        <v>13</v>
      </c>
      <c r="P12" s="248" t="s">
        <v>28</v>
      </c>
      <c r="Q12" s="355">
        <v>24</v>
      </c>
      <c r="R12" s="355">
        <v>25</v>
      </c>
      <c r="S12" s="355">
        <v>26</v>
      </c>
      <c r="T12" s="355">
        <v>27</v>
      </c>
      <c r="U12" s="355">
        <v>28</v>
      </c>
      <c r="V12" s="355">
        <v>29</v>
      </c>
      <c r="W12" s="355">
        <v>30</v>
      </c>
      <c r="X12" s="252"/>
      <c r="Y12" s="252"/>
      <c r="Z12" s="252"/>
      <c r="AA12" s="252"/>
      <c r="AB12" s="252"/>
      <c r="AC12" s="252"/>
      <c r="AD12" s="252"/>
      <c r="AE12" s="252"/>
      <c r="AF12" s="252"/>
      <c r="AG12" s="252"/>
      <c r="AH12" s="252"/>
      <c r="AI12" s="252"/>
      <c r="AJ12" s="252"/>
    </row>
    <row r="13" spans="1:36" ht="21" customHeight="1">
      <c r="A13" s="117">
        <f>IF(A12&lt;MAX(DiemHKI!$B$4:$B$58),A12+1,"")</f>
        <v>4</v>
      </c>
      <c r="B13" s="100" t="str">
        <f>IF($A13&lt;&gt;"",PROPER(INDEX(DiemHKI!$B$4:$CP$58,MATCH(InPDBM!$A13,DiemHKI!$B$4:$B$58,0),3)),"")</f>
        <v>Nguyễn Quách Mai</v>
      </c>
      <c r="C13" s="257" t="str">
        <f>IF($A13&lt;&gt;"",PROPER(INDEX(DiemHKI!$B$4:$CP$58,MATCH(InPDBM!$A13,DiemHKI!$B$4:$B$58,0),4)),"")</f>
        <v>Anh</v>
      </c>
      <c r="D13" s="359" t="str">
        <f>IF($A13&lt;&gt;"",PROPER(INDEX(DiemHKI!$B$4:$CP$58,MATCH(InPDBM!$A13,DiemHKI!$B$4:$B$58,0),5)),"")</f>
        <v>12/05/2004</v>
      </c>
      <c r="E13" s="101">
        <f>IF($A13&lt;&gt;"",IF(INDEX(BDHKI,MATCH(InPDBM!$A13,DiemHKI!$B$4:$B$58,0),INDEX($P$10:$W$24,MATCH($D$6,$P$10:$P$24,0),Q$9))&lt;&gt;"",INDEX(BDHKI,MATCH(InPDBM!$A13,DiemHKI!$B$4:$B$58,0),INDEX($P$10:$W$24,MATCH($D$6,$P$10:$P$24,0),Q$9)),""),"")</f>
        <v>9</v>
      </c>
      <c r="F13" s="102">
        <f>IF($A13&lt;&gt;"",IF(INDEX(BDHKI,MATCH(InPDBM!$A13,DiemHKI!$B$4:$B$58,0),INDEX($P$10:$W$24,MATCH($D$6,$P$10:$P$24,0),R$9))&lt;&gt;"",INDEX(BDHKI,MATCH(InPDBM!$A13,DiemHKI!$B$4:$B$58,0),INDEX($P$10:$W$24,MATCH($D$6,$P$10:$P$24,0),R$9)),""),"")</f>
        <v>9</v>
      </c>
      <c r="G13" s="102">
        <f>IF($A13&lt;&gt;"",IF(INDEX(BDHKI,MATCH(InPDBM!$A13,DiemHKI!$B$4:$B$58,0),INDEX($P$10:$W$24,MATCH($D$6,$P$10:$P$24,0),S$9))&lt;&gt;"",INDEX(BDHKI,MATCH(InPDBM!$A13,DiemHKI!$B$4:$B$58,0),INDEX($P$10:$W$24,MATCH($D$6,$P$10:$P$24,0),S$9)),""),"")</f>
        <v>9</v>
      </c>
      <c r="H13" s="103">
        <f>IF($A13&lt;&gt;"",IF(INDEX(BDHKI,MATCH(InPDBM!$A13,DiemHKI!$B$4:$B$58,0),INDEX($P$10:$W$24,MATCH($D$6,$P$10:$P$24,0),T$9))&lt;&gt;"",INDEX(BDHKI,MATCH(InPDBM!$A13,DiemHKI!$B$4:$B$58,0),INDEX($P$10:$W$24,MATCH($D$6,$P$10:$P$24,0),T$9)),""),"")</f>
        <v>10</v>
      </c>
      <c r="I13" s="363">
        <f>IF($A13&lt;&gt;"",IF(INDEX(BDHKI,MATCH(InPDBM!$A13,DiemHKI!$B$4:$B$58,0),INDEX($P$10:$W$24,MATCH($D$6,$P$10:$P$24,0),U$9))&lt;&gt;"",INDEX(BDHKI,MATCH(InPDBM!$A13,DiemHKI!$B$4:$B$58,0),INDEX($P$10:$W$24,MATCH($D$6,$P$10:$P$24,0),U$9)),""),"")</f>
        <v>9.1999999999999993</v>
      </c>
      <c r="J13" s="367">
        <f>IF($A13&lt;&gt;"",IF(INDEX(BDHKI,MATCH(InPDBM!$A13,DiemHKI!$B$4:$B$58,0),INDEX($P$10:$W$24,MATCH($D$6,$P$10:$P$24,0),V$9))&lt;&gt;"",INDEX(BDHKI,MATCH(InPDBM!$A13,DiemHKI!$B$4:$B$58,0),INDEX($P$10:$W$24,MATCH($D$6,$P$10:$P$24,0),V$9)),""),"")</f>
        <v>9.5</v>
      </c>
      <c r="K13" s="375">
        <f>IF($A13&lt;&gt;"",IF(INDEX(BDHKI,MATCH(InPDBM!$A13,DiemHKI!$B$4:$B$58,0),INDEX($P$10:$W$24,MATCH($D$6,$P$10:$P$24,0),W$9))&lt;&gt;"",INDEX(BDHKI,MATCH(InPDBM!$A13,DiemHKI!$B$4:$B$58,0),INDEX($P$10:$W$24,MATCH($D$6,$P$10:$P$24,0),W$9)),""),"")</f>
        <v>9.3000000000000007</v>
      </c>
      <c r="L13" s="371"/>
      <c r="N13" s="251">
        <f t="shared" si="0"/>
        <v>18</v>
      </c>
      <c r="P13" s="248" t="s">
        <v>29</v>
      </c>
      <c r="Q13" s="355">
        <v>31</v>
      </c>
      <c r="R13" s="355">
        <v>32</v>
      </c>
      <c r="S13" s="355">
        <v>33</v>
      </c>
      <c r="T13" s="355">
        <v>34</v>
      </c>
      <c r="U13" s="355">
        <v>35</v>
      </c>
      <c r="V13" s="355">
        <v>36</v>
      </c>
      <c r="W13" s="355">
        <v>37</v>
      </c>
      <c r="X13" s="252"/>
      <c r="Y13" s="252"/>
      <c r="Z13" s="252"/>
      <c r="AA13" s="252"/>
      <c r="AB13" s="252"/>
      <c r="AC13" s="252"/>
      <c r="AD13" s="252"/>
      <c r="AE13" s="252"/>
      <c r="AF13" s="252"/>
      <c r="AG13" s="252"/>
      <c r="AH13" s="252"/>
      <c r="AI13" s="252"/>
      <c r="AJ13" s="252"/>
    </row>
    <row r="14" spans="1:36" ht="21" customHeight="1">
      <c r="A14" s="260">
        <f>IF(A13&lt;MAX(DiemHKI!$B$4:$B$58),A13+1,"")</f>
        <v>5</v>
      </c>
      <c r="B14" s="106" t="str">
        <f>IF($A14&lt;&gt;"",PROPER(INDEX(DiemHKI!$B$4:$CP$58,MATCH(InPDBM!$A14,DiemHKI!$B$4:$B$58,0),3)),"")</f>
        <v>Vũ Song</v>
      </c>
      <c r="C14" s="261" t="str">
        <f>IF($A14&lt;&gt;"",PROPER(INDEX(DiemHKI!$B$4:$CP$58,MATCH(InPDBM!$A14,DiemHKI!$B$4:$B$58,0),4)),"")</f>
        <v>Anh</v>
      </c>
      <c r="D14" s="360" t="str">
        <f>IF($A14&lt;&gt;"",PROPER(INDEX(DiemHKI!$B$4:$CP$58,MATCH(InPDBM!$A14,DiemHKI!$B$4:$B$58,0),5)),"")</f>
        <v>20/04/2004</v>
      </c>
      <c r="E14" s="107">
        <f>IF($A14&lt;&gt;"",IF(INDEX(BDHKI,MATCH(InPDBM!$A14,DiemHKI!$B$4:$B$58,0),INDEX($P$10:$W$24,MATCH($D$6,$P$10:$P$24,0),Q$9))&lt;&gt;"",INDEX(BDHKI,MATCH(InPDBM!$A14,DiemHKI!$B$4:$B$58,0),INDEX($P$10:$W$24,MATCH($D$6,$P$10:$P$24,0),Q$9)),""),"")</f>
        <v>9</v>
      </c>
      <c r="F14" s="108">
        <f>IF($A14&lt;&gt;"",IF(INDEX(BDHKI,MATCH(InPDBM!$A14,DiemHKI!$B$4:$B$58,0),INDEX($P$10:$W$24,MATCH($D$6,$P$10:$P$24,0),R$9))&lt;&gt;"",INDEX(BDHKI,MATCH(InPDBM!$A14,DiemHKI!$B$4:$B$58,0),INDEX($P$10:$W$24,MATCH($D$6,$P$10:$P$24,0),R$9)),""),"")</f>
        <v>9</v>
      </c>
      <c r="G14" s="108">
        <f>IF($A14&lt;&gt;"",IF(INDEX(BDHKI,MATCH(InPDBM!$A14,DiemHKI!$B$4:$B$58,0),INDEX($P$10:$W$24,MATCH($D$6,$P$10:$P$24,0),S$9))&lt;&gt;"",INDEX(BDHKI,MATCH(InPDBM!$A14,DiemHKI!$B$4:$B$58,0),INDEX($P$10:$W$24,MATCH($D$6,$P$10:$P$24,0),S$9)),""),"")</f>
        <v>10</v>
      </c>
      <c r="H14" s="109">
        <f>IF($A14&lt;&gt;"",IF(INDEX(BDHKI,MATCH(InPDBM!$A14,DiemHKI!$B$4:$B$58,0),INDEX($P$10:$W$24,MATCH($D$6,$P$10:$P$24,0),T$9))&lt;&gt;"",INDEX(BDHKI,MATCH(InPDBM!$A14,DiemHKI!$B$4:$B$58,0),INDEX($P$10:$W$24,MATCH($D$6,$P$10:$P$24,0),T$9)),""),"")</f>
        <v>9</v>
      </c>
      <c r="I14" s="364">
        <f>IF($A14&lt;&gt;"",IF(INDEX(BDHKI,MATCH(InPDBM!$A14,DiemHKI!$B$4:$B$58,0),INDEX($P$10:$W$24,MATCH($D$6,$P$10:$P$24,0),U$9))&lt;&gt;"",INDEX(BDHKI,MATCH(InPDBM!$A14,DiemHKI!$B$4:$B$58,0),INDEX($P$10:$W$24,MATCH($D$6,$P$10:$P$24,0),U$9)),""),"")</f>
        <v>9.1999999999999993</v>
      </c>
      <c r="J14" s="368">
        <f>IF($A14&lt;&gt;"",IF(INDEX(BDHKI,MATCH(InPDBM!$A14,DiemHKI!$B$4:$B$58,0),INDEX($P$10:$W$24,MATCH($D$6,$P$10:$P$24,0),V$9))&lt;&gt;"",INDEX(BDHKI,MATCH(InPDBM!$A14,DiemHKI!$B$4:$B$58,0),INDEX($P$10:$W$24,MATCH($D$6,$P$10:$P$24,0),V$9)),""),"")</f>
        <v>9.5</v>
      </c>
      <c r="K14" s="376">
        <f>IF($A14&lt;&gt;"",IF(INDEX(BDHKI,MATCH(InPDBM!$A14,DiemHKI!$B$4:$B$58,0),INDEX($P$10:$W$24,MATCH($D$6,$P$10:$P$24,0),W$9))&lt;&gt;"",INDEX(BDHKI,MATCH(InPDBM!$A14,DiemHKI!$B$4:$B$58,0),INDEX($P$10:$W$24,MATCH($D$6,$P$10:$P$24,0),W$9)),""),"")</f>
        <v>9.3000000000000007</v>
      </c>
      <c r="L14" s="372"/>
      <c r="N14" s="251">
        <f t="shared" si="0"/>
        <v>18</v>
      </c>
      <c r="P14" s="248" t="s">
        <v>120</v>
      </c>
      <c r="Q14" s="355">
        <v>38</v>
      </c>
      <c r="R14" s="355">
        <v>39</v>
      </c>
      <c r="S14" s="355">
        <v>40</v>
      </c>
      <c r="T14" s="355">
        <v>41</v>
      </c>
      <c r="U14" s="355">
        <v>42</v>
      </c>
      <c r="V14" s="355">
        <v>43</v>
      </c>
      <c r="W14" s="355">
        <v>44</v>
      </c>
      <c r="X14" s="252"/>
      <c r="Y14" s="252"/>
      <c r="Z14" s="252"/>
      <c r="AA14" s="252"/>
      <c r="AB14" s="252"/>
      <c r="AC14" s="252"/>
      <c r="AD14" s="252"/>
      <c r="AE14" s="252"/>
      <c r="AF14" s="252"/>
      <c r="AG14" s="252"/>
      <c r="AH14" s="252"/>
      <c r="AI14" s="252"/>
      <c r="AJ14" s="252"/>
    </row>
    <row r="15" spans="1:36" ht="21" customHeight="1">
      <c r="A15" s="264">
        <f>IF(A14&lt;MAX(DiemHKI!$B$4:$B$58),A14+1,"")</f>
        <v>6</v>
      </c>
      <c r="B15" s="112" t="str">
        <f>IF($A15&lt;&gt;"",PROPER(INDEX(DiemHKI!$B$4:$CP$58,MATCH(InPDBM!$A15,DiemHKI!$B$4:$B$58,0),3)),"")</f>
        <v>Phan Gia</v>
      </c>
      <c r="C15" s="265" t="str">
        <f>IF($A15&lt;&gt;"",PROPER(INDEX(DiemHKI!$B$4:$CP$58,MATCH(InPDBM!$A15,DiemHKI!$B$4:$B$58,0),4)),"")</f>
        <v>Bảo</v>
      </c>
      <c r="D15" s="361" t="str">
        <f>IF($A15&lt;&gt;"",PROPER(INDEX(DiemHKI!$B$4:$CP$58,MATCH(InPDBM!$A15,DiemHKI!$B$4:$B$58,0),5)),"")</f>
        <v>27/10/2004</v>
      </c>
      <c r="E15" s="113">
        <f>IF($A15&lt;&gt;"",IF(INDEX(BDHKI,MATCH(InPDBM!$A15,DiemHKI!$B$4:$B$58,0),INDEX($P$10:$W$24,MATCH($D$6,$P$10:$P$24,0),Q$9))&lt;&gt;"",INDEX(BDHKI,MATCH(InPDBM!$A15,DiemHKI!$B$4:$B$58,0),INDEX($P$10:$W$24,MATCH($D$6,$P$10:$P$24,0),Q$9)),""),"")</f>
        <v>10</v>
      </c>
      <c r="F15" s="114">
        <f>IF($A15&lt;&gt;"",IF(INDEX(BDHKI,MATCH(InPDBM!$A15,DiemHKI!$B$4:$B$58,0),INDEX($P$10:$W$24,MATCH($D$6,$P$10:$P$24,0),R$9))&lt;&gt;"",INDEX(BDHKI,MATCH(InPDBM!$A15,DiemHKI!$B$4:$B$58,0),INDEX($P$10:$W$24,MATCH($D$6,$P$10:$P$24,0),R$9)),""),"")</f>
        <v>7</v>
      </c>
      <c r="G15" s="114">
        <f>IF($A15&lt;&gt;"",IF(INDEX(BDHKI,MATCH(InPDBM!$A15,DiemHKI!$B$4:$B$58,0),INDEX($P$10:$W$24,MATCH($D$6,$P$10:$P$24,0),S$9))&lt;&gt;"",INDEX(BDHKI,MATCH(InPDBM!$A15,DiemHKI!$B$4:$B$58,0),INDEX($P$10:$W$24,MATCH($D$6,$P$10:$P$24,0),S$9)),""),"")</f>
        <v>10</v>
      </c>
      <c r="H15" s="115">
        <f>IF($A15&lt;&gt;"",IF(INDEX(BDHKI,MATCH(InPDBM!$A15,DiemHKI!$B$4:$B$58,0),INDEX($P$10:$W$24,MATCH($D$6,$P$10:$P$24,0),T$9))&lt;&gt;"",INDEX(BDHKI,MATCH(InPDBM!$A15,DiemHKI!$B$4:$B$58,0),INDEX($P$10:$W$24,MATCH($D$6,$P$10:$P$24,0),T$9)),""),"")</f>
        <v>10</v>
      </c>
      <c r="I15" s="362">
        <f>IF($A15&lt;&gt;"",IF(INDEX(BDHKI,MATCH(InPDBM!$A15,DiemHKI!$B$4:$B$58,0),INDEX($P$10:$W$24,MATCH($D$6,$P$10:$P$24,0),U$9))&lt;&gt;"",INDEX(BDHKI,MATCH(InPDBM!$A15,DiemHKI!$B$4:$B$58,0),INDEX($P$10:$W$24,MATCH($D$6,$P$10:$P$24,0),U$9)),""),"")</f>
        <v>8.6</v>
      </c>
      <c r="J15" s="369">
        <f>IF($A15&lt;&gt;"",IF(INDEX(BDHKI,MATCH(InPDBM!$A15,DiemHKI!$B$4:$B$58,0),INDEX($P$10:$W$24,MATCH($D$6,$P$10:$P$24,0),V$9))&lt;&gt;"",INDEX(BDHKI,MATCH(InPDBM!$A15,DiemHKI!$B$4:$B$58,0),INDEX($P$10:$W$24,MATCH($D$6,$P$10:$P$24,0),V$9)),""),"")</f>
        <v>9</v>
      </c>
      <c r="K15" s="377">
        <f>IF($A15&lt;&gt;"",IF(INDEX(BDHKI,MATCH(InPDBM!$A15,DiemHKI!$B$4:$B$58,0),INDEX($P$10:$W$24,MATCH($D$6,$P$10:$P$24,0),W$9))&lt;&gt;"",INDEX(BDHKI,MATCH(InPDBM!$A15,DiemHKI!$B$4:$B$58,0),INDEX($P$10:$W$24,MATCH($D$6,$P$10:$P$24,0),W$9)),""),"")</f>
        <v>9</v>
      </c>
      <c r="L15" s="370"/>
      <c r="N15" s="251">
        <f t="shared" si="0"/>
        <v>28</v>
      </c>
      <c r="P15" s="248" t="s">
        <v>30</v>
      </c>
      <c r="Q15" s="355">
        <v>45</v>
      </c>
      <c r="R15" s="355">
        <v>46</v>
      </c>
      <c r="S15" s="355">
        <v>47</v>
      </c>
      <c r="T15" s="355">
        <v>48</v>
      </c>
      <c r="U15" s="355">
        <v>49</v>
      </c>
      <c r="V15" s="355">
        <v>50</v>
      </c>
      <c r="W15" s="355">
        <v>51</v>
      </c>
      <c r="X15" s="252"/>
      <c r="Y15" s="252"/>
      <c r="Z15" s="252"/>
      <c r="AA15" s="252"/>
      <c r="AB15" s="252"/>
      <c r="AC15" s="252"/>
      <c r="AD15" s="252"/>
      <c r="AE15" s="252"/>
      <c r="AF15" s="252"/>
      <c r="AG15" s="252"/>
      <c r="AH15" s="252"/>
      <c r="AI15" s="252"/>
      <c r="AJ15" s="252"/>
    </row>
    <row r="16" spans="1:36" ht="21" customHeight="1">
      <c r="A16" s="117">
        <f>IF(A15&lt;MAX(DiemHKI!$B$4:$B$58),A15+1,"")</f>
        <v>7</v>
      </c>
      <c r="B16" s="100" t="str">
        <f>IF($A16&lt;&gt;"",PROPER(INDEX(DiemHKI!$B$4:$CP$58,MATCH(InPDBM!$A16,DiemHKI!$B$4:$B$58,0),3)),"")</f>
        <v>Nguyễn Phúc</v>
      </c>
      <c r="C16" s="257" t="str">
        <f>IF($A16&lt;&gt;"",PROPER(INDEX(DiemHKI!$B$4:$CP$58,MATCH(InPDBM!$A16,DiemHKI!$B$4:$B$58,0),4)),"")</f>
        <v>Bình</v>
      </c>
      <c r="D16" s="359" t="str">
        <f>IF($A16&lt;&gt;"",PROPER(INDEX(DiemHKI!$B$4:$CP$58,MATCH(InPDBM!$A16,DiemHKI!$B$4:$B$58,0),5)),"")</f>
        <v>20/06/2004</v>
      </c>
      <c r="E16" s="101">
        <f>IF($A16&lt;&gt;"",IF(INDEX(BDHKI,MATCH(InPDBM!$A16,DiemHKI!$B$4:$B$58,0),INDEX($P$10:$W$24,MATCH($D$6,$P$10:$P$24,0),Q$9))&lt;&gt;"",INDEX(BDHKI,MATCH(InPDBM!$A16,DiemHKI!$B$4:$B$58,0),INDEX($P$10:$W$24,MATCH($D$6,$P$10:$P$24,0),Q$9)),""),"")</f>
        <v>9</v>
      </c>
      <c r="F16" s="102">
        <f>IF($A16&lt;&gt;"",IF(INDEX(BDHKI,MATCH(InPDBM!$A16,DiemHKI!$B$4:$B$58,0),INDEX($P$10:$W$24,MATCH($D$6,$P$10:$P$24,0),R$9))&lt;&gt;"",INDEX(BDHKI,MATCH(InPDBM!$A16,DiemHKI!$B$4:$B$58,0),INDEX($P$10:$W$24,MATCH($D$6,$P$10:$P$24,0),R$9)),""),"")</f>
        <v>10</v>
      </c>
      <c r="G16" s="102">
        <f>IF($A16&lt;&gt;"",IF(INDEX(BDHKI,MATCH(InPDBM!$A16,DiemHKI!$B$4:$B$58,0),INDEX($P$10:$W$24,MATCH($D$6,$P$10:$P$24,0),S$9))&lt;&gt;"",INDEX(BDHKI,MATCH(InPDBM!$A16,DiemHKI!$B$4:$B$58,0),INDEX($P$10:$W$24,MATCH($D$6,$P$10:$P$24,0),S$9)),""),"")</f>
        <v>9</v>
      </c>
      <c r="H16" s="103">
        <f>IF($A16&lt;&gt;"",IF(INDEX(BDHKI,MATCH(InPDBM!$A16,DiemHKI!$B$4:$B$58,0),INDEX($P$10:$W$24,MATCH($D$6,$P$10:$P$24,0),T$9))&lt;&gt;"",INDEX(BDHKI,MATCH(InPDBM!$A16,DiemHKI!$B$4:$B$58,0),INDEX($P$10:$W$24,MATCH($D$6,$P$10:$P$24,0),T$9)),""),"")</f>
        <v>10</v>
      </c>
      <c r="I16" s="363">
        <f>IF($A16&lt;&gt;"",IF(INDEX(BDHKI,MATCH(InPDBM!$A16,DiemHKI!$B$4:$B$58,0),INDEX($P$10:$W$24,MATCH($D$6,$P$10:$P$24,0),U$9))&lt;&gt;"",INDEX(BDHKI,MATCH(InPDBM!$A16,DiemHKI!$B$4:$B$58,0),INDEX($P$10:$W$24,MATCH($D$6,$P$10:$P$24,0),U$9)),""),"")</f>
        <v>9.6</v>
      </c>
      <c r="J16" s="367">
        <f>IF($A16&lt;&gt;"",IF(INDEX(BDHKI,MATCH(InPDBM!$A16,DiemHKI!$B$4:$B$58,0),INDEX($P$10:$W$24,MATCH($D$6,$P$10:$P$24,0),V$9))&lt;&gt;"",INDEX(BDHKI,MATCH(InPDBM!$A16,DiemHKI!$B$4:$B$58,0),INDEX($P$10:$W$24,MATCH($D$6,$P$10:$P$24,0),V$9)),""),"")</f>
        <v>9.8000000000000007</v>
      </c>
      <c r="K16" s="375">
        <f>IF($A16&lt;&gt;"",IF(INDEX(BDHKI,MATCH(InPDBM!$A16,DiemHKI!$B$4:$B$58,0),INDEX($P$10:$W$24,MATCH($D$6,$P$10:$P$24,0),W$9))&lt;&gt;"",INDEX(BDHKI,MATCH(InPDBM!$A16,DiemHKI!$B$4:$B$58,0),INDEX($P$10:$W$24,MATCH($D$6,$P$10:$P$24,0),W$9)),""),"")</f>
        <v>9.6</v>
      </c>
      <c r="L16" s="371"/>
      <c r="N16" s="251">
        <f t="shared" si="0"/>
        <v>6</v>
      </c>
      <c r="P16" s="248" t="s">
        <v>31</v>
      </c>
      <c r="Q16" s="355">
        <v>52</v>
      </c>
      <c r="R16" s="355">
        <v>53</v>
      </c>
      <c r="S16" s="355">
        <v>54</v>
      </c>
      <c r="T16" s="355">
        <v>55</v>
      </c>
      <c r="U16" s="355">
        <v>56</v>
      </c>
      <c r="V16" s="355">
        <v>57</v>
      </c>
      <c r="W16" s="355">
        <v>58</v>
      </c>
      <c r="X16" s="252"/>
      <c r="Y16" s="252"/>
      <c r="Z16" s="252"/>
      <c r="AA16" s="252"/>
      <c r="AB16" s="252"/>
      <c r="AC16" s="252"/>
      <c r="AD16" s="252"/>
      <c r="AE16" s="252"/>
      <c r="AF16" s="252"/>
      <c r="AG16" s="252"/>
      <c r="AH16" s="252"/>
      <c r="AI16" s="252"/>
      <c r="AJ16" s="252"/>
    </row>
    <row r="17" spans="1:36" ht="21" customHeight="1">
      <c r="A17" s="117">
        <f>IF(A16&lt;MAX(DiemHKI!$B$4:$B$58),A16+1,"")</f>
        <v>8</v>
      </c>
      <c r="B17" s="100" t="str">
        <f>IF($A17&lt;&gt;"",PROPER(INDEX(DiemHKI!$B$4:$CP$58,MATCH(InPDBM!$A17,DiemHKI!$B$4:$B$58,0),3)),"")</f>
        <v>Trần Lê</v>
      </c>
      <c r="C17" s="257" t="str">
        <f>IF($A17&lt;&gt;"",PROPER(INDEX(DiemHKI!$B$4:$CP$58,MATCH(InPDBM!$A17,DiemHKI!$B$4:$B$58,0),4)),"")</f>
        <v>Cường</v>
      </c>
      <c r="D17" s="359" t="str">
        <f>IF($A17&lt;&gt;"",PROPER(INDEX(DiemHKI!$B$4:$CP$58,MATCH(InPDBM!$A17,DiemHKI!$B$4:$B$58,0),5)),"")</f>
        <v>08/04/2004</v>
      </c>
      <c r="E17" s="101">
        <f>IF($A17&lt;&gt;"",IF(INDEX(BDHKI,MATCH(InPDBM!$A17,DiemHKI!$B$4:$B$58,0),INDEX($P$10:$W$24,MATCH($D$6,$P$10:$P$24,0),Q$9))&lt;&gt;"",INDEX(BDHKI,MATCH(InPDBM!$A17,DiemHKI!$B$4:$B$58,0),INDEX($P$10:$W$24,MATCH($D$6,$P$10:$P$24,0),Q$9)),""),"")</f>
        <v>9</v>
      </c>
      <c r="F17" s="102">
        <f>IF($A17&lt;&gt;"",IF(INDEX(BDHKI,MATCH(InPDBM!$A17,DiemHKI!$B$4:$B$58,0),INDEX($P$10:$W$24,MATCH($D$6,$P$10:$P$24,0),R$9))&lt;&gt;"",INDEX(BDHKI,MATCH(InPDBM!$A17,DiemHKI!$B$4:$B$58,0),INDEX($P$10:$W$24,MATCH($D$6,$P$10:$P$24,0),R$9)),""),"")</f>
        <v>9</v>
      </c>
      <c r="G17" s="102">
        <f>IF($A17&lt;&gt;"",IF(INDEX(BDHKI,MATCH(InPDBM!$A17,DiemHKI!$B$4:$B$58,0),INDEX($P$10:$W$24,MATCH($D$6,$P$10:$P$24,0),S$9))&lt;&gt;"",INDEX(BDHKI,MATCH(InPDBM!$A17,DiemHKI!$B$4:$B$58,0),INDEX($P$10:$W$24,MATCH($D$6,$P$10:$P$24,0),S$9)),""),"")</f>
        <v>9</v>
      </c>
      <c r="H17" s="103">
        <f>IF($A17&lt;&gt;"",IF(INDEX(BDHKI,MATCH(InPDBM!$A17,DiemHKI!$B$4:$B$58,0),INDEX($P$10:$W$24,MATCH($D$6,$P$10:$P$24,0),T$9))&lt;&gt;"",INDEX(BDHKI,MATCH(InPDBM!$A17,DiemHKI!$B$4:$B$58,0),INDEX($P$10:$W$24,MATCH($D$6,$P$10:$P$24,0),T$9)),""),"")</f>
        <v>10</v>
      </c>
      <c r="I17" s="363">
        <f>IF($A17&lt;&gt;"",IF(INDEX(BDHKI,MATCH(InPDBM!$A17,DiemHKI!$B$4:$B$58,0),INDEX($P$10:$W$24,MATCH($D$6,$P$10:$P$24,0),U$9))&lt;&gt;"",INDEX(BDHKI,MATCH(InPDBM!$A17,DiemHKI!$B$4:$B$58,0),INDEX($P$10:$W$24,MATCH($D$6,$P$10:$P$24,0),U$9)),""),"")</f>
        <v>9</v>
      </c>
      <c r="J17" s="367">
        <f>IF($A17&lt;&gt;"",IF(INDEX(BDHKI,MATCH(InPDBM!$A17,DiemHKI!$B$4:$B$58,0),INDEX($P$10:$W$24,MATCH($D$6,$P$10:$P$24,0),V$9))&lt;&gt;"",INDEX(BDHKI,MATCH(InPDBM!$A17,DiemHKI!$B$4:$B$58,0),INDEX($P$10:$W$24,MATCH($D$6,$P$10:$P$24,0),V$9)),""),"")</f>
        <v>9.3000000000000007</v>
      </c>
      <c r="K17" s="375">
        <f>IF($A17&lt;&gt;"",IF(INDEX(BDHKI,MATCH(InPDBM!$A17,DiemHKI!$B$4:$B$58,0),INDEX($P$10:$W$24,MATCH($D$6,$P$10:$P$24,0),W$9))&lt;&gt;"",INDEX(BDHKI,MATCH(InPDBM!$A17,DiemHKI!$B$4:$B$58,0),INDEX($P$10:$W$24,MATCH($D$6,$P$10:$P$24,0),W$9)),""),"")</f>
        <v>9.1999999999999993</v>
      </c>
      <c r="L17" s="371"/>
      <c r="N17" s="251">
        <f t="shared" si="0"/>
        <v>23</v>
      </c>
      <c r="P17" s="248" t="s">
        <v>32</v>
      </c>
      <c r="Q17" s="355">
        <v>59</v>
      </c>
      <c r="R17" s="355">
        <v>60</v>
      </c>
      <c r="S17" s="355">
        <v>61</v>
      </c>
      <c r="T17" s="355">
        <v>62</v>
      </c>
      <c r="U17" s="355">
        <v>63</v>
      </c>
      <c r="V17" s="355">
        <v>64</v>
      </c>
      <c r="W17" s="355">
        <v>65</v>
      </c>
      <c r="X17" s="252"/>
      <c r="Y17" s="252"/>
      <c r="Z17" s="252"/>
      <c r="AA17" s="252"/>
      <c r="AB17" s="252"/>
      <c r="AC17" s="252"/>
      <c r="AD17" s="252"/>
      <c r="AE17" s="252"/>
      <c r="AF17" s="252"/>
      <c r="AG17" s="252"/>
      <c r="AH17" s="252"/>
      <c r="AI17" s="252"/>
      <c r="AJ17" s="252"/>
    </row>
    <row r="18" spans="1:36" ht="21" customHeight="1">
      <c r="A18" s="117">
        <f>IF(A17&lt;MAX(DiemHKI!$B$4:$B$58),A17+1,"")</f>
        <v>9</v>
      </c>
      <c r="B18" s="100" t="str">
        <f>IF($A18&lt;&gt;"",PROPER(INDEX(DiemHKI!$B$4:$CP$58,MATCH(InPDBM!$A18,DiemHKI!$B$4:$B$58,0),3)),"")</f>
        <v>Nguyễn Thanh</v>
      </c>
      <c r="C18" s="257" t="str">
        <f>IF($A18&lt;&gt;"",PROPER(INDEX(DiemHKI!$B$4:$CP$58,MATCH(InPDBM!$A18,DiemHKI!$B$4:$B$58,0),4)),"")</f>
        <v>Duyên</v>
      </c>
      <c r="D18" s="359" t="str">
        <f>IF($A18&lt;&gt;"",PROPER(INDEX(DiemHKI!$B$4:$CP$58,MATCH(InPDBM!$A18,DiemHKI!$B$4:$B$58,0),5)),"")</f>
        <v>16/11/2004</v>
      </c>
      <c r="E18" s="101">
        <f>IF($A18&lt;&gt;"",IF(INDEX(BDHKI,MATCH(InPDBM!$A18,DiemHKI!$B$4:$B$58,0),INDEX($P$10:$W$24,MATCH($D$6,$P$10:$P$24,0),Q$9))&lt;&gt;"",INDEX(BDHKI,MATCH(InPDBM!$A18,DiemHKI!$B$4:$B$58,0),INDEX($P$10:$W$24,MATCH($D$6,$P$10:$P$24,0),Q$9)),""),"")</f>
        <v>10</v>
      </c>
      <c r="F18" s="102">
        <f>IF($A18&lt;&gt;"",IF(INDEX(BDHKI,MATCH(InPDBM!$A18,DiemHKI!$B$4:$B$58,0),INDEX($P$10:$W$24,MATCH($D$6,$P$10:$P$24,0),R$9))&lt;&gt;"",INDEX(BDHKI,MATCH(InPDBM!$A18,DiemHKI!$B$4:$B$58,0),INDEX($P$10:$W$24,MATCH($D$6,$P$10:$P$24,0),R$9)),""),"")</f>
        <v>10</v>
      </c>
      <c r="G18" s="102">
        <f>IF($A18&lt;&gt;"",IF(INDEX(BDHKI,MATCH(InPDBM!$A18,DiemHKI!$B$4:$B$58,0),INDEX($P$10:$W$24,MATCH($D$6,$P$10:$P$24,0),S$9))&lt;&gt;"",INDEX(BDHKI,MATCH(InPDBM!$A18,DiemHKI!$B$4:$B$58,0),INDEX($P$10:$W$24,MATCH($D$6,$P$10:$P$24,0),S$9)),""),"")</f>
        <v>10</v>
      </c>
      <c r="H18" s="103">
        <f>IF($A18&lt;&gt;"",IF(INDEX(BDHKI,MATCH(InPDBM!$A18,DiemHKI!$B$4:$B$58,0),INDEX($P$10:$W$24,MATCH($D$6,$P$10:$P$24,0),T$9))&lt;&gt;"",INDEX(BDHKI,MATCH(InPDBM!$A18,DiemHKI!$B$4:$B$58,0),INDEX($P$10:$W$24,MATCH($D$6,$P$10:$P$24,0),T$9)),""),"")</f>
        <v>10</v>
      </c>
      <c r="I18" s="363">
        <f>IF($A18&lt;&gt;"",IF(INDEX(BDHKI,MATCH(InPDBM!$A18,DiemHKI!$B$4:$B$58,0),INDEX($P$10:$W$24,MATCH($D$6,$P$10:$P$24,0),U$9))&lt;&gt;"",INDEX(BDHKI,MATCH(InPDBM!$A18,DiemHKI!$B$4:$B$58,0),INDEX($P$10:$W$24,MATCH($D$6,$P$10:$P$24,0),U$9)),""),"")</f>
        <v>9</v>
      </c>
      <c r="J18" s="367">
        <f>IF($A18&lt;&gt;"",IF(INDEX(BDHKI,MATCH(InPDBM!$A18,DiemHKI!$B$4:$B$58,0),INDEX($P$10:$W$24,MATCH($D$6,$P$10:$P$24,0),V$9))&lt;&gt;"",INDEX(BDHKI,MATCH(InPDBM!$A18,DiemHKI!$B$4:$B$58,0),INDEX($P$10:$W$24,MATCH($D$6,$P$10:$P$24,0),V$9)),""),"")</f>
        <v>9.3000000000000007</v>
      </c>
      <c r="K18" s="375">
        <f>IF($A18&lt;&gt;"",IF(INDEX(BDHKI,MATCH(InPDBM!$A18,DiemHKI!$B$4:$B$58,0),INDEX($P$10:$W$24,MATCH($D$6,$P$10:$P$24,0),W$9))&lt;&gt;"",INDEX(BDHKI,MATCH(InPDBM!$A18,DiemHKI!$B$4:$B$58,0),INDEX($P$10:$W$24,MATCH($D$6,$P$10:$P$24,0),W$9)),""),"")</f>
        <v>9.5</v>
      </c>
      <c r="L18" s="371"/>
      <c r="N18" s="251">
        <f t="shared" si="0"/>
        <v>10</v>
      </c>
      <c r="P18" s="248" t="s">
        <v>33</v>
      </c>
      <c r="Q18" s="355">
        <v>66</v>
      </c>
      <c r="R18" s="355">
        <v>67</v>
      </c>
      <c r="S18" s="355">
        <v>68</v>
      </c>
      <c r="T18" s="355">
        <v>69</v>
      </c>
      <c r="U18" s="355">
        <v>70</v>
      </c>
      <c r="V18" s="355">
        <v>71</v>
      </c>
      <c r="W18" s="355">
        <v>72</v>
      </c>
      <c r="X18" s="252"/>
      <c r="Y18" s="252"/>
      <c r="Z18" s="252"/>
      <c r="AA18" s="252"/>
      <c r="AB18" s="252"/>
      <c r="AC18" s="252"/>
      <c r="AD18" s="252"/>
      <c r="AE18" s="252"/>
      <c r="AF18" s="252"/>
      <c r="AG18" s="252"/>
      <c r="AH18" s="252"/>
      <c r="AI18" s="252"/>
      <c r="AJ18" s="252"/>
    </row>
    <row r="19" spans="1:36" ht="21" customHeight="1">
      <c r="A19" s="260">
        <f>IF(A18&lt;MAX(DiemHKI!$B$4:$B$58),A18+1,"")</f>
        <v>10</v>
      </c>
      <c r="B19" s="106" t="str">
        <f>IF($A19&lt;&gt;"",PROPER(INDEX(DiemHKI!$B$4:$CP$58,MATCH(InPDBM!$A19,DiemHKI!$B$4:$B$58,0),3)),"")</f>
        <v>Trương Đắc</v>
      </c>
      <c r="C19" s="261" t="str">
        <f>IF($A19&lt;&gt;"",PROPER(INDEX(DiemHKI!$B$4:$CP$58,MATCH(InPDBM!$A19,DiemHKI!$B$4:$B$58,0),4)),"")</f>
        <v>Điền</v>
      </c>
      <c r="D19" s="360" t="str">
        <f>IF($A19&lt;&gt;"",PROPER(INDEX(DiemHKI!$B$4:$CP$58,MATCH(InPDBM!$A19,DiemHKI!$B$4:$B$58,0),5)),"")</f>
        <v>08/05/2004</v>
      </c>
      <c r="E19" s="107">
        <f>IF($A19&lt;&gt;"",IF(INDEX(BDHKI,MATCH(InPDBM!$A19,DiemHKI!$B$4:$B$58,0),INDEX($P$10:$W$24,MATCH($D$6,$P$10:$P$24,0),Q$9))&lt;&gt;"",INDEX(BDHKI,MATCH(InPDBM!$A19,DiemHKI!$B$4:$B$58,0),INDEX($P$10:$W$24,MATCH($D$6,$P$10:$P$24,0),Q$9)),""),"")</f>
        <v>10</v>
      </c>
      <c r="F19" s="108">
        <f>IF($A19&lt;&gt;"",IF(INDEX(BDHKI,MATCH(InPDBM!$A19,DiemHKI!$B$4:$B$58,0),INDEX($P$10:$W$24,MATCH($D$6,$P$10:$P$24,0),R$9))&lt;&gt;"",INDEX(BDHKI,MATCH(InPDBM!$A19,DiemHKI!$B$4:$B$58,0),INDEX($P$10:$W$24,MATCH($D$6,$P$10:$P$24,0),R$9)),""),"")</f>
        <v>9</v>
      </c>
      <c r="G19" s="108">
        <f>IF($A19&lt;&gt;"",IF(INDEX(BDHKI,MATCH(InPDBM!$A19,DiemHKI!$B$4:$B$58,0),INDEX($P$10:$W$24,MATCH($D$6,$P$10:$P$24,0),S$9))&lt;&gt;"",INDEX(BDHKI,MATCH(InPDBM!$A19,DiemHKI!$B$4:$B$58,0),INDEX($P$10:$W$24,MATCH($D$6,$P$10:$P$24,0),S$9)),""),"")</f>
        <v>10</v>
      </c>
      <c r="H19" s="109">
        <f>IF($A19&lt;&gt;"",IF(INDEX(BDHKI,MATCH(InPDBM!$A19,DiemHKI!$B$4:$B$58,0),INDEX($P$10:$W$24,MATCH($D$6,$P$10:$P$24,0),T$9))&lt;&gt;"",INDEX(BDHKI,MATCH(InPDBM!$A19,DiemHKI!$B$4:$B$58,0),INDEX($P$10:$W$24,MATCH($D$6,$P$10:$P$24,0),T$9)),""),"")</f>
        <v>10</v>
      </c>
      <c r="I19" s="364">
        <f>IF($A19&lt;&gt;"",IF(INDEX(BDHKI,MATCH(InPDBM!$A19,DiemHKI!$B$4:$B$58,0),INDEX($P$10:$W$24,MATCH($D$6,$P$10:$P$24,0),U$9))&lt;&gt;"",INDEX(BDHKI,MATCH(InPDBM!$A19,DiemHKI!$B$4:$B$58,0),INDEX($P$10:$W$24,MATCH($D$6,$P$10:$P$24,0),U$9)),""),"")</f>
        <v>9.1999999999999993</v>
      </c>
      <c r="J19" s="368">
        <f>IF($A19&lt;&gt;"",IF(INDEX(BDHKI,MATCH(InPDBM!$A19,DiemHKI!$B$4:$B$58,0),INDEX($P$10:$W$24,MATCH($D$6,$P$10:$P$24,0),V$9))&lt;&gt;"",INDEX(BDHKI,MATCH(InPDBM!$A19,DiemHKI!$B$4:$B$58,0),INDEX($P$10:$W$24,MATCH($D$6,$P$10:$P$24,0),V$9)),""),"")</f>
        <v>9.8000000000000007</v>
      </c>
      <c r="K19" s="376">
        <f>IF($A19&lt;&gt;"",IF(INDEX(BDHKI,MATCH(InPDBM!$A19,DiemHKI!$B$4:$B$58,0),INDEX($P$10:$W$24,MATCH($D$6,$P$10:$P$24,0),W$9))&lt;&gt;"",INDEX(BDHKI,MATCH(InPDBM!$A19,DiemHKI!$B$4:$B$58,0),INDEX($P$10:$W$24,MATCH($D$6,$P$10:$P$24,0),W$9)),""),"")</f>
        <v>9.6</v>
      </c>
      <c r="L19" s="372"/>
      <c r="N19" s="251">
        <f t="shared" si="0"/>
        <v>6</v>
      </c>
      <c r="P19" s="248" t="s">
        <v>60</v>
      </c>
      <c r="Q19" s="355">
        <v>73</v>
      </c>
      <c r="R19" s="355">
        <v>74</v>
      </c>
      <c r="S19" s="355">
        <v>75</v>
      </c>
      <c r="T19" s="355">
        <v>76</v>
      </c>
      <c r="U19" s="355">
        <v>77</v>
      </c>
      <c r="V19" s="355">
        <v>78</v>
      </c>
      <c r="W19" s="355">
        <v>79</v>
      </c>
      <c r="X19" s="252"/>
      <c r="Y19" s="252"/>
      <c r="Z19" s="252"/>
      <c r="AA19" s="252"/>
      <c r="AB19" s="252"/>
      <c r="AC19" s="252"/>
      <c r="AD19" s="252"/>
      <c r="AE19" s="252"/>
      <c r="AF19" s="252"/>
      <c r="AG19" s="252"/>
      <c r="AH19" s="252"/>
      <c r="AI19" s="252"/>
      <c r="AJ19" s="252"/>
    </row>
    <row r="20" spans="1:36" ht="21" customHeight="1">
      <c r="A20" s="264">
        <f>IF(A19&lt;MAX(DiemHKI!$B$4:$B$58),A19+1,"")</f>
        <v>11</v>
      </c>
      <c r="B20" s="112" t="str">
        <f>IF($A20&lt;&gt;"",PROPER(INDEX(DiemHKI!$B$4:$CP$58,MATCH(InPDBM!$A20,DiemHKI!$B$4:$B$58,0),3)),"")</f>
        <v>Hồ Ngọc</v>
      </c>
      <c r="C20" s="265" t="str">
        <f>IF($A20&lt;&gt;"",PROPER(INDEX(DiemHKI!$B$4:$CP$58,MATCH(InPDBM!$A20,DiemHKI!$B$4:$B$58,0),4)),"")</f>
        <v>Hải</v>
      </c>
      <c r="D20" s="361" t="str">
        <f>IF($A20&lt;&gt;"",PROPER(INDEX(DiemHKI!$B$4:$CP$58,MATCH(InPDBM!$A20,DiemHKI!$B$4:$B$58,0),5)),"")</f>
        <v>25/10/2004</v>
      </c>
      <c r="E20" s="113">
        <f>IF($A20&lt;&gt;"",IF(INDEX(BDHKI,MATCH(InPDBM!$A20,DiemHKI!$B$4:$B$58,0),INDEX($P$10:$W$24,MATCH($D$6,$P$10:$P$24,0),Q$9))&lt;&gt;"",INDEX(BDHKI,MATCH(InPDBM!$A20,DiemHKI!$B$4:$B$58,0),INDEX($P$10:$W$24,MATCH($D$6,$P$10:$P$24,0),Q$9)),""),"")</f>
        <v>8</v>
      </c>
      <c r="F20" s="114">
        <f>IF($A20&lt;&gt;"",IF(INDEX(BDHKI,MATCH(InPDBM!$A20,DiemHKI!$B$4:$B$58,0),INDEX($P$10:$W$24,MATCH($D$6,$P$10:$P$24,0),R$9))&lt;&gt;"",INDEX(BDHKI,MATCH(InPDBM!$A20,DiemHKI!$B$4:$B$58,0),INDEX($P$10:$W$24,MATCH($D$6,$P$10:$P$24,0),R$9)),""),"")</f>
        <v>8</v>
      </c>
      <c r="G20" s="114">
        <f>IF($A20&lt;&gt;"",IF(INDEX(BDHKI,MATCH(InPDBM!$A20,DiemHKI!$B$4:$B$58,0),INDEX($P$10:$W$24,MATCH($D$6,$P$10:$P$24,0),S$9))&lt;&gt;"",INDEX(BDHKI,MATCH(InPDBM!$A20,DiemHKI!$B$4:$B$58,0),INDEX($P$10:$W$24,MATCH($D$6,$P$10:$P$24,0),S$9)),""),"")</f>
        <v>8</v>
      </c>
      <c r="H20" s="115">
        <f>IF($A20&lt;&gt;"",IF(INDEX(BDHKI,MATCH(InPDBM!$A20,DiemHKI!$B$4:$B$58,0),INDEX($P$10:$W$24,MATCH($D$6,$P$10:$P$24,0),T$9))&lt;&gt;"",INDEX(BDHKI,MATCH(InPDBM!$A20,DiemHKI!$B$4:$B$58,0),INDEX($P$10:$W$24,MATCH($D$6,$P$10:$P$24,0),T$9)),""),"")</f>
        <v>9</v>
      </c>
      <c r="I20" s="362">
        <f>IF($A20&lt;&gt;"",IF(INDEX(BDHKI,MATCH(InPDBM!$A20,DiemHKI!$B$4:$B$58,0),INDEX($P$10:$W$24,MATCH($D$6,$P$10:$P$24,0),U$9))&lt;&gt;"",INDEX(BDHKI,MATCH(InPDBM!$A20,DiemHKI!$B$4:$B$58,0),INDEX($P$10:$W$24,MATCH($D$6,$P$10:$P$24,0),U$9)),""),"")</f>
        <v>8.8000000000000007</v>
      </c>
      <c r="J20" s="369">
        <f>IF($A20&lt;&gt;"",IF(INDEX(BDHKI,MATCH(InPDBM!$A20,DiemHKI!$B$4:$B$58,0),INDEX($P$10:$W$24,MATCH($D$6,$P$10:$P$24,0),V$9))&lt;&gt;"",INDEX(BDHKI,MATCH(InPDBM!$A20,DiemHKI!$B$4:$B$58,0),INDEX($P$10:$W$24,MATCH($D$6,$P$10:$P$24,0),V$9)),""),"")</f>
        <v>9.8000000000000007</v>
      </c>
      <c r="K20" s="377">
        <f>IF($A20&lt;&gt;"",IF(INDEX(BDHKI,MATCH(InPDBM!$A20,DiemHKI!$B$4:$B$58,0),INDEX($P$10:$W$24,MATCH($D$6,$P$10:$P$24,0),W$9))&lt;&gt;"",INDEX(BDHKI,MATCH(InPDBM!$A20,DiemHKI!$B$4:$B$58,0),INDEX($P$10:$W$24,MATCH($D$6,$P$10:$P$24,0),W$9)),""),"")</f>
        <v>8.9</v>
      </c>
      <c r="L20" s="370"/>
      <c r="N20" s="251">
        <f t="shared" si="0"/>
        <v>32</v>
      </c>
      <c r="P20" s="248" t="s">
        <v>34</v>
      </c>
      <c r="Q20" s="355">
        <v>80</v>
      </c>
      <c r="R20" s="355">
        <v>81</v>
      </c>
      <c r="S20" s="355">
        <v>82</v>
      </c>
      <c r="T20" s="355">
        <v>83</v>
      </c>
      <c r="U20" s="355">
        <v>84</v>
      </c>
      <c r="V20" s="355">
        <v>85</v>
      </c>
      <c r="W20" s="355">
        <v>86</v>
      </c>
      <c r="X20" s="252"/>
      <c r="Y20" s="252"/>
      <c r="Z20" s="252"/>
      <c r="AA20" s="252"/>
      <c r="AB20" s="252"/>
      <c r="AC20" s="252"/>
      <c r="AD20" s="252"/>
      <c r="AE20" s="252"/>
      <c r="AF20" s="252"/>
      <c r="AG20" s="252"/>
      <c r="AH20" s="252"/>
      <c r="AI20" s="252"/>
      <c r="AJ20" s="252"/>
    </row>
    <row r="21" spans="1:36" ht="21" customHeight="1">
      <c r="A21" s="117">
        <f>IF(A20&lt;MAX(DiemHKI!$B$4:$B$58),A20+1,"")</f>
        <v>12</v>
      </c>
      <c r="B21" s="100" t="str">
        <f>IF($A21&lt;&gt;"",PROPER(INDEX(DiemHKI!$B$4:$CP$58,MATCH(InPDBM!$A21,DiemHKI!$B$4:$B$58,0),3)),"")</f>
        <v>Hồ Sơn</v>
      </c>
      <c r="C21" s="257" t="str">
        <f>IF($A21&lt;&gt;"",PROPER(INDEX(DiemHKI!$B$4:$CP$58,MATCH(InPDBM!$A21,DiemHKI!$B$4:$B$58,0),4)),"")</f>
        <v>Hậu</v>
      </c>
      <c r="D21" s="359" t="str">
        <f>IF($A21&lt;&gt;"",PROPER(INDEX(DiemHKI!$B$4:$CP$58,MATCH(InPDBM!$A21,DiemHKI!$B$4:$B$58,0),5)),"")</f>
        <v>08/01/2004</v>
      </c>
      <c r="E21" s="101">
        <f>IF($A21&lt;&gt;"",IF(INDEX(BDHKI,MATCH(InPDBM!$A21,DiemHKI!$B$4:$B$58,0),INDEX($P$10:$W$24,MATCH($D$6,$P$10:$P$24,0),Q$9))&lt;&gt;"",INDEX(BDHKI,MATCH(InPDBM!$A21,DiemHKI!$B$4:$B$58,0),INDEX($P$10:$W$24,MATCH($D$6,$P$10:$P$24,0),Q$9)),""),"")</f>
        <v>9</v>
      </c>
      <c r="F21" s="102">
        <f>IF($A21&lt;&gt;"",IF(INDEX(BDHKI,MATCH(InPDBM!$A21,DiemHKI!$B$4:$B$58,0),INDEX($P$10:$W$24,MATCH($D$6,$P$10:$P$24,0),R$9))&lt;&gt;"",INDEX(BDHKI,MATCH(InPDBM!$A21,DiemHKI!$B$4:$B$58,0),INDEX($P$10:$W$24,MATCH($D$6,$P$10:$P$24,0),R$9)),""),"")</f>
        <v>8</v>
      </c>
      <c r="G21" s="102">
        <f>IF($A21&lt;&gt;"",IF(INDEX(BDHKI,MATCH(InPDBM!$A21,DiemHKI!$B$4:$B$58,0),INDEX($P$10:$W$24,MATCH($D$6,$P$10:$P$24,0),S$9))&lt;&gt;"",INDEX(BDHKI,MATCH(InPDBM!$A21,DiemHKI!$B$4:$B$58,0),INDEX($P$10:$W$24,MATCH($D$6,$P$10:$P$24,0),S$9)),""),"")</f>
        <v>9</v>
      </c>
      <c r="H21" s="103">
        <f>IF($A21&lt;&gt;"",IF(INDEX(BDHKI,MATCH(InPDBM!$A21,DiemHKI!$B$4:$B$58,0),INDEX($P$10:$W$24,MATCH($D$6,$P$10:$P$24,0),T$9))&lt;&gt;"",INDEX(BDHKI,MATCH(InPDBM!$A21,DiemHKI!$B$4:$B$58,0),INDEX($P$10:$W$24,MATCH($D$6,$P$10:$P$24,0),T$9)),""),"")</f>
        <v>9</v>
      </c>
      <c r="I21" s="363">
        <f>IF($A21&lt;&gt;"",IF(INDEX(BDHKI,MATCH(InPDBM!$A21,DiemHKI!$B$4:$B$58,0),INDEX($P$10:$W$24,MATCH($D$6,$P$10:$P$24,0),U$9))&lt;&gt;"",INDEX(BDHKI,MATCH(InPDBM!$A21,DiemHKI!$B$4:$B$58,0),INDEX($P$10:$W$24,MATCH($D$6,$P$10:$P$24,0),U$9)),""),"")</f>
        <v>8.8000000000000007</v>
      </c>
      <c r="J21" s="367">
        <f>IF($A21&lt;&gt;"",IF(INDEX(BDHKI,MATCH(InPDBM!$A21,DiemHKI!$B$4:$B$58,0),INDEX($P$10:$W$24,MATCH($D$6,$P$10:$P$24,0),V$9))&lt;&gt;"",INDEX(BDHKI,MATCH(InPDBM!$A21,DiemHKI!$B$4:$B$58,0),INDEX($P$10:$W$24,MATCH($D$6,$P$10:$P$24,0),V$9)),""),"")</f>
        <v>9.8000000000000007</v>
      </c>
      <c r="K21" s="375">
        <f>IF($A21&lt;&gt;"",IF(INDEX(BDHKI,MATCH(InPDBM!$A21,DiemHKI!$B$4:$B$58,0),INDEX($P$10:$W$24,MATCH($D$6,$P$10:$P$24,0),W$9))&lt;&gt;"",INDEX(BDHKI,MATCH(InPDBM!$A21,DiemHKI!$B$4:$B$58,0),INDEX($P$10:$W$24,MATCH($D$6,$P$10:$P$24,0),W$9)),""),"")</f>
        <v>9.1</v>
      </c>
      <c r="L21" s="371"/>
      <c r="N21" s="251">
        <f t="shared" si="0"/>
        <v>26</v>
      </c>
      <c r="P21" s="248" t="s">
        <v>35</v>
      </c>
      <c r="Q21" s="355">
        <v>87</v>
      </c>
      <c r="R21" s="355">
        <v>88</v>
      </c>
      <c r="S21" s="355">
        <v>89</v>
      </c>
      <c r="T21" s="355">
        <v>90</v>
      </c>
      <c r="U21" s="355">
        <v>91</v>
      </c>
      <c r="V21" s="355">
        <v>92</v>
      </c>
      <c r="W21" s="355">
        <v>93</v>
      </c>
      <c r="X21" s="252"/>
      <c r="Y21" s="252"/>
      <c r="Z21" s="252"/>
      <c r="AA21" s="252"/>
      <c r="AB21" s="252"/>
      <c r="AC21" s="252"/>
      <c r="AD21" s="252"/>
      <c r="AE21" s="252"/>
      <c r="AF21" s="252"/>
      <c r="AG21" s="252"/>
      <c r="AH21" s="252"/>
      <c r="AI21" s="252"/>
      <c r="AJ21" s="252"/>
    </row>
    <row r="22" spans="1:36" ht="21" customHeight="1">
      <c r="A22" s="117">
        <f>IF(A21&lt;MAX(DiemHKI!$B$4:$B$58),A21+1,"")</f>
        <v>13</v>
      </c>
      <c r="B22" s="100" t="str">
        <f>IF($A22&lt;&gt;"",PROPER(INDEX(DiemHKI!$B$4:$CP$58,MATCH(InPDBM!$A22,DiemHKI!$B$4:$B$58,0),3)),"")</f>
        <v xml:space="preserve">Nguyễn Thị Thu </v>
      </c>
      <c r="C22" s="257" t="str">
        <f>IF($A22&lt;&gt;"",PROPER(INDEX(DiemHKI!$B$4:$CP$58,MATCH(InPDBM!$A22,DiemHKI!$B$4:$B$58,0),4)),"")</f>
        <v>Hiền</v>
      </c>
      <c r="D22" s="359" t="str">
        <f>IF($A22&lt;&gt;"",PROPER(INDEX(DiemHKI!$B$4:$CP$58,MATCH(InPDBM!$A22,DiemHKI!$B$4:$B$58,0),5)),"")</f>
        <v>20/05/2004</v>
      </c>
      <c r="E22" s="101">
        <f>IF($A22&lt;&gt;"",IF(INDEX(BDHKI,MATCH(InPDBM!$A22,DiemHKI!$B$4:$B$58,0),INDEX($P$10:$W$24,MATCH($D$6,$P$10:$P$24,0),Q$9))&lt;&gt;"",INDEX(BDHKI,MATCH(InPDBM!$A22,DiemHKI!$B$4:$B$58,0),INDEX($P$10:$W$24,MATCH($D$6,$P$10:$P$24,0),Q$9)),""),"")</f>
        <v>9</v>
      </c>
      <c r="F22" s="102">
        <f>IF($A22&lt;&gt;"",IF(INDEX(BDHKI,MATCH(InPDBM!$A22,DiemHKI!$B$4:$B$58,0),INDEX($P$10:$W$24,MATCH($D$6,$P$10:$P$24,0),R$9))&lt;&gt;"",INDEX(BDHKI,MATCH(InPDBM!$A22,DiemHKI!$B$4:$B$58,0),INDEX($P$10:$W$24,MATCH($D$6,$P$10:$P$24,0),R$9)),""),"")</f>
        <v>10</v>
      </c>
      <c r="G22" s="102">
        <f>IF($A22&lt;&gt;"",IF(INDEX(BDHKI,MATCH(InPDBM!$A22,DiemHKI!$B$4:$B$58,0),INDEX($P$10:$W$24,MATCH($D$6,$P$10:$P$24,0),S$9))&lt;&gt;"",INDEX(BDHKI,MATCH(InPDBM!$A22,DiemHKI!$B$4:$B$58,0),INDEX($P$10:$W$24,MATCH($D$6,$P$10:$P$24,0),S$9)),""),"")</f>
        <v>9</v>
      </c>
      <c r="H22" s="103">
        <f>IF($A22&lt;&gt;"",IF(INDEX(BDHKI,MATCH(InPDBM!$A22,DiemHKI!$B$4:$B$58,0),INDEX($P$10:$W$24,MATCH($D$6,$P$10:$P$24,0),T$9))&lt;&gt;"",INDEX(BDHKI,MATCH(InPDBM!$A22,DiemHKI!$B$4:$B$58,0),INDEX($P$10:$W$24,MATCH($D$6,$P$10:$P$24,0),T$9)),""),"")</f>
        <v>10</v>
      </c>
      <c r="I22" s="363">
        <f>IF($A22&lt;&gt;"",IF(INDEX(BDHKI,MATCH(InPDBM!$A22,DiemHKI!$B$4:$B$58,0),INDEX($P$10:$W$24,MATCH($D$6,$P$10:$P$24,0),U$9))&lt;&gt;"",INDEX(BDHKI,MATCH(InPDBM!$A22,DiemHKI!$B$4:$B$58,0),INDEX($P$10:$W$24,MATCH($D$6,$P$10:$P$24,0),U$9)),""),"")</f>
        <v>9.6</v>
      </c>
      <c r="J22" s="367">
        <f>IF($A22&lt;&gt;"",IF(INDEX(BDHKI,MATCH(InPDBM!$A22,DiemHKI!$B$4:$B$58,0),INDEX($P$10:$W$24,MATCH($D$6,$P$10:$P$24,0),V$9))&lt;&gt;"",INDEX(BDHKI,MATCH(InPDBM!$A22,DiemHKI!$B$4:$B$58,0),INDEX($P$10:$W$24,MATCH($D$6,$P$10:$P$24,0),V$9)),""),"")</f>
        <v>9.8000000000000007</v>
      </c>
      <c r="K22" s="375">
        <f>IF($A22&lt;&gt;"",IF(INDEX(BDHKI,MATCH(InPDBM!$A22,DiemHKI!$B$4:$B$58,0),INDEX($P$10:$W$24,MATCH($D$6,$P$10:$P$24,0),W$9))&lt;&gt;"",INDEX(BDHKI,MATCH(InPDBM!$A22,DiemHKI!$B$4:$B$58,0),INDEX($P$10:$W$24,MATCH($D$6,$P$10:$P$24,0),W$9)),""),"")</f>
        <v>9.6</v>
      </c>
      <c r="L22" s="371"/>
      <c r="N22" s="251">
        <f t="shared" si="0"/>
        <v>6</v>
      </c>
      <c r="P22" s="248" t="s">
        <v>121</v>
      </c>
      <c r="Q22" s="355">
        <v>94</v>
      </c>
      <c r="R22" s="355">
        <v>95</v>
      </c>
      <c r="S22" s="355">
        <v>96</v>
      </c>
      <c r="T22" s="355">
        <v>97</v>
      </c>
      <c r="U22" s="355">
        <v>98</v>
      </c>
      <c r="V22" s="355">
        <v>99</v>
      </c>
      <c r="W22" s="355">
        <v>100</v>
      </c>
      <c r="X22" s="252"/>
      <c r="Y22" s="252"/>
      <c r="Z22" s="252"/>
      <c r="AA22" s="252"/>
      <c r="AB22" s="252"/>
      <c r="AC22" s="252"/>
      <c r="AD22" s="252"/>
      <c r="AE22" s="252"/>
      <c r="AF22" s="252"/>
      <c r="AG22" s="252"/>
      <c r="AH22" s="252"/>
      <c r="AI22" s="252"/>
      <c r="AJ22" s="252"/>
    </row>
    <row r="23" spans="1:36" ht="21" customHeight="1">
      <c r="A23" s="117">
        <f>IF(A22&lt;MAX(DiemHKI!$B$4:$B$58),A22+1,"")</f>
        <v>14</v>
      </c>
      <c r="B23" s="100" t="str">
        <f>IF($A23&lt;&gt;"",PROPER(INDEX(DiemHKI!$B$4:$CP$58,MATCH(InPDBM!$A23,DiemHKI!$B$4:$B$58,0),3)),"")</f>
        <v>Lê Phan Ngọc</v>
      </c>
      <c r="C23" s="257" t="str">
        <f>IF($A23&lt;&gt;"",PROPER(INDEX(DiemHKI!$B$4:$CP$58,MATCH(InPDBM!$A23,DiemHKI!$B$4:$B$58,0),4)),"")</f>
        <v>Hiếu</v>
      </c>
      <c r="D23" s="359" t="str">
        <f>IF($A23&lt;&gt;"",PROPER(INDEX(DiemHKI!$B$4:$CP$58,MATCH(InPDBM!$A23,DiemHKI!$B$4:$B$58,0),5)),"")</f>
        <v>01/02/2004</v>
      </c>
      <c r="E23" s="101">
        <f>IF($A23&lt;&gt;"",IF(INDEX(BDHKI,MATCH(InPDBM!$A23,DiemHKI!$B$4:$B$58,0),INDEX($P$10:$W$24,MATCH($D$6,$P$10:$P$24,0),Q$9))&lt;&gt;"",INDEX(BDHKI,MATCH(InPDBM!$A23,DiemHKI!$B$4:$B$58,0),INDEX($P$10:$W$24,MATCH($D$6,$P$10:$P$24,0),Q$9)),""),"")</f>
        <v>9</v>
      </c>
      <c r="F23" s="102">
        <f>IF($A23&lt;&gt;"",IF(INDEX(BDHKI,MATCH(InPDBM!$A23,DiemHKI!$B$4:$B$58,0),INDEX($P$10:$W$24,MATCH($D$6,$P$10:$P$24,0),R$9))&lt;&gt;"",INDEX(BDHKI,MATCH(InPDBM!$A23,DiemHKI!$B$4:$B$58,0),INDEX($P$10:$W$24,MATCH($D$6,$P$10:$P$24,0),R$9)),""),"")</f>
        <v>9</v>
      </c>
      <c r="G23" s="102">
        <f>IF($A23&lt;&gt;"",IF(INDEX(BDHKI,MATCH(InPDBM!$A23,DiemHKI!$B$4:$B$58,0),INDEX($P$10:$W$24,MATCH($D$6,$P$10:$P$24,0),S$9))&lt;&gt;"",INDEX(BDHKI,MATCH(InPDBM!$A23,DiemHKI!$B$4:$B$58,0),INDEX($P$10:$W$24,MATCH($D$6,$P$10:$P$24,0),S$9)),""),"")</f>
        <v>9</v>
      </c>
      <c r="H23" s="103">
        <f>IF($A23&lt;&gt;"",IF(INDEX(BDHKI,MATCH(InPDBM!$A23,DiemHKI!$B$4:$B$58,0),INDEX($P$10:$W$24,MATCH($D$6,$P$10:$P$24,0),T$9))&lt;&gt;"",INDEX(BDHKI,MATCH(InPDBM!$A23,DiemHKI!$B$4:$B$58,0),INDEX($P$10:$W$24,MATCH($D$6,$P$10:$P$24,0),T$9)),""),"")</f>
        <v>10</v>
      </c>
      <c r="I23" s="363">
        <f>IF($A23&lt;&gt;"",IF(INDEX(BDHKI,MATCH(InPDBM!$A23,DiemHKI!$B$4:$B$58,0),INDEX($P$10:$W$24,MATCH($D$6,$P$10:$P$24,0),U$9))&lt;&gt;"",INDEX(BDHKI,MATCH(InPDBM!$A23,DiemHKI!$B$4:$B$58,0),INDEX($P$10:$W$24,MATCH($D$6,$P$10:$P$24,0),U$9)),""),"")</f>
        <v>8.8000000000000007</v>
      </c>
      <c r="J23" s="367">
        <f>IF($A23&lt;&gt;"",IF(INDEX(BDHKI,MATCH(InPDBM!$A23,DiemHKI!$B$4:$B$58,0),INDEX($P$10:$W$24,MATCH($D$6,$P$10:$P$24,0),V$9))&lt;&gt;"",INDEX(BDHKI,MATCH(InPDBM!$A23,DiemHKI!$B$4:$B$58,0),INDEX($P$10:$W$24,MATCH($D$6,$P$10:$P$24,0),V$9)),""),"")</f>
        <v>9.3000000000000007</v>
      </c>
      <c r="K23" s="375">
        <f>IF($A23&lt;&gt;"",IF(INDEX(BDHKI,MATCH(InPDBM!$A23,DiemHKI!$B$4:$B$58,0),INDEX($P$10:$W$24,MATCH($D$6,$P$10:$P$24,0),W$9))&lt;&gt;"",INDEX(BDHKI,MATCH(InPDBM!$A23,DiemHKI!$B$4:$B$58,0),INDEX($P$10:$W$24,MATCH($D$6,$P$10:$P$24,0),W$9)),""),"")</f>
        <v>9.1999999999999993</v>
      </c>
      <c r="L23" s="371"/>
      <c r="N23" s="251">
        <f t="shared" si="0"/>
        <v>23</v>
      </c>
      <c r="P23" s="248" t="s">
        <v>122</v>
      </c>
      <c r="Q23" s="355">
        <v>101</v>
      </c>
      <c r="R23" s="355">
        <v>102</v>
      </c>
      <c r="S23" s="355">
        <v>103</v>
      </c>
      <c r="T23" s="355">
        <v>104</v>
      </c>
      <c r="U23" s="355">
        <v>105</v>
      </c>
      <c r="V23" s="355">
        <v>106</v>
      </c>
      <c r="W23" s="355">
        <v>107</v>
      </c>
      <c r="X23" s="252"/>
      <c r="Y23" s="252"/>
      <c r="Z23" s="252"/>
      <c r="AA23" s="252"/>
      <c r="AB23" s="252"/>
      <c r="AC23" s="252"/>
      <c r="AD23" s="252"/>
      <c r="AE23" s="252"/>
      <c r="AF23" s="252"/>
      <c r="AG23" s="252"/>
      <c r="AH23" s="252"/>
      <c r="AI23" s="252"/>
      <c r="AJ23" s="252"/>
    </row>
    <row r="24" spans="1:36" ht="21" customHeight="1">
      <c r="A24" s="260">
        <f>IF(A23&lt;MAX(DiemHKI!$B$4:$B$58),A23+1,"")</f>
        <v>15</v>
      </c>
      <c r="B24" s="106" t="str">
        <f>IF($A24&lt;&gt;"",PROPER(INDEX(DiemHKI!$B$4:$CP$58,MATCH(InPDBM!$A24,DiemHKI!$B$4:$B$58,0),3)),"")</f>
        <v>Trần Hoàng</v>
      </c>
      <c r="C24" s="261" t="str">
        <f>IF($A24&lt;&gt;"",PROPER(INDEX(DiemHKI!$B$4:$CP$58,MATCH(InPDBM!$A24,DiemHKI!$B$4:$B$58,0),4)),"")</f>
        <v>Hưng</v>
      </c>
      <c r="D24" s="360" t="str">
        <f>IF($A24&lt;&gt;"",PROPER(INDEX(DiemHKI!$B$4:$CP$58,MATCH(InPDBM!$A24,DiemHKI!$B$4:$B$58,0),5)),"")</f>
        <v>11/06/2004</v>
      </c>
      <c r="E24" s="107">
        <f>IF($A24&lt;&gt;"",IF(INDEX(BDHKI,MATCH(InPDBM!$A24,DiemHKI!$B$4:$B$58,0),INDEX($P$10:$W$24,MATCH($D$6,$P$10:$P$24,0),Q$9))&lt;&gt;"",INDEX(BDHKI,MATCH(InPDBM!$A24,DiemHKI!$B$4:$B$58,0),INDEX($P$10:$W$24,MATCH($D$6,$P$10:$P$24,0),Q$9)),""),"")</f>
        <v>8</v>
      </c>
      <c r="F24" s="108">
        <f>IF($A24&lt;&gt;"",IF(INDEX(BDHKI,MATCH(InPDBM!$A24,DiemHKI!$B$4:$B$58,0),INDEX($P$10:$W$24,MATCH($D$6,$P$10:$P$24,0),R$9))&lt;&gt;"",INDEX(BDHKI,MATCH(InPDBM!$A24,DiemHKI!$B$4:$B$58,0),INDEX($P$10:$W$24,MATCH($D$6,$P$10:$P$24,0),R$9)),""),"")</f>
        <v>9</v>
      </c>
      <c r="G24" s="108">
        <f>IF($A24&lt;&gt;"",IF(INDEX(BDHKI,MATCH(InPDBM!$A24,DiemHKI!$B$4:$B$58,0),INDEX($P$10:$W$24,MATCH($D$6,$P$10:$P$24,0),S$9))&lt;&gt;"",INDEX(BDHKI,MATCH(InPDBM!$A24,DiemHKI!$B$4:$B$58,0),INDEX($P$10:$W$24,MATCH($D$6,$P$10:$P$24,0),S$9)),""),"")</f>
        <v>8</v>
      </c>
      <c r="H24" s="109">
        <f>IF($A24&lt;&gt;"",IF(INDEX(BDHKI,MATCH(InPDBM!$A24,DiemHKI!$B$4:$B$58,0),INDEX($P$10:$W$24,MATCH($D$6,$P$10:$P$24,0),T$9))&lt;&gt;"",INDEX(BDHKI,MATCH(InPDBM!$A24,DiemHKI!$B$4:$B$58,0),INDEX($P$10:$W$24,MATCH($D$6,$P$10:$P$24,0),T$9)),""),"")</f>
        <v>10</v>
      </c>
      <c r="I24" s="364">
        <f>IF($A24&lt;&gt;"",IF(INDEX(BDHKI,MATCH(InPDBM!$A24,DiemHKI!$B$4:$B$58,0),INDEX($P$10:$W$24,MATCH($D$6,$P$10:$P$24,0),U$9))&lt;&gt;"",INDEX(BDHKI,MATCH(InPDBM!$A24,DiemHKI!$B$4:$B$58,0),INDEX($P$10:$W$24,MATCH($D$6,$P$10:$P$24,0),U$9)),""),"")</f>
        <v>9</v>
      </c>
      <c r="J24" s="368">
        <f>IF($A24&lt;&gt;"",IF(INDEX(BDHKI,MATCH(InPDBM!$A24,DiemHKI!$B$4:$B$58,0),INDEX($P$10:$W$24,MATCH($D$6,$P$10:$P$24,0),V$9))&lt;&gt;"",INDEX(BDHKI,MATCH(InPDBM!$A24,DiemHKI!$B$4:$B$58,0),INDEX($P$10:$W$24,MATCH($D$6,$P$10:$P$24,0),V$9)),""),"")</f>
        <v>9.3000000000000007</v>
      </c>
      <c r="K24" s="376">
        <f>IF($A24&lt;&gt;"",IF(INDEX(BDHKI,MATCH(InPDBM!$A24,DiemHKI!$B$4:$B$58,0),INDEX($P$10:$W$24,MATCH($D$6,$P$10:$P$24,0),W$9))&lt;&gt;"",INDEX(BDHKI,MATCH(InPDBM!$A24,DiemHKI!$B$4:$B$58,0),INDEX($P$10:$W$24,MATCH($D$6,$P$10:$P$24,0),W$9)),""),"")</f>
        <v>9</v>
      </c>
      <c r="L24" s="372"/>
      <c r="N24" s="251">
        <f t="shared" si="0"/>
        <v>28</v>
      </c>
      <c r="P24" s="248" t="s">
        <v>247</v>
      </c>
      <c r="Q24" s="355">
        <v>108</v>
      </c>
      <c r="R24" s="355">
        <v>109</v>
      </c>
      <c r="S24" s="355">
        <v>110</v>
      </c>
      <c r="T24" s="355">
        <v>111</v>
      </c>
      <c r="U24" s="355"/>
      <c r="V24" s="355"/>
      <c r="W24" s="355"/>
    </row>
    <row r="25" spans="1:36" ht="21" customHeight="1">
      <c r="A25" s="264">
        <f>IF(A24&lt;MAX(DiemHKI!$B$4:$B$58),A24+1,"")</f>
        <v>16</v>
      </c>
      <c r="B25" s="112" t="str">
        <f>IF($A25&lt;&gt;"",PROPER(INDEX(DiemHKI!$B$4:$CP$58,MATCH(InPDBM!$A25,DiemHKI!$B$4:$B$58,0),3)),"")</f>
        <v>Trần Đăng</v>
      </c>
      <c r="C25" s="265" t="str">
        <f>IF($A25&lt;&gt;"",PROPER(INDEX(DiemHKI!$B$4:$CP$58,MATCH(InPDBM!$A25,DiemHKI!$B$4:$B$58,0),4)),"")</f>
        <v>Khải</v>
      </c>
      <c r="D25" s="361" t="str">
        <f>IF($A25&lt;&gt;"",PROPER(INDEX(DiemHKI!$B$4:$CP$58,MATCH(InPDBM!$A25,DiemHKI!$B$4:$B$58,0),5)),"")</f>
        <v>22/04/2004</v>
      </c>
      <c r="E25" s="113">
        <f>IF($A25&lt;&gt;"",IF(INDEX(BDHKI,MATCH(InPDBM!$A25,DiemHKI!$B$4:$B$58,0),INDEX($P$10:$W$24,MATCH($D$6,$P$10:$P$24,0),Q$9))&lt;&gt;"",INDEX(BDHKI,MATCH(InPDBM!$A25,DiemHKI!$B$4:$B$58,0),INDEX($P$10:$W$24,MATCH($D$6,$P$10:$P$24,0),Q$9)),""),"")</f>
        <v>10</v>
      </c>
      <c r="F25" s="114">
        <f>IF($A25&lt;&gt;"",IF(INDEX(BDHKI,MATCH(InPDBM!$A25,DiemHKI!$B$4:$B$58,0),INDEX($P$10:$W$24,MATCH($D$6,$P$10:$P$24,0),R$9))&lt;&gt;"",INDEX(BDHKI,MATCH(InPDBM!$A25,DiemHKI!$B$4:$B$58,0),INDEX($P$10:$W$24,MATCH($D$6,$P$10:$P$24,0),R$9)),""),"")</f>
        <v>10</v>
      </c>
      <c r="G25" s="114">
        <f>IF($A25&lt;&gt;"",IF(INDEX(BDHKI,MATCH(InPDBM!$A25,DiemHKI!$B$4:$B$58,0),INDEX($P$10:$W$24,MATCH($D$6,$P$10:$P$24,0),S$9))&lt;&gt;"",INDEX(BDHKI,MATCH(InPDBM!$A25,DiemHKI!$B$4:$B$58,0),INDEX($P$10:$W$24,MATCH($D$6,$P$10:$P$24,0),S$9)),""),"")</f>
        <v>10</v>
      </c>
      <c r="H25" s="115">
        <f>IF($A25&lt;&gt;"",IF(INDEX(BDHKI,MATCH(InPDBM!$A25,DiemHKI!$B$4:$B$58,0),INDEX($P$10:$W$24,MATCH($D$6,$P$10:$P$24,0),T$9))&lt;&gt;"",INDEX(BDHKI,MATCH(InPDBM!$A25,DiemHKI!$B$4:$B$58,0),INDEX($P$10:$W$24,MATCH($D$6,$P$10:$P$24,0),T$9)),""),"")</f>
        <v>9</v>
      </c>
      <c r="I25" s="362">
        <f>IF($A25&lt;&gt;"",IF(INDEX(BDHKI,MATCH(InPDBM!$A25,DiemHKI!$B$4:$B$58,0),INDEX($P$10:$W$24,MATCH($D$6,$P$10:$P$24,0),U$9))&lt;&gt;"",INDEX(BDHKI,MATCH(InPDBM!$A25,DiemHKI!$B$4:$B$58,0),INDEX($P$10:$W$24,MATCH($D$6,$P$10:$P$24,0),U$9)),""),"")</f>
        <v>9.1999999999999993</v>
      </c>
      <c r="J25" s="369">
        <f>IF($A25&lt;&gt;"",IF(INDEX(BDHKI,MATCH(InPDBM!$A25,DiemHKI!$B$4:$B$58,0),INDEX($P$10:$W$24,MATCH($D$6,$P$10:$P$24,0),V$9))&lt;&gt;"",INDEX(BDHKI,MATCH(InPDBM!$A25,DiemHKI!$B$4:$B$58,0),INDEX($P$10:$W$24,MATCH($D$6,$P$10:$P$24,0),V$9)),""),"")</f>
        <v>9.8000000000000007</v>
      </c>
      <c r="K25" s="377">
        <f>IF($A25&lt;&gt;"",IF(INDEX(BDHKI,MATCH(InPDBM!$A25,DiemHKI!$B$4:$B$58,0),INDEX($P$10:$W$24,MATCH($D$6,$P$10:$P$24,0),W$9))&lt;&gt;"",INDEX(BDHKI,MATCH(InPDBM!$A25,DiemHKI!$B$4:$B$58,0),INDEX($P$10:$W$24,MATCH($D$6,$P$10:$P$24,0),W$9)),""),"")</f>
        <v>9.6</v>
      </c>
      <c r="L25" s="370"/>
      <c r="N25" s="251">
        <f t="shared" si="0"/>
        <v>6</v>
      </c>
    </row>
    <row r="26" spans="1:36" ht="21" customHeight="1">
      <c r="A26" s="117">
        <f>IF(A25&lt;MAX(DiemHKI!$B$4:$B$58),A25+1,"")</f>
        <v>17</v>
      </c>
      <c r="B26" s="100" t="str">
        <f>IF($A26&lt;&gt;"",PROPER(INDEX(DiemHKI!$B$4:$CP$58,MATCH(InPDBM!$A26,DiemHKI!$B$4:$B$58,0),3)),"")</f>
        <v>Nguyễn Huỳnh Phúc</v>
      </c>
      <c r="C26" s="257" t="str">
        <f>IF($A26&lt;&gt;"",PROPER(INDEX(DiemHKI!$B$4:$CP$58,MATCH(InPDBM!$A26,DiemHKI!$B$4:$B$58,0),4)),"")</f>
        <v>Khang</v>
      </c>
      <c r="D26" s="359" t="str">
        <f>IF($A26&lt;&gt;"",PROPER(INDEX(DiemHKI!$B$4:$CP$58,MATCH(InPDBM!$A26,DiemHKI!$B$4:$B$58,0),5)),"")</f>
        <v>14/12/2004</v>
      </c>
      <c r="E26" s="101">
        <f>IF($A26&lt;&gt;"",IF(INDEX(BDHKI,MATCH(InPDBM!$A26,DiemHKI!$B$4:$B$58,0),INDEX($P$10:$W$24,MATCH($D$6,$P$10:$P$24,0),Q$9))&lt;&gt;"",INDEX(BDHKI,MATCH(InPDBM!$A26,DiemHKI!$B$4:$B$58,0),INDEX($P$10:$W$24,MATCH($D$6,$P$10:$P$24,0),Q$9)),""),"")</f>
        <v>10</v>
      </c>
      <c r="F26" s="102">
        <f>IF($A26&lt;&gt;"",IF(INDEX(BDHKI,MATCH(InPDBM!$A26,DiemHKI!$B$4:$B$58,0),INDEX($P$10:$W$24,MATCH($D$6,$P$10:$P$24,0),R$9))&lt;&gt;"",INDEX(BDHKI,MATCH(InPDBM!$A26,DiemHKI!$B$4:$B$58,0),INDEX($P$10:$W$24,MATCH($D$6,$P$10:$P$24,0),R$9)),""),"")</f>
        <v>8</v>
      </c>
      <c r="G26" s="102">
        <f>IF($A26&lt;&gt;"",IF(INDEX(BDHKI,MATCH(InPDBM!$A26,DiemHKI!$B$4:$B$58,0),INDEX($P$10:$W$24,MATCH($D$6,$P$10:$P$24,0),S$9))&lt;&gt;"",INDEX(BDHKI,MATCH(InPDBM!$A26,DiemHKI!$B$4:$B$58,0),INDEX($P$10:$W$24,MATCH($D$6,$P$10:$P$24,0),S$9)),""),"")</f>
        <v>10</v>
      </c>
      <c r="H26" s="103">
        <f>IF($A26&lt;&gt;"",IF(INDEX(BDHKI,MATCH(InPDBM!$A26,DiemHKI!$B$4:$B$58,0),INDEX($P$10:$W$24,MATCH($D$6,$P$10:$P$24,0),T$9))&lt;&gt;"",INDEX(BDHKI,MATCH(InPDBM!$A26,DiemHKI!$B$4:$B$58,0),INDEX($P$10:$W$24,MATCH($D$6,$P$10:$P$24,0),T$9)),""),"")</f>
        <v>9</v>
      </c>
      <c r="I26" s="363">
        <f>IF($A26&lt;&gt;"",IF(INDEX(BDHKI,MATCH(InPDBM!$A26,DiemHKI!$B$4:$B$58,0),INDEX($P$10:$W$24,MATCH($D$6,$P$10:$P$24,0),U$9))&lt;&gt;"",INDEX(BDHKI,MATCH(InPDBM!$A26,DiemHKI!$B$4:$B$58,0),INDEX($P$10:$W$24,MATCH($D$6,$P$10:$P$24,0),U$9)),""),"")</f>
        <v>7.6</v>
      </c>
      <c r="J26" s="367">
        <f>IF($A26&lt;&gt;"",IF(INDEX(BDHKI,MATCH(InPDBM!$A26,DiemHKI!$B$4:$B$58,0),INDEX($P$10:$W$24,MATCH($D$6,$P$10:$P$24,0),V$9))&lt;&gt;"",INDEX(BDHKI,MATCH(InPDBM!$A26,DiemHKI!$B$4:$B$58,0),INDEX($P$10:$W$24,MATCH($D$6,$P$10:$P$24,0),V$9)),""),"")</f>
        <v>7.5</v>
      </c>
      <c r="K26" s="375">
        <f>IF($A26&lt;&gt;"",IF(INDEX(BDHKI,MATCH(InPDBM!$A26,DiemHKI!$B$4:$B$58,0),INDEX($P$10:$W$24,MATCH($D$6,$P$10:$P$24,0),W$9))&lt;&gt;"",INDEX(BDHKI,MATCH(InPDBM!$A26,DiemHKI!$B$4:$B$58,0),INDEX($P$10:$W$24,MATCH($D$6,$P$10:$P$24,0),W$9)),""),"")</f>
        <v>8.3000000000000007</v>
      </c>
      <c r="L26" s="371"/>
      <c r="N26" s="251">
        <f t="shared" si="0"/>
        <v>36</v>
      </c>
    </row>
    <row r="27" spans="1:36" ht="21" customHeight="1">
      <c r="A27" s="117">
        <f>IF(A26&lt;MAX(DiemHKI!$B$4:$B$58),A26+1,"")</f>
        <v>18</v>
      </c>
      <c r="B27" s="100" t="str">
        <f>IF($A27&lt;&gt;"",PROPER(INDEX(DiemHKI!$B$4:$CP$58,MATCH(InPDBM!$A27,DiemHKI!$B$4:$B$58,0),3)),"")</f>
        <v>Nguyễn Đăng</v>
      </c>
      <c r="C27" s="257" t="str">
        <f>IF($A27&lt;&gt;"",PROPER(INDEX(DiemHKI!$B$4:$CP$58,MATCH(InPDBM!$A27,DiemHKI!$B$4:$B$58,0),4)),"")</f>
        <v>Khoa</v>
      </c>
      <c r="D27" s="359" t="str">
        <f>IF($A27&lt;&gt;"",PROPER(INDEX(DiemHKI!$B$4:$CP$58,MATCH(InPDBM!$A27,DiemHKI!$B$4:$B$58,0),5)),"")</f>
        <v>07/11/2004</v>
      </c>
      <c r="E27" s="101">
        <f>IF($A27&lt;&gt;"",IF(INDEX(BDHKI,MATCH(InPDBM!$A27,DiemHKI!$B$4:$B$58,0),INDEX($P$10:$W$24,MATCH($D$6,$P$10:$P$24,0),Q$9))&lt;&gt;"",INDEX(BDHKI,MATCH(InPDBM!$A27,DiemHKI!$B$4:$B$58,0),INDEX($P$10:$W$24,MATCH($D$6,$P$10:$P$24,0),Q$9)),""),"")</f>
        <v>10</v>
      </c>
      <c r="F27" s="102">
        <f>IF($A27&lt;&gt;"",IF(INDEX(BDHKI,MATCH(InPDBM!$A27,DiemHKI!$B$4:$B$58,0),INDEX($P$10:$W$24,MATCH($D$6,$P$10:$P$24,0),R$9))&lt;&gt;"",INDEX(BDHKI,MATCH(InPDBM!$A27,DiemHKI!$B$4:$B$58,0),INDEX($P$10:$W$24,MATCH($D$6,$P$10:$P$24,0),R$9)),""),"")</f>
        <v>10</v>
      </c>
      <c r="G27" s="102">
        <f>IF($A27&lt;&gt;"",IF(INDEX(BDHKI,MATCH(InPDBM!$A27,DiemHKI!$B$4:$B$58,0),INDEX($P$10:$W$24,MATCH($D$6,$P$10:$P$24,0),S$9))&lt;&gt;"",INDEX(BDHKI,MATCH(InPDBM!$A27,DiemHKI!$B$4:$B$58,0),INDEX($P$10:$W$24,MATCH($D$6,$P$10:$P$24,0),S$9)),""),"")</f>
        <v>10</v>
      </c>
      <c r="H27" s="103">
        <f>IF($A27&lt;&gt;"",IF(INDEX(BDHKI,MATCH(InPDBM!$A27,DiemHKI!$B$4:$B$58,0),INDEX($P$10:$W$24,MATCH($D$6,$P$10:$P$24,0),T$9))&lt;&gt;"",INDEX(BDHKI,MATCH(InPDBM!$A27,DiemHKI!$B$4:$B$58,0),INDEX($P$10:$W$24,MATCH($D$6,$P$10:$P$24,0),T$9)),""),"")</f>
        <v>10</v>
      </c>
      <c r="I27" s="363">
        <f>IF($A27&lt;&gt;"",IF(INDEX(BDHKI,MATCH(InPDBM!$A27,DiemHKI!$B$4:$B$58,0),INDEX($P$10:$W$24,MATCH($D$6,$P$10:$P$24,0),U$9))&lt;&gt;"",INDEX(BDHKI,MATCH(InPDBM!$A27,DiemHKI!$B$4:$B$58,0),INDEX($P$10:$W$24,MATCH($D$6,$P$10:$P$24,0),U$9)),""),"")</f>
        <v>9.6</v>
      </c>
      <c r="J27" s="367">
        <f>IF($A27&lt;&gt;"",IF(INDEX(BDHKI,MATCH(InPDBM!$A27,DiemHKI!$B$4:$B$58,0),INDEX($P$10:$W$24,MATCH($D$6,$P$10:$P$24,0),V$9))&lt;&gt;"",INDEX(BDHKI,MATCH(InPDBM!$A27,DiemHKI!$B$4:$B$58,0),INDEX($P$10:$W$24,MATCH($D$6,$P$10:$P$24,0),V$9)),""),"")</f>
        <v>10</v>
      </c>
      <c r="K27" s="375">
        <f>IF($A27&lt;&gt;"",IF(INDEX(BDHKI,MATCH(InPDBM!$A27,DiemHKI!$B$4:$B$58,0),INDEX($P$10:$W$24,MATCH($D$6,$P$10:$P$24,0),W$9))&lt;&gt;"",INDEX(BDHKI,MATCH(InPDBM!$A27,DiemHKI!$B$4:$B$58,0),INDEX($P$10:$W$24,MATCH($D$6,$P$10:$P$24,0),W$9)),""),"")</f>
        <v>9.9</v>
      </c>
      <c r="L27" s="371"/>
      <c r="N27" s="251">
        <f t="shared" si="0"/>
        <v>1</v>
      </c>
    </row>
    <row r="28" spans="1:36" ht="21" customHeight="1">
      <c r="A28" s="117">
        <f>IF(A27&lt;MAX(DiemHKI!$B$4:$B$58),A27+1,"")</f>
        <v>19</v>
      </c>
      <c r="B28" s="100" t="str">
        <f>IF($A28&lt;&gt;"",PROPER(INDEX(DiemHKI!$B$4:$CP$58,MATCH(InPDBM!$A28,DiemHKI!$B$4:$B$58,0),3)),"")</f>
        <v>Lê Tiến</v>
      </c>
      <c r="C28" s="257" t="str">
        <f>IF($A28&lt;&gt;"",PROPER(INDEX(DiemHKI!$B$4:$CP$58,MATCH(InPDBM!$A28,DiemHKI!$B$4:$B$58,0),4)),"")</f>
        <v>Khôi</v>
      </c>
      <c r="D28" s="359" t="str">
        <f>IF($A28&lt;&gt;"",PROPER(INDEX(DiemHKI!$B$4:$CP$58,MATCH(InPDBM!$A28,DiemHKI!$B$4:$B$58,0),5)),"")</f>
        <v>14/10/2004</v>
      </c>
      <c r="E28" s="101">
        <f>IF($A28&lt;&gt;"",IF(INDEX(BDHKI,MATCH(InPDBM!$A28,DiemHKI!$B$4:$B$58,0),INDEX($P$10:$W$24,MATCH($D$6,$P$10:$P$24,0),Q$9))&lt;&gt;"",INDEX(BDHKI,MATCH(InPDBM!$A28,DiemHKI!$B$4:$B$58,0),INDEX($P$10:$W$24,MATCH($D$6,$P$10:$P$24,0),Q$9)),""),"")</f>
        <v>10</v>
      </c>
      <c r="F28" s="102">
        <f>IF($A28&lt;&gt;"",IF(INDEX(BDHKI,MATCH(InPDBM!$A28,DiemHKI!$B$4:$B$58,0),INDEX($P$10:$W$24,MATCH($D$6,$P$10:$P$24,0),R$9))&lt;&gt;"",INDEX(BDHKI,MATCH(InPDBM!$A28,DiemHKI!$B$4:$B$58,0),INDEX($P$10:$W$24,MATCH($D$6,$P$10:$P$24,0),R$9)),""),"")</f>
        <v>10</v>
      </c>
      <c r="G28" s="102">
        <f>IF($A28&lt;&gt;"",IF(INDEX(BDHKI,MATCH(InPDBM!$A28,DiemHKI!$B$4:$B$58,0),INDEX($P$10:$W$24,MATCH($D$6,$P$10:$P$24,0),S$9))&lt;&gt;"",INDEX(BDHKI,MATCH(InPDBM!$A28,DiemHKI!$B$4:$B$58,0),INDEX($P$10:$W$24,MATCH($D$6,$P$10:$P$24,0),S$9)),""),"")</f>
        <v>10</v>
      </c>
      <c r="H28" s="103">
        <f>IF($A28&lt;&gt;"",IF(INDEX(BDHKI,MATCH(InPDBM!$A28,DiemHKI!$B$4:$B$58,0),INDEX($P$10:$W$24,MATCH($D$6,$P$10:$P$24,0),T$9))&lt;&gt;"",INDEX(BDHKI,MATCH(InPDBM!$A28,DiemHKI!$B$4:$B$58,0),INDEX($P$10:$W$24,MATCH($D$6,$P$10:$P$24,0),T$9)),""),"")</f>
        <v>10</v>
      </c>
      <c r="I28" s="363">
        <f>IF($A28&lt;&gt;"",IF(INDEX(BDHKI,MATCH(InPDBM!$A28,DiemHKI!$B$4:$B$58,0),INDEX($P$10:$W$24,MATCH($D$6,$P$10:$P$24,0),U$9))&lt;&gt;"",INDEX(BDHKI,MATCH(InPDBM!$A28,DiemHKI!$B$4:$B$58,0),INDEX($P$10:$W$24,MATCH($D$6,$P$10:$P$24,0),U$9)),""),"")</f>
        <v>9.8000000000000007</v>
      </c>
      <c r="J28" s="367">
        <f>IF($A28&lt;&gt;"",IF(INDEX(BDHKI,MATCH(InPDBM!$A28,DiemHKI!$B$4:$B$58,0),INDEX($P$10:$W$24,MATCH($D$6,$P$10:$P$24,0),V$9))&lt;&gt;"",INDEX(BDHKI,MATCH(InPDBM!$A28,DiemHKI!$B$4:$B$58,0),INDEX($P$10:$W$24,MATCH($D$6,$P$10:$P$24,0),V$9)),""),"")</f>
        <v>9.8000000000000007</v>
      </c>
      <c r="K28" s="375">
        <f>IF($A28&lt;&gt;"",IF(INDEX(BDHKI,MATCH(InPDBM!$A28,DiemHKI!$B$4:$B$58,0),INDEX($P$10:$W$24,MATCH($D$6,$P$10:$P$24,0),W$9))&lt;&gt;"",INDEX(BDHKI,MATCH(InPDBM!$A28,DiemHKI!$B$4:$B$58,0),INDEX($P$10:$W$24,MATCH($D$6,$P$10:$P$24,0),W$9)),""),"")</f>
        <v>9.9</v>
      </c>
      <c r="L28" s="371"/>
      <c r="N28" s="251">
        <f t="shared" si="0"/>
        <v>1</v>
      </c>
    </row>
    <row r="29" spans="1:36" ht="21" customHeight="1">
      <c r="A29" s="260">
        <f>IF(A28&lt;MAX(DiemHKI!$B$4:$B$58),A28+1,"")</f>
        <v>20</v>
      </c>
      <c r="B29" s="106" t="str">
        <f>IF($A29&lt;&gt;"",PROPER(INDEX(DiemHKI!$B$4:$CP$58,MATCH(InPDBM!$A29,DiemHKI!$B$4:$B$58,0),3)),"")</f>
        <v>Nguyễn Phúc</v>
      </c>
      <c r="C29" s="261" t="str">
        <f>IF($A29&lt;&gt;"",PROPER(INDEX(DiemHKI!$B$4:$CP$58,MATCH(InPDBM!$A29,DiemHKI!$B$4:$B$58,0),4)),"")</f>
        <v>Lâm</v>
      </c>
      <c r="D29" s="360" t="str">
        <f>IF($A29&lt;&gt;"",PROPER(INDEX(DiemHKI!$B$4:$CP$58,MATCH(InPDBM!$A29,DiemHKI!$B$4:$B$58,0),5)),"")</f>
        <v>02/04/2004</v>
      </c>
      <c r="E29" s="107">
        <f>IF($A29&lt;&gt;"",IF(INDEX(BDHKI,MATCH(InPDBM!$A29,DiemHKI!$B$4:$B$58,0),INDEX($P$10:$W$24,MATCH($D$6,$P$10:$P$24,0),Q$9))&lt;&gt;"",INDEX(BDHKI,MATCH(InPDBM!$A29,DiemHKI!$B$4:$B$58,0),INDEX($P$10:$W$24,MATCH($D$6,$P$10:$P$24,0),Q$9)),""),"")</f>
        <v>10</v>
      </c>
      <c r="F29" s="108">
        <f>IF($A29&lt;&gt;"",IF(INDEX(BDHKI,MATCH(InPDBM!$A29,DiemHKI!$B$4:$B$58,0),INDEX($P$10:$W$24,MATCH($D$6,$P$10:$P$24,0),R$9))&lt;&gt;"",INDEX(BDHKI,MATCH(InPDBM!$A29,DiemHKI!$B$4:$B$58,0),INDEX($P$10:$W$24,MATCH($D$6,$P$10:$P$24,0),R$9)),""),"")</f>
        <v>9</v>
      </c>
      <c r="G29" s="108">
        <f>IF($A29&lt;&gt;"",IF(INDEX(BDHKI,MATCH(InPDBM!$A29,DiemHKI!$B$4:$B$58,0),INDEX($P$10:$W$24,MATCH($D$6,$P$10:$P$24,0),S$9))&lt;&gt;"",INDEX(BDHKI,MATCH(InPDBM!$A29,DiemHKI!$B$4:$B$58,0),INDEX($P$10:$W$24,MATCH($D$6,$P$10:$P$24,0),S$9)),""),"")</f>
        <v>10</v>
      </c>
      <c r="H29" s="109">
        <f>IF($A29&lt;&gt;"",IF(INDEX(BDHKI,MATCH(InPDBM!$A29,DiemHKI!$B$4:$B$58,0),INDEX($P$10:$W$24,MATCH($D$6,$P$10:$P$24,0),T$9))&lt;&gt;"",INDEX(BDHKI,MATCH(InPDBM!$A29,DiemHKI!$B$4:$B$58,0),INDEX($P$10:$W$24,MATCH($D$6,$P$10:$P$24,0),T$9)),""),"")</f>
        <v>9</v>
      </c>
      <c r="I29" s="364">
        <f>IF($A29&lt;&gt;"",IF(INDEX(BDHKI,MATCH(InPDBM!$A29,DiemHKI!$B$4:$B$58,0),INDEX($P$10:$W$24,MATCH($D$6,$P$10:$P$24,0),U$9))&lt;&gt;"",INDEX(BDHKI,MATCH(InPDBM!$A29,DiemHKI!$B$4:$B$58,0),INDEX($P$10:$W$24,MATCH($D$6,$P$10:$P$24,0),U$9)),""),"")</f>
        <v>8.8000000000000007</v>
      </c>
      <c r="J29" s="368">
        <f>IF($A29&lt;&gt;"",IF(INDEX(BDHKI,MATCH(InPDBM!$A29,DiemHKI!$B$4:$B$58,0),INDEX($P$10:$W$24,MATCH($D$6,$P$10:$P$24,0),V$9))&lt;&gt;"",INDEX(BDHKI,MATCH(InPDBM!$A29,DiemHKI!$B$4:$B$58,0),INDEX($P$10:$W$24,MATCH($D$6,$P$10:$P$24,0),V$9)),""),"")</f>
        <v>9.5</v>
      </c>
      <c r="K29" s="376">
        <f>IF($A29&lt;&gt;"",IF(INDEX(BDHKI,MATCH(InPDBM!$A29,DiemHKI!$B$4:$B$58,0),INDEX($P$10:$W$24,MATCH($D$6,$P$10:$P$24,0),W$9))&lt;&gt;"",INDEX(BDHKI,MATCH(InPDBM!$A29,DiemHKI!$B$4:$B$58,0),INDEX($P$10:$W$24,MATCH($D$6,$P$10:$P$24,0),W$9)),""),"")</f>
        <v>9.3000000000000007</v>
      </c>
      <c r="L29" s="372"/>
      <c r="N29" s="251">
        <f t="shared" si="0"/>
        <v>18</v>
      </c>
    </row>
    <row r="30" spans="1:36" ht="21" customHeight="1">
      <c r="A30" s="264">
        <f>IF(A29&lt;MAX(DiemHKI!$B$4:$B$58),A29+1,"")</f>
        <v>21</v>
      </c>
      <c r="B30" s="112" t="str">
        <f>IF($A30&lt;&gt;"",PROPER(INDEX(DiemHKI!$B$4:$CP$58,MATCH(InPDBM!$A30,DiemHKI!$B$4:$B$58,0),3)),"")</f>
        <v>Phạm Tấn</v>
      </c>
      <c r="C30" s="265" t="str">
        <f>IF($A30&lt;&gt;"",PROPER(INDEX(DiemHKI!$B$4:$CP$58,MATCH(InPDBM!$A30,DiemHKI!$B$4:$B$58,0),4)),"")</f>
        <v>Lộc</v>
      </c>
      <c r="D30" s="361" t="str">
        <f>IF($A30&lt;&gt;"",PROPER(INDEX(DiemHKI!$B$4:$CP$58,MATCH(InPDBM!$A30,DiemHKI!$B$4:$B$58,0),5)),"")</f>
        <v>05/07/2004</v>
      </c>
      <c r="E30" s="113">
        <f>IF($A30&lt;&gt;"",IF(INDEX(BDHKI,MATCH(InPDBM!$A30,DiemHKI!$B$4:$B$58,0),INDEX($P$10:$W$24,MATCH($D$6,$P$10:$P$24,0),Q$9))&lt;&gt;"",INDEX(BDHKI,MATCH(InPDBM!$A30,DiemHKI!$B$4:$B$58,0),INDEX($P$10:$W$24,MATCH($D$6,$P$10:$P$24,0),Q$9)),""),"")</f>
        <v>10</v>
      </c>
      <c r="F30" s="114">
        <f>IF($A30&lt;&gt;"",IF(INDEX(BDHKI,MATCH(InPDBM!$A30,DiemHKI!$B$4:$B$58,0),INDEX($P$10:$W$24,MATCH($D$6,$P$10:$P$24,0),R$9))&lt;&gt;"",INDEX(BDHKI,MATCH(InPDBM!$A30,DiemHKI!$B$4:$B$58,0),INDEX($P$10:$W$24,MATCH($D$6,$P$10:$P$24,0),R$9)),""),"")</f>
        <v>8</v>
      </c>
      <c r="G30" s="114">
        <f>IF($A30&lt;&gt;"",IF(INDEX(BDHKI,MATCH(InPDBM!$A30,DiemHKI!$B$4:$B$58,0),INDEX($P$10:$W$24,MATCH($D$6,$P$10:$P$24,0),S$9))&lt;&gt;"",INDEX(BDHKI,MATCH(InPDBM!$A30,DiemHKI!$B$4:$B$58,0),INDEX($P$10:$W$24,MATCH($D$6,$P$10:$P$24,0),S$9)),""),"")</f>
        <v>10</v>
      </c>
      <c r="H30" s="115">
        <f>IF($A30&lt;&gt;"",IF(INDEX(BDHKI,MATCH(InPDBM!$A30,DiemHKI!$B$4:$B$58,0),INDEX($P$10:$W$24,MATCH($D$6,$P$10:$P$24,0),T$9))&lt;&gt;"",INDEX(BDHKI,MATCH(InPDBM!$A30,DiemHKI!$B$4:$B$58,0),INDEX($P$10:$W$24,MATCH($D$6,$P$10:$P$24,0),T$9)),""),"")</f>
        <v>9</v>
      </c>
      <c r="I30" s="362">
        <f>IF($A30&lt;&gt;"",IF(INDEX(BDHKI,MATCH(InPDBM!$A30,DiemHKI!$B$4:$B$58,0),INDEX($P$10:$W$24,MATCH($D$6,$P$10:$P$24,0),U$9))&lt;&gt;"",INDEX(BDHKI,MATCH(InPDBM!$A30,DiemHKI!$B$4:$B$58,0),INDEX($P$10:$W$24,MATCH($D$6,$P$10:$P$24,0),U$9)),""),"")</f>
        <v>8.6</v>
      </c>
      <c r="J30" s="369">
        <f>IF($A30&lt;&gt;"",IF(INDEX(BDHKI,MATCH(InPDBM!$A30,DiemHKI!$B$4:$B$58,0),INDEX($P$10:$W$24,MATCH($D$6,$P$10:$P$24,0),V$9))&lt;&gt;"",INDEX(BDHKI,MATCH(InPDBM!$A30,DiemHKI!$B$4:$B$58,0),INDEX($P$10:$W$24,MATCH($D$6,$P$10:$P$24,0),V$9)),""),"")</f>
        <v>9.3000000000000007</v>
      </c>
      <c r="K30" s="377">
        <f>IF($A30&lt;&gt;"",IF(INDEX(BDHKI,MATCH(InPDBM!$A30,DiemHKI!$B$4:$B$58,0),INDEX($P$10:$W$24,MATCH($D$6,$P$10:$P$24,0),W$9))&lt;&gt;"",INDEX(BDHKI,MATCH(InPDBM!$A30,DiemHKI!$B$4:$B$58,0),INDEX($P$10:$W$24,MATCH($D$6,$P$10:$P$24,0),W$9)),""),"")</f>
        <v>9.1</v>
      </c>
      <c r="L30" s="370"/>
      <c r="N30" s="251">
        <f t="shared" si="0"/>
        <v>26</v>
      </c>
    </row>
    <row r="31" spans="1:36" ht="21" customHeight="1">
      <c r="A31" s="117">
        <f>IF(A30&lt;MAX(DiemHKI!$B$4:$B$58),A30+1,"")</f>
        <v>22</v>
      </c>
      <c r="B31" s="100" t="str">
        <f>IF($A31&lt;&gt;"",PROPER(INDEX(DiemHKI!$B$4:$CP$58,MATCH(InPDBM!$A31,DiemHKI!$B$4:$B$58,0),3)),"")</f>
        <v xml:space="preserve">Phạm Thị Khả </v>
      </c>
      <c r="C31" s="257" t="str">
        <f>IF($A31&lt;&gt;"",PROPER(INDEX(DiemHKI!$B$4:$CP$58,MATCH(InPDBM!$A31,DiemHKI!$B$4:$B$58,0),4)),"")</f>
        <v>My</v>
      </c>
      <c r="D31" s="359" t="str">
        <f>IF($A31&lt;&gt;"",PROPER(INDEX(DiemHKI!$B$4:$CP$58,MATCH(InPDBM!$A31,DiemHKI!$B$4:$B$58,0),5)),"")</f>
        <v>28/02/2004</v>
      </c>
      <c r="E31" s="101">
        <f>IF($A31&lt;&gt;"",IF(INDEX(BDHKI,MATCH(InPDBM!$A31,DiemHKI!$B$4:$B$58,0),INDEX($P$10:$W$24,MATCH($D$6,$P$10:$P$24,0),Q$9))&lt;&gt;"",INDEX(BDHKI,MATCH(InPDBM!$A31,DiemHKI!$B$4:$B$58,0),INDEX($P$10:$W$24,MATCH($D$6,$P$10:$P$24,0),Q$9)),""),"")</f>
        <v>9</v>
      </c>
      <c r="F31" s="102">
        <f>IF($A31&lt;&gt;"",IF(INDEX(BDHKI,MATCH(InPDBM!$A31,DiemHKI!$B$4:$B$58,0),INDEX($P$10:$W$24,MATCH($D$6,$P$10:$P$24,0),R$9))&lt;&gt;"",INDEX(BDHKI,MATCH(InPDBM!$A31,DiemHKI!$B$4:$B$58,0),INDEX($P$10:$W$24,MATCH($D$6,$P$10:$P$24,0),R$9)),""),"")</f>
        <v>9</v>
      </c>
      <c r="G31" s="102">
        <f>IF($A31&lt;&gt;"",IF(INDEX(BDHKI,MATCH(InPDBM!$A31,DiemHKI!$B$4:$B$58,0),INDEX($P$10:$W$24,MATCH($D$6,$P$10:$P$24,0),S$9))&lt;&gt;"",INDEX(BDHKI,MATCH(InPDBM!$A31,DiemHKI!$B$4:$B$58,0),INDEX($P$10:$W$24,MATCH($D$6,$P$10:$P$24,0),S$9)),""),"")</f>
        <v>9</v>
      </c>
      <c r="H31" s="103">
        <f>IF($A31&lt;&gt;"",IF(INDEX(BDHKI,MATCH(InPDBM!$A31,DiemHKI!$B$4:$B$58,0),INDEX($P$10:$W$24,MATCH($D$6,$P$10:$P$24,0),T$9))&lt;&gt;"",INDEX(BDHKI,MATCH(InPDBM!$A31,DiemHKI!$B$4:$B$58,0),INDEX($P$10:$W$24,MATCH($D$6,$P$10:$P$24,0),T$9)),""),"")</f>
        <v>10</v>
      </c>
      <c r="I31" s="363">
        <f>IF($A31&lt;&gt;"",IF(INDEX(BDHKI,MATCH(InPDBM!$A31,DiemHKI!$B$4:$B$58,0),INDEX($P$10:$W$24,MATCH($D$6,$P$10:$P$24,0),U$9))&lt;&gt;"",INDEX(BDHKI,MATCH(InPDBM!$A31,DiemHKI!$B$4:$B$58,0),INDEX($P$10:$W$24,MATCH($D$6,$P$10:$P$24,0),U$9)),""),"")</f>
        <v>9</v>
      </c>
      <c r="J31" s="367">
        <f>IF($A31&lt;&gt;"",IF(INDEX(BDHKI,MATCH(InPDBM!$A31,DiemHKI!$B$4:$B$58,0),INDEX($P$10:$W$24,MATCH($D$6,$P$10:$P$24,0),V$9))&lt;&gt;"",INDEX(BDHKI,MATCH(InPDBM!$A31,DiemHKI!$B$4:$B$58,0),INDEX($P$10:$W$24,MATCH($D$6,$P$10:$P$24,0),V$9)),""),"")</f>
        <v>9.8000000000000007</v>
      </c>
      <c r="K31" s="375">
        <f>IF($A31&lt;&gt;"",IF(INDEX(BDHKI,MATCH(InPDBM!$A31,DiemHKI!$B$4:$B$58,0),INDEX($P$10:$W$24,MATCH($D$6,$P$10:$P$24,0),W$9))&lt;&gt;"",INDEX(BDHKI,MATCH(InPDBM!$A31,DiemHKI!$B$4:$B$58,0),INDEX($P$10:$W$24,MATCH($D$6,$P$10:$P$24,0),W$9)),""),"")</f>
        <v>9.4</v>
      </c>
      <c r="L31" s="371"/>
      <c r="N31" s="251">
        <f t="shared" si="0"/>
        <v>13</v>
      </c>
    </row>
    <row r="32" spans="1:36" ht="21" customHeight="1">
      <c r="A32" s="117">
        <f>IF(A31&lt;MAX(DiemHKI!$B$4:$B$58),A31+1,"")</f>
        <v>23</v>
      </c>
      <c r="B32" s="100" t="str">
        <f>IF($A32&lt;&gt;"",PROPER(INDEX(DiemHKI!$B$4:$CP$58,MATCH(InPDBM!$A32,DiemHKI!$B$4:$B$58,0),3)),"")</f>
        <v>Lê</v>
      </c>
      <c r="C32" s="257" t="str">
        <f>IF($A32&lt;&gt;"",PROPER(INDEX(DiemHKI!$B$4:$CP$58,MATCH(InPDBM!$A32,DiemHKI!$B$4:$B$58,0),4)),"")</f>
        <v>Na</v>
      </c>
      <c r="D32" s="359" t="str">
        <f>IF($A32&lt;&gt;"",PROPER(INDEX(DiemHKI!$B$4:$CP$58,MATCH(InPDBM!$A32,DiemHKI!$B$4:$B$58,0),5)),"")</f>
        <v>29/02/2004</v>
      </c>
      <c r="E32" s="101">
        <f>IF($A32&lt;&gt;"",IF(INDEX(BDHKI,MATCH(InPDBM!$A32,DiemHKI!$B$4:$B$58,0),INDEX($P$10:$W$24,MATCH($D$6,$P$10:$P$24,0),Q$9))&lt;&gt;"",INDEX(BDHKI,MATCH(InPDBM!$A32,DiemHKI!$B$4:$B$58,0),INDEX($P$10:$W$24,MATCH($D$6,$P$10:$P$24,0),Q$9)),""),"")</f>
        <v>9</v>
      </c>
      <c r="F32" s="102">
        <f>IF($A32&lt;&gt;"",IF(INDEX(BDHKI,MATCH(InPDBM!$A32,DiemHKI!$B$4:$B$58,0),INDEX($P$10:$W$24,MATCH($D$6,$P$10:$P$24,0),R$9))&lt;&gt;"",INDEX(BDHKI,MATCH(InPDBM!$A32,DiemHKI!$B$4:$B$58,0),INDEX($P$10:$W$24,MATCH($D$6,$P$10:$P$24,0),R$9)),""),"")</f>
        <v>8</v>
      </c>
      <c r="G32" s="102">
        <f>IF($A32&lt;&gt;"",IF(INDEX(BDHKI,MATCH(InPDBM!$A32,DiemHKI!$B$4:$B$58,0),INDEX($P$10:$W$24,MATCH($D$6,$P$10:$P$24,0),S$9))&lt;&gt;"",INDEX(BDHKI,MATCH(InPDBM!$A32,DiemHKI!$B$4:$B$58,0),INDEX($P$10:$W$24,MATCH($D$6,$P$10:$P$24,0),S$9)),""),"")</f>
        <v>9</v>
      </c>
      <c r="H32" s="103">
        <f>IF($A32&lt;&gt;"",IF(INDEX(BDHKI,MATCH(InPDBM!$A32,DiemHKI!$B$4:$B$58,0),INDEX($P$10:$W$24,MATCH($D$6,$P$10:$P$24,0),T$9))&lt;&gt;"",INDEX(BDHKI,MATCH(InPDBM!$A32,DiemHKI!$B$4:$B$58,0),INDEX($P$10:$W$24,MATCH($D$6,$P$10:$P$24,0),T$9)),""),"")</f>
        <v>10</v>
      </c>
      <c r="I32" s="363">
        <f>IF($A32&lt;&gt;"",IF(INDEX(BDHKI,MATCH(InPDBM!$A32,DiemHKI!$B$4:$B$58,0),INDEX($P$10:$W$24,MATCH($D$6,$P$10:$P$24,0),U$9))&lt;&gt;"",INDEX(BDHKI,MATCH(InPDBM!$A32,DiemHKI!$B$4:$B$58,0),INDEX($P$10:$W$24,MATCH($D$6,$P$10:$P$24,0),U$9)),""),"")</f>
        <v>8.6</v>
      </c>
      <c r="J32" s="367">
        <f>IF($A32&lt;&gt;"",IF(INDEX(BDHKI,MATCH(InPDBM!$A32,DiemHKI!$B$4:$B$58,0),INDEX($P$10:$W$24,MATCH($D$6,$P$10:$P$24,0),V$9))&lt;&gt;"",INDEX(BDHKI,MATCH(InPDBM!$A32,DiemHKI!$B$4:$B$58,0),INDEX($P$10:$W$24,MATCH($D$6,$P$10:$P$24,0),V$9)),""),"")</f>
        <v>9.3000000000000007</v>
      </c>
      <c r="K32" s="375">
        <f>IF($A32&lt;&gt;"",IF(INDEX(BDHKI,MATCH(InPDBM!$A32,DiemHKI!$B$4:$B$58,0),INDEX($P$10:$W$24,MATCH($D$6,$P$10:$P$24,0),W$9))&lt;&gt;"",INDEX(BDHKI,MATCH(InPDBM!$A32,DiemHKI!$B$4:$B$58,0),INDEX($P$10:$W$24,MATCH($D$6,$P$10:$P$24,0),W$9)),""),"")</f>
        <v>9</v>
      </c>
      <c r="L32" s="371"/>
      <c r="N32" s="251">
        <f t="shared" si="0"/>
        <v>28</v>
      </c>
    </row>
    <row r="33" spans="1:14" ht="21" customHeight="1">
      <c r="A33" s="117">
        <f>IF(A32&lt;MAX(DiemHKI!$B$4:$B$58),A32+1,"")</f>
        <v>24</v>
      </c>
      <c r="B33" s="100" t="str">
        <f>IF($A33&lt;&gt;"",PROPER(INDEX(DiemHKI!$B$4:$CP$58,MATCH(InPDBM!$A33,DiemHKI!$B$4:$B$58,0),3)),"")</f>
        <v>Quách Tống Minh</v>
      </c>
      <c r="C33" s="257" t="str">
        <f>IF($A33&lt;&gt;"",PROPER(INDEX(DiemHKI!$B$4:$CP$58,MATCH(InPDBM!$A33,DiemHKI!$B$4:$B$58,0),4)),"")</f>
        <v>Nhật</v>
      </c>
      <c r="D33" s="359" t="str">
        <f>IF($A33&lt;&gt;"",PROPER(INDEX(DiemHKI!$B$4:$CP$58,MATCH(InPDBM!$A33,DiemHKI!$B$4:$B$58,0),5)),"")</f>
        <v>01/12/2004</v>
      </c>
      <c r="E33" s="101">
        <f>IF($A33&lt;&gt;"",IF(INDEX(BDHKI,MATCH(InPDBM!$A33,DiemHKI!$B$4:$B$58,0),INDEX($P$10:$W$24,MATCH($D$6,$P$10:$P$24,0),Q$9))&lt;&gt;"",INDEX(BDHKI,MATCH(InPDBM!$A33,DiemHKI!$B$4:$B$58,0),INDEX($P$10:$W$24,MATCH($D$6,$P$10:$P$24,0),Q$9)),""),"")</f>
        <v>9</v>
      </c>
      <c r="F33" s="102">
        <f>IF($A33&lt;&gt;"",IF(INDEX(BDHKI,MATCH(InPDBM!$A33,DiemHKI!$B$4:$B$58,0),INDEX($P$10:$W$24,MATCH($D$6,$P$10:$P$24,0),R$9))&lt;&gt;"",INDEX(BDHKI,MATCH(InPDBM!$A33,DiemHKI!$B$4:$B$58,0),INDEX($P$10:$W$24,MATCH($D$6,$P$10:$P$24,0),R$9)),""),"")</f>
        <v>8</v>
      </c>
      <c r="G33" s="102">
        <f>IF($A33&lt;&gt;"",IF(INDEX(BDHKI,MATCH(InPDBM!$A33,DiemHKI!$B$4:$B$58,0),INDEX($P$10:$W$24,MATCH($D$6,$P$10:$P$24,0),S$9))&lt;&gt;"",INDEX(BDHKI,MATCH(InPDBM!$A33,DiemHKI!$B$4:$B$58,0),INDEX($P$10:$W$24,MATCH($D$6,$P$10:$P$24,0),S$9)),""),"")</f>
        <v>9</v>
      </c>
      <c r="H33" s="103">
        <f>IF($A33&lt;&gt;"",IF(INDEX(BDHKI,MATCH(InPDBM!$A33,DiemHKI!$B$4:$B$58,0),INDEX($P$10:$W$24,MATCH($D$6,$P$10:$P$24,0),T$9))&lt;&gt;"",INDEX(BDHKI,MATCH(InPDBM!$A33,DiemHKI!$B$4:$B$58,0),INDEX($P$10:$W$24,MATCH($D$6,$P$10:$P$24,0),T$9)),""),"")</f>
        <v>9</v>
      </c>
      <c r="I33" s="363">
        <f>IF($A33&lt;&gt;"",IF(INDEX(BDHKI,MATCH(InPDBM!$A33,DiemHKI!$B$4:$B$58,0),INDEX($P$10:$W$24,MATCH($D$6,$P$10:$P$24,0),U$9))&lt;&gt;"",INDEX(BDHKI,MATCH(InPDBM!$A33,DiemHKI!$B$4:$B$58,0),INDEX($P$10:$W$24,MATCH($D$6,$P$10:$P$24,0),U$9)),""),"")</f>
        <v>8.6</v>
      </c>
      <c r="J33" s="367">
        <f>IF($A33&lt;&gt;"",IF(INDEX(BDHKI,MATCH(InPDBM!$A33,DiemHKI!$B$4:$B$58,0),INDEX($P$10:$W$24,MATCH($D$6,$P$10:$P$24,0),V$9))&lt;&gt;"",INDEX(BDHKI,MATCH(InPDBM!$A33,DiemHKI!$B$4:$B$58,0),INDEX($P$10:$W$24,MATCH($D$6,$P$10:$P$24,0),V$9)),""),"")</f>
        <v>9.3000000000000007</v>
      </c>
      <c r="K33" s="375">
        <f>IF($A33&lt;&gt;"",IF(INDEX(BDHKI,MATCH(InPDBM!$A33,DiemHKI!$B$4:$B$58,0),INDEX($P$10:$W$24,MATCH($D$6,$P$10:$P$24,0),W$9))&lt;&gt;"",INDEX(BDHKI,MATCH(InPDBM!$A33,DiemHKI!$B$4:$B$58,0),INDEX($P$10:$W$24,MATCH($D$6,$P$10:$P$24,0),W$9)),""),"")</f>
        <v>8.9</v>
      </c>
      <c r="L33" s="371"/>
      <c r="N33" s="251">
        <f t="shared" si="0"/>
        <v>32</v>
      </c>
    </row>
    <row r="34" spans="1:14" ht="21" customHeight="1">
      <c r="A34" s="260">
        <f>IF(A33&lt;MAX(DiemHKI!$B$4:$B$58),A33+1,"")</f>
        <v>25</v>
      </c>
      <c r="B34" s="106" t="str">
        <f>IF($A34&lt;&gt;"",PROPER(INDEX(DiemHKI!$B$4:$CP$58,MATCH(InPDBM!$A34,DiemHKI!$B$4:$B$58,0),3)),"")</f>
        <v>Nguyễn Thục</v>
      </c>
      <c r="C34" s="261" t="str">
        <f>IF($A34&lt;&gt;"",PROPER(INDEX(DiemHKI!$B$4:$CP$58,MATCH(InPDBM!$A34,DiemHKI!$B$4:$B$58,0),4)),"")</f>
        <v>Nhi</v>
      </c>
      <c r="D34" s="360" t="str">
        <f>IF($A34&lt;&gt;"",PROPER(INDEX(DiemHKI!$B$4:$CP$58,MATCH(InPDBM!$A34,DiemHKI!$B$4:$B$58,0),5)),"")</f>
        <v>04/10/2004</v>
      </c>
      <c r="E34" s="107">
        <f>IF($A34&lt;&gt;"",IF(INDEX(BDHKI,MATCH(InPDBM!$A34,DiemHKI!$B$4:$B$58,0),INDEX($P$10:$W$24,MATCH($D$6,$P$10:$P$24,0),Q$9))&lt;&gt;"",INDEX(BDHKI,MATCH(InPDBM!$A34,DiemHKI!$B$4:$B$58,0),INDEX($P$10:$W$24,MATCH($D$6,$P$10:$P$24,0),Q$9)),""),"")</f>
        <v>10</v>
      </c>
      <c r="F34" s="108">
        <f>IF($A34&lt;&gt;"",IF(INDEX(BDHKI,MATCH(InPDBM!$A34,DiemHKI!$B$4:$B$58,0),INDEX($P$10:$W$24,MATCH($D$6,$P$10:$P$24,0),R$9))&lt;&gt;"",INDEX(BDHKI,MATCH(InPDBM!$A34,DiemHKI!$B$4:$B$58,0),INDEX($P$10:$W$24,MATCH($D$6,$P$10:$P$24,0),R$9)),""),"")</f>
        <v>10</v>
      </c>
      <c r="G34" s="108">
        <f>IF($A34&lt;&gt;"",IF(INDEX(BDHKI,MATCH(InPDBM!$A34,DiemHKI!$B$4:$B$58,0),INDEX($P$10:$W$24,MATCH($D$6,$P$10:$P$24,0),S$9))&lt;&gt;"",INDEX(BDHKI,MATCH(InPDBM!$A34,DiemHKI!$B$4:$B$58,0),INDEX($P$10:$W$24,MATCH($D$6,$P$10:$P$24,0),S$9)),""),"")</f>
        <v>10</v>
      </c>
      <c r="H34" s="109">
        <f>IF($A34&lt;&gt;"",IF(INDEX(BDHKI,MATCH(InPDBM!$A34,DiemHKI!$B$4:$B$58,0),INDEX($P$10:$W$24,MATCH($D$6,$P$10:$P$24,0),T$9))&lt;&gt;"",INDEX(BDHKI,MATCH(InPDBM!$A34,DiemHKI!$B$4:$B$58,0),INDEX($P$10:$W$24,MATCH($D$6,$P$10:$P$24,0),T$9)),""),"")</f>
        <v>10</v>
      </c>
      <c r="I34" s="364">
        <f>IF($A34&lt;&gt;"",IF(INDEX(BDHKI,MATCH(InPDBM!$A34,DiemHKI!$B$4:$B$58,0),INDEX($P$10:$W$24,MATCH($D$6,$P$10:$P$24,0),U$9))&lt;&gt;"",INDEX(BDHKI,MATCH(InPDBM!$A34,DiemHKI!$B$4:$B$58,0),INDEX($P$10:$W$24,MATCH($D$6,$P$10:$P$24,0),U$9)),""),"")</f>
        <v>9.6</v>
      </c>
      <c r="J34" s="368">
        <f>IF($A34&lt;&gt;"",IF(INDEX(BDHKI,MATCH(InPDBM!$A34,DiemHKI!$B$4:$B$58,0),INDEX($P$10:$W$24,MATCH($D$6,$P$10:$P$24,0),V$9))&lt;&gt;"",INDEX(BDHKI,MATCH(InPDBM!$A34,DiemHKI!$B$4:$B$58,0),INDEX($P$10:$W$24,MATCH($D$6,$P$10:$P$24,0),V$9)),""),"")</f>
        <v>9.8000000000000007</v>
      </c>
      <c r="K34" s="376">
        <f>IF($A34&lt;&gt;"",IF(INDEX(BDHKI,MATCH(InPDBM!$A34,DiemHKI!$B$4:$B$58,0),INDEX($P$10:$W$24,MATCH($D$6,$P$10:$P$24,0),W$9))&lt;&gt;"",INDEX(BDHKI,MATCH(InPDBM!$A34,DiemHKI!$B$4:$B$58,0),INDEX($P$10:$W$24,MATCH($D$6,$P$10:$P$24,0),W$9)),""),"")</f>
        <v>9.8000000000000007</v>
      </c>
      <c r="L34" s="372"/>
      <c r="N34" s="251">
        <f t="shared" si="0"/>
        <v>3</v>
      </c>
    </row>
    <row r="35" spans="1:14" ht="21" customHeight="1">
      <c r="A35" s="264">
        <f>IF(A34&lt;MAX(DiemHKI!$B$4:$B$58),A34+1,"")</f>
        <v>26</v>
      </c>
      <c r="B35" s="112" t="str">
        <f>IF($A35&lt;&gt;"",PROPER(INDEX(DiemHKI!$B$4:$CP$58,MATCH(InPDBM!$A35,DiemHKI!$B$4:$B$58,0),3)),"")</f>
        <v>Trần Thị Hải</v>
      </c>
      <c r="C35" s="265" t="str">
        <f>IF($A35&lt;&gt;"",PROPER(INDEX(DiemHKI!$B$4:$CP$58,MATCH(InPDBM!$A35,DiemHKI!$B$4:$B$58,0),4)),"")</f>
        <v>Như</v>
      </c>
      <c r="D35" s="361" t="str">
        <f>IF($A35&lt;&gt;"",PROPER(INDEX(DiemHKI!$B$4:$CP$58,MATCH(InPDBM!$A35,DiemHKI!$B$4:$B$58,0),5)),"")</f>
        <v>17/08/2004</v>
      </c>
      <c r="E35" s="113">
        <f>IF($A35&lt;&gt;"",IF(INDEX(BDHKI,MATCH(InPDBM!$A35,DiemHKI!$B$4:$B$58,0),INDEX($P$10:$W$24,MATCH($D$6,$P$10:$P$24,0),Q$9))&lt;&gt;"",INDEX(BDHKI,MATCH(InPDBM!$A35,DiemHKI!$B$4:$B$58,0),INDEX($P$10:$W$24,MATCH($D$6,$P$10:$P$24,0),Q$9)),""),"")</f>
        <v>9</v>
      </c>
      <c r="F35" s="114">
        <f>IF($A35&lt;&gt;"",IF(INDEX(BDHKI,MATCH(InPDBM!$A35,DiemHKI!$B$4:$B$58,0),INDEX($P$10:$W$24,MATCH($D$6,$P$10:$P$24,0),R$9))&lt;&gt;"",INDEX(BDHKI,MATCH(InPDBM!$A35,DiemHKI!$B$4:$B$58,0),INDEX($P$10:$W$24,MATCH($D$6,$P$10:$P$24,0),R$9)),""),"")</f>
        <v>10</v>
      </c>
      <c r="G35" s="114">
        <f>IF($A35&lt;&gt;"",IF(INDEX(BDHKI,MATCH(InPDBM!$A35,DiemHKI!$B$4:$B$58,0),INDEX($P$10:$W$24,MATCH($D$6,$P$10:$P$24,0),S$9))&lt;&gt;"",INDEX(BDHKI,MATCH(InPDBM!$A35,DiemHKI!$B$4:$B$58,0),INDEX($P$10:$W$24,MATCH($D$6,$P$10:$P$24,0),S$9)),""),"")</f>
        <v>9</v>
      </c>
      <c r="H35" s="115">
        <f>IF($A35&lt;&gt;"",IF(INDEX(BDHKI,MATCH(InPDBM!$A35,DiemHKI!$B$4:$B$58,0),INDEX($P$10:$W$24,MATCH($D$6,$P$10:$P$24,0),T$9))&lt;&gt;"",INDEX(BDHKI,MATCH(InPDBM!$A35,DiemHKI!$B$4:$B$58,0),INDEX($P$10:$W$24,MATCH($D$6,$P$10:$P$24,0),T$9)),""),"")</f>
        <v>10</v>
      </c>
      <c r="I35" s="362">
        <f>IF($A35&lt;&gt;"",IF(INDEX(BDHKI,MATCH(InPDBM!$A35,DiemHKI!$B$4:$B$58,0),INDEX($P$10:$W$24,MATCH($D$6,$P$10:$P$24,0),U$9))&lt;&gt;"",INDEX(BDHKI,MATCH(InPDBM!$A35,DiemHKI!$B$4:$B$58,0),INDEX($P$10:$W$24,MATCH($D$6,$P$10:$P$24,0),U$9)),""),"")</f>
        <v>9.4</v>
      </c>
      <c r="J35" s="369">
        <f>IF($A35&lt;&gt;"",IF(INDEX(BDHKI,MATCH(InPDBM!$A35,DiemHKI!$B$4:$B$58,0),INDEX($P$10:$W$24,MATCH($D$6,$P$10:$P$24,0),V$9))&lt;&gt;"",INDEX(BDHKI,MATCH(InPDBM!$A35,DiemHKI!$B$4:$B$58,0),INDEX($P$10:$W$24,MATCH($D$6,$P$10:$P$24,0),V$9)),""),"")</f>
        <v>9.5</v>
      </c>
      <c r="K35" s="377">
        <f>IF($A35&lt;&gt;"",IF(INDEX(BDHKI,MATCH(InPDBM!$A35,DiemHKI!$B$4:$B$58,0),INDEX($P$10:$W$24,MATCH($D$6,$P$10:$P$24,0),W$9))&lt;&gt;"",INDEX(BDHKI,MATCH(InPDBM!$A35,DiemHKI!$B$4:$B$58,0),INDEX($P$10:$W$24,MATCH($D$6,$P$10:$P$24,0),W$9)),""),"")</f>
        <v>9.5</v>
      </c>
      <c r="L35" s="370"/>
      <c r="N35" s="251">
        <f t="shared" si="0"/>
        <v>10</v>
      </c>
    </row>
    <row r="36" spans="1:14" ht="21" customHeight="1">
      <c r="A36" s="117">
        <f>IF(A35&lt;MAX(DiemHKI!$B$4:$B$58),A35+1,"")</f>
        <v>27</v>
      </c>
      <c r="B36" s="100" t="str">
        <f>IF($A36&lt;&gt;"",PROPER(INDEX(DiemHKI!$B$4:$CP$58,MATCH(InPDBM!$A36,DiemHKI!$B$4:$B$58,0),3)),"")</f>
        <v>Nguyễn Bá Nhật</v>
      </c>
      <c r="C36" s="257" t="str">
        <f>IF($A36&lt;&gt;"",PROPER(INDEX(DiemHKI!$B$4:$CP$58,MATCH(InPDBM!$A36,DiemHKI!$B$4:$B$58,0),4)),"")</f>
        <v>Quang</v>
      </c>
      <c r="D36" s="359" t="str">
        <f>IF($A36&lt;&gt;"",PROPER(INDEX(DiemHKI!$B$4:$CP$58,MATCH(InPDBM!$A36,DiemHKI!$B$4:$B$58,0),5)),"")</f>
        <v>18/07/2004</v>
      </c>
      <c r="E36" s="101">
        <f>IF($A36&lt;&gt;"",IF(INDEX(BDHKI,MATCH(InPDBM!$A36,DiemHKI!$B$4:$B$58,0),INDEX($P$10:$W$24,MATCH($D$6,$P$10:$P$24,0),Q$9))&lt;&gt;"",INDEX(BDHKI,MATCH(InPDBM!$A36,DiemHKI!$B$4:$B$58,0),INDEX($P$10:$W$24,MATCH($D$6,$P$10:$P$24,0),Q$9)),""),"")</f>
        <v>10</v>
      </c>
      <c r="F36" s="102">
        <f>IF($A36&lt;&gt;"",IF(INDEX(BDHKI,MATCH(InPDBM!$A36,DiemHKI!$B$4:$B$58,0),INDEX($P$10:$W$24,MATCH($D$6,$P$10:$P$24,0),R$9))&lt;&gt;"",INDEX(BDHKI,MATCH(InPDBM!$A36,DiemHKI!$B$4:$B$58,0),INDEX($P$10:$W$24,MATCH($D$6,$P$10:$P$24,0),R$9)),""),"")</f>
        <v>9</v>
      </c>
      <c r="G36" s="102">
        <f>IF($A36&lt;&gt;"",IF(INDEX(BDHKI,MATCH(InPDBM!$A36,DiemHKI!$B$4:$B$58,0),INDEX($P$10:$W$24,MATCH($D$6,$P$10:$P$24,0),S$9))&lt;&gt;"",INDEX(BDHKI,MATCH(InPDBM!$A36,DiemHKI!$B$4:$B$58,0),INDEX($P$10:$W$24,MATCH($D$6,$P$10:$P$24,0),S$9)),""),"")</f>
        <v>10</v>
      </c>
      <c r="H36" s="103">
        <f>IF($A36&lt;&gt;"",IF(INDEX(BDHKI,MATCH(InPDBM!$A36,DiemHKI!$B$4:$B$58,0),INDEX($P$10:$W$24,MATCH($D$6,$P$10:$P$24,0),T$9))&lt;&gt;"",INDEX(BDHKI,MATCH(InPDBM!$A36,DiemHKI!$B$4:$B$58,0),INDEX($P$10:$W$24,MATCH($D$6,$P$10:$P$24,0),T$9)),""),"")</f>
        <v>10</v>
      </c>
      <c r="I36" s="363">
        <f>IF($A36&lt;&gt;"",IF(INDEX(BDHKI,MATCH(InPDBM!$A36,DiemHKI!$B$4:$B$58,0),INDEX($P$10:$W$24,MATCH($D$6,$P$10:$P$24,0),U$9))&lt;&gt;"",INDEX(BDHKI,MATCH(InPDBM!$A36,DiemHKI!$B$4:$B$58,0),INDEX($P$10:$W$24,MATCH($D$6,$P$10:$P$24,0),U$9)),""),"")</f>
        <v>9</v>
      </c>
      <c r="J36" s="367">
        <f>IF($A36&lt;&gt;"",IF(INDEX(BDHKI,MATCH(InPDBM!$A36,DiemHKI!$B$4:$B$58,0),INDEX($P$10:$W$24,MATCH($D$6,$P$10:$P$24,0),V$9))&lt;&gt;"",INDEX(BDHKI,MATCH(InPDBM!$A36,DiemHKI!$B$4:$B$58,0),INDEX($P$10:$W$24,MATCH($D$6,$P$10:$P$24,0),V$9)),""),"")</f>
        <v>9.3000000000000007</v>
      </c>
      <c r="K36" s="375">
        <f>IF($A36&lt;&gt;"",IF(INDEX(BDHKI,MATCH(InPDBM!$A36,DiemHKI!$B$4:$B$58,0),INDEX($P$10:$W$24,MATCH($D$6,$P$10:$P$24,0),W$9))&lt;&gt;"",INDEX(BDHKI,MATCH(InPDBM!$A36,DiemHKI!$B$4:$B$58,0),INDEX($P$10:$W$24,MATCH($D$6,$P$10:$P$24,0),W$9)),""),"")</f>
        <v>9.4</v>
      </c>
      <c r="L36" s="371"/>
      <c r="N36" s="251">
        <f t="shared" si="0"/>
        <v>13</v>
      </c>
    </row>
    <row r="37" spans="1:14" ht="21" customHeight="1">
      <c r="A37" s="117">
        <f>IF(A36&lt;MAX(DiemHKI!$B$4:$B$58),A36+1,"")</f>
        <v>28</v>
      </c>
      <c r="B37" s="100" t="str">
        <f>IF($A37&lt;&gt;"",PROPER(INDEX(DiemHKI!$B$4:$CP$58,MATCH(InPDBM!$A37,DiemHKI!$B$4:$B$58,0),3)),"")</f>
        <v>Phan Trương Kiến</v>
      </c>
      <c r="C37" s="257" t="str">
        <f>IF($A37&lt;&gt;"",PROPER(INDEX(DiemHKI!$B$4:$CP$58,MATCH(InPDBM!$A37,DiemHKI!$B$4:$B$58,0),4)),"")</f>
        <v>Quốc</v>
      </c>
      <c r="D37" s="359" t="str">
        <f>IF($A37&lt;&gt;"",PROPER(INDEX(DiemHKI!$B$4:$CP$58,MATCH(InPDBM!$A37,DiemHKI!$B$4:$B$58,0),5)),"")</f>
        <v>03/12/2004</v>
      </c>
      <c r="E37" s="101">
        <f>IF($A37&lt;&gt;"",IF(INDEX(BDHKI,MATCH(InPDBM!$A37,DiemHKI!$B$4:$B$58,0),INDEX($P$10:$W$24,MATCH($D$6,$P$10:$P$24,0),Q$9))&lt;&gt;"",INDEX(BDHKI,MATCH(InPDBM!$A37,DiemHKI!$B$4:$B$58,0),INDEX($P$10:$W$24,MATCH($D$6,$P$10:$P$24,0),Q$9)),""),"")</f>
        <v>10</v>
      </c>
      <c r="F37" s="102">
        <f>IF($A37&lt;&gt;"",IF(INDEX(BDHKI,MATCH(InPDBM!$A37,DiemHKI!$B$4:$B$58,0),INDEX($P$10:$W$24,MATCH($D$6,$P$10:$P$24,0),R$9))&lt;&gt;"",INDEX(BDHKI,MATCH(InPDBM!$A37,DiemHKI!$B$4:$B$58,0),INDEX($P$10:$W$24,MATCH($D$6,$P$10:$P$24,0),R$9)),""),"")</f>
        <v>7</v>
      </c>
      <c r="G37" s="102">
        <f>IF($A37&lt;&gt;"",IF(INDEX(BDHKI,MATCH(InPDBM!$A37,DiemHKI!$B$4:$B$58,0),INDEX($P$10:$W$24,MATCH($D$6,$P$10:$P$24,0),S$9))&lt;&gt;"",INDEX(BDHKI,MATCH(InPDBM!$A37,DiemHKI!$B$4:$B$58,0),INDEX($P$10:$W$24,MATCH($D$6,$P$10:$P$24,0),S$9)),""),"")</f>
        <v>10</v>
      </c>
      <c r="H37" s="103">
        <f>IF($A37&lt;&gt;"",IF(INDEX(BDHKI,MATCH(InPDBM!$A37,DiemHKI!$B$4:$B$58,0),INDEX($P$10:$W$24,MATCH($D$6,$P$10:$P$24,0),T$9))&lt;&gt;"",INDEX(BDHKI,MATCH(InPDBM!$A37,DiemHKI!$B$4:$B$58,0),INDEX($P$10:$W$24,MATCH($D$6,$P$10:$P$24,0),T$9)),""),"")</f>
        <v>8</v>
      </c>
      <c r="I37" s="363">
        <f>IF($A37&lt;&gt;"",IF(INDEX(BDHKI,MATCH(InPDBM!$A37,DiemHKI!$B$4:$B$58,0),INDEX($P$10:$W$24,MATCH($D$6,$P$10:$P$24,0),U$9))&lt;&gt;"",INDEX(BDHKI,MATCH(InPDBM!$A37,DiemHKI!$B$4:$B$58,0),INDEX($P$10:$W$24,MATCH($D$6,$P$10:$P$24,0),U$9)),""),"")</f>
        <v>8.1999999999999993</v>
      </c>
      <c r="J37" s="367">
        <f>IF($A37&lt;&gt;"",IF(INDEX(BDHKI,MATCH(InPDBM!$A37,DiemHKI!$B$4:$B$58,0),INDEX($P$10:$W$24,MATCH($D$6,$P$10:$P$24,0),V$9))&lt;&gt;"",INDEX(BDHKI,MATCH(InPDBM!$A37,DiemHKI!$B$4:$B$58,0),INDEX($P$10:$W$24,MATCH($D$6,$P$10:$P$24,0),V$9)),""),"")</f>
        <v>9.5</v>
      </c>
      <c r="K37" s="375">
        <f>IF($A37&lt;&gt;"",IF(INDEX(BDHKI,MATCH(InPDBM!$A37,DiemHKI!$B$4:$B$58,0),INDEX($P$10:$W$24,MATCH($D$6,$P$10:$P$24,0),W$9))&lt;&gt;"",INDEX(BDHKI,MATCH(InPDBM!$A37,DiemHKI!$B$4:$B$58,0),INDEX($P$10:$W$24,MATCH($D$6,$P$10:$P$24,0),W$9)),""),"")</f>
        <v>8.9</v>
      </c>
      <c r="L37" s="371"/>
      <c r="N37" s="251">
        <f t="shared" si="0"/>
        <v>32</v>
      </c>
    </row>
    <row r="38" spans="1:14" ht="21" customHeight="1">
      <c r="A38" s="117">
        <f>IF(A37&lt;MAX(DiemHKI!$B$4:$B$58),A37+1,"")</f>
        <v>29</v>
      </c>
      <c r="B38" s="100" t="str">
        <f>IF($A38&lt;&gt;"",PROPER(INDEX(DiemHKI!$B$4:$CP$58,MATCH(InPDBM!$A38,DiemHKI!$B$4:$B$58,0),3)),"")</f>
        <v>Trần Thị Như</v>
      </c>
      <c r="C38" s="257" t="str">
        <f>IF($A38&lt;&gt;"",PROPER(INDEX(DiemHKI!$B$4:$CP$58,MATCH(InPDBM!$A38,DiemHKI!$B$4:$B$58,0),4)),"")</f>
        <v>Quỳnh</v>
      </c>
      <c r="D38" s="359" t="str">
        <f>IF($A38&lt;&gt;"",PROPER(INDEX(DiemHKI!$B$4:$CP$58,MATCH(InPDBM!$A38,DiemHKI!$B$4:$B$58,0),5)),"")</f>
        <v>28/01/2004</v>
      </c>
      <c r="E38" s="101">
        <f>IF($A38&lt;&gt;"",IF(INDEX(BDHKI,MATCH(InPDBM!$A38,DiemHKI!$B$4:$B$58,0),INDEX($P$10:$W$24,MATCH($D$6,$P$10:$P$24,0),Q$9))&lt;&gt;"",INDEX(BDHKI,MATCH(InPDBM!$A38,DiemHKI!$B$4:$B$58,0),INDEX($P$10:$W$24,MATCH($D$6,$P$10:$P$24,0),Q$9)),""),"")</f>
        <v>10</v>
      </c>
      <c r="F38" s="102">
        <f>IF($A38&lt;&gt;"",IF(INDEX(BDHKI,MATCH(InPDBM!$A38,DiemHKI!$B$4:$B$58,0),INDEX($P$10:$W$24,MATCH($D$6,$P$10:$P$24,0),R$9))&lt;&gt;"",INDEX(BDHKI,MATCH(InPDBM!$A38,DiemHKI!$B$4:$B$58,0),INDEX($P$10:$W$24,MATCH($D$6,$P$10:$P$24,0),R$9)),""),"")</f>
        <v>9</v>
      </c>
      <c r="G38" s="102">
        <f>IF($A38&lt;&gt;"",IF(INDEX(BDHKI,MATCH(InPDBM!$A38,DiemHKI!$B$4:$B$58,0),INDEX($P$10:$W$24,MATCH($D$6,$P$10:$P$24,0),S$9))&lt;&gt;"",INDEX(BDHKI,MATCH(InPDBM!$A38,DiemHKI!$B$4:$B$58,0),INDEX($P$10:$W$24,MATCH($D$6,$P$10:$P$24,0),S$9)),""),"")</f>
        <v>10</v>
      </c>
      <c r="H38" s="103">
        <f>IF($A38&lt;&gt;"",IF(INDEX(BDHKI,MATCH(InPDBM!$A38,DiemHKI!$B$4:$B$58,0),INDEX($P$10:$W$24,MATCH($D$6,$P$10:$P$24,0),T$9))&lt;&gt;"",INDEX(BDHKI,MATCH(InPDBM!$A38,DiemHKI!$B$4:$B$58,0),INDEX($P$10:$W$24,MATCH($D$6,$P$10:$P$24,0),T$9)),""),"")</f>
        <v>10</v>
      </c>
      <c r="I38" s="363">
        <f>IF($A38&lt;&gt;"",IF(INDEX(BDHKI,MATCH(InPDBM!$A38,DiemHKI!$B$4:$B$58,0),INDEX($P$10:$W$24,MATCH($D$6,$P$10:$P$24,0),U$9))&lt;&gt;"",INDEX(BDHKI,MATCH(InPDBM!$A38,DiemHKI!$B$4:$B$58,0),INDEX($P$10:$W$24,MATCH($D$6,$P$10:$P$24,0),U$9)),""),"")</f>
        <v>9</v>
      </c>
      <c r="J38" s="367">
        <f>IF($A38&lt;&gt;"",IF(INDEX(BDHKI,MATCH(InPDBM!$A38,DiemHKI!$B$4:$B$58,0),INDEX($P$10:$W$24,MATCH($D$6,$P$10:$P$24,0),V$9))&lt;&gt;"",INDEX(BDHKI,MATCH(InPDBM!$A38,DiemHKI!$B$4:$B$58,0),INDEX($P$10:$W$24,MATCH($D$6,$P$10:$P$24,0),V$9)),""),"")</f>
        <v>9.3000000000000007</v>
      </c>
      <c r="K38" s="375">
        <f>IF($A38&lt;&gt;"",IF(INDEX(BDHKI,MATCH(InPDBM!$A38,DiemHKI!$B$4:$B$58,0),INDEX($P$10:$W$24,MATCH($D$6,$P$10:$P$24,0),W$9))&lt;&gt;"",INDEX(BDHKI,MATCH(InPDBM!$A38,DiemHKI!$B$4:$B$58,0),INDEX($P$10:$W$24,MATCH($D$6,$P$10:$P$24,0),W$9)),""),"")</f>
        <v>9.4</v>
      </c>
      <c r="L38" s="371"/>
      <c r="N38" s="251">
        <f t="shared" si="0"/>
        <v>13</v>
      </c>
    </row>
    <row r="39" spans="1:14" ht="21" customHeight="1">
      <c r="A39" s="260">
        <f>IF(A38&lt;MAX(DiemHKI!$B$4:$B$58),A38+1,"")</f>
        <v>30</v>
      </c>
      <c r="B39" s="106" t="str">
        <f>IF($A39&lt;&gt;"",PROPER(INDEX(DiemHKI!$B$4:$CP$58,MATCH(InPDBM!$A39,DiemHKI!$B$4:$B$58,0),3)),"")</f>
        <v>Nguyễn Thái</v>
      </c>
      <c r="C39" s="261" t="str">
        <f>IF($A39&lt;&gt;"",PROPER(INDEX(DiemHKI!$B$4:$CP$58,MATCH(InPDBM!$A39,DiemHKI!$B$4:$B$58,0),4)),"")</f>
        <v>Sơn</v>
      </c>
      <c r="D39" s="360" t="str">
        <f>IF($A39&lt;&gt;"",PROPER(INDEX(DiemHKI!$B$4:$CP$58,MATCH(InPDBM!$A39,DiemHKI!$B$4:$B$58,0),5)),"")</f>
        <v>14/04/2004</v>
      </c>
      <c r="E39" s="107">
        <f>IF($A39&lt;&gt;"",IF(INDEX(BDHKI,MATCH(InPDBM!$A39,DiemHKI!$B$4:$B$58,0),INDEX($P$10:$W$24,MATCH($D$6,$P$10:$P$24,0),Q$9))&lt;&gt;"",INDEX(BDHKI,MATCH(InPDBM!$A39,DiemHKI!$B$4:$B$58,0),INDEX($P$10:$W$24,MATCH($D$6,$P$10:$P$24,0),Q$9)),""),"")</f>
        <v>9</v>
      </c>
      <c r="F39" s="108">
        <f>IF($A39&lt;&gt;"",IF(INDEX(BDHKI,MATCH(InPDBM!$A39,DiemHKI!$B$4:$B$58,0),INDEX($P$10:$W$24,MATCH($D$6,$P$10:$P$24,0),R$9))&lt;&gt;"",INDEX(BDHKI,MATCH(InPDBM!$A39,DiemHKI!$B$4:$B$58,0),INDEX($P$10:$W$24,MATCH($D$6,$P$10:$P$24,0),R$9)),""),"")</f>
        <v>8</v>
      </c>
      <c r="G39" s="108">
        <f>IF($A39&lt;&gt;"",IF(INDEX(BDHKI,MATCH(InPDBM!$A39,DiemHKI!$B$4:$B$58,0),INDEX($P$10:$W$24,MATCH($D$6,$P$10:$P$24,0),S$9))&lt;&gt;"",INDEX(BDHKI,MATCH(InPDBM!$A39,DiemHKI!$B$4:$B$58,0),INDEX($P$10:$W$24,MATCH($D$6,$P$10:$P$24,0),S$9)),""),"")</f>
        <v>9</v>
      </c>
      <c r="H39" s="109">
        <f>IF($A39&lt;&gt;"",IF(INDEX(BDHKI,MATCH(InPDBM!$A39,DiemHKI!$B$4:$B$58,0),INDEX($P$10:$W$24,MATCH($D$6,$P$10:$P$24,0),T$9))&lt;&gt;"",INDEX(BDHKI,MATCH(InPDBM!$A39,DiemHKI!$B$4:$B$58,0),INDEX($P$10:$W$24,MATCH($D$6,$P$10:$P$24,0),T$9)),""),"")</f>
        <v>9</v>
      </c>
      <c r="I39" s="364">
        <f>IF($A39&lt;&gt;"",IF(INDEX(BDHKI,MATCH(InPDBM!$A39,DiemHKI!$B$4:$B$58,0),INDEX($P$10:$W$24,MATCH($D$6,$P$10:$P$24,0),U$9))&lt;&gt;"",INDEX(BDHKI,MATCH(InPDBM!$A39,DiemHKI!$B$4:$B$58,0),INDEX($P$10:$W$24,MATCH($D$6,$P$10:$P$24,0),U$9)),""),"")</f>
        <v>8.8000000000000007</v>
      </c>
      <c r="J39" s="368">
        <f>IF($A39&lt;&gt;"",IF(INDEX(BDHKI,MATCH(InPDBM!$A39,DiemHKI!$B$4:$B$58,0),INDEX($P$10:$W$24,MATCH($D$6,$P$10:$P$24,0),V$9))&lt;&gt;"",INDEX(BDHKI,MATCH(InPDBM!$A39,DiemHKI!$B$4:$B$58,0),INDEX($P$10:$W$24,MATCH($D$6,$P$10:$P$24,0),V$9)),""),"")</f>
        <v>9.5</v>
      </c>
      <c r="K39" s="376">
        <f>IF($A39&lt;&gt;"",IF(INDEX(BDHKI,MATCH(InPDBM!$A39,DiemHKI!$B$4:$B$58,0),INDEX($P$10:$W$24,MATCH($D$6,$P$10:$P$24,0),W$9))&lt;&gt;"",INDEX(BDHKI,MATCH(InPDBM!$A39,DiemHKI!$B$4:$B$58,0),INDEX($P$10:$W$24,MATCH($D$6,$P$10:$P$24,0),W$9)),""),"")</f>
        <v>9</v>
      </c>
      <c r="L39" s="372"/>
      <c r="N39" s="251">
        <f t="shared" si="0"/>
        <v>28</v>
      </c>
    </row>
    <row r="40" spans="1:14" ht="21" customHeight="1">
      <c r="A40" s="264">
        <f>IF(A39&lt;MAX(DiemHKI!$B$4:$B$58),A39+1,"")</f>
        <v>31</v>
      </c>
      <c r="B40" s="112" t="str">
        <f>IF($A40&lt;&gt;"",PROPER(INDEX(DiemHKI!$B$4:$CP$58,MATCH(InPDBM!$A40,DiemHKI!$B$4:$B$58,0),3)),"")</f>
        <v>Đặng Hoàng</v>
      </c>
      <c r="C40" s="265" t="str">
        <f>IF($A40&lt;&gt;"",PROPER(INDEX(DiemHKI!$B$4:$CP$58,MATCH(InPDBM!$A40,DiemHKI!$B$4:$B$58,0),4)),"")</f>
        <v>Tân</v>
      </c>
      <c r="D40" s="361" t="str">
        <f>IF($A40&lt;&gt;"",PROPER(INDEX(DiemHKI!$B$4:$CP$58,MATCH(InPDBM!$A40,DiemHKI!$B$4:$B$58,0),5)),"")</f>
        <v>26/09/2004</v>
      </c>
      <c r="E40" s="113">
        <f>IF($A40&lt;&gt;"",IF(INDEX(BDHKI,MATCH(InPDBM!$A40,DiemHKI!$B$4:$B$58,0),INDEX($P$10:$W$24,MATCH($D$6,$P$10:$P$24,0),Q$9))&lt;&gt;"",INDEX(BDHKI,MATCH(InPDBM!$A40,DiemHKI!$B$4:$B$58,0),INDEX($P$10:$W$24,MATCH($D$6,$P$10:$P$24,0),Q$9)),""),"")</f>
        <v>8</v>
      </c>
      <c r="F40" s="114">
        <f>IF($A40&lt;&gt;"",IF(INDEX(BDHKI,MATCH(InPDBM!$A40,DiemHKI!$B$4:$B$58,0),INDEX($P$10:$W$24,MATCH($D$6,$P$10:$P$24,0),R$9))&lt;&gt;"",INDEX(BDHKI,MATCH(InPDBM!$A40,DiemHKI!$B$4:$B$58,0),INDEX($P$10:$W$24,MATCH($D$6,$P$10:$P$24,0),R$9)),""),"")</f>
        <v>9</v>
      </c>
      <c r="G40" s="114">
        <f>IF($A40&lt;&gt;"",IF(INDEX(BDHKI,MATCH(InPDBM!$A40,DiemHKI!$B$4:$B$58,0),INDEX($P$10:$W$24,MATCH($D$6,$P$10:$P$24,0),S$9))&lt;&gt;"",INDEX(BDHKI,MATCH(InPDBM!$A40,DiemHKI!$B$4:$B$58,0),INDEX($P$10:$W$24,MATCH($D$6,$P$10:$P$24,0),S$9)),""),"")</f>
        <v>8</v>
      </c>
      <c r="H40" s="115">
        <f>IF($A40&lt;&gt;"",IF(INDEX(BDHKI,MATCH(InPDBM!$A40,DiemHKI!$B$4:$B$58,0),INDEX($P$10:$W$24,MATCH($D$6,$P$10:$P$24,0),T$9))&lt;&gt;"",INDEX(BDHKI,MATCH(InPDBM!$A40,DiemHKI!$B$4:$B$58,0),INDEX($P$10:$W$24,MATCH($D$6,$P$10:$P$24,0),T$9)),""),"")</f>
        <v>10</v>
      </c>
      <c r="I40" s="362">
        <f>IF($A40&lt;&gt;"",IF(INDEX(BDHKI,MATCH(InPDBM!$A40,DiemHKI!$B$4:$B$58,0),INDEX($P$10:$W$24,MATCH($D$6,$P$10:$P$24,0),U$9))&lt;&gt;"",INDEX(BDHKI,MATCH(InPDBM!$A40,DiemHKI!$B$4:$B$58,0),INDEX($P$10:$W$24,MATCH($D$6,$P$10:$P$24,0),U$9)),""),"")</f>
        <v>9.4</v>
      </c>
      <c r="J40" s="369">
        <f>IF($A40&lt;&gt;"",IF(INDEX(BDHKI,MATCH(InPDBM!$A40,DiemHKI!$B$4:$B$58,0),INDEX($P$10:$W$24,MATCH($D$6,$P$10:$P$24,0),V$9))&lt;&gt;"",INDEX(BDHKI,MATCH(InPDBM!$A40,DiemHKI!$B$4:$B$58,0),INDEX($P$10:$W$24,MATCH($D$6,$P$10:$P$24,0),V$9)),""),"")</f>
        <v>10</v>
      </c>
      <c r="K40" s="377">
        <f>IF($A40&lt;&gt;"",IF(INDEX(BDHKI,MATCH(InPDBM!$A40,DiemHKI!$B$4:$B$58,0),INDEX($P$10:$W$24,MATCH($D$6,$P$10:$P$24,0),W$9))&lt;&gt;"",INDEX(BDHKI,MATCH(InPDBM!$A40,DiemHKI!$B$4:$B$58,0),INDEX($P$10:$W$24,MATCH($D$6,$P$10:$P$24,0),W$9)),""),"")</f>
        <v>9.3000000000000007</v>
      </c>
      <c r="L40" s="370"/>
      <c r="N40" s="251">
        <f t="shared" si="0"/>
        <v>18</v>
      </c>
    </row>
    <row r="41" spans="1:14" ht="21" customHeight="1">
      <c r="A41" s="117">
        <f>IF(A40&lt;MAX(DiemHKI!$B$4:$B$58),A40+1,"")</f>
        <v>32</v>
      </c>
      <c r="B41" s="100" t="str">
        <f>IF($A41&lt;&gt;"",PROPER(INDEX(DiemHKI!$B$4:$CP$58,MATCH(InPDBM!$A41,DiemHKI!$B$4:$B$58,0),3)),"")</f>
        <v>Hồ Quang</v>
      </c>
      <c r="C41" s="257" t="str">
        <f>IF($A41&lt;&gt;"",PROPER(INDEX(DiemHKI!$B$4:$CP$58,MATCH(InPDBM!$A41,DiemHKI!$B$4:$B$58,0),4)),"")</f>
        <v>Thành</v>
      </c>
      <c r="D41" s="359" t="str">
        <f>IF($A41&lt;&gt;"",PROPER(INDEX(DiemHKI!$B$4:$CP$58,MATCH(InPDBM!$A41,DiemHKI!$B$4:$B$58,0),5)),"")</f>
        <v>28/02/2004</v>
      </c>
      <c r="E41" s="101">
        <f>IF($A41&lt;&gt;"",IF(INDEX(BDHKI,MATCH(InPDBM!$A41,DiemHKI!$B$4:$B$58,0),INDEX($P$10:$W$24,MATCH($D$6,$P$10:$P$24,0),Q$9))&lt;&gt;"",INDEX(BDHKI,MATCH(InPDBM!$A41,DiemHKI!$B$4:$B$58,0),INDEX($P$10:$W$24,MATCH($D$6,$P$10:$P$24,0),Q$9)),""),"")</f>
        <v>9</v>
      </c>
      <c r="F41" s="102">
        <f>IF($A41&lt;&gt;"",IF(INDEX(BDHKI,MATCH(InPDBM!$A41,DiemHKI!$B$4:$B$58,0),INDEX($P$10:$W$24,MATCH($D$6,$P$10:$P$24,0),R$9))&lt;&gt;"",INDEX(BDHKI,MATCH(InPDBM!$A41,DiemHKI!$B$4:$B$58,0),INDEX($P$10:$W$24,MATCH($D$6,$P$10:$P$24,0),R$9)),""),"")</f>
        <v>8</v>
      </c>
      <c r="G41" s="102">
        <f>IF($A41&lt;&gt;"",IF(INDEX(BDHKI,MATCH(InPDBM!$A41,DiemHKI!$B$4:$B$58,0),INDEX($P$10:$W$24,MATCH($D$6,$P$10:$P$24,0),S$9))&lt;&gt;"",INDEX(BDHKI,MATCH(InPDBM!$A41,DiemHKI!$B$4:$B$58,0),INDEX($P$10:$W$24,MATCH($D$6,$P$10:$P$24,0),S$9)),""),"")</f>
        <v>9</v>
      </c>
      <c r="H41" s="103">
        <f>IF($A41&lt;&gt;"",IF(INDEX(BDHKI,MATCH(InPDBM!$A41,DiemHKI!$B$4:$B$58,0),INDEX($P$10:$W$24,MATCH($D$6,$P$10:$P$24,0),T$9))&lt;&gt;"",INDEX(BDHKI,MATCH(InPDBM!$A41,DiemHKI!$B$4:$B$58,0),INDEX($P$10:$W$24,MATCH($D$6,$P$10:$P$24,0),T$9)),""),"")</f>
        <v>9</v>
      </c>
      <c r="I41" s="363">
        <f>IF($A41&lt;&gt;"",IF(INDEX(BDHKI,MATCH(InPDBM!$A41,DiemHKI!$B$4:$B$58,0),INDEX($P$10:$W$24,MATCH($D$6,$P$10:$P$24,0),U$9))&lt;&gt;"",INDEX(BDHKI,MATCH(InPDBM!$A41,DiemHKI!$B$4:$B$58,0),INDEX($P$10:$W$24,MATCH($D$6,$P$10:$P$24,0),U$9)),""),"")</f>
        <v>8.4</v>
      </c>
      <c r="J41" s="367">
        <f>IF($A41&lt;&gt;"",IF(INDEX(BDHKI,MATCH(InPDBM!$A41,DiemHKI!$B$4:$B$58,0),INDEX($P$10:$W$24,MATCH($D$6,$P$10:$P$24,0),V$9))&lt;&gt;"",INDEX(BDHKI,MATCH(InPDBM!$A41,DiemHKI!$B$4:$B$58,0),INDEX($P$10:$W$24,MATCH($D$6,$P$10:$P$24,0),V$9)),""),"")</f>
        <v>9</v>
      </c>
      <c r="K41" s="375">
        <f>IF($A41&lt;&gt;"",IF(INDEX(BDHKI,MATCH(InPDBM!$A41,DiemHKI!$B$4:$B$58,0),INDEX($P$10:$W$24,MATCH($D$6,$P$10:$P$24,0),W$9))&lt;&gt;"",INDEX(BDHKI,MATCH(InPDBM!$A41,DiemHKI!$B$4:$B$58,0),INDEX($P$10:$W$24,MATCH($D$6,$P$10:$P$24,0),W$9)),""),"")</f>
        <v>8.8000000000000007</v>
      </c>
      <c r="L41" s="371"/>
      <c r="N41" s="251">
        <f t="shared" si="0"/>
        <v>35</v>
      </c>
    </row>
    <row r="42" spans="1:14" ht="21" customHeight="1">
      <c r="A42" s="117">
        <f>IF(A41&lt;MAX(DiemHKI!$B$4:$B$58),A41+1,"")</f>
        <v>33</v>
      </c>
      <c r="B42" s="100" t="str">
        <f>IF($A42&lt;&gt;"",PROPER(INDEX(DiemHKI!$B$4:$CP$58,MATCH(InPDBM!$A42,DiemHKI!$B$4:$B$58,0),3)),"")</f>
        <v>Trần Thịnh</v>
      </c>
      <c r="C42" s="257" t="str">
        <f>IF($A42&lt;&gt;"",PROPER(INDEX(DiemHKI!$B$4:$CP$58,MATCH(InPDBM!$A42,DiemHKI!$B$4:$B$58,0),4)),"")</f>
        <v>Thịnh</v>
      </c>
      <c r="D42" s="359" t="str">
        <f>IF($A42&lt;&gt;"",PROPER(INDEX(DiemHKI!$B$4:$CP$58,MATCH(InPDBM!$A42,DiemHKI!$B$4:$B$58,0),5)),"")</f>
        <v>18/08/2004</v>
      </c>
      <c r="E42" s="101">
        <f>IF($A42&lt;&gt;"",IF(INDEX(BDHKI,MATCH(InPDBM!$A42,DiemHKI!$B$4:$B$58,0),INDEX($P$10:$W$24,MATCH($D$6,$P$10:$P$24,0),Q$9))&lt;&gt;"",INDEX(BDHKI,MATCH(InPDBM!$A42,DiemHKI!$B$4:$B$58,0),INDEX($P$10:$W$24,MATCH($D$6,$P$10:$P$24,0),Q$9)),""),"")</f>
        <v>10</v>
      </c>
      <c r="F42" s="102">
        <f>IF($A42&lt;&gt;"",IF(INDEX(BDHKI,MATCH(InPDBM!$A42,DiemHKI!$B$4:$B$58,0),INDEX($P$10:$W$24,MATCH($D$6,$P$10:$P$24,0),R$9))&lt;&gt;"",INDEX(BDHKI,MATCH(InPDBM!$A42,DiemHKI!$B$4:$B$58,0),INDEX($P$10:$W$24,MATCH($D$6,$P$10:$P$24,0),R$9)),""),"")</f>
        <v>9</v>
      </c>
      <c r="G42" s="102">
        <f>IF($A42&lt;&gt;"",IF(INDEX(BDHKI,MATCH(InPDBM!$A42,DiemHKI!$B$4:$B$58,0),INDEX($P$10:$W$24,MATCH($D$6,$P$10:$P$24,0),S$9))&lt;&gt;"",INDEX(BDHKI,MATCH(InPDBM!$A42,DiemHKI!$B$4:$B$58,0),INDEX($P$10:$W$24,MATCH($D$6,$P$10:$P$24,0),S$9)),""),"")</f>
        <v>10</v>
      </c>
      <c r="H42" s="103">
        <f>IF($A42&lt;&gt;"",IF(INDEX(BDHKI,MATCH(InPDBM!$A42,DiemHKI!$B$4:$B$58,0),INDEX($P$10:$W$24,MATCH($D$6,$P$10:$P$24,0),T$9))&lt;&gt;"",INDEX(BDHKI,MATCH(InPDBM!$A42,DiemHKI!$B$4:$B$58,0),INDEX($P$10:$W$24,MATCH($D$6,$P$10:$P$24,0),T$9)),""),"")</f>
        <v>10</v>
      </c>
      <c r="I42" s="363">
        <f>IF($A42&lt;&gt;"",IF(INDEX(BDHKI,MATCH(InPDBM!$A42,DiemHKI!$B$4:$B$58,0),INDEX($P$10:$W$24,MATCH($D$6,$P$10:$P$24,0),U$9))&lt;&gt;"",INDEX(BDHKI,MATCH(InPDBM!$A42,DiemHKI!$B$4:$B$58,0),INDEX($P$10:$W$24,MATCH($D$6,$P$10:$P$24,0),U$9)),""),"")</f>
        <v>9</v>
      </c>
      <c r="J42" s="367">
        <f>IF($A42&lt;&gt;"",IF(INDEX(BDHKI,MATCH(InPDBM!$A42,DiemHKI!$B$4:$B$58,0),INDEX($P$10:$W$24,MATCH($D$6,$P$10:$P$24,0),V$9))&lt;&gt;"",INDEX(BDHKI,MATCH(InPDBM!$A42,DiemHKI!$B$4:$B$58,0),INDEX($P$10:$W$24,MATCH($D$6,$P$10:$P$24,0),V$9)),""),"")</f>
        <v>9.5</v>
      </c>
      <c r="K42" s="375">
        <f>IF($A42&lt;&gt;"",IF(INDEX(BDHKI,MATCH(InPDBM!$A42,DiemHKI!$B$4:$B$58,0),INDEX($P$10:$W$24,MATCH($D$6,$P$10:$P$24,0),W$9))&lt;&gt;"",INDEX(BDHKI,MATCH(InPDBM!$A42,DiemHKI!$B$4:$B$58,0),INDEX($P$10:$W$24,MATCH($D$6,$P$10:$P$24,0),W$9)),""),"")</f>
        <v>9.5</v>
      </c>
      <c r="L42" s="371"/>
      <c r="N42" s="251">
        <f t="shared" si="0"/>
        <v>10</v>
      </c>
    </row>
    <row r="43" spans="1:14" ht="21" customHeight="1">
      <c r="A43" s="117">
        <f>IF(A42&lt;MAX(DiemHKI!$B$4:$B$58),A42+1,"")</f>
        <v>34</v>
      </c>
      <c r="B43" s="100" t="str">
        <f>IF($A43&lt;&gt;"",PROPER(INDEX(DiemHKI!$B$4:$CP$58,MATCH(InPDBM!$A43,DiemHKI!$B$4:$B$58,0),3)),"")</f>
        <v>Trần Kim Bảo</v>
      </c>
      <c r="C43" s="257" t="str">
        <f>IF($A43&lt;&gt;"",PROPER(INDEX(DiemHKI!$B$4:$CP$58,MATCH(InPDBM!$A43,DiemHKI!$B$4:$B$58,0),4)),"")</f>
        <v>Trân</v>
      </c>
      <c r="D43" s="359" t="str">
        <f>IF($A43&lt;&gt;"",PROPER(INDEX(DiemHKI!$B$4:$CP$58,MATCH(InPDBM!$A43,DiemHKI!$B$4:$B$58,0),5)),"")</f>
        <v>05/06/2004</v>
      </c>
      <c r="E43" s="101">
        <f>IF($A43&lt;&gt;"",IF(INDEX(BDHKI,MATCH(InPDBM!$A43,DiemHKI!$B$4:$B$58,0),INDEX($P$10:$W$24,MATCH($D$6,$P$10:$P$24,0),Q$9))&lt;&gt;"",INDEX(BDHKI,MATCH(InPDBM!$A43,DiemHKI!$B$4:$B$58,0),INDEX($P$10:$W$24,MATCH($D$6,$P$10:$P$24,0),Q$9)),""),"")</f>
        <v>8</v>
      </c>
      <c r="F43" s="102">
        <f>IF($A43&lt;&gt;"",IF(INDEX(BDHKI,MATCH(InPDBM!$A43,DiemHKI!$B$4:$B$58,0),INDEX($P$10:$W$24,MATCH($D$6,$P$10:$P$24,0),R$9))&lt;&gt;"",INDEX(BDHKI,MATCH(InPDBM!$A43,DiemHKI!$B$4:$B$58,0),INDEX($P$10:$W$24,MATCH($D$6,$P$10:$P$24,0),R$9)),""),"")</f>
        <v>9</v>
      </c>
      <c r="G43" s="102">
        <f>IF($A43&lt;&gt;"",IF(INDEX(BDHKI,MATCH(InPDBM!$A43,DiemHKI!$B$4:$B$58,0),INDEX($P$10:$W$24,MATCH($D$6,$P$10:$P$24,0),S$9))&lt;&gt;"",INDEX(BDHKI,MATCH(InPDBM!$A43,DiemHKI!$B$4:$B$58,0),INDEX($P$10:$W$24,MATCH($D$6,$P$10:$P$24,0),S$9)),""),"")</f>
        <v>8</v>
      </c>
      <c r="H43" s="103">
        <f>IF($A43&lt;&gt;"",IF(INDEX(BDHKI,MATCH(InPDBM!$A43,DiemHKI!$B$4:$B$58,0),INDEX($P$10:$W$24,MATCH($D$6,$P$10:$P$24,0),T$9))&lt;&gt;"",INDEX(BDHKI,MATCH(InPDBM!$A43,DiemHKI!$B$4:$B$58,0),INDEX($P$10:$W$24,MATCH($D$6,$P$10:$P$24,0),T$9)),""),"")</f>
        <v>10</v>
      </c>
      <c r="I43" s="363">
        <f>IF($A43&lt;&gt;"",IF(INDEX(BDHKI,MATCH(InPDBM!$A43,DiemHKI!$B$4:$B$58,0),INDEX($P$10:$W$24,MATCH($D$6,$P$10:$P$24,0),U$9))&lt;&gt;"",INDEX(BDHKI,MATCH(InPDBM!$A43,DiemHKI!$B$4:$B$58,0),INDEX($P$10:$W$24,MATCH($D$6,$P$10:$P$24,0),U$9)),""),"")</f>
        <v>9</v>
      </c>
      <c r="J43" s="367">
        <f>IF($A43&lt;&gt;"",IF(INDEX(BDHKI,MATCH(InPDBM!$A43,DiemHKI!$B$4:$B$58,0),INDEX($P$10:$W$24,MATCH($D$6,$P$10:$P$24,0),V$9))&lt;&gt;"",INDEX(BDHKI,MATCH(InPDBM!$A43,DiemHKI!$B$4:$B$58,0),INDEX($P$10:$W$24,MATCH($D$6,$P$10:$P$24,0),V$9)),""),"")</f>
        <v>9.8000000000000007</v>
      </c>
      <c r="K43" s="375">
        <f>IF($A43&lt;&gt;"",IF(INDEX(BDHKI,MATCH(InPDBM!$A43,DiemHKI!$B$4:$B$58,0),INDEX($P$10:$W$24,MATCH($D$6,$P$10:$P$24,0),W$9))&lt;&gt;"",INDEX(BDHKI,MATCH(InPDBM!$A43,DiemHKI!$B$4:$B$58,0),INDEX($P$10:$W$24,MATCH($D$6,$P$10:$P$24,0),W$9)),""),"")</f>
        <v>9.1999999999999993</v>
      </c>
      <c r="L43" s="371"/>
      <c r="N43" s="251">
        <f t="shared" si="0"/>
        <v>23</v>
      </c>
    </row>
    <row r="44" spans="1:14" ht="21" customHeight="1">
      <c r="A44" s="260">
        <f>IF(A43&lt;MAX(DiemHKI!$B$4:$B$58),A43+1,"")</f>
        <v>35</v>
      </c>
      <c r="B44" s="106" t="str">
        <f>IF($A44&lt;&gt;"",PROPER(INDEX(DiemHKI!$B$4:$CP$58,MATCH(InPDBM!$A44,DiemHKI!$B$4:$B$58,0),3)),"")</f>
        <v>Phạm Đức</v>
      </c>
      <c r="C44" s="261" t="str">
        <f>IF($A44&lt;&gt;"",PROPER(INDEX(DiemHKI!$B$4:$CP$58,MATCH(InPDBM!$A44,DiemHKI!$B$4:$B$58,0),4)),"")</f>
        <v>Trung</v>
      </c>
      <c r="D44" s="360" t="str">
        <f>IF($A44&lt;&gt;"",PROPER(INDEX(DiemHKI!$B$4:$CP$58,MATCH(InPDBM!$A44,DiemHKI!$B$4:$B$58,0),5)),"")</f>
        <v>07/10/2004</v>
      </c>
      <c r="E44" s="107">
        <f>IF($A44&lt;&gt;"",IF(INDEX(BDHKI,MATCH(InPDBM!$A44,DiemHKI!$B$4:$B$58,0),INDEX($P$10:$W$24,MATCH($D$6,$P$10:$P$24,0),Q$9))&lt;&gt;"",INDEX(BDHKI,MATCH(InPDBM!$A44,DiemHKI!$B$4:$B$58,0),INDEX($P$10:$W$24,MATCH($D$6,$P$10:$P$24,0),Q$9)),""),"")</f>
        <v>10</v>
      </c>
      <c r="F44" s="108">
        <f>IF($A44&lt;&gt;"",IF(INDEX(BDHKI,MATCH(InPDBM!$A44,DiemHKI!$B$4:$B$58,0),INDEX($P$10:$W$24,MATCH($D$6,$P$10:$P$24,0),R$9))&lt;&gt;"",INDEX(BDHKI,MATCH(InPDBM!$A44,DiemHKI!$B$4:$B$58,0),INDEX($P$10:$W$24,MATCH($D$6,$P$10:$P$24,0),R$9)),""),"")</f>
        <v>10</v>
      </c>
      <c r="G44" s="108">
        <f>IF($A44&lt;&gt;"",IF(INDEX(BDHKI,MATCH(InPDBM!$A44,DiemHKI!$B$4:$B$58,0),INDEX($P$10:$W$24,MATCH($D$6,$P$10:$P$24,0),S$9))&lt;&gt;"",INDEX(BDHKI,MATCH(InPDBM!$A44,DiemHKI!$B$4:$B$58,0),INDEX($P$10:$W$24,MATCH($D$6,$P$10:$P$24,0),S$9)),""),"")</f>
        <v>10</v>
      </c>
      <c r="H44" s="109">
        <f>IF($A44&lt;&gt;"",IF(INDEX(BDHKI,MATCH(InPDBM!$A44,DiemHKI!$B$4:$B$58,0),INDEX($P$10:$W$24,MATCH($D$6,$P$10:$P$24,0),T$9))&lt;&gt;"",INDEX(BDHKI,MATCH(InPDBM!$A44,DiemHKI!$B$4:$B$58,0),INDEX($P$10:$W$24,MATCH($D$6,$P$10:$P$24,0),T$9)),""),"")</f>
        <v>10</v>
      </c>
      <c r="I44" s="364">
        <f>IF($A44&lt;&gt;"",IF(INDEX(BDHKI,MATCH(InPDBM!$A44,DiemHKI!$B$4:$B$58,0),INDEX($P$10:$W$24,MATCH($D$6,$P$10:$P$24,0),U$9))&lt;&gt;"",INDEX(BDHKI,MATCH(InPDBM!$A44,DiemHKI!$B$4:$B$58,0),INDEX($P$10:$W$24,MATCH($D$6,$P$10:$P$24,0),U$9)),""),"")</f>
        <v>9.6</v>
      </c>
      <c r="J44" s="368">
        <f>IF($A44&lt;&gt;"",IF(INDEX(BDHKI,MATCH(InPDBM!$A44,DiemHKI!$B$4:$B$58,0),INDEX($P$10:$W$24,MATCH($D$6,$P$10:$P$24,0),V$9))&lt;&gt;"",INDEX(BDHKI,MATCH(InPDBM!$A44,DiemHKI!$B$4:$B$58,0),INDEX($P$10:$W$24,MATCH($D$6,$P$10:$P$24,0),V$9)),""),"")</f>
        <v>9.8000000000000007</v>
      </c>
      <c r="K44" s="376">
        <f>IF($A44&lt;&gt;"",IF(INDEX(BDHKI,MATCH(InPDBM!$A44,DiemHKI!$B$4:$B$58,0),INDEX($P$10:$W$24,MATCH($D$6,$P$10:$P$24,0),W$9))&lt;&gt;"",INDEX(BDHKI,MATCH(InPDBM!$A44,DiemHKI!$B$4:$B$58,0),INDEX($P$10:$W$24,MATCH($D$6,$P$10:$P$24,0),W$9)),""),"")</f>
        <v>9.8000000000000007</v>
      </c>
      <c r="L44" s="372"/>
      <c r="N44" s="251">
        <f t="shared" si="0"/>
        <v>3</v>
      </c>
    </row>
    <row r="45" spans="1:14" ht="21" customHeight="1">
      <c r="A45" s="264">
        <f>IF(A44&lt;MAX(DiemHKI!$B$4:$B$58),A44+1,"")</f>
        <v>36</v>
      </c>
      <c r="B45" s="112" t="str">
        <f>IF($A45&lt;&gt;"",PROPER(INDEX(DiemHKI!$B$4:$CP$58,MATCH(InPDBM!$A45,DiemHKI!$B$4:$B$58,0),3)),"")</f>
        <v>Võ Thủy</v>
      </c>
      <c r="C45" s="265" t="str">
        <f>IF($A45&lt;&gt;"",PROPER(INDEX(DiemHKI!$B$4:$CP$58,MATCH(InPDBM!$A45,DiemHKI!$B$4:$B$58,0),4)),"")</f>
        <v>Vân</v>
      </c>
      <c r="D45" s="361" t="str">
        <f>IF($A45&lt;&gt;"",PROPER(INDEX(DiemHKI!$B$4:$CP$58,MATCH(InPDBM!$A45,DiemHKI!$B$4:$B$58,0),5)),"")</f>
        <v>30/10/2004</v>
      </c>
      <c r="E45" s="113">
        <f>IF($A45&lt;&gt;"",IF(INDEX(BDHKI,MATCH(InPDBM!$A45,DiemHKI!$B$4:$B$58,0),INDEX($P$10:$W$24,MATCH($D$6,$P$10:$P$24,0),Q$9))&lt;&gt;"",INDEX(BDHKI,MATCH(InPDBM!$A45,DiemHKI!$B$4:$B$58,0),INDEX($P$10:$W$24,MATCH($D$6,$P$10:$P$24,0),Q$9)),""),"")</f>
        <v>10</v>
      </c>
      <c r="F45" s="114">
        <f>IF($A45&lt;&gt;"",IF(INDEX(BDHKI,MATCH(InPDBM!$A45,DiemHKI!$B$4:$B$58,0),INDEX($P$10:$W$24,MATCH($D$6,$P$10:$P$24,0),R$9))&lt;&gt;"",INDEX(BDHKI,MATCH(InPDBM!$A45,DiemHKI!$B$4:$B$58,0),INDEX($P$10:$W$24,MATCH($D$6,$P$10:$P$24,0),R$9)),""),"")</f>
        <v>10</v>
      </c>
      <c r="G45" s="114">
        <f>IF($A45&lt;&gt;"",IF(INDEX(BDHKI,MATCH(InPDBM!$A45,DiemHKI!$B$4:$B$58,0),INDEX($P$10:$W$24,MATCH($D$6,$P$10:$P$24,0),S$9))&lt;&gt;"",INDEX(BDHKI,MATCH(InPDBM!$A45,DiemHKI!$B$4:$B$58,0),INDEX($P$10:$W$24,MATCH($D$6,$P$10:$P$24,0),S$9)),""),"")</f>
        <v>10</v>
      </c>
      <c r="H45" s="115">
        <f>IF($A45&lt;&gt;"",IF(INDEX(BDHKI,MATCH(InPDBM!$A45,DiemHKI!$B$4:$B$58,0),INDEX($P$10:$W$24,MATCH($D$6,$P$10:$P$24,0),T$9))&lt;&gt;"",INDEX(BDHKI,MATCH(InPDBM!$A45,DiemHKI!$B$4:$B$58,0),INDEX($P$10:$W$24,MATCH($D$6,$P$10:$P$24,0),T$9)),""),"")</f>
        <v>10</v>
      </c>
      <c r="I45" s="362">
        <f>IF($A45&lt;&gt;"",IF(INDEX(BDHKI,MATCH(InPDBM!$A45,DiemHKI!$B$4:$B$58,0),INDEX($P$10:$W$24,MATCH($D$6,$P$10:$P$24,0),U$9))&lt;&gt;"",INDEX(BDHKI,MATCH(InPDBM!$A45,DiemHKI!$B$4:$B$58,0),INDEX($P$10:$W$24,MATCH($D$6,$P$10:$P$24,0),U$9)),""),"")</f>
        <v>9.6</v>
      </c>
      <c r="J45" s="369">
        <f>IF($A45&lt;&gt;"",IF(INDEX(BDHKI,MATCH(InPDBM!$A45,DiemHKI!$B$4:$B$58,0),INDEX($P$10:$W$24,MATCH($D$6,$P$10:$P$24,0),V$9))&lt;&gt;"",INDEX(BDHKI,MATCH(InPDBM!$A45,DiemHKI!$B$4:$B$58,0),INDEX($P$10:$W$24,MATCH($D$6,$P$10:$P$24,0),V$9)),""),"")</f>
        <v>9.5</v>
      </c>
      <c r="K45" s="377">
        <f>IF($A45&lt;&gt;"",IF(INDEX(BDHKI,MATCH(InPDBM!$A45,DiemHKI!$B$4:$B$58,0),INDEX($P$10:$W$24,MATCH($D$6,$P$10:$P$24,0),W$9))&lt;&gt;"",INDEX(BDHKI,MATCH(InPDBM!$A45,DiemHKI!$B$4:$B$58,0),INDEX($P$10:$W$24,MATCH($D$6,$P$10:$P$24,0),W$9)),""),"")</f>
        <v>9.6999999999999993</v>
      </c>
      <c r="L45" s="370"/>
      <c r="N45" s="251">
        <f t="shared" si="0"/>
        <v>5</v>
      </c>
    </row>
    <row r="46" spans="1:14" ht="21" customHeight="1">
      <c r="A46" s="117" t="str">
        <f>IF(A45&lt;MAX(DiemHKI!$B$4:$B$58),A45+1,"")</f>
        <v/>
      </c>
      <c r="B46" s="100" t="str">
        <f>IF($A46&lt;&gt;"",PROPER(INDEX(DiemHKI!$B$4:$CP$58,MATCH(InPDBM!$A46,DiemHKI!$B$4:$B$58,0),3)),"")</f>
        <v/>
      </c>
      <c r="C46" s="257" t="str">
        <f>IF($A46&lt;&gt;"",PROPER(INDEX(DiemHKI!$B$4:$CP$58,MATCH(InPDBM!$A46,DiemHKI!$B$4:$B$58,0),4)),"")</f>
        <v/>
      </c>
      <c r="D46" s="359" t="str">
        <f>IF($A46&lt;&gt;"",PROPER(INDEX(DiemHKI!$B$4:$CP$58,MATCH(InPDBM!$A46,DiemHKI!$B$4:$B$58,0),5)),"")</f>
        <v/>
      </c>
      <c r="E46" s="101" t="str">
        <f>IF($A46&lt;&gt;"",IF(INDEX(BDHKI,MATCH(InPDBM!$A46,DiemHKI!$B$4:$B$58,0),INDEX($P$10:$W$24,MATCH($D$6,$P$10:$P$24,0),Q$9))&lt;&gt;"",INDEX(BDHKI,MATCH(InPDBM!$A46,DiemHKI!$B$4:$B$58,0),INDEX($P$10:$W$24,MATCH($D$6,$P$10:$P$24,0),Q$9)),""),"")</f>
        <v/>
      </c>
      <c r="F46" s="102" t="str">
        <f>IF($A46&lt;&gt;"",IF(INDEX(BDHKI,MATCH(InPDBM!$A46,DiemHKI!$B$4:$B$58,0),INDEX($P$10:$W$24,MATCH($D$6,$P$10:$P$24,0),R$9))&lt;&gt;"",INDEX(BDHKI,MATCH(InPDBM!$A46,DiemHKI!$B$4:$B$58,0),INDEX($P$10:$W$24,MATCH($D$6,$P$10:$P$24,0),R$9)),""),"")</f>
        <v/>
      </c>
      <c r="G46" s="102" t="str">
        <f>IF($A46&lt;&gt;"",IF(INDEX(BDHKI,MATCH(InPDBM!$A46,DiemHKI!$B$4:$B$58,0),INDEX($P$10:$W$24,MATCH($D$6,$P$10:$P$24,0),S$9))&lt;&gt;"",INDEX(BDHKI,MATCH(InPDBM!$A46,DiemHKI!$B$4:$B$58,0),INDEX($P$10:$W$24,MATCH($D$6,$P$10:$P$24,0),S$9)),""),"")</f>
        <v/>
      </c>
      <c r="H46" s="103" t="str">
        <f>IF($A46&lt;&gt;"",IF(INDEX(BDHKI,MATCH(InPDBM!$A46,DiemHKI!$B$4:$B$58,0),INDEX($P$10:$W$24,MATCH($D$6,$P$10:$P$24,0),T$9))&lt;&gt;"",INDEX(BDHKI,MATCH(InPDBM!$A46,DiemHKI!$B$4:$B$58,0),INDEX($P$10:$W$24,MATCH($D$6,$P$10:$P$24,0),T$9)),""),"")</f>
        <v/>
      </c>
      <c r="I46" s="363" t="str">
        <f>IF($A46&lt;&gt;"",IF(INDEX(BDHKI,MATCH(InPDBM!$A46,DiemHKI!$B$4:$B$58,0),INDEX($P$10:$W$24,MATCH($D$6,$P$10:$P$24,0),U$9))&lt;&gt;"",INDEX(BDHKI,MATCH(InPDBM!$A46,DiemHKI!$B$4:$B$58,0),INDEX($P$10:$W$24,MATCH($D$6,$P$10:$P$24,0),U$9)),""),"")</f>
        <v/>
      </c>
      <c r="J46" s="367" t="str">
        <f>IF($A46&lt;&gt;"",IF(INDEX(BDHKI,MATCH(InPDBM!$A46,DiemHKI!$B$4:$B$58,0),INDEX($P$10:$W$24,MATCH($D$6,$P$10:$P$24,0),V$9))&lt;&gt;"",INDEX(BDHKI,MATCH(InPDBM!$A46,DiemHKI!$B$4:$B$58,0),INDEX($P$10:$W$24,MATCH($D$6,$P$10:$P$24,0),V$9)),""),"")</f>
        <v/>
      </c>
      <c r="K46" s="375" t="str">
        <f>IF($A46&lt;&gt;"",IF(INDEX(BDHKI,MATCH(InPDBM!$A46,DiemHKI!$B$4:$B$58,0),INDEX($P$10:$W$24,MATCH($D$6,$P$10:$P$24,0),W$9))&lt;&gt;"",INDEX(BDHKI,MATCH(InPDBM!$A46,DiemHKI!$B$4:$B$58,0),INDEX($P$10:$W$24,MATCH($D$6,$P$10:$P$24,0),W$9)),""),"")</f>
        <v/>
      </c>
      <c r="L46" s="371"/>
      <c r="N46" s="251" t="str">
        <f t="shared" si="0"/>
        <v/>
      </c>
    </row>
    <row r="47" spans="1:14" ht="21" customHeight="1">
      <c r="A47" s="117" t="str">
        <f>IF(A46&lt;MAX(DiemHKI!$B$4:$B$58),A46+1,"")</f>
        <v/>
      </c>
      <c r="B47" s="100" t="str">
        <f>IF($A47&lt;&gt;"",PROPER(INDEX(DiemHKI!$B$4:$CP$58,MATCH(InPDBM!$A47,DiemHKI!$B$4:$B$58,0),3)),"")</f>
        <v/>
      </c>
      <c r="C47" s="257" t="str">
        <f>IF($A47&lt;&gt;"",PROPER(INDEX(DiemHKI!$B$4:$CP$58,MATCH(InPDBM!$A47,DiemHKI!$B$4:$B$58,0),4)),"")</f>
        <v/>
      </c>
      <c r="D47" s="359" t="str">
        <f>IF($A47&lt;&gt;"",PROPER(INDEX(DiemHKI!$B$4:$CP$58,MATCH(InPDBM!$A47,DiemHKI!$B$4:$B$58,0),5)),"")</f>
        <v/>
      </c>
      <c r="E47" s="101" t="str">
        <f>IF($A47&lt;&gt;"",IF(INDEX(BDHKI,MATCH(InPDBM!$A47,DiemHKI!$B$4:$B$58,0),INDEX($P$10:$W$24,MATCH($D$6,$P$10:$P$24,0),Q$9))&lt;&gt;"",INDEX(BDHKI,MATCH(InPDBM!$A47,DiemHKI!$B$4:$B$58,0),INDEX($P$10:$W$24,MATCH($D$6,$P$10:$P$24,0),Q$9)),""),"")</f>
        <v/>
      </c>
      <c r="F47" s="102" t="str">
        <f>IF($A47&lt;&gt;"",IF(INDEX(BDHKI,MATCH(InPDBM!$A47,DiemHKI!$B$4:$B$58,0),INDEX($P$10:$W$24,MATCH($D$6,$P$10:$P$24,0),R$9))&lt;&gt;"",INDEX(BDHKI,MATCH(InPDBM!$A47,DiemHKI!$B$4:$B$58,0),INDEX($P$10:$W$24,MATCH($D$6,$P$10:$P$24,0),R$9)),""),"")</f>
        <v/>
      </c>
      <c r="G47" s="102" t="str">
        <f>IF($A47&lt;&gt;"",IF(INDEX(BDHKI,MATCH(InPDBM!$A47,DiemHKI!$B$4:$B$58,0),INDEX($P$10:$W$24,MATCH($D$6,$P$10:$P$24,0),S$9))&lt;&gt;"",INDEX(BDHKI,MATCH(InPDBM!$A47,DiemHKI!$B$4:$B$58,0),INDEX($P$10:$W$24,MATCH($D$6,$P$10:$P$24,0),S$9)),""),"")</f>
        <v/>
      </c>
      <c r="H47" s="103" t="str">
        <f>IF($A47&lt;&gt;"",IF(INDEX(BDHKI,MATCH(InPDBM!$A47,DiemHKI!$B$4:$B$58,0),INDEX($P$10:$W$24,MATCH($D$6,$P$10:$P$24,0),T$9))&lt;&gt;"",INDEX(BDHKI,MATCH(InPDBM!$A47,DiemHKI!$B$4:$B$58,0),INDEX($P$10:$W$24,MATCH($D$6,$P$10:$P$24,0),T$9)),""),"")</f>
        <v/>
      </c>
      <c r="I47" s="363" t="str">
        <f>IF($A47&lt;&gt;"",IF(INDEX(BDHKI,MATCH(InPDBM!$A47,DiemHKI!$B$4:$B$58,0),INDEX($P$10:$W$24,MATCH($D$6,$P$10:$P$24,0),U$9))&lt;&gt;"",INDEX(BDHKI,MATCH(InPDBM!$A47,DiemHKI!$B$4:$B$58,0),INDEX($P$10:$W$24,MATCH($D$6,$P$10:$P$24,0),U$9)),""),"")</f>
        <v/>
      </c>
      <c r="J47" s="367" t="str">
        <f>IF($A47&lt;&gt;"",IF(INDEX(BDHKI,MATCH(InPDBM!$A47,DiemHKI!$B$4:$B$58,0),INDEX($P$10:$W$24,MATCH($D$6,$P$10:$P$24,0),V$9))&lt;&gt;"",INDEX(BDHKI,MATCH(InPDBM!$A47,DiemHKI!$B$4:$B$58,0),INDEX($P$10:$W$24,MATCH($D$6,$P$10:$P$24,0),V$9)),""),"")</f>
        <v/>
      </c>
      <c r="K47" s="375" t="str">
        <f>IF($A47&lt;&gt;"",IF(INDEX(BDHKI,MATCH(InPDBM!$A47,DiemHKI!$B$4:$B$58,0),INDEX($P$10:$W$24,MATCH($D$6,$P$10:$P$24,0),W$9))&lt;&gt;"",INDEX(BDHKI,MATCH(InPDBM!$A47,DiemHKI!$B$4:$B$58,0),INDEX($P$10:$W$24,MATCH($D$6,$P$10:$P$24,0),W$9)),""),"")</f>
        <v/>
      </c>
      <c r="L47" s="371"/>
      <c r="N47" s="251" t="str">
        <f t="shared" si="0"/>
        <v/>
      </c>
    </row>
    <row r="48" spans="1:14" ht="21" customHeight="1">
      <c r="A48" s="117" t="str">
        <f>IF(A47&lt;MAX(DiemHKI!$B$4:$B$58),A47+1,"")</f>
        <v/>
      </c>
      <c r="B48" s="100" t="str">
        <f>IF($A48&lt;&gt;"",PROPER(INDEX(DiemHKI!$B$4:$CP$58,MATCH(InPDBM!$A48,DiemHKI!$B$4:$B$58,0),3)),"")</f>
        <v/>
      </c>
      <c r="C48" s="257" t="str">
        <f>IF($A48&lt;&gt;"",PROPER(INDEX(DiemHKI!$B$4:$CP$58,MATCH(InPDBM!$A48,DiemHKI!$B$4:$B$58,0),4)),"")</f>
        <v/>
      </c>
      <c r="D48" s="359" t="str">
        <f>IF($A48&lt;&gt;"",PROPER(INDEX(DiemHKI!$B$4:$CP$58,MATCH(InPDBM!$A48,DiemHKI!$B$4:$B$58,0),5)),"")</f>
        <v/>
      </c>
      <c r="E48" s="101" t="str">
        <f>IF($A48&lt;&gt;"",IF(INDEX(BDHKI,MATCH(InPDBM!$A48,DiemHKI!$B$4:$B$58,0),INDEX($P$10:$W$24,MATCH($D$6,$P$10:$P$24,0),Q$9))&lt;&gt;"",INDEX(BDHKI,MATCH(InPDBM!$A48,DiemHKI!$B$4:$B$58,0),INDEX($P$10:$W$24,MATCH($D$6,$P$10:$P$24,0),Q$9)),""),"")</f>
        <v/>
      </c>
      <c r="F48" s="102" t="str">
        <f>IF($A48&lt;&gt;"",IF(INDEX(BDHKI,MATCH(InPDBM!$A48,DiemHKI!$B$4:$B$58,0),INDEX($P$10:$W$24,MATCH($D$6,$P$10:$P$24,0),R$9))&lt;&gt;"",INDEX(BDHKI,MATCH(InPDBM!$A48,DiemHKI!$B$4:$B$58,0),INDEX($P$10:$W$24,MATCH($D$6,$P$10:$P$24,0),R$9)),""),"")</f>
        <v/>
      </c>
      <c r="G48" s="102" t="str">
        <f>IF($A48&lt;&gt;"",IF(INDEX(BDHKI,MATCH(InPDBM!$A48,DiemHKI!$B$4:$B$58,0),INDEX($P$10:$W$24,MATCH($D$6,$P$10:$P$24,0),S$9))&lt;&gt;"",INDEX(BDHKI,MATCH(InPDBM!$A48,DiemHKI!$B$4:$B$58,0),INDEX($P$10:$W$24,MATCH($D$6,$P$10:$P$24,0),S$9)),""),"")</f>
        <v/>
      </c>
      <c r="H48" s="103" t="str">
        <f>IF($A48&lt;&gt;"",IF(INDEX(BDHKI,MATCH(InPDBM!$A48,DiemHKI!$B$4:$B$58,0),INDEX($P$10:$W$24,MATCH($D$6,$P$10:$P$24,0),T$9))&lt;&gt;"",INDEX(BDHKI,MATCH(InPDBM!$A48,DiemHKI!$B$4:$B$58,0),INDEX($P$10:$W$24,MATCH($D$6,$P$10:$P$24,0),T$9)),""),"")</f>
        <v/>
      </c>
      <c r="I48" s="363" t="str">
        <f>IF($A48&lt;&gt;"",IF(INDEX(BDHKI,MATCH(InPDBM!$A48,DiemHKI!$B$4:$B$58,0),INDEX($P$10:$W$24,MATCH($D$6,$P$10:$P$24,0),U$9))&lt;&gt;"",INDEX(BDHKI,MATCH(InPDBM!$A48,DiemHKI!$B$4:$B$58,0),INDEX($P$10:$W$24,MATCH($D$6,$P$10:$P$24,0),U$9)),""),"")</f>
        <v/>
      </c>
      <c r="J48" s="367" t="str">
        <f>IF($A48&lt;&gt;"",IF(INDEX(BDHKI,MATCH(InPDBM!$A48,DiemHKI!$B$4:$B$58,0),INDEX($P$10:$W$24,MATCH($D$6,$P$10:$P$24,0),V$9))&lt;&gt;"",INDEX(BDHKI,MATCH(InPDBM!$A48,DiemHKI!$B$4:$B$58,0),INDEX($P$10:$W$24,MATCH($D$6,$P$10:$P$24,0),V$9)),""),"")</f>
        <v/>
      </c>
      <c r="K48" s="375" t="str">
        <f>IF($A48&lt;&gt;"",IF(INDEX(BDHKI,MATCH(InPDBM!$A48,DiemHKI!$B$4:$B$58,0),INDEX($P$10:$W$24,MATCH($D$6,$P$10:$P$24,0),W$9))&lt;&gt;"",INDEX(BDHKI,MATCH(InPDBM!$A48,DiemHKI!$B$4:$B$58,0),INDEX($P$10:$W$24,MATCH($D$6,$P$10:$P$24,0),W$9)),""),"")</f>
        <v/>
      </c>
      <c r="L48" s="371"/>
      <c r="N48" s="251" t="str">
        <f t="shared" si="0"/>
        <v/>
      </c>
    </row>
    <row r="49" spans="1:14" ht="21" customHeight="1">
      <c r="A49" s="260" t="str">
        <f>IF(A48&lt;MAX(DiemHKI!$B$4:$B$58),A48+1,"")</f>
        <v/>
      </c>
      <c r="B49" s="106" t="str">
        <f>IF($A49&lt;&gt;"",PROPER(INDEX(DiemHKI!$B$4:$CP$58,MATCH(InPDBM!$A49,DiemHKI!$B$4:$B$58,0),3)),"")</f>
        <v/>
      </c>
      <c r="C49" s="261" t="str">
        <f>IF($A49&lt;&gt;"",PROPER(INDEX(DiemHKI!$B$4:$CP$58,MATCH(InPDBM!$A49,DiemHKI!$B$4:$B$58,0),4)),"")</f>
        <v/>
      </c>
      <c r="D49" s="360" t="str">
        <f>IF($A49&lt;&gt;"",PROPER(INDEX(DiemHKI!$B$4:$CP$58,MATCH(InPDBM!$A49,DiemHKI!$B$4:$B$58,0),5)),"")</f>
        <v/>
      </c>
      <c r="E49" s="107" t="str">
        <f>IF($A49&lt;&gt;"",IF(INDEX(BDHKI,MATCH(InPDBM!$A49,DiemHKI!$B$4:$B$58,0),INDEX($P$10:$W$24,MATCH($D$6,$P$10:$P$24,0),Q$9))&lt;&gt;"",INDEX(BDHKI,MATCH(InPDBM!$A49,DiemHKI!$B$4:$B$58,0),INDEX($P$10:$W$24,MATCH($D$6,$P$10:$P$24,0),Q$9)),""),"")</f>
        <v/>
      </c>
      <c r="F49" s="108" t="str">
        <f>IF($A49&lt;&gt;"",IF(INDEX(BDHKI,MATCH(InPDBM!$A49,DiemHKI!$B$4:$B$58,0),INDEX($P$10:$W$24,MATCH($D$6,$P$10:$P$24,0),R$9))&lt;&gt;"",INDEX(BDHKI,MATCH(InPDBM!$A49,DiemHKI!$B$4:$B$58,0),INDEX($P$10:$W$24,MATCH($D$6,$P$10:$P$24,0),R$9)),""),"")</f>
        <v/>
      </c>
      <c r="G49" s="108" t="str">
        <f>IF($A49&lt;&gt;"",IF(INDEX(BDHKI,MATCH(InPDBM!$A49,DiemHKI!$B$4:$B$58,0),INDEX($P$10:$W$24,MATCH($D$6,$P$10:$P$24,0),S$9))&lt;&gt;"",INDEX(BDHKI,MATCH(InPDBM!$A49,DiemHKI!$B$4:$B$58,0),INDEX($P$10:$W$24,MATCH($D$6,$P$10:$P$24,0),S$9)),""),"")</f>
        <v/>
      </c>
      <c r="H49" s="109" t="str">
        <f>IF($A49&lt;&gt;"",IF(INDEX(BDHKI,MATCH(InPDBM!$A49,DiemHKI!$B$4:$B$58,0),INDEX($P$10:$W$24,MATCH($D$6,$P$10:$P$24,0),T$9))&lt;&gt;"",INDEX(BDHKI,MATCH(InPDBM!$A49,DiemHKI!$B$4:$B$58,0),INDEX($P$10:$W$24,MATCH($D$6,$P$10:$P$24,0),T$9)),""),"")</f>
        <v/>
      </c>
      <c r="I49" s="364" t="str">
        <f>IF($A49&lt;&gt;"",IF(INDEX(BDHKI,MATCH(InPDBM!$A49,DiemHKI!$B$4:$B$58,0),INDEX($P$10:$W$24,MATCH($D$6,$P$10:$P$24,0),U$9))&lt;&gt;"",INDEX(BDHKI,MATCH(InPDBM!$A49,DiemHKI!$B$4:$B$58,0),INDEX($P$10:$W$24,MATCH($D$6,$P$10:$P$24,0),U$9)),""),"")</f>
        <v/>
      </c>
      <c r="J49" s="368" t="str">
        <f>IF($A49&lt;&gt;"",IF(INDEX(BDHKI,MATCH(InPDBM!$A49,DiemHKI!$B$4:$B$58,0),INDEX($P$10:$W$24,MATCH($D$6,$P$10:$P$24,0),V$9))&lt;&gt;"",INDEX(BDHKI,MATCH(InPDBM!$A49,DiemHKI!$B$4:$B$58,0),INDEX($P$10:$W$24,MATCH($D$6,$P$10:$P$24,0),V$9)),""),"")</f>
        <v/>
      </c>
      <c r="K49" s="376" t="str">
        <f>IF($A49&lt;&gt;"",IF(INDEX(BDHKI,MATCH(InPDBM!$A49,DiemHKI!$B$4:$B$58,0),INDEX($P$10:$W$24,MATCH($D$6,$P$10:$P$24,0),W$9))&lt;&gt;"",INDEX(BDHKI,MATCH(InPDBM!$A49,DiemHKI!$B$4:$B$58,0),INDEX($P$10:$W$24,MATCH($D$6,$P$10:$P$24,0),W$9)),""),"")</f>
        <v/>
      </c>
      <c r="L49" s="372"/>
      <c r="N49" s="251" t="str">
        <f t="shared" si="0"/>
        <v/>
      </c>
    </row>
    <row r="50" spans="1:14" ht="21" hidden="1" customHeight="1">
      <c r="A50" s="264" t="str">
        <f>IF(A49&lt;MAX(DiemHKI!$B$4:$B$58),A49+1,"")</f>
        <v/>
      </c>
      <c r="B50" s="112" t="str">
        <f>IF($A50&lt;&gt;"",PROPER(INDEX(DiemHKI!$B$4:$CP$58,MATCH(InPDBM!$A50,DiemHKI!$B$4:$B$58,0),3)),"")</f>
        <v/>
      </c>
      <c r="C50" s="265" t="str">
        <f>IF($A50&lt;&gt;"",PROPER(INDEX(DiemHKI!$B$4:$CP$58,MATCH(InPDBM!$A50,DiemHKI!$B$4:$B$58,0),4)),"")</f>
        <v/>
      </c>
      <c r="D50" s="361" t="str">
        <f>IF($A50&lt;&gt;"",PROPER(INDEX(DiemHKI!$B$4:$CP$58,MATCH(InPDBM!$A50,DiemHKI!$B$4:$B$58,0),5)),"")</f>
        <v/>
      </c>
      <c r="E50" s="113" t="str">
        <f>IF($A50&lt;&gt;"",IF(INDEX(BDHKI,MATCH(InPDBM!$A50,DiemHKI!$B$4:$B$58,0),INDEX($P$10:$W$24,MATCH($D$6,$P$10:$P$24,0),Q$9))&lt;&gt;"",INDEX(BDHKI,MATCH(InPDBM!$A50,DiemHKI!$B$4:$B$58,0),INDEX($P$10:$W$24,MATCH($D$6,$P$10:$P$24,0),Q$9)),""),"")</f>
        <v/>
      </c>
      <c r="F50" s="114" t="str">
        <f>IF($A50&lt;&gt;"",IF(INDEX(BDHKI,MATCH(InPDBM!$A50,DiemHKI!$B$4:$B$58,0),INDEX($P$10:$W$24,MATCH($D$6,$P$10:$P$24,0),R$9))&lt;&gt;"",INDEX(BDHKI,MATCH(InPDBM!$A50,DiemHKI!$B$4:$B$58,0),INDEX($P$10:$W$24,MATCH($D$6,$P$10:$P$24,0),R$9)),""),"")</f>
        <v/>
      </c>
      <c r="G50" s="114" t="str">
        <f>IF($A50&lt;&gt;"",IF(INDEX(BDHKI,MATCH(InPDBM!$A50,DiemHKI!$B$4:$B$58,0),INDEX($P$10:$W$24,MATCH($D$6,$P$10:$P$24,0),S$9))&lt;&gt;"",INDEX(BDHKI,MATCH(InPDBM!$A50,DiemHKI!$B$4:$B$58,0),INDEX($P$10:$W$24,MATCH($D$6,$P$10:$P$24,0),S$9)),""),"")</f>
        <v/>
      </c>
      <c r="H50" s="115" t="str">
        <f>IF($A50&lt;&gt;"",IF(INDEX(BDHKI,MATCH(InPDBM!$A50,DiemHKI!$B$4:$B$58,0),INDEX($P$10:$W$24,MATCH($D$6,$P$10:$P$24,0),T$9))&lt;&gt;"",INDEX(BDHKI,MATCH(InPDBM!$A50,DiemHKI!$B$4:$B$58,0),INDEX($P$10:$W$24,MATCH($D$6,$P$10:$P$24,0),T$9)),""),"")</f>
        <v/>
      </c>
      <c r="I50" s="362" t="str">
        <f>IF($A50&lt;&gt;"",IF(INDEX(BDHKI,MATCH(InPDBM!$A50,DiemHKI!$B$4:$B$58,0),INDEX($P$10:$W$24,MATCH($D$6,$P$10:$P$24,0),U$9))&lt;&gt;"",INDEX(BDHKI,MATCH(InPDBM!$A50,DiemHKI!$B$4:$B$58,0),INDEX($P$10:$W$24,MATCH($D$6,$P$10:$P$24,0),U$9)),""),"")</f>
        <v/>
      </c>
      <c r="J50" s="369" t="str">
        <f>IF($A50&lt;&gt;"",IF(INDEX(BDHKI,MATCH(InPDBM!$A50,DiemHKI!$B$4:$B$58,0),INDEX($P$10:$W$24,MATCH($D$6,$P$10:$P$24,0),V$9))&lt;&gt;"",INDEX(BDHKI,MATCH(InPDBM!$A50,DiemHKI!$B$4:$B$58,0),INDEX($P$10:$W$24,MATCH($D$6,$P$10:$P$24,0),V$9)),""),"")</f>
        <v/>
      </c>
      <c r="K50" s="377" t="str">
        <f>IF($A50&lt;&gt;"",IF(INDEX(BDHKI,MATCH(InPDBM!$A50,DiemHKI!$B$4:$B$58,0),INDEX($P$10:$W$24,MATCH($D$6,$P$10:$P$24,0),W$9))&lt;&gt;"",INDEX(BDHKI,MATCH(InPDBM!$A50,DiemHKI!$B$4:$B$58,0),INDEX($P$10:$W$24,MATCH($D$6,$P$10:$P$24,0),W$9)),""),"")</f>
        <v/>
      </c>
      <c r="L50" s="370"/>
      <c r="N50" s="251" t="str">
        <f t="shared" si="0"/>
        <v/>
      </c>
    </row>
    <row r="51" spans="1:14" ht="21" hidden="1" customHeight="1">
      <c r="A51" s="117" t="str">
        <f>IF(A50&lt;MAX(DiemHKI!$B$4:$B$58),A50+1,"")</f>
        <v/>
      </c>
      <c r="B51" s="100" t="str">
        <f>IF($A51&lt;&gt;"",PROPER(INDEX(DiemHKI!$B$4:$CP$58,MATCH(InPDBM!$A51,DiemHKI!$B$4:$B$58,0),3)),"")</f>
        <v/>
      </c>
      <c r="C51" s="257" t="str">
        <f>IF($A51&lt;&gt;"",PROPER(INDEX(DiemHKI!$B$4:$CP$58,MATCH(InPDBM!$A51,DiemHKI!$B$4:$B$58,0),4)),"")</f>
        <v/>
      </c>
      <c r="D51" s="359" t="str">
        <f>IF($A51&lt;&gt;"",PROPER(INDEX(DiemHKI!$B$4:$CP$58,MATCH(InPDBM!$A51,DiemHKI!$B$4:$B$58,0),5)),"")</f>
        <v/>
      </c>
      <c r="E51" s="101" t="str">
        <f>IF($A51&lt;&gt;"",IF(INDEX(BDHKI,MATCH(InPDBM!$A51,DiemHKI!$B$4:$B$58,0),INDEX($P$10:$W$24,MATCH($D$6,$P$10:$P$24,0),Q$9))&lt;&gt;"",INDEX(BDHKI,MATCH(InPDBM!$A51,DiemHKI!$B$4:$B$58,0),INDEX($P$10:$W$24,MATCH($D$6,$P$10:$P$24,0),Q$9)),""),"")</f>
        <v/>
      </c>
      <c r="F51" s="102" t="str">
        <f>IF($A51&lt;&gt;"",IF(INDEX(BDHKI,MATCH(InPDBM!$A51,DiemHKI!$B$4:$B$58,0),INDEX($P$10:$W$24,MATCH($D$6,$P$10:$P$24,0),R$9))&lt;&gt;"",INDEX(BDHKI,MATCH(InPDBM!$A51,DiemHKI!$B$4:$B$58,0),INDEX($P$10:$W$24,MATCH($D$6,$P$10:$P$24,0),R$9)),""),"")</f>
        <v/>
      </c>
      <c r="G51" s="102" t="str">
        <f>IF($A51&lt;&gt;"",IF(INDEX(BDHKI,MATCH(InPDBM!$A51,DiemHKI!$B$4:$B$58,0),INDEX($P$10:$W$24,MATCH($D$6,$P$10:$P$24,0),S$9))&lt;&gt;"",INDEX(BDHKI,MATCH(InPDBM!$A51,DiemHKI!$B$4:$B$58,0),INDEX($P$10:$W$24,MATCH($D$6,$P$10:$P$24,0),S$9)),""),"")</f>
        <v/>
      </c>
      <c r="H51" s="103" t="str">
        <f>IF($A51&lt;&gt;"",IF(INDEX(BDHKI,MATCH(InPDBM!$A51,DiemHKI!$B$4:$B$58,0),INDEX($P$10:$W$24,MATCH($D$6,$P$10:$P$24,0),T$9))&lt;&gt;"",INDEX(BDHKI,MATCH(InPDBM!$A51,DiemHKI!$B$4:$B$58,0),INDEX($P$10:$W$24,MATCH($D$6,$P$10:$P$24,0),T$9)),""),"")</f>
        <v/>
      </c>
      <c r="I51" s="363" t="str">
        <f>IF($A51&lt;&gt;"",IF(INDEX(BDHKI,MATCH(InPDBM!$A51,DiemHKI!$B$4:$B$58,0),INDEX($P$10:$W$24,MATCH($D$6,$P$10:$P$24,0),U$9))&lt;&gt;"",INDEX(BDHKI,MATCH(InPDBM!$A51,DiemHKI!$B$4:$B$58,0),INDEX($P$10:$W$24,MATCH($D$6,$P$10:$P$24,0),U$9)),""),"")</f>
        <v/>
      </c>
      <c r="J51" s="367" t="str">
        <f>IF($A51&lt;&gt;"",IF(INDEX(BDHKI,MATCH(InPDBM!$A51,DiemHKI!$B$4:$B$58,0),INDEX($P$10:$W$24,MATCH($D$6,$P$10:$P$24,0),V$9))&lt;&gt;"",INDEX(BDHKI,MATCH(InPDBM!$A51,DiemHKI!$B$4:$B$58,0),INDEX($P$10:$W$24,MATCH($D$6,$P$10:$P$24,0),V$9)),""),"")</f>
        <v/>
      </c>
      <c r="K51" s="375" t="str">
        <f>IF($A51&lt;&gt;"",IF(INDEX(BDHKI,MATCH(InPDBM!$A51,DiemHKI!$B$4:$B$58,0),INDEX($P$10:$W$24,MATCH($D$6,$P$10:$P$24,0),W$9))&lt;&gt;"",INDEX(BDHKI,MATCH(InPDBM!$A51,DiemHKI!$B$4:$B$58,0),INDEX($P$10:$W$24,MATCH($D$6,$P$10:$P$24,0),W$9)),""),"")</f>
        <v/>
      </c>
      <c r="L51" s="371"/>
      <c r="N51" s="251" t="str">
        <f t="shared" si="0"/>
        <v/>
      </c>
    </row>
    <row r="52" spans="1:14" ht="21" hidden="1" customHeight="1">
      <c r="A52" s="117" t="str">
        <f>IF(A51&lt;MAX(DiemHKI!$B$4:$B$58),A51+1,"")</f>
        <v/>
      </c>
      <c r="B52" s="100" t="str">
        <f>IF($A52&lt;&gt;"",PROPER(INDEX(DiemHKI!$B$4:$CP$58,MATCH(InPDBM!$A52,DiemHKI!$B$4:$B$58,0),3)),"")</f>
        <v/>
      </c>
      <c r="C52" s="257" t="str">
        <f>IF($A52&lt;&gt;"",PROPER(INDEX(DiemHKI!$B$4:$CP$58,MATCH(InPDBM!$A52,DiemHKI!$B$4:$B$58,0),4)),"")</f>
        <v/>
      </c>
      <c r="D52" s="359" t="str">
        <f>IF($A52&lt;&gt;"",PROPER(INDEX(DiemHKI!$B$4:$CP$58,MATCH(InPDBM!$A52,DiemHKI!$B$4:$B$58,0),5)),"")</f>
        <v/>
      </c>
      <c r="E52" s="101" t="str">
        <f>IF($A52&lt;&gt;"",IF(INDEX(BDHKI,MATCH(InPDBM!$A52,DiemHKI!$B$4:$B$58,0),INDEX($P$10:$W$24,MATCH($D$6,$P$10:$P$24,0),Q$9))&lt;&gt;"",INDEX(BDHKI,MATCH(InPDBM!$A52,DiemHKI!$B$4:$B$58,0),INDEX($P$10:$W$24,MATCH($D$6,$P$10:$P$24,0),Q$9)),""),"")</f>
        <v/>
      </c>
      <c r="F52" s="102" t="str">
        <f>IF($A52&lt;&gt;"",IF(INDEX(BDHKI,MATCH(InPDBM!$A52,DiemHKI!$B$4:$B$58,0),INDEX($P$10:$W$24,MATCH($D$6,$P$10:$P$24,0),R$9))&lt;&gt;"",INDEX(BDHKI,MATCH(InPDBM!$A52,DiemHKI!$B$4:$B$58,0),INDEX($P$10:$W$24,MATCH($D$6,$P$10:$P$24,0),R$9)),""),"")</f>
        <v/>
      </c>
      <c r="G52" s="102" t="str">
        <f>IF($A52&lt;&gt;"",IF(INDEX(BDHKI,MATCH(InPDBM!$A52,DiemHKI!$B$4:$B$58,0),INDEX($P$10:$W$24,MATCH($D$6,$P$10:$P$24,0),S$9))&lt;&gt;"",INDEX(BDHKI,MATCH(InPDBM!$A52,DiemHKI!$B$4:$B$58,0),INDEX($P$10:$W$24,MATCH($D$6,$P$10:$P$24,0),S$9)),""),"")</f>
        <v/>
      </c>
      <c r="H52" s="103" t="str">
        <f>IF($A52&lt;&gt;"",IF(INDEX(BDHKI,MATCH(InPDBM!$A52,DiemHKI!$B$4:$B$58,0),INDEX($P$10:$W$24,MATCH($D$6,$P$10:$P$24,0),T$9))&lt;&gt;"",INDEX(BDHKI,MATCH(InPDBM!$A52,DiemHKI!$B$4:$B$58,0),INDEX($P$10:$W$24,MATCH($D$6,$P$10:$P$24,0),T$9)),""),"")</f>
        <v/>
      </c>
      <c r="I52" s="363" t="str">
        <f>IF($A52&lt;&gt;"",IF(INDEX(BDHKI,MATCH(InPDBM!$A52,DiemHKI!$B$4:$B$58,0),INDEX($P$10:$W$24,MATCH($D$6,$P$10:$P$24,0),U$9))&lt;&gt;"",INDEX(BDHKI,MATCH(InPDBM!$A52,DiemHKI!$B$4:$B$58,0),INDEX($P$10:$W$24,MATCH($D$6,$P$10:$P$24,0),U$9)),""),"")</f>
        <v/>
      </c>
      <c r="J52" s="367" t="str">
        <f>IF($A52&lt;&gt;"",IF(INDEX(BDHKI,MATCH(InPDBM!$A52,DiemHKI!$B$4:$B$58,0),INDEX($P$10:$W$24,MATCH($D$6,$P$10:$P$24,0),V$9))&lt;&gt;"",INDEX(BDHKI,MATCH(InPDBM!$A52,DiemHKI!$B$4:$B$58,0),INDEX($P$10:$W$24,MATCH($D$6,$P$10:$P$24,0),V$9)),""),"")</f>
        <v/>
      </c>
      <c r="K52" s="375" t="str">
        <f>IF($A52&lt;&gt;"",IF(INDEX(BDHKI,MATCH(InPDBM!$A52,DiemHKI!$B$4:$B$58,0),INDEX($P$10:$W$24,MATCH($D$6,$P$10:$P$24,0),W$9))&lt;&gt;"",INDEX(BDHKI,MATCH(InPDBM!$A52,DiemHKI!$B$4:$B$58,0),INDEX($P$10:$W$24,MATCH($D$6,$P$10:$P$24,0),W$9)),""),"")</f>
        <v/>
      </c>
      <c r="L52" s="371"/>
      <c r="N52" s="251" t="str">
        <f t="shared" si="0"/>
        <v/>
      </c>
    </row>
    <row r="53" spans="1:14" ht="21" hidden="1" customHeight="1">
      <c r="A53" s="117" t="str">
        <f>IF(A52&lt;MAX(DiemHKI!$B$4:$B$58),A52+1,"")</f>
        <v/>
      </c>
      <c r="B53" s="100" t="str">
        <f>IF($A53&lt;&gt;"",PROPER(INDEX(DiemHKI!$B$4:$CP$58,MATCH(InPDBM!$A53,DiemHKI!$B$4:$B$58,0),3)),"")</f>
        <v/>
      </c>
      <c r="C53" s="257" t="str">
        <f>IF($A53&lt;&gt;"",PROPER(INDEX(DiemHKI!$B$4:$CP$58,MATCH(InPDBM!$A53,DiemHKI!$B$4:$B$58,0),4)),"")</f>
        <v/>
      </c>
      <c r="D53" s="359" t="str">
        <f>IF($A53&lt;&gt;"",PROPER(INDEX(DiemHKI!$B$4:$CP$58,MATCH(InPDBM!$A53,DiemHKI!$B$4:$B$58,0),5)),"")</f>
        <v/>
      </c>
      <c r="E53" s="101" t="str">
        <f>IF($A53&lt;&gt;"",IF(INDEX(BDHKI,MATCH(InPDBM!$A53,DiemHKI!$B$4:$B$58,0),INDEX($P$10:$W$24,MATCH($D$6,$P$10:$P$24,0),Q$9))&lt;&gt;"",INDEX(BDHKI,MATCH(InPDBM!$A53,DiemHKI!$B$4:$B$58,0),INDEX($P$10:$W$24,MATCH($D$6,$P$10:$P$24,0),Q$9)),""),"")</f>
        <v/>
      </c>
      <c r="F53" s="102" t="str">
        <f>IF($A53&lt;&gt;"",IF(INDEX(BDHKI,MATCH(InPDBM!$A53,DiemHKI!$B$4:$B$58,0),INDEX($P$10:$W$24,MATCH($D$6,$P$10:$P$24,0),R$9))&lt;&gt;"",INDEX(BDHKI,MATCH(InPDBM!$A53,DiemHKI!$B$4:$B$58,0),INDEX($P$10:$W$24,MATCH($D$6,$P$10:$P$24,0),R$9)),""),"")</f>
        <v/>
      </c>
      <c r="G53" s="102" t="str">
        <f>IF($A53&lt;&gt;"",IF(INDEX(BDHKI,MATCH(InPDBM!$A53,DiemHKI!$B$4:$B$58,0),INDEX($P$10:$W$24,MATCH($D$6,$P$10:$P$24,0),S$9))&lt;&gt;"",INDEX(BDHKI,MATCH(InPDBM!$A53,DiemHKI!$B$4:$B$58,0),INDEX($P$10:$W$24,MATCH($D$6,$P$10:$P$24,0),S$9)),""),"")</f>
        <v/>
      </c>
      <c r="H53" s="103" t="str">
        <f>IF($A53&lt;&gt;"",IF(INDEX(BDHKI,MATCH(InPDBM!$A53,DiemHKI!$B$4:$B$58,0),INDEX($P$10:$W$24,MATCH($D$6,$P$10:$P$24,0),T$9))&lt;&gt;"",INDEX(BDHKI,MATCH(InPDBM!$A53,DiemHKI!$B$4:$B$58,0),INDEX($P$10:$W$24,MATCH($D$6,$P$10:$P$24,0),T$9)),""),"")</f>
        <v/>
      </c>
      <c r="I53" s="363" t="str">
        <f>IF($A53&lt;&gt;"",IF(INDEX(BDHKI,MATCH(InPDBM!$A53,DiemHKI!$B$4:$B$58,0),INDEX($P$10:$W$24,MATCH($D$6,$P$10:$P$24,0),U$9))&lt;&gt;"",INDEX(BDHKI,MATCH(InPDBM!$A53,DiemHKI!$B$4:$B$58,0),INDEX($P$10:$W$24,MATCH($D$6,$P$10:$P$24,0),U$9)),""),"")</f>
        <v/>
      </c>
      <c r="J53" s="367" t="str">
        <f>IF($A53&lt;&gt;"",IF(INDEX(BDHKI,MATCH(InPDBM!$A53,DiemHKI!$B$4:$B$58,0),INDEX($P$10:$W$24,MATCH($D$6,$P$10:$P$24,0),V$9))&lt;&gt;"",INDEX(BDHKI,MATCH(InPDBM!$A53,DiemHKI!$B$4:$B$58,0),INDEX($P$10:$W$24,MATCH($D$6,$P$10:$P$24,0),V$9)),""),"")</f>
        <v/>
      </c>
      <c r="K53" s="375" t="str">
        <f>IF($A53&lt;&gt;"",IF(INDEX(BDHKI,MATCH(InPDBM!$A53,DiemHKI!$B$4:$B$58,0),INDEX($P$10:$W$24,MATCH($D$6,$P$10:$P$24,0),W$9))&lt;&gt;"",INDEX(BDHKI,MATCH(InPDBM!$A53,DiemHKI!$B$4:$B$58,0),INDEX($P$10:$W$24,MATCH($D$6,$P$10:$P$24,0),W$9)),""),"")</f>
        <v/>
      </c>
      <c r="L53" s="371"/>
      <c r="N53" s="251" t="str">
        <f t="shared" si="0"/>
        <v/>
      </c>
    </row>
    <row r="54" spans="1:14" ht="21" hidden="1" customHeight="1">
      <c r="A54" s="260" t="str">
        <f>IF(A53&lt;MAX(DiemHKI!$B$4:$B$58),A53+1,"")</f>
        <v/>
      </c>
      <c r="B54" s="106" t="str">
        <f>IF($A54&lt;&gt;"",PROPER(INDEX(DiemHKI!$B$4:$CP$58,MATCH(InPDBM!$A54,DiemHKI!$B$4:$B$58,0),3)),"")</f>
        <v/>
      </c>
      <c r="C54" s="261" t="str">
        <f>IF($A54&lt;&gt;"",PROPER(INDEX(DiemHKI!$B$4:$CP$58,MATCH(InPDBM!$A54,DiemHKI!$B$4:$B$58,0),4)),"")</f>
        <v/>
      </c>
      <c r="D54" s="360" t="str">
        <f>IF($A54&lt;&gt;"",PROPER(INDEX(DiemHKI!$B$4:$CP$58,MATCH(InPDBM!$A54,DiemHKI!$B$4:$B$58,0),5)),"")</f>
        <v/>
      </c>
      <c r="E54" s="107" t="str">
        <f>IF($A54&lt;&gt;"",IF(INDEX(BDHKI,MATCH(InPDBM!$A54,DiemHKI!$B$4:$B$58,0),INDEX($P$10:$W$24,MATCH($D$6,$P$10:$P$24,0),Q$9))&lt;&gt;"",INDEX(BDHKI,MATCH(InPDBM!$A54,DiemHKI!$B$4:$B$58,0),INDEX($P$10:$W$24,MATCH($D$6,$P$10:$P$24,0),Q$9)),""),"")</f>
        <v/>
      </c>
      <c r="F54" s="108" t="str">
        <f>IF($A54&lt;&gt;"",IF(INDEX(BDHKI,MATCH(InPDBM!$A54,DiemHKI!$B$4:$B$58,0),INDEX($P$10:$W$24,MATCH($D$6,$P$10:$P$24,0),R$9))&lt;&gt;"",INDEX(BDHKI,MATCH(InPDBM!$A54,DiemHKI!$B$4:$B$58,0),INDEX($P$10:$W$24,MATCH($D$6,$P$10:$P$24,0),R$9)),""),"")</f>
        <v/>
      </c>
      <c r="G54" s="108" t="str">
        <f>IF($A54&lt;&gt;"",IF(INDEX(BDHKI,MATCH(InPDBM!$A54,DiemHKI!$B$4:$B$58,0),INDEX($P$10:$W$24,MATCH($D$6,$P$10:$P$24,0),S$9))&lt;&gt;"",INDEX(BDHKI,MATCH(InPDBM!$A54,DiemHKI!$B$4:$B$58,0),INDEX($P$10:$W$24,MATCH($D$6,$P$10:$P$24,0),S$9)),""),"")</f>
        <v/>
      </c>
      <c r="H54" s="109" t="str">
        <f>IF($A54&lt;&gt;"",IF(INDEX(BDHKI,MATCH(InPDBM!$A54,DiemHKI!$B$4:$B$58,0),INDEX($P$10:$W$24,MATCH($D$6,$P$10:$P$24,0),T$9))&lt;&gt;"",INDEX(BDHKI,MATCH(InPDBM!$A54,DiemHKI!$B$4:$B$58,0),INDEX($P$10:$W$24,MATCH($D$6,$P$10:$P$24,0),T$9)),""),"")</f>
        <v/>
      </c>
      <c r="I54" s="364" t="str">
        <f>IF($A54&lt;&gt;"",IF(INDEX(BDHKI,MATCH(InPDBM!$A54,DiemHKI!$B$4:$B$58,0),INDEX($P$10:$W$24,MATCH($D$6,$P$10:$P$24,0),U$9))&lt;&gt;"",INDEX(BDHKI,MATCH(InPDBM!$A54,DiemHKI!$B$4:$B$58,0),INDEX($P$10:$W$24,MATCH($D$6,$P$10:$P$24,0),U$9)),""),"")</f>
        <v/>
      </c>
      <c r="J54" s="368" t="str">
        <f>IF($A54&lt;&gt;"",IF(INDEX(BDHKI,MATCH(InPDBM!$A54,DiemHKI!$B$4:$B$58,0),INDEX($P$10:$W$24,MATCH($D$6,$P$10:$P$24,0),V$9))&lt;&gt;"",INDEX(BDHKI,MATCH(InPDBM!$A54,DiemHKI!$B$4:$B$58,0),INDEX($P$10:$W$24,MATCH($D$6,$P$10:$P$24,0),V$9)),""),"")</f>
        <v/>
      </c>
      <c r="K54" s="376" t="str">
        <f>IF($A54&lt;&gt;"",IF(INDEX(BDHKI,MATCH(InPDBM!$A54,DiemHKI!$B$4:$B$58,0),INDEX($P$10:$W$24,MATCH($D$6,$P$10:$P$24,0),W$9))&lt;&gt;"",INDEX(BDHKI,MATCH(InPDBM!$A54,DiemHKI!$B$4:$B$58,0),INDEX($P$10:$W$24,MATCH($D$6,$P$10:$P$24,0),W$9)),""),"")</f>
        <v/>
      </c>
      <c r="L54" s="372"/>
      <c r="N54" s="251" t="str">
        <f t="shared" si="0"/>
        <v/>
      </c>
    </row>
    <row r="55" spans="1:14" ht="21" hidden="1" customHeight="1">
      <c r="A55" s="264" t="str">
        <f>IF(A54&lt;MAX(DiemHKI!$B$4:$B$58),A54+1,"")</f>
        <v/>
      </c>
      <c r="B55" s="112" t="str">
        <f>IF($A55&lt;&gt;"",PROPER(INDEX(DiemHKI!$B$4:$CP$58,MATCH(InPDBM!$A55,DiemHKI!$B$4:$B$58,0),3)),"")</f>
        <v/>
      </c>
      <c r="C55" s="265" t="str">
        <f>IF($A55&lt;&gt;"",PROPER(INDEX(DiemHKI!$B$4:$CP$58,MATCH(InPDBM!$A55,DiemHKI!$B$4:$B$58,0),4)),"")</f>
        <v/>
      </c>
      <c r="D55" s="361" t="str">
        <f>IF($A55&lt;&gt;"",PROPER(INDEX(DiemHKI!$B$4:$CP$58,MATCH(InPDBM!$A55,DiemHKI!$B$4:$B$58,0),5)),"")</f>
        <v/>
      </c>
      <c r="E55" s="113" t="str">
        <f>IF($A55&lt;&gt;"",IF(INDEX(BDHKI,MATCH(InPDBM!$A55,DiemHKI!$B$4:$B$58,0),INDEX($P$10:$W$24,MATCH($D$6,$P$10:$P$24,0),Q$9))&lt;&gt;"",INDEX(BDHKI,MATCH(InPDBM!$A55,DiemHKI!$B$4:$B$58,0),INDEX($P$10:$W$24,MATCH($D$6,$P$10:$P$24,0),Q$9)),""),"")</f>
        <v/>
      </c>
      <c r="F55" s="114" t="str">
        <f>IF($A55&lt;&gt;"",IF(INDEX(BDHKI,MATCH(InPDBM!$A55,DiemHKI!$B$4:$B$58,0),INDEX($P$10:$W$24,MATCH($D$6,$P$10:$P$24,0),R$9))&lt;&gt;"",INDEX(BDHKI,MATCH(InPDBM!$A55,DiemHKI!$B$4:$B$58,0),INDEX($P$10:$W$24,MATCH($D$6,$P$10:$P$24,0),R$9)),""),"")</f>
        <v/>
      </c>
      <c r="G55" s="114" t="str">
        <f>IF($A55&lt;&gt;"",IF(INDEX(BDHKI,MATCH(InPDBM!$A55,DiemHKI!$B$4:$B$58,0),INDEX($P$10:$W$24,MATCH($D$6,$P$10:$P$24,0),S$9))&lt;&gt;"",INDEX(BDHKI,MATCH(InPDBM!$A55,DiemHKI!$B$4:$B$58,0),INDEX($P$10:$W$24,MATCH($D$6,$P$10:$P$24,0),S$9)),""),"")</f>
        <v/>
      </c>
      <c r="H55" s="115" t="str">
        <f>IF($A55&lt;&gt;"",IF(INDEX(BDHKI,MATCH(InPDBM!$A55,DiemHKI!$B$4:$B$58,0),INDEX($P$10:$W$24,MATCH($D$6,$P$10:$P$24,0),T$9))&lt;&gt;"",INDEX(BDHKI,MATCH(InPDBM!$A55,DiemHKI!$B$4:$B$58,0),INDEX($P$10:$W$24,MATCH($D$6,$P$10:$P$24,0),T$9)),""),"")</f>
        <v/>
      </c>
      <c r="I55" s="362" t="str">
        <f>IF($A55&lt;&gt;"",IF(INDEX(BDHKI,MATCH(InPDBM!$A55,DiemHKI!$B$4:$B$58,0),INDEX($P$10:$W$24,MATCH($D$6,$P$10:$P$24,0),U$9))&lt;&gt;"",INDEX(BDHKI,MATCH(InPDBM!$A55,DiemHKI!$B$4:$B$58,0),INDEX($P$10:$W$24,MATCH($D$6,$P$10:$P$24,0),U$9)),""),"")</f>
        <v/>
      </c>
      <c r="J55" s="369" t="str">
        <f>IF($A55&lt;&gt;"",IF(INDEX(BDHKI,MATCH(InPDBM!$A55,DiemHKI!$B$4:$B$58,0),INDEX($P$10:$W$24,MATCH($D$6,$P$10:$P$24,0),V$9))&lt;&gt;"",INDEX(BDHKI,MATCH(InPDBM!$A55,DiemHKI!$B$4:$B$58,0),INDEX($P$10:$W$24,MATCH($D$6,$P$10:$P$24,0),V$9)),""),"")</f>
        <v/>
      </c>
      <c r="K55" s="377" t="str">
        <f>IF($A55&lt;&gt;"",IF(INDEX(BDHKI,MATCH(InPDBM!$A55,DiemHKI!$B$4:$B$58,0),INDEX($P$10:$W$24,MATCH($D$6,$P$10:$P$24,0),W$9))&lt;&gt;"",INDEX(BDHKI,MATCH(InPDBM!$A55,DiemHKI!$B$4:$B$58,0),INDEX($P$10:$W$24,MATCH($D$6,$P$10:$P$24,0),W$9)),""),"")</f>
        <v/>
      </c>
      <c r="L55" s="370"/>
      <c r="N55" s="251" t="str">
        <f t="shared" si="0"/>
        <v/>
      </c>
    </row>
    <row r="56" spans="1:14" ht="21" hidden="1" customHeight="1">
      <c r="A56" s="117" t="str">
        <f>IF(A55&lt;MAX(DiemHKI!$B$4:$B$58),A55+1,"")</f>
        <v/>
      </c>
      <c r="B56" s="100" t="str">
        <f>IF($A56&lt;&gt;"",PROPER(INDEX(DiemHKI!$B$4:$CP$58,MATCH(InPDBM!$A56,DiemHKI!$B$4:$B$58,0),3)),"")</f>
        <v/>
      </c>
      <c r="C56" s="257" t="str">
        <f>IF($A56&lt;&gt;"",PROPER(INDEX(DiemHKI!$B$4:$CP$58,MATCH(InPDBM!$A56,DiemHKI!$B$4:$B$58,0),4)),"")</f>
        <v/>
      </c>
      <c r="D56" s="359" t="str">
        <f>IF($A56&lt;&gt;"",PROPER(INDEX(DiemHKI!$B$4:$CP$58,MATCH(InPDBM!$A56,DiemHKI!$B$4:$B$58,0),5)),"")</f>
        <v/>
      </c>
      <c r="E56" s="101" t="str">
        <f>IF($A56&lt;&gt;"",IF(INDEX(BDHKI,MATCH(InPDBM!$A56,DiemHKI!$B$4:$B$58,0),INDEX($P$10:$W$24,MATCH($D$6,$P$10:$P$24,0),Q$9))&lt;&gt;"",INDEX(BDHKI,MATCH(InPDBM!$A56,DiemHKI!$B$4:$B$58,0),INDEX($P$10:$W$24,MATCH($D$6,$P$10:$P$24,0),Q$9)),""),"")</f>
        <v/>
      </c>
      <c r="F56" s="102" t="str">
        <f>IF($A56&lt;&gt;"",IF(INDEX(BDHKI,MATCH(InPDBM!$A56,DiemHKI!$B$4:$B$58,0),INDEX($P$10:$W$24,MATCH($D$6,$P$10:$P$24,0),R$9))&lt;&gt;"",INDEX(BDHKI,MATCH(InPDBM!$A56,DiemHKI!$B$4:$B$58,0),INDEX($P$10:$W$24,MATCH($D$6,$P$10:$P$24,0),R$9)),""),"")</f>
        <v/>
      </c>
      <c r="G56" s="102" t="str">
        <f>IF($A56&lt;&gt;"",IF(INDEX(BDHKI,MATCH(InPDBM!$A56,DiemHKI!$B$4:$B$58,0),INDEX($P$10:$W$24,MATCH($D$6,$P$10:$P$24,0),S$9))&lt;&gt;"",INDEX(BDHKI,MATCH(InPDBM!$A56,DiemHKI!$B$4:$B$58,0),INDEX($P$10:$W$24,MATCH($D$6,$P$10:$P$24,0),S$9)),""),"")</f>
        <v/>
      </c>
      <c r="H56" s="103" t="str">
        <f>IF($A56&lt;&gt;"",IF(INDEX(BDHKI,MATCH(InPDBM!$A56,DiemHKI!$B$4:$B$58,0),INDEX($P$10:$W$24,MATCH($D$6,$P$10:$P$24,0),T$9))&lt;&gt;"",INDEX(BDHKI,MATCH(InPDBM!$A56,DiemHKI!$B$4:$B$58,0),INDEX($P$10:$W$24,MATCH($D$6,$P$10:$P$24,0),T$9)),""),"")</f>
        <v/>
      </c>
      <c r="I56" s="363" t="str">
        <f>IF($A56&lt;&gt;"",IF(INDEX(BDHKI,MATCH(InPDBM!$A56,DiemHKI!$B$4:$B$58,0),INDEX($P$10:$W$24,MATCH($D$6,$P$10:$P$24,0),U$9))&lt;&gt;"",INDEX(BDHKI,MATCH(InPDBM!$A56,DiemHKI!$B$4:$B$58,0),INDEX($P$10:$W$24,MATCH($D$6,$P$10:$P$24,0),U$9)),""),"")</f>
        <v/>
      </c>
      <c r="J56" s="367" t="str">
        <f>IF($A56&lt;&gt;"",IF(INDEX(BDHKI,MATCH(InPDBM!$A56,DiemHKI!$B$4:$B$58,0),INDEX($P$10:$W$24,MATCH($D$6,$P$10:$P$24,0),V$9))&lt;&gt;"",INDEX(BDHKI,MATCH(InPDBM!$A56,DiemHKI!$B$4:$B$58,0),INDEX($P$10:$W$24,MATCH($D$6,$P$10:$P$24,0),V$9)),""),"")</f>
        <v/>
      </c>
      <c r="K56" s="375" t="str">
        <f>IF($A56&lt;&gt;"",IF(INDEX(BDHKI,MATCH(InPDBM!$A56,DiemHKI!$B$4:$B$58,0),INDEX($P$10:$W$24,MATCH($D$6,$P$10:$P$24,0),W$9))&lt;&gt;"",INDEX(BDHKI,MATCH(InPDBM!$A56,DiemHKI!$B$4:$B$58,0),INDEX($P$10:$W$24,MATCH($D$6,$P$10:$P$24,0),W$9)),""),"")</f>
        <v/>
      </c>
      <c r="L56" s="371"/>
      <c r="N56" s="251" t="str">
        <f t="shared" si="0"/>
        <v/>
      </c>
    </row>
    <row r="57" spans="1:14" ht="21" hidden="1" customHeight="1">
      <c r="A57" s="117" t="str">
        <f>IF(A56&lt;MAX(DiemHKI!$B$4:$B$58),A56+1,"")</f>
        <v/>
      </c>
      <c r="B57" s="100" t="str">
        <f>IF($A57&lt;&gt;"",PROPER(INDEX(DiemHKI!$B$4:$CP$58,MATCH(InPDBM!$A57,DiemHKI!$B$4:$B$58,0),3)),"")</f>
        <v/>
      </c>
      <c r="C57" s="257" t="str">
        <f>IF($A57&lt;&gt;"",PROPER(INDEX(DiemHKI!$B$4:$CP$58,MATCH(InPDBM!$A57,DiemHKI!$B$4:$B$58,0),4)),"")</f>
        <v/>
      </c>
      <c r="D57" s="359" t="str">
        <f>IF($A57&lt;&gt;"",PROPER(INDEX(DiemHKI!$B$4:$CP$58,MATCH(InPDBM!$A57,DiemHKI!$B$4:$B$58,0),5)),"")</f>
        <v/>
      </c>
      <c r="E57" s="101" t="str">
        <f>IF($A57&lt;&gt;"",IF(INDEX(BDHKI,MATCH(InPDBM!$A57,DiemHKI!$B$4:$B$58,0),INDEX($P$10:$W$24,MATCH($D$6,$P$10:$P$24,0),Q$9))&lt;&gt;"",INDEX(BDHKI,MATCH(InPDBM!$A57,DiemHKI!$B$4:$B$58,0),INDEX($P$10:$W$24,MATCH($D$6,$P$10:$P$24,0),Q$9)),""),"")</f>
        <v/>
      </c>
      <c r="F57" s="102" t="str">
        <f>IF($A57&lt;&gt;"",IF(INDEX(BDHKI,MATCH(InPDBM!$A57,DiemHKI!$B$4:$B$58,0),INDEX($P$10:$W$24,MATCH($D$6,$P$10:$P$24,0),R$9))&lt;&gt;"",INDEX(BDHKI,MATCH(InPDBM!$A57,DiemHKI!$B$4:$B$58,0),INDEX($P$10:$W$24,MATCH($D$6,$P$10:$P$24,0),R$9)),""),"")</f>
        <v/>
      </c>
      <c r="G57" s="102" t="str">
        <f>IF($A57&lt;&gt;"",IF(INDEX(BDHKI,MATCH(InPDBM!$A57,DiemHKI!$B$4:$B$58,0),INDEX($P$10:$W$24,MATCH($D$6,$P$10:$P$24,0),S$9))&lt;&gt;"",INDEX(BDHKI,MATCH(InPDBM!$A57,DiemHKI!$B$4:$B$58,0),INDEX($P$10:$W$24,MATCH($D$6,$P$10:$P$24,0),S$9)),""),"")</f>
        <v/>
      </c>
      <c r="H57" s="103" t="str">
        <f>IF($A57&lt;&gt;"",IF(INDEX(BDHKI,MATCH(InPDBM!$A57,DiemHKI!$B$4:$B$58,0),INDEX($P$10:$W$24,MATCH($D$6,$P$10:$P$24,0),T$9))&lt;&gt;"",INDEX(BDHKI,MATCH(InPDBM!$A57,DiemHKI!$B$4:$B$58,0),INDEX($P$10:$W$24,MATCH($D$6,$P$10:$P$24,0),T$9)),""),"")</f>
        <v/>
      </c>
      <c r="I57" s="363" t="str">
        <f>IF($A57&lt;&gt;"",IF(INDEX(BDHKI,MATCH(InPDBM!$A57,DiemHKI!$B$4:$B$58,0),INDEX($P$10:$W$24,MATCH($D$6,$P$10:$P$24,0),U$9))&lt;&gt;"",INDEX(BDHKI,MATCH(InPDBM!$A57,DiemHKI!$B$4:$B$58,0),INDEX($P$10:$W$24,MATCH($D$6,$P$10:$P$24,0),U$9)),""),"")</f>
        <v/>
      </c>
      <c r="J57" s="367" t="str">
        <f>IF($A57&lt;&gt;"",IF(INDEX(BDHKI,MATCH(InPDBM!$A57,DiemHKI!$B$4:$B$58,0),INDEX($P$10:$W$24,MATCH($D$6,$P$10:$P$24,0),V$9))&lt;&gt;"",INDEX(BDHKI,MATCH(InPDBM!$A57,DiemHKI!$B$4:$B$58,0),INDEX($P$10:$W$24,MATCH($D$6,$P$10:$P$24,0),V$9)),""),"")</f>
        <v/>
      </c>
      <c r="K57" s="375" t="str">
        <f>IF($A57&lt;&gt;"",IF(INDEX(BDHKI,MATCH(InPDBM!$A57,DiemHKI!$B$4:$B$58,0),INDEX($P$10:$W$24,MATCH($D$6,$P$10:$P$24,0),W$9))&lt;&gt;"",INDEX(BDHKI,MATCH(InPDBM!$A57,DiemHKI!$B$4:$B$58,0),INDEX($P$10:$W$24,MATCH($D$6,$P$10:$P$24,0),W$9)),""),"")</f>
        <v/>
      </c>
      <c r="L57" s="371"/>
      <c r="N57" s="251" t="str">
        <f t="shared" si="0"/>
        <v/>
      </c>
    </row>
    <row r="58" spans="1:14" ht="21" hidden="1" customHeight="1">
      <c r="A58" s="117" t="str">
        <f>IF(A57&lt;MAX(DiemHKI!$B$4:$B$58),A57+1,"")</f>
        <v/>
      </c>
      <c r="B58" s="100" t="str">
        <f>IF($A58&lt;&gt;"",PROPER(INDEX(DiemHKI!$B$4:$CP$58,MATCH(InPDBM!$A58,DiemHKI!$B$4:$B$58,0),3)),"")</f>
        <v/>
      </c>
      <c r="C58" s="257" t="str">
        <f>IF($A58&lt;&gt;"",PROPER(INDEX(DiemHKI!$B$4:$CP$58,MATCH(InPDBM!$A58,DiemHKI!$B$4:$B$58,0),4)),"")</f>
        <v/>
      </c>
      <c r="D58" s="359" t="str">
        <f>IF($A58&lt;&gt;"",PROPER(INDEX(DiemHKI!$B$4:$CP$58,MATCH(InPDBM!$A58,DiemHKI!$B$4:$B$58,0),5)),"")</f>
        <v/>
      </c>
      <c r="E58" s="101" t="str">
        <f>IF($A58&lt;&gt;"",IF(INDEX(BDHKI,MATCH(InPDBM!$A58,DiemHKI!$B$4:$B$58,0),INDEX($P$10:$W$24,MATCH($D$6,$P$10:$P$24,0),Q$9))&lt;&gt;"",INDEX(BDHKI,MATCH(InPDBM!$A58,DiemHKI!$B$4:$B$58,0),INDEX($P$10:$W$24,MATCH($D$6,$P$10:$P$24,0),Q$9)),""),"")</f>
        <v/>
      </c>
      <c r="F58" s="102" t="str">
        <f>IF($A58&lt;&gt;"",IF(INDEX(BDHKI,MATCH(InPDBM!$A58,DiemHKI!$B$4:$B$58,0),INDEX($P$10:$W$24,MATCH($D$6,$P$10:$P$24,0),R$9))&lt;&gt;"",INDEX(BDHKI,MATCH(InPDBM!$A58,DiemHKI!$B$4:$B$58,0),INDEX($P$10:$W$24,MATCH($D$6,$P$10:$P$24,0),R$9)),""),"")</f>
        <v/>
      </c>
      <c r="G58" s="102" t="str">
        <f>IF($A58&lt;&gt;"",IF(INDEX(BDHKI,MATCH(InPDBM!$A58,DiemHKI!$B$4:$B$58,0),INDEX($P$10:$W$24,MATCH($D$6,$P$10:$P$24,0),S$9))&lt;&gt;"",INDEX(BDHKI,MATCH(InPDBM!$A58,DiemHKI!$B$4:$B$58,0),INDEX($P$10:$W$24,MATCH($D$6,$P$10:$P$24,0),S$9)),""),"")</f>
        <v/>
      </c>
      <c r="H58" s="103" t="str">
        <f>IF($A58&lt;&gt;"",IF(INDEX(BDHKI,MATCH(InPDBM!$A58,DiemHKI!$B$4:$B$58,0),INDEX($P$10:$W$24,MATCH($D$6,$P$10:$P$24,0),T$9))&lt;&gt;"",INDEX(BDHKI,MATCH(InPDBM!$A58,DiemHKI!$B$4:$B$58,0),INDEX($P$10:$W$24,MATCH($D$6,$P$10:$P$24,0),T$9)),""),"")</f>
        <v/>
      </c>
      <c r="I58" s="363" t="str">
        <f>IF($A58&lt;&gt;"",IF(INDEX(BDHKI,MATCH(InPDBM!$A58,DiemHKI!$B$4:$B$58,0),INDEX($P$10:$W$24,MATCH($D$6,$P$10:$P$24,0),U$9))&lt;&gt;"",INDEX(BDHKI,MATCH(InPDBM!$A58,DiemHKI!$B$4:$B$58,0),INDEX($P$10:$W$24,MATCH($D$6,$P$10:$P$24,0),U$9)),""),"")</f>
        <v/>
      </c>
      <c r="J58" s="367" t="str">
        <f>IF($A58&lt;&gt;"",IF(INDEX(BDHKI,MATCH(InPDBM!$A58,DiemHKI!$B$4:$B$58,0),INDEX($P$10:$W$24,MATCH($D$6,$P$10:$P$24,0),V$9))&lt;&gt;"",INDEX(BDHKI,MATCH(InPDBM!$A58,DiemHKI!$B$4:$B$58,0),INDEX($P$10:$W$24,MATCH($D$6,$P$10:$P$24,0),V$9)),""),"")</f>
        <v/>
      </c>
      <c r="K58" s="375" t="str">
        <f>IF($A58&lt;&gt;"",IF(INDEX(BDHKI,MATCH(InPDBM!$A58,DiemHKI!$B$4:$B$58,0),INDEX($P$10:$W$24,MATCH($D$6,$P$10:$P$24,0),W$9))&lt;&gt;"",INDEX(BDHKI,MATCH(InPDBM!$A58,DiemHKI!$B$4:$B$58,0),INDEX($P$10:$W$24,MATCH($D$6,$P$10:$P$24,0),W$9)),""),"")</f>
        <v/>
      </c>
      <c r="L58" s="371"/>
      <c r="N58" s="251" t="str">
        <f t="shared" si="0"/>
        <v/>
      </c>
    </row>
    <row r="59" spans="1:14" ht="21" hidden="1" customHeight="1">
      <c r="A59" s="260" t="str">
        <f>IF(A58&lt;MAX(DiemHKI!$B$4:$B$58),A58+1,"")</f>
        <v/>
      </c>
      <c r="B59" s="106" t="str">
        <f>IF($A59&lt;&gt;"",PROPER(INDEX(DiemHKI!$B$4:$CP$58,MATCH(InPDBM!$A59,DiemHKI!$B$4:$B$58,0),3)),"")</f>
        <v/>
      </c>
      <c r="C59" s="261" t="str">
        <f>IF($A59&lt;&gt;"",PROPER(INDEX(DiemHKI!$B$4:$CP$58,MATCH(InPDBM!$A59,DiemHKI!$B$4:$B$58,0),4)),"")</f>
        <v/>
      </c>
      <c r="D59" s="360" t="str">
        <f>IF($A59&lt;&gt;"",PROPER(INDEX(DiemHKI!$B$4:$CP$58,MATCH(InPDBM!$A59,DiemHKI!$B$4:$B$58,0),5)),"")</f>
        <v/>
      </c>
      <c r="E59" s="107" t="str">
        <f>IF($A59&lt;&gt;"",IF(INDEX(BDHKI,MATCH(InPDBM!$A59,DiemHKI!$B$4:$B$58,0),INDEX($P$10:$W$24,MATCH($D$6,$P$10:$P$24,0),Q$9))&lt;&gt;"",INDEX(BDHKI,MATCH(InPDBM!$A59,DiemHKI!$B$4:$B$58,0),INDEX($P$10:$W$24,MATCH($D$6,$P$10:$P$24,0),Q$9)),""),"")</f>
        <v/>
      </c>
      <c r="F59" s="108" t="str">
        <f>IF($A59&lt;&gt;"",IF(INDEX(BDHKI,MATCH(InPDBM!$A59,DiemHKI!$B$4:$B$58,0),INDEX($P$10:$W$24,MATCH($D$6,$P$10:$P$24,0),R$9))&lt;&gt;"",INDEX(BDHKI,MATCH(InPDBM!$A59,DiemHKI!$B$4:$B$58,0),INDEX($P$10:$W$24,MATCH($D$6,$P$10:$P$24,0),R$9)),""),"")</f>
        <v/>
      </c>
      <c r="G59" s="108" t="str">
        <f>IF($A59&lt;&gt;"",IF(INDEX(BDHKI,MATCH(InPDBM!$A59,DiemHKI!$B$4:$B$58,0),INDEX($P$10:$W$24,MATCH($D$6,$P$10:$P$24,0),S$9))&lt;&gt;"",INDEX(BDHKI,MATCH(InPDBM!$A59,DiemHKI!$B$4:$B$58,0),INDEX($P$10:$W$24,MATCH($D$6,$P$10:$P$24,0),S$9)),""),"")</f>
        <v/>
      </c>
      <c r="H59" s="109" t="str">
        <f>IF($A59&lt;&gt;"",IF(INDEX(BDHKI,MATCH(InPDBM!$A59,DiemHKI!$B$4:$B$58,0),INDEX($P$10:$W$24,MATCH($D$6,$P$10:$P$24,0),T$9))&lt;&gt;"",INDEX(BDHKI,MATCH(InPDBM!$A59,DiemHKI!$B$4:$B$58,0),INDEX($P$10:$W$24,MATCH($D$6,$P$10:$P$24,0),T$9)),""),"")</f>
        <v/>
      </c>
      <c r="I59" s="364" t="str">
        <f>IF($A59&lt;&gt;"",IF(INDEX(BDHKI,MATCH(InPDBM!$A59,DiemHKI!$B$4:$B$58,0),INDEX($P$10:$W$24,MATCH($D$6,$P$10:$P$24,0),U$9))&lt;&gt;"",INDEX(BDHKI,MATCH(InPDBM!$A59,DiemHKI!$B$4:$B$58,0),INDEX($P$10:$W$24,MATCH($D$6,$P$10:$P$24,0),U$9)),""),"")</f>
        <v/>
      </c>
      <c r="J59" s="368" t="str">
        <f>IF($A59&lt;&gt;"",IF(INDEX(BDHKI,MATCH(InPDBM!$A59,DiemHKI!$B$4:$B$58,0),INDEX($P$10:$W$24,MATCH($D$6,$P$10:$P$24,0),V$9))&lt;&gt;"",INDEX(BDHKI,MATCH(InPDBM!$A59,DiemHKI!$B$4:$B$58,0),INDEX($P$10:$W$24,MATCH($D$6,$P$10:$P$24,0),V$9)),""),"")</f>
        <v/>
      </c>
      <c r="K59" s="376" t="str">
        <f>IF($A59&lt;&gt;"",IF(INDEX(BDHKI,MATCH(InPDBM!$A59,DiemHKI!$B$4:$B$58,0),INDEX($P$10:$W$24,MATCH($D$6,$P$10:$P$24,0),W$9))&lt;&gt;"",INDEX(BDHKI,MATCH(InPDBM!$A59,DiemHKI!$B$4:$B$58,0),INDEX($P$10:$W$24,MATCH($D$6,$P$10:$P$24,0),W$9)),""),"")</f>
        <v/>
      </c>
      <c r="L59" s="372"/>
      <c r="N59" s="251" t="str">
        <f t="shared" si="0"/>
        <v/>
      </c>
    </row>
    <row r="60" spans="1:14" ht="21" hidden="1" customHeight="1">
      <c r="A60" s="253" t="str">
        <f>IF(A59&lt;MAX(DiemHKI!$B$4:$B$58),A59+1,"")</f>
        <v/>
      </c>
      <c r="B60" s="94" t="str">
        <f>IF($A60&lt;&gt;"",PROPER(INDEX(DiemHKI!$B$4:$CP$58,MATCH(InPDBM!$A60,DiemHKI!$B$4:$B$58,0),3)),"")</f>
        <v/>
      </c>
      <c r="C60" s="254" t="str">
        <f>IF($A60&lt;&gt;"",PROPER(INDEX(DiemHKI!$B$4:$CP$58,MATCH(InPDBM!$A60,DiemHKI!$B$4:$B$58,0),4)),"")</f>
        <v/>
      </c>
      <c r="D60" s="358" t="str">
        <f>IF($A60&lt;&gt;"",PROPER(INDEX(DiemHKI!$B$4:$CP$58,MATCH(InPDBM!$A60,DiemHKI!$B$4:$B$58,0),5)),"")</f>
        <v/>
      </c>
      <c r="E60" s="95" t="str">
        <f>IF($A60&lt;&gt;"",IF(INDEX(BDHKI,MATCH(InPDBM!$A60,DiemHKI!$B$4:$B$58,0),INDEX($P$10:$W$24,MATCH($D$6,$P$10:$P$24,0),Q$9))&lt;&gt;"",INDEX(BDHKI,MATCH(InPDBM!$A60,DiemHKI!$B$4:$B$58,0),INDEX($P$10:$W$24,MATCH($D$6,$P$10:$P$24,0),Q$9)),""),"")</f>
        <v/>
      </c>
      <c r="F60" s="96" t="str">
        <f>IF($A60&lt;&gt;"",IF(INDEX(BDHKI,MATCH(InPDBM!$A60,DiemHKI!$B$4:$B$58,0),INDEX($P$10:$W$24,MATCH($D$6,$P$10:$P$24,0),R$9))&lt;&gt;"",INDEX(BDHKI,MATCH(InPDBM!$A60,DiemHKI!$B$4:$B$58,0),INDEX($P$10:$W$24,MATCH($D$6,$P$10:$P$24,0),R$9)),""),"")</f>
        <v/>
      </c>
      <c r="G60" s="96" t="str">
        <f>IF($A60&lt;&gt;"",IF(INDEX(BDHKI,MATCH(InPDBM!$A60,DiemHKI!$B$4:$B$58,0),INDEX($P$10:$W$24,MATCH($D$6,$P$10:$P$24,0),S$9))&lt;&gt;"",INDEX(BDHKI,MATCH(InPDBM!$A60,DiemHKI!$B$4:$B$58,0),INDEX($P$10:$W$24,MATCH($D$6,$P$10:$P$24,0),S$9)),""),"")</f>
        <v/>
      </c>
      <c r="H60" s="97" t="str">
        <f>IF($A60&lt;&gt;"",IF(INDEX(BDHKI,MATCH(InPDBM!$A60,DiemHKI!$B$4:$B$58,0),INDEX($P$10:$W$24,MATCH($D$6,$P$10:$P$24,0),T$9))&lt;&gt;"",INDEX(BDHKI,MATCH(InPDBM!$A60,DiemHKI!$B$4:$B$58,0),INDEX($P$10:$W$24,MATCH($D$6,$P$10:$P$24,0),T$9)),""),"")</f>
        <v/>
      </c>
      <c r="I60" s="365" t="str">
        <f>IF($A60&lt;&gt;"",IF(INDEX(BDHKI,MATCH(InPDBM!$A60,DiemHKI!$B$4:$B$58,0),INDEX($P$10:$W$24,MATCH($D$6,$P$10:$P$24,0),U$9))&lt;&gt;"",INDEX(BDHKI,MATCH(InPDBM!$A60,DiemHKI!$B$4:$B$58,0),INDEX($P$10:$W$24,MATCH($D$6,$P$10:$P$24,0),U$9)),""),"")</f>
        <v/>
      </c>
      <c r="J60" s="366" t="str">
        <f>IF($A60&lt;&gt;"",IF(INDEX(BDHKI,MATCH(InPDBM!$A60,DiemHKI!$B$4:$B$58,0),INDEX($P$10:$W$24,MATCH($D$6,$P$10:$P$24,0),V$9))&lt;&gt;"",INDEX(BDHKI,MATCH(InPDBM!$A60,DiemHKI!$B$4:$B$58,0),INDEX($P$10:$W$24,MATCH($D$6,$P$10:$P$24,0),V$9)),""),"")</f>
        <v/>
      </c>
      <c r="K60" s="374" t="str">
        <f>IF($A60&lt;&gt;"",IF(INDEX(BDHKI,MATCH(InPDBM!$A60,DiemHKI!$B$4:$B$58,0),INDEX($P$10:$W$24,MATCH($D$6,$P$10:$P$24,0),W$9))&lt;&gt;"",INDEX(BDHKI,MATCH(InPDBM!$A60,DiemHKI!$B$4:$B$58,0),INDEX($P$10:$W$24,MATCH($D$6,$P$10:$P$24,0),W$9)),""),"")</f>
        <v/>
      </c>
      <c r="L60" s="373"/>
      <c r="N60" s="251" t="str">
        <f t="shared" si="0"/>
        <v/>
      </c>
    </row>
    <row r="61" spans="1:14" ht="21" hidden="1" customHeight="1">
      <c r="A61" s="117" t="str">
        <f>IF(A60&lt;MAX(DiemHKI!$B$4:$B$58),A60+1,"")</f>
        <v/>
      </c>
      <c r="B61" s="100" t="str">
        <f>IF($A61&lt;&gt;"",PROPER(INDEX(DiemHKI!$B$4:$CP$58,MATCH(InPDBM!$A61,DiemHKI!$B$4:$B$58,0),3)),"")</f>
        <v/>
      </c>
      <c r="C61" s="257" t="str">
        <f>IF($A61&lt;&gt;"",PROPER(INDEX(DiemHKI!$B$4:$CP$58,MATCH(InPDBM!$A61,DiemHKI!$B$4:$B$58,0),4)),"")</f>
        <v/>
      </c>
      <c r="D61" s="359" t="str">
        <f>IF($A61&lt;&gt;"",PROPER(INDEX(DiemHKI!$B$4:$CP$58,MATCH(InPDBM!$A61,DiemHKI!$B$4:$B$58,0),5)),"")</f>
        <v/>
      </c>
      <c r="E61" s="101" t="str">
        <f>IF($A61&lt;&gt;"",IF(INDEX(BDHKI,MATCH(InPDBM!$A61,DiemHKI!$B$4:$B$58,0),INDEX($P$10:$W$24,MATCH($D$6,$P$10:$P$24,0),Q$9))&lt;&gt;"",INDEX(BDHKI,MATCH(InPDBM!$A61,DiemHKI!$B$4:$B$58,0),INDEX($P$10:$W$24,MATCH($D$6,$P$10:$P$24,0),Q$9)),""),"")</f>
        <v/>
      </c>
      <c r="F61" s="102" t="str">
        <f>IF($A61&lt;&gt;"",IF(INDEX(BDHKI,MATCH(InPDBM!$A61,DiemHKI!$B$4:$B$58,0),INDEX($P$10:$W$24,MATCH($D$6,$P$10:$P$24,0),R$9))&lt;&gt;"",INDEX(BDHKI,MATCH(InPDBM!$A61,DiemHKI!$B$4:$B$58,0),INDEX($P$10:$W$24,MATCH($D$6,$P$10:$P$24,0),R$9)),""),"")</f>
        <v/>
      </c>
      <c r="G61" s="102" t="str">
        <f>IF($A61&lt;&gt;"",IF(INDEX(BDHKI,MATCH(InPDBM!$A61,DiemHKI!$B$4:$B$58,0),INDEX($P$10:$W$24,MATCH($D$6,$P$10:$P$24,0),S$9))&lt;&gt;"",INDEX(BDHKI,MATCH(InPDBM!$A61,DiemHKI!$B$4:$B$58,0),INDEX($P$10:$W$24,MATCH($D$6,$P$10:$P$24,0),S$9)),""),"")</f>
        <v/>
      </c>
      <c r="H61" s="103" t="str">
        <f>IF($A61&lt;&gt;"",IF(INDEX(BDHKI,MATCH(InPDBM!$A61,DiemHKI!$B$4:$B$58,0),INDEX($P$10:$W$24,MATCH($D$6,$P$10:$P$24,0),T$9))&lt;&gt;"",INDEX(BDHKI,MATCH(InPDBM!$A61,DiemHKI!$B$4:$B$58,0),INDEX($P$10:$W$24,MATCH($D$6,$P$10:$P$24,0),T$9)),""),"")</f>
        <v/>
      </c>
      <c r="I61" s="363" t="str">
        <f>IF($A61&lt;&gt;"",IF(INDEX(BDHKI,MATCH(InPDBM!$A61,DiemHKI!$B$4:$B$58,0),INDEX($P$10:$W$24,MATCH($D$6,$P$10:$P$24,0),U$9))&lt;&gt;"",INDEX(BDHKI,MATCH(InPDBM!$A61,DiemHKI!$B$4:$B$58,0),INDEX($P$10:$W$24,MATCH($D$6,$P$10:$P$24,0),U$9)),""),"")</f>
        <v/>
      </c>
      <c r="J61" s="367" t="str">
        <f>IF($A61&lt;&gt;"",IF(INDEX(BDHKI,MATCH(InPDBM!$A61,DiemHKI!$B$4:$B$58,0),INDEX($P$10:$W$24,MATCH($D$6,$P$10:$P$24,0),V$9))&lt;&gt;"",INDEX(BDHKI,MATCH(InPDBM!$A61,DiemHKI!$B$4:$B$58,0),INDEX($P$10:$W$24,MATCH($D$6,$P$10:$P$24,0),V$9)),""),"")</f>
        <v/>
      </c>
      <c r="K61" s="375" t="str">
        <f>IF($A61&lt;&gt;"",IF(INDEX(BDHKI,MATCH(InPDBM!$A61,DiemHKI!$B$4:$B$58,0),INDEX($P$10:$W$24,MATCH($D$6,$P$10:$P$24,0),W$9))&lt;&gt;"",INDEX(BDHKI,MATCH(InPDBM!$A61,DiemHKI!$B$4:$B$58,0),INDEX($P$10:$W$24,MATCH($D$6,$P$10:$P$24,0),W$9)),""),"")</f>
        <v/>
      </c>
      <c r="L61" s="371"/>
      <c r="N61" s="251" t="str">
        <f t="shared" si="0"/>
        <v/>
      </c>
    </row>
    <row r="62" spans="1:14" ht="21" hidden="1" customHeight="1">
      <c r="A62" s="117" t="str">
        <f>IF(A61&lt;MAX(DiemHKI!$B$4:$B$58),A61+1,"")</f>
        <v/>
      </c>
      <c r="B62" s="100" t="str">
        <f>IF($A62&lt;&gt;"",PROPER(INDEX(DiemHKI!$B$4:$CP$58,MATCH(InPDBM!$A62,DiemHKI!$B$4:$B$58,0),3)),"")</f>
        <v/>
      </c>
      <c r="C62" s="257" t="str">
        <f>IF($A62&lt;&gt;"",PROPER(INDEX(DiemHKI!$B$4:$CP$58,MATCH(InPDBM!$A62,DiemHKI!$B$4:$B$58,0),4)),"")</f>
        <v/>
      </c>
      <c r="D62" s="359" t="str">
        <f>IF($A62&lt;&gt;"",PROPER(INDEX(DiemHKI!$B$4:$CP$58,MATCH(InPDBM!$A62,DiemHKI!$B$4:$B$58,0),5)),"")</f>
        <v/>
      </c>
      <c r="E62" s="101" t="str">
        <f>IF($A62&lt;&gt;"",IF(INDEX(BDHKI,MATCH(InPDBM!$A62,DiemHKI!$B$4:$B$58,0),INDEX($P$10:$W$24,MATCH($D$6,$P$10:$P$24,0),Q$9))&lt;&gt;"",INDEX(BDHKI,MATCH(InPDBM!$A62,DiemHKI!$B$4:$B$58,0),INDEX($P$10:$W$24,MATCH($D$6,$P$10:$P$24,0),Q$9)),""),"")</f>
        <v/>
      </c>
      <c r="F62" s="102" t="str">
        <f>IF($A62&lt;&gt;"",IF(INDEX(BDHKI,MATCH(InPDBM!$A62,DiemHKI!$B$4:$B$58,0),INDEX($P$10:$W$24,MATCH($D$6,$P$10:$P$24,0),R$9))&lt;&gt;"",INDEX(BDHKI,MATCH(InPDBM!$A62,DiemHKI!$B$4:$B$58,0),INDEX($P$10:$W$24,MATCH($D$6,$P$10:$P$24,0),R$9)),""),"")</f>
        <v/>
      </c>
      <c r="G62" s="102" t="str">
        <f>IF($A62&lt;&gt;"",IF(INDEX(BDHKI,MATCH(InPDBM!$A62,DiemHKI!$B$4:$B$58,0),INDEX($P$10:$W$24,MATCH($D$6,$P$10:$P$24,0),S$9))&lt;&gt;"",INDEX(BDHKI,MATCH(InPDBM!$A62,DiemHKI!$B$4:$B$58,0),INDEX($P$10:$W$24,MATCH($D$6,$P$10:$P$24,0),S$9)),""),"")</f>
        <v/>
      </c>
      <c r="H62" s="103" t="str">
        <f>IF($A62&lt;&gt;"",IF(INDEX(BDHKI,MATCH(InPDBM!$A62,DiemHKI!$B$4:$B$58,0),INDEX($P$10:$W$24,MATCH($D$6,$P$10:$P$24,0),T$9))&lt;&gt;"",INDEX(BDHKI,MATCH(InPDBM!$A62,DiemHKI!$B$4:$B$58,0),INDEX($P$10:$W$24,MATCH($D$6,$P$10:$P$24,0),T$9)),""),"")</f>
        <v/>
      </c>
      <c r="I62" s="363" t="str">
        <f>IF($A62&lt;&gt;"",IF(INDEX(BDHKI,MATCH(InPDBM!$A62,DiemHKI!$B$4:$B$58,0),INDEX($P$10:$W$24,MATCH($D$6,$P$10:$P$24,0),U$9))&lt;&gt;"",INDEX(BDHKI,MATCH(InPDBM!$A62,DiemHKI!$B$4:$B$58,0),INDEX($P$10:$W$24,MATCH($D$6,$P$10:$P$24,0),U$9)),""),"")</f>
        <v/>
      </c>
      <c r="J62" s="367" t="str">
        <f>IF($A62&lt;&gt;"",IF(INDEX(BDHKI,MATCH(InPDBM!$A62,DiemHKI!$B$4:$B$58,0),INDEX($P$10:$W$24,MATCH($D$6,$P$10:$P$24,0),V$9))&lt;&gt;"",INDEX(BDHKI,MATCH(InPDBM!$A62,DiemHKI!$B$4:$B$58,0),INDEX($P$10:$W$24,MATCH($D$6,$P$10:$P$24,0),V$9)),""),"")</f>
        <v/>
      </c>
      <c r="K62" s="375" t="str">
        <f>IF($A62&lt;&gt;"",IF(INDEX(BDHKI,MATCH(InPDBM!$A62,DiemHKI!$B$4:$B$58,0),INDEX($P$10:$W$24,MATCH($D$6,$P$10:$P$24,0),W$9))&lt;&gt;"",INDEX(BDHKI,MATCH(InPDBM!$A62,DiemHKI!$B$4:$B$58,0),INDEX($P$10:$W$24,MATCH($D$6,$P$10:$P$24,0),W$9)),""),"")</f>
        <v/>
      </c>
      <c r="L62" s="371"/>
      <c r="N62" s="251" t="str">
        <f t="shared" si="0"/>
        <v/>
      </c>
    </row>
    <row r="63" spans="1:14" ht="21" hidden="1" customHeight="1">
      <c r="A63" s="117" t="str">
        <f>IF(A62&lt;MAX(DiemHKI!$B$4:$B$58),A62+1,"")</f>
        <v/>
      </c>
      <c r="B63" s="100" t="str">
        <f>IF($A63&lt;&gt;"",PROPER(INDEX(DiemHKI!$B$4:$CP$58,MATCH(InPDBM!$A63,DiemHKI!$B$4:$B$58,0),3)),"")</f>
        <v/>
      </c>
      <c r="C63" s="257" t="str">
        <f>IF($A63&lt;&gt;"",PROPER(INDEX(DiemHKI!$B$4:$CP$58,MATCH(InPDBM!$A63,DiemHKI!$B$4:$B$58,0),4)),"")</f>
        <v/>
      </c>
      <c r="D63" s="359" t="str">
        <f>IF($A63&lt;&gt;"",PROPER(INDEX(DiemHKI!$B$4:$CP$58,MATCH(InPDBM!$A63,DiemHKI!$B$4:$B$58,0),5)),"")</f>
        <v/>
      </c>
      <c r="E63" s="101" t="str">
        <f>IF($A63&lt;&gt;"",IF(INDEX(BDHKI,MATCH(InPDBM!$A63,DiemHKI!$B$4:$B$58,0),INDEX($P$10:$W$24,MATCH($D$6,$P$10:$P$24,0),Q$9))&lt;&gt;"",INDEX(BDHKI,MATCH(InPDBM!$A63,DiemHKI!$B$4:$B$58,0),INDEX($P$10:$W$24,MATCH($D$6,$P$10:$P$24,0),Q$9)),""),"")</f>
        <v/>
      </c>
      <c r="F63" s="102" t="str">
        <f>IF($A63&lt;&gt;"",IF(INDEX(BDHKI,MATCH(InPDBM!$A63,DiemHKI!$B$4:$B$58,0),INDEX($P$10:$W$24,MATCH($D$6,$P$10:$P$24,0),R$9))&lt;&gt;"",INDEX(BDHKI,MATCH(InPDBM!$A63,DiemHKI!$B$4:$B$58,0),INDEX($P$10:$W$24,MATCH($D$6,$P$10:$P$24,0),R$9)),""),"")</f>
        <v/>
      </c>
      <c r="G63" s="102" t="str">
        <f>IF($A63&lt;&gt;"",IF(INDEX(BDHKI,MATCH(InPDBM!$A63,DiemHKI!$B$4:$B$58,0),INDEX($P$10:$W$24,MATCH($D$6,$P$10:$P$24,0),S$9))&lt;&gt;"",INDEX(BDHKI,MATCH(InPDBM!$A63,DiemHKI!$B$4:$B$58,0),INDEX($P$10:$W$24,MATCH($D$6,$P$10:$P$24,0),S$9)),""),"")</f>
        <v/>
      </c>
      <c r="H63" s="103" t="str">
        <f>IF($A63&lt;&gt;"",IF(INDEX(BDHKI,MATCH(InPDBM!$A63,DiemHKI!$B$4:$B$58,0),INDEX($P$10:$W$24,MATCH($D$6,$P$10:$P$24,0),T$9))&lt;&gt;"",INDEX(BDHKI,MATCH(InPDBM!$A63,DiemHKI!$B$4:$B$58,0),INDEX($P$10:$W$24,MATCH($D$6,$P$10:$P$24,0),T$9)),""),"")</f>
        <v/>
      </c>
      <c r="I63" s="363" t="str">
        <f>IF($A63&lt;&gt;"",IF(INDEX(BDHKI,MATCH(InPDBM!$A63,DiemHKI!$B$4:$B$58,0),INDEX($P$10:$W$24,MATCH($D$6,$P$10:$P$24,0),U$9))&lt;&gt;"",INDEX(BDHKI,MATCH(InPDBM!$A63,DiemHKI!$B$4:$B$58,0),INDEX($P$10:$W$24,MATCH($D$6,$P$10:$P$24,0),U$9)),""),"")</f>
        <v/>
      </c>
      <c r="J63" s="367" t="str">
        <f>IF($A63&lt;&gt;"",IF(INDEX(BDHKI,MATCH(InPDBM!$A63,DiemHKI!$B$4:$B$58,0),INDEX($P$10:$W$24,MATCH($D$6,$P$10:$P$24,0),V$9))&lt;&gt;"",INDEX(BDHKI,MATCH(InPDBM!$A63,DiemHKI!$B$4:$B$58,0),INDEX($P$10:$W$24,MATCH($D$6,$P$10:$P$24,0),V$9)),""),"")</f>
        <v/>
      </c>
      <c r="K63" s="375" t="str">
        <f>IF($A63&lt;&gt;"",IF(INDEX(BDHKI,MATCH(InPDBM!$A63,DiemHKI!$B$4:$B$58,0),INDEX($P$10:$W$24,MATCH($D$6,$P$10:$P$24,0),W$9))&lt;&gt;"",INDEX(BDHKI,MATCH(InPDBM!$A63,DiemHKI!$B$4:$B$58,0),INDEX($P$10:$W$24,MATCH($D$6,$P$10:$P$24,0),W$9)),""),"")</f>
        <v/>
      </c>
      <c r="L63" s="371"/>
      <c r="N63" s="251" t="str">
        <f t="shared" si="0"/>
        <v/>
      </c>
    </row>
    <row r="64" spans="1:14" ht="21" hidden="1" customHeight="1">
      <c r="A64" s="260" t="str">
        <f>IF(A63&lt;MAX(DiemHKI!$B$4:$B$58),A63+1,"")</f>
        <v/>
      </c>
      <c r="B64" s="106" t="str">
        <f>IF($A64&lt;&gt;"",PROPER(INDEX(DiemHKI!$B$4:$CP$58,MATCH(InPDBM!$A64,DiemHKI!$B$4:$B$58,0),3)),"")</f>
        <v/>
      </c>
      <c r="C64" s="261" t="str">
        <f>IF($A64&lt;&gt;"",PROPER(INDEX(DiemHKI!$B$4:$CP$58,MATCH(InPDBM!$A64,DiemHKI!$B$4:$B$58,0),4)),"")</f>
        <v/>
      </c>
      <c r="D64" s="360" t="str">
        <f>IF($A64&lt;&gt;"",PROPER(INDEX(DiemHKI!$B$4:$CP$58,MATCH(InPDBM!$A64,DiemHKI!$B$4:$B$58,0),5)),"")</f>
        <v/>
      </c>
      <c r="E64" s="107" t="str">
        <f>IF($A64&lt;&gt;"",IF(INDEX(BDHKI,MATCH(InPDBM!$A64,DiemHKI!$B$4:$B$58,0),INDEX($P$10:$W$24,MATCH($D$6,$P$10:$P$24,0),Q$9))&lt;&gt;"",INDEX(BDHKI,MATCH(InPDBM!$A64,DiemHKI!$B$4:$B$58,0),INDEX($P$10:$W$24,MATCH($D$6,$P$10:$P$24,0),Q$9)),""),"")</f>
        <v/>
      </c>
      <c r="F64" s="108" t="str">
        <f>IF($A64&lt;&gt;"",IF(INDEX(BDHKI,MATCH(InPDBM!$A64,DiemHKI!$B$4:$B$58,0),INDEX($P$10:$W$24,MATCH($D$6,$P$10:$P$24,0),R$9))&lt;&gt;"",INDEX(BDHKI,MATCH(InPDBM!$A64,DiemHKI!$B$4:$B$58,0),INDEX($P$10:$W$24,MATCH($D$6,$P$10:$P$24,0),R$9)),""),"")</f>
        <v/>
      </c>
      <c r="G64" s="108" t="str">
        <f>IF($A64&lt;&gt;"",IF(INDEX(BDHKI,MATCH(InPDBM!$A64,DiemHKI!$B$4:$B$58,0),INDEX($P$10:$W$24,MATCH($D$6,$P$10:$P$24,0),S$9))&lt;&gt;"",INDEX(BDHKI,MATCH(InPDBM!$A64,DiemHKI!$B$4:$B$58,0),INDEX($P$10:$W$24,MATCH($D$6,$P$10:$P$24,0),S$9)),""),"")</f>
        <v/>
      </c>
      <c r="H64" s="109" t="str">
        <f>IF($A64&lt;&gt;"",IF(INDEX(BDHKI,MATCH(InPDBM!$A64,DiemHKI!$B$4:$B$58,0),INDEX($P$10:$W$24,MATCH($D$6,$P$10:$P$24,0),T$9))&lt;&gt;"",INDEX(BDHKI,MATCH(InPDBM!$A64,DiemHKI!$B$4:$B$58,0),INDEX($P$10:$W$24,MATCH($D$6,$P$10:$P$24,0),T$9)),""),"")</f>
        <v/>
      </c>
      <c r="I64" s="364" t="str">
        <f>IF($A64&lt;&gt;"",IF(INDEX(BDHKI,MATCH(InPDBM!$A64,DiemHKI!$B$4:$B$58,0),INDEX($P$10:$W$24,MATCH($D$6,$P$10:$P$24,0),U$9))&lt;&gt;"",INDEX(BDHKI,MATCH(InPDBM!$A64,DiemHKI!$B$4:$B$58,0),INDEX($P$10:$W$24,MATCH($D$6,$P$10:$P$24,0),U$9)),""),"")</f>
        <v/>
      </c>
      <c r="J64" s="368" t="str">
        <f>IF($A64&lt;&gt;"",IF(INDEX(BDHKI,MATCH(InPDBM!$A64,DiemHKI!$B$4:$B$58,0),INDEX($P$10:$W$24,MATCH($D$6,$P$10:$P$24,0),V$9))&lt;&gt;"",INDEX(BDHKI,MATCH(InPDBM!$A64,DiemHKI!$B$4:$B$58,0),INDEX($P$10:$W$24,MATCH($D$6,$P$10:$P$24,0),V$9)),""),"")</f>
        <v/>
      </c>
      <c r="K64" s="376" t="str">
        <f>IF($A64&lt;&gt;"",IF(INDEX(BDHKI,MATCH(InPDBM!$A64,DiemHKI!$B$4:$B$58,0),INDEX($P$10:$W$24,MATCH($D$6,$P$10:$P$24,0),W$9))&lt;&gt;"",INDEX(BDHKI,MATCH(InPDBM!$A64,DiemHKI!$B$4:$B$58,0),INDEX($P$10:$W$24,MATCH($D$6,$P$10:$P$24,0),W$9)),""),"")</f>
        <v/>
      </c>
      <c r="L64" s="372"/>
      <c r="N64" s="251" t="str">
        <f t="shared" si="0"/>
        <v/>
      </c>
    </row>
    <row r="65" spans="1:17" ht="7.5" customHeight="1">
      <c r="A65" s="129"/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</row>
    <row r="66" spans="1:17">
      <c r="A66" s="129"/>
      <c r="B66" s="129"/>
      <c r="C66" s="129"/>
      <c r="D66" s="129"/>
      <c r="E66" s="129"/>
      <c r="F66" s="926" t="s">
        <v>248</v>
      </c>
      <c r="G66" s="926"/>
      <c r="H66" s="926"/>
      <c r="I66" s="926"/>
      <c r="J66" s="926"/>
      <c r="K66" s="926"/>
      <c r="L66" s="378"/>
      <c r="M66" s="378"/>
      <c r="N66" s="378"/>
      <c r="O66" s="378"/>
      <c r="P66" s="378"/>
      <c r="Q66" s="378"/>
    </row>
    <row r="67" spans="1:17">
      <c r="A67" s="129"/>
      <c r="B67" s="129"/>
      <c r="C67" s="129"/>
      <c r="D67" s="129"/>
      <c r="E67" s="129"/>
      <c r="G67" s="379"/>
      <c r="H67" s="921" t="s">
        <v>69</v>
      </c>
      <c r="I67" s="921"/>
      <c r="J67" s="379"/>
      <c r="K67" s="379"/>
      <c r="L67" s="379"/>
      <c r="M67" s="379"/>
      <c r="N67" s="379"/>
      <c r="O67" s="379"/>
      <c r="P67" s="379"/>
      <c r="Q67" s="379"/>
    </row>
    <row r="68" spans="1:17" ht="10.5" customHeight="1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</row>
    <row r="69" spans="1:17" ht="10.5" customHeight="1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</row>
    <row r="70" spans="1:17" ht="10.5" customHeight="1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</row>
    <row r="71" spans="1:17" ht="10.5" customHeight="1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</row>
    <row r="72" spans="1:17" ht="10.5" customHeight="1">
      <c r="A72" s="129"/>
      <c r="B72" s="129"/>
      <c r="C72" s="129"/>
      <c r="D72" s="129"/>
      <c r="E72" s="129"/>
      <c r="F72" s="129"/>
      <c r="G72" s="129"/>
      <c r="H72" s="129"/>
      <c r="I72" s="129"/>
      <c r="J72" s="129"/>
      <c r="K72" s="129"/>
      <c r="L72" s="129"/>
    </row>
    <row r="73" spans="1:17" ht="10.5" customHeight="1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</row>
    <row r="74" spans="1:17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</row>
    <row r="75" spans="1:17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</row>
    <row r="76" spans="1:17">
      <c r="A76" s="129"/>
      <c r="B76" s="129"/>
      <c r="C76" s="129"/>
      <c r="D76" s="129"/>
      <c r="E76" s="129"/>
      <c r="F76" s="129"/>
      <c r="G76" s="129"/>
      <c r="H76" s="129"/>
      <c r="I76" s="129"/>
      <c r="J76" s="129"/>
      <c r="K76" s="129"/>
      <c r="L76" s="129"/>
    </row>
    <row r="77" spans="1:17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</row>
    <row r="78" spans="1:17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</row>
  </sheetData>
  <sheetProtection algorithmName="SHA-512" hashValue="gWTGu37WvUipLbLyvSQbIXRYe7cOHV/NbVeh+9pZ7ZybXRkY28G73uQr1/YLWsFgShmS22CB1JvVOKljlJj41w==" saltValue="+modsY6YW20mhIh3IAfHmQ==" spinCount="100000" sheet="1" formatCells="0" formatColumns="0" formatRows="0"/>
  <mergeCells count="16">
    <mergeCell ref="Q7:T7"/>
    <mergeCell ref="E8:H8"/>
    <mergeCell ref="D8:D9"/>
    <mergeCell ref="H6:J6"/>
    <mergeCell ref="A1:D1"/>
    <mergeCell ref="A2:D2"/>
    <mergeCell ref="A4:L4"/>
    <mergeCell ref="A8:A9"/>
    <mergeCell ref="B8:C9"/>
    <mergeCell ref="N8:N9"/>
    <mergeCell ref="H67:I67"/>
    <mergeCell ref="E1:L1"/>
    <mergeCell ref="E2:L2"/>
    <mergeCell ref="D6:E6"/>
    <mergeCell ref="F6:G6"/>
    <mergeCell ref="F66:K66"/>
  </mergeCells>
  <conditionalFormatting sqref="N10:N64">
    <cfRule type="top10" dxfId="487" priority="1" stopIfTrue="1" bottom="1" rank="5"/>
    <cfRule type="top10" dxfId="486" priority="2" stopIfTrue="1" rank="5"/>
  </conditionalFormatting>
  <pageMargins left="0.43307086614173229" right="0.19685039370078741" top="0.23622047244094491" bottom="0" header="0" footer="0"/>
  <pageSetup paperSize="9" scale="83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Nhapdiemhk1">
                <anchor moveWithCells="1" sizeWithCells="1">
                  <from>
                    <xdr:col>13</xdr:col>
                    <xdr:colOff>114300</xdr:colOff>
                    <xdr:row>2</xdr:row>
                    <xdr:rowOff>60960</xdr:rowOff>
                  </from>
                  <to>
                    <xdr:col>14</xdr:col>
                    <xdr:colOff>518160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5" name="Button 21">
              <controlPr defaultSize="0" print="0" autoFill="0" autoPict="0" macro="[0]!VeHDpd1">
                <anchor moveWithCells="1" sizeWithCells="1">
                  <from>
                    <xdr:col>13</xdr:col>
                    <xdr:colOff>121920</xdr:colOff>
                    <xdr:row>4</xdr:row>
                    <xdr:rowOff>38100</xdr:rowOff>
                  </from>
                  <to>
                    <xdr:col>14</xdr:col>
                    <xdr:colOff>525780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'Huong dan'!$B$8:$B$21</xm:f>
          </x14:formula1>
          <xm:sqref>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  <pageSetUpPr fitToPage="1"/>
  </sheetPr>
  <dimension ref="A1:AJ82"/>
  <sheetViews>
    <sheetView tabSelected="1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N11" sqref="N11"/>
    </sheetView>
  </sheetViews>
  <sheetFormatPr defaultColWidth="9.109375" defaultRowHeight="13.8"/>
  <cols>
    <col min="1" max="1" width="5.6640625" style="1" customWidth="1"/>
    <col min="2" max="2" width="22.44140625" style="1" customWidth="1"/>
    <col min="3" max="3" width="9.88671875" style="268" customWidth="1"/>
    <col min="4" max="4" width="10" style="1" hidden="1" customWidth="1"/>
    <col min="5" max="6" width="5.6640625" style="1" hidden="1" customWidth="1"/>
    <col min="7" max="18" width="6.6640625" style="1" customWidth="1"/>
    <col min="19" max="19" width="6.6640625" style="1" hidden="1" customWidth="1"/>
    <col min="20" max="21" width="6.6640625" style="1" customWidth="1"/>
    <col min="22" max="22" width="8" style="1" customWidth="1"/>
    <col min="23" max="23" width="7.6640625" style="1" customWidth="1"/>
    <col min="24" max="24" width="7.88671875" style="1" customWidth="1"/>
    <col min="25" max="25" width="7.6640625" style="1" customWidth="1"/>
    <col min="26" max="26" width="3.33203125" style="1" customWidth="1"/>
    <col min="27" max="27" width="10.5546875" style="1" customWidth="1"/>
    <col min="28" max="28" width="12.33203125" style="1" hidden="1" customWidth="1"/>
    <col min="29" max="29" width="9.33203125" style="1" hidden="1" customWidth="1"/>
    <col min="30" max="30" width="11.5546875" style="1" hidden="1" customWidth="1"/>
    <col min="31" max="32" width="6" style="1" hidden="1" customWidth="1"/>
    <col min="33" max="33" width="36.44140625" style="1" hidden="1" customWidth="1"/>
    <col min="34" max="34" width="22.44140625" style="1" customWidth="1"/>
    <col min="35" max="35" width="18.33203125" style="1" customWidth="1"/>
    <col min="36" max="36" width="19.5546875" style="1" customWidth="1"/>
    <col min="37" max="37" width="7.6640625" style="1" customWidth="1"/>
    <col min="38" max="44" width="6" style="1" customWidth="1"/>
    <col min="45" max="16384" width="9.109375" style="1"/>
  </cols>
  <sheetData>
    <row r="1" spans="1:36" ht="20.25" customHeight="1">
      <c r="A1" s="921" t="str">
        <f>IF('Huong dan'!E3&lt;&gt;"","SỞ GIÁO DỤC VÀ ĐÀO TẠO "&amp;UPPER('Huong dan'!E3),"")</f>
        <v>SỞ GIÁO DỤC VÀ ĐÀO TẠO TP. HỒ CHÍ MINH</v>
      </c>
      <c r="B1" s="921"/>
      <c r="C1" s="921"/>
      <c r="D1" s="921"/>
      <c r="E1" s="921"/>
      <c r="F1" s="921"/>
      <c r="G1" s="921"/>
      <c r="H1" s="921"/>
      <c r="I1" s="921"/>
      <c r="J1" s="251"/>
      <c r="K1" s="922" t="s">
        <v>19</v>
      </c>
      <c r="L1" s="922"/>
      <c r="M1" s="922"/>
      <c r="N1" s="922"/>
      <c r="O1" s="922"/>
      <c r="P1" s="922"/>
      <c r="Q1" s="922"/>
      <c r="R1" s="922"/>
      <c r="S1" s="922"/>
      <c r="T1" s="922"/>
      <c r="U1" s="922"/>
      <c r="V1" s="922"/>
      <c r="W1" s="922"/>
      <c r="X1" s="922"/>
      <c r="Y1" s="922"/>
    </row>
    <row r="2" spans="1:36" ht="15" customHeight="1">
      <c r="A2" s="931" t="str">
        <f>IF('Huong dan'!E4&lt;&gt;"","TRƯỜNG "&amp;UPPER('Huong dan'!E4),"")</f>
        <v>TRƯỜNG THCS VÀ THPT NGUYỄN KHUYẾN</v>
      </c>
      <c r="B2" s="931"/>
      <c r="C2" s="931"/>
      <c r="D2" s="931"/>
      <c r="E2" s="931"/>
      <c r="F2" s="931"/>
      <c r="G2" s="931"/>
      <c r="H2" s="931"/>
      <c r="I2" s="931"/>
      <c r="J2" s="251"/>
      <c r="K2" s="922" t="s">
        <v>179</v>
      </c>
      <c r="L2" s="922"/>
      <c r="M2" s="922"/>
      <c r="N2" s="922"/>
      <c r="O2" s="922"/>
      <c r="P2" s="922"/>
      <c r="Q2" s="922"/>
      <c r="R2" s="922"/>
      <c r="S2" s="922"/>
      <c r="T2" s="922"/>
      <c r="U2" s="922"/>
      <c r="V2" s="922"/>
      <c r="W2" s="922"/>
      <c r="X2" s="922"/>
      <c r="Y2" s="922"/>
      <c r="Z2" s="88"/>
      <c r="AA2" s="88"/>
    </row>
    <row r="3" spans="1:36" ht="15" customHeight="1">
      <c r="A3" s="922" t="str">
        <f>IF('Huong dan'!C3&lt;&gt;"","Lớp "&amp;UPPER('Huong dan'!C3),"")</f>
        <v>Lớp 12A1</v>
      </c>
      <c r="B3" s="922"/>
      <c r="C3" s="922"/>
      <c r="D3" s="922"/>
      <c r="E3" s="922"/>
      <c r="F3" s="922"/>
      <c r="G3" s="922"/>
      <c r="H3" s="922"/>
      <c r="I3" s="922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88"/>
      <c r="AA3" s="661"/>
    </row>
    <row r="4" spans="1:36" ht="37.5" customHeight="1">
      <c r="A4" s="251"/>
      <c r="B4" s="932" t="str">
        <f>"BẢNG TỔNG HỢP KẾT QUẢ ĐÁNH GIÁ, XẾP LOẠI HỌC KỲ I - NĂM HỌC  "&amp;'Huong dan'!C5</f>
        <v>BẢNG TỔNG HỢP KẾT QUẢ ĐÁNH GIÁ, XẾP LOẠI HỌC KỲ I - NĂM HỌC  2021 - 2022</v>
      </c>
      <c r="C4" s="932"/>
      <c r="D4" s="932"/>
      <c r="E4" s="932"/>
      <c r="F4" s="932"/>
      <c r="G4" s="932"/>
      <c r="H4" s="932"/>
      <c r="I4" s="932"/>
      <c r="J4" s="932"/>
      <c r="K4" s="932"/>
      <c r="L4" s="932"/>
      <c r="M4" s="932"/>
      <c r="N4" s="932"/>
      <c r="O4" s="932"/>
      <c r="P4" s="932"/>
      <c r="Q4" s="932"/>
      <c r="R4" s="932"/>
      <c r="S4" s="932"/>
      <c r="T4" s="932"/>
      <c r="U4" s="932"/>
      <c r="V4" s="932"/>
      <c r="W4" s="932"/>
      <c r="X4" s="932"/>
      <c r="Y4" s="932"/>
      <c r="Z4" s="88"/>
      <c r="AA4" s="88"/>
    </row>
    <row r="5" spans="1:36" ht="18" customHeight="1" thickBot="1">
      <c r="A5" s="251"/>
      <c r="B5" s="251"/>
      <c r="C5" s="7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251"/>
      <c r="Q5" s="251"/>
      <c r="R5" s="251"/>
      <c r="S5" s="251"/>
      <c r="T5" s="251"/>
      <c r="U5" s="251"/>
      <c r="V5" s="251"/>
      <c r="W5" s="251"/>
      <c r="X5" s="251"/>
      <c r="Y5" s="251"/>
    </row>
    <row r="6" spans="1:36" s="270" customFormat="1" ht="19.5" customHeight="1">
      <c r="A6" s="948" t="s">
        <v>0</v>
      </c>
      <c r="B6" s="950" t="s">
        <v>20</v>
      </c>
      <c r="C6" s="951"/>
      <c r="D6" s="269" t="s">
        <v>5</v>
      </c>
      <c r="E6" s="269" t="s">
        <v>50</v>
      </c>
      <c r="F6" s="269" t="s">
        <v>9</v>
      </c>
      <c r="G6" s="950" t="s">
        <v>21</v>
      </c>
      <c r="H6" s="954"/>
      <c r="I6" s="954"/>
      <c r="J6" s="954"/>
      <c r="K6" s="954"/>
      <c r="L6" s="954"/>
      <c r="M6" s="954"/>
      <c r="N6" s="954"/>
      <c r="O6" s="954"/>
      <c r="P6" s="954"/>
      <c r="Q6" s="954"/>
      <c r="R6" s="954"/>
      <c r="S6" s="954"/>
      <c r="T6" s="954"/>
      <c r="U6" s="951"/>
      <c r="V6" s="954" t="s">
        <v>23</v>
      </c>
      <c r="W6" s="954" t="s">
        <v>24</v>
      </c>
      <c r="X6" s="954"/>
      <c r="Y6" s="946" t="s">
        <v>25</v>
      </c>
      <c r="AA6" s="639"/>
      <c r="AB6" s="662"/>
      <c r="AC6" s="642"/>
      <c r="AD6" s="642"/>
      <c r="AE6" s="642"/>
      <c r="AF6" s="642"/>
      <c r="AG6" s="642"/>
      <c r="AH6" s="744"/>
      <c r="AI6" s="663" t="s">
        <v>280</v>
      </c>
    </row>
    <row r="7" spans="1:36" s="270" customFormat="1" ht="42" customHeight="1" thickBot="1">
      <c r="A7" s="949"/>
      <c r="B7" s="952"/>
      <c r="C7" s="953"/>
      <c r="D7" s="271" t="s">
        <v>6</v>
      </c>
      <c r="E7" s="271" t="s">
        <v>6</v>
      </c>
      <c r="F7" s="271" t="s">
        <v>6</v>
      </c>
      <c r="G7" s="461" t="s">
        <v>26</v>
      </c>
      <c r="H7" s="463" t="s">
        <v>27</v>
      </c>
      <c r="I7" s="463" t="s">
        <v>28</v>
      </c>
      <c r="J7" s="463" t="s">
        <v>29</v>
      </c>
      <c r="K7" s="463" t="s">
        <v>120</v>
      </c>
      <c r="L7" s="463" t="s">
        <v>30</v>
      </c>
      <c r="M7" s="463" t="s">
        <v>31</v>
      </c>
      <c r="N7" s="463" t="s">
        <v>32</v>
      </c>
      <c r="O7" s="463" t="s">
        <v>33</v>
      </c>
      <c r="P7" s="664" t="s">
        <v>60</v>
      </c>
      <c r="Q7" s="463" t="s">
        <v>34</v>
      </c>
      <c r="R7" s="463" t="s">
        <v>35</v>
      </c>
      <c r="S7" s="272" t="s">
        <v>22</v>
      </c>
      <c r="T7" s="664" t="s">
        <v>121</v>
      </c>
      <c r="U7" s="462" t="s">
        <v>122</v>
      </c>
      <c r="V7" s="955"/>
      <c r="W7" s="463" t="s">
        <v>36</v>
      </c>
      <c r="X7" s="273" t="s">
        <v>37</v>
      </c>
      <c r="Y7" s="947"/>
      <c r="AA7" s="665" t="s">
        <v>279</v>
      </c>
      <c r="AB7" s="666"/>
      <c r="AC7" s="643"/>
      <c r="AD7" s="643"/>
      <c r="AE7" s="643"/>
      <c r="AF7" s="643"/>
      <c r="AG7" s="643"/>
      <c r="AH7" s="667" t="s">
        <v>282</v>
      </c>
      <c r="AI7" s="668" t="s">
        <v>281</v>
      </c>
    </row>
    <row r="8" spans="1:36" s="268" customFormat="1" ht="29.1" customHeight="1">
      <c r="A8" s="274">
        <f>IF(COUNTA(DiemHKI!C4:C58)&gt;=1,MIN(DiemHKI!B4:B58),"")</f>
        <v>1</v>
      </c>
      <c r="B8" s="17" t="str">
        <f>IF($A8&lt;&gt;"",PROPER(INDEX(DiemHKI!$B$4:$CP$58,MATCH($A8,DiemHKI!$B$4:$B$58,0),3)),"")</f>
        <v>Phạm Huỳnh Hiệp</v>
      </c>
      <c r="C8" s="18" t="str">
        <f>IF($A8&lt;&gt;"",PROPER(INDEX(DiemHKI!$B$4:$CP$58,MATCH($A8,DiemHKI!$B$4:$B$58,0),4)),"")</f>
        <v>An</v>
      </c>
      <c r="D8" s="277" t="str">
        <f>IF($A8&lt;&gt;"",IF(INDEX(DiemHKI!$B$4:$CP$58,MATCH($A8,DiemHKI!$B$4:$B$58,0),7)&lt;&gt;"",INDEX(DiemHKI!$B$4:$CP$58,MATCH($A8,DiemHKI!$B$4:$B$58,0),7),""),"")</f>
        <v>x</v>
      </c>
      <c r="E8" s="277" t="str">
        <f>IF($A8&lt;&gt;"",IF(INDEX(DiemHKI!$B$4:$CP$58,MATCH($A8,DiemHKI!$B$4:$B$58,0),8)&lt;&gt;"",INDEX(DiemHKI!$B$4:$CP$58,MATCH($A8,DiemHKI!$B$4:$B$58,0),8),""),"")</f>
        <v/>
      </c>
      <c r="F8" s="277" t="str">
        <f>IF($A8&lt;&gt;"",IF(INDEX(DiemHKI!$B$4:$CP$58,MATCH($A8,DiemHKI!$B$4:$B$58,0),9)&lt;&gt;"",INDEX(DiemHKI!$B$4:$CP$58,MATCH($A8,DiemHKI!$B$4:$B$58,0),9),""),"")</f>
        <v/>
      </c>
      <c r="G8" s="300">
        <f>IF($A8&lt;&gt;"",IF(INDEX(BDHKI,MATCH($A8,DiemHKI!$B$4:$B$58,0),INDEX($AD$9:$AF$22,MATCH(G$7,$AD$9:$AD$22,0),2))&lt;&gt;"",INDEX(BDHKI,MATCH($A8,DiemHKI!$B$4:$B$58,0),INDEX($AD$9:$AF$22,MATCH(G$7,$AD$9:$AD$22,0),3)),""),"")</f>
        <v>9.4</v>
      </c>
      <c r="H8" s="669">
        <f>IF($A8&lt;&gt;"",IF(INDEX(BDHKI,MATCH($A8,DiemHKI!$B$4:$B$58,0),INDEX($AD$9:$AF$22,MATCH(H$7,$AD$9:$AD$22,0),2))&lt;&gt;"",INDEX(BDHKI,MATCH($A8,DiemHKI!$B$4:$B$58,0),INDEX($AD$9:$AF$22,MATCH(H$7,$AD$9:$AD$22,0),3)),""),"")</f>
        <v>9.5</v>
      </c>
      <c r="I8" s="669">
        <f>IF($A8&lt;&gt;"",IF(INDEX(BDHKI,MATCH($A8,DiemHKI!$B$4:$B$58,0),INDEX($AD$9:$AF$22,MATCH(I$7,$AD$9:$AD$22,0),2))&lt;&gt;"",INDEX(BDHKI,MATCH($A8,DiemHKI!$B$4:$B$58,0),INDEX($AD$9:$AF$22,MATCH(I$7,$AD$9:$AD$22,0),3)),""),"")</f>
        <v>9.3000000000000007</v>
      </c>
      <c r="J8" s="669">
        <f>IF($A8&lt;&gt;"",IF(INDEX(BDHKI,MATCH($A8,DiemHKI!$B$4:$B$58,0),INDEX($AD$9:$AF$22,MATCH(J$7,$AD$9:$AD$22,0),2))&lt;&gt;"",INDEX(BDHKI,MATCH($A8,DiemHKI!$B$4:$B$58,0),INDEX($AD$9:$AF$22,MATCH(J$7,$AD$9:$AD$22,0),3)),""),"")</f>
        <v>9</v>
      </c>
      <c r="K8" s="669">
        <f>IF($A8&lt;&gt;"",IF(INDEX(BDHKI,MATCH($A8,DiemHKI!$B$4:$B$58,0),INDEX($AD$9:$AF$22,MATCH(K$7,$AD$9:$AD$22,0),2))&lt;&gt;"",INDEX(BDHKI,MATCH($A8,DiemHKI!$B$4:$B$58,0),INDEX($AD$9:$AF$22,MATCH(K$7,$AD$9:$AD$22,0),3)),""),"")</f>
        <v>9.6</v>
      </c>
      <c r="L8" s="669">
        <f>IF($A8&lt;&gt;"",IF(INDEX(BDHKI,MATCH($A8,DiemHKI!$B$4:$B$58,0),INDEX($AD$9:$AF$22,MATCH(L$7,$AD$9:$AD$22,0),2))&lt;&gt;"",INDEX(BDHKI,MATCH($A8,DiemHKI!$B$4:$B$58,0),INDEX($AD$9:$AF$22,MATCH(L$7,$AD$9:$AD$22,0),3)),""),"")</f>
        <v>7.8</v>
      </c>
      <c r="M8" s="669">
        <f>IF($A8&lt;&gt;"",IF(INDEX(BDHKI,MATCH($A8,DiemHKI!$B$4:$B$58,0),INDEX($AD$9:$AF$22,MATCH(M$7,$AD$9:$AD$22,0),2))&lt;&gt;"",INDEX(BDHKI,MATCH($A8,DiemHKI!$B$4:$B$58,0),INDEX($AD$9:$AF$22,MATCH(M$7,$AD$9:$AD$22,0),3)),""),"")</f>
        <v>9.6</v>
      </c>
      <c r="N8" s="669">
        <f>IF($A8&lt;&gt;"",IF(INDEX(BDHKI,MATCH($A8,DiemHKI!$B$4:$B$58,0),INDEX($AD$9:$AF$22,MATCH(N$7,$AD$9:$AD$22,0),2))&lt;&gt;"",INDEX(BDHKI,MATCH($A8,DiemHKI!$B$4:$B$58,0),INDEX($AD$9:$AF$22,MATCH(N$7,$AD$9:$AD$22,0),3)),""),"")</f>
        <v>9.8000000000000007</v>
      </c>
      <c r="O8" s="669">
        <f>IF($A8&lt;&gt;"",IF(INDEX(BDHKI,MATCH($A8,DiemHKI!$B$4:$B$58,0),INDEX($AD$9:$AF$22,MATCH(O$7,$AD$9:$AD$22,0),2))&lt;&gt;"",INDEX(BDHKI,MATCH($A8,DiemHKI!$B$4:$B$58,0),INDEX($AD$9:$AF$22,MATCH(O$7,$AD$9:$AD$22,0),3)),""),"")</f>
        <v>9.6</v>
      </c>
      <c r="P8" s="669">
        <f>IF($A8&lt;&gt;"",IF(INDEX(BDHKI,MATCH($A8,DiemHKI!$B$4:$B$58,0),INDEX($AD$9:$AF$22,MATCH(P$7,$AD$9:$AD$22,0),2))&lt;&gt;"",INDEX(BDHKI,MATCH($A8,DiemHKI!$B$4:$B$58,0),INDEX($AD$9:$AF$22,MATCH(P$7,$AD$9:$AD$22,0),3)),""),"")</f>
        <v>9.1</v>
      </c>
      <c r="Q8" s="669">
        <f>IF($A8&lt;&gt;"",IF(INDEX(BDHKI,MATCH($A8,DiemHKI!$B$4:$B$58,0),INDEX($AD$9:$AF$22,MATCH(Q$7,$AD$9:$AD$22,0),2))&lt;&gt;"",INDEX(BDHKI,MATCH($A8,DiemHKI!$B$4:$B$58,0),INDEX($AD$9:$AF$22,MATCH(Q$7,$AD$9:$AD$22,0),3)),""),"")</f>
        <v>9.5</v>
      </c>
      <c r="R8" s="659" t="str">
        <f>IF($A8&lt;&gt;"",IF(INDEX(BDHKI,MATCH($A8,DiemHKI!$B$4:$B$58,0),INDEX($AD$9:$AF$22,MATCH(R$7,$AD$9:$AD$22,0),2))&lt;&gt;"",INDEX(BDHKI,MATCH($A8,DiemHKI!$B$4:$B$58,0),INDEX($AD$9:$AF$22,MATCH(R$7,$AD$9:$AD$22,0),3)),""),"")</f>
        <v>Đ</v>
      </c>
      <c r="S8" s="659">
        <f>IF(R8&lt;&gt;"",IF(R8="CĐ",3.4,8),"")</f>
        <v>8</v>
      </c>
      <c r="T8" s="301">
        <f>IF($A8&lt;&gt;"",IF(INDEX(BDHKI,MATCH($A8,DiemHKI!$B$4:$B$58,0),INDEX($AD$9:$AF$22,MATCH(T$7,$AD$9:$AD$22,0),2))&lt;&gt;"",INDEX(BDHKI,MATCH($A8,DiemHKI!$B$4:$B$58,0),INDEX($AD$9:$AF$22,MATCH(T$7,$AD$9:$AD$22,0),3)),""),"")</f>
        <v>9.9</v>
      </c>
      <c r="U8" s="670" t="str">
        <f>IF($A8&lt;&gt;"",IF(INDEX(BDHKI,MATCH($A8,DiemHKI!$B$4:$B$58,0),INDEX($AD$9:$AF$22,MATCH(U$7,$AD$9:$AD$22,0),2))&lt;&gt;"",INDEX(BDHKI,MATCH($A8,DiemHKI!$B$4:$B$58,0),INDEX($AD$9:$AF$22,MATCH(U$7,$AD$9:$AD$22,0),3)),""),"")</f>
        <v/>
      </c>
      <c r="V8" s="278">
        <f>IF(COUNT(G8:Q8)&gt;=11,ROUND(AVERAGE(G8:Q8,T8),1),"")</f>
        <v>9.3000000000000007</v>
      </c>
      <c r="W8" s="279" t="str">
        <f>IF(V8="","",IF(AND(V8&gt;=8,MIN(G8:T8)&gt;6.4,OR(G8&gt;=8,L8&gt;=8,O8&gt;=8)),"Giỏi",IF(OR(AND(V8&gt;=8,MIN(G8:T8)&gt;3.4,OR(G8&gt;=8,L8&gt;=8,O8&gt;=8),COUNT(G8:T8)-COUNTIF(G8:T8,"&gt;6.4")=1,COUNTIF(G8:T8,"&lt;5")=1),AND(V8&gt;=6.5,MIN(G8:T8)&gt;4.9,OR(G8&gt;=6.5,L8&gt;=6.5,O8&gt;=6.5))),"Khá",IF(OR(AND(V8&gt;6.4,MIN(G8:T8)&gt;1.9,OR(G8&gt;6.4,L8&gt;6.4,O8&gt;6.4),COUNT(G8:T8)-COUNTIF(G8:T8,"&gt;=5")=1,COUNTIF(G8:T8,"&lt;3.5")=1),AND(V8&gt;=8,OR(G8&gt;=8,L8&gt;=8,O8&gt;=8),COUNT(G8:T8)-COUNTIF(G8:T8,"&gt;=6.5")=1,MIN(G8:T8)&gt;1.9,COUNTIF(G8:T8,"&lt;3.5")=1),AND(V8&gt;=5,MIN(G8:T8)&gt;3.4,OR(G8&gt;=5,L8&gt;=5,O8&gt;=5))),"Tb",IF(OR(AND(V8&gt;=8,OR(G8&gt;=8,L8&gt;=8,O8&gt;=8),COUNT(G8:T8)-COUNTIF(G8:T8,"&gt;=5")=2,MIN(G8:T8)&gt;=2),AND(V8&gt;6.4,OR(G8&gt;6.4,L8&gt;6.4,O8&gt;6.4),COUNT(G8:T8)-COUNTIF(G8:T8,"&gt;=5")=1,COUNTIF(G8:T8,"&lt;2")=1),AND(V8&gt;3.4,MIN(G8:T8)&gt;1.9)),"Yếu","Kém")))))</f>
        <v>Giỏi</v>
      </c>
      <c r="X8" s="352" t="s">
        <v>38</v>
      </c>
      <c r="Y8" s="280" t="str">
        <f>IF(A8="","",IF(AND(W8="Giỏi",X8="Tốt"),"HSG",IF(AND(W8="Giỏi",X8="Khá"),"HSTT",IF(AND(W8="Khá",OR(X8="Tốt",X8="Khá")),"HSTT",""))))</f>
        <v>HSG</v>
      </c>
      <c r="Z8" s="1"/>
      <c r="AA8" s="644">
        <f>IFERROR(IF($A8&lt;&gt;"",RANK(V8,$V$8:$V$62),""),"")</f>
        <v>18</v>
      </c>
      <c r="AB8" s="1"/>
      <c r="AD8" s="268">
        <v>1</v>
      </c>
      <c r="AE8" s="268">
        <v>2</v>
      </c>
      <c r="AF8" s="268">
        <v>3</v>
      </c>
      <c r="AG8" s="268" t="str">
        <f>IF($A8&lt;&gt;"",INDEX(DiemHKI!$DI$4:$DI$58,MATCH($A8,DiemHKI!$B$4:$B$58,0),1),"")</f>
        <v>12A1Phạm Huỳnh HiệpAn16/10/2004</v>
      </c>
      <c r="AH8" s="671" t="str">
        <f>IF(AND(V8&gt;=8,W8="Khá"),IF(G8&lt;8,"Toán "&amp;G8&amp;", ",""),"")&amp;IF(AND(V8&gt;=8,W8="Khá"),IF(L8&lt;8,"Văn "&amp;L8&amp;", ",""),"")&amp;IF(AND(V8&gt;=8,W8="Khá"),IF(O8&lt;8,"Anh "&amp;O8&amp;", ",""),"")&amp;IF(AND(V8&gt;=6.5,W8="Tb"),IF(G8&lt;6.5,"Toán "&amp;G8&amp;", ",""),"")&amp;IF(AND(V8&gt;=6.5,W8="Tb"),IF(L8&lt;6.5,"Văn "&amp;L8&amp;", ",""),"")&amp;IF(AND(V8&gt;=6.5,W8="Tb"),IF(O8&lt;6.5,"Anh "&amp;O8&amp;", ",""),"")&amp;IF(AND(V8&gt;=5,W8="Yếu"),IF(G8&lt;5,"Toán "&amp;G8&amp;", ",""),"")&amp;IF(AND(V8&gt;=5,W8="Yếu"),IF(L8&lt;5,"Văn "&amp;L8&amp;", ",""),"")&amp;IF(AND(V8&gt;=5,W8="Yếu"),IF(O8&lt;5,"Anh "&amp;O8&amp;", ",""),"")</f>
        <v/>
      </c>
      <c r="AI8" s="672" t="str">
        <f ca="1">IF(AND(V8&gt;=8,W8="Khá",MIN(H8:K8,M8:N8,P8:Q8,T8)&lt;6.5),OFFSET(INDEX(G8:T8,1,MATCH(MIN(H8:K8,M8:N8,P8:Q8,T8),G8:T8,0)),-A8,0)&amp;" "&amp;IF(AND(V8&gt;=8,W8="Khá"),MIN(H8:K8,M8:N8,P8:Q8,T8),""),"")&amp;IF(AND(V8&gt;=6.5,W8="Tb",MIN(H8:K8,M8:N8,P8:Q8,T8)&lt;5),OFFSET(INDEX(G8:T8,1,MATCH(MIN(H8:K8,M8:N8,P8:Q8,T8),G8:T8,0)),-A8,0)&amp;" "&amp;IF(AND(V8&gt;=6.5,W8="Tb"),MIN(H8:K8,M8:N8,P8:Q8,T8),""),"")&amp;IF(AND(V8&gt;=5,W8="Yếu",MIN(H8:K8,M8:N8,P8:Q8,T8)&lt;3.5),OFFSET(INDEX(G8:T8,1,MATCH(MIN(H8:K8,M8:N8,P8:Q8,T8),G8:T8,0)),-A8,0)&amp;" "&amp;IF(AND(V8&gt;=5,W8="Yếu"),MIN(H8:K8,M8:N8,P8:Q8,T8),""),"")</f>
        <v/>
      </c>
      <c r="AJ8" s="673"/>
    </row>
    <row r="9" spans="1:36" s="268" customFormat="1" ht="29.1" customHeight="1">
      <c r="A9" s="281">
        <f>IF(A8&lt;MAX(DiemHKI!$B$4:$B$58),A8+1,"")</f>
        <v>2</v>
      </c>
      <c r="B9" s="32" t="str">
        <f>IF($A9&lt;&gt;"",PROPER(INDEX(DiemHKI!$B$4:$CP$58,MATCH($A9,DiemHKI!$B$4:$B$58,0),3)),"")</f>
        <v>Chử Ngọc</v>
      </c>
      <c r="C9" s="33" t="str">
        <f>IF($A9&lt;&gt;"",PROPER(INDEX(DiemHKI!$B$4:$CP$58,MATCH($A9,DiemHKI!$B$4:$B$58,0),4)),"")</f>
        <v>Anh</v>
      </c>
      <c r="D9" s="284" t="str">
        <f>IF($A9&lt;&gt;"",IF(INDEX(DiemHKI!$B$4:$CP$58,MATCH($A9,DiemHKI!$B$4:$B$58,0),7)&lt;&gt;"",INDEX(DiemHKI!$B$4:$CP$58,MATCH($A9,DiemHKI!$B$4:$B$58,0),7),""),"")</f>
        <v>x</v>
      </c>
      <c r="E9" s="284" t="str">
        <f>IF($A9&lt;&gt;"",IF(INDEX(DiemHKI!$B$4:$CP$58,MATCH($A9,DiemHKI!$B$4:$B$58,0),8)&lt;&gt;"",INDEX(DiemHKI!$B$4:$CP$58,MATCH($A9,DiemHKI!$B$4:$B$58,0),8),""),"")</f>
        <v/>
      </c>
      <c r="F9" s="284" t="str">
        <f>IF($A9&lt;&gt;"",IF(INDEX(DiemHKI!$B$4:$CP$58,MATCH($A9,DiemHKI!$B$4:$B$58,0),9)&lt;&gt;"",INDEX(DiemHKI!$B$4:$CP$58,MATCH($A9,DiemHKI!$B$4:$B$58,0),9),""),"")</f>
        <v/>
      </c>
      <c r="G9" s="285">
        <f>IF($A9&lt;&gt;"",IF(INDEX(BDHKI,MATCH($A9,DiemHKI!$B$4:$B$58,0),INDEX($AD$9:$AF$22,MATCH(G$7,$AD$9:$AD$22,0),2))&lt;&gt;"",INDEX(BDHKI,MATCH($A9,DiemHKI!$B$4:$B$58,0),INDEX($AD$9:$AF$22,MATCH(G$7,$AD$9:$AD$22,0),3)),""),"")</f>
        <v>9.5</v>
      </c>
      <c r="H9" s="286">
        <f>IF($A9&lt;&gt;"",IF(INDEX(BDHKI,MATCH($A9,DiemHKI!$B$4:$B$58,0),INDEX($AD$9:$AF$22,MATCH(H$7,$AD$9:$AD$22,0),2))&lt;&gt;"",INDEX(BDHKI,MATCH($A9,DiemHKI!$B$4:$B$58,0),INDEX($AD$9:$AF$22,MATCH(H$7,$AD$9:$AD$22,0),3)),""),"")</f>
        <v>9.6</v>
      </c>
      <c r="I9" s="286">
        <f>IF($A9&lt;&gt;"",IF(INDEX(BDHKI,MATCH($A9,DiemHKI!$B$4:$B$58,0),INDEX($AD$9:$AF$22,MATCH(I$7,$AD$9:$AD$22,0),2))&lt;&gt;"",INDEX(BDHKI,MATCH($A9,DiemHKI!$B$4:$B$58,0),INDEX($AD$9:$AF$22,MATCH(I$7,$AD$9:$AD$22,0),3)),""),"")</f>
        <v>9.4</v>
      </c>
      <c r="J9" s="286">
        <f>IF($A9&lt;&gt;"",IF(INDEX(BDHKI,MATCH($A9,DiemHKI!$B$4:$B$58,0),INDEX($AD$9:$AF$22,MATCH(J$7,$AD$9:$AD$22,0),2))&lt;&gt;"",INDEX(BDHKI,MATCH($A9,DiemHKI!$B$4:$B$58,0),INDEX($AD$9:$AF$22,MATCH(J$7,$AD$9:$AD$22,0),3)),""),"")</f>
        <v>9.6999999999999993</v>
      </c>
      <c r="K9" s="286">
        <f>IF($A9&lt;&gt;"",IF(INDEX(BDHKI,MATCH($A9,DiemHKI!$B$4:$B$58,0),INDEX($AD$9:$AF$22,MATCH(K$7,$AD$9:$AD$22,0),2))&lt;&gt;"",INDEX(BDHKI,MATCH($A9,DiemHKI!$B$4:$B$58,0),INDEX($AD$9:$AF$22,MATCH(K$7,$AD$9:$AD$22,0),3)),""),"")</f>
        <v>9.6</v>
      </c>
      <c r="L9" s="286">
        <f>IF($A9&lt;&gt;"",IF(INDEX(BDHKI,MATCH($A9,DiemHKI!$B$4:$B$58,0),INDEX($AD$9:$AF$22,MATCH(L$7,$AD$9:$AD$22,0),2))&lt;&gt;"",INDEX(BDHKI,MATCH($A9,DiemHKI!$B$4:$B$58,0),INDEX($AD$9:$AF$22,MATCH(L$7,$AD$9:$AD$22,0),3)),""),"")</f>
        <v>8.4</v>
      </c>
      <c r="M9" s="286">
        <f>IF($A9&lt;&gt;"",IF(INDEX(BDHKI,MATCH($A9,DiemHKI!$B$4:$B$58,0),INDEX($AD$9:$AF$22,MATCH(M$7,$AD$9:$AD$22,0),2))&lt;&gt;"",INDEX(BDHKI,MATCH($A9,DiemHKI!$B$4:$B$58,0),INDEX($AD$9:$AF$22,MATCH(M$7,$AD$9:$AD$22,0),3)),""),"")</f>
        <v>9.6</v>
      </c>
      <c r="N9" s="286">
        <f>IF($A9&lt;&gt;"",IF(INDEX(BDHKI,MATCH($A9,DiemHKI!$B$4:$B$58,0),INDEX($AD$9:$AF$22,MATCH(N$7,$AD$9:$AD$22,0),2))&lt;&gt;"",INDEX(BDHKI,MATCH($A9,DiemHKI!$B$4:$B$58,0),INDEX($AD$9:$AF$22,MATCH(N$7,$AD$9:$AD$22,0),3)),""),"")</f>
        <v>9.8000000000000007</v>
      </c>
      <c r="O9" s="286">
        <f>IF($A9&lt;&gt;"",IF(INDEX(BDHKI,MATCH($A9,DiemHKI!$B$4:$B$58,0),INDEX($AD$9:$AF$22,MATCH(O$7,$AD$9:$AD$22,0),2))&lt;&gt;"",INDEX(BDHKI,MATCH($A9,DiemHKI!$B$4:$B$58,0),INDEX($AD$9:$AF$22,MATCH(O$7,$AD$9:$AD$22,0),3)),""),"")</f>
        <v>9</v>
      </c>
      <c r="P9" s="286">
        <f>IF($A9&lt;&gt;"",IF(INDEX(BDHKI,MATCH($A9,DiemHKI!$B$4:$B$58,0),INDEX($AD$9:$AF$22,MATCH(P$7,$AD$9:$AD$22,0),2))&lt;&gt;"",INDEX(BDHKI,MATCH($A9,DiemHKI!$B$4:$B$58,0),INDEX($AD$9:$AF$22,MATCH(P$7,$AD$9:$AD$22,0),3)),""),"")</f>
        <v>9.1</v>
      </c>
      <c r="Q9" s="286">
        <f>IF($A9&lt;&gt;"",IF(INDEX(BDHKI,MATCH($A9,DiemHKI!$B$4:$B$58,0),INDEX($AD$9:$AF$22,MATCH(Q$7,$AD$9:$AD$22,0),2))&lt;&gt;"",INDEX(BDHKI,MATCH($A9,DiemHKI!$B$4:$B$58,0),INDEX($AD$9:$AF$22,MATCH(Q$7,$AD$9:$AD$22,0),3)),""),"")</f>
        <v>9.8000000000000007</v>
      </c>
      <c r="R9" s="464" t="str">
        <f>IF($A9&lt;&gt;"",IF(INDEX(BDHKI,MATCH($A9,DiemHKI!$B$4:$B$58,0),INDEX($AD$9:$AF$22,MATCH(R$7,$AD$9:$AD$22,0),2))&lt;&gt;"",INDEX(BDHKI,MATCH($A9,DiemHKI!$B$4:$B$58,0),INDEX($AD$9:$AF$22,MATCH(R$7,$AD$9:$AD$22,0),3)),""),"")</f>
        <v>Đ</v>
      </c>
      <c r="S9" s="464">
        <f t="shared" ref="S9:S62" si="0">IF(R9&lt;&gt;"",IF(R9="CĐ",3.4,8),"")</f>
        <v>8</v>
      </c>
      <c r="T9" s="286">
        <f>IF($A9&lt;&gt;"",IF(INDEX(BDHKI,MATCH($A9,DiemHKI!$B$4:$B$58,0),INDEX($AD$9:$AF$22,MATCH(T$7,$AD$9:$AD$22,0),2))&lt;&gt;"",INDEX(BDHKI,MATCH($A9,DiemHKI!$B$4:$B$58,0),INDEX($AD$9:$AF$22,MATCH(T$7,$AD$9:$AD$22,0),3)),""),"")</f>
        <v>9.9</v>
      </c>
      <c r="U9" s="287" t="str">
        <f>IF($A9&lt;&gt;"",IF(INDEX(BDHKI,MATCH($A9,DiemHKI!$B$4:$B$58,0),INDEX($AD$9:$AF$22,MATCH(U$7,$AD$9:$AD$22,0),2))&lt;&gt;"",INDEX(BDHKI,MATCH($A9,DiemHKI!$B$4:$B$58,0),INDEX($AD$9:$AF$22,MATCH(U$7,$AD$9:$AD$22,0),3)),""),"")</f>
        <v/>
      </c>
      <c r="V9" s="288">
        <f t="shared" ref="V9:V17" si="1">IF(COUNT(G9:Q9)&gt;=11,ROUND(AVERAGE(G9:Q9,T9),1),"")</f>
        <v>9.5</v>
      </c>
      <c r="W9" s="464" t="str">
        <f t="shared" ref="W9:W62" si="2">IF(V9="","",IF(AND(V9&gt;=8,MIN(G9:T9)&gt;6.4,OR(G9&gt;=8,L9&gt;=8,O9&gt;=8)),"Giỏi",IF(OR(AND(V9&gt;=8,MIN(G9:T9)&gt;3.4,OR(G9&gt;=8,L9&gt;=8,O9&gt;=8),COUNT(G9:T9)-COUNTIF(G9:T9,"&gt;6.4")=1,COUNTIF(G9:T9,"&lt;5")=1),AND(V9&gt;=6.5,MIN(G9:T9)&gt;4.9,OR(G9&gt;=6.5,L9&gt;=6.5,O9&gt;=6.5))),"Khá",IF(OR(AND(V9&gt;6.4,MIN(G9:T9)&gt;1.9,OR(G9&gt;6.4,L9&gt;6.4,O9&gt;6.4),COUNT(G9:T9)-COUNTIF(G9:T9,"&gt;=5")=1,COUNTIF(G9:T9,"&lt;3.5")=1),AND(V9&gt;=8,OR(G9&gt;=8,L9&gt;=8,O9&gt;=8),COUNT(G9:T9)-COUNTIF(G9:T9,"&gt;=6.5")=1,MIN(G9:T9)&gt;1.9,COUNTIF(G9:T9,"&lt;3.5")=1),AND(V9&gt;=5,MIN(G9:T9)&gt;3.4,OR(G9&gt;=5,L9&gt;=5,O9&gt;=5))),"Tb",IF(OR(AND(V9&gt;=8,OR(G9&gt;=8,L9&gt;=8,O9&gt;=8),COUNT(G9:T9)-COUNTIF(G9:T9,"&gt;=5")=2,MIN(G9:T9)&gt;=2),AND(V9&gt;6.4,OR(G9&gt;6.4,L9&gt;6.4,O9&gt;6.4),COUNT(G9:T9)-COUNTIF(G9:T9,"&gt;=5")=1,COUNTIF(G9:T9,"&lt;2")=1),AND(V9&gt;3.4,MIN(G9:T9)&gt;1.9)),"Yếu","Kém")))))</f>
        <v>Giỏi</v>
      </c>
      <c r="X9" s="353" t="s">
        <v>38</v>
      </c>
      <c r="Y9" s="289" t="str">
        <f t="shared" ref="Y9:Y62" si="3">IF(A9="","",IF(AND(W9="Giỏi",X9="Tốt"),"HSG",IF(AND(W9="Giỏi",X9="Khá"),"HSTT",IF(AND(W9="Khá",OR(X9="Tốt",X9="Khá")),"HSTT",""))))</f>
        <v>HSG</v>
      </c>
      <c r="Z9" s="1"/>
      <c r="AA9" s="644">
        <f t="shared" ref="AA9:AA62" si="4">IFERROR(IF($A9&lt;&gt;"",RANK(V9,$V$8:$V$62),""),"")</f>
        <v>3</v>
      </c>
      <c r="AB9" s="1"/>
      <c r="AC9" s="268" t="s">
        <v>38</v>
      </c>
      <c r="AD9" s="268" t="s">
        <v>26</v>
      </c>
      <c r="AE9" s="268">
        <v>15</v>
      </c>
      <c r="AF9" s="268">
        <v>16</v>
      </c>
      <c r="AG9" s="268" t="str">
        <f>IF($A9&lt;&gt;"",INDEX(DiemHKI!$DI$4:$DI$58,MATCH($A9,DiemHKI!$B$4:$B$58,0),1),"")</f>
        <v>12A1Chử NgọcAnh14/04/2004</v>
      </c>
      <c r="AH9" s="674" t="str">
        <f t="shared" ref="AH9:AH62" si="5">IF(AND(V9&gt;=8,W9="Khá"),IF(G9&lt;8,"Toán "&amp;G9&amp;", ",""),"")&amp;IF(AND(V9&gt;=8,W9="Khá"),IF(L9&lt;8,"Văn "&amp;L9&amp;", ",""),"")&amp;IF(AND(V9&gt;=8,W9="Khá"),IF(O9&lt;8,"Anh "&amp;O9&amp;", ",""),"")&amp;IF(AND(V9&gt;=6.5,W9="Tb"),IF(G9&lt;6.5,"Toán "&amp;G9&amp;", ",""),"")&amp;IF(AND(V9&gt;=6.5,W9="Tb"),IF(L9&lt;6.5,"Văn "&amp;L9&amp;", ",""),"")&amp;IF(AND(V9&gt;=6.5,W9="Tb"),IF(O9&lt;6.5,"Anh "&amp;O9&amp;", ",""),"")&amp;IF(AND(V9&gt;=5,W9="Yếu"),IF(G9&lt;5,"Toán "&amp;G9&amp;", ",""),"")&amp;IF(AND(V9&gt;=5,W9="Yếu"),IF(L9&lt;5,"Văn "&amp;L9&amp;", ",""),"")&amp;IF(AND(V9&gt;=5,W9="Yếu"),IF(O9&lt;5,"Anh "&amp;O9&amp;", ",""),"")</f>
        <v/>
      </c>
      <c r="AI9" s="672" t="str">
        <f t="shared" ref="AI9:AI57" ca="1" si="6">IF(AND(V9&gt;=8,W9="Khá",MIN(H9:K9,M9:N9,P9:Q9,T9)&lt;6.5),OFFSET(INDEX(G9:T9,1,MATCH(MIN(H9:K9,M9:N9,P9:Q9,T9),G9:T9,0)),-A9,0)&amp;" "&amp;IF(AND(V9&gt;=8,W9="Khá"),MIN(H9:K9,M9:N9,P9:Q9,T9),""),"")&amp;IF(AND(V9&gt;=6.5,W9="Tb",MIN(H9:K9,M9:N9,P9:Q9,T9)&lt;5),OFFSET(INDEX(G9:T9,1,MATCH(MIN(H9:K9,M9:N9,P9:Q9,T9),G9:T9,0)),-A9,0)&amp;" "&amp;IF(AND(V9&gt;=6.5,W9="Tb"),MIN(H9:K9,M9:N9,P9:Q9,T9),""),"")&amp;IF(AND(V9&gt;=5,W9="Yếu",MIN(H9:K9,M9:N9,P9:Q9,T9)&lt;3.5),OFFSET(INDEX(G9:T9,1,MATCH(MIN(H9:K9,M9:N9,P9:Q9,T9),G9:T9,0)),-A9,0)&amp;" "&amp;IF(AND(V9&gt;=5,W9="Yếu"),MIN(H9:K9,M9:N9,P9:Q9,T9),""),"")</f>
        <v/>
      </c>
      <c r="AJ9" s="673"/>
    </row>
    <row r="10" spans="1:36" s="268" customFormat="1" ht="29.1" customHeight="1">
      <c r="A10" s="281">
        <f>IF(A9&lt;MAX(DiemHKI!$B$4:$B$58),A9+1,"")</f>
        <v>3</v>
      </c>
      <c r="B10" s="32" t="str">
        <f>IF($A10&lt;&gt;"",PROPER(INDEX(DiemHKI!$B$4:$CP$58,MATCH($A10,DiemHKI!$B$4:$B$58,0),3)),"")</f>
        <v>Lê Tuấn</v>
      </c>
      <c r="C10" s="33" t="str">
        <f>IF($A10&lt;&gt;"",PROPER(INDEX(DiemHKI!$B$4:$CP$58,MATCH($A10,DiemHKI!$B$4:$B$58,0),4)),"")</f>
        <v>Anh</v>
      </c>
      <c r="D10" s="284" t="str">
        <f>IF($A10&lt;&gt;"",IF(INDEX(DiemHKI!$B$4:$CP$58,MATCH($A10,DiemHKI!$B$4:$B$58,0),7)&lt;&gt;"",INDEX(DiemHKI!$B$4:$CP$58,MATCH($A10,DiemHKI!$B$4:$B$58,0),7),""),"")</f>
        <v/>
      </c>
      <c r="E10" s="284" t="str">
        <f>IF($A10&lt;&gt;"",IF(INDEX(DiemHKI!$B$4:$CP$58,MATCH($A10,DiemHKI!$B$4:$B$58,0),8)&lt;&gt;"",INDEX(DiemHKI!$B$4:$CP$58,MATCH($A10,DiemHKI!$B$4:$B$58,0),8),""),"")</f>
        <v/>
      </c>
      <c r="F10" s="284" t="str">
        <f>IF($A10&lt;&gt;"",IF(INDEX(DiemHKI!$B$4:$CP$58,MATCH($A10,DiemHKI!$B$4:$B$58,0),9)&lt;&gt;"",INDEX(DiemHKI!$B$4:$CP$58,MATCH($A10,DiemHKI!$B$4:$B$58,0),9),""),"")</f>
        <v/>
      </c>
      <c r="G10" s="285">
        <f>IF($A10&lt;&gt;"",IF(INDEX(BDHKI,MATCH($A10,DiemHKI!$B$4:$B$58,0),INDEX($AD$9:$AF$22,MATCH(G$7,$AD$9:$AD$22,0),2))&lt;&gt;"",INDEX(BDHKI,MATCH($A10,DiemHKI!$B$4:$B$58,0),INDEX($AD$9:$AF$22,MATCH(G$7,$AD$9:$AD$22,0),3)),""),"")</f>
        <v>9.6</v>
      </c>
      <c r="H10" s="286">
        <f>IF($A10&lt;&gt;"",IF(INDEX(BDHKI,MATCH($A10,DiemHKI!$B$4:$B$58,0),INDEX($AD$9:$AF$22,MATCH(H$7,$AD$9:$AD$22,0),2))&lt;&gt;"",INDEX(BDHKI,MATCH($A10,DiemHKI!$B$4:$B$58,0),INDEX($AD$9:$AF$22,MATCH(H$7,$AD$9:$AD$22,0),3)),""),"")</f>
        <v>9.4</v>
      </c>
      <c r="I10" s="286">
        <f>IF($A10&lt;&gt;"",IF(INDEX(BDHKI,MATCH($A10,DiemHKI!$B$4:$B$58,0),INDEX($AD$9:$AF$22,MATCH(I$7,$AD$9:$AD$22,0),2))&lt;&gt;"",INDEX(BDHKI,MATCH($A10,DiemHKI!$B$4:$B$58,0),INDEX($AD$9:$AF$22,MATCH(I$7,$AD$9:$AD$22,0),3)),""),"")</f>
        <v>9.4</v>
      </c>
      <c r="J10" s="286">
        <f>IF($A10&lt;&gt;"",IF(INDEX(BDHKI,MATCH($A10,DiemHKI!$B$4:$B$58,0),INDEX($AD$9:$AF$22,MATCH(J$7,$AD$9:$AD$22,0),2))&lt;&gt;"",INDEX(BDHKI,MATCH($A10,DiemHKI!$B$4:$B$58,0),INDEX($AD$9:$AF$22,MATCH(J$7,$AD$9:$AD$22,0),3)),""),"")</f>
        <v>8.6</v>
      </c>
      <c r="K10" s="286">
        <f>IF($A10&lt;&gt;"",IF(INDEX(BDHKI,MATCH($A10,DiemHKI!$B$4:$B$58,0),INDEX($AD$9:$AF$22,MATCH(K$7,$AD$9:$AD$22,0),2))&lt;&gt;"",INDEX(BDHKI,MATCH($A10,DiemHKI!$B$4:$B$58,0),INDEX($AD$9:$AF$22,MATCH(K$7,$AD$9:$AD$22,0),3)),""),"")</f>
        <v>9.8000000000000007</v>
      </c>
      <c r="L10" s="286">
        <f>IF($A10&lt;&gt;"",IF(INDEX(BDHKI,MATCH($A10,DiemHKI!$B$4:$B$58,0),INDEX($AD$9:$AF$22,MATCH(L$7,$AD$9:$AD$22,0),2))&lt;&gt;"",INDEX(BDHKI,MATCH($A10,DiemHKI!$B$4:$B$58,0),INDEX($AD$9:$AF$22,MATCH(L$7,$AD$9:$AD$22,0),3)),""),"")</f>
        <v>7.1</v>
      </c>
      <c r="M10" s="286">
        <f>IF($A10&lt;&gt;"",IF(INDEX(BDHKI,MATCH($A10,DiemHKI!$B$4:$B$58,0),INDEX($AD$9:$AF$22,MATCH(M$7,$AD$9:$AD$22,0),2))&lt;&gt;"",INDEX(BDHKI,MATCH($A10,DiemHKI!$B$4:$B$58,0),INDEX($AD$9:$AF$22,MATCH(M$7,$AD$9:$AD$22,0),3)),""),"")</f>
        <v>9.4</v>
      </c>
      <c r="N10" s="286">
        <f>IF($A10&lt;&gt;"",IF(INDEX(BDHKI,MATCH($A10,DiemHKI!$B$4:$B$58,0),INDEX($AD$9:$AF$22,MATCH(N$7,$AD$9:$AD$22,0),2))&lt;&gt;"",INDEX(BDHKI,MATCH($A10,DiemHKI!$B$4:$B$58,0),INDEX($AD$9:$AF$22,MATCH(N$7,$AD$9:$AD$22,0),3)),""),"")</f>
        <v>9.6</v>
      </c>
      <c r="O10" s="286">
        <f>IF($A10&lt;&gt;"",IF(INDEX(BDHKI,MATCH($A10,DiemHKI!$B$4:$B$58,0),INDEX($AD$9:$AF$22,MATCH(O$7,$AD$9:$AD$22,0),2))&lt;&gt;"",INDEX(BDHKI,MATCH($A10,DiemHKI!$B$4:$B$58,0),INDEX($AD$9:$AF$22,MATCH(O$7,$AD$9:$AD$22,0),3)),""),"")</f>
        <v>8.1999999999999993</v>
      </c>
      <c r="P10" s="286">
        <f>IF($A10&lt;&gt;"",IF(INDEX(BDHKI,MATCH($A10,DiemHKI!$B$4:$B$58,0),INDEX($AD$9:$AF$22,MATCH(P$7,$AD$9:$AD$22,0),2))&lt;&gt;"",INDEX(BDHKI,MATCH($A10,DiemHKI!$B$4:$B$58,0),INDEX($AD$9:$AF$22,MATCH(P$7,$AD$9:$AD$22,0),3)),""),"")</f>
        <v>8.8000000000000007</v>
      </c>
      <c r="Q10" s="286">
        <f>IF($A10&lt;&gt;"",IF(INDEX(BDHKI,MATCH($A10,DiemHKI!$B$4:$B$58,0),INDEX($AD$9:$AF$22,MATCH(Q$7,$AD$9:$AD$22,0),2))&lt;&gt;"",INDEX(BDHKI,MATCH($A10,DiemHKI!$B$4:$B$58,0),INDEX($AD$9:$AF$22,MATCH(Q$7,$AD$9:$AD$22,0),3)),""),"")</f>
        <v>9.5</v>
      </c>
      <c r="R10" s="464" t="str">
        <f>IF($A10&lt;&gt;"",IF(INDEX(BDHKI,MATCH($A10,DiemHKI!$B$4:$B$58,0),INDEX($AD$9:$AF$22,MATCH(R$7,$AD$9:$AD$22,0),2))&lt;&gt;"",INDEX(BDHKI,MATCH($A10,DiemHKI!$B$4:$B$58,0),INDEX($AD$9:$AF$22,MATCH(R$7,$AD$9:$AD$22,0),3)),""),"")</f>
        <v>Đ</v>
      </c>
      <c r="S10" s="464">
        <f t="shared" si="0"/>
        <v>8</v>
      </c>
      <c r="T10" s="286">
        <f>IF($A10&lt;&gt;"",IF(INDEX(BDHKI,MATCH($A10,DiemHKI!$B$4:$B$58,0),INDEX($AD$9:$AF$22,MATCH(T$7,$AD$9:$AD$22,0),2))&lt;&gt;"",INDEX(BDHKI,MATCH($A10,DiemHKI!$B$4:$B$58,0),INDEX($AD$9:$AF$22,MATCH(T$7,$AD$9:$AD$22,0),3)),""),"")</f>
        <v>9.4</v>
      </c>
      <c r="U10" s="287" t="str">
        <f>IF($A10&lt;&gt;"",IF(INDEX(BDHKI,MATCH($A10,DiemHKI!$B$4:$B$58,0),INDEX($AD$9:$AF$22,MATCH(U$7,$AD$9:$AD$22,0),2))&lt;&gt;"",INDEX(BDHKI,MATCH($A10,DiemHKI!$B$4:$B$58,0),INDEX($AD$9:$AF$22,MATCH(U$7,$AD$9:$AD$22,0),3)),""),"")</f>
        <v/>
      </c>
      <c r="V10" s="288">
        <f t="shared" si="1"/>
        <v>9.1</v>
      </c>
      <c r="W10" s="464" t="str">
        <f t="shared" si="2"/>
        <v>Giỏi</v>
      </c>
      <c r="X10" s="353" t="s">
        <v>38</v>
      </c>
      <c r="Y10" s="289" t="str">
        <f t="shared" si="3"/>
        <v>HSG</v>
      </c>
      <c r="Z10" s="1"/>
      <c r="AA10" s="644">
        <f t="shared" si="4"/>
        <v>35</v>
      </c>
      <c r="AB10" s="1"/>
      <c r="AC10" s="268" t="s">
        <v>12</v>
      </c>
      <c r="AD10" s="268" t="s">
        <v>27</v>
      </c>
      <c r="AE10" s="268">
        <v>22</v>
      </c>
      <c r="AF10" s="268">
        <v>23</v>
      </c>
      <c r="AG10" s="268" t="str">
        <f>IF($A10&lt;&gt;"",INDEX(DiemHKI!$DI$4:$DI$58,MATCH($A10,DiemHKI!$B$4:$B$58,0),1),"")</f>
        <v>12A1Lê TuấnAnh20/10/2004</v>
      </c>
      <c r="AH10" s="674" t="str">
        <f t="shared" si="5"/>
        <v/>
      </c>
      <c r="AI10" s="672" t="str">
        <f t="shared" ca="1" si="6"/>
        <v/>
      </c>
      <c r="AJ10" s="673"/>
    </row>
    <row r="11" spans="1:36" s="268" customFormat="1" ht="29.1" customHeight="1">
      <c r="A11" s="281">
        <f>IF(A10&lt;MAX(DiemHKI!$B$4:$B$58),A10+1,"")</f>
        <v>4</v>
      </c>
      <c r="B11" s="32" t="str">
        <f>IF($A11&lt;&gt;"",PROPER(INDEX(DiemHKI!$B$4:$CP$58,MATCH($A11,DiemHKI!$B$4:$B$58,0),3)),"")</f>
        <v>Nguyễn Quách Mai</v>
      </c>
      <c r="C11" s="33" t="str">
        <f>IF($A11&lt;&gt;"",PROPER(INDEX(DiemHKI!$B$4:$CP$58,MATCH($A11,DiemHKI!$B$4:$B$58,0),4)),"")</f>
        <v>Anh</v>
      </c>
      <c r="D11" s="284" t="str">
        <f>IF($A11&lt;&gt;"",IF(INDEX(DiemHKI!$B$4:$CP$58,MATCH($A11,DiemHKI!$B$4:$B$58,0),7)&lt;&gt;"",INDEX(DiemHKI!$B$4:$CP$58,MATCH($A11,DiemHKI!$B$4:$B$58,0),7),""),"")</f>
        <v>x</v>
      </c>
      <c r="E11" s="284" t="str">
        <f>IF($A11&lt;&gt;"",IF(INDEX(DiemHKI!$B$4:$CP$58,MATCH($A11,DiemHKI!$B$4:$B$58,0),8)&lt;&gt;"",INDEX(DiemHKI!$B$4:$CP$58,MATCH($A11,DiemHKI!$B$4:$B$58,0),8),""),"")</f>
        <v/>
      </c>
      <c r="F11" s="284" t="str">
        <f>IF($A11&lt;&gt;"",IF(INDEX(DiemHKI!$B$4:$CP$58,MATCH($A11,DiemHKI!$B$4:$B$58,0),9)&lt;&gt;"",INDEX(DiemHKI!$B$4:$CP$58,MATCH($A11,DiemHKI!$B$4:$B$58,0),9),""),"")</f>
        <v/>
      </c>
      <c r="G11" s="285">
        <f>IF($A11&lt;&gt;"",IF(INDEX(BDHKI,MATCH($A11,DiemHKI!$B$4:$B$58,0),INDEX($AD$9:$AF$22,MATCH(G$7,$AD$9:$AD$22,0),2))&lt;&gt;"",INDEX(BDHKI,MATCH($A11,DiemHKI!$B$4:$B$58,0),INDEX($AD$9:$AF$22,MATCH(G$7,$AD$9:$AD$22,0),3)),""),"")</f>
        <v>9.8000000000000007</v>
      </c>
      <c r="H11" s="286">
        <f>IF($A11&lt;&gt;"",IF(INDEX(BDHKI,MATCH($A11,DiemHKI!$B$4:$B$58,0),INDEX($AD$9:$AF$22,MATCH(H$7,$AD$9:$AD$22,0),2))&lt;&gt;"",INDEX(BDHKI,MATCH($A11,DiemHKI!$B$4:$B$58,0),INDEX($AD$9:$AF$22,MATCH(H$7,$AD$9:$AD$22,0),3)),""),"")</f>
        <v>9.6999999999999993</v>
      </c>
      <c r="I11" s="286">
        <f>IF($A11&lt;&gt;"",IF(INDEX(BDHKI,MATCH($A11,DiemHKI!$B$4:$B$58,0),INDEX($AD$9:$AF$22,MATCH(I$7,$AD$9:$AD$22,0),2))&lt;&gt;"",INDEX(BDHKI,MATCH($A11,DiemHKI!$B$4:$B$58,0),INDEX($AD$9:$AF$22,MATCH(I$7,$AD$9:$AD$22,0),3)),""),"")</f>
        <v>9.3000000000000007</v>
      </c>
      <c r="J11" s="286">
        <f>IF($A11&lt;&gt;"",IF(INDEX(BDHKI,MATCH($A11,DiemHKI!$B$4:$B$58,0),INDEX($AD$9:$AF$22,MATCH(J$7,$AD$9:$AD$22,0),2))&lt;&gt;"",INDEX(BDHKI,MATCH($A11,DiemHKI!$B$4:$B$58,0),INDEX($AD$9:$AF$22,MATCH(J$7,$AD$9:$AD$22,0),3)),""),"")</f>
        <v>9.1999999999999993</v>
      </c>
      <c r="K11" s="286">
        <f>IF($A11&lt;&gt;"",IF(INDEX(BDHKI,MATCH($A11,DiemHKI!$B$4:$B$58,0),INDEX($AD$9:$AF$22,MATCH(K$7,$AD$9:$AD$22,0),2))&lt;&gt;"",INDEX(BDHKI,MATCH($A11,DiemHKI!$B$4:$B$58,0),INDEX($AD$9:$AF$22,MATCH(K$7,$AD$9:$AD$22,0),3)),""),"")</f>
        <v>9.8000000000000007</v>
      </c>
      <c r="L11" s="286">
        <f>IF($A11&lt;&gt;"",IF(INDEX(BDHKI,MATCH($A11,DiemHKI!$B$4:$B$58,0),INDEX($AD$9:$AF$22,MATCH(L$7,$AD$9:$AD$22,0),2))&lt;&gt;"",INDEX(BDHKI,MATCH($A11,DiemHKI!$B$4:$B$58,0),INDEX($AD$9:$AF$22,MATCH(L$7,$AD$9:$AD$22,0),3)),""),"")</f>
        <v>7.4</v>
      </c>
      <c r="M11" s="286">
        <f>IF($A11&lt;&gt;"",IF(INDEX(BDHKI,MATCH($A11,DiemHKI!$B$4:$B$58,0),INDEX($AD$9:$AF$22,MATCH(M$7,$AD$9:$AD$22,0),2))&lt;&gt;"",INDEX(BDHKI,MATCH($A11,DiemHKI!$B$4:$B$58,0),INDEX($AD$9:$AF$22,MATCH(M$7,$AD$9:$AD$22,0),3)),""),"")</f>
        <v>9.8000000000000007</v>
      </c>
      <c r="N11" s="286">
        <f>IF($A11&lt;&gt;"",IF(INDEX(BDHKI,MATCH($A11,DiemHKI!$B$4:$B$58,0),INDEX($AD$9:$AF$22,MATCH(N$7,$AD$9:$AD$22,0),2))&lt;&gt;"",INDEX(BDHKI,MATCH($A11,DiemHKI!$B$4:$B$58,0),INDEX($AD$9:$AF$22,MATCH(N$7,$AD$9:$AD$22,0),3)),""),"")</f>
        <v>9.9</v>
      </c>
      <c r="O11" s="286">
        <f>IF($A11&lt;&gt;"",IF(INDEX(BDHKI,MATCH($A11,DiemHKI!$B$4:$B$58,0),INDEX($AD$9:$AF$22,MATCH(O$7,$AD$9:$AD$22,0),2))&lt;&gt;"",INDEX(BDHKI,MATCH($A11,DiemHKI!$B$4:$B$58,0),INDEX($AD$9:$AF$22,MATCH(O$7,$AD$9:$AD$22,0),3)),""),"")</f>
        <v>8</v>
      </c>
      <c r="P11" s="286">
        <f>IF($A11&lt;&gt;"",IF(INDEX(BDHKI,MATCH($A11,DiemHKI!$B$4:$B$58,0),INDEX($AD$9:$AF$22,MATCH(P$7,$AD$9:$AD$22,0),2))&lt;&gt;"",INDEX(BDHKI,MATCH($A11,DiemHKI!$B$4:$B$58,0),INDEX($AD$9:$AF$22,MATCH(P$7,$AD$9:$AD$22,0),3)),""),"")</f>
        <v>9.5</v>
      </c>
      <c r="Q11" s="286">
        <f>IF($A11&lt;&gt;"",IF(INDEX(BDHKI,MATCH($A11,DiemHKI!$B$4:$B$58,0),INDEX($AD$9:$AF$22,MATCH(Q$7,$AD$9:$AD$22,0),2))&lt;&gt;"",INDEX(BDHKI,MATCH($A11,DiemHKI!$B$4:$B$58,0),INDEX($AD$9:$AF$22,MATCH(Q$7,$AD$9:$AD$22,0),3)),""),"")</f>
        <v>9.9</v>
      </c>
      <c r="R11" s="464" t="str">
        <f>IF($A11&lt;&gt;"",IF(INDEX(BDHKI,MATCH($A11,DiemHKI!$B$4:$B$58,0),INDEX($AD$9:$AF$22,MATCH(R$7,$AD$9:$AD$22,0),2))&lt;&gt;"",INDEX(BDHKI,MATCH($A11,DiemHKI!$B$4:$B$58,0),INDEX($AD$9:$AF$22,MATCH(R$7,$AD$9:$AD$22,0),3)),""),"")</f>
        <v>Đ</v>
      </c>
      <c r="S11" s="464">
        <f t="shared" si="0"/>
        <v>8</v>
      </c>
      <c r="T11" s="286">
        <f>IF($A11&lt;&gt;"",IF(INDEX(BDHKI,MATCH($A11,DiemHKI!$B$4:$B$58,0),INDEX($AD$9:$AF$22,MATCH(T$7,$AD$9:$AD$22,0),2))&lt;&gt;"",INDEX(BDHKI,MATCH($A11,DiemHKI!$B$4:$B$58,0),INDEX($AD$9:$AF$22,MATCH(T$7,$AD$9:$AD$22,0),3)),""),"")</f>
        <v>9.9</v>
      </c>
      <c r="U11" s="287" t="str">
        <f>IF($A11&lt;&gt;"",IF(INDEX(BDHKI,MATCH($A11,DiemHKI!$B$4:$B$58,0),INDEX($AD$9:$AF$22,MATCH(U$7,$AD$9:$AD$22,0),2))&lt;&gt;"",INDEX(BDHKI,MATCH($A11,DiemHKI!$B$4:$B$58,0),INDEX($AD$9:$AF$22,MATCH(U$7,$AD$9:$AD$22,0),3)),""),"")</f>
        <v/>
      </c>
      <c r="V11" s="288">
        <f t="shared" si="1"/>
        <v>9.4</v>
      </c>
      <c r="W11" s="464" t="str">
        <f t="shared" si="2"/>
        <v>Giỏi</v>
      </c>
      <c r="X11" s="353" t="s">
        <v>38</v>
      </c>
      <c r="Y11" s="289" t="str">
        <f t="shared" si="3"/>
        <v>HSG</v>
      </c>
      <c r="Z11" s="1"/>
      <c r="AA11" s="644">
        <f t="shared" si="4"/>
        <v>10</v>
      </c>
      <c r="AB11" s="1"/>
      <c r="AC11" s="268" t="s">
        <v>39</v>
      </c>
      <c r="AD11" s="268" t="s">
        <v>28</v>
      </c>
      <c r="AE11" s="268">
        <v>29</v>
      </c>
      <c r="AF11" s="268">
        <v>30</v>
      </c>
      <c r="AG11" s="268" t="str">
        <f>IF($A11&lt;&gt;"",INDEX(DiemHKI!$DI$4:$DI$58,MATCH($A11,DiemHKI!$B$4:$B$58,0),1),"")</f>
        <v>12A1Nguyễn Quách MaiAnh12/05/2004</v>
      </c>
      <c r="AH11" s="674" t="str">
        <f t="shared" si="5"/>
        <v/>
      </c>
      <c r="AI11" s="672" t="str">
        <f t="shared" ca="1" si="6"/>
        <v/>
      </c>
      <c r="AJ11" s="673"/>
    </row>
    <row r="12" spans="1:36" s="268" customFormat="1" ht="29.1" customHeight="1" thickBot="1">
      <c r="A12" s="290">
        <f>IF(A11&lt;MAX(DiemHKI!$B$4:$B$58),A11+1,"")</f>
        <v>5</v>
      </c>
      <c r="B12" s="44" t="str">
        <f>IF($A12&lt;&gt;"",PROPER(INDEX(DiemHKI!$B$4:$CP$58,MATCH($A12,DiemHKI!$B$4:$B$58,0),3)),"")</f>
        <v>Vũ Song</v>
      </c>
      <c r="C12" s="45" t="str">
        <f>IF($A12&lt;&gt;"",PROPER(INDEX(DiemHKI!$B$4:$CP$58,MATCH($A12,DiemHKI!$B$4:$B$58,0),4)),"")</f>
        <v>Anh</v>
      </c>
      <c r="D12" s="293" t="str">
        <f>IF($A12&lt;&gt;"",IF(INDEX(DiemHKI!$B$4:$CP$58,MATCH($A12,DiemHKI!$B$4:$B$58,0),7)&lt;&gt;"",INDEX(DiemHKI!$B$4:$CP$58,MATCH($A12,DiemHKI!$B$4:$B$58,0),7),""),"")</f>
        <v>x</v>
      </c>
      <c r="E12" s="293" t="str">
        <f>IF($A12&lt;&gt;"",IF(INDEX(DiemHKI!$B$4:$CP$58,MATCH($A12,DiemHKI!$B$4:$B$58,0),8)&lt;&gt;"",INDEX(DiemHKI!$B$4:$CP$58,MATCH($A12,DiemHKI!$B$4:$B$58,0),8),""),"")</f>
        <v/>
      </c>
      <c r="F12" s="293" t="str">
        <f>IF($A12&lt;&gt;"",IF(INDEX(DiemHKI!$B$4:$CP$58,MATCH($A12,DiemHKI!$B$4:$B$58,0),9)&lt;&gt;"",INDEX(DiemHKI!$B$4:$CP$58,MATCH($A12,DiemHKI!$B$4:$B$58,0),9),""),"")</f>
        <v/>
      </c>
      <c r="G12" s="294">
        <f>IF($A12&lt;&gt;"",IF(INDEX(BDHKI,MATCH($A12,DiemHKI!$B$4:$B$58,0),INDEX($AD$9:$AF$22,MATCH(G$7,$AD$9:$AD$22,0),2))&lt;&gt;"",INDEX(BDHKI,MATCH($A12,DiemHKI!$B$4:$B$58,0),INDEX($AD$9:$AF$22,MATCH(G$7,$AD$9:$AD$22,0),3)),""),"")</f>
        <v>9.6</v>
      </c>
      <c r="H12" s="295">
        <f>IF($A12&lt;&gt;"",IF(INDEX(BDHKI,MATCH($A12,DiemHKI!$B$4:$B$58,0),INDEX($AD$9:$AF$22,MATCH(H$7,$AD$9:$AD$22,0),2))&lt;&gt;"",INDEX(BDHKI,MATCH($A12,DiemHKI!$B$4:$B$58,0),INDEX($AD$9:$AF$22,MATCH(H$7,$AD$9:$AD$22,0),3)),""),"")</f>
        <v>9.6</v>
      </c>
      <c r="I12" s="295">
        <f>IF($A12&lt;&gt;"",IF(INDEX(BDHKI,MATCH($A12,DiemHKI!$B$4:$B$58,0),INDEX($AD$9:$AF$22,MATCH(I$7,$AD$9:$AD$22,0),2))&lt;&gt;"",INDEX(BDHKI,MATCH($A12,DiemHKI!$B$4:$B$58,0),INDEX($AD$9:$AF$22,MATCH(I$7,$AD$9:$AD$22,0),3)),""),"")</f>
        <v>9.3000000000000007</v>
      </c>
      <c r="J12" s="295">
        <f>IF($A12&lt;&gt;"",IF(INDEX(BDHKI,MATCH($A12,DiemHKI!$B$4:$B$58,0),INDEX($AD$9:$AF$22,MATCH(J$7,$AD$9:$AD$22,0),2))&lt;&gt;"",INDEX(BDHKI,MATCH($A12,DiemHKI!$B$4:$B$58,0),INDEX($AD$9:$AF$22,MATCH(J$7,$AD$9:$AD$22,0),3)),""),"")</f>
        <v>9</v>
      </c>
      <c r="K12" s="295">
        <f>IF($A12&lt;&gt;"",IF(INDEX(BDHKI,MATCH($A12,DiemHKI!$B$4:$B$58,0),INDEX($AD$9:$AF$22,MATCH(K$7,$AD$9:$AD$22,0),2))&lt;&gt;"",INDEX(BDHKI,MATCH($A12,DiemHKI!$B$4:$B$58,0),INDEX($AD$9:$AF$22,MATCH(K$7,$AD$9:$AD$22,0),3)),""),"")</f>
        <v>9.6</v>
      </c>
      <c r="L12" s="295">
        <f>IF($A12&lt;&gt;"",IF(INDEX(BDHKI,MATCH($A12,DiemHKI!$B$4:$B$58,0),INDEX($AD$9:$AF$22,MATCH(L$7,$AD$9:$AD$22,0),2))&lt;&gt;"",INDEX(BDHKI,MATCH($A12,DiemHKI!$B$4:$B$58,0),INDEX($AD$9:$AF$22,MATCH(L$7,$AD$9:$AD$22,0),3)),""),"")</f>
        <v>7.2</v>
      </c>
      <c r="M12" s="295">
        <f>IF($A12&lt;&gt;"",IF(INDEX(BDHKI,MATCH($A12,DiemHKI!$B$4:$B$58,0),INDEX($AD$9:$AF$22,MATCH(M$7,$AD$9:$AD$22,0),2))&lt;&gt;"",INDEX(BDHKI,MATCH($A12,DiemHKI!$B$4:$B$58,0),INDEX($AD$9:$AF$22,MATCH(M$7,$AD$9:$AD$22,0),3)),""),"")</f>
        <v>9.6</v>
      </c>
      <c r="N12" s="295">
        <f>IF($A12&lt;&gt;"",IF(INDEX(BDHKI,MATCH($A12,DiemHKI!$B$4:$B$58,0),INDEX($AD$9:$AF$22,MATCH(N$7,$AD$9:$AD$22,0),2))&lt;&gt;"",INDEX(BDHKI,MATCH($A12,DiemHKI!$B$4:$B$58,0),INDEX($AD$9:$AF$22,MATCH(N$7,$AD$9:$AD$22,0),3)),""),"")</f>
        <v>9.9</v>
      </c>
      <c r="O12" s="295">
        <f>IF($A12&lt;&gt;"",IF(INDEX(BDHKI,MATCH($A12,DiemHKI!$B$4:$B$58,0),INDEX($AD$9:$AF$22,MATCH(O$7,$AD$9:$AD$22,0),2))&lt;&gt;"",INDEX(BDHKI,MATCH($A12,DiemHKI!$B$4:$B$58,0),INDEX($AD$9:$AF$22,MATCH(O$7,$AD$9:$AD$22,0),3)),""),"")</f>
        <v>8.8000000000000007</v>
      </c>
      <c r="P12" s="295">
        <f>IF($A12&lt;&gt;"",IF(INDEX(BDHKI,MATCH($A12,DiemHKI!$B$4:$B$58,0),INDEX($AD$9:$AF$22,MATCH(P$7,$AD$9:$AD$22,0),2))&lt;&gt;"",INDEX(BDHKI,MATCH($A12,DiemHKI!$B$4:$B$58,0),INDEX($AD$9:$AF$22,MATCH(P$7,$AD$9:$AD$22,0),3)),""),"")</f>
        <v>9.4</v>
      </c>
      <c r="Q12" s="295">
        <f>IF($A12&lt;&gt;"",IF(INDEX(BDHKI,MATCH($A12,DiemHKI!$B$4:$B$58,0),INDEX($AD$9:$AF$22,MATCH(Q$7,$AD$9:$AD$22,0),2))&lt;&gt;"",INDEX(BDHKI,MATCH($A12,DiemHKI!$B$4:$B$58,0),INDEX($AD$9:$AF$22,MATCH(Q$7,$AD$9:$AD$22,0),3)),""),"")</f>
        <v>9.9</v>
      </c>
      <c r="R12" s="296" t="str">
        <f>IF($A12&lt;&gt;"",IF(INDEX(BDHKI,MATCH($A12,DiemHKI!$B$4:$B$58,0),INDEX($AD$9:$AF$22,MATCH(R$7,$AD$9:$AD$22,0),2))&lt;&gt;"",INDEX(BDHKI,MATCH($A12,DiemHKI!$B$4:$B$58,0),INDEX($AD$9:$AF$22,MATCH(R$7,$AD$9:$AD$22,0),3)),""),"")</f>
        <v>Đ</v>
      </c>
      <c r="S12" s="296">
        <f t="shared" si="0"/>
        <v>8</v>
      </c>
      <c r="T12" s="295">
        <f>IF($A12&lt;&gt;"",IF(INDEX(BDHKI,MATCH($A12,DiemHKI!$B$4:$B$58,0),INDEX($AD$9:$AF$22,MATCH(T$7,$AD$9:$AD$22,0),2))&lt;&gt;"",INDEX(BDHKI,MATCH($A12,DiemHKI!$B$4:$B$58,0),INDEX($AD$9:$AF$22,MATCH(T$7,$AD$9:$AD$22,0),3)),""),"")</f>
        <v>9.9</v>
      </c>
      <c r="U12" s="297" t="str">
        <f>IF($A12&lt;&gt;"",IF(INDEX(BDHKI,MATCH($A12,DiemHKI!$B$4:$B$58,0),INDEX($AD$9:$AF$22,MATCH(U$7,$AD$9:$AD$22,0),2))&lt;&gt;"",INDEX(BDHKI,MATCH($A12,DiemHKI!$B$4:$B$58,0),INDEX($AD$9:$AF$22,MATCH(U$7,$AD$9:$AD$22,0),3)),""),"")</f>
        <v/>
      </c>
      <c r="V12" s="298">
        <f t="shared" si="1"/>
        <v>9.3000000000000007</v>
      </c>
      <c r="W12" s="296" t="str">
        <f t="shared" si="2"/>
        <v>Giỏi</v>
      </c>
      <c r="X12" s="354" t="s">
        <v>38</v>
      </c>
      <c r="Y12" s="299" t="str">
        <f t="shared" si="3"/>
        <v>HSG</v>
      </c>
      <c r="Z12" s="1"/>
      <c r="AA12" s="644">
        <f t="shared" si="4"/>
        <v>18</v>
      </c>
      <c r="AB12" s="1"/>
      <c r="AC12" s="268" t="s">
        <v>14</v>
      </c>
      <c r="AD12" s="268" t="s">
        <v>29</v>
      </c>
      <c r="AE12" s="268">
        <v>36</v>
      </c>
      <c r="AF12" s="268">
        <v>37</v>
      </c>
      <c r="AG12" s="268" t="str">
        <f>IF($A12&lt;&gt;"",INDEX(DiemHKI!$DI$4:$DI$58,MATCH($A12,DiemHKI!$B$4:$B$58,0),1),"")</f>
        <v>12A1Vũ SongAnh20/04/2004</v>
      </c>
      <c r="AH12" s="675" t="str">
        <f t="shared" si="5"/>
        <v/>
      </c>
      <c r="AI12" s="676" t="str">
        <f t="shared" ca="1" si="6"/>
        <v/>
      </c>
      <c r="AJ12" s="673"/>
    </row>
    <row r="13" spans="1:36" s="268" customFormat="1" ht="29.1" customHeight="1">
      <c r="A13" s="274">
        <f>IF(A12&lt;MAX(DiemHKI!$B$4:$B$58),A12+1,"")</f>
        <v>6</v>
      </c>
      <c r="B13" s="17" t="str">
        <f>IF($A13&lt;&gt;"",PROPER(INDEX(DiemHKI!$B$4:$CP$58,MATCH($A13,DiemHKI!$B$4:$B$58,0),3)),"")</f>
        <v>Phan Gia</v>
      </c>
      <c r="C13" s="18" t="str">
        <f>IF($A13&lt;&gt;"",PROPER(INDEX(DiemHKI!$B$4:$CP$58,MATCH($A13,DiemHKI!$B$4:$B$58,0),4)),"")</f>
        <v>Bảo</v>
      </c>
      <c r="D13" s="277" t="str">
        <f>IF($A13&lt;&gt;"",IF(INDEX(DiemHKI!$B$4:$CP$58,MATCH($A13,DiemHKI!$B$4:$B$58,0),7)&lt;&gt;"",INDEX(DiemHKI!$B$4:$CP$58,MATCH($A13,DiemHKI!$B$4:$B$58,0),7),""),"")</f>
        <v/>
      </c>
      <c r="E13" s="277" t="str">
        <f>IF($A13&lt;&gt;"",IF(INDEX(DiemHKI!$B$4:$CP$58,MATCH($A13,DiemHKI!$B$4:$B$58,0),8)&lt;&gt;"",INDEX(DiemHKI!$B$4:$CP$58,MATCH($A13,DiemHKI!$B$4:$B$58,0),8),""),"")</f>
        <v/>
      </c>
      <c r="F13" s="277" t="str">
        <f>IF($A13&lt;&gt;"",IF(INDEX(DiemHKI!$B$4:$CP$58,MATCH($A13,DiemHKI!$B$4:$B$58,0),9)&lt;&gt;"",INDEX(DiemHKI!$B$4:$CP$58,MATCH($A13,DiemHKI!$B$4:$B$58,0),9),""),"")</f>
        <v/>
      </c>
      <c r="G13" s="300">
        <f>IF($A13&lt;&gt;"",IF(INDEX(BDHKI,MATCH($A13,DiemHKI!$B$4:$B$58,0),INDEX($AD$9:$AF$22,MATCH(G$7,$AD$9:$AD$22,0),2))&lt;&gt;"",INDEX(BDHKI,MATCH($A13,DiemHKI!$B$4:$B$58,0),INDEX($AD$9:$AF$22,MATCH(G$7,$AD$9:$AD$22,0),3)),""),"")</f>
        <v>9.5</v>
      </c>
      <c r="H13" s="301">
        <f>IF($A13&lt;&gt;"",IF(INDEX(BDHKI,MATCH($A13,DiemHKI!$B$4:$B$58,0),INDEX($AD$9:$AF$22,MATCH(H$7,$AD$9:$AD$22,0),2))&lt;&gt;"",INDEX(BDHKI,MATCH($A13,DiemHKI!$B$4:$B$58,0),INDEX($AD$9:$AF$22,MATCH(H$7,$AD$9:$AD$22,0),3)),""),"")</f>
        <v>9.4</v>
      </c>
      <c r="I13" s="301">
        <f>IF($A13&lt;&gt;"",IF(INDEX(BDHKI,MATCH($A13,DiemHKI!$B$4:$B$58,0),INDEX($AD$9:$AF$22,MATCH(I$7,$AD$9:$AD$22,0),2))&lt;&gt;"",INDEX(BDHKI,MATCH($A13,DiemHKI!$B$4:$B$58,0),INDEX($AD$9:$AF$22,MATCH(I$7,$AD$9:$AD$22,0),3)),""),"")</f>
        <v>9</v>
      </c>
      <c r="J13" s="301">
        <f>IF($A13&lt;&gt;"",IF(INDEX(BDHKI,MATCH($A13,DiemHKI!$B$4:$B$58,0),INDEX($AD$9:$AF$22,MATCH(J$7,$AD$9:$AD$22,0),2))&lt;&gt;"",INDEX(BDHKI,MATCH($A13,DiemHKI!$B$4:$B$58,0),INDEX($AD$9:$AF$22,MATCH(J$7,$AD$9:$AD$22,0),3)),""),"")</f>
        <v>8.8000000000000007</v>
      </c>
      <c r="K13" s="301">
        <f>IF($A13&lt;&gt;"",IF(INDEX(BDHKI,MATCH($A13,DiemHKI!$B$4:$B$58,0),INDEX($AD$9:$AF$22,MATCH(K$7,$AD$9:$AD$22,0),2))&lt;&gt;"",INDEX(BDHKI,MATCH($A13,DiemHKI!$B$4:$B$58,0),INDEX($AD$9:$AF$22,MATCH(K$7,$AD$9:$AD$22,0),3)),""),"")</f>
        <v>9.6</v>
      </c>
      <c r="L13" s="301">
        <f>IF($A13&lt;&gt;"",IF(INDEX(BDHKI,MATCH($A13,DiemHKI!$B$4:$B$58,0),INDEX($AD$9:$AF$22,MATCH(L$7,$AD$9:$AD$22,0),2))&lt;&gt;"",INDEX(BDHKI,MATCH($A13,DiemHKI!$B$4:$B$58,0),INDEX($AD$9:$AF$22,MATCH(L$7,$AD$9:$AD$22,0),3)),""),"")</f>
        <v>7.2</v>
      </c>
      <c r="M13" s="301">
        <f>IF($A13&lt;&gt;"",IF(INDEX(BDHKI,MATCH($A13,DiemHKI!$B$4:$B$58,0),INDEX($AD$9:$AF$22,MATCH(M$7,$AD$9:$AD$22,0),2))&lt;&gt;"",INDEX(BDHKI,MATCH($A13,DiemHKI!$B$4:$B$58,0),INDEX($AD$9:$AF$22,MATCH(M$7,$AD$9:$AD$22,0),3)),""),"")</f>
        <v>9.8000000000000007</v>
      </c>
      <c r="N13" s="301">
        <f>IF($A13&lt;&gt;"",IF(INDEX(BDHKI,MATCH($A13,DiemHKI!$B$4:$B$58,0),INDEX($AD$9:$AF$22,MATCH(N$7,$AD$9:$AD$22,0),2))&lt;&gt;"",INDEX(BDHKI,MATCH($A13,DiemHKI!$B$4:$B$58,0),INDEX($AD$9:$AF$22,MATCH(N$7,$AD$9:$AD$22,0),3)),""),"")</f>
        <v>9.9</v>
      </c>
      <c r="O13" s="301">
        <f>IF($A13&lt;&gt;"",IF(INDEX(BDHKI,MATCH($A13,DiemHKI!$B$4:$B$58,0),INDEX($AD$9:$AF$22,MATCH(O$7,$AD$9:$AD$22,0),2))&lt;&gt;"",INDEX(BDHKI,MATCH($A13,DiemHKI!$B$4:$B$58,0),INDEX($AD$9:$AF$22,MATCH(O$7,$AD$9:$AD$22,0),3)),""),"")</f>
        <v>9.6999999999999993</v>
      </c>
      <c r="P13" s="301">
        <f>IF($A13&lt;&gt;"",IF(INDEX(BDHKI,MATCH($A13,DiemHKI!$B$4:$B$58,0),INDEX($AD$9:$AF$22,MATCH(P$7,$AD$9:$AD$22,0),2))&lt;&gt;"",INDEX(BDHKI,MATCH($A13,DiemHKI!$B$4:$B$58,0),INDEX($AD$9:$AF$22,MATCH(P$7,$AD$9:$AD$22,0),3)),""),"")</f>
        <v>9.8000000000000007</v>
      </c>
      <c r="Q13" s="301">
        <f>IF($A13&lt;&gt;"",IF(INDEX(BDHKI,MATCH($A13,DiemHKI!$B$4:$B$58,0),INDEX($AD$9:$AF$22,MATCH(Q$7,$AD$9:$AD$22,0),2))&lt;&gt;"",INDEX(BDHKI,MATCH($A13,DiemHKI!$B$4:$B$58,0),INDEX($AD$9:$AF$22,MATCH(Q$7,$AD$9:$AD$22,0),3)),""),"")</f>
        <v>9.9</v>
      </c>
      <c r="R13" s="279" t="str">
        <f>IF($A13&lt;&gt;"",IF(INDEX(BDHKI,MATCH($A13,DiemHKI!$B$4:$B$58,0),INDEX($AD$9:$AF$22,MATCH(R$7,$AD$9:$AD$22,0),2))&lt;&gt;"",INDEX(BDHKI,MATCH($A13,DiemHKI!$B$4:$B$58,0),INDEX($AD$9:$AF$22,MATCH(R$7,$AD$9:$AD$22,0),3)),""),"")</f>
        <v>Đ</v>
      </c>
      <c r="S13" s="659">
        <f>IF(R13&lt;&gt;"",IF(R13="CĐ",3.4,8),"")</f>
        <v>8</v>
      </c>
      <c r="T13" s="301">
        <f>IF($A13&lt;&gt;"",IF(INDEX(BDHKI,MATCH($A13,DiemHKI!$B$4:$B$58,0),INDEX($AD$9:$AF$22,MATCH(T$7,$AD$9:$AD$22,0),2))&lt;&gt;"",INDEX(BDHKI,MATCH($A13,DiemHKI!$B$4:$B$58,0),INDEX($AD$9:$AF$22,MATCH(T$7,$AD$9:$AD$22,0),3)),""),"")</f>
        <v>9.9</v>
      </c>
      <c r="U13" s="302" t="str">
        <f>IF($A13&lt;&gt;"",IF(INDEX(BDHKI,MATCH($A13,DiemHKI!$B$4:$B$58,0),INDEX($AD$9:$AF$22,MATCH(U$7,$AD$9:$AD$22,0),2))&lt;&gt;"",INDEX(BDHKI,MATCH($A13,DiemHKI!$B$4:$B$58,0),INDEX($AD$9:$AF$22,MATCH(U$7,$AD$9:$AD$22,0),3)),""),"")</f>
        <v/>
      </c>
      <c r="V13" s="278">
        <f t="shared" si="1"/>
        <v>9.4</v>
      </c>
      <c r="W13" s="279" t="str">
        <f t="shared" si="2"/>
        <v>Giỏi</v>
      </c>
      <c r="X13" s="352" t="s">
        <v>38</v>
      </c>
      <c r="Y13" s="280" t="str">
        <f t="shared" si="3"/>
        <v>HSG</v>
      </c>
      <c r="Z13" s="1"/>
      <c r="AA13" s="644">
        <f t="shared" si="4"/>
        <v>10</v>
      </c>
      <c r="AB13" s="1"/>
      <c r="AD13" s="268" t="s">
        <v>120</v>
      </c>
      <c r="AE13" s="268">
        <v>43</v>
      </c>
      <c r="AF13" s="268">
        <v>44</v>
      </c>
      <c r="AG13" s="268" t="str">
        <f>IF($A13&lt;&gt;"",INDEX(DiemHKI!$DI$4:$DI$58,MATCH($A13,DiemHKI!$B$4:$B$58,0),1),"")</f>
        <v>12A1Phan GiaBảo27/10/2004</v>
      </c>
      <c r="AH13" s="674" t="str">
        <f t="shared" si="5"/>
        <v/>
      </c>
      <c r="AI13" s="672" t="str">
        <f t="shared" ca="1" si="6"/>
        <v/>
      </c>
      <c r="AJ13" s="673"/>
    </row>
    <row r="14" spans="1:36" s="268" customFormat="1" ht="29.1" customHeight="1">
      <c r="A14" s="281">
        <f>IF(A13&lt;MAX(DiemHKI!$B$4:$B$58),A13+1,"")</f>
        <v>7</v>
      </c>
      <c r="B14" s="32" t="str">
        <f>IF($A14&lt;&gt;"",PROPER(INDEX(DiemHKI!$B$4:$CP$58,MATCH($A14,DiemHKI!$B$4:$B$58,0),3)),"")</f>
        <v>Nguyễn Phúc</v>
      </c>
      <c r="C14" s="33" t="str">
        <f>IF($A14&lt;&gt;"",PROPER(INDEX(DiemHKI!$B$4:$CP$58,MATCH($A14,DiemHKI!$B$4:$B$58,0),4)),"")</f>
        <v>Bình</v>
      </c>
      <c r="D14" s="284" t="str">
        <f>IF($A14&lt;&gt;"",IF(INDEX(DiemHKI!$B$4:$CP$58,MATCH($A14,DiemHKI!$B$4:$B$58,0),7)&lt;&gt;"",INDEX(DiemHKI!$B$4:$CP$58,MATCH($A14,DiemHKI!$B$4:$B$58,0),7),""),"")</f>
        <v/>
      </c>
      <c r="E14" s="284" t="str">
        <f>IF($A14&lt;&gt;"",IF(INDEX(DiemHKI!$B$4:$CP$58,MATCH($A14,DiemHKI!$B$4:$B$58,0),8)&lt;&gt;"",INDEX(DiemHKI!$B$4:$CP$58,MATCH($A14,DiemHKI!$B$4:$B$58,0),8),""),"")</f>
        <v/>
      </c>
      <c r="F14" s="284" t="str">
        <f>IF($A14&lt;&gt;"",IF(INDEX(DiemHKI!$B$4:$CP$58,MATCH($A14,DiemHKI!$B$4:$B$58,0),9)&lt;&gt;"",INDEX(DiemHKI!$B$4:$CP$58,MATCH($A14,DiemHKI!$B$4:$B$58,0),9),""),"")</f>
        <v/>
      </c>
      <c r="G14" s="285">
        <f>IF($A14&lt;&gt;"",IF(INDEX(BDHKI,MATCH($A14,DiemHKI!$B$4:$B$58,0),INDEX($AD$9:$AF$22,MATCH(G$7,$AD$9:$AD$22,0),2))&lt;&gt;"",INDEX(BDHKI,MATCH($A14,DiemHKI!$B$4:$B$58,0),INDEX($AD$9:$AF$22,MATCH(G$7,$AD$9:$AD$22,0),3)),""),"")</f>
        <v>9.8000000000000007</v>
      </c>
      <c r="H14" s="286">
        <f>IF($A14&lt;&gt;"",IF(INDEX(BDHKI,MATCH($A14,DiemHKI!$B$4:$B$58,0),INDEX($AD$9:$AF$22,MATCH(H$7,$AD$9:$AD$22,0),2))&lt;&gt;"",INDEX(BDHKI,MATCH($A14,DiemHKI!$B$4:$B$58,0),INDEX($AD$9:$AF$22,MATCH(H$7,$AD$9:$AD$22,0),3)),""),"")</f>
        <v>9.9</v>
      </c>
      <c r="I14" s="286">
        <f>IF($A14&lt;&gt;"",IF(INDEX(BDHKI,MATCH($A14,DiemHKI!$B$4:$B$58,0),INDEX($AD$9:$AF$22,MATCH(I$7,$AD$9:$AD$22,0),2))&lt;&gt;"",INDEX(BDHKI,MATCH($A14,DiemHKI!$B$4:$B$58,0),INDEX($AD$9:$AF$22,MATCH(I$7,$AD$9:$AD$22,0),3)),""),"")</f>
        <v>9.6</v>
      </c>
      <c r="J14" s="286">
        <f>IF($A14&lt;&gt;"",IF(INDEX(BDHKI,MATCH($A14,DiemHKI!$B$4:$B$58,0),INDEX($AD$9:$AF$22,MATCH(J$7,$AD$9:$AD$22,0),2))&lt;&gt;"",INDEX(BDHKI,MATCH($A14,DiemHKI!$B$4:$B$58,0),INDEX($AD$9:$AF$22,MATCH(J$7,$AD$9:$AD$22,0),3)),""),"")</f>
        <v>9.6</v>
      </c>
      <c r="K14" s="286">
        <f>IF($A14&lt;&gt;"",IF(INDEX(BDHKI,MATCH($A14,DiemHKI!$B$4:$B$58,0),INDEX($AD$9:$AF$22,MATCH(K$7,$AD$9:$AD$22,0),2))&lt;&gt;"",INDEX(BDHKI,MATCH($A14,DiemHKI!$B$4:$B$58,0),INDEX($AD$9:$AF$22,MATCH(K$7,$AD$9:$AD$22,0),3)),""),"")</f>
        <v>9.8000000000000007</v>
      </c>
      <c r="L14" s="286">
        <f>IF($A14&lt;&gt;"",IF(INDEX(BDHKI,MATCH($A14,DiemHKI!$B$4:$B$58,0),INDEX($AD$9:$AF$22,MATCH(L$7,$AD$9:$AD$22,0),2))&lt;&gt;"",INDEX(BDHKI,MATCH($A14,DiemHKI!$B$4:$B$58,0),INDEX($AD$9:$AF$22,MATCH(L$7,$AD$9:$AD$22,0),3)),""),"")</f>
        <v>8</v>
      </c>
      <c r="M14" s="286">
        <f>IF($A14&lt;&gt;"",IF(INDEX(BDHKI,MATCH($A14,DiemHKI!$B$4:$B$58,0),INDEX($AD$9:$AF$22,MATCH(M$7,$AD$9:$AD$22,0),2))&lt;&gt;"",INDEX(BDHKI,MATCH($A14,DiemHKI!$B$4:$B$58,0),INDEX($AD$9:$AF$22,MATCH(M$7,$AD$9:$AD$22,0),3)),""),"")</f>
        <v>9.6999999999999993</v>
      </c>
      <c r="N14" s="286">
        <f>IF($A14&lt;&gt;"",IF(INDEX(BDHKI,MATCH($A14,DiemHKI!$B$4:$B$58,0),INDEX($AD$9:$AF$22,MATCH(N$7,$AD$9:$AD$22,0),2))&lt;&gt;"",INDEX(BDHKI,MATCH($A14,DiemHKI!$B$4:$B$58,0),INDEX($AD$9:$AF$22,MATCH(N$7,$AD$9:$AD$22,0),3)),""),"")</f>
        <v>9.6</v>
      </c>
      <c r="O14" s="286">
        <f>IF($A14&lt;&gt;"",IF(INDEX(BDHKI,MATCH($A14,DiemHKI!$B$4:$B$58,0),INDEX($AD$9:$AF$22,MATCH(O$7,$AD$9:$AD$22,0),2))&lt;&gt;"",INDEX(BDHKI,MATCH($A14,DiemHKI!$B$4:$B$58,0),INDEX($AD$9:$AF$22,MATCH(O$7,$AD$9:$AD$22,0),3)),""),"")</f>
        <v>9.6</v>
      </c>
      <c r="P14" s="286">
        <f>IF($A14&lt;&gt;"",IF(INDEX(BDHKI,MATCH($A14,DiemHKI!$B$4:$B$58,0),INDEX($AD$9:$AF$22,MATCH(P$7,$AD$9:$AD$22,0),2))&lt;&gt;"",INDEX(BDHKI,MATCH($A14,DiemHKI!$B$4:$B$58,0),INDEX($AD$9:$AF$22,MATCH(P$7,$AD$9:$AD$22,0),3)),""),"")</f>
        <v>9.4</v>
      </c>
      <c r="Q14" s="286">
        <f>IF($A14&lt;&gt;"",IF(INDEX(BDHKI,MATCH($A14,DiemHKI!$B$4:$B$58,0),INDEX($AD$9:$AF$22,MATCH(Q$7,$AD$9:$AD$22,0),2))&lt;&gt;"",INDEX(BDHKI,MATCH($A14,DiemHKI!$B$4:$B$58,0),INDEX($AD$9:$AF$22,MATCH(Q$7,$AD$9:$AD$22,0),3)),""),"")</f>
        <v>9.5</v>
      </c>
      <c r="R14" s="464" t="str">
        <f>IF($A14&lt;&gt;"",IF(INDEX(BDHKI,MATCH($A14,DiemHKI!$B$4:$B$58,0),INDEX($AD$9:$AF$22,MATCH(R$7,$AD$9:$AD$22,0),2))&lt;&gt;"",INDEX(BDHKI,MATCH($A14,DiemHKI!$B$4:$B$58,0),INDEX($AD$9:$AF$22,MATCH(R$7,$AD$9:$AD$22,0),3)),""),"")</f>
        <v>Đ</v>
      </c>
      <c r="S14" s="464">
        <f t="shared" si="0"/>
        <v>8</v>
      </c>
      <c r="T14" s="286">
        <f>IF($A14&lt;&gt;"",IF(INDEX(BDHKI,MATCH($A14,DiemHKI!$B$4:$B$58,0),INDEX($AD$9:$AF$22,MATCH(T$7,$AD$9:$AD$22,0),2))&lt;&gt;"",INDEX(BDHKI,MATCH($A14,DiemHKI!$B$4:$B$58,0),INDEX($AD$9:$AF$22,MATCH(T$7,$AD$9:$AD$22,0),3)),""),"")</f>
        <v>9.9</v>
      </c>
      <c r="U14" s="287" t="str">
        <f>IF($A14&lt;&gt;"",IF(INDEX(BDHKI,MATCH($A14,DiemHKI!$B$4:$B$58,0),INDEX($AD$9:$AF$22,MATCH(U$7,$AD$9:$AD$22,0),2))&lt;&gt;"",INDEX(BDHKI,MATCH($A14,DiemHKI!$B$4:$B$58,0),INDEX($AD$9:$AF$22,MATCH(U$7,$AD$9:$AD$22,0),3)),""),"")</f>
        <v/>
      </c>
      <c r="V14" s="288">
        <f t="shared" si="1"/>
        <v>9.5</v>
      </c>
      <c r="W14" s="464" t="str">
        <f t="shared" si="2"/>
        <v>Giỏi</v>
      </c>
      <c r="X14" s="353" t="s">
        <v>38</v>
      </c>
      <c r="Y14" s="289" t="str">
        <f t="shared" si="3"/>
        <v>HSG</v>
      </c>
      <c r="Z14" s="1"/>
      <c r="AA14" s="644">
        <f t="shared" si="4"/>
        <v>3</v>
      </c>
      <c r="AB14" s="1"/>
      <c r="AD14" s="268" t="s">
        <v>30</v>
      </c>
      <c r="AE14" s="268">
        <v>50</v>
      </c>
      <c r="AF14" s="268">
        <v>51</v>
      </c>
      <c r="AG14" s="268" t="str">
        <f>IF($A14&lt;&gt;"",INDEX(DiemHKI!$DI$4:$DI$58,MATCH($A14,DiemHKI!$B$4:$B$58,0),1),"")</f>
        <v>12A1Nguyễn PhúcBình20/06/2004</v>
      </c>
      <c r="AH14" s="674" t="str">
        <f t="shared" si="5"/>
        <v/>
      </c>
      <c r="AI14" s="672" t="str">
        <f t="shared" ca="1" si="6"/>
        <v/>
      </c>
      <c r="AJ14" s="673"/>
    </row>
    <row r="15" spans="1:36" s="268" customFormat="1" ht="29.1" customHeight="1">
      <c r="A15" s="281">
        <f>IF(A14&lt;MAX(DiemHKI!$B$4:$B$58),A14+1,"")</f>
        <v>8</v>
      </c>
      <c r="B15" s="32" t="str">
        <f>IF($A15&lt;&gt;"",PROPER(INDEX(DiemHKI!$B$4:$CP$58,MATCH($A15,DiemHKI!$B$4:$B$58,0),3)),"")</f>
        <v>Trần Lê</v>
      </c>
      <c r="C15" s="33" t="str">
        <f>IF($A15&lt;&gt;"",PROPER(INDEX(DiemHKI!$B$4:$CP$58,MATCH($A15,DiemHKI!$B$4:$B$58,0),4)),"")</f>
        <v>Cường</v>
      </c>
      <c r="D15" s="284" t="str">
        <f>IF($A15&lt;&gt;"",IF(INDEX(DiemHKI!$B$4:$CP$58,MATCH($A15,DiemHKI!$B$4:$B$58,0),7)&lt;&gt;"",INDEX(DiemHKI!$B$4:$CP$58,MATCH($A15,DiemHKI!$B$4:$B$58,0),7),""),"")</f>
        <v/>
      </c>
      <c r="E15" s="284" t="str">
        <f>IF($A15&lt;&gt;"",IF(INDEX(DiemHKI!$B$4:$CP$58,MATCH($A15,DiemHKI!$B$4:$B$58,0),8)&lt;&gt;"",INDEX(DiemHKI!$B$4:$CP$58,MATCH($A15,DiemHKI!$B$4:$B$58,0),8),""),"")</f>
        <v/>
      </c>
      <c r="F15" s="284" t="str">
        <f>IF($A15&lt;&gt;"",IF(INDEX(DiemHKI!$B$4:$CP$58,MATCH($A15,DiemHKI!$B$4:$B$58,0),9)&lt;&gt;"",INDEX(DiemHKI!$B$4:$CP$58,MATCH($A15,DiemHKI!$B$4:$B$58,0),9),""),"")</f>
        <v/>
      </c>
      <c r="G15" s="285">
        <f>IF($A15&lt;&gt;"",IF(INDEX(BDHKI,MATCH($A15,DiemHKI!$B$4:$B$58,0),INDEX($AD$9:$AF$22,MATCH(G$7,$AD$9:$AD$22,0),2))&lt;&gt;"",INDEX(BDHKI,MATCH($A15,DiemHKI!$B$4:$B$58,0),INDEX($AD$9:$AF$22,MATCH(G$7,$AD$9:$AD$22,0),3)),""),"")</f>
        <v>9.6</v>
      </c>
      <c r="H15" s="286">
        <f>IF($A15&lt;&gt;"",IF(INDEX(BDHKI,MATCH($A15,DiemHKI!$B$4:$B$58,0),INDEX($AD$9:$AF$22,MATCH(H$7,$AD$9:$AD$22,0),2))&lt;&gt;"",INDEX(BDHKI,MATCH($A15,DiemHKI!$B$4:$B$58,0),INDEX($AD$9:$AF$22,MATCH(H$7,$AD$9:$AD$22,0),3)),""),"")</f>
        <v>9.6</v>
      </c>
      <c r="I15" s="286">
        <f>IF($A15&lt;&gt;"",IF(INDEX(BDHKI,MATCH($A15,DiemHKI!$B$4:$B$58,0),INDEX($AD$9:$AF$22,MATCH(I$7,$AD$9:$AD$22,0),2))&lt;&gt;"",INDEX(BDHKI,MATCH($A15,DiemHKI!$B$4:$B$58,0),INDEX($AD$9:$AF$22,MATCH(I$7,$AD$9:$AD$22,0),3)),""),"")</f>
        <v>9.1999999999999993</v>
      </c>
      <c r="J15" s="286">
        <f>IF($A15&lt;&gt;"",IF(INDEX(BDHKI,MATCH($A15,DiemHKI!$B$4:$B$58,0),INDEX($AD$9:$AF$22,MATCH(J$7,$AD$9:$AD$22,0),2))&lt;&gt;"",INDEX(BDHKI,MATCH($A15,DiemHKI!$B$4:$B$58,0),INDEX($AD$9:$AF$22,MATCH(J$7,$AD$9:$AD$22,0),3)),""),"")</f>
        <v>8.6</v>
      </c>
      <c r="K15" s="286">
        <f>IF($A15&lt;&gt;"",IF(INDEX(BDHKI,MATCH($A15,DiemHKI!$B$4:$B$58,0),INDEX($AD$9:$AF$22,MATCH(K$7,$AD$9:$AD$22,0),2))&lt;&gt;"",INDEX(BDHKI,MATCH($A15,DiemHKI!$B$4:$B$58,0),INDEX($AD$9:$AF$22,MATCH(K$7,$AD$9:$AD$22,0),3)),""),"")</f>
        <v>9.6</v>
      </c>
      <c r="L15" s="286">
        <f>IF($A15&lt;&gt;"",IF(INDEX(BDHKI,MATCH($A15,DiemHKI!$B$4:$B$58,0),INDEX($AD$9:$AF$22,MATCH(L$7,$AD$9:$AD$22,0),2))&lt;&gt;"",INDEX(BDHKI,MATCH($A15,DiemHKI!$B$4:$B$58,0),INDEX($AD$9:$AF$22,MATCH(L$7,$AD$9:$AD$22,0),3)),""),"")</f>
        <v>7.3</v>
      </c>
      <c r="M15" s="286">
        <f>IF($A15&lt;&gt;"",IF(INDEX(BDHKI,MATCH($A15,DiemHKI!$B$4:$B$58,0),INDEX($AD$9:$AF$22,MATCH(M$7,$AD$9:$AD$22,0),2))&lt;&gt;"",INDEX(BDHKI,MATCH($A15,DiemHKI!$B$4:$B$58,0),INDEX($AD$9:$AF$22,MATCH(M$7,$AD$9:$AD$22,0),3)),""),"")</f>
        <v>9.6</v>
      </c>
      <c r="N15" s="286">
        <f>IF($A15&lt;&gt;"",IF(INDEX(BDHKI,MATCH($A15,DiemHKI!$B$4:$B$58,0),INDEX($AD$9:$AF$22,MATCH(N$7,$AD$9:$AD$22,0),2))&lt;&gt;"",INDEX(BDHKI,MATCH($A15,DiemHKI!$B$4:$B$58,0),INDEX($AD$9:$AF$22,MATCH(N$7,$AD$9:$AD$22,0),3)),""),"")</f>
        <v>9.8000000000000007</v>
      </c>
      <c r="O15" s="286">
        <f>IF($A15&lt;&gt;"",IF(INDEX(BDHKI,MATCH($A15,DiemHKI!$B$4:$B$58,0),INDEX($AD$9:$AF$22,MATCH(O$7,$AD$9:$AD$22,0),2))&lt;&gt;"",INDEX(BDHKI,MATCH($A15,DiemHKI!$B$4:$B$58,0),INDEX($AD$9:$AF$22,MATCH(O$7,$AD$9:$AD$22,0),3)),""),"")</f>
        <v>9.4</v>
      </c>
      <c r="P15" s="286">
        <f>IF($A15&lt;&gt;"",IF(INDEX(BDHKI,MATCH($A15,DiemHKI!$B$4:$B$58,0),INDEX($AD$9:$AF$22,MATCH(P$7,$AD$9:$AD$22,0),2))&lt;&gt;"",INDEX(BDHKI,MATCH($A15,DiemHKI!$B$4:$B$58,0),INDEX($AD$9:$AF$22,MATCH(P$7,$AD$9:$AD$22,0),3)),""),"")</f>
        <v>9.1</v>
      </c>
      <c r="Q15" s="286">
        <f>IF($A15&lt;&gt;"",IF(INDEX(BDHKI,MATCH($A15,DiemHKI!$B$4:$B$58,0),INDEX($AD$9:$AF$22,MATCH(Q$7,$AD$9:$AD$22,0),2))&lt;&gt;"",INDEX(BDHKI,MATCH($A15,DiemHKI!$B$4:$B$58,0),INDEX($AD$9:$AF$22,MATCH(Q$7,$AD$9:$AD$22,0),3)),""),"")</f>
        <v>9.9</v>
      </c>
      <c r="R15" s="464" t="str">
        <f>IF($A15&lt;&gt;"",IF(INDEX(BDHKI,MATCH($A15,DiemHKI!$B$4:$B$58,0),INDEX($AD$9:$AF$22,MATCH(R$7,$AD$9:$AD$22,0),2))&lt;&gt;"",INDEX(BDHKI,MATCH($A15,DiemHKI!$B$4:$B$58,0),INDEX($AD$9:$AF$22,MATCH(R$7,$AD$9:$AD$22,0),3)),""),"")</f>
        <v>Đ</v>
      </c>
      <c r="S15" s="464">
        <f t="shared" si="0"/>
        <v>8</v>
      </c>
      <c r="T15" s="286">
        <f>IF($A15&lt;&gt;"",IF(INDEX(BDHKI,MATCH($A15,DiemHKI!$B$4:$B$58,0),INDEX($AD$9:$AF$22,MATCH(T$7,$AD$9:$AD$22,0),2))&lt;&gt;"",INDEX(BDHKI,MATCH($A15,DiemHKI!$B$4:$B$58,0),INDEX($AD$9:$AF$22,MATCH(T$7,$AD$9:$AD$22,0),3)),""),"")</f>
        <v>9.9</v>
      </c>
      <c r="U15" s="287" t="str">
        <f>IF($A15&lt;&gt;"",IF(INDEX(BDHKI,MATCH($A15,DiemHKI!$B$4:$B$58,0),INDEX($AD$9:$AF$22,MATCH(U$7,$AD$9:$AD$22,0),2))&lt;&gt;"",INDEX(BDHKI,MATCH($A15,DiemHKI!$B$4:$B$58,0),INDEX($AD$9:$AF$22,MATCH(U$7,$AD$9:$AD$22,0),3)),""),"")</f>
        <v/>
      </c>
      <c r="V15" s="288">
        <f t="shared" si="1"/>
        <v>9.3000000000000007</v>
      </c>
      <c r="W15" s="464" t="str">
        <f t="shared" si="2"/>
        <v>Giỏi</v>
      </c>
      <c r="X15" s="353" t="s">
        <v>38</v>
      </c>
      <c r="Y15" s="289" t="str">
        <f t="shared" si="3"/>
        <v>HSG</v>
      </c>
      <c r="AA15" s="644">
        <f t="shared" si="4"/>
        <v>18</v>
      </c>
      <c r="AB15" s="1"/>
      <c r="AD15" s="268" t="s">
        <v>31</v>
      </c>
      <c r="AE15" s="268">
        <v>57</v>
      </c>
      <c r="AF15" s="268">
        <v>58</v>
      </c>
      <c r="AG15" s="268" t="str">
        <f>IF($A15&lt;&gt;"",INDEX(DiemHKI!$DI$4:$DI$58,MATCH($A15,DiemHKI!$B$4:$B$58,0),1),"")</f>
        <v>12A1Trần LêCường08/04/2004</v>
      </c>
      <c r="AH15" s="674" t="str">
        <f t="shared" si="5"/>
        <v/>
      </c>
      <c r="AI15" s="672" t="str">
        <f t="shared" ca="1" si="6"/>
        <v/>
      </c>
      <c r="AJ15" s="673"/>
    </row>
    <row r="16" spans="1:36" s="268" customFormat="1" ht="29.1" customHeight="1">
      <c r="A16" s="281">
        <f>IF(A15&lt;MAX(DiemHKI!$B$4:$B$58),A15+1,"")</f>
        <v>9</v>
      </c>
      <c r="B16" s="32" t="str">
        <f>IF($A16&lt;&gt;"",PROPER(INDEX(DiemHKI!$B$4:$CP$58,MATCH($A16,DiemHKI!$B$4:$B$58,0),3)),"")</f>
        <v>Nguyễn Thanh</v>
      </c>
      <c r="C16" s="33" t="str">
        <f>IF($A16&lt;&gt;"",PROPER(INDEX(DiemHKI!$B$4:$CP$58,MATCH($A16,DiemHKI!$B$4:$B$58,0),4)),"")</f>
        <v>Duyên</v>
      </c>
      <c r="D16" s="284" t="str">
        <f>IF($A16&lt;&gt;"",IF(INDEX(DiemHKI!$B$4:$CP$58,MATCH($A16,DiemHKI!$B$4:$B$58,0),7)&lt;&gt;"",INDEX(DiemHKI!$B$4:$CP$58,MATCH($A16,DiemHKI!$B$4:$B$58,0),7),""),"")</f>
        <v>x</v>
      </c>
      <c r="E16" s="284" t="str">
        <f>IF($A16&lt;&gt;"",IF(INDEX(DiemHKI!$B$4:$CP$58,MATCH($A16,DiemHKI!$B$4:$B$58,0),8)&lt;&gt;"",INDEX(DiemHKI!$B$4:$CP$58,MATCH($A16,DiemHKI!$B$4:$B$58,0),8),""),"")</f>
        <v/>
      </c>
      <c r="F16" s="284" t="str">
        <f>IF($A16&lt;&gt;"",IF(INDEX(DiemHKI!$B$4:$CP$58,MATCH($A16,DiemHKI!$B$4:$B$58,0),9)&lt;&gt;"",INDEX(DiemHKI!$B$4:$CP$58,MATCH($A16,DiemHKI!$B$4:$B$58,0),9),""),"")</f>
        <v/>
      </c>
      <c r="G16" s="285">
        <f>IF($A16&lt;&gt;"",IF(INDEX(BDHKI,MATCH($A16,DiemHKI!$B$4:$B$58,0),INDEX($AD$9:$AF$22,MATCH(G$7,$AD$9:$AD$22,0),2))&lt;&gt;"",INDEX(BDHKI,MATCH($A16,DiemHKI!$B$4:$B$58,0),INDEX($AD$9:$AF$22,MATCH(G$7,$AD$9:$AD$22,0),3)),""),"")</f>
        <v>9.4</v>
      </c>
      <c r="H16" s="286">
        <f>IF($A16&lt;&gt;"",IF(INDEX(BDHKI,MATCH($A16,DiemHKI!$B$4:$B$58,0),INDEX($AD$9:$AF$22,MATCH(H$7,$AD$9:$AD$22,0),2))&lt;&gt;"",INDEX(BDHKI,MATCH($A16,DiemHKI!$B$4:$B$58,0),INDEX($AD$9:$AF$22,MATCH(H$7,$AD$9:$AD$22,0),3)),""),"")</f>
        <v>9.8000000000000007</v>
      </c>
      <c r="I16" s="286">
        <f>IF($A16&lt;&gt;"",IF(INDEX(BDHKI,MATCH($A16,DiemHKI!$B$4:$B$58,0),INDEX($AD$9:$AF$22,MATCH(I$7,$AD$9:$AD$22,0),2))&lt;&gt;"",INDEX(BDHKI,MATCH($A16,DiemHKI!$B$4:$B$58,0),INDEX($AD$9:$AF$22,MATCH(I$7,$AD$9:$AD$22,0),3)),""),"")</f>
        <v>9.5</v>
      </c>
      <c r="J16" s="286">
        <f>IF($A16&lt;&gt;"",IF(INDEX(BDHKI,MATCH($A16,DiemHKI!$B$4:$B$58,0),INDEX($AD$9:$AF$22,MATCH(J$7,$AD$9:$AD$22,0),2))&lt;&gt;"",INDEX(BDHKI,MATCH($A16,DiemHKI!$B$4:$B$58,0),INDEX($AD$9:$AF$22,MATCH(J$7,$AD$9:$AD$22,0),3)),""),"")</f>
        <v>9.5</v>
      </c>
      <c r="K16" s="286">
        <f>IF($A16&lt;&gt;"",IF(INDEX(BDHKI,MATCH($A16,DiemHKI!$B$4:$B$58,0),INDEX($AD$9:$AF$22,MATCH(K$7,$AD$9:$AD$22,0),2))&lt;&gt;"",INDEX(BDHKI,MATCH($A16,DiemHKI!$B$4:$B$58,0),INDEX($AD$9:$AF$22,MATCH(K$7,$AD$9:$AD$22,0),3)),""),"")</f>
        <v>9.8000000000000007</v>
      </c>
      <c r="L16" s="286">
        <f>IF($A16&lt;&gt;"",IF(INDEX(BDHKI,MATCH($A16,DiemHKI!$B$4:$B$58,0),INDEX($AD$9:$AF$22,MATCH(L$7,$AD$9:$AD$22,0),2))&lt;&gt;"",INDEX(BDHKI,MATCH($A16,DiemHKI!$B$4:$B$58,0),INDEX($AD$9:$AF$22,MATCH(L$7,$AD$9:$AD$22,0),3)),""),"")</f>
        <v>7.6</v>
      </c>
      <c r="M16" s="286">
        <f>IF($A16&lt;&gt;"",IF(INDEX(BDHKI,MATCH($A16,DiemHKI!$B$4:$B$58,0),INDEX($AD$9:$AF$22,MATCH(M$7,$AD$9:$AD$22,0),2))&lt;&gt;"",INDEX(BDHKI,MATCH($A16,DiemHKI!$B$4:$B$58,0),INDEX($AD$9:$AF$22,MATCH(M$7,$AD$9:$AD$22,0),3)),""),"")</f>
        <v>9.6</v>
      </c>
      <c r="N16" s="286">
        <f>IF($A16&lt;&gt;"",IF(INDEX(BDHKI,MATCH($A16,DiemHKI!$B$4:$B$58,0),INDEX($AD$9:$AF$22,MATCH(N$7,$AD$9:$AD$22,0),2))&lt;&gt;"",INDEX(BDHKI,MATCH($A16,DiemHKI!$B$4:$B$58,0),INDEX($AD$9:$AF$22,MATCH(N$7,$AD$9:$AD$22,0),3)),""),"")</f>
        <v>9.6</v>
      </c>
      <c r="O16" s="286">
        <f>IF($A16&lt;&gt;"",IF(INDEX(BDHKI,MATCH($A16,DiemHKI!$B$4:$B$58,0),INDEX($AD$9:$AF$22,MATCH(O$7,$AD$9:$AD$22,0),2))&lt;&gt;"",INDEX(BDHKI,MATCH($A16,DiemHKI!$B$4:$B$58,0),INDEX($AD$9:$AF$22,MATCH(O$7,$AD$9:$AD$22,0),3)),""),"")</f>
        <v>9.8000000000000007</v>
      </c>
      <c r="P16" s="286">
        <f>IF($A16&lt;&gt;"",IF(INDEX(BDHKI,MATCH($A16,DiemHKI!$B$4:$B$58,0),INDEX($AD$9:$AF$22,MATCH(P$7,$AD$9:$AD$22,0),2))&lt;&gt;"",INDEX(BDHKI,MATCH($A16,DiemHKI!$B$4:$B$58,0),INDEX($AD$9:$AF$22,MATCH(P$7,$AD$9:$AD$22,0),3)),""),"")</f>
        <v>9.1</v>
      </c>
      <c r="Q16" s="286">
        <f>IF($A16&lt;&gt;"",IF(INDEX(BDHKI,MATCH($A16,DiemHKI!$B$4:$B$58,0),INDEX($AD$9:$AF$22,MATCH(Q$7,$AD$9:$AD$22,0),2))&lt;&gt;"",INDEX(BDHKI,MATCH($A16,DiemHKI!$B$4:$B$58,0),INDEX($AD$9:$AF$22,MATCH(Q$7,$AD$9:$AD$22,0),3)),""),"")</f>
        <v>9.9</v>
      </c>
      <c r="R16" s="464" t="str">
        <f>IF($A16&lt;&gt;"",IF(INDEX(BDHKI,MATCH($A16,DiemHKI!$B$4:$B$58,0),INDEX($AD$9:$AF$22,MATCH(R$7,$AD$9:$AD$22,0),2))&lt;&gt;"",INDEX(BDHKI,MATCH($A16,DiemHKI!$B$4:$B$58,0),INDEX($AD$9:$AF$22,MATCH(R$7,$AD$9:$AD$22,0),3)),""),"")</f>
        <v>Đ</v>
      </c>
      <c r="S16" s="464">
        <f t="shared" si="0"/>
        <v>8</v>
      </c>
      <c r="T16" s="286">
        <f>IF($A16&lt;&gt;"",IF(INDEX(BDHKI,MATCH($A16,DiemHKI!$B$4:$B$58,0),INDEX($AD$9:$AF$22,MATCH(T$7,$AD$9:$AD$22,0),2))&lt;&gt;"",INDEX(BDHKI,MATCH($A16,DiemHKI!$B$4:$B$58,0),INDEX($AD$9:$AF$22,MATCH(T$7,$AD$9:$AD$22,0),3)),""),"")</f>
        <v>9.9</v>
      </c>
      <c r="U16" s="287" t="str">
        <f>IF($A16&lt;&gt;"",IF(INDEX(BDHKI,MATCH($A16,DiemHKI!$B$4:$B$58,0),INDEX($AD$9:$AF$22,MATCH(U$7,$AD$9:$AD$22,0),2))&lt;&gt;"",INDEX(BDHKI,MATCH($A16,DiemHKI!$B$4:$B$58,0),INDEX($AD$9:$AF$22,MATCH(U$7,$AD$9:$AD$22,0),3)),""),"")</f>
        <v/>
      </c>
      <c r="V16" s="288">
        <f t="shared" si="1"/>
        <v>9.5</v>
      </c>
      <c r="W16" s="464" t="str">
        <f t="shared" si="2"/>
        <v>Giỏi</v>
      </c>
      <c r="X16" s="353" t="s">
        <v>38</v>
      </c>
      <c r="Y16" s="289" t="str">
        <f t="shared" si="3"/>
        <v>HSG</v>
      </c>
      <c r="AA16" s="644">
        <f t="shared" si="4"/>
        <v>3</v>
      </c>
      <c r="AB16" s="1"/>
      <c r="AD16" s="268" t="s">
        <v>32</v>
      </c>
      <c r="AE16" s="268">
        <v>64</v>
      </c>
      <c r="AF16" s="268">
        <v>65</v>
      </c>
      <c r="AG16" s="268" t="str">
        <f>IF($A16&lt;&gt;"",INDEX(DiemHKI!$DI$4:$DI$58,MATCH($A16,DiemHKI!$B$4:$B$58,0),1),"")</f>
        <v>12A1Nguyễn ThanhDuyên16/11/2004</v>
      </c>
      <c r="AH16" s="674" t="str">
        <f t="shared" si="5"/>
        <v/>
      </c>
      <c r="AI16" s="672" t="str">
        <f t="shared" ca="1" si="6"/>
        <v/>
      </c>
      <c r="AJ16" s="673"/>
    </row>
    <row r="17" spans="1:36" s="268" customFormat="1" ht="29.1" customHeight="1" thickBot="1">
      <c r="A17" s="290">
        <f>IF(A16&lt;MAX(DiemHKI!$B$4:$B$58),A16+1,"")</f>
        <v>10</v>
      </c>
      <c r="B17" s="44" t="str">
        <f>IF($A17&lt;&gt;"",PROPER(INDEX(DiemHKI!$B$4:$CP$58,MATCH($A17,DiemHKI!$B$4:$B$58,0),3)),"")</f>
        <v>Trương Đắc</v>
      </c>
      <c r="C17" s="45" t="str">
        <f>IF($A17&lt;&gt;"",PROPER(INDEX(DiemHKI!$B$4:$CP$58,MATCH($A17,DiemHKI!$B$4:$B$58,0),4)),"")</f>
        <v>Điền</v>
      </c>
      <c r="D17" s="293" t="str">
        <f>IF($A17&lt;&gt;"",IF(INDEX(DiemHKI!$B$4:$CP$58,MATCH($A17,DiemHKI!$B$4:$B$58,0),7)&lt;&gt;"",INDEX(DiemHKI!$B$4:$CP$58,MATCH($A17,DiemHKI!$B$4:$B$58,0),7),""),"")</f>
        <v/>
      </c>
      <c r="E17" s="293" t="str">
        <f>IF($A17&lt;&gt;"",IF(INDEX(DiemHKI!$B$4:$CP$58,MATCH($A17,DiemHKI!$B$4:$B$58,0),8)&lt;&gt;"",INDEX(DiemHKI!$B$4:$CP$58,MATCH($A17,DiemHKI!$B$4:$B$58,0),8),""),"")</f>
        <v/>
      </c>
      <c r="F17" s="293" t="str">
        <f>IF($A17&lt;&gt;"",IF(INDEX(DiemHKI!$B$4:$CP$58,MATCH($A17,DiemHKI!$B$4:$B$58,0),9)&lt;&gt;"",INDEX(DiemHKI!$B$4:$CP$58,MATCH($A17,DiemHKI!$B$4:$B$58,0),9),""),"")</f>
        <v/>
      </c>
      <c r="G17" s="294">
        <f>IF($A17&lt;&gt;"",IF(INDEX(BDHKI,MATCH($A17,DiemHKI!$B$4:$B$58,0),INDEX($AD$9:$AF$22,MATCH(G$7,$AD$9:$AD$22,0),2))&lt;&gt;"",INDEX(BDHKI,MATCH($A17,DiemHKI!$B$4:$B$58,0),INDEX($AD$9:$AF$22,MATCH(G$7,$AD$9:$AD$22,0),3)),""),"")</f>
        <v>9.4</v>
      </c>
      <c r="H17" s="295">
        <f>IF($A17&lt;&gt;"",IF(INDEX(BDHKI,MATCH($A17,DiemHKI!$B$4:$B$58,0),INDEX($AD$9:$AF$22,MATCH(H$7,$AD$9:$AD$22,0),2))&lt;&gt;"",INDEX(BDHKI,MATCH($A17,DiemHKI!$B$4:$B$58,0),INDEX($AD$9:$AF$22,MATCH(H$7,$AD$9:$AD$22,0),3)),""),"")</f>
        <v>9.5</v>
      </c>
      <c r="I17" s="295">
        <f>IF($A17&lt;&gt;"",IF(INDEX(BDHKI,MATCH($A17,DiemHKI!$B$4:$B$58,0),INDEX($AD$9:$AF$22,MATCH(I$7,$AD$9:$AD$22,0),2))&lt;&gt;"",INDEX(BDHKI,MATCH($A17,DiemHKI!$B$4:$B$58,0),INDEX($AD$9:$AF$22,MATCH(I$7,$AD$9:$AD$22,0),3)),""),"")</f>
        <v>9.6</v>
      </c>
      <c r="J17" s="295">
        <f>IF($A17&lt;&gt;"",IF(INDEX(BDHKI,MATCH($A17,DiemHKI!$B$4:$B$58,0),INDEX($AD$9:$AF$22,MATCH(J$7,$AD$9:$AD$22,0),2))&lt;&gt;"",INDEX(BDHKI,MATCH($A17,DiemHKI!$B$4:$B$58,0),INDEX($AD$9:$AF$22,MATCH(J$7,$AD$9:$AD$22,0),3)),""),"")</f>
        <v>9.1</v>
      </c>
      <c r="K17" s="295">
        <f>IF($A17&lt;&gt;"",IF(INDEX(BDHKI,MATCH($A17,DiemHKI!$B$4:$B$58,0),INDEX($AD$9:$AF$22,MATCH(K$7,$AD$9:$AD$22,0),2))&lt;&gt;"",INDEX(BDHKI,MATCH($A17,DiemHKI!$B$4:$B$58,0),INDEX($AD$9:$AF$22,MATCH(K$7,$AD$9:$AD$22,0),3)),""),"")</f>
        <v>9.6</v>
      </c>
      <c r="L17" s="295">
        <f>IF($A17&lt;&gt;"",IF(INDEX(BDHKI,MATCH($A17,DiemHKI!$B$4:$B$58,0),INDEX($AD$9:$AF$22,MATCH(L$7,$AD$9:$AD$22,0),2))&lt;&gt;"",INDEX(BDHKI,MATCH($A17,DiemHKI!$B$4:$B$58,0),INDEX($AD$9:$AF$22,MATCH(L$7,$AD$9:$AD$22,0),3)),""),"")</f>
        <v>7.8</v>
      </c>
      <c r="M17" s="295">
        <f>IF($A17&lt;&gt;"",IF(INDEX(BDHKI,MATCH($A17,DiemHKI!$B$4:$B$58,0),INDEX($AD$9:$AF$22,MATCH(M$7,$AD$9:$AD$22,0),2))&lt;&gt;"",INDEX(BDHKI,MATCH($A17,DiemHKI!$B$4:$B$58,0),INDEX($AD$9:$AF$22,MATCH(M$7,$AD$9:$AD$22,0),3)),""),"")</f>
        <v>9.8000000000000007</v>
      </c>
      <c r="N17" s="295">
        <f>IF($A17&lt;&gt;"",IF(INDEX(BDHKI,MATCH($A17,DiemHKI!$B$4:$B$58,0),INDEX($AD$9:$AF$22,MATCH(N$7,$AD$9:$AD$22,0),2))&lt;&gt;"",INDEX(BDHKI,MATCH($A17,DiemHKI!$B$4:$B$58,0),INDEX($AD$9:$AF$22,MATCH(N$7,$AD$9:$AD$22,0),3)),""),"")</f>
        <v>9.9</v>
      </c>
      <c r="O17" s="295">
        <f>IF($A17&lt;&gt;"",IF(INDEX(BDHKI,MATCH($A17,DiemHKI!$B$4:$B$58,0),INDEX($AD$9:$AF$22,MATCH(O$7,$AD$9:$AD$22,0),2))&lt;&gt;"",INDEX(BDHKI,MATCH($A17,DiemHKI!$B$4:$B$58,0),INDEX($AD$9:$AF$22,MATCH(O$7,$AD$9:$AD$22,0),3)),""),"")</f>
        <v>9.3000000000000007</v>
      </c>
      <c r="P17" s="295">
        <f>IF($A17&lt;&gt;"",IF(INDEX(BDHKI,MATCH($A17,DiemHKI!$B$4:$B$58,0),INDEX($AD$9:$AF$22,MATCH(P$7,$AD$9:$AD$22,0),2))&lt;&gt;"",INDEX(BDHKI,MATCH($A17,DiemHKI!$B$4:$B$58,0),INDEX($AD$9:$AF$22,MATCH(P$7,$AD$9:$AD$22,0),3)),""),"")</f>
        <v>9.5</v>
      </c>
      <c r="Q17" s="295">
        <f>IF($A17&lt;&gt;"",IF(INDEX(BDHKI,MATCH($A17,DiemHKI!$B$4:$B$58,0),INDEX($AD$9:$AF$22,MATCH(Q$7,$AD$9:$AD$22,0),2))&lt;&gt;"",INDEX(BDHKI,MATCH($A17,DiemHKI!$B$4:$B$58,0),INDEX($AD$9:$AF$22,MATCH(Q$7,$AD$9:$AD$22,0),3)),""),"")</f>
        <v>9.6</v>
      </c>
      <c r="R17" s="296" t="str">
        <f>IF($A17&lt;&gt;"",IF(INDEX(BDHKI,MATCH($A17,DiemHKI!$B$4:$B$58,0),INDEX($AD$9:$AF$22,MATCH(R$7,$AD$9:$AD$22,0),2))&lt;&gt;"",INDEX(BDHKI,MATCH($A17,DiemHKI!$B$4:$B$58,0),INDEX($AD$9:$AF$22,MATCH(R$7,$AD$9:$AD$22,0),3)),""),"")</f>
        <v>Đ</v>
      </c>
      <c r="S17" s="296">
        <f t="shared" si="0"/>
        <v>8</v>
      </c>
      <c r="T17" s="295">
        <f>IF($A17&lt;&gt;"",IF(INDEX(BDHKI,MATCH($A17,DiemHKI!$B$4:$B$58,0),INDEX($AD$9:$AF$22,MATCH(T$7,$AD$9:$AD$22,0),2))&lt;&gt;"",INDEX(BDHKI,MATCH($A17,DiemHKI!$B$4:$B$58,0),INDEX($AD$9:$AF$22,MATCH(T$7,$AD$9:$AD$22,0),3)),""),"")</f>
        <v>9.9</v>
      </c>
      <c r="U17" s="297" t="str">
        <f>IF($A17&lt;&gt;"",IF(INDEX(BDHKI,MATCH($A17,DiemHKI!$B$4:$B$58,0),INDEX($AD$9:$AF$22,MATCH(U$7,$AD$9:$AD$22,0),2))&lt;&gt;"",INDEX(BDHKI,MATCH($A17,DiemHKI!$B$4:$B$58,0),INDEX($AD$9:$AF$22,MATCH(U$7,$AD$9:$AD$22,0),3)),""),"")</f>
        <v/>
      </c>
      <c r="V17" s="298">
        <f t="shared" si="1"/>
        <v>9.4</v>
      </c>
      <c r="W17" s="296" t="str">
        <f t="shared" si="2"/>
        <v>Giỏi</v>
      </c>
      <c r="X17" s="354" t="s">
        <v>38</v>
      </c>
      <c r="Y17" s="299" t="str">
        <f t="shared" si="3"/>
        <v>HSG</v>
      </c>
      <c r="AA17" s="644">
        <f t="shared" si="4"/>
        <v>10</v>
      </c>
      <c r="AB17" s="1"/>
      <c r="AD17" s="268" t="s">
        <v>33</v>
      </c>
      <c r="AE17" s="268">
        <v>71</v>
      </c>
      <c r="AF17" s="268">
        <v>72</v>
      </c>
      <c r="AG17" s="268" t="str">
        <f>IF($A17&lt;&gt;"",INDEX(DiemHKI!$DI$4:$DI$58,MATCH($A17,DiemHKI!$B$4:$B$58,0),1),"")</f>
        <v>12A1Trương ĐắcĐiền08/05/2004</v>
      </c>
      <c r="AH17" s="674" t="str">
        <f t="shared" si="5"/>
        <v/>
      </c>
      <c r="AI17" s="672" t="str">
        <f t="shared" ca="1" si="6"/>
        <v/>
      </c>
      <c r="AJ17" s="673"/>
    </row>
    <row r="18" spans="1:36" s="268" customFormat="1" ht="29.1" customHeight="1">
      <c r="A18" s="274">
        <f>IF(A17&lt;MAX(DiemHKI!$B$4:$B$58),A17+1,"")</f>
        <v>11</v>
      </c>
      <c r="B18" s="17" t="str">
        <f>IF($A18&lt;&gt;"",PROPER(INDEX(DiemHKI!$B$4:$CP$58,MATCH($A18,DiemHKI!$B$4:$B$58,0),3)),"")</f>
        <v>Hồ Ngọc</v>
      </c>
      <c r="C18" s="18" t="str">
        <f>IF($A18&lt;&gt;"",PROPER(INDEX(DiemHKI!$B$4:$CP$58,MATCH($A18,DiemHKI!$B$4:$B$58,0),4)),"")</f>
        <v>Hải</v>
      </c>
      <c r="D18" s="277" t="str">
        <f>IF($A18&lt;&gt;"",IF(INDEX(DiemHKI!$B$4:$CP$58,MATCH($A18,DiemHKI!$B$4:$B$58,0),7)&lt;&gt;"",INDEX(DiemHKI!$B$4:$CP$58,MATCH($A18,DiemHKI!$B$4:$B$58,0),7),""),"")</f>
        <v/>
      </c>
      <c r="E18" s="277" t="str">
        <f>IF($A18&lt;&gt;"",IF(INDEX(DiemHKI!$B$4:$CP$58,MATCH($A18,DiemHKI!$B$4:$B$58,0),8)&lt;&gt;"",INDEX(DiemHKI!$B$4:$CP$58,MATCH($A18,DiemHKI!$B$4:$B$58,0),8),""),"")</f>
        <v/>
      </c>
      <c r="F18" s="277" t="str">
        <f>IF($A18&lt;&gt;"",IF(INDEX(DiemHKI!$B$4:$CP$58,MATCH($A18,DiemHKI!$B$4:$B$58,0),9)&lt;&gt;"",INDEX(DiemHKI!$B$4:$CP$58,MATCH($A18,DiemHKI!$B$4:$B$58,0),9),""),"")</f>
        <v/>
      </c>
      <c r="G18" s="300">
        <f>IF($A18&lt;&gt;"",IF(INDEX(BDHKI,MATCH($A18,DiemHKI!$B$4:$B$58,0),INDEX($AD$9:$AF$22,MATCH(G$7,$AD$9:$AD$22,0),2))&lt;&gt;"",INDEX(BDHKI,MATCH($A18,DiemHKI!$B$4:$B$58,0),INDEX($AD$9:$AF$22,MATCH(G$7,$AD$9:$AD$22,0),3)),""),"")</f>
        <v>9.6</v>
      </c>
      <c r="H18" s="301">
        <f>IF($A18&lt;&gt;"",IF(INDEX(BDHKI,MATCH($A18,DiemHKI!$B$4:$B$58,0),INDEX($AD$9:$AF$22,MATCH(H$7,$AD$9:$AD$22,0),2))&lt;&gt;"",INDEX(BDHKI,MATCH($A18,DiemHKI!$B$4:$B$58,0),INDEX($AD$9:$AF$22,MATCH(H$7,$AD$9:$AD$22,0),3)),""),"")</f>
        <v>9.3000000000000007</v>
      </c>
      <c r="I18" s="301">
        <f>IF($A18&lt;&gt;"",IF(INDEX(BDHKI,MATCH($A18,DiemHKI!$B$4:$B$58,0),INDEX($AD$9:$AF$22,MATCH(I$7,$AD$9:$AD$22,0),2))&lt;&gt;"",INDEX(BDHKI,MATCH($A18,DiemHKI!$B$4:$B$58,0),INDEX($AD$9:$AF$22,MATCH(I$7,$AD$9:$AD$22,0),3)),""),"")</f>
        <v>8.9</v>
      </c>
      <c r="J18" s="301">
        <f>IF($A18&lt;&gt;"",IF(INDEX(BDHKI,MATCH($A18,DiemHKI!$B$4:$B$58,0),INDEX($AD$9:$AF$22,MATCH(J$7,$AD$9:$AD$22,0),2))&lt;&gt;"",INDEX(BDHKI,MATCH($A18,DiemHKI!$B$4:$B$58,0),INDEX($AD$9:$AF$22,MATCH(J$7,$AD$9:$AD$22,0),3)),""),"")</f>
        <v>9.4</v>
      </c>
      <c r="K18" s="301">
        <f>IF($A18&lt;&gt;"",IF(INDEX(BDHKI,MATCH($A18,DiemHKI!$B$4:$B$58,0),INDEX($AD$9:$AF$22,MATCH(K$7,$AD$9:$AD$22,0),2))&lt;&gt;"",INDEX(BDHKI,MATCH($A18,DiemHKI!$B$4:$B$58,0),INDEX($AD$9:$AF$22,MATCH(K$7,$AD$9:$AD$22,0),3)),""),"")</f>
        <v>9.6</v>
      </c>
      <c r="L18" s="301">
        <f>IF($A18&lt;&gt;"",IF(INDEX(BDHKI,MATCH($A18,DiemHKI!$B$4:$B$58,0),INDEX($AD$9:$AF$22,MATCH(L$7,$AD$9:$AD$22,0),2))&lt;&gt;"",INDEX(BDHKI,MATCH($A18,DiemHKI!$B$4:$B$58,0),INDEX($AD$9:$AF$22,MATCH(L$7,$AD$9:$AD$22,0),3)),""),"")</f>
        <v>7.1</v>
      </c>
      <c r="M18" s="301">
        <f>IF($A18&lt;&gt;"",IF(INDEX(BDHKI,MATCH($A18,DiemHKI!$B$4:$B$58,0),INDEX($AD$9:$AF$22,MATCH(M$7,$AD$9:$AD$22,0),2))&lt;&gt;"",INDEX(BDHKI,MATCH($A18,DiemHKI!$B$4:$B$58,0),INDEX($AD$9:$AF$22,MATCH(M$7,$AD$9:$AD$22,0),3)),""),"")</f>
        <v>9.6</v>
      </c>
      <c r="N18" s="301">
        <f>IF($A18&lt;&gt;"",IF(INDEX(BDHKI,MATCH($A18,DiemHKI!$B$4:$B$58,0),INDEX($AD$9:$AF$22,MATCH(N$7,$AD$9:$AD$22,0),2))&lt;&gt;"",INDEX(BDHKI,MATCH($A18,DiemHKI!$B$4:$B$58,0),INDEX($AD$9:$AF$22,MATCH(N$7,$AD$9:$AD$22,0),3)),""),"")</f>
        <v>9.3000000000000007</v>
      </c>
      <c r="O18" s="301">
        <f>IF($A18&lt;&gt;"",IF(INDEX(BDHKI,MATCH($A18,DiemHKI!$B$4:$B$58,0),INDEX($AD$9:$AF$22,MATCH(O$7,$AD$9:$AD$22,0),2))&lt;&gt;"",INDEX(BDHKI,MATCH($A18,DiemHKI!$B$4:$B$58,0),INDEX($AD$9:$AF$22,MATCH(O$7,$AD$9:$AD$22,0),3)),""),"")</f>
        <v>9.3000000000000007</v>
      </c>
      <c r="P18" s="301">
        <f>IF($A18&lt;&gt;"",IF(INDEX(BDHKI,MATCH($A18,DiemHKI!$B$4:$B$58,0),INDEX($AD$9:$AF$22,MATCH(P$7,$AD$9:$AD$22,0),2))&lt;&gt;"",INDEX(BDHKI,MATCH($A18,DiemHKI!$B$4:$B$58,0),INDEX($AD$9:$AF$22,MATCH(P$7,$AD$9:$AD$22,0),3)),""),"")</f>
        <v>9.1</v>
      </c>
      <c r="Q18" s="301">
        <f>IF($A18&lt;&gt;"",IF(INDEX(BDHKI,MATCH($A18,DiemHKI!$B$4:$B$58,0),INDEX($AD$9:$AF$22,MATCH(Q$7,$AD$9:$AD$22,0),2))&lt;&gt;"",INDEX(BDHKI,MATCH($A18,DiemHKI!$B$4:$B$58,0),INDEX($AD$9:$AF$22,MATCH(Q$7,$AD$9:$AD$22,0),3)),""),"")</f>
        <v>9.9</v>
      </c>
      <c r="R18" s="279" t="str">
        <f>IF($A18&lt;&gt;"",IF(INDEX(BDHKI,MATCH($A18,DiemHKI!$B$4:$B$58,0),INDEX($AD$9:$AF$22,MATCH(R$7,$AD$9:$AD$22,0),2))&lt;&gt;"",INDEX(BDHKI,MATCH($A18,DiemHKI!$B$4:$B$58,0),INDEX($AD$9:$AF$22,MATCH(R$7,$AD$9:$AD$22,0),3)),""),"")</f>
        <v>Đ</v>
      </c>
      <c r="S18" s="279">
        <f t="shared" ref="S18:S57" si="7">IF(R18&lt;&gt;"",IF(R18="CĐ",3.4,8),"")</f>
        <v>8</v>
      </c>
      <c r="T18" s="301">
        <f>IF($A18&lt;&gt;"",IF(INDEX(BDHKI,MATCH($A18,DiemHKI!$B$4:$B$58,0),INDEX($AD$9:$AF$22,MATCH(T$7,$AD$9:$AD$22,0),2))&lt;&gt;"",INDEX(BDHKI,MATCH($A18,DiemHKI!$B$4:$B$58,0),INDEX($AD$9:$AF$22,MATCH(T$7,$AD$9:$AD$22,0),3)),""),"")</f>
        <v>9.4</v>
      </c>
      <c r="U18" s="302" t="str">
        <f>IF($A18&lt;&gt;"",IF(INDEX(BDHKI,MATCH($A18,DiemHKI!$B$4:$B$58,0),INDEX($AD$9:$AF$22,MATCH(U$7,$AD$9:$AD$22,0),2))&lt;&gt;"",INDEX(BDHKI,MATCH($A18,DiemHKI!$B$4:$B$58,0),INDEX($AD$9:$AF$22,MATCH(U$7,$AD$9:$AD$22,0),3)),""),"")</f>
        <v/>
      </c>
      <c r="V18" s="278">
        <f t="shared" ref="V18:V57" si="8">IF(COUNT(G18:Q18)&gt;=11,ROUND(AVERAGE(G18:Q18,T18),1),"")</f>
        <v>9.1999999999999993</v>
      </c>
      <c r="W18" s="279" t="str">
        <f t="shared" ref="W18:W57" si="9">IF(V18="","",IF(AND(V18&gt;=8,MIN(G18:T18)&gt;6.4,OR(G18&gt;=8,L18&gt;=8,O18&gt;=8)),"Giỏi",IF(OR(AND(V18&gt;=8,MIN(G18:T18)&gt;3.4,OR(G18&gt;=8,L18&gt;=8,O18&gt;=8),COUNT(G18:T18)-COUNTIF(G18:T18,"&gt;6.4")=1,COUNTIF(G18:T18,"&lt;5")=1),AND(V18&gt;=6.5,MIN(G18:T18)&gt;4.9,OR(G18&gt;=6.5,L18&gt;=6.5,O18&gt;=6.5))),"Khá",IF(OR(AND(V18&gt;6.4,MIN(G18:T18)&gt;1.9,OR(G18&gt;6.4,L18&gt;6.4,O18&gt;6.4),COUNT(G18:T18)-COUNTIF(G18:T18,"&gt;=5")=1,COUNTIF(G18:T18,"&lt;3.5")=1),AND(V18&gt;=8,OR(G18&gt;=8,L18&gt;=8,O18&gt;=8),COUNT(G18:T18)-COUNTIF(G18:T18,"&gt;=6.5")=1,MIN(G18:T18)&gt;1.9,COUNTIF(G18:T18,"&lt;3.5")=1),AND(V18&gt;=5,MIN(G18:T18)&gt;3.4,OR(G18&gt;=5,L18&gt;=5,O18&gt;=5))),"Tb",IF(OR(AND(V18&gt;=8,OR(G18&gt;=8,L18&gt;=8,O18&gt;=8),COUNT(G18:T18)-COUNTIF(G18:T18,"&gt;=5")=2,MIN(G18:T18)&gt;=2),AND(V18&gt;6.4,OR(G18&gt;6.4,L18&gt;6.4,O18&gt;6.4),COUNT(G18:T18)-COUNTIF(G18:T18,"&gt;=5")=1,COUNTIF(G18:T18,"&lt;2")=1),AND(V18&gt;3.4,MIN(G18:T18)&gt;1.9)),"Yếu","Kém")))))</f>
        <v>Giỏi</v>
      </c>
      <c r="X18" s="352" t="s">
        <v>38</v>
      </c>
      <c r="Y18" s="280" t="str">
        <f t="shared" ref="Y18:Y57" si="10">IF(A18="","",IF(AND(W18="Giỏi",X18="Tốt"),"HSG",IF(AND(W18="Giỏi",X18="Khá"),"HSTT",IF(AND(W18="Khá",OR(X18="Tốt",X18="Khá")),"HSTT",""))))</f>
        <v>HSG</v>
      </c>
      <c r="AA18" s="644">
        <f t="shared" si="4"/>
        <v>27</v>
      </c>
      <c r="AB18" s="1"/>
      <c r="AD18" s="268" t="s">
        <v>60</v>
      </c>
      <c r="AE18" s="268">
        <v>78</v>
      </c>
      <c r="AF18" s="268">
        <v>79</v>
      </c>
      <c r="AG18" s="268" t="str">
        <f>IF($A18&lt;&gt;"",INDEX(DiemHKI!$DI$4:$DI$58,MATCH($A18,DiemHKI!$B$4:$B$58,0),1),"")</f>
        <v>12A1Hồ NgọcHải25/10/2004</v>
      </c>
      <c r="AH18" s="674" t="str">
        <f t="shared" si="5"/>
        <v/>
      </c>
      <c r="AI18" s="672" t="str">
        <f t="shared" ca="1" si="6"/>
        <v/>
      </c>
      <c r="AJ18" s="1"/>
    </row>
    <row r="19" spans="1:36" s="268" customFormat="1" ht="29.1" customHeight="1">
      <c r="A19" s="281">
        <f>IF(A18&lt;MAX(DiemHKI!$B$4:$B$58),A18+1,"")</f>
        <v>12</v>
      </c>
      <c r="B19" s="32" t="str">
        <f>IF($A19&lt;&gt;"",PROPER(INDEX(DiemHKI!$B$4:$CP$58,MATCH($A19,DiemHKI!$B$4:$B$58,0),3)),"")</f>
        <v>Hồ Sơn</v>
      </c>
      <c r="C19" s="33" t="str">
        <f>IF($A19&lt;&gt;"",PROPER(INDEX(DiemHKI!$B$4:$CP$58,MATCH($A19,DiemHKI!$B$4:$B$58,0),4)),"")</f>
        <v>Hậu</v>
      </c>
      <c r="D19" s="284" t="str">
        <f>IF($A19&lt;&gt;"",IF(INDEX(DiemHKI!$B$4:$CP$58,MATCH($A19,DiemHKI!$B$4:$B$58,0),7)&lt;&gt;"",INDEX(DiemHKI!$B$4:$CP$58,MATCH($A19,DiemHKI!$B$4:$B$58,0),7),""),"")</f>
        <v/>
      </c>
      <c r="E19" s="284" t="str">
        <f>IF($A19&lt;&gt;"",IF(INDEX(DiemHKI!$B$4:$CP$58,MATCH($A19,DiemHKI!$B$4:$B$58,0),8)&lt;&gt;"",INDEX(DiemHKI!$B$4:$CP$58,MATCH($A19,DiemHKI!$B$4:$B$58,0),8),""),"")</f>
        <v/>
      </c>
      <c r="F19" s="284" t="str">
        <f>IF($A19&lt;&gt;"",IF(INDEX(DiemHKI!$B$4:$CP$58,MATCH($A19,DiemHKI!$B$4:$B$58,0),9)&lt;&gt;"",INDEX(DiemHKI!$B$4:$CP$58,MATCH($A19,DiemHKI!$B$4:$B$58,0),9),""),"")</f>
        <v/>
      </c>
      <c r="G19" s="285">
        <f>IF($A19&lt;&gt;"",IF(INDEX(BDHKI,MATCH($A19,DiemHKI!$B$4:$B$58,0),INDEX($AD$9:$AF$22,MATCH(G$7,$AD$9:$AD$22,0),2))&lt;&gt;"",INDEX(BDHKI,MATCH($A19,DiemHKI!$B$4:$B$58,0),INDEX($AD$9:$AF$22,MATCH(G$7,$AD$9:$AD$22,0),3)),""),"")</f>
        <v>9.4</v>
      </c>
      <c r="H19" s="286">
        <f>IF($A19&lt;&gt;"",IF(INDEX(BDHKI,MATCH($A19,DiemHKI!$B$4:$B$58,0),INDEX($AD$9:$AF$22,MATCH(H$7,$AD$9:$AD$22,0),2))&lt;&gt;"",INDEX(BDHKI,MATCH($A19,DiemHKI!$B$4:$B$58,0),INDEX($AD$9:$AF$22,MATCH(H$7,$AD$9:$AD$22,0),3)),""),"")</f>
        <v>9.6</v>
      </c>
      <c r="I19" s="286">
        <f>IF($A19&lt;&gt;"",IF(INDEX(BDHKI,MATCH($A19,DiemHKI!$B$4:$B$58,0),INDEX($AD$9:$AF$22,MATCH(I$7,$AD$9:$AD$22,0),2))&lt;&gt;"",INDEX(BDHKI,MATCH($A19,DiemHKI!$B$4:$B$58,0),INDEX($AD$9:$AF$22,MATCH(I$7,$AD$9:$AD$22,0),3)),""),"")</f>
        <v>9.1</v>
      </c>
      <c r="J19" s="286">
        <f>IF($A19&lt;&gt;"",IF(INDEX(BDHKI,MATCH($A19,DiemHKI!$B$4:$B$58,0),INDEX($AD$9:$AF$22,MATCH(J$7,$AD$9:$AD$22,0),2))&lt;&gt;"",INDEX(BDHKI,MATCH($A19,DiemHKI!$B$4:$B$58,0),INDEX($AD$9:$AF$22,MATCH(J$7,$AD$9:$AD$22,0),3)),""),"")</f>
        <v>9.1</v>
      </c>
      <c r="K19" s="286">
        <f>IF($A19&lt;&gt;"",IF(INDEX(BDHKI,MATCH($A19,DiemHKI!$B$4:$B$58,0),INDEX($AD$9:$AF$22,MATCH(K$7,$AD$9:$AD$22,0),2))&lt;&gt;"",INDEX(BDHKI,MATCH($A19,DiemHKI!$B$4:$B$58,0),INDEX($AD$9:$AF$22,MATCH(K$7,$AD$9:$AD$22,0),3)),""),"")</f>
        <v>9.6</v>
      </c>
      <c r="L19" s="286">
        <f>IF($A19&lt;&gt;"",IF(INDEX(BDHKI,MATCH($A19,DiemHKI!$B$4:$B$58,0),INDEX($AD$9:$AF$22,MATCH(L$7,$AD$9:$AD$22,0),2))&lt;&gt;"",INDEX(BDHKI,MATCH($A19,DiemHKI!$B$4:$B$58,0),INDEX($AD$9:$AF$22,MATCH(L$7,$AD$9:$AD$22,0),3)),""),"")</f>
        <v>7.4</v>
      </c>
      <c r="M19" s="286">
        <f>IF($A19&lt;&gt;"",IF(INDEX(BDHKI,MATCH($A19,DiemHKI!$B$4:$B$58,0),INDEX($AD$9:$AF$22,MATCH(M$7,$AD$9:$AD$22,0),2))&lt;&gt;"",INDEX(BDHKI,MATCH($A19,DiemHKI!$B$4:$B$58,0),INDEX($AD$9:$AF$22,MATCH(M$7,$AD$9:$AD$22,0),3)),""),"")</f>
        <v>9.8000000000000007</v>
      </c>
      <c r="N19" s="286">
        <f>IF($A19&lt;&gt;"",IF(INDEX(BDHKI,MATCH($A19,DiemHKI!$B$4:$B$58,0),INDEX($AD$9:$AF$22,MATCH(N$7,$AD$9:$AD$22,0),2))&lt;&gt;"",INDEX(BDHKI,MATCH($A19,DiemHKI!$B$4:$B$58,0),INDEX($AD$9:$AF$22,MATCH(N$7,$AD$9:$AD$22,0),3)),""),"")</f>
        <v>9.9</v>
      </c>
      <c r="O19" s="286">
        <f>IF($A19&lt;&gt;"",IF(INDEX(BDHKI,MATCH($A19,DiemHKI!$B$4:$B$58,0),INDEX($AD$9:$AF$22,MATCH(O$7,$AD$9:$AD$22,0),2))&lt;&gt;"",INDEX(BDHKI,MATCH($A19,DiemHKI!$B$4:$B$58,0),INDEX($AD$9:$AF$22,MATCH(O$7,$AD$9:$AD$22,0),3)),""),"")</f>
        <v>7.6</v>
      </c>
      <c r="P19" s="286">
        <f>IF($A19&lt;&gt;"",IF(INDEX(BDHKI,MATCH($A19,DiemHKI!$B$4:$B$58,0),INDEX($AD$9:$AF$22,MATCH(P$7,$AD$9:$AD$22,0),2))&lt;&gt;"",INDEX(BDHKI,MATCH($A19,DiemHKI!$B$4:$B$58,0),INDEX($AD$9:$AF$22,MATCH(P$7,$AD$9:$AD$22,0),3)),""),"")</f>
        <v>9.1</v>
      </c>
      <c r="Q19" s="286">
        <f>IF($A19&lt;&gt;"",IF(INDEX(BDHKI,MATCH($A19,DiemHKI!$B$4:$B$58,0),INDEX($AD$9:$AF$22,MATCH(Q$7,$AD$9:$AD$22,0),2))&lt;&gt;"",INDEX(BDHKI,MATCH($A19,DiemHKI!$B$4:$B$58,0),INDEX($AD$9:$AF$22,MATCH(Q$7,$AD$9:$AD$22,0),3)),""),"")</f>
        <v>9.9</v>
      </c>
      <c r="R19" s="464" t="str">
        <f>IF($A19&lt;&gt;"",IF(INDEX(BDHKI,MATCH($A19,DiemHKI!$B$4:$B$58,0),INDEX($AD$9:$AF$22,MATCH(R$7,$AD$9:$AD$22,0),2))&lt;&gt;"",INDEX(BDHKI,MATCH($A19,DiemHKI!$B$4:$B$58,0),INDEX($AD$9:$AF$22,MATCH(R$7,$AD$9:$AD$22,0),3)),""),"")</f>
        <v>Đ</v>
      </c>
      <c r="S19" s="464">
        <f t="shared" si="7"/>
        <v>8</v>
      </c>
      <c r="T19" s="286">
        <f>IF($A19&lt;&gt;"",IF(INDEX(BDHKI,MATCH($A19,DiemHKI!$B$4:$B$58,0),INDEX($AD$9:$AF$22,MATCH(T$7,$AD$9:$AD$22,0),2))&lt;&gt;"",INDEX(BDHKI,MATCH($A19,DiemHKI!$B$4:$B$58,0),INDEX($AD$9:$AF$22,MATCH(T$7,$AD$9:$AD$22,0),3)),""),"")</f>
        <v>9.9</v>
      </c>
      <c r="U19" s="287" t="str">
        <f>IF($A19&lt;&gt;"",IF(INDEX(BDHKI,MATCH($A19,DiemHKI!$B$4:$B$58,0),INDEX($AD$9:$AF$22,MATCH(U$7,$AD$9:$AD$22,0),2))&lt;&gt;"",INDEX(BDHKI,MATCH($A19,DiemHKI!$B$4:$B$58,0),INDEX($AD$9:$AF$22,MATCH(U$7,$AD$9:$AD$22,0),3)),""),"")</f>
        <v/>
      </c>
      <c r="V19" s="288">
        <f t="shared" si="8"/>
        <v>9.1999999999999993</v>
      </c>
      <c r="W19" s="464" t="str">
        <f t="shared" si="9"/>
        <v>Giỏi</v>
      </c>
      <c r="X19" s="353" t="s">
        <v>38</v>
      </c>
      <c r="Y19" s="289" t="str">
        <f t="shared" si="10"/>
        <v>HSG</v>
      </c>
      <c r="AA19" s="644">
        <f t="shared" si="4"/>
        <v>27</v>
      </c>
      <c r="AB19" s="1"/>
      <c r="AD19" s="268" t="s">
        <v>34</v>
      </c>
      <c r="AE19" s="268">
        <v>85</v>
      </c>
      <c r="AF19" s="268">
        <v>86</v>
      </c>
      <c r="AG19" s="268" t="str">
        <f>IF($A19&lt;&gt;"",INDEX(DiemHKI!$DI$4:$DI$58,MATCH($A19,DiemHKI!$B$4:$B$58,0),1),"")</f>
        <v>12A1Hồ SơnHậu08/01/2004</v>
      </c>
      <c r="AH19" s="674" t="str">
        <f t="shared" si="5"/>
        <v/>
      </c>
      <c r="AI19" s="672" t="str">
        <f t="shared" ca="1" si="6"/>
        <v/>
      </c>
    </row>
    <row r="20" spans="1:36" s="268" customFormat="1" ht="29.1" customHeight="1">
      <c r="A20" s="281">
        <f>IF(A19&lt;MAX(DiemHKI!$B$4:$B$58),A19+1,"")</f>
        <v>13</v>
      </c>
      <c r="B20" s="32" t="str">
        <f>IF($A20&lt;&gt;"",PROPER(INDEX(DiemHKI!$B$4:$CP$58,MATCH($A20,DiemHKI!$B$4:$B$58,0),3)),"")</f>
        <v xml:space="preserve">Nguyễn Thị Thu </v>
      </c>
      <c r="C20" s="33" t="str">
        <f>IF($A20&lt;&gt;"",PROPER(INDEX(DiemHKI!$B$4:$CP$58,MATCH($A20,DiemHKI!$B$4:$B$58,0),4)),"")</f>
        <v>Hiền</v>
      </c>
      <c r="D20" s="284" t="str">
        <f>IF($A20&lt;&gt;"",IF(INDEX(DiemHKI!$B$4:$CP$58,MATCH($A20,DiemHKI!$B$4:$B$58,0),7)&lt;&gt;"",INDEX(DiemHKI!$B$4:$CP$58,MATCH($A20,DiemHKI!$B$4:$B$58,0),7),""),"")</f>
        <v>x</v>
      </c>
      <c r="E20" s="284" t="str">
        <f>IF($A20&lt;&gt;"",IF(INDEX(DiemHKI!$B$4:$CP$58,MATCH($A20,DiemHKI!$B$4:$B$58,0),8)&lt;&gt;"",INDEX(DiemHKI!$B$4:$CP$58,MATCH($A20,DiemHKI!$B$4:$B$58,0),8),""),"")</f>
        <v/>
      </c>
      <c r="F20" s="284" t="str">
        <f>IF($A20&lt;&gt;"",IF(INDEX(DiemHKI!$B$4:$CP$58,MATCH($A20,DiemHKI!$B$4:$B$58,0),9)&lt;&gt;"",INDEX(DiemHKI!$B$4:$CP$58,MATCH($A20,DiemHKI!$B$4:$B$58,0),9),""),"")</f>
        <v/>
      </c>
      <c r="G20" s="285">
        <f>IF($A20&lt;&gt;"",IF(INDEX(BDHKI,MATCH($A20,DiemHKI!$B$4:$B$58,0),INDEX($AD$9:$AF$22,MATCH(G$7,$AD$9:$AD$22,0),2))&lt;&gt;"",INDEX(BDHKI,MATCH($A20,DiemHKI!$B$4:$B$58,0),INDEX($AD$9:$AF$22,MATCH(G$7,$AD$9:$AD$22,0),3)),""),"")</f>
        <v>9.8000000000000007</v>
      </c>
      <c r="H20" s="286">
        <f>IF($A20&lt;&gt;"",IF(INDEX(BDHKI,MATCH($A20,DiemHKI!$B$4:$B$58,0),INDEX($AD$9:$AF$22,MATCH(H$7,$AD$9:$AD$22,0),2))&lt;&gt;"",INDEX(BDHKI,MATCH($A20,DiemHKI!$B$4:$B$58,0),INDEX($AD$9:$AF$22,MATCH(H$7,$AD$9:$AD$22,0),3)),""),"")</f>
        <v>9.9</v>
      </c>
      <c r="I20" s="286">
        <f>IF($A20&lt;&gt;"",IF(INDEX(BDHKI,MATCH($A20,DiemHKI!$B$4:$B$58,0),INDEX($AD$9:$AF$22,MATCH(I$7,$AD$9:$AD$22,0),2))&lt;&gt;"",INDEX(BDHKI,MATCH($A20,DiemHKI!$B$4:$B$58,0),INDEX($AD$9:$AF$22,MATCH(I$7,$AD$9:$AD$22,0),3)),""),"")</f>
        <v>9.6</v>
      </c>
      <c r="J20" s="286">
        <f>IF($A20&lt;&gt;"",IF(INDEX(BDHKI,MATCH($A20,DiemHKI!$B$4:$B$58,0),INDEX($AD$9:$AF$22,MATCH(J$7,$AD$9:$AD$22,0),2))&lt;&gt;"",INDEX(BDHKI,MATCH($A20,DiemHKI!$B$4:$B$58,0),INDEX($AD$9:$AF$22,MATCH(J$7,$AD$9:$AD$22,0),3)),""),"")</f>
        <v>9.3000000000000007</v>
      </c>
      <c r="K20" s="286">
        <f>IF($A20&lt;&gt;"",IF(INDEX(BDHKI,MATCH($A20,DiemHKI!$B$4:$B$58,0),INDEX($AD$9:$AF$22,MATCH(K$7,$AD$9:$AD$22,0),2))&lt;&gt;"",INDEX(BDHKI,MATCH($A20,DiemHKI!$B$4:$B$58,0),INDEX($AD$9:$AF$22,MATCH(K$7,$AD$9:$AD$22,0),3)),""),"")</f>
        <v>9.6</v>
      </c>
      <c r="L20" s="286">
        <f>IF($A20&lt;&gt;"",IF(INDEX(BDHKI,MATCH($A20,DiemHKI!$B$4:$B$58,0),INDEX($AD$9:$AF$22,MATCH(L$7,$AD$9:$AD$22,0),2))&lt;&gt;"",INDEX(BDHKI,MATCH($A20,DiemHKI!$B$4:$B$58,0),INDEX($AD$9:$AF$22,MATCH(L$7,$AD$9:$AD$22,0),3)),""),"")</f>
        <v>8.3000000000000007</v>
      </c>
      <c r="M20" s="286">
        <f>IF($A20&lt;&gt;"",IF(INDEX(BDHKI,MATCH($A20,DiemHKI!$B$4:$B$58,0),INDEX($AD$9:$AF$22,MATCH(M$7,$AD$9:$AD$22,0),2))&lt;&gt;"",INDEX(BDHKI,MATCH($A20,DiemHKI!$B$4:$B$58,0),INDEX($AD$9:$AF$22,MATCH(M$7,$AD$9:$AD$22,0),3)),""),"")</f>
        <v>9.9</v>
      </c>
      <c r="N20" s="286">
        <f>IF($A20&lt;&gt;"",IF(INDEX(BDHKI,MATCH($A20,DiemHKI!$B$4:$B$58,0),INDEX($AD$9:$AF$22,MATCH(N$7,$AD$9:$AD$22,0),2))&lt;&gt;"",INDEX(BDHKI,MATCH($A20,DiemHKI!$B$4:$B$58,0),INDEX($AD$9:$AF$22,MATCH(N$7,$AD$9:$AD$22,0),3)),""),"")</f>
        <v>9.9</v>
      </c>
      <c r="O20" s="286">
        <f>IF($A20&lt;&gt;"",IF(INDEX(BDHKI,MATCH($A20,DiemHKI!$B$4:$B$58,0),INDEX($AD$9:$AF$22,MATCH(O$7,$AD$9:$AD$22,0),2))&lt;&gt;"",INDEX(BDHKI,MATCH($A20,DiemHKI!$B$4:$B$58,0),INDEX($AD$9:$AF$22,MATCH(O$7,$AD$9:$AD$22,0),3)),""),"")</f>
        <v>9.4</v>
      </c>
      <c r="P20" s="286">
        <f>IF($A20&lt;&gt;"",IF(INDEX(BDHKI,MATCH($A20,DiemHKI!$B$4:$B$58,0),INDEX($AD$9:$AF$22,MATCH(P$7,$AD$9:$AD$22,0),2))&lt;&gt;"",INDEX(BDHKI,MATCH($A20,DiemHKI!$B$4:$B$58,0),INDEX($AD$9:$AF$22,MATCH(P$7,$AD$9:$AD$22,0),3)),""),"")</f>
        <v>9.4</v>
      </c>
      <c r="Q20" s="286">
        <f>IF($A20&lt;&gt;"",IF(INDEX(BDHKI,MATCH($A20,DiemHKI!$B$4:$B$58,0),INDEX($AD$9:$AF$22,MATCH(Q$7,$AD$9:$AD$22,0),2))&lt;&gt;"",INDEX(BDHKI,MATCH($A20,DiemHKI!$B$4:$B$58,0),INDEX($AD$9:$AF$22,MATCH(Q$7,$AD$9:$AD$22,0),3)),""),"")</f>
        <v>9.9</v>
      </c>
      <c r="R20" s="464" t="str">
        <f>IF($A20&lt;&gt;"",IF(INDEX(BDHKI,MATCH($A20,DiemHKI!$B$4:$B$58,0),INDEX($AD$9:$AF$22,MATCH(R$7,$AD$9:$AD$22,0),2))&lt;&gt;"",INDEX(BDHKI,MATCH($A20,DiemHKI!$B$4:$B$58,0),INDEX($AD$9:$AF$22,MATCH(R$7,$AD$9:$AD$22,0),3)),""),"")</f>
        <v>Đ</v>
      </c>
      <c r="S20" s="464">
        <f t="shared" si="7"/>
        <v>8</v>
      </c>
      <c r="T20" s="286">
        <f>IF($A20&lt;&gt;"",IF(INDEX(BDHKI,MATCH($A20,DiemHKI!$B$4:$B$58,0),INDEX($AD$9:$AF$22,MATCH(T$7,$AD$9:$AD$22,0),2))&lt;&gt;"",INDEX(BDHKI,MATCH($A20,DiemHKI!$B$4:$B$58,0),INDEX($AD$9:$AF$22,MATCH(T$7,$AD$9:$AD$22,0),3)),""),"")</f>
        <v>9.4</v>
      </c>
      <c r="U20" s="287" t="str">
        <f>IF($A20&lt;&gt;"",IF(INDEX(BDHKI,MATCH($A20,DiemHKI!$B$4:$B$58,0),INDEX($AD$9:$AF$22,MATCH(U$7,$AD$9:$AD$22,0),2))&lt;&gt;"",INDEX(BDHKI,MATCH($A20,DiemHKI!$B$4:$B$58,0),INDEX($AD$9:$AF$22,MATCH(U$7,$AD$9:$AD$22,0),3)),""),"")</f>
        <v/>
      </c>
      <c r="V20" s="288">
        <f t="shared" si="8"/>
        <v>9.5</v>
      </c>
      <c r="W20" s="464" t="str">
        <f t="shared" si="9"/>
        <v>Giỏi</v>
      </c>
      <c r="X20" s="353" t="s">
        <v>38</v>
      </c>
      <c r="Y20" s="289" t="str">
        <f t="shared" si="10"/>
        <v>HSG</v>
      </c>
      <c r="AA20" s="644">
        <f t="shared" si="4"/>
        <v>3</v>
      </c>
      <c r="AB20" s="1"/>
      <c r="AD20" s="268" t="s">
        <v>35</v>
      </c>
      <c r="AE20" s="268">
        <v>92</v>
      </c>
      <c r="AF20" s="268">
        <v>93</v>
      </c>
      <c r="AG20" s="268" t="str">
        <f>IF($A20&lt;&gt;"",INDEX(DiemHKI!$DI$4:$DI$58,MATCH($A20,DiemHKI!$B$4:$B$58,0),1),"")</f>
        <v>12A1Nguyễn Thị ThuHiền20/05/2004</v>
      </c>
      <c r="AH20" s="674" t="str">
        <f t="shared" si="5"/>
        <v/>
      </c>
      <c r="AI20" s="672" t="str">
        <f t="shared" ca="1" si="6"/>
        <v/>
      </c>
    </row>
    <row r="21" spans="1:36" s="268" customFormat="1" ht="29.1" customHeight="1">
      <c r="A21" s="281">
        <f>IF(A20&lt;MAX(DiemHKI!$B$4:$B$58),A20+1,"")</f>
        <v>14</v>
      </c>
      <c r="B21" s="32" t="str">
        <f>IF($A21&lt;&gt;"",PROPER(INDEX(DiemHKI!$B$4:$CP$58,MATCH($A21,DiemHKI!$B$4:$B$58,0),3)),"")</f>
        <v>Lê Phan Ngọc</v>
      </c>
      <c r="C21" s="33" t="str">
        <f>IF($A21&lt;&gt;"",PROPER(INDEX(DiemHKI!$B$4:$CP$58,MATCH($A21,DiemHKI!$B$4:$B$58,0),4)),"")</f>
        <v>Hiếu</v>
      </c>
      <c r="D21" s="284" t="str">
        <f>IF($A21&lt;&gt;"",IF(INDEX(DiemHKI!$B$4:$CP$58,MATCH($A21,DiemHKI!$B$4:$B$58,0),7)&lt;&gt;"",INDEX(DiemHKI!$B$4:$CP$58,MATCH($A21,DiemHKI!$B$4:$B$58,0),7),""),"")</f>
        <v/>
      </c>
      <c r="E21" s="284" t="str">
        <f>IF($A21&lt;&gt;"",IF(INDEX(DiemHKI!$B$4:$CP$58,MATCH($A21,DiemHKI!$B$4:$B$58,0),8)&lt;&gt;"",INDEX(DiemHKI!$B$4:$CP$58,MATCH($A21,DiemHKI!$B$4:$B$58,0),8),""),"")</f>
        <v/>
      </c>
      <c r="F21" s="284" t="str">
        <f>IF($A21&lt;&gt;"",IF(INDEX(DiemHKI!$B$4:$CP$58,MATCH($A21,DiemHKI!$B$4:$B$58,0),9)&lt;&gt;"",INDEX(DiemHKI!$B$4:$CP$58,MATCH($A21,DiemHKI!$B$4:$B$58,0),9),""),"")</f>
        <v/>
      </c>
      <c r="G21" s="285">
        <f>IF($A21&lt;&gt;"",IF(INDEX(BDHKI,MATCH($A21,DiemHKI!$B$4:$B$58,0),INDEX($AD$9:$AF$22,MATCH(G$7,$AD$9:$AD$22,0),2))&lt;&gt;"",INDEX(BDHKI,MATCH($A21,DiemHKI!$B$4:$B$58,0),INDEX($AD$9:$AF$22,MATCH(G$7,$AD$9:$AD$22,0),3)),""),"")</f>
        <v>9.9</v>
      </c>
      <c r="H21" s="286">
        <f>IF($A21&lt;&gt;"",IF(INDEX(BDHKI,MATCH($A21,DiemHKI!$B$4:$B$58,0),INDEX($AD$9:$AF$22,MATCH(H$7,$AD$9:$AD$22,0),2))&lt;&gt;"",INDEX(BDHKI,MATCH($A21,DiemHKI!$B$4:$B$58,0),INDEX($AD$9:$AF$22,MATCH(H$7,$AD$9:$AD$22,0),3)),""),"")</f>
        <v>9.9</v>
      </c>
      <c r="I21" s="286">
        <f>IF($A21&lt;&gt;"",IF(INDEX(BDHKI,MATCH($A21,DiemHKI!$B$4:$B$58,0),INDEX($AD$9:$AF$22,MATCH(I$7,$AD$9:$AD$22,0),2))&lt;&gt;"",INDEX(BDHKI,MATCH($A21,DiemHKI!$B$4:$B$58,0),INDEX($AD$9:$AF$22,MATCH(I$7,$AD$9:$AD$22,0),3)),""),"")</f>
        <v>9.1999999999999993</v>
      </c>
      <c r="J21" s="286">
        <f>IF($A21&lt;&gt;"",IF(INDEX(BDHKI,MATCH($A21,DiemHKI!$B$4:$B$58,0),INDEX($AD$9:$AF$22,MATCH(J$7,$AD$9:$AD$22,0),2))&lt;&gt;"",INDEX(BDHKI,MATCH($A21,DiemHKI!$B$4:$B$58,0),INDEX($AD$9:$AF$22,MATCH(J$7,$AD$9:$AD$22,0),3)),""),"")</f>
        <v>9</v>
      </c>
      <c r="K21" s="286">
        <f>IF($A21&lt;&gt;"",IF(INDEX(BDHKI,MATCH($A21,DiemHKI!$B$4:$B$58,0),INDEX($AD$9:$AF$22,MATCH(K$7,$AD$9:$AD$22,0),2))&lt;&gt;"",INDEX(BDHKI,MATCH($A21,DiemHKI!$B$4:$B$58,0),INDEX($AD$9:$AF$22,MATCH(K$7,$AD$9:$AD$22,0),3)),""),"")</f>
        <v>9.6</v>
      </c>
      <c r="L21" s="286">
        <f>IF($A21&lt;&gt;"",IF(INDEX(BDHKI,MATCH($A21,DiemHKI!$B$4:$B$58,0),INDEX($AD$9:$AF$22,MATCH(L$7,$AD$9:$AD$22,0),2))&lt;&gt;"",INDEX(BDHKI,MATCH($A21,DiemHKI!$B$4:$B$58,0),INDEX($AD$9:$AF$22,MATCH(L$7,$AD$9:$AD$22,0),3)),""),"")</f>
        <v>7.2</v>
      </c>
      <c r="M21" s="286">
        <f>IF($A21&lt;&gt;"",IF(INDEX(BDHKI,MATCH($A21,DiemHKI!$B$4:$B$58,0),INDEX($AD$9:$AF$22,MATCH(M$7,$AD$9:$AD$22,0),2))&lt;&gt;"",INDEX(BDHKI,MATCH($A21,DiemHKI!$B$4:$B$58,0),INDEX($AD$9:$AF$22,MATCH(M$7,$AD$9:$AD$22,0),3)),""),"")</f>
        <v>9.4</v>
      </c>
      <c r="N21" s="286">
        <f>IF($A21&lt;&gt;"",IF(INDEX(BDHKI,MATCH($A21,DiemHKI!$B$4:$B$58,0),INDEX($AD$9:$AF$22,MATCH(N$7,$AD$9:$AD$22,0),2))&lt;&gt;"",INDEX(BDHKI,MATCH($A21,DiemHKI!$B$4:$B$58,0),INDEX($AD$9:$AF$22,MATCH(N$7,$AD$9:$AD$22,0),3)),""),"")</f>
        <v>9.3000000000000007</v>
      </c>
      <c r="O21" s="286">
        <f>IF($A21&lt;&gt;"",IF(INDEX(BDHKI,MATCH($A21,DiemHKI!$B$4:$B$58,0),INDEX($AD$9:$AF$22,MATCH(O$7,$AD$9:$AD$22,0),2))&lt;&gt;"",INDEX(BDHKI,MATCH($A21,DiemHKI!$B$4:$B$58,0),INDEX($AD$9:$AF$22,MATCH(O$7,$AD$9:$AD$22,0),3)),""),"")</f>
        <v>8.1999999999999993</v>
      </c>
      <c r="P21" s="286">
        <f>IF($A21&lt;&gt;"",IF(INDEX(BDHKI,MATCH($A21,DiemHKI!$B$4:$B$58,0),INDEX($AD$9:$AF$22,MATCH(P$7,$AD$9:$AD$22,0),2))&lt;&gt;"",INDEX(BDHKI,MATCH($A21,DiemHKI!$B$4:$B$58,0),INDEX($AD$9:$AF$22,MATCH(P$7,$AD$9:$AD$22,0),3)),""),"")</f>
        <v>9.4</v>
      </c>
      <c r="Q21" s="286">
        <f>IF($A21&lt;&gt;"",IF(INDEX(BDHKI,MATCH($A21,DiemHKI!$B$4:$B$58,0),INDEX($AD$9:$AF$22,MATCH(Q$7,$AD$9:$AD$22,0),2))&lt;&gt;"",INDEX(BDHKI,MATCH($A21,DiemHKI!$B$4:$B$58,0),INDEX($AD$9:$AF$22,MATCH(Q$7,$AD$9:$AD$22,0),3)),""),"")</f>
        <v>9.9</v>
      </c>
      <c r="R21" s="464" t="str">
        <f>IF($A21&lt;&gt;"",IF(INDEX(BDHKI,MATCH($A21,DiemHKI!$B$4:$B$58,0),INDEX($AD$9:$AF$22,MATCH(R$7,$AD$9:$AD$22,0),2))&lt;&gt;"",INDEX(BDHKI,MATCH($A21,DiemHKI!$B$4:$B$58,0),INDEX($AD$9:$AF$22,MATCH(R$7,$AD$9:$AD$22,0),3)),""),"")</f>
        <v>Đ</v>
      </c>
      <c r="S21" s="464">
        <f t="shared" si="7"/>
        <v>8</v>
      </c>
      <c r="T21" s="286">
        <f>IF($A21&lt;&gt;"",IF(INDEX(BDHKI,MATCH($A21,DiemHKI!$B$4:$B$58,0),INDEX($AD$9:$AF$22,MATCH(T$7,$AD$9:$AD$22,0),2))&lt;&gt;"",INDEX(BDHKI,MATCH($A21,DiemHKI!$B$4:$B$58,0),INDEX($AD$9:$AF$22,MATCH(T$7,$AD$9:$AD$22,0),3)),""),"")</f>
        <v>9.9</v>
      </c>
      <c r="U21" s="287" t="str">
        <f>IF($A21&lt;&gt;"",IF(INDEX(BDHKI,MATCH($A21,DiemHKI!$B$4:$B$58,0),INDEX($AD$9:$AF$22,MATCH(U$7,$AD$9:$AD$22,0),2))&lt;&gt;"",INDEX(BDHKI,MATCH($A21,DiemHKI!$B$4:$B$58,0),INDEX($AD$9:$AF$22,MATCH(U$7,$AD$9:$AD$22,0),3)),""),"")</f>
        <v/>
      </c>
      <c r="V21" s="288">
        <f t="shared" si="8"/>
        <v>9.1999999999999993</v>
      </c>
      <c r="W21" s="464" t="str">
        <f t="shared" si="9"/>
        <v>Giỏi</v>
      </c>
      <c r="X21" s="353" t="s">
        <v>38</v>
      </c>
      <c r="Y21" s="289" t="str">
        <f t="shared" si="10"/>
        <v>HSG</v>
      </c>
      <c r="AA21" s="644">
        <f t="shared" si="4"/>
        <v>27</v>
      </c>
      <c r="AB21" s="1"/>
      <c r="AD21" s="268" t="s">
        <v>121</v>
      </c>
      <c r="AE21" s="268">
        <v>99</v>
      </c>
      <c r="AF21" s="268">
        <v>100</v>
      </c>
      <c r="AG21" s="268" t="str">
        <f>IF($A21&lt;&gt;"",INDEX(DiemHKI!$DI$4:$DI$58,MATCH($A21,DiemHKI!$B$4:$B$58,0),1),"")</f>
        <v>12A1Lê Phan NgọcHiếu01/02/2004</v>
      </c>
      <c r="AH21" s="674" t="str">
        <f t="shared" si="5"/>
        <v/>
      </c>
      <c r="AI21" s="672" t="str">
        <f t="shared" ca="1" si="6"/>
        <v/>
      </c>
    </row>
    <row r="22" spans="1:36" s="268" customFormat="1" ht="29.1" customHeight="1" thickBot="1">
      <c r="A22" s="290">
        <f>IF(A21&lt;MAX(DiemHKI!$B$4:$B$58),A21+1,"")</f>
        <v>15</v>
      </c>
      <c r="B22" s="44" t="str">
        <f>IF($A22&lt;&gt;"",PROPER(INDEX(DiemHKI!$B$4:$CP$58,MATCH($A22,DiemHKI!$B$4:$B$58,0),3)),"")</f>
        <v>Trần Hoàng</v>
      </c>
      <c r="C22" s="45" t="str">
        <f>IF($A22&lt;&gt;"",PROPER(INDEX(DiemHKI!$B$4:$CP$58,MATCH($A22,DiemHKI!$B$4:$B$58,0),4)),"")</f>
        <v>Hưng</v>
      </c>
      <c r="D22" s="293" t="str">
        <f>IF($A22&lt;&gt;"",IF(INDEX(DiemHKI!$B$4:$CP$58,MATCH($A22,DiemHKI!$B$4:$B$58,0),7)&lt;&gt;"",INDEX(DiemHKI!$B$4:$CP$58,MATCH($A22,DiemHKI!$B$4:$B$58,0),7),""),"")</f>
        <v/>
      </c>
      <c r="E22" s="293" t="str">
        <f>IF($A22&lt;&gt;"",IF(INDEX(DiemHKI!$B$4:$CP$58,MATCH($A22,DiemHKI!$B$4:$B$58,0),8)&lt;&gt;"",INDEX(DiemHKI!$B$4:$CP$58,MATCH($A22,DiemHKI!$B$4:$B$58,0),8),""),"")</f>
        <v/>
      </c>
      <c r="F22" s="293" t="str">
        <f>IF($A22&lt;&gt;"",IF(INDEX(DiemHKI!$B$4:$CP$58,MATCH($A22,DiemHKI!$B$4:$B$58,0),9)&lt;&gt;"",INDEX(DiemHKI!$B$4:$CP$58,MATCH($A22,DiemHKI!$B$4:$B$58,0),9),""),"")</f>
        <v/>
      </c>
      <c r="G22" s="294">
        <f>IF($A22&lt;&gt;"",IF(INDEX(BDHKI,MATCH($A22,DiemHKI!$B$4:$B$58,0),INDEX($AD$9:$AF$22,MATCH(G$7,$AD$9:$AD$22,0),2))&lt;&gt;"",INDEX(BDHKI,MATCH($A22,DiemHKI!$B$4:$B$58,0),INDEX($AD$9:$AF$22,MATCH(G$7,$AD$9:$AD$22,0),3)),""),"")</f>
        <v>9.6999999999999993</v>
      </c>
      <c r="H22" s="295">
        <f>IF($A22&lt;&gt;"",IF(INDEX(BDHKI,MATCH($A22,DiemHKI!$B$4:$B$58,0),INDEX($AD$9:$AF$22,MATCH(H$7,$AD$9:$AD$22,0),2))&lt;&gt;"",INDEX(BDHKI,MATCH($A22,DiemHKI!$B$4:$B$58,0),INDEX($AD$9:$AF$22,MATCH(H$7,$AD$9:$AD$22,0),3)),""),"")</f>
        <v>9.8000000000000007</v>
      </c>
      <c r="I22" s="295">
        <f>IF($A22&lt;&gt;"",IF(INDEX(BDHKI,MATCH($A22,DiemHKI!$B$4:$B$58,0),INDEX($AD$9:$AF$22,MATCH(I$7,$AD$9:$AD$22,0),2))&lt;&gt;"",INDEX(BDHKI,MATCH($A22,DiemHKI!$B$4:$B$58,0),INDEX($AD$9:$AF$22,MATCH(I$7,$AD$9:$AD$22,0),3)),""),"")</f>
        <v>9</v>
      </c>
      <c r="J22" s="295">
        <f>IF($A22&lt;&gt;"",IF(INDEX(BDHKI,MATCH($A22,DiemHKI!$B$4:$B$58,0),INDEX($AD$9:$AF$22,MATCH(J$7,$AD$9:$AD$22,0),2))&lt;&gt;"",INDEX(BDHKI,MATCH($A22,DiemHKI!$B$4:$B$58,0),INDEX($AD$9:$AF$22,MATCH(J$7,$AD$9:$AD$22,0),3)),""),"")</f>
        <v>8.8000000000000007</v>
      </c>
      <c r="K22" s="295">
        <f>IF($A22&lt;&gt;"",IF(INDEX(BDHKI,MATCH($A22,DiemHKI!$B$4:$B$58,0),INDEX($AD$9:$AF$22,MATCH(K$7,$AD$9:$AD$22,0),2))&lt;&gt;"",INDEX(BDHKI,MATCH($A22,DiemHKI!$B$4:$B$58,0),INDEX($AD$9:$AF$22,MATCH(K$7,$AD$9:$AD$22,0),3)),""),"")</f>
        <v>9.8000000000000007</v>
      </c>
      <c r="L22" s="295">
        <f>IF($A22&lt;&gt;"",IF(INDEX(BDHKI,MATCH($A22,DiemHKI!$B$4:$B$58,0),INDEX($AD$9:$AF$22,MATCH(L$7,$AD$9:$AD$22,0),2))&lt;&gt;"",INDEX(BDHKI,MATCH($A22,DiemHKI!$B$4:$B$58,0),INDEX($AD$9:$AF$22,MATCH(L$7,$AD$9:$AD$22,0),3)),""),"")</f>
        <v>7.5</v>
      </c>
      <c r="M22" s="295">
        <f>IF($A22&lt;&gt;"",IF(INDEX(BDHKI,MATCH($A22,DiemHKI!$B$4:$B$58,0),INDEX($AD$9:$AF$22,MATCH(M$7,$AD$9:$AD$22,0),2))&lt;&gt;"",INDEX(BDHKI,MATCH($A22,DiemHKI!$B$4:$B$58,0),INDEX($AD$9:$AF$22,MATCH(M$7,$AD$9:$AD$22,0),3)),""),"")</f>
        <v>9.8000000000000007</v>
      </c>
      <c r="N22" s="295">
        <f>IF($A22&lt;&gt;"",IF(INDEX(BDHKI,MATCH($A22,DiemHKI!$B$4:$B$58,0),INDEX($AD$9:$AF$22,MATCH(N$7,$AD$9:$AD$22,0),2))&lt;&gt;"",INDEX(BDHKI,MATCH($A22,DiemHKI!$B$4:$B$58,0),INDEX($AD$9:$AF$22,MATCH(N$7,$AD$9:$AD$22,0),3)),""),"")</f>
        <v>9.1</v>
      </c>
      <c r="O22" s="295">
        <f>IF($A22&lt;&gt;"",IF(INDEX(BDHKI,MATCH($A22,DiemHKI!$B$4:$B$58,0),INDEX($AD$9:$AF$22,MATCH(O$7,$AD$9:$AD$22,0),2))&lt;&gt;"",INDEX(BDHKI,MATCH($A22,DiemHKI!$B$4:$B$58,0),INDEX($AD$9:$AF$22,MATCH(O$7,$AD$9:$AD$22,0),3)),""),"")</f>
        <v>9.5</v>
      </c>
      <c r="P22" s="295">
        <f>IF($A22&lt;&gt;"",IF(INDEX(BDHKI,MATCH($A22,DiemHKI!$B$4:$B$58,0),INDEX($AD$9:$AF$22,MATCH(P$7,$AD$9:$AD$22,0),2))&lt;&gt;"",INDEX(BDHKI,MATCH($A22,DiemHKI!$B$4:$B$58,0),INDEX($AD$9:$AF$22,MATCH(P$7,$AD$9:$AD$22,0),3)),""),"")</f>
        <v>9.1</v>
      </c>
      <c r="Q22" s="295">
        <f>IF($A22&lt;&gt;"",IF(INDEX(BDHKI,MATCH($A22,DiemHKI!$B$4:$B$58,0),INDEX($AD$9:$AF$22,MATCH(Q$7,$AD$9:$AD$22,0),2))&lt;&gt;"",INDEX(BDHKI,MATCH($A22,DiemHKI!$B$4:$B$58,0),INDEX($AD$9:$AF$22,MATCH(Q$7,$AD$9:$AD$22,0),3)),""),"")</f>
        <v>9.9</v>
      </c>
      <c r="R22" s="296" t="str">
        <f>IF($A22&lt;&gt;"",IF(INDEX(BDHKI,MATCH($A22,DiemHKI!$B$4:$B$58,0),INDEX($AD$9:$AF$22,MATCH(R$7,$AD$9:$AD$22,0),2))&lt;&gt;"",INDEX(BDHKI,MATCH($A22,DiemHKI!$B$4:$B$58,0),INDEX($AD$9:$AF$22,MATCH(R$7,$AD$9:$AD$22,0),3)),""),"")</f>
        <v>Đ</v>
      </c>
      <c r="S22" s="296">
        <f t="shared" si="7"/>
        <v>8</v>
      </c>
      <c r="T22" s="295">
        <f>IF($A22&lt;&gt;"",IF(INDEX(BDHKI,MATCH($A22,DiemHKI!$B$4:$B$58,0),INDEX($AD$9:$AF$22,MATCH(T$7,$AD$9:$AD$22,0),2))&lt;&gt;"",INDEX(BDHKI,MATCH($A22,DiemHKI!$B$4:$B$58,0),INDEX($AD$9:$AF$22,MATCH(T$7,$AD$9:$AD$22,0),3)),""),"")</f>
        <v>9.9</v>
      </c>
      <c r="U22" s="297" t="str">
        <f>IF($A22&lt;&gt;"",IF(INDEX(BDHKI,MATCH($A22,DiemHKI!$B$4:$B$58,0),INDEX($AD$9:$AF$22,MATCH(U$7,$AD$9:$AD$22,0),2))&lt;&gt;"",INDEX(BDHKI,MATCH($A22,DiemHKI!$B$4:$B$58,0),INDEX($AD$9:$AF$22,MATCH(U$7,$AD$9:$AD$22,0),3)),""),"")</f>
        <v/>
      </c>
      <c r="V22" s="298">
        <f t="shared" si="8"/>
        <v>9.3000000000000007</v>
      </c>
      <c r="W22" s="296" t="str">
        <f t="shared" si="9"/>
        <v>Giỏi</v>
      </c>
      <c r="X22" s="354" t="s">
        <v>38</v>
      </c>
      <c r="Y22" s="299" t="str">
        <f t="shared" si="10"/>
        <v>HSG</v>
      </c>
      <c r="AA22" s="644">
        <f t="shared" si="4"/>
        <v>18</v>
      </c>
      <c r="AB22" s="1"/>
      <c r="AD22" s="268" t="s">
        <v>122</v>
      </c>
      <c r="AE22" s="268">
        <v>106</v>
      </c>
      <c r="AF22" s="268">
        <v>107</v>
      </c>
      <c r="AG22" s="268" t="str">
        <f>IF($A22&lt;&gt;"",INDEX(DiemHKI!$DI$4:$DI$58,MATCH($A22,DiemHKI!$B$4:$B$58,0),1),"")</f>
        <v>12A1Trần HoàngHưng11/06/2004</v>
      </c>
      <c r="AH22" s="674" t="str">
        <f t="shared" si="5"/>
        <v/>
      </c>
      <c r="AI22" s="672" t="str">
        <f t="shared" ca="1" si="6"/>
        <v/>
      </c>
    </row>
    <row r="23" spans="1:36" s="268" customFormat="1" ht="29.1" customHeight="1">
      <c r="A23" s="274">
        <f>IF(A22&lt;MAX(DiemHKI!$B$4:$B$58),A22+1,"")</f>
        <v>16</v>
      </c>
      <c r="B23" s="17" t="str">
        <f>IF($A23&lt;&gt;"",PROPER(INDEX(DiemHKI!$B$4:$CP$58,MATCH($A23,DiemHKI!$B$4:$B$58,0),3)),"")</f>
        <v>Trần Đăng</v>
      </c>
      <c r="C23" s="18" t="str">
        <f>IF($A23&lt;&gt;"",PROPER(INDEX(DiemHKI!$B$4:$CP$58,MATCH($A23,DiemHKI!$B$4:$B$58,0),4)),"")</f>
        <v>Khải</v>
      </c>
      <c r="D23" s="277" t="str">
        <f>IF($A23&lt;&gt;"",IF(INDEX(DiemHKI!$B$4:$CP$58,MATCH($A23,DiemHKI!$B$4:$B$58,0),7)&lt;&gt;"",INDEX(DiemHKI!$B$4:$CP$58,MATCH($A23,DiemHKI!$B$4:$B$58,0),7),""),"")</f>
        <v/>
      </c>
      <c r="E23" s="277" t="str">
        <f>IF($A23&lt;&gt;"",IF(INDEX(DiemHKI!$B$4:$CP$58,MATCH($A23,DiemHKI!$B$4:$B$58,0),8)&lt;&gt;"",INDEX(DiemHKI!$B$4:$CP$58,MATCH($A23,DiemHKI!$B$4:$B$58,0),8),""),"")</f>
        <v/>
      </c>
      <c r="F23" s="277" t="str">
        <f>IF($A23&lt;&gt;"",IF(INDEX(DiemHKI!$B$4:$CP$58,MATCH($A23,DiemHKI!$B$4:$B$58,0),9)&lt;&gt;"",INDEX(DiemHKI!$B$4:$CP$58,MATCH($A23,DiemHKI!$B$4:$B$58,0),9),""),"")</f>
        <v/>
      </c>
      <c r="G23" s="300">
        <f>IF($A23&lt;&gt;"",IF(INDEX(BDHKI,MATCH($A23,DiemHKI!$B$4:$B$58,0),INDEX($AD$9:$AF$22,MATCH(G$7,$AD$9:$AD$22,0),2))&lt;&gt;"",INDEX(BDHKI,MATCH($A23,DiemHKI!$B$4:$B$58,0),INDEX($AD$9:$AF$22,MATCH(G$7,$AD$9:$AD$22,0),3)),""),"")</f>
        <v>9.6</v>
      </c>
      <c r="H23" s="301">
        <f>IF($A23&lt;&gt;"",IF(INDEX(BDHKI,MATCH($A23,DiemHKI!$B$4:$B$58,0),INDEX($AD$9:$AF$22,MATCH(H$7,$AD$9:$AD$22,0),2))&lt;&gt;"",INDEX(BDHKI,MATCH($A23,DiemHKI!$B$4:$B$58,0),INDEX($AD$9:$AF$22,MATCH(H$7,$AD$9:$AD$22,0),3)),""),"")</f>
        <v>9.4</v>
      </c>
      <c r="I23" s="301">
        <f>IF($A23&lt;&gt;"",IF(INDEX(BDHKI,MATCH($A23,DiemHKI!$B$4:$B$58,0),INDEX($AD$9:$AF$22,MATCH(I$7,$AD$9:$AD$22,0),2))&lt;&gt;"",INDEX(BDHKI,MATCH($A23,DiemHKI!$B$4:$B$58,0),INDEX($AD$9:$AF$22,MATCH(I$7,$AD$9:$AD$22,0),3)),""),"")</f>
        <v>9.6</v>
      </c>
      <c r="J23" s="301">
        <f>IF($A23&lt;&gt;"",IF(INDEX(BDHKI,MATCH($A23,DiemHKI!$B$4:$B$58,0),INDEX($AD$9:$AF$22,MATCH(J$7,$AD$9:$AD$22,0),2))&lt;&gt;"",INDEX(BDHKI,MATCH($A23,DiemHKI!$B$4:$B$58,0),INDEX($AD$9:$AF$22,MATCH(J$7,$AD$9:$AD$22,0),3)),""),"")</f>
        <v>9</v>
      </c>
      <c r="K23" s="301">
        <f>IF($A23&lt;&gt;"",IF(INDEX(BDHKI,MATCH($A23,DiemHKI!$B$4:$B$58,0),INDEX($AD$9:$AF$22,MATCH(K$7,$AD$9:$AD$22,0),2))&lt;&gt;"",INDEX(BDHKI,MATCH($A23,DiemHKI!$B$4:$B$58,0),INDEX($AD$9:$AF$22,MATCH(K$7,$AD$9:$AD$22,0),3)),""),"")</f>
        <v>9.8000000000000007</v>
      </c>
      <c r="L23" s="301">
        <f>IF($A23&lt;&gt;"",IF(INDEX(BDHKI,MATCH($A23,DiemHKI!$B$4:$B$58,0),INDEX($AD$9:$AF$22,MATCH(L$7,$AD$9:$AD$22,0),2))&lt;&gt;"",INDEX(BDHKI,MATCH($A23,DiemHKI!$B$4:$B$58,0),INDEX($AD$9:$AF$22,MATCH(L$7,$AD$9:$AD$22,0),3)),""),"")</f>
        <v>7.3</v>
      </c>
      <c r="M23" s="301">
        <f>IF($A23&lt;&gt;"",IF(INDEX(BDHKI,MATCH($A23,DiemHKI!$B$4:$B$58,0),INDEX($AD$9:$AF$22,MATCH(M$7,$AD$9:$AD$22,0),2))&lt;&gt;"",INDEX(BDHKI,MATCH($A23,DiemHKI!$B$4:$B$58,0),INDEX($AD$9:$AF$22,MATCH(M$7,$AD$9:$AD$22,0),3)),""),"")</f>
        <v>9.9</v>
      </c>
      <c r="N23" s="301">
        <f>IF($A23&lt;&gt;"",IF(INDEX(BDHKI,MATCH($A23,DiemHKI!$B$4:$B$58,0),INDEX($AD$9:$AF$22,MATCH(N$7,$AD$9:$AD$22,0),2))&lt;&gt;"",INDEX(BDHKI,MATCH($A23,DiemHKI!$B$4:$B$58,0),INDEX($AD$9:$AF$22,MATCH(N$7,$AD$9:$AD$22,0),3)),""),"")</f>
        <v>9.9</v>
      </c>
      <c r="O23" s="301">
        <f>IF($A23&lt;&gt;"",IF(INDEX(BDHKI,MATCH($A23,DiemHKI!$B$4:$B$58,0),INDEX($AD$9:$AF$22,MATCH(O$7,$AD$9:$AD$22,0),2))&lt;&gt;"",INDEX(BDHKI,MATCH($A23,DiemHKI!$B$4:$B$58,0),INDEX($AD$9:$AF$22,MATCH(O$7,$AD$9:$AD$22,0),3)),""),"")</f>
        <v>9.6999999999999993</v>
      </c>
      <c r="P23" s="301">
        <f>IF($A23&lt;&gt;"",IF(INDEX(BDHKI,MATCH($A23,DiemHKI!$B$4:$B$58,0),INDEX($AD$9:$AF$22,MATCH(P$7,$AD$9:$AD$22,0),2))&lt;&gt;"",INDEX(BDHKI,MATCH($A23,DiemHKI!$B$4:$B$58,0),INDEX($AD$9:$AF$22,MATCH(P$7,$AD$9:$AD$22,0),3)),""),"")</f>
        <v>9.1</v>
      </c>
      <c r="Q23" s="301">
        <f>IF($A23&lt;&gt;"",IF(INDEX(BDHKI,MATCH($A23,DiemHKI!$B$4:$B$58,0),INDEX($AD$9:$AF$22,MATCH(Q$7,$AD$9:$AD$22,0),2))&lt;&gt;"",INDEX(BDHKI,MATCH($A23,DiemHKI!$B$4:$B$58,0),INDEX($AD$9:$AF$22,MATCH(Q$7,$AD$9:$AD$22,0),3)),""),"")</f>
        <v>9.9</v>
      </c>
      <c r="R23" s="279" t="str">
        <f>IF($A23&lt;&gt;"",IF(INDEX(BDHKI,MATCH($A23,DiemHKI!$B$4:$B$58,0),INDEX($AD$9:$AF$22,MATCH(R$7,$AD$9:$AD$22,0),2))&lt;&gt;"",INDEX(BDHKI,MATCH($A23,DiemHKI!$B$4:$B$58,0),INDEX($AD$9:$AF$22,MATCH(R$7,$AD$9:$AD$22,0),3)),""),"")</f>
        <v>Đ</v>
      </c>
      <c r="S23" s="279">
        <f t="shared" si="7"/>
        <v>8</v>
      </c>
      <c r="T23" s="301">
        <f>IF($A23&lt;&gt;"",IF(INDEX(BDHKI,MATCH($A23,DiemHKI!$B$4:$B$58,0),INDEX($AD$9:$AF$22,MATCH(T$7,$AD$9:$AD$22,0),2))&lt;&gt;"",INDEX(BDHKI,MATCH($A23,DiemHKI!$B$4:$B$58,0),INDEX($AD$9:$AF$22,MATCH(T$7,$AD$9:$AD$22,0),3)),""),"")</f>
        <v>9.9</v>
      </c>
      <c r="U23" s="302" t="str">
        <f>IF($A23&lt;&gt;"",IF(INDEX(BDHKI,MATCH($A23,DiemHKI!$B$4:$B$58,0),INDEX($AD$9:$AF$22,MATCH(U$7,$AD$9:$AD$22,0),2))&lt;&gt;"",INDEX(BDHKI,MATCH($A23,DiemHKI!$B$4:$B$58,0),INDEX($AD$9:$AF$22,MATCH(U$7,$AD$9:$AD$22,0),3)),""),"")</f>
        <v/>
      </c>
      <c r="V23" s="278">
        <f t="shared" si="8"/>
        <v>9.4</v>
      </c>
      <c r="W23" s="279" t="str">
        <f t="shared" si="9"/>
        <v>Giỏi</v>
      </c>
      <c r="X23" s="352" t="s">
        <v>38</v>
      </c>
      <c r="Y23" s="280" t="str">
        <f t="shared" si="10"/>
        <v>HSG</v>
      </c>
      <c r="AA23" s="644">
        <f t="shared" si="4"/>
        <v>10</v>
      </c>
      <c r="AB23" s="1"/>
      <c r="AG23" s="268" t="str">
        <f>IF($A23&lt;&gt;"",INDEX(DiemHKI!$DI$4:$DI$58,MATCH($A23,DiemHKI!$B$4:$B$58,0),1),"")</f>
        <v>12A1Trần ĐăngKhải22/04/2004</v>
      </c>
      <c r="AH23" s="674" t="str">
        <f t="shared" si="5"/>
        <v/>
      </c>
      <c r="AI23" s="672" t="str">
        <f t="shared" ca="1" si="6"/>
        <v/>
      </c>
    </row>
    <row r="24" spans="1:36" s="268" customFormat="1" ht="29.1" customHeight="1">
      <c r="A24" s="281">
        <f>IF(A23&lt;MAX(DiemHKI!$B$4:$B$58),A23+1,"")</f>
        <v>17</v>
      </c>
      <c r="B24" s="32" t="str">
        <f>IF($A24&lt;&gt;"",PROPER(INDEX(DiemHKI!$B$4:$CP$58,MATCH($A24,DiemHKI!$B$4:$B$58,0),3)),"")</f>
        <v>Nguyễn Huỳnh Phúc</v>
      </c>
      <c r="C24" s="33" t="str">
        <f>IF($A24&lt;&gt;"",PROPER(INDEX(DiemHKI!$B$4:$CP$58,MATCH($A24,DiemHKI!$B$4:$B$58,0),4)),"")</f>
        <v>Khang</v>
      </c>
      <c r="D24" s="284" t="str">
        <f>IF($A24&lt;&gt;"",IF(INDEX(DiemHKI!$B$4:$CP$58,MATCH($A24,DiemHKI!$B$4:$B$58,0),7)&lt;&gt;"",INDEX(DiemHKI!$B$4:$CP$58,MATCH($A24,DiemHKI!$B$4:$B$58,0),7),""),"")</f>
        <v/>
      </c>
      <c r="E24" s="284" t="str">
        <f>IF($A24&lt;&gt;"",IF(INDEX(DiemHKI!$B$4:$CP$58,MATCH($A24,DiemHKI!$B$4:$B$58,0),8)&lt;&gt;"",INDEX(DiemHKI!$B$4:$CP$58,MATCH($A24,DiemHKI!$B$4:$B$58,0),8),""),"")</f>
        <v/>
      </c>
      <c r="F24" s="284" t="str">
        <f>IF($A24&lt;&gt;"",IF(INDEX(DiemHKI!$B$4:$CP$58,MATCH($A24,DiemHKI!$B$4:$B$58,0),9)&lt;&gt;"",INDEX(DiemHKI!$B$4:$CP$58,MATCH($A24,DiemHKI!$B$4:$B$58,0),9),""),"")</f>
        <v/>
      </c>
      <c r="G24" s="285">
        <f>IF($A24&lt;&gt;"",IF(INDEX(BDHKI,MATCH($A24,DiemHKI!$B$4:$B$58,0),INDEX($AD$9:$AF$22,MATCH(G$7,$AD$9:$AD$22,0),2))&lt;&gt;"",INDEX(BDHKI,MATCH($A24,DiemHKI!$B$4:$B$58,0),INDEX($AD$9:$AF$22,MATCH(G$7,$AD$9:$AD$22,0),3)),""),"")</f>
        <v>9</v>
      </c>
      <c r="H24" s="286">
        <f>IF($A24&lt;&gt;"",IF(INDEX(BDHKI,MATCH($A24,DiemHKI!$B$4:$B$58,0),INDEX($AD$9:$AF$22,MATCH(H$7,$AD$9:$AD$22,0),2))&lt;&gt;"",INDEX(BDHKI,MATCH($A24,DiemHKI!$B$4:$B$58,0),INDEX($AD$9:$AF$22,MATCH(H$7,$AD$9:$AD$22,0),3)),""),"")</f>
        <v>9.3000000000000007</v>
      </c>
      <c r="I24" s="286">
        <f>IF($A24&lt;&gt;"",IF(INDEX(BDHKI,MATCH($A24,DiemHKI!$B$4:$B$58,0),INDEX($AD$9:$AF$22,MATCH(I$7,$AD$9:$AD$22,0),2))&lt;&gt;"",INDEX(BDHKI,MATCH($A24,DiemHKI!$B$4:$B$58,0),INDEX($AD$9:$AF$22,MATCH(I$7,$AD$9:$AD$22,0),3)),""),"")</f>
        <v>8.3000000000000007</v>
      </c>
      <c r="J24" s="286">
        <f>IF($A24&lt;&gt;"",IF(INDEX(BDHKI,MATCH($A24,DiemHKI!$B$4:$B$58,0),INDEX($AD$9:$AF$22,MATCH(J$7,$AD$9:$AD$22,0),2))&lt;&gt;"",INDEX(BDHKI,MATCH($A24,DiemHKI!$B$4:$B$58,0),INDEX($AD$9:$AF$22,MATCH(J$7,$AD$9:$AD$22,0),3)),""),"")</f>
        <v>9.1999999999999993</v>
      </c>
      <c r="K24" s="286">
        <f>IF($A24&lt;&gt;"",IF(INDEX(BDHKI,MATCH($A24,DiemHKI!$B$4:$B$58,0),INDEX($AD$9:$AF$22,MATCH(K$7,$AD$9:$AD$22,0),2))&lt;&gt;"",INDEX(BDHKI,MATCH($A24,DiemHKI!$B$4:$B$58,0),INDEX($AD$9:$AF$22,MATCH(K$7,$AD$9:$AD$22,0),3)),""),"")</f>
        <v>9.6</v>
      </c>
      <c r="L24" s="286">
        <f>IF($A24&lt;&gt;"",IF(INDEX(BDHKI,MATCH($A24,DiemHKI!$B$4:$B$58,0),INDEX($AD$9:$AF$22,MATCH(L$7,$AD$9:$AD$22,0),2))&lt;&gt;"",INDEX(BDHKI,MATCH($A24,DiemHKI!$B$4:$B$58,0),INDEX($AD$9:$AF$22,MATCH(L$7,$AD$9:$AD$22,0),3)),""),"")</f>
        <v>7.9</v>
      </c>
      <c r="M24" s="286">
        <f>IF($A24&lt;&gt;"",IF(INDEX(BDHKI,MATCH($A24,DiemHKI!$B$4:$B$58,0),INDEX($AD$9:$AF$22,MATCH(M$7,$AD$9:$AD$22,0),2))&lt;&gt;"",INDEX(BDHKI,MATCH($A24,DiemHKI!$B$4:$B$58,0),INDEX($AD$9:$AF$22,MATCH(M$7,$AD$9:$AD$22,0),3)),""),"")</f>
        <v>9.6</v>
      </c>
      <c r="N24" s="286">
        <f>IF($A24&lt;&gt;"",IF(INDEX(BDHKI,MATCH($A24,DiemHKI!$B$4:$B$58,0),INDEX($AD$9:$AF$22,MATCH(N$7,$AD$9:$AD$22,0),2))&lt;&gt;"",INDEX(BDHKI,MATCH($A24,DiemHKI!$B$4:$B$58,0),INDEX($AD$9:$AF$22,MATCH(N$7,$AD$9:$AD$22,0),3)),""),"")</f>
        <v>9.9</v>
      </c>
      <c r="O24" s="286">
        <f>IF($A24&lt;&gt;"",IF(INDEX(BDHKI,MATCH($A24,DiemHKI!$B$4:$B$58,0),INDEX($AD$9:$AF$22,MATCH(O$7,$AD$9:$AD$22,0),2))&lt;&gt;"",INDEX(BDHKI,MATCH($A24,DiemHKI!$B$4:$B$58,0),INDEX($AD$9:$AF$22,MATCH(O$7,$AD$9:$AD$22,0),3)),""),"")</f>
        <v>9.1999999999999993</v>
      </c>
      <c r="P24" s="286">
        <f>IF($A24&lt;&gt;"",IF(INDEX(BDHKI,MATCH($A24,DiemHKI!$B$4:$B$58,0),INDEX($AD$9:$AF$22,MATCH(P$7,$AD$9:$AD$22,0),2))&lt;&gt;"",INDEX(BDHKI,MATCH($A24,DiemHKI!$B$4:$B$58,0),INDEX($AD$9:$AF$22,MATCH(P$7,$AD$9:$AD$22,0),3)),""),"")</f>
        <v>9.5</v>
      </c>
      <c r="Q24" s="286">
        <f>IF($A24&lt;&gt;"",IF(INDEX(BDHKI,MATCH($A24,DiemHKI!$B$4:$B$58,0),INDEX($AD$9:$AF$22,MATCH(Q$7,$AD$9:$AD$22,0),2))&lt;&gt;"",INDEX(BDHKI,MATCH($A24,DiemHKI!$B$4:$B$58,0),INDEX($AD$9:$AF$22,MATCH(Q$7,$AD$9:$AD$22,0),3)),""),"")</f>
        <v>9.8000000000000007</v>
      </c>
      <c r="R24" s="464" t="str">
        <f>IF($A24&lt;&gt;"",IF(INDEX(BDHKI,MATCH($A24,DiemHKI!$B$4:$B$58,0),INDEX($AD$9:$AF$22,MATCH(R$7,$AD$9:$AD$22,0),2))&lt;&gt;"",INDEX(BDHKI,MATCH($A24,DiemHKI!$B$4:$B$58,0),INDEX($AD$9:$AF$22,MATCH(R$7,$AD$9:$AD$22,0),3)),""),"")</f>
        <v>Đ</v>
      </c>
      <c r="S24" s="464">
        <f t="shared" si="7"/>
        <v>8</v>
      </c>
      <c r="T24" s="286">
        <f>IF($A24&lt;&gt;"",IF(INDEX(BDHKI,MATCH($A24,DiemHKI!$B$4:$B$58,0),INDEX($AD$9:$AF$22,MATCH(T$7,$AD$9:$AD$22,0),2))&lt;&gt;"",INDEX(BDHKI,MATCH($A24,DiemHKI!$B$4:$B$58,0),INDEX($AD$9:$AF$22,MATCH(T$7,$AD$9:$AD$22,0),3)),""),"")</f>
        <v>9.9</v>
      </c>
      <c r="U24" s="287" t="str">
        <f>IF($A24&lt;&gt;"",IF(INDEX(BDHKI,MATCH($A24,DiemHKI!$B$4:$B$58,0),INDEX($AD$9:$AF$22,MATCH(U$7,$AD$9:$AD$22,0),2))&lt;&gt;"",INDEX(BDHKI,MATCH($A24,DiemHKI!$B$4:$B$58,0),INDEX($AD$9:$AF$22,MATCH(U$7,$AD$9:$AD$22,0),3)),""),"")</f>
        <v/>
      </c>
      <c r="V24" s="288">
        <f t="shared" si="8"/>
        <v>9.3000000000000007</v>
      </c>
      <c r="W24" s="464" t="str">
        <f t="shared" si="9"/>
        <v>Giỏi</v>
      </c>
      <c r="X24" s="353" t="s">
        <v>38</v>
      </c>
      <c r="Y24" s="289" t="str">
        <f t="shared" si="10"/>
        <v>HSG</v>
      </c>
      <c r="AA24" s="644">
        <f t="shared" si="4"/>
        <v>18</v>
      </c>
      <c r="AB24" s="1"/>
      <c r="AG24" s="268" t="str">
        <f>IF($A24&lt;&gt;"",INDEX(DiemHKI!$DI$4:$DI$58,MATCH($A24,DiemHKI!$B$4:$B$58,0),1),"")</f>
        <v>12A1Nguyễn Huỳnh PhúcKhang14/12/2004</v>
      </c>
      <c r="AH24" s="674" t="str">
        <f t="shared" si="5"/>
        <v/>
      </c>
      <c r="AI24" s="672" t="str">
        <f t="shared" ca="1" si="6"/>
        <v/>
      </c>
    </row>
    <row r="25" spans="1:36" s="268" customFormat="1" ht="29.1" customHeight="1">
      <c r="A25" s="281">
        <f>IF(A24&lt;MAX(DiemHKI!$B$4:$B$58),A24+1,"")</f>
        <v>18</v>
      </c>
      <c r="B25" s="32" t="str">
        <f>IF($A25&lt;&gt;"",PROPER(INDEX(DiemHKI!$B$4:$CP$58,MATCH($A25,DiemHKI!$B$4:$B$58,0),3)),"")</f>
        <v>Nguyễn Đăng</v>
      </c>
      <c r="C25" s="33" t="str">
        <f>IF($A25&lt;&gt;"",PROPER(INDEX(DiemHKI!$B$4:$CP$58,MATCH($A25,DiemHKI!$B$4:$B$58,0),4)),"")</f>
        <v>Khoa</v>
      </c>
      <c r="D25" s="284" t="str">
        <f>IF($A25&lt;&gt;"",IF(INDEX(DiemHKI!$B$4:$CP$58,MATCH($A25,DiemHKI!$B$4:$B$58,0),7)&lt;&gt;"",INDEX(DiemHKI!$B$4:$CP$58,MATCH($A25,DiemHKI!$B$4:$B$58,0),7),""),"")</f>
        <v/>
      </c>
      <c r="E25" s="284" t="str">
        <f>IF($A25&lt;&gt;"",IF(INDEX(DiemHKI!$B$4:$CP$58,MATCH($A25,DiemHKI!$B$4:$B$58,0),8)&lt;&gt;"",INDEX(DiemHKI!$B$4:$CP$58,MATCH($A25,DiemHKI!$B$4:$B$58,0),8),""),"")</f>
        <v/>
      </c>
      <c r="F25" s="284" t="str">
        <f>IF($A25&lt;&gt;"",IF(INDEX(DiemHKI!$B$4:$CP$58,MATCH($A25,DiemHKI!$B$4:$B$58,0),9)&lt;&gt;"",INDEX(DiemHKI!$B$4:$CP$58,MATCH($A25,DiemHKI!$B$4:$B$58,0),9),""),"")</f>
        <v/>
      </c>
      <c r="G25" s="285">
        <f>IF($A25&lt;&gt;"",IF(INDEX(BDHKI,MATCH($A25,DiemHKI!$B$4:$B$58,0),INDEX($AD$9:$AF$22,MATCH(G$7,$AD$9:$AD$22,0),2))&lt;&gt;"",INDEX(BDHKI,MATCH($A25,DiemHKI!$B$4:$B$58,0),INDEX($AD$9:$AF$22,MATCH(G$7,$AD$9:$AD$22,0),3)),""),"")</f>
        <v>9.9</v>
      </c>
      <c r="H25" s="286">
        <f>IF($A25&lt;&gt;"",IF(INDEX(BDHKI,MATCH($A25,DiemHKI!$B$4:$B$58,0),INDEX($AD$9:$AF$22,MATCH(H$7,$AD$9:$AD$22,0),2))&lt;&gt;"",INDEX(BDHKI,MATCH($A25,DiemHKI!$B$4:$B$58,0),INDEX($AD$9:$AF$22,MATCH(H$7,$AD$9:$AD$22,0),3)),""),"")</f>
        <v>10</v>
      </c>
      <c r="I25" s="286">
        <f>IF($A25&lt;&gt;"",IF(INDEX(BDHKI,MATCH($A25,DiemHKI!$B$4:$B$58,0),INDEX($AD$9:$AF$22,MATCH(I$7,$AD$9:$AD$22,0),2))&lt;&gt;"",INDEX(BDHKI,MATCH($A25,DiemHKI!$B$4:$B$58,0),INDEX($AD$9:$AF$22,MATCH(I$7,$AD$9:$AD$22,0),3)),""),"")</f>
        <v>9.9</v>
      </c>
      <c r="J25" s="286">
        <f>IF($A25&lt;&gt;"",IF(INDEX(BDHKI,MATCH($A25,DiemHKI!$B$4:$B$58,0),INDEX($AD$9:$AF$22,MATCH(J$7,$AD$9:$AD$22,0),2))&lt;&gt;"",INDEX(BDHKI,MATCH($A25,DiemHKI!$B$4:$B$58,0),INDEX($AD$9:$AF$22,MATCH(J$7,$AD$9:$AD$22,0),3)),""),"")</f>
        <v>9.5</v>
      </c>
      <c r="K25" s="286">
        <f>IF($A25&lt;&gt;"",IF(INDEX(BDHKI,MATCH($A25,DiemHKI!$B$4:$B$58,0),INDEX($AD$9:$AF$22,MATCH(K$7,$AD$9:$AD$22,0),2))&lt;&gt;"",INDEX(BDHKI,MATCH($A25,DiemHKI!$B$4:$B$58,0),INDEX($AD$9:$AF$22,MATCH(K$7,$AD$9:$AD$22,0),3)),""),"")</f>
        <v>9.8000000000000007</v>
      </c>
      <c r="L25" s="286">
        <f>IF($A25&lt;&gt;"",IF(INDEX(BDHKI,MATCH($A25,DiemHKI!$B$4:$B$58,0),INDEX($AD$9:$AF$22,MATCH(L$7,$AD$9:$AD$22,0),2))&lt;&gt;"",INDEX(BDHKI,MATCH($A25,DiemHKI!$B$4:$B$58,0),INDEX($AD$9:$AF$22,MATCH(L$7,$AD$9:$AD$22,0),3)),""),"")</f>
        <v>8.1</v>
      </c>
      <c r="M25" s="286">
        <f>IF($A25&lt;&gt;"",IF(INDEX(BDHKI,MATCH($A25,DiemHKI!$B$4:$B$58,0),INDEX($AD$9:$AF$22,MATCH(M$7,$AD$9:$AD$22,0),2))&lt;&gt;"",INDEX(BDHKI,MATCH($A25,DiemHKI!$B$4:$B$58,0),INDEX($AD$9:$AF$22,MATCH(M$7,$AD$9:$AD$22,0),3)),""),"")</f>
        <v>9.8000000000000007</v>
      </c>
      <c r="N25" s="286">
        <f>IF($A25&lt;&gt;"",IF(INDEX(BDHKI,MATCH($A25,DiemHKI!$B$4:$B$58,0),INDEX($AD$9:$AF$22,MATCH(N$7,$AD$9:$AD$22,0),2))&lt;&gt;"",INDEX(BDHKI,MATCH($A25,DiemHKI!$B$4:$B$58,0),INDEX($AD$9:$AF$22,MATCH(N$7,$AD$9:$AD$22,0),3)),""),"")</f>
        <v>9.9</v>
      </c>
      <c r="O25" s="286">
        <f>IF($A25&lt;&gt;"",IF(INDEX(BDHKI,MATCH($A25,DiemHKI!$B$4:$B$58,0),INDEX($AD$9:$AF$22,MATCH(O$7,$AD$9:$AD$22,0),2))&lt;&gt;"",INDEX(BDHKI,MATCH($A25,DiemHKI!$B$4:$B$58,0),INDEX($AD$9:$AF$22,MATCH(O$7,$AD$9:$AD$22,0),3)),""),"")</f>
        <v>9.3000000000000007</v>
      </c>
      <c r="P25" s="286">
        <f>IF($A25&lt;&gt;"",IF(INDEX(BDHKI,MATCH($A25,DiemHKI!$B$4:$B$58,0),INDEX($AD$9:$AF$22,MATCH(P$7,$AD$9:$AD$22,0),2))&lt;&gt;"",INDEX(BDHKI,MATCH($A25,DiemHKI!$B$4:$B$58,0),INDEX($AD$9:$AF$22,MATCH(P$7,$AD$9:$AD$22,0),3)),""),"")</f>
        <v>9.3000000000000007</v>
      </c>
      <c r="Q25" s="286">
        <f>IF($A25&lt;&gt;"",IF(INDEX(BDHKI,MATCH($A25,DiemHKI!$B$4:$B$58,0),INDEX($AD$9:$AF$22,MATCH(Q$7,$AD$9:$AD$22,0),2))&lt;&gt;"",INDEX(BDHKI,MATCH($A25,DiemHKI!$B$4:$B$58,0),INDEX($AD$9:$AF$22,MATCH(Q$7,$AD$9:$AD$22,0),3)),""),"")</f>
        <v>9.8000000000000007</v>
      </c>
      <c r="R25" s="464" t="str">
        <f>IF($A25&lt;&gt;"",IF(INDEX(BDHKI,MATCH($A25,DiemHKI!$B$4:$B$58,0),INDEX($AD$9:$AF$22,MATCH(R$7,$AD$9:$AD$22,0),2))&lt;&gt;"",INDEX(BDHKI,MATCH($A25,DiemHKI!$B$4:$B$58,0),INDEX($AD$9:$AF$22,MATCH(R$7,$AD$9:$AD$22,0),3)),""),"")</f>
        <v>Đ</v>
      </c>
      <c r="S25" s="464">
        <f t="shared" si="7"/>
        <v>8</v>
      </c>
      <c r="T25" s="286">
        <f>IF($A25&lt;&gt;"",IF(INDEX(BDHKI,MATCH($A25,DiemHKI!$B$4:$B$58,0),INDEX($AD$9:$AF$22,MATCH(T$7,$AD$9:$AD$22,0),2))&lt;&gt;"",INDEX(BDHKI,MATCH($A25,DiemHKI!$B$4:$B$58,0),INDEX($AD$9:$AF$22,MATCH(T$7,$AD$9:$AD$22,0),3)),""),"")</f>
        <v>9.9</v>
      </c>
      <c r="U25" s="287" t="str">
        <f>IF($A25&lt;&gt;"",IF(INDEX(BDHKI,MATCH($A25,DiemHKI!$B$4:$B$58,0),INDEX($AD$9:$AF$22,MATCH(U$7,$AD$9:$AD$22,0),2))&lt;&gt;"",INDEX(BDHKI,MATCH($A25,DiemHKI!$B$4:$B$58,0),INDEX($AD$9:$AF$22,MATCH(U$7,$AD$9:$AD$22,0),3)),""),"")</f>
        <v/>
      </c>
      <c r="V25" s="288">
        <f t="shared" si="8"/>
        <v>9.6</v>
      </c>
      <c r="W25" s="464" t="str">
        <f t="shared" si="9"/>
        <v>Giỏi</v>
      </c>
      <c r="X25" s="353" t="s">
        <v>38</v>
      </c>
      <c r="Y25" s="289" t="str">
        <f t="shared" si="10"/>
        <v>HSG</v>
      </c>
      <c r="AA25" s="644">
        <f t="shared" si="4"/>
        <v>1</v>
      </c>
      <c r="AB25" s="1"/>
      <c r="AG25" s="268" t="str">
        <f>IF($A25&lt;&gt;"",INDEX(DiemHKI!$DI$4:$DI$58,MATCH($A25,DiemHKI!$B$4:$B$58,0),1),"")</f>
        <v>12A1Nguyễn ĐăngKhoa07/11/2004</v>
      </c>
      <c r="AH25" s="674" t="str">
        <f t="shared" si="5"/>
        <v/>
      </c>
      <c r="AI25" s="672" t="str">
        <f t="shared" ca="1" si="6"/>
        <v/>
      </c>
    </row>
    <row r="26" spans="1:36" s="268" customFormat="1" ht="29.1" customHeight="1">
      <c r="A26" s="281">
        <f>IF(A25&lt;MAX(DiemHKI!$B$4:$B$58),A25+1,"")</f>
        <v>19</v>
      </c>
      <c r="B26" s="32" t="str">
        <f>IF($A26&lt;&gt;"",PROPER(INDEX(DiemHKI!$B$4:$CP$58,MATCH($A26,DiemHKI!$B$4:$B$58,0),3)),"")</f>
        <v>Lê Tiến</v>
      </c>
      <c r="C26" s="33" t="str">
        <f>IF($A26&lt;&gt;"",PROPER(INDEX(DiemHKI!$B$4:$CP$58,MATCH($A26,DiemHKI!$B$4:$B$58,0),4)),"")</f>
        <v>Khôi</v>
      </c>
      <c r="D26" s="284" t="str">
        <f>IF($A26&lt;&gt;"",IF(INDEX(DiemHKI!$B$4:$CP$58,MATCH($A26,DiemHKI!$B$4:$B$58,0),7)&lt;&gt;"",INDEX(DiemHKI!$B$4:$CP$58,MATCH($A26,DiemHKI!$B$4:$B$58,0),7),""),"")</f>
        <v/>
      </c>
      <c r="E26" s="284" t="str">
        <f>IF($A26&lt;&gt;"",IF(INDEX(DiemHKI!$B$4:$CP$58,MATCH($A26,DiemHKI!$B$4:$B$58,0),8)&lt;&gt;"",INDEX(DiemHKI!$B$4:$CP$58,MATCH($A26,DiemHKI!$B$4:$B$58,0),8),""),"")</f>
        <v/>
      </c>
      <c r="F26" s="284" t="str">
        <f>IF($A26&lt;&gt;"",IF(INDEX(DiemHKI!$B$4:$CP$58,MATCH($A26,DiemHKI!$B$4:$B$58,0),9)&lt;&gt;"",INDEX(DiemHKI!$B$4:$CP$58,MATCH($A26,DiemHKI!$B$4:$B$58,0),9),""),"")</f>
        <v/>
      </c>
      <c r="G26" s="285">
        <f>IF($A26&lt;&gt;"",IF(INDEX(BDHKI,MATCH($A26,DiemHKI!$B$4:$B$58,0),INDEX($AD$9:$AF$22,MATCH(G$7,$AD$9:$AD$22,0),2))&lt;&gt;"",INDEX(BDHKI,MATCH($A26,DiemHKI!$B$4:$B$58,0),INDEX($AD$9:$AF$22,MATCH(G$7,$AD$9:$AD$22,0),3)),""),"")</f>
        <v>10</v>
      </c>
      <c r="H26" s="286">
        <f>IF($A26&lt;&gt;"",IF(INDEX(BDHKI,MATCH($A26,DiemHKI!$B$4:$B$58,0),INDEX($AD$9:$AF$22,MATCH(H$7,$AD$9:$AD$22,0),2))&lt;&gt;"",INDEX(BDHKI,MATCH($A26,DiemHKI!$B$4:$B$58,0),INDEX($AD$9:$AF$22,MATCH(H$7,$AD$9:$AD$22,0),3)),""),"")</f>
        <v>10</v>
      </c>
      <c r="I26" s="286">
        <f>IF($A26&lt;&gt;"",IF(INDEX(BDHKI,MATCH($A26,DiemHKI!$B$4:$B$58,0),INDEX($AD$9:$AF$22,MATCH(I$7,$AD$9:$AD$22,0),2))&lt;&gt;"",INDEX(BDHKI,MATCH($A26,DiemHKI!$B$4:$B$58,0),INDEX($AD$9:$AF$22,MATCH(I$7,$AD$9:$AD$22,0),3)),""),"")</f>
        <v>9.9</v>
      </c>
      <c r="J26" s="286">
        <f>IF($A26&lt;&gt;"",IF(INDEX(BDHKI,MATCH($A26,DiemHKI!$B$4:$B$58,0),INDEX($AD$9:$AF$22,MATCH(J$7,$AD$9:$AD$22,0),2))&lt;&gt;"",INDEX(BDHKI,MATCH($A26,DiemHKI!$B$4:$B$58,0),INDEX($AD$9:$AF$22,MATCH(J$7,$AD$9:$AD$22,0),3)),""),"")</f>
        <v>9.4</v>
      </c>
      <c r="K26" s="286">
        <f>IF($A26&lt;&gt;"",IF(INDEX(BDHKI,MATCH($A26,DiemHKI!$B$4:$B$58,0),INDEX($AD$9:$AF$22,MATCH(K$7,$AD$9:$AD$22,0),2))&lt;&gt;"",INDEX(BDHKI,MATCH($A26,DiemHKI!$B$4:$B$58,0),INDEX($AD$9:$AF$22,MATCH(K$7,$AD$9:$AD$22,0),3)),""),"")</f>
        <v>9.8000000000000007</v>
      </c>
      <c r="L26" s="286">
        <f>IF($A26&lt;&gt;"",IF(INDEX(BDHKI,MATCH($A26,DiemHKI!$B$4:$B$58,0),INDEX($AD$9:$AF$22,MATCH(L$7,$AD$9:$AD$22,0),2))&lt;&gt;"",INDEX(BDHKI,MATCH($A26,DiemHKI!$B$4:$B$58,0),INDEX($AD$9:$AF$22,MATCH(L$7,$AD$9:$AD$22,0),3)),""),"")</f>
        <v>7.5</v>
      </c>
      <c r="M26" s="286">
        <f>IF($A26&lt;&gt;"",IF(INDEX(BDHKI,MATCH($A26,DiemHKI!$B$4:$B$58,0),INDEX($AD$9:$AF$22,MATCH(M$7,$AD$9:$AD$22,0),2))&lt;&gt;"",INDEX(BDHKI,MATCH($A26,DiemHKI!$B$4:$B$58,0),INDEX($AD$9:$AF$22,MATCH(M$7,$AD$9:$AD$22,0),3)),""),"")</f>
        <v>9.4</v>
      </c>
      <c r="N26" s="286">
        <f>IF($A26&lt;&gt;"",IF(INDEX(BDHKI,MATCH($A26,DiemHKI!$B$4:$B$58,0),INDEX($AD$9:$AF$22,MATCH(N$7,$AD$9:$AD$22,0),2))&lt;&gt;"",INDEX(BDHKI,MATCH($A26,DiemHKI!$B$4:$B$58,0),INDEX($AD$9:$AF$22,MATCH(N$7,$AD$9:$AD$22,0),3)),""),"")</f>
        <v>9.6</v>
      </c>
      <c r="O26" s="286">
        <f>IF($A26&lt;&gt;"",IF(INDEX(BDHKI,MATCH($A26,DiemHKI!$B$4:$B$58,0),INDEX($AD$9:$AF$22,MATCH(O$7,$AD$9:$AD$22,0),2))&lt;&gt;"",INDEX(BDHKI,MATCH($A26,DiemHKI!$B$4:$B$58,0),INDEX($AD$9:$AF$22,MATCH(O$7,$AD$9:$AD$22,0),3)),""),"")</f>
        <v>9.4</v>
      </c>
      <c r="P26" s="286">
        <f>IF($A26&lt;&gt;"",IF(INDEX(BDHKI,MATCH($A26,DiemHKI!$B$4:$B$58,0),INDEX($AD$9:$AF$22,MATCH(P$7,$AD$9:$AD$22,0),2))&lt;&gt;"",INDEX(BDHKI,MATCH($A26,DiemHKI!$B$4:$B$58,0),INDEX($AD$9:$AF$22,MATCH(P$7,$AD$9:$AD$22,0),3)),""),"")</f>
        <v>9.6</v>
      </c>
      <c r="Q26" s="286">
        <f>IF($A26&lt;&gt;"",IF(INDEX(BDHKI,MATCH($A26,DiemHKI!$B$4:$B$58,0),INDEX($AD$9:$AF$22,MATCH(Q$7,$AD$9:$AD$22,0),2))&lt;&gt;"",INDEX(BDHKI,MATCH($A26,DiemHKI!$B$4:$B$58,0),INDEX($AD$9:$AF$22,MATCH(Q$7,$AD$9:$AD$22,0),3)),""),"")</f>
        <v>9.8000000000000007</v>
      </c>
      <c r="R26" s="464" t="str">
        <f>IF($A26&lt;&gt;"",IF(INDEX(BDHKI,MATCH($A26,DiemHKI!$B$4:$B$58,0),INDEX($AD$9:$AF$22,MATCH(R$7,$AD$9:$AD$22,0),2))&lt;&gt;"",INDEX(BDHKI,MATCH($A26,DiemHKI!$B$4:$B$58,0),INDEX($AD$9:$AF$22,MATCH(R$7,$AD$9:$AD$22,0),3)),""),"")</f>
        <v>Đ</v>
      </c>
      <c r="S26" s="464">
        <f t="shared" si="7"/>
        <v>8</v>
      </c>
      <c r="T26" s="286">
        <f>IF($A26&lt;&gt;"",IF(INDEX(BDHKI,MATCH($A26,DiemHKI!$B$4:$B$58,0),INDEX($AD$9:$AF$22,MATCH(T$7,$AD$9:$AD$22,0),2))&lt;&gt;"",INDEX(BDHKI,MATCH($A26,DiemHKI!$B$4:$B$58,0),INDEX($AD$9:$AF$22,MATCH(T$7,$AD$9:$AD$22,0),3)),""),"")</f>
        <v>9.9</v>
      </c>
      <c r="U26" s="287" t="str">
        <f>IF($A26&lt;&gt;"",IF(INDEX(BDHKI,MATCH($A26,DiemHKI!$B$4:$B$58,0),INDEX($AD$9:$AF$22,MATCH(U$7,$AD$9:$AD$22,0),2))&lt;&gt;"",INDEX(BDHKI,MATCH($A26,DiemHKI!$B$4:$B$58,0),INDEX($AD$9:$AF$22,MATCH(U$7,$AD$9:$AD$22,0),3)),""),"")</f>
        <v/>
      </c>
      <c r="V26" s="288">
        <f t="shared" si="8"/>
        <v>9.5</v>
      </c>
      <c r="W26" s="464" t="str">
        <f t="shared" si="9"/>
        <v>Giỏi</v>
      </c>
      <c r="X26" s="353" t="s">
        <v>38</v>
      </c>
      <c r="Y26" s="289" t="str">
        <f t="shared" si="10"/>
        <v>HSG</v>
      </c>
      <c r="AA26" s="644">
        <f t="shared" si="4"/>
        <v>3</v>
      </c>
      <c r="AB26" s="1"/>
      <c r="AG26" s="268" t="str">
        <f>IF($A26&lt;&gt;"",INDEX(DiemHKI!$DI$4:$DI$58,MATCH($A26,DiemHKI!$B$4:$B$58,0),1),"")</f>
        <v>12A1Lê TiếnKhôi14/10/2004</v>
      </c>
      <c r="AH26" s="674" t="str">
        <f t="shared" si="5"/>
        <v/>
      </c>
      <c r="AI26" s="672" t="str">
        <f t="shared" ca="1" si="6"/>
        <v/>
      </c>
    </row>
    <row r="27" spans="1:36" s="268" customFormat="1" ht="29.1" customHeight="1" thickBot="1">
      <c r="A27" s="290">
        <f>IF(A26&lt;MAX(DiemHKI!$B$4:$B$58),A26+1,"")</f>
        <v>20</v>
      </c>
      <c r="B27" s="44" t="str">
        <f>IF($A27&lt;&gt;"",PROPER(INDEX(DiemHKI!$B$4:$CP$58,MATCH($A27,DiemHKI!$B$4:$B$58,0),3)),"")</f>
        <v>Nguyễn Phúc</v>
      </c>
      <c r="C27" s="45" t="str">
        <f>IF($A27&lt;&gt;"",PROPER(INDEX(DiemHKI!$B$4:$CP$58,MATCH($A27,DiemHKI!$B$4:$B$58,0),4)),"")</f>
        <v>Lâm</v>
      </c>
      <c r="D27" s="293" t="str">
        <f>IF($A27&lt;&gt;"",IF(INDEX(DiemHKI!$B$4:$CP$58,MATCH($A27,DiemHKI!$B$4:$B$58,0),7)&lt;&gt;"",INDEX(DiemHKI!$B$4:$CP$58,MATCH($A27,DiemHKI!$B$4:$B$58,0),7),""),"")</f>
        <v/>
      </c>
      <c r="E27" s="293" t="str">
        <f>IF($A27&lt;&gt;"",IF(INDEX(DiemHKI!$B$4:$CP$58,MATCH($A27,DiemHKI!$B$4:$B$58,0),8)&lt;&gt;"",INDEX(DiemHKI!$B$4:$CP$58,MATCH($A27,DiemHKI!$B$4:$B$58,0),8),""),"")</f>
        <v/>
      </c>
      <c r="F27" s="293" t="str">
        <f>IF($A27&lt;&gt;"",IF(INDEX(DiemHKI!$B$4:$CP$58,MATCH($A27,DiemHKI!$B$4:$B$58,0),9)&lt;&gt;"",INDEX(DiemHKI!$B$4:$CP$58,MATCH($A27,DiemHKI!$B$4:$B$58,0),9),""),"")</f>
        <v/>
      </c>
      <c r="G27" s="294">
        <f>IF($A27&lt;&gt;"",IF(INDEX(BDHKI,MATCH($A27,DiemHKI!$B$4:$B$58,0),INDEX($AD$9:$AF$22,MATCH(G$7,$AD$9:$AD$22,0),2))&lt;&gt;"",INDEX(BDHKI,MATCH($A27,DiemHKI!$B$4:$B$58,0),INDEX($AD$9:$AF$22,MATCH(G$7,$AD$9:$AD$22,0),3)),""),"")</f>
        <v>9.3000000000000007</v>
      </c>
      <c r="H27" s="295">
        <f>IF($A27&lt;&gt;"",IF(INDEX(BDHKI,MATCH($A27,DiemHKI!$B$4:$B$58,0),INDEX($AD$9:$AF$22,MATCH(H$7,$AD$9:$AD$22,0),2))&lt;&gt;"",INDEX(BDHKI,MATCH($A27,DiemHKI!$B$4:$B$58,0),INDEX($AD$9:$AF$22,MATCH(H$7,$AD$9:$AD$22,0),3)),""),"")</f>
        <v>8.9</v>
      </c>
      <c r="I27" s="295">
        <f>IF($A27&lt;&gt;"",IF(INDEX(BDHKI,MATCH($A27,DiemHKI!$B$4:$B$58,0),INDEX($AD$9:$AF$22,MATCH(I$7,$AD$9:$AD$22,0),2))&lt;&gt;"",INDEX(BDHKI,MATCH($A27,DiemHKI!$B$4:$B$58,0),INDEX($AD$9:$AF$22,MATCH(I$7,$AD$9:$AD$22,0),3)),""),"")</f>
        <v>9.3000000000000007</v>
      </c>
      <c r="J27" s="295">
        <f>IF($A27&lt;&gt;"",IF(INDEX(BDHKI,MATCH($A27,DiemHKI!$B$4:$B$58,0),INDEX($AD$9:$AF$22,MATCH(J$7,$AD$9:$AD$22,0),2))&lt;&gt;"",INDEX(BDHKI,MATCH($A27,DiemHKI!$B$4:$B$58,0),INDEX($AD$9:$AF$22,MATCH(J$7,$AD$9:$AD$22,0),3)),""),"")</f>
        <v>8.6</v>
      </c>
      <c r="K27" s="295">
        <f>IF($A27&lt;&gt;"",IF(INDEX(BDHKI,MATCH($A27,DiemHKI!$B$4:$B$58,0),INDEX($AD$9:$AF$22,MATCH(K$7,$AD$9:$AD$22,0),2))&lt;&gt;"",INDEX(BDHKI,MATCH($A27,DiemHKI!$B$4:$B$58,0),INDEX($AD$9:$AF$22,MATCH(K$7,$AD$9:$AD$22,0),3)),""),"")</f>
        <v>9.8000000000000007</v>
      </c>
      <c r="L27" s="295">
        <f>IF($A27&lt;&gt;"",IF(INDEX(BDHKI,MATCH($A27,DiemHKI!$B$4:$B$58,0),INDEX($AD$9:$AF$22,MATCH(L$7,$AD$9:$AD$22,0),2))&lt;&gt;"",INDEX(BDHKI,MATCH($A27,DiemHKI!$B$4:$B$58,0),INDEX($AD$9:$AF$22,MATCH(L$7,$AD$9:$AD$22,0),3)),""),"")</f>
        <v>7.4</v>
      </c>
      <c r="M27" s="295">
        <f>IF($A27&lt;&gt;"",IF(INDEX(BDHKI,MATCH($A27,DiemHKI!$B$4:$B$58,0),INDEX($AD$9:$AF$22,MATCH(M$7,$AD$9:$AD$22,0),2))&lt;&gt;"",INDEX(BDHKI,MATCH($A27,DiemHKI!$B$4:$B$58,0),INDEX($AD$9:$AF$22,MATCH(M$7,$AD$9:$AD$22,0),3)),""),"")</f>
        <v>9.6</v>
      </c>
      <c r="N27" s="295">
        <f>IF($A27&lt;&gt;"",IF(INDEX(BDHKI,MATCH($A27,DiemHKI!$B$4:$B$58,0),INDEX($AD$9:$AF$22,MATCH(N$7,$AD$9:$AD$22,0),2))&lt;&gt;"",INDEX(BDHKI,MATCH($A27,DiemHKI!$B$4:$B$58,0),INDEX($AD$9:$AF$22,MATCH(N$7,$AD$9:$AD$22,0),3)),""),"")</f>
        <v>9.1</v>
      </c>
      <c r="O27" s="295">
        <f>IF($A27&lt;&gt;"",IF(INDEX(BDHKI,MATCH($A27,DiemHKI!$B$4:$B$58,0),INDEX($AD$9:$AF$22,MATCH(O$7,$AD$9:$AD$22,0),2))&lt;&gt;"",INDEX(BDHKI,MATCH($A27,DiemHKI!$B$4:$B$58,0),INDEX($AD$9:$AF$22,MATCH(O$7,$AD$9:$AD$22,0),3)),""),"")</f>
        <v>7.4</v>
      </c>
      <c r="P27" s="295">
        <f>IF($A27&lt;&gt;"",IF(INDEX(BDHKI,MATCH($A27,DiemHKI!$B$4:$B$58,0),INDEX($AD$9:$AF$22,MATCH(P$7,$AD$9:$AD$22,0),2))&lt;&gt;"",INDEX(BDHKI,MATCH($A27,DiemHKI!$B$4:$B$58,0),INDEX($AD$9:$AF$22,MATCH(P$7,$AD$9:$AD$22,0),3)),""),"")</f>
        <v>9.1</v>
      </c>
      <c r="Q27" s="295">
        <f>IF($A27&lt;&gt;"",IF(INDEX(BDHKI,MATCH($A27,DiemHKI!$B$4:$B$58,0),INDEX($AD$9:$AF$22,MATCH(Q$7,$AD$9:$AD$22,0),2))&lt;&gt;"",INDEX(BDHKI,MATCH($A27,DiemHKI!$B$4:$B$58,0),INDEX($AD$9:$AF$22,MATCH(Q$7,$AD$9:$AD$22,0),3)),""),"")</f>
        <v>9.9</v>
      </c>
      <c r="R27" s="296" t="str">
        <f>IF($A27&lt;&gt;"",IF(INDEX(BDHKI,MATCH($A27,DiemHKI!$B$4:$B$58,0),INDEX($AD$9:$AF$22,MATCH(R$7,$AD$9:$AD$22,0),2))&lt;&gt;"",INDEX(BDHKI,MATCH($A27,DiemHKI!$B$4:$B$58,0),INDEX($AD$9:$AF$22,MATCH(R$7,$AD$9:$AD$22,0),3)),""),"")</f>
        <v>Đ</v>
      </c>
      <c r="S27" s="296">
        <f t="shared" si="7"/>
        <v>8</v>
      </c>
      <c r="T27" s="295">
        <f>IF($A27&lt;&gt;"",IF(INDEX(BDHKI,MATCH($A27,DiemHKI!$B$4:$B$58,0),INDEX($AD$9:$AF$22,MATCH(T$7,$AD$9:$AD$22,0),2))&lt;&gt;"",INDEX(BDHKI,MATCH($A27,DiemHKI!$B$4:$B$58,0),INDEX($AD$9:$AF$22,MATCH(T$7,$AD$9:$AD$22,0),3)),""),"")</f>
        <v>9.9</v>
      </c>
      <c r="U27" s="297" t="str">
        <f>IF($A27&lt;&gt;"",IF(INDEX(BDHKI,MATCH($A27,DiemHKI!$B$4:$B$58,0),INDEX($AD$9:$AF$22,MATCH(U$7,$AD$9:$AD$22,0),2))&lt;&gt;"",INDEX(BDHKI,MATCH($A27,DiemHKI!$B$4:$B$58,0),INDEX($AD$9:$AF$22,MATCH(U$7,$AD$9:$AD$22,0),3)),""),"")</f>
        <v/>
      </c>
      <c r="V27" s="298">
        <f t="shared" si="8"/>
        <v>9</v>
      </c>
      <c r="W27" s="296" t="str">
        <f t="shared" si="9"/>
        <v>Giỏi</v>
      </c>
      <c r="X27" s="354" t="s">
        <v>38</v>
      </c>
      <c r="Y27" s="299" t="str">
        <f t="shared" si="10"/>
        <v>HSG</v>
      </c>
      <c r="AA27" s="644">
        <f t="shared" si="4"/>
        <v>36</v>
      </c>
      <c r="AB27" s="1"/>
      <c r="AG27" s="268" t="str">
        <f>IF($A27&lt;&gt;"",INDEX(DiemHKI!$DI$4:$DI$58,MATCH($A27,DiemHKI!$B$4:$B$58,0),1),"")</f>
        <v>12A1Nguyễn PhúcLâm02/04/2004</v>
      </c>
      <c r="AH27" s="674" t="str">
        <f t="shared" si="5"/>
        <v/>
      </c>
      <c r="AI27" s="672" t="str">
        <f t="shared" ca="1" si="6"/>
        <v/>
      </c>
    </row>
    <row r="28" spans="1:36" s="268" customFormat="1" ht="29.1" customHeight="1">
      <c r="A28" s="274">
        <f>IF(A27&lt;MAX(DiemHKI!$B$4:$B$58),A27+1,"")</f>
        <v>21</v>
      </c>
      <c r="B28" s="17" t="str">
        <f>IF($A28&lt;&gt;"",PROPER(INDEX(DiemHKI!$B$4:$CP$58,MATCH($A28,DiemHKI!$B$4:$B$58,0),3)),"")</f>
        <v>Phạm Tấn</v>
      </c>
      <c r="C28" s="18" t="str">
        <f>IF($A28&lt;&gt;"",PROPER(INDEX(DiemHKI!$B$4:$CP$58,MATCH($A28,DiemHKI!$B$4:$B$58,0),4)),"")</f>
        <v>Lộc</v>
      </c>
      <c r="D28" s="277" t="str">
        <f>IF($A28&lt;&gt;"",IF(INDEX(DiemHKI!$B$4:$CP$58,MATCH($A28,DiemHKI!$B$4:$B$58,0),7)&lt;&gt;"",INDEX(DiemHKI!$B$4:$CP$58,MATCH($A28,DiemHKI!$B$4:$B$58,0),7),""),"")</f>
        <v/>
      </c>
      <c r="E28" s="277" t="str">
        <f>IF($A28&lt;&gt;"",IF(INDEX(DiemHKI!$B$4:$CP$58,MATCH($A28,DiemHKI!$B$4:$B$58,0),8)&lt;&gt;"",INDEX(DiemHKI!$B$4:$CP$58,MATCH($A28,DiemHKI!$B$4:$B$58,0),8),""),"")</f>
        <v/>
      </c>
      <c r="F28" s="277" t="str">
        <f>IF($A28&lt;&gt;"",IF(INDEX(DiemHKI!$B$4:$CP$58,MATCH($A28,DiemHKI!$B$4:$B$58,0),9)&lt;&gt;"",INDEX(DiemHKI!$B$4:$CP$58,MATCH($A28,DiemHKI!$B$4:$B$58,0),9),""),"")</f>
        <v/>
      </c>
      <c r="G28" s="300">
        <f>IF($A28&lt;&gt;"",IF(INDEX(BDHKI,MATCH($A28,DiemHKI!$B$4:$B$58,0),INDEX($AD$9:$AF$22,MATCH(G$7,$AD$9:$AD$22,0),2))&lt;&gt;"",INDEX(BDHKI,MATCH($A28,DiemHKI!$B$4:$B$58,0),INDEX($AD$9:$AF$22,MATCH(G$7,$AD$9:$AD$22,0),3)),""),"")</f>
        <v>9.5</v>
      </c>
      <c r="H28" s="301">
        <f>IF($A28&lt;&gt;"",IF(INDEX(BDHKI,MATCH($A28,DiemHKI!$B$4:$B$58,0),INDEX($AD$9:$AF$22,MATCH(H$7,$AD$9:$AD$22,0),2))&lt;&gt;"",INDEX(BDHKI,MATCH($A28,DiemHKI!$B$4:$B$58,0),INDEX($AD$9:$AF$22,MATCH(H$7,$AD$9:$AD$22,0),3)),""),"")</f>
        <v>9.4</v>
      </c>
      <c r="I28" s="301">
        <f>IF($A28&lt;&gt;"",IF(INDEX(BDHKI,MATCH($A28,DiemHKI!$B$4:$B$58,0),INDEX($AD$9:$AF$22,MATCH(I$7,$AD$9:$AD$22,0),2))&lt;&gt;"",INDEX(BDHKI,MATCH($A28,DiemHKI!$B$4:$B$58,0),INDEX($AD$9:$AF$22,MATCH(I$7,$AD$9:$AD$22,0),3)),""),"")</f>
        <v>9.1</v>
      </c>
      <c r="J28" s="301">
        <f>IF($A28&lt;&gt;"",IF(INDEX(BDHKI,MATCH($A28,DiemHKI!$B$4:$B$58,0),INDEX($AD$9:$AF$22,MATCH(J$7,$AD$9:$AD$22,0),2))&lt;&gt;"",INDEX(BDHKI,MATCH($A28,DiemHKI!$B$4:$B$58,0),INDEX($AD$9:$AF$22,MATCH(J$7,$AD$9:$AD$22,0),3)),""),"")</f>
        <v>8.8000000000000007</v>
      </c>
      <c r="K28" s="301">
        <f>IF($A28&lt;&gt;"",IF(INDEX(BDHKI,MATCH($A28,DiemHKI!$B$4:$B$58,0),INDEX($AD$9:$AF$22,MATCH(K$7,$AD$9:$AD$22,0),2))&lt;&gt;"",INDEX(BDHKI,MATCH($A28,DiemHKI!$B$4:$B$58,0),INDEX($AD$9:$AF$22,MATCH(K$7,$AD$9:$AD$22,0),3)),""),"")</f>
        <v>9.8000000000000007</v>
      </c>
      <c r="L28" s="301">
        <f>IF($A28&lt;&gt;"",IF(INDEX(BDHKI,MATCH($A28,DiemHKI!$B$4:$B$58,0),INDEX($AD$9:$AF$22,MATCH(L$7,$AD$9:$AD$22,0),2))&lt;&gt;"",INDEX(BDHKI,MATCH($A28,DiemHKI!$B$4:$B$58,0),INDEX($AD$9:$AF$22,MATCH(L$7,$AD$9:$AD$22,0),3)),""),"")</f>
        <v>7.3</v>
      </c>
      <c r="M28" s="301">
        <f>IF($A28&lt;&gt;"",IF(INDEX(BDHKI,MATCH($A28,DiemHKI!$B$4:$B$58,0),INDEX($AD$9:$AF$22,MATCH(M$7,$AD$9:$AD$22,0),2))&lt;&gt;"",INDEX(BDHKI,MATCH($A28,DiemHKI!$B$4:$B$58,0),INDEX($AD$9:$AF$22,MATCH(M$7,$AD$9:$AD$22,0),3)),""),"")</f>
        <v>9.8000000000000007</v>
      </c>
      <c r="N28" s="301">
        <f>IF($A28&lt;&gt;"",IF(INDEX(BDHKI,MATCH($A28,DiemHKI!$B$4:$B$58,0),INDEX($AD$9:$AF$22,MATCH(N$7,$AD$9:$AD$22,0),2))&lt;&gt;"",INDEX(BDHKI,MATCH($A28,DiemHKI!$B$4:$B$58,0),INDEX($AD$9:$AF$22,MATCH(N$7,$AD$9:$AD$22,0),3)),""),"")</f>
        <v>9.9</v>
      </c>
      <c r="O28" s="301">
        <f>IF($A28&lt;&gt;"",IF(INDEX(BDHKI,MATCH($A28,DiemHKI!$B$4:$B$58,0),INDEX($AD$9:$AF$22,MATCH(O$7,$AD$9:$AD$22,0),2))&lt;&gt;"",INDEX(BDHKI,MATCH($A28,DiemHKI!$B$4:$B$58,0),INDEX($AD$9:$AF$22,MATCH(O$7,$AD$9:$AD$22,0),3)),""),"")</f>
        <v>8.8000000000000007</v>
      </c>
      <c r="P28" s="301">
        <f>IF($A28&lt;&gt;"",IF(INDEX(BDHKI,MATCH($A28,DiemHKI!$B$4:$B$58,0),INDEX($AD$9:$AF$22,MATCH(P$7,$AD$9:$AD$22,0),2))&lt;&gt;"",INDEX(BDHKI,MATCH($A28,DiemHKI!$B$4:$B$58,0),INDEX($AD$9:$AF$22,MATCH(P$7,$AD$9:$AD$22,0),3)),""),"")</f>
        <v>8.8000000000000007</v>
      </c>
      <c r="Q28" s="301">
        <f>IF($A28&lt;&gt;"",IF(INDEX(BDHKI,MATCH($A28,DiemHKI!$B$4:$B$58,0),INDEX($AD$9:$AF$22,MATCH(Q$7,$AD$9:$AD$22,0),2))&lt;&gt;"",INDEX(BDHKI,MATCH($A28,DiemHKI!$B$4:$B$58,0),INDEX($AD$9:$AF$22,MATCH(Q$7,$AD$9:$AD$22,0),3)),""),"")</f>
        <v>9.8000000000000007</v>
      </c>
      <c r="R28" s="279" t="str">
        <f>IF($A28&lt;&gt;"",IF(INDEX(BDHKI,MATCH($A28,DiemHKI!$B$4:$B$58,0),INDEX($AD$9:$AF$22,MATCH(R$7,$AD$9:$AD$22,0),2))&lt;&gt;"",INDEX(BDHKI,MATCH($A28,DiemHKI!$B$4:$B$58,0),INDEX($AD$9:$AF$22,MATCH(R$7,$AD$9:$AD$22,0),3)),""),"")</f>
        <v>Đ</v>
      </c>
      <c r="S28" s="279">
        <f t="shared" si="7"/>
        <v>8</v>
      </c>
      <c r="T28" s="301">
        <f>IF($A28&lt;&gt;"",IF(INDEX(BDHKI,MATCH($A28,DiemHKI!$B$4:$B$58,0),INDEX($AD$9:$AF$22,MATCH(T$7,$AD$9:$AD$22,0),2))&lt;&gt;"",INDEX(BDHKI,MATCH($A28,DiemHKI!$B$4:$B$58,0),INDEX($AD$9:$AF$22,MATCH(T$7,$AD$9:$AD$22,0),3)),""),"")</f>
        <v>9.9</v>
      </c>
      <c r="U28" s="302" t="str">
        <f>IF($A28&lt;&gt;"",IF(INDEX(BDHKI,MATCH($A28,DiemHKI!$B$4:$B$58,0),INDEX($AD$9:$AF$22,MATCH(U$7,$AD$9:$AD$22,0),2))&lt;&gt;"",INDEX(BDHKI,MATCH($A28,DiemHKI!$B$4:$B$58,0),INDEX($AD$9:$AF$22,MATCH(U$7,$AD$9:$AD$22,0),3)),""),"")</f>
        <v/>
      </c>
      <c r="V28" s="278">
        <f t="shared" si="8"/>
        <v>9.1999999999999993</v>
      </c>
      <c r="W28" s="279" t="str">
        <f t="shared" si="9"/>
        <v>Giỏi</v>
      </c>
      <c r="X28" s="352" t="s">
        <v>38</v>
      </c>
      <c r="Y28" s="280" t="str">
        <f t="shared" si="10"/>
        <v>HSG</v>
      </c>
      <c r="AA28" s="644">
        <f t="shared" si="4"/>
        <v>27</v>
      </c>
      <c r="AB28" s="1"/>
      <c r="AG28" s="268" t="str">
        <f>IF($A28&lt;&gt;"",INDEX(DiemHKI!$DI$4:$DI$58,MATCH($A28,DiemHKI!$B$4:$B$58,0),1),"")</f>
        <v>12A1Phạm TấnLộc05/07/2004</v>
      </c>
      <c r="AH28" s="674" t="str">
        <f t="shared" si="5"/>
        <v/>
      </c>
      <c r="AI28" s="672" t="str">
        <f t="shared" ca="1" si="6"/>
        <v/>
      </c>
    </row>
    <row r="29" spans="1:36" s="268" customFormat="1" ht="29.1" customHeight="1">
      <c r="A29" s="281">
        <f>IF(A28&lt;MAX(DiemHKI!$B$4:$B$58),A28+1,"")</f>
        <v>22</v>
      </c>
      <c r="B29" s="32" t="str">
        <f>IF($A29&lt;&gt;"",PROPER(INDEX(DiemHKI!$B$4:$CP$58,MATCH($A29,DiemHKI!$B$4:$B$58,0),3)),"")</f>
        <v xml:space="preserve">Phạm Thị Khả </v>
      </c>
      <c r="C29" s="33" t="str">
        <f>IF($A29&lt;&gt;"",PROPER(INDEX(DiemHKI!$B$4:$CP$58,MATCH($A29,DiemHKI!$B$4:$B$58,0),4)),"")</f>
        <v>My</v>
      </c>
      <c r="D29" s="284" t="str">
        <f>IF($A29&lt;&gt;"",IF(INDEX(DiemHKI!$B$4:$CP$58,MATCH($A29,DiemHKI!$B$4:$B$58,0),7)&lt;&gt;"",INDEX(DiemHKI!$B$4:$CP$58,MATCH($A29,DiemHKI!$B$4:$B$58,0),7),""),"")</f>
        <v>x</v>
      </c>
      <c r="E29" s="284" t="str">
        <f>IF($A29&lt;&gt;"",IF(INDEX(DiemHKI!$B$4:$CP$58,MATCH($A29,DiemHKI!$B$4:$B$58,0),8)&lt;&gt;"",INDEX(DiemHKI!$B$4:$CP$58,MATCH($A29,DiemHKI!$B$4:$B$58,0),8),""),"")</f>
        <v/>
      </c>
      <c r="F29" s="284" t="str">
        <f>IF($A29&lt;&gt;"",IF(INDEX(DiemHKI!$B$4:$CP$58,MATCH($A29,DiemHKI!$B$4:$B$58,0),9)&lt;&gt;"",INDEX(DiemHKI!$B$4:$CP$58,MATCH($A29,DiemHKI!$B$4:$B$58,0),9),""),"")</f>
        <v/>
      </c>
      <c r="G29" s="285">
        <f>IF($A29&lt;&gt;"",IF(INDEX(BDHKI,MATCH($A29,DiemHKI!$B$4:$B$58,0),INDEX($AD$9:$AF$22,MATCH(G$7,$AD$9:$AD$22,0),2))&lt;&gt;"",INDEX(BDHKI,MATCH($A29,DiemHKI!$B$4:$B$58,0),INDEX($AD$9:$AF$22,MATCH(G$7,$AD$9:$AD$22,0),3)),""),"")</f>
        <v>9.5</v>
      </c>
      <c r="H29" s="286">
        <f>IF($A29&lt;&gt;"",IF(INDEX(BDHKI,MATCH($A29,DiemHKI!$B$4:$B$58,0),INDEX($AD$9:$AF$22,MATCH(H$7,$AD$9:$AD$22,0),2))&lt;&gt;"",INDEX(BDHKI,MATCH($A29,DiemHKI!$B$4:$B$58,0),INDEX($AD$9:$AF$22,MATCH(H$7,$AD$9:$AD$22,0),3)),""),"")</f>
        <v>9.5</v>
      </c>
      <c r="I29" s="286">
        <f>IF($A29&lt;&gt;"",IF(INDEX(BDHKI,MATCH($A29,DiemHKI!$B$4:$B$58,0),INDEX($AD$9:$AF$22,MATCH(I$7,$AD$9:$AD$22,0),2))&lt;&gt;"",INDEX(BDHKI,MATCH($A29,DiemHKI!$B$4:$B$58,0),INDEX($AD$9:$AF$22,MATCH(I$7,$AD$9:$AD$22,0),3)),""),"")</f>
        <v>9.4</v>
      </c>
      <c r="J29" s="286">
        <f>IF($A29&lt;&gt;"",IF(INDEX(BDHKI,MATCH($A29,DiemHKI!$B$4:$B$58,0),INDEX($AD$9:$AF$22,MATCH(J$7,$AD$9:$AD$22,0),2))&lt;&gt;"",INDEX(BDHKI,MATCH($A29,DiemHKI!$B$4:$B$58,0),INDEX($AD$9:$AF$22,MATCH(J$7,$AD$9:$AD$22,0),3)),""),"")</f>
        <v>9.5</v>
      </c>
      <c r="K29" s="286">
        <f>IF($A29&lt;&gt;"",IF(INDEX(BDHKI,MATCH($A29,DiemHKI!$B$4:$B$58,0),INDEX($AD$9:$AF$22,MATCH(K$7,$AD$9:$AD$22,0),2))&lt;&gt;"",INDEX(BDHKI,MATCH($A29,DiemHKI!$B$4:$B$58,0),INDEX($AD$9:$AF$22,MATCH(K$7,$AD$9:$AD$22,0),3)),""),"")</f>
        <v>9.8000000000000007</v>
      </c>
      <c r="L29" s="286">
        <f>IF($A29&lt;&gt;"",IF(INDEX(BDHKI,MATCH($A29,DiemHKI!$B$4:$B$58,0),INDEX($AD$9:$AF$22,MATCH(L$7,$AD$9:$AD$22,0),2))&lt;&gt;"",INDEX(BDHKI,MATCH($A29,DiemHKI!$B$4:$B$58,0),INDEX($AD$9:$AF$22,MATCH(L$7,$AD$9:$AD$22,0),3)),""),"")</f>
        <v>7.4</v>
      </c>
      <c r="M29" s="286">
        <f>IF($A29&lt;&gt;"",IF(INDEX(BDHKI,MATCH($A29,DiemHKI!$B$4:$B$58,0),INDEX($AD$9:$AF$22,MATCH(M$7,$AD$9:$AD$22,0),2))&lt;&gt;"",INDEX(BDHKI,MATCH($A29,DiemHKI!$B$4:$B$58,0),INDEX($AD$9:$AF$22,MATCH(M$7,$AD$9:$AD$22,0),3)),""),"")</f>
        <v>9.6</v>
      </c>
      <c r="N29" s="286">
        <f>IF($A29&lt;&gt;"",IF(INDEX(BDHKI,MATCH($A29,DiemHKI!$B$4:$B$58,0),INDEX($AD$9:$AF$22,MATCH(N$7,$AD$9:$AD$22,0),2))&lt;&gt;"",INDEX(BDHKI,MATCH($A29,DiemHKI!$B$4:$B$58,0),INDEX($AD$9:$AF$22,MATCH(N$7,$AD$9:$AD$22,0),3)),""),"")</f>
        <v>9.8000000000000007</v>
      </c>
      <c r="O29" s="286">
        <f>IF($A29&lt;&gt;"",IF(INDEX(BDHKI,MATCH($A29,DiemHKI!$B$4:$B$58,0),INDEX($AD$9:$AF$22,MATCH(O$7,$AD$9:$AD$22,0),2))&lt;&gt;"",INDEX(BDHKI,MATCH($A29,DiemHKI!$B$4:$B$58,0),INDEX($AD$9:$AF$22,MATCH(O$7,$AD$9:$AD$22,0),3)),""),"")</f>
        <v>9.1999999999999993</v>
      </c>
      <c r="P29" s="286">
        <f>IF($A29&lt;&gt;"",IF(INDEX(BDHKI,MATCH($A29,DiemHKI!$B$4:$B$58,0),INDEX($AD$9:$AF$22,MATCH(P$7,$AD$9:$AD$22,0),2))&lt;&gt;"",INDEX(BDHKI,MATCH($A29,DiemHKI!$B$4:$B$58,0),INDEX($AD$9:$AF$22,MATCH(P$7,$AD$9:$AD$22,0),3)),""),"")</f>
        <v>9.8000000000000007</v>
      </c>
      <c r="Q29" s="286">
        <f>IF($A29&lt;&gt;"",IF(INDEX(BDHKI,MATCH($A29,DiemHKI!$B$4:$B$58,0),INDEX($AD$9:$AF$22,MATCH(Q$7,$AD$9:$AD$22,0),2))&lt;&gt;"",INDEX(BDHKI,MATCH($A29,DiemHKI!$B$4:$B$58,0),INDEX($AD$9:$AF$22,MATCH(Q$7,$AD$9:$AD$22,0),3)),""),"")</f>
        <v>9.8000000000000007</v>
      </c>
      <c r="R29" s="464" t="str">
        <f>IF($A29&lt;&gt;"",IF(INDEX(BDHKI,MATCH($A29,DiemHKI!$B$4:$B$58,0),INDEX($AD$9:$AF$22,MATCH(R$7,$AD$9:$AD$22,0),2))&lt;&gt;"",INDEX(BDHKI,MATCH($A29,DiemHKI!$B$4:$B$58,0),INDEX($AD$9:$AF$22,MATCH(R$7,$AD$9:$AD$22,0),3)),""),"")</f>
        <v>Đ</v>
      </c>
      <c r="S29" s="464">
        <f t="shared" si="7"/>
        <v>8</v>
      </c>
      <c r="T29" s="286">
        <f>IF($A29&lt;&gt;"",IF(INDEX(BDHKI,MATCH($A29,DiemHKI!$B$4:$B$58,0),INDEX($AD$9:$AF$22,MATCH(T$7,$AD$9:$AD$22,0),2))&lt;&gt;"",INDEX(BDHKI,MATCH($A29,DiemHKI!$B$4:$B$58,0),INDEX($AD$9:$AF$22,MATCH(T$7,$AD$9:$AD$22,0),3)),""),"")</f>
        <v>9.9</v>
      </c>
      <c r="U29" s="287" t="str">
        <f>IF($A29&lt;&gt;"",IF(INDEX(BDHKI,MATCH($A29,DiemHKI!$B$4:$B$58,0),INDEX($AD$9:$AF$22,MATCH(U$7,$AD$9:$AD$22,0),2))&lt;&gt;"",INDEX(BDHKI,MATCH($A29,DiemHKI!$B$4:$B$58,0),INDEX($AD$9:$AF$22,MATCH(U$7,$AD$9:$AD$22,0),3)),""),"")</f>
        <v/>
      </c>
      <c r="V29" s="288">
        <f t="shared" si="8"/>
        <v>9.4</v>
      </c>
      <c r="W29" s="464" t="str">
        <f t="shared" si="9"/>
        <v>Giỏi</v>
      </c>
      <c r="X29" s="353" t="s">
        <v>38</v>
      </c>
      <c r="Y29" s="289" t="str">
        <f t="shared" si="10"/>
        <v>HSG</v>
      </c>
      <c r="AA29" s="644">
        <f t="shared" si="4"/>
        <v>10</v>
      </c>
      <c r="AB29" s="1"/>
      <c r="AG29" s="268" t="str">
        <f>IF($A29&lt;&gt;"",INDEX(DiemHKI!$DI$4:$DI$58,MATCH($A29,DiemHKI!$B$4:$B$58,0),1),"")</f>
        <v>12A1Phạm Thị KhảMy28/02/2004</v>
      </c>
      <c r="AH29" s="674" t="str">
        <f t="shared" si="5"/>
        <v/>
      </c>
      <c r="AI29" s="672" t="str">
        <f t="shared" ca="1" si="6"/>
        <v/>
      </c>
    </row>
    <row r="30" spans="1:36" s="268" customFormat="1" ht="29.1" customHeight="1">
      <c r="A30" s="281">
        <f>IF(A29&lt;MAX(DiemHKI!$B$4:$B$58),A29+1,"")</f>
        <v>23</v>
      </c>
      <c r="B30" s="32" t="str">
        <f>IF($A30&lt;&gt;"",PROPER(INDEX(DiemHKI!$B$4:$CP$58,MATCH($A30,DiemHKI!$B$4:$B$58,0),3)),"")</f>
        <v>Lê</v>
      </c>
      <c r="C30" s="33" t="str">
        <f>IF($A30&lt;&gt;"",PROPER(INDEX(DiemHKI!$B$4:$CP$58,MATCH($A30,DiemHKI!$B$4:$B$58,0),4)),"")</f>
        <v>Na</v>
      </c>
      <c r="D30" s="284" t="str">
        <f>IF($A30&lt;&gt;"",IF(INDEX(DiemHKI!$B$4:$CP$58,MATCH($A30,DiemHKI!$B$4:$B$58,0),7)&lt;&gt;"",INDEX(DiemHKI!$B$4:$CP$58,MATCH($A30,DiemHKI!$B$4:$B$58,0),7),""),"")</f>
        <v>x</v>
      </c>
      <c r="E30" s="284" t="str">
        <f>IF($A30&lt;&gt;"",IF(INDEX(DiemHKI!$B$4:$CP$58,MATCH($A30,DiemHKI!$B$4:$B$58,0),8)&lt;&gt;"",INDEX(DiemHKI!$B$4:$CP$58,MATCH($A30,DiemHKI!$B$4:$B$58,0),8),""),"")</f>
        <v/>
      </c>
      <c r="F30" s="284" t="str">
        <f>IF($A30&lt;&gt;"",IF(INDEX(DiemHKI!$B$4:$CP$58,MATCH($A30,DiemHKI!$B$4:$B$58,0),9)&lt;&gt;"",INDEX(DiemHKI!$B$4:$CP$58,MATCH($A30,DiemHKI!$B$4:$B$58,0),9),""),"")</f>
        <v/>
      </c>
      <c r="G30" s="285">
        <f>IF($A30&lt;&gt;"",IF(INDEX(BDHKI,MATCH($A30,DiemHKI!$B$4:$B$58,0),INDEX($AD$9:$AF$22,MATCH(G$7,$AD$9:$AD$22,0),2))&lt;&gt;"",INDEX(BDHKI,MATCH($A30,DiemHKI!$B$4:$B$58,0),INDEX($AD$9:$AF$22,MATCH(G$7,$AD$9:$AD$22,0),3)),""),"")</f>
        <v>9.4</v>
      </c>
      <c r="H30" s="286">
        <f>IF($A30&lt;&gt;"",IF(INDEX(BDHKI,MATCH($A30,DiemHKI!$B$4:$B$58,0),INDEX($AD$9:$AF$22,MATCH(H$7,$AD$9:$AD$22,0),2))&lt;&gt;"",INDEX(BDHKI,MATCH($A30,DiemHKI!$B$4:$B$58,0),INDEX($AD$9:$AF$22,MATCH(H$7,$AD$9:$AD$22,0),3)),""),"")</f>
        <v>9.6999999999999993</v>
      </c>
      <c r="I30" s="286">
        <f>IF($A30&lt;&gt;"",IF(INDEX(BDHKI,MATCH($A30,DiemHKI!$B$4:$B$58,0),INDEX($AD$9:$AF$22,MATCH(I$7,$AD$9:$AD$22,0),2))&lt;&gt;"",INDEX(BDHKI,MATCH($A30,DiemHKI!$B$4:$B$58,0),INDEX($AD$9:$AF$22,MATCH(I$7,$AD$9:$AD$22,0),3)),""),"")</f>
        <v>9</v>
      </c>
      <c r="J30" s="286">
        <f>IF($A30&lt;&gt;"",IF(INDEX(BDHKI,MATCH($A30,DiemHKI!$B$4:$B$58,0),INDEX($AD$9:$AF$22,MATCH(J$7,$AD$9:$AD$22,0),2))&lt;&gt;"",INDEX(BDHKI,MATCH($A30,DiemHKI!$B$4:$B$58,0),INDEX($AD$9:$AF$22,MATCH(J$7,$AD$9:$AD$22,0),3)),""),"")</f>
        <v>9.1</v>
      </c>
      <c r="K30" s="286">
        <f>IF($A30&lt;&gt;"",IF(INDEX(BDHKI,MATCH($A30,DiemHKI!$B$4:$B$58,0),INDEX($AD$9:$AF$22,MATCH(K$7,$AD$9:$AD$22,0),2))&lt;&gt;"",INDEX(BDHKI,MATCH($A30,DiemHKI!$B$4:$B$58,0),INDEX($AD$9:$AF$22,MATCH(K$7,$AD$9:$AD$22,0),3)),""),"")</f>
        <v>9.6</v>
      </c>
      <c r="L30" s="286">
        <f>IF($A30&lt;&gt;"",IF(INDEX(BDHKI,MATCH($A30,DiemHKI!$B$4:$B$58,0),INDEX($AD$9:$AF$22,MATCH(L$7,$AD$9:$AD$22,0),2))&lt;&gt;"",INDEX(BDHKI,MATCH($A30,DiemHKI!$B$4:$B$58,0),INDEX($AD$9:$AF$22,MATCH(L$7,$AD$9:$AD$22,0),3)),""),"")</f>
        <v>7.7</v>
      </c>
      <c r="M30" s="286">
        <f>IF($A30&lt;&gt;"",IF(INDEX(BDHKI,MATCH($A30,DiemHKI!$B$4:$B$58,0),INDEX($AD$9:$AF$22,MATCH(M$7,$AD$9:$AD$22,0),2))&lt;&gt;"",INDEX(BDHKI,MATCH($A30,DiemHKI!$B$4:$B$58,0),INDEX($AD$9:$AF$22,MATCH(M$7,$AD$9:$AD$22,0),3)),""),"")</f>
        <v>9.8000000000000007</v>
      </c>
      <c r="N30" s="286">
        <f>IF($A30&lt;&gt;"",IF(INDEX(BDHKI,MATCH($A30,DiemHKI!$B$4:$B$58,0),INDEX($AD$9:$AF$22,MATCH(N$7,$AD$9:$AD$22,0),2))&lt;&gt;"",INDEX(BDHKI,MATCH($A30,DiemHKI!$B$4:$B$58,0),INDEX($AD$9:$AF$22,MATCH(N$7,$AD$9:$AD$22,0),3)),""),"")</f>
        <v>9.9</v>
      </c>
      <c r="O30" s="286">
        <f>IF($A30&lt;&gt;"",IF(INDEX(BDHKI,MATCH($A30,DiemHKI!$B$4:$B$58,0),INDEX($AD$9:$AF$22,MATCH(O$7,$AD$9:$AD$22,0),2))&lt;&gt;"",INDEX(BDHKI,MATCH($A30,DiemHKI!$B$4:$B$58,0),INDEX($AD$9:$AF$22,MATCH(O$7,$AD$9:$AD$22,0),3)),""),"")</f>
        <v>8.6</v>
      </c>
      <c r="P30" s="286">
        <f>IF($A30&lt;&gt;"",IF(INDEX(BDHKI,MATCH($A30,DiemHKI!$B$4:$B$58,0),INDEX($AD$9:$AF$22,MATCH(P$7,$AD$9:$AD$22,0),2))&lt;&gt;"",INDEX(BDHKI,MATCH($A30,DiemHKI!$B$4:$B$58,0),INDEX($AD$9:$AF$22,MATCH(P$7,$AD$9:$AD$22,0),3)),""),"")</f>
        <v>9.4</v>
      </c>
      <c r="Q30" s="286">
        <f>IF($A30&lt;&gt;"",IF(INDEX(BDHKI,MATCH($A30,DiemHKI!$B$4:$B$58,0),INDEX($AD$9:$AF$22,MATCH(Q$7,$AD$9:$AD$22,0),2))&lt;&gt;"",INDEX(BDHKI,MATCH($A30,DiemHKI!$B$4:$B$58,0),INDEX($AD$9:$AF$22,MATCH(Q$7,$AD$9:$AD$22,0),3)),""),"")</f>
        <v>9.9</v>
      </c>
      <c r="R30" s="464" t="str">
        <f>IF($A30&lt;&gt;"",IF(INDEX(BDHKI,MATCH($A30,DiemHKI!$B$4:$B$58,0),INDEX($AD$9:$AF$22,MATCH(R$7,$AD$9:$AD$22,0),2))&lt;&gt;"",INDEX(BDHKI,MATCH($A30,DiemHKI!$B$4:$B$58,0),INDEX($AD$9:$AF$22,MATCH(R$7,$AD$9:$AD$22,0),3)),""),"")</f>
        <v>Đ</v>
      </c>
      <c r="S30" s="464">
        <f t="shared" si="7"/>
        <v>8</v>
      </c>
      <c r="T30" s="286">
        <f>IF($A30&lt;&gt;"",IF(INDEX(BDHKI,MATCH($A30,DiemHKI!$B$4:$B$58,0),INDEX($AD$9:$AF$22,MATCH(T$7,$AD$9:$AD$22,0),2))&lt;&gt;"",INDEX(BDHKI,MATCH($A30,DiemHKI!$B$4:$B$58,0),INDEX($AD$9:$AF$22,MATCH(T$7,$AD$9:$AD$22,0),3)),""),"")</f>
        <v>9.4</v>
      </c>
      <c r="U30" s="287" t="str">
        <f>IF($A30&lt;&gt;"",IF(INDEX(BDHKI,MATCH($A30,DiemHKI!$B$4:$B$58,0),INDEX($AD$9:$AF$22,MATCH(U$7,$AD$9:$AD$22,0),2))&lt;&gt;"",INDEX(BDHKI,MATCH($A30,DiemHKI!$B$4:$B$58,0),INDEX($AD$9:$AF$22,MATCH(U$7,$AD$9:$AD$22,0),3)),""),"")</f>
        <v/>
      </c>
      <c r="V30" s="288">
        <f t="shared" si="8"/>
        <v>9.3000000000000007</v>
      </c>
      <c r="W30" s="464" t="str">
        <f t="shared" si="9"/>
        <v>Giỏi</v>
      </c>
      <c r="X30" s="353" t="s">
        <v>38</v>
      </c>
      <c r="Y30" s="289" t="str">
        <f t="shared" si="10"/>
        <v>HSG</v>
      </c>
      <c r="AA30" s="644">
        <f t="shared" si="4"/>
        <v>18</v>
      </c>
      <c r="AB30" s="1"/>
      <c r="AG30" s="268" t="str">
        <f>IF($A30&lt;&gt;"",INDEX(DiemHKI!$DI$4:$DI$58,MATCH($A30,DiemHKI!$B$4:$B$58,0),1),"")</f>
        <v>12A1LêNa29/02/2004</v>
      </c>
      <c r="AH30" s="674" t="str">
        <f t="shared" si="5"/>
        <v/>
      </c>
      <c r="AI30" s="672" t="str">
        <f t="shared" ca="1" si="6"/>
        <v/>
      </c>
    </row>
    <row r="31" spans="1:36" s="268" customFormat="1" ht="29.1" customHeight="1">
      <c r="A31" s="281">
        <f>IF(A30&lt;MAX(DiemHKI!$B$4:$B$58),A30+1,"")</f>
        <v>24</v>
      </c>
      <c r="B31" s="32" t="str">
        <f>IF($A31&lt;&gt;"",PROPER(INDEX(DiemHKI!$B$4:$CP$58,MATCH($A31,DiemHKI!$B$4:$B$58,0),3)),"")</f>
        <v>Quách Tống Minh</v>
      </c>
      <c r="C31" s="33" t="str">
        <f>IF($A31&lt;&gt;"",PROPER(INDEX(DiemHKI!$B$4:$CP$58,MATCH($A31,DiemHKI!$B$4:$B$58,0),4)),"")</f>
        <v>Nhật</v>
      </c>
      <c r="D31" s="284" t="str">
        <f>IF($A31&lt;&gt;"",IF(INDEX(DiemHKI!$B$4:$CP$58,MATCH($A31,DiemHKI!$B$4:$B$58,0),7)&lt;&gt;"",INDEX(DiemHKI!$B$4:$CP$58,MATCH($A31,DiemHKI!$B$4:$B$58,0),7),""),"")</f>
        <v/>
      </c>
      <c r="E31" s="284" t="str">
        <f>IF($A31&lt;&gt;"",IF(INDEX(DiemHKI!$B$4:$CP$58,MATCH($A31,DiemHKI!$B$4:$B$58,0),8)&lt;&gt;"",INDEX(DiemHKI!$B$4:$CP$58,MATCH($A31,DiemHKI!$B$4:$B$58,0),8),""),"")</f>
        <v/>
      </c>
      <c r="F31" s="284" t="str">
        <f>IF($A31&lt;&gt;"",IF(INDEX(DiemHKI!$B$4:$CP$58,MATCH($A31,DiemHKI!$B$4:$B$58,0),9)&lt;&gt;"",INDEX(DiemHKI!$B$4:$CP$58,MATCH($A31,DiemHKI!$B$4:$B$58,0),9),""),"")</f>
        <v/>
      </c>
      <c r="G31" s="285">
        <f>IF($A31&lt;&gt;"",IF(INDEX(BDHKI,MATCH($A31,DiemHKI!$B$4:$B$58,0),INDEX($AD$9:$AF$22,MATCH(G$7,$AD$9:$AD$22,0),2))&lt;&gt;"",INDEX(BDHKI,MATCH($A31,DiemHKI!$B$4:$B$58,0),INDEX($AD$9:$AF$22,MATCH(G$7,$AD$9:$AD$22,0),3)),""),"")</f>
        <v>9.3000000000000007</v>
      </c>
      <c r="H31" s="286">
        <f>IF($A31&lt;&gt;"",IF(INDEX(BDHKI,MATCH($A31,DiemHKI!$B$4:$B$58,0),INDEX($AD$9:$AF$22,MATCH(H$7,$AD$9:$AD$22,0),2))&lt;&gt;"",INDEX(BDHKI,MATCH($A31,DiemHKI!$B$4:$B$58,0),INDEX($AD$9:$AF$22,MATCH(H$7,$AD$9:$AD$22,0),3)),""),"")</f>
        <v>9.1999999999999993</v>
      </c>
      <c r="I31" s="286">
        <f>IF($A31&lt;&gt;"",IF(INDEX(BDHKI,MATCH($A31,DiemHKI!$B$4:$B$58,0),INDEX($AD$9:$AF$22,MATCH(I$7,$AD$9:$AD$22,0),2))&lt;&gt;"",INDEX(BDHKI,MATCH($A31,DiemHKI!$B$4:$B$58,0),INDEX($AD$9:$AF$22,MATCH(I$7,$AD$9:$AD$22,0),3)),""),"")</f>
        <v>8.9</v>
      </c>
      <c r="J31" s="286">
        <f>IF($A31&lt;&gt;"",IF(INDEX(BDHKI,MATCH($A31,DiemHKI!$B$4:$B$58,0),INDEX($AD$9:$AF$22,MATCH(J$7,$AD$9:$AD$22,0),2))&lt;&gt;"",INDEX(BDHKI,MATCH($A31,DiemHKI!$B$4:$B$58,0),INDEX($AD$9:$AF$22,MATCH(J$7,$AD$9:$AD$22,0),3)),""),"")</f>
        <v>8.4</v>
      </c>
      <c r="K31" s="286">
        <f>IF($A31&lt;&gt;"",IF(INDEX(BDHKI,MATCH($A31,DiemHKI!$B$4:$B$58,0),INDEX($AD$9:$AF$22,MATCH(K$7,$AD$9:$AD$22,0),2))&lt;&gt;"",INDEX(BDHKI,MATCH($A31,DiemHKI!$B$4:$B$58,0),INDEX($AD$9:$AF$22,MATCH(K$7,$AD$9:$AD$22,0),3)),""),"")</f>
        <v>9.8000000000000007</v>
      </c>
      <c r="L31" s="286">
        <f>IF($A31&lt;&gt;"",IF(INDEX(BDHKI,MATCH($A31,DiemHKI!$B$4:$B$58,0),INDEX($AD$9:$AF$22,MATCH(L$7,$AD$9:$AD$22,0),2))&lt;&gt;"",INDEX(BDHKI,MATCH($A31,DiemHKI!$B$4:$B$58,0),INDEX($AD$9:$AF$22,MATCH(L$7,$AD$9:$AD$22,0),3)),""),"")</f>
        <v>6.9</v>
      </c>
      <c r="M31" s="286">
        <f>IF($A31&lt;&gt;"",IF(INDEX(BDHKI,MATCH($A31,DiemHKI!$B$4:$B$58,0),INDEX($AD$9:$AF$22,MATCH(M$7,$AD$9:$AD$22,0),2))&lt;&gt;"",INDEX(BDHKI,MATCH($A31,DiemHKI!$B$4:$B$58,0),INDEX($AD$9:$AF$22,MATCH(M$7,$AD$9:$AD$22,0),3)),""),"")</f>
        <v>9.8000000000000007</v>
      </c>
      <c r="N31" s="286">
        <f>IF($A31&lt;&gt;"",IF(INDEX(BDHKI,MATCH($A31,DiemHKI!$B$4:$B$58,0),INDEX($AD$9:$AF$22,MATCH(N$7,$AD$9:$AD$22,0),2))&lt;&gt;"",INDEX(BDHKI,MATCH($A31,DiemHKI!$B$4:$B$58,0),INDEX($AD$9:$AF$22,MATCH(N$7,$AD$9:$AD$22,0),3)),""),"")</f>
        <v>9.6</v>
      </c>
      <c r="O31" s="286">
        <f>IF($A31&lt;&gt;"",IF(INDEX(BDHKI,MATCH($A31,DiemHKI!$B$4:$B$58,0),INDEX($AD$9:$AF$22,MATCH(O$7,$AD$9:$AD$22,0),2))&lt;&gt;"",INDEX(BDHKI,MATCH($A31,DiemHKI!$B$4:$B$58,0),INDEX($AD$9:$AF$22,MATCH(O$7,$AD$9:$AD$22,0),3)),""),"")</f>
        <v>9.4</v>
      </c>
      <c r="P31" s="286">
        <f>IF($A31&lt;&gt;"",IF(INDEX(BDHKI,MATCH($A31,DiemHKI!$B$4:$B$58,0),INDEX($AD$9:$AF$22,MATCH(P$7,$AD$9:$AD$22,0),2))&lt;&gt;"",INDEX(BDHKI,MATCH($A31,DiemHKI!$B$4:$B$58,0),INDEX($AD$9:$AF$22,MATCH(P$7,$AD$9:$AD$22,0),3)),""),"")</f>
        <v>9.4</v>
      </c>
      <c r="Q31" s="286">
        <f>IF($A31&lt;&gt;"",IF(INDEX(BDHKI,MATCH($A31,DiemHKI!$B$4:$B$58,0),INDEX($AD$9:$AF$22,MATCH(Q$7,$AD$9:$AD$22,0),2))&lt;&gt;"",INDEX(BDHKI,MATCH($A31,DiemHKI!$B$4:$B$58,0),INDEX($AD$9:$AF$22,MATCH(Q$7,$AD$9:$AD$22,0),3)),""),"")</f>
        <v>9.8000000000000007</v>
      </c>
      <c r="R31" s="464" t="str">
        <f>IF($A31&lt;&gt;"",IF(INDEX(BDHKI,MATCH($A31,DiemHKI!$B$4:$B$58,0),INDEX($AD$9:$AF$22,MATCH(R$7,$AD$9:$AD$22,0),2))&lt;&gt;"",INDEX(BDHKI,MATCH($A31,DiemHKI!$B$4:$B$58,0),INDEX($AD$9:$AF$22,MATCH(R$7,$AD$9:$AD$22,0),3)),""),"")</f>
        <v>Đ</v>
      </c>
      <c r="S31" s="464">
        <f t="shared" si="7"/>
        <v>8</v>
      </c>
      <c r="T31" s="286">
        <f>IF($A31&lt;&gt;"",IF(INDEX(BDHKI,MATCH($A31,DiemHKI!$B$4:$B$58,0),INDEX($AD$9:$AF$22,MATCH(T$7,$AD$9:$AD$22,0),2))&lt;&gt;"",INDEX(BDHKI,MATCH($A31,DiemHKI!$B$4:$B$58,0),INDEX($AD$9:$AF$22,MATCH(T$7,$AD$9:$AD$22,0),3)),""),"")</f>
        <v>9.9</v>
      </c>
      <c r="U31" s="287" t="str">
        <f>IF($A31&lt;&gt;"",IF(INDEX(BDHKI,MATCH($A31,DiemHKI!$B$4:$B$58,0),INDEX($AD$9:$AF$22,MATCH(U$7,$AD$9:$AD$22,0),2))&lt;&gt;"",INDEX(BDHKI,MATCH($A31,DiemHKI!$B$4:$B$58,0),INDEX($AD$9:$AF$22,MATCH(U$7,$AD$9:$AD$22,0),3)),""),"")</f>
        <v/>
      </c>
      <c r="V31" s="288">
        <f t="shared" si="8"/>
        <v>9.1999999999999993</v>
      </c>
      <c r="W31" s="464" t="str">
        <f t="shared" si="9"/>
        <v>Giỏi</v>
      </c>
      <c r="X31" s="353" t="s">
        <v>38</v>
      </c>
      <c r="Y31" s="289" t="str">
        <f t="shared" si="10"/>
        <v>HSG</v>
      </c>
      <c r="AA31" s="644">
        <f t="shared" si="4"/>
        <v>27</v>
      </c>
      <c r="AB31" s="1"/>
      <c r="AG31" s="268" t="str">
        <f>IF($A31&lt;&gt;"",INDEX(DiemHKI!$DI$4:$DI$58,MATCH($A31,DiemHKI!$B$4:$B$58,0),1),"")</f>
        <v>12A1Quách Tống MinhNhật01/12/2004</v>
      </c>
      <c r="AH31" s="674" t="str">
        <f t="shared" si="5"/>
        <v/>
      </c>
      <c r="AI31" s="672" t="str">
        <f t="shared" ca="1" si="6"/>
        <v/>
      </c>
    </row>
    <row r="32" spans="1:36" s="268" customFormat="1" ht="29.1" customHeight="1" thickBot="1">
      <c r="A32" s="290">
        <f>IF(A31&lt;MAX(DiemHKI!$B$4:$B$58),A31+1,"")</f>
        <v>25</v>
      </c>
      <c r="B32" s="44" t="str">
        <f>IF($A32&lt;&gt;"",PROPER(INDEX(DiemHKI!$B$4:$CP$58,MATCH($A32,DiemHKI!$B$4:$B$58,0),3)),"")</f>
        <v>Nguyễn Thục</v>
      </c>
      <c r="C32" s="45" t="str">
        <f>IF($A32&lt;&gt;"",PROPER(INDEX(DiemHKI!$B$4:$CP$58,MATCH($A32,DiemHKI!$B$4:$B$58,0),4)),"")</f>
        <v>Nhi</v>
      </c>
      <c r="D32" s="293" t="str">
        <f>IF($A32&lt;&gt;"",IF(INDEX(DiemHKI!$B$4:$CP$58,MATCH($A32,DiemHKI!$B$4:$B$58,0),7)&lt;&gt;"",INDEX(DiemHKI!$B$4:$CP$58,MATCH($A32,DiemHKI!$B$4:$B$58,0),7),""),"")</f>
        <v>x</v>
      </c>
      <c r="E32" s="293" t="str">
        <f>IF($A32&lt;&gt;"",IF(INDEX(DiemHKI!$B$4:$CP$58,MATCH($A32,DiemHKI!$B$4:$B$58,0),8)&lt;&gt;"",INDEX(DiemHKI!$B$4:$CP$58,MATCH($A32,DiemHKI!$B$4:$B$58,0),8),""),"")</f>
        <v/>
      </c>
      <c r="F32" s="293" t="str">
        <f>IF($A32&lt;&gt;"",IF(INDEX(DiemHKI!$B$4:$CP$58,MATCH($A32,DiemHKI!$B$4:$B$58,0),9)&lt;&gt;"",INDEX(DiemHKI!$B$4:$CP$58,MATCH($A32,DiemHKI!$B$4:$B$58,0),9),""),"")</f>
        <v/>
      </c>
      <c r="G32" s="294">
        <f>IF($A32&lt;&gt;"",IF(INDEX(BDHKI,MATCH($A32,DiemHKI!$B$4:$B$58,0),INDEX($AD$9:$AF$22,MATCH(G$7,$AD$9:$AD$22,0),2))&lt;&gt;"",INDEX(BDHKI,MATCH($A32,DiemHKI!$B$4:$B$58,0),INDEX($AD$9:$AF$22,MATCH(G$7,$AD$9:$AD$22,0),3)),""),"")</f>
        <v>9.8000000000000007</v>
      </c>
      <c r="H32" s="295">
        <f>IF($A32&lt;&gt;"",IF(INDEX(BDHKI,MATCH($A32,DiemHKI!$B$4:$B$58,0),INDEX($AD$9:$AF$22,MATCH(H$7,$AD$9:$AD$22,0),2))&lt;&gt;"",INDEX(BDHKI,MATCH($A32,DiemHKI!$B$4:$B$58,0),INDEX($AD$9:$AF$22,MATCH(H$7,$AD$9:$AD$22,0),3)),""),"")</f>
        <v>9.6999999999999993</v>
      </c>
      <c r="I32" s="295">
        <f>IF($A32&lt;&gt;"",IF(INDEX(BDHKI,MATCH($A32,DiemHKI!$B$4:$B$58,0),INDEX($AD$9:$AF$22,MATCH(I$7,$AD$9:$AD$22,0),2))&lt;&gt;"",INDEX(BDHKI,MATCH($A32,DiemHKI!$B$4:$B$58,0),INDEX($AD$9:$AF$22,MATCH(I$7,$AD$9:$AD$22,0),3)),""),"")</f>
        <v>9.8000000000000007</v>
      </c>
      <c r="J32" s="295">
        <f>IF($A32&lt;&gt;"",IF(INDEX(BDHKI,MATCH($A32,DiemHKI!$B$4:$B$58,0),INDEX($AD$9:$AF$22,MATCH(J$7,$AD$9:$AD$22,0),2))&lt;&gt;"",INDEX(BDHKI,MATCH($A32,DiemHKI!$B$4:$B$58,0),INDEX($AD$9:$AF$22,MATCH(J$7,$AD$9:$AD$22,0),3)),""),"")</f>
        <v>8.9</v>
      </c>
      <c r="K32" s="295">
        <f>IF($A32&lt;&gt;"",IF(INDEX(BDHKI,MATCH($A32,DiemHKI!$B$4:$B$58,0),INDEX($AD$9:$AF$22,MATCH(K$7,$AD$9:$AD$22,0),2))&lt;&gt;"",INDEX(BDHKI,MATCH($A32,DiemHKI!$B$4:$B$58,0),INDEX($AD$9:$AF$22,MATCH(K$7,$AD$9:$AD$22,0),3)),""),"")</f>
        <v>9.8000000000000007</v>
      </c>
      <c r="L32" s="295">
        <f>IF($A32&lt;&gt;"",IF(INDEX(BDHKI,MATCH($A32,DiemHKI!$B$4:$B$58,0),INDEX($AD$9:$AF$22,MATCH(L$7,$AD$9:$AD$22,0),2))&lt;&gt;"",INDEX(BDHKI,MATCH($A32,DiemHKI!$B$4:$B$58,0),INDEX($AD$9:$AF$22,MATCH(L$7,$AD$9:$AD$22,0),3)),""),"")</f>
        <v>7.9</v>
      </c>
      <c r="M32" s="295">
        <f>IF($A32&lt;&gt;"",IF(INDEX(BDHKI,MATCH($A32,DiemHKI!$B$4:$B$58,0),INDEX($AD$9:$AF$22,MATCH(M$7,$AD$9:$AD$22,0),2))&lt;&gt;"",INDEX(BDHKI,MATCH($A32,DiemHKI!$B$4:$B$58,0),INDEX($AD$9:$AF$22,MATCH(M$7,$AD$9:$AD$22,0),3)),""),"")</f>
        <v>9.8000000000000007</v>
      </c>
      <c r="N32" s="295">
        <f>IF($A32&lt;&gt;"",IF(INDEX(BDHKI,MATCH($A32,DiemHKI!$B$4:$B$58,0),INDEX($AD$9:$AF$22,MATCH(N$7,$AD$9:$AD$22,0),2))&lt;&gt;"",INDEX(BDHKI,MATCH($A32,DiemHKI!$B$4:$B$58,0),INDEX($AD$9:$AF$22,MATCH(N$7,$AD$9:$AD$22,0),3)),""),"")</f>
        <v>9.8000000000000007</v>
      </c>
      <c r="O32" s="295">
        <f>IF($A32&lt;&gt;"",IF(INDEX(BDHKI,MATCH($A32,DiemHKI!$B$4:$B$58,0),INDEX($AD$9:$AF$22,MATCH(O$7,$AD$9:$AD$22,0),2))&lt;&gt;"",INDEX(BDHKI,MATCH($A32,DiemHKI!$B$4:$B$58,0),INDEX($AD$9:$AF$22,MATCH(O$7,$AD$9:$AD$22,0),3)),""),"")</f>
        <v>9.6</v>
      </c>
      <c r="P32" s="295">
        <f>IF($A32&lt;&gt;"",IF(INDEX(BDHKI,MATCH($A32,DiemHKI!$B$4:$B$58,0),INDEX($AD$9:$AF$22,MATCH(P$7,$AD$9:$AD$22,0),2))&lt;&gt;"",INDEX(BDHKI,MATCH($A32,DiemHKI!$B$4:$B$58,0),INDEX($AD$9:$AF$22,MATCH(P$7,$AD$9:$AD$22,0),3)),""),"")</f>
        <v>9.1</v>
      </c>
      <c r="Q32" s="295">
        <f>IF($A32&lt;&gt;"",IF(INDEX(BDHKI,MATCH($A32,DiemHKI!$B$4:$B$58,0),INDEX($AD$9:$AF$22,MATCH(Q$7,$AD$9:$AD$22,0),2))&lt;&gt;"",INDEX(BDHKI,MATCH($A32,DiemHKI!$B$4:$B$58,0),INDEX($AD$9:$AF$22,MATCH(Q$7,$AD$9:$AD$22,0),3)),""),"")</f>
        <v>9.5</v>
      </c>
      <c r="R32" s="296" t="str">
        <f>IF($A32&lt;&gt;"",IF(INDEX(BDHKI,MATCH($A32,DiemHKI!$B$4:$B$58,0),INDEX($AD$9:$AF$22,MATCH(R$7,$AD$9:$AD$22,0),2))&lt;&gt;"",INDEX(BDHKI,MATCH($A32,DiemHKI!$B$4:$B$58,0),INDEX($AD$9:$AF$22,MATCH(R$7,$AD$9:$AD$22,0),3)),""),"")</f>
        <v>Đ</v>
      </c>
      <c r="S32" s="296">
        <f t="shared" si="7"/>
        <v>8</v>
      </c>
      <c r="T32" s="295">
        <f>IF($A32&lt;&gt;"",IF(INDEX(BDHKI,MATCH($A32,DiemHKI!$B$4:$B$58,0),INDEX($AD$9:$AF$22,MATCH(T$7,$AD$9:$AD$22,0),2))&lt;&gt;"",INDEX(BDHKI,MATCH($A32,DiemHKI!$B$4:$B$58,0),INDEX($AD$9:$AF$22,MATCH(T$7,$AD$9:$AD$22,0),3)),""),"")</f>
        <v>9.9</v>
      </c>
      <c r="U32" s="297" t="str">
        <f>IF($A32&lt;&gt;"",IF(INDEX(BDHKI,MATCH($A32,DiemHKI!$B$4:$B$58,0),INDEX($AD$9:$AF$22,MATCH(U$7,$AD$9:$AD$22,0),2))&lt;&gt;"",INDEX(BDHKI,MATCH($A32,DiemHKI!$B$4:$B$58,0),INDEX($AD$9:$AF$22,MATCH(U$7,$AD$9:$AD$22,0),3)),""),"")</f>
        <v/>
      </c>
      <c r="V32" s="298">
        <f t="shared" si="8"/>
        <v>9.5</v>
      </c>
      <c r="W32" s="296" t="str">
        <f t="shared" si="9"/>
        <v>Giỏi</v>
      </c>
      <c r="X32" s="354" t="s">
        <v>38</v>
      </c>
      <c r="Y32" s="299" t="str">
        <f t="shared" si="10"/>
        <v>HSG</v>
      </c>
      <c r="AA32" s="644">
        <f t="shared" si="4"/>
        <v>3</v>
      </c>
      <c r="AB32" s="1"/>
      <c r="AG32" s="268" t="str">
        <f>IF($A32&lt;&gt;"",INDEX(DiemHKI!$DI$4:$DI$58,MATCH($A32,DiemHKI!$B$4:$B$58,0),1),"")</f>
        <v>12A1Nguyễn ThụcNhi04/10/2004</v>
      </c>
      <c r="AH32" s="674" t="str">
        <f t="shared" si="5"/>
        <v/>
      </c>
      <c r="AI32" s="672" t="str">
        <f t="shared" ca="1" si="6"/>
        <v/>
      </c>
    </row>
    <row r="33" spans="1:35" s="268" customFormat="1" ht="29.1" customHeight="1">
      <c r="A33" s="274">
        <f>IF(A32&lt;MAX(DiemHKI!$B$4:$B$58),A32+1,"")</f>
        <v>26</v>
      </c>
      <c r="B33" s="17" t="str">
        <f>IF($A33&lt;&gt;"",PROPER(INDEX(DiemHKI!$B$4:$CP$58,MATCH($A33,DiemHKI!$B$4:$B$58,0),3)),"")</f>
        <v>Trần Thị Hải</v>
      </c>
      <c r="C33" s="18" t="str">
        <f>IF($A33&lt;&gt;"",PROPER(INDEX(DiemHKI!$B$4:$CP$58,MATCH($A33,DiemHKI!$B$4:$B$58,0),4)),"")</f>
        <v>Như</v>
      </c>
      <c r="D33" s="277" t="str">
        <f>IF($A33&lt;&gt;"",IF(INDEX(DiemHKI!$B$4:$CP$58,MATCH($A33,DiemHKI!$B$4:$B$58,0),7)&lt;&gt;"",INDEX(DiemHKI!$B$4:$CP$58,MATCH($A33,DiemHKI!$B$4:$B$58,0),7),""),"")</f>
        <v>x</v>
      </c>
      <c r="E33" s="277" t="str">
        <f>IF($A33&lt;&gt;"",IF(INDEX(DiemHKI!$B$4:$CP$58,MATCH($A33,DiemHKI!$B$4:$B$58,0),8)&lt;&gt;"",INDEX(DiemHKI!$B$4:$CP$58,MATCH($A33,DiemHKI!$B$4:$B$58,0),8),""),"")</f>
        <v/>
      </c>
      <c r="F33" s="277" t="str">
        <f>IF($A33&lt;&gt;"",IF(INDEX(DiemHKI!$B$4:$CP$58,MATCH($A33,DiemHKI!$B$4:$B$58,0),9)&lt;&gt;"",INDEX(DiemHKI!$B$4:$CP$58,MATCH($A33,DiemHKI!$B$4:$B$58,0),9),""),"")</f>
        <v/>
      </c>
      <c r="G33" s="300">
        <f>IF($A33&lt;&gt;"",IF(INDEX(BDHKI,MATCH($A33,DiemHKI!$B$4:$B$58,0),INDEX($AD$9:$AF$22,MATCH(G$7,$AD$9:$AD$22,0),2))&lt;&gt;"",INDEX(BDHKI,MATCH($A33,DiemHKI!$B$4:$B$58,0),INDEX($AD$9:$AF$22,MATCH(G$7,$AD$9:$AD$22,0),3)),""),"")</f>
        <v>9.3000000000000007</v>
      </c>
      <c r="H33" s="301">
        <f>IF($A33&lt;&gt;"",IF(INDEX(BDHKI,MATCH($A33,DiemHKI!$B$4:$B$58,0),INDEX($AD$9:$AF$22,MATCH(H$7,$AD$9:$AD$22,0),2))&lt;&gt;"",INDEX(BDHKI,MATCH($A33,DiemHKI!$B$4:$B$58,0),INDEX($AD$9:$AF$22,MATCH(H$7,$AD$9:$AD$22,0),3)),""),"")</f>
        <v>9.6999999999999993</v>
      </c>
      <c r="I33" s="301">
        <f>IF($A33&lt;&gt;"",IF(INDEX(BDHKI,MATCH($A33,DiemHKI!$B$4:$B$58,0),INDEX($AD$9:$AF$22,MATCH(I$7,$AD$9:$AD$22,0),2))&lt;&gt;"",INDEX(BDHKI,MATCH($A33,DiemHKI!$B$4:$B$58,0),INDEX($AD$9:$AF$22,MATCH(I$7,$AD$9:$AD$22,0),3)),""),"")</f>
        <v>9.5</v>
      </c>
      <c r="J33" s="301">
        <f>IF($A33&lt;&gt;"",IF(INDEX(BDHKI,MATCH($A33,DiemHKI!$B$4:$B$58,0),INDEX($AD$9:$AF$22,MATCH(J$7,$AD$9:$AD$22,0),2))&lt;&gt;"",INDEX(BDHKI,MATCH($A33,DiemHKI!$B$4:$B$58,0),INDEX($AD$9:$AF$22,MATCH(J$7,$AD$9:$AD$22,0),3)),""),"")</f>
        <v>9</v>
      </c>
      <c r="K33" s="301">
        <f>IF($A33&lt;&gt;"",IF(INDEX(BDHKI,MATCH($A33,DiemHKI!$B$4:$B$58,0),INDEX($AD$9:$AF$22,MATCH(K$7,$AD$9:$AD$22,0),2))&lt;&gt;"",INDEX(BDHKI,MATCH($A33,DiemHKI!$B$4:$B$58,0),INDEX($AD$9:$AF$22,MATCH(K$7,$AD$9:$AD$22,0),3)),""),"")</f>
        <v>9.6</v>
      </c>
      <c r="L33" s="301">
        <f>IF($A33&lt;&gt;"",IF(INDEX(BDHKI,MATCH($A33,DiemHKI!$B$4:$B$58,0),INDEX($AD$9:$AF$22,MATCH(L$7,$AD$9:$AD$22,0),2))&lt;&gt;"",INDEX(BDHKI,MATCH($A33,DiemHKI!$B$4:$B$58,0),INDEX($AD$9:$AF$22,MATCH(L$7,$AD$9:$AD$22,0),3)),""),"")</f>
        <v>7.3</v>
      </c>
      <c r="M33" s="301">
        <f>IF($A33&lt;&gt;"",IF(INDEX(BDHKI,MATCH($A33,DiemHKI!$B$4:$B$58,0),INDEX($AD$9:$AF$22,MATCH(M$7,$AD$9:$AD$22,0),2))&lt;&gt;"",INDEX(BDHKI,MATCH($A33,DiemHKI!$B$4:$B$58,0),INDEX($AD$9:$AF$22,MATCH(M$7,$AD$9:$AD$22,0),3)),""),"")</f>
        <v>9.4</v>
      </c>
      <c r="N33" s="301">
        <f>IF($A33&lt;&gt;"",IF(INDEX(BDHKI,MATCH($A33,DiemHKI!$B$4:$B$58,0),INDEX($AD$9:$AF$22,MATCH(N$7,$AD$9:$AD$22,0),2))&lt;&gt;"",INDEX(BDHKI,MATCH($A33,DiemHKI!$B$4:$B$58,0),INDEX($AD$9:$AF$22,MATCH(N$7,$AD$9:$AD$22,0),3)),""),"")</f>
        <v>9.8000000000000007</v>
      </c>
      <c r="O33" s="301">
        <f>IF($A33&lt;&gt;"",IF(INDEX(BDHKI,MATCH($A33,DiemHKI!$B$4:$B$58,0),INDEX($AD$9:$AF$22,MATCH(O$7,$AD$9:$AD$22,0),2))&lt;&gt;"",INDEX(BDHKI,MATCH($A33,DiemHKI!$B$4:$B$58,0),INDEX($AD$9:$AF$22,MATCH(O$7,$AD$9:$AD$22,0),3)),""),"")</f>
        <v>9.3000000000000007</v>
      </c>
      <c r="P33" s="301">
        <f>IF($A33&lt;&gt;"",IF(INDEX(BDHKI,MATCH($A33,DiemHKI!$B$4:$B$58,0),INDEX($AD$9:$AF$22,MATCH(P$7,$AD$9:$AD$22,0),2))&lt;&gt;"",INDEX(BDHKI,MATCH($A33,DiemHKI!$B$4:$B$58,0),INDEX($AD$9:$AF$22,MATCH(P$7,$AD$9:$AD$22,0),3)),""),"")</f>
        <v>8.8000000000000007</v>
      </c>
      <c r="Q33" s="301">
        <f>IF($A33&lt;&gt;"",IF(INDEX(BDHKI,MATCH($A33,DiemHKI!$B$4:$B$58,0),INDEX($AD$9:$AF$22,MATCH(Q$7,$AD$9:$AD$22,0),2))&lt;&gt;"",INDEX(BDHKI,MATCH($A33,DiemHKI!$B$4:$B$58,0),INDEX($AD$9:$AF$22,MATCH(Q$7,$AD$9:$AD$22,0),3)),""),"")</f>
        <v>9.4</v>
      </c>
      <c r="R33" s="279" t="str">
        <f>IF($A33&lt;&gt;"",IF(INDEX(BDHKI,MATCH($A33,DiemHKI!$B$4:$B$58,0),INDEX($AD$9:$AF$22,MATCH(R$7,$AD$9:$AD$22,0),2))&lt;&gt;"",INDEX(BDHKI,MATCH($A33,DiemHKI!$B$4:$B$58,0),INDEX($AD$9:$AF$22,MATCH(R$7,$AD$9:$AD$22,0),3)),""),"")</f>
        <v>Đ</v>
      </c>
      <c r="S33" s="279">
        <f t="shared" si="7"/>
        <v>8</v>
      </c>
      <c r="T33" s="301">
        <f>IF($A33&lt;&gt;"",IF(INDEX(BDHKI,MATCH($A33,DiemHKI!$B$4:$B$58,0),INDEX($AD$9:$AF$22,MATCH(T$7,$AD$9:$AD$22,0),2))&lt;&gt;"",INDEX(BDHKI,MATCH($A33,DiemHKI!$B$4:$B$58,0),INDEX($AD$9:$AF$22,MATCH(T$7,$AD$9:$AD$22,0),3)),""),"")</f>
        <v>9.9</v>
      </c>
      <c r="U33" s="302" t="str">
        <f>IF($A33&lt;&gt;"",IF(INDEX(BDHKI,MATCH($A33,DiemHKI!$B$4:$B$58,0),INDEX($AD$9:$AF$22,MATCH(U$7,$AD$9:$AD$22,0),2))&lt;&gt;"",INDEX(BDHKI,MATCH($A33,DiemHKI!$B$4:$B$58,0),INDEX($AD$9:$AF$22,MATCH(U$7,$AD$9:$AD$22,0),3)),""),"")</f>
        <v/>
      </c>
      <c r="V33" s="278">
        <f t="shared" si="8"/>
        <v>9.3000000000000007</v>
      </c>
      <c r="W33" s="279" t="str">
        <f t="shared" si="9"/>
        <v>Giỏi</v>
      </c>
      <c r="X33" s="352" t="s">
        <v>38</v>
      </c>
      <c r="Y33" s="280" t="str">
        <f t="shared" si="10"/>
        <v>HSG</v>
      </c>
      <c r="AA33" s="644">
        <f t="shared" si="4"/>
        <v>18</v>
      </c>
      <c r="AB33" s="1"/>
      <c r="AG33" s="268" t="str">
        <f>IF($A33&lt;&gt;"",INDEX(DiemHKI!$DI$4:$DI$58,MATCH($A33,DiemHKI!$B$4:$B$58,0),1),"")</f>
        <v>12A1Trần Thị HảiNhư17/08/2004</v>
      </c>
      <c r="AH33" s="674" t="str">
        <f t="shared" si="5"/>
        <v/>
      </c>
      <c r="AI33" s="672" t="str">
        <f t="shared" ca="1" si="6"/>
        <v/>
      </c>
    </row>
    <row r="34" spans="1:35" s="268" customFormat="1" ht="29.1" customHeight="1">
      <c r="A34" s="281">
        <f>IF(A33&lt;MAX(DiemHKI!$B$4:$B$58),A33+1,"")</f>
        <v>27</v>
      </c>
      <c r="B34" s="32" t="str">
        <f>IF($A34&lt;&gt;"",PROPER(INDEX(DiemHKI!$B$4:$CP$58,MATCH($A34,DiemHKI!$B$4:$B$58,0),3)),"")</f>
        <v>Nguyễn Bá Nhật</v>
      </c>
      <c r="C34" s="33" t="str">
        <f>IF($A34&lt;&gt;"",PROPER(INDEX(DiemHKI!$B$4:$CP$58,MATCH($A34,DiemHKI!$B$4:$B$58,0),4)),"")</f>
        <v>Quang</v>
      </c>
      <c r="D34" s="284" t="str">
        <f>IF($A34&lt;&gt;"",IF(INDEX(DiemHKI!$B$4:$CP$58,MATCH($A34,DiemHKI!$B$4:$B$58,0),7)&lt;&gt;"",INDEX(DiemHKI!$B$4:$CP$58,MATCH($A34,DiemHKI!$B$4:$B$58,0),7),""),"")</f>
        <v/>
      </c>
      <c r="E34" s="284" t="str">
        <f>IF($A34&lt;&gt;"",IF(INDEX(DiemHKI!$B$4:$CP$58,MATCH($A34,DiemHKI!$B$4:$B$58,0),8)&lt;&gt;"",INDEX(DiemHKI!$B$4:$CP$58,MATCH($A34,DiemHKI!$B$4:$B$58,0),8),""),"")</f>
        <v/>
      </c>
      <c r="F34" s="284" t="str">
        <f>IF($A34&lt;&gt;"",IF(INDEX(DiemHKI!$B$4:$CP$58,MATCH($A34,DiemHKI!$B$4:$B$58,0),9)&lt;&gt;"",INDEX(DiemHKI!$B$4:$CP$58,MATCH($A34,DiemHKI!$B$4:$B$58,0),9),""),"")</f>
        <v/>
      </c>
      <c r="G34" s="285">
        <f>IF($A34&lt;&gt;"",IF(INDEX(BDHKI,MATCH($A34,DiemHKI!$B$4:$B$58,0),INDEX($AD$9:$AF$22,MATCH(G$7,$AD$9:$AD$22,0),2))&lt;&gt;"",INDEX(BDHKI,MATCH($A34,DiemHKI!$B$4:$B$58,0),INDEX($AD$9:$AF$22,MATCH(G$7,$AD$9:$AD$22,0),3)),""),"")</f>
        <v>9.6</v>
      </c>
      <c r="H34" s="286">
        <f>IF($A34&lt;&gt;"",IF(INDEX(BDHKI,MATCH($A34,DiemHKI!$B$4:$B$58,0),INDEX($AD$9:$AF$22,MATCH(H$7,$AD$9:$AD$22,0),2))&lt;&gt;"",INDEX(BDHKI,MATCH($A34,DiemHKI!$B$4:$B$58,0),INDEX($AD$9:$AF$22,MATCH(H$7,$AD$9:$AD$22,0),3)),""),"")</f>
        <v>9.9</v>
      </c>
      <c r="I34" s="286">
        <f>IF($A34&lt;&gt;"",IF(INDEX(BDHKI,MATCH($A34,DiemHKI!$B$4:$B$58,0),INDEX($AD$9:$AF$22,MATCH(I$7,$AD$9:$AD$22,0),2))&lt;&gt;"",INDEX(BDHKI,MATCH($A34,DiemHKI!$B$4:$B$58,0),INDEX($AD$9:$AF$22,MATCH(I$7,$AD$9:$AD$22,0),3)),""),"")</f>
        <v>9.4</v>
      </c>
      <c r="J34" s="286">
        <f>IF($A34&lt;&gt;"",IF(INDEX(BDHKI,MATCH($A34,DiemHKI!$B$4:$B$58,0),INDEX($AD$9:$AF$22,MATCH(J$7,$AD$9:$AD$22,0),2))&lt;&gt;"",INDEX(BDHKI,MATCH($A34,DiemHKI!$B$4:$B$58,0),INDEX($AD$9:$AF$22,MATCH(J$7,$AD$9:$AD$22,0),3)),""),"")</f>
        <v>8.9</v>
      </c>
      <c r="K34" s="286">
        <f>IF($A34&lt;&gt;"",IF(INDEX(BDHKI,MATCH($A34,DiemHKI!$B$4:$B$58,0),INDEX($AD$9:$AF$22,MATCH(K$7,$AD$9:$AD$22,0),2))&lt;&gt;"",INDEX(BDHKI,MATCH($A34,DiemHKI!$B$4:$B$58,0),INDEX($AD$9:$AF$22,MATCH(K$7,$AD$9:$AD$22,0),3)),""),"")</f>
        <v>9.8000000000000007</v>
      </c>
      <c r="L34" s="286">
        <f>IF($A34&lt;&gt;"",IF(INDEX(BDHKI,MATCH($A34,DiemHKI!$B$4:$B$58,0),INDEX($AD$9:$AF$22,MATCH(L$7,$AD$9:$AD$22,0),2))&lt;&gt;"",INDEX(BDHKI,MATCH($A34,DiemHKI!$B$4:$B$58,0),INDEX($AD$9:$AF$22,MATCH(L$7,$AD$9:$AD$22,0),3)),""),"")</f>
        <v>7.6</v>
      </c>
      <c r="M34" s="286">
        <f>IF($A34&lt;&gt;"",IF(INDEX(BDHKI,MATCH($A34,DiemHKI!$B$4:$B$58,0),INDEX($AD$9:$AF$22,MATCH(M$7,$AD$9:$AD$22,0),2))&lt;&gt;"",INDEX(BDHKI,MATCH($A34,DiemHKI!$B$4:$B$58,0),INDEX($AD$9:$AF$22,MATCH(M$7,$AD$9:$AD$22,0),3)),""),"")</f>
        <v>9.9</v>
      </c>
      <c r="N34" s="286">
        <f>IF($A34&lt;&gt;"",IF(INDEX(BDHKI,MATCH($A34,DiemHKI!$B$4:$B$58,0),INDEX($AD$9:$AF$22,MATCH(N$7,$AD$9:$AD$22,0),2))&lt;&gt;"",INDEX(BDHKI,MATCH($A34,DiemHKI!$B$4:$B$58,0),INDEX($AD$9:$AF$22,MATCH(N$7,$AD$9:$AD$22,0),3)),""),"")</f>
        <v>9.9</v>
      </c>
      <c r="O34" s="286">
        <f>IF($A34&lt;&gt;"",IF(INDEX(BDHKI,MATCH($A34,DiemHKI!$B$4:$B$58,0),INDEX($AD$9:$AF$22,MATCH(O$7,$AD$9:$AD$22,0),2))&lt;&gt;"",INDEX(BDHKI,MATCH($A34,DiemHKI!$B$4:$B$58,0),INDEX($AD$9:$AF$22,MATCH(O$7,$AD$9:$AD$22,0),3)),""),"")</f>
        <v>9.1999999999999993</v>
      </c>
      <c r="P34" s="286">
        <f>IF($A34&lt;&gt;"",IF(INDEX(BDHKI,MATCH($A34,DiemHKI!$B$4:$B$58,0),INDEX($AD$9:$AF$22,MATCH(P$7,$AD$9:$AD$22,0),2))&lt;&gt;"",INDEX(BDHKI,MATCH($A34,DiemHKI!$B$4:$B$58,0),INDEX($AD$9:$AF$22,MATCH(P$7,$AD$9:$AD$22,0),3)),""),"")</f>
        <v>9.5</v>
      </c>
      <c r="Q34" s="286">
        <f>IF($A34&lt;&gt;"",IF(INDEX(BDHKI,MATCH($A34,DiemHKI!$B$4:$B$58,0),INDEX($AD$9:$AF$22,MATCH(Q$7,$AD$9:$AD$22,0),2))&lt;&gt;"",INDEX(BDHKI,MATCH($A34,DiemHKI!$B$4:$B$58,0),INDEX($AD$9:$AF$22,MATCH(Q$7,$AD$9:$AD$22,0),3)),""),"")</f>
        <v>9.9</v>
      </c>
      <c r="R34" s="464" t="str">
        <f>IF($A34&lt;&gt;"",IF(INDEX(BDHKI,MATCH($A34,DiemHKI!$B$4:$B$58,0),INDEX($AD$9:$AF$22,MATCH(R$7,$AD$9:$AD$22,0),2))&lt;&gt;"",INDEX(BDHKI,MATCH($A34,DiemHKI!$B$4:$B$58,0),INDEX($AD$9:$AF$22,MATCH(R$7,$AD$9:$AD$22,0),3)),""),"")</f>
        <v>Đ</v>
      </c>
      <c r="S34" s="464">
        <f t="shared" si="7"/>
        <v>8</v>
      </c>
      <c r="T34" s="286">
        <f>IF($A34&lt;&gt;"",IF(INDEX(BDHKI,MATCH($A34,DiemHKI!$B$4:$B$58,0),INDEX($AD$9:$AF$22,MATCH(T$7,$AD$9:$AD$22,0),2))&lt;&gt;"",INDEX(BDHKI,MATCH($A34,DiemHKI!$B$4:$B$58,0),INDEX($AD$9:$AF$22,MATCH(T$7,$AD$9:$AD$22,0),3)),""),"")</f>
        <v>9.9</v>
      </c>
      <c r="U34" s="287" t="str">
        <f>IF($A34&lt;&gt;"",IF(INDEX(BDHKI,MATCH($A34,DiemHKI!$B$4:$B$58,0),INDEX($AD$9:$AF$22,MATCH(U$7,$AD$9:$AD$22,0),2))&lt;&gt;"",INDEX(BDHKI,MATCH($A34,DiemHKI!$B$4:$B$58,0),INDEX($AD$9:$AF$22,MATCH(U$7,$AD$9:$AD$22,0),3)),""),"")</f>
        <v/>
      </c>
      <c r="V34" s="288">
        <f t="shared" si="8"/>
        <v>9.5</v>
      </c>
      <c r="W34" s="464" t="str">
        <f t="shared" si="9"/>
        <v>Giỏi</v>
      </c>
      <c r="X34" s="353" t="s">
        <v>38</v>
      </c>
      <c r="Y34" s="289" t="str">
        <f t="shared" si="10"/>
        <v>HSG</v>
      </c>
      <c r="AA34" s="644">
        <f t="shared" si="4"/>
        <v>3</v>
      </c>
      <c r="AB34" s="1"/>
      <c r="AG34" s="268" t="str">
        <f>IF($A34&lt;&gt;"",INDEX(DiemHKI!$DI$4:$DI$58,MATCH($A34,DiemHKI!$B$4:$B$58,0),1),"")</f>
        <v>12A1Nguyễn Bá NhậtQuang18/07/2004</v>
      </c>
      <c r="AH34" s="674" t="str">
        <f t="shared" si="5"/>
        <v/>
      </c>
      <c r="AI34" s="672" t="str">
        <f t="shared" ca="1" si="6"/>
        <v/>
      </c>
    </row>
    <row r="35" spans="1:35" s="268" customFormat="1" ht="29.1" customHeight="1">
      <c r="A35" s="281">
        <f>IF(A34&lt;MAX(DiemHKI!$B$4:$B$58),A34+1,"")</f>
        <v>28</v>
      </c>
      <c r="B35" s="32" t="str">
        <f>IF($A35&lt;&gt;"",PROPER(INDEX(DiemHKI!$B$4:$CP$58,MATCH($A35,DiemHKI!$B$4:$B$58,0),3)),"")</f>
        <v>Phan Trương Kiến</v>
      </c>
      <c r="C35" s="33" t="str">
        <f>IF($A35&lt;&gt;"",PROPER(INDEX(DiemHKI!$B$4:$CP$58,MATCH($A35,DiemHKI!$B$4:$B$58,0),4)),"")</f>
        <v>Quốc</v>
      </c>
      <c r="D35" s="284" t="str">
        <f>IF($A35&lt;&gt;"",IF(INDEX(DiemHKI!$B$4:$CP$58,MATCH($A35,DiemHKI!$B$4:$B$58,0),7)&lt;&gt;"",INDEX(DiemHKI!$B$4:$CP$58,MATCH($A35,DiemHKI!$B$4:$B$58,0),7),""),"")</f>
        <v/>
      </c>
      <c r="E35" s="284" t="str">
        <f>IF($A35&lt;&gt;"",IF(INDEX(DiemHKI!$B$4:$CP$58,MATCH($A35,DiemHKI!$B$4:$B$58,0),8)&lt;&gt;"",INDEX(DiemHKI!$B$4:$CP$58,MATCH($A35,DiemHKI!$B$4:$B$58,0),8),""),"")</f>
        <v/>
      </c>
      <c r="F35" s="284" t="str">
        <f>IF($A35&lt;&gt;"",IF(INDEX(DiemHKI!$B$4:$CP$58,MATCH($A35,DiemHKI!$B$4:$B$58,0),9)&lt;&gt;"",INDEX(DiemHKI!$B$4:$CP$58,MATCH($A35,DiemHKI!$B$4:$B$58,0),9),""),"")</f>
        <v/>
      </c>
      <c r="G35" s="285">
        <f>IF($A35&lt;&gt;"",IF(INDEX(BDHKI,MATCH($A35,DiemHKI!$B$4:$B$58,0),INDEX($AD$9:$AF$22,MATCH(G$7,$AD$9:$AD$22,0),2))&lt;&gt;"",INDEX(BDHKI,MATCH($A35,DiemHKI!$B$4:$B$58,0),INDEX($AD$9:$AF$22,MATCH(G$7,$AD$9:$AD$22,0),3)),""),"")</f>
        <v>9.5</v>
      </c>
      <c r="H35" s="286">
        <f>IF($A35&lt;&gt;"",IF(INDEX(BDHKI,MATCH($A35,DiemHKI!$B$4:$B$58,0),INDEX($AD$9:$AF$22,MATCH(H$7,$AD$9:$AD$22,0),2))&lt;&gt;"",INDEX(BDHKI,MATCH($A35,DiemHKI!$B$4:$B$58,0),INDEX($AD$9:$AF$22,MATCH(H$7,$AD$9:$AD$22,0),3)),""),"")</f>
        <v>9.1999999999999993</v>
      </c>
      <c r="I35" s="286">
        <f>IF($A35&lt;&gt;"",IF(INDEX(BDHKI,MATCH($A35,DiemHKI!$B$4:$B$58,0),INDEX($AD$9:$AF$22,MATCH(I$7,$AD$9:$AD$22,0),2))&lt;&gt;"",INDEX(BDHKI,MATCH($A35,DiemHKI!$B$4:$B$58,0),INDEX($AD$9:$AF$22,MATCH(I$7,$AD$9:$AD$22,0),3)),""),"")</f>
        <v>8.9</v>
      </c>
      <c r="J35" s="286">
        <f>IF($A35&lt;&gt;"",IF(INDEX(BDHKI,MATCH($A35,DiemHKI!$B$4:$B$58,0),INDEX($AD$9:$AF$22,MATCH(J$7,$AD$9:$AD$22,0),2))&lt;&gt;"",INDEX(BDHKI,MATCH($A35,DiemHKI!$B$4:$B$58,0),INDEX($AD$9:$AF$22,MATCH(J$7,$AD$9:$AD$22,0),3)),""),"")</f>
        <v>9.5</v>
      </c>
      <c r="K35" s="286">
        <f>IF($A35&lt;&gt;"",IF(INDEX(BDHKI,MATCH($A35,DiemHKI!$B$4:$B$58,0),INDEX($AD$9:$AF$22,MATCH(K$7,$AD$9:$AD$22,0),2))&lt;&gt;"",INDEX(BDHKI,MATCH($A35,DiemHKI!$B$4:$B$58,0),INDEX($AD$9:$AF$22,MATCH(K$7,$AD$9:$AD$22,0),3)),""),"")</f>
        <v>9.8000000000000007</v>
      </c>
      <c r="L35" s="286">
        <f>IF($A35&lt;&gt;"",IF(INDEX(BDHKI,MATCH($A35,DiemHKI!$B$4:$B$58,0),INDEX($AD$9:$AF$22,MATCH(L$7,$AD$9:$AD$22,0),2))&lt;&gt;"",INDEX(BDHKI,MATCH($A35,DiemHKI!$B$4:$B$58,0),INDEX($AD$9:$AF$22,MATCH(L$7,$AD$9:$AD$22,0),3)),""),"")</f>
        <v>7.7</v>
      </c>
      <c r="M35" s="286">
        <f>IF($A35&lt;&gt;"",IF(INDEX(BDHKI,MATCH($A35,DiemHKI!$B$4:$B$58,0),INDEX($AD$9:$AF$22,MATCH(M$7,$AD$9:$AD$22,0),2))&lt;&gt;"",INDEX(BDHKI,MATCH($A35,DiemHKI!$B$4:$B$58,0),INDEX($AD$9:$AF$22,MATCH(M$7,$AD$9:$AD$22,0),3)),""),"")</f>
        <v>9.6</v>
      </c>
      <c r="N35" s="286">
        <f>IF($A35&lt;&gt;"",IF(INDEX(BDHKI,MATCH($A35,DiemHKI!$B$4:$B$58,0),INDEX($AD$9:$AF$22,MATCH(N$7,$AD$9:$AD$22,0),2))&lt;&gt;"",INDEX(BDHKI,MATCH($A35,DiemHKI!$B$4:$B$58,0),INDEX($AD$9:$AF$22,MATCH(N$7,$AD$9:$AD$22,0),3)),""),"")</f>
        <v>9.9</v>
      </c>
      <c r="O35" s="286">
        <f>IF($A35&lt;&gt;"",IF(INDEX(BDHKI,MATCH($A35,DiemHKI!$B$4:$B$58,0),INDEX($AD$9:$AF$22,MATCH(O$7,$AD$9:$AD$22,0),2))&lt;&gt;"",INDEX(BDHKI,MATCH($A35,DiemHKI!$B$4:$B$58,0),INDEX($AD$9:$AF$22,MATCH(O$7,$AD$9:$AD$22,0),3)),""),"")</f>
        <v>7.5</v>
      </c>
      <c r="P35" s="286">
        <f>IF($A35&lt;&gt;"",IF(INDEX(BDHKI,MATCH($A35,DiemHKI!$B$4:$B$58,0),INDEX($AD$9:$AF$22,MATCH(P$7,$AD$9:$AD$22,0),2))&lt;&gt;"",INDEX(BDHKI,MATCH($A35,DiemHKI!$B$4:$B$58,0),INDEX($AD$9:$AF$22,MATCH(P$7,$AD$9:$AD$22,0),3)),""),"")</f>
        <v>9.1</v>
      </c>
      <c r="Q35" s="286">
        <f>IF($A35&lt;&gt;"",IF(INDEX(BDHKI,MATCH($A35,DiemHKI!$B$4:$B$58,0),INDEX($AD$9:$AF$22,MATCH(Q$7,$AD$9:$AD$22,0),2))&lt;&gt;"",INDEX(BDHKI,MATCH($A35,DiemHKI!$B$4:$B$58,0),INDEX($AD$9:$AF$22,MATCH(Q$7,$AD$9:$AD$22,0),3)),""),"")</f>
        <v>9.8000000000000007</v>
      </c>
      <c r="R35" s="464" t="str">
        <f>IF($A35&lt;&gt;"",IF(INDEX(BDHKI,MATCH($A35,DiemHKI!$B$4:$B$58,0),INDEX($AD$9:$AF$22,MATCH(R$7,$AD$9:$AD$22,0),2))&lt;&gt;"",INDEX(BDHKI,MATCH($A35,DiemHKI!$B$4:$B$58,0),INDEX($AD$9:$AF$22,MATCH(R$7,$AD$9:$AD$22,0),3)),""),"")</f>
        <v>Đ</v>
      </c>
      <c r="S35" s="464">
        <f t="shared" si="7"/>
        <v>8</v>
      </c>
      <c r="T35" s="286">
        <f>IF($A35&lt;&gt;"",IF(INDEX(BDHKI,MATCH($A35,DiemHKI!$B$4:$B$58,0),INDEX($AD$9:$AF$22,MATCH(T$7,$AD$9:$AD$22,0),2))&lt;&gt;"",INDEX(BDHKI,MATCH($A35,DiemHKI!$B$4:$B$58,0),INDEX($AD$9:$AF$22,MATCH(T$7,$AD$9:$AD$22,0),3)),""),"")</f>
        <v>9.9</v>
      </c>
      <c r="U35" s="287" t="str">
        <f>IF($A35&lt;&gt;"",IF(INDEX(BDHKI,MATCH($A35,DiemHKI!$B$4:$B$58,0),INDEX($AD$9:$AF$22,MATCH(U$7,$AD$9:$AD$22,0),2))&lt;&gt;"",INDEX(BDHKI,MATCH($A35,DiemHKI!$B$4:$B$58,0),INDEX($AD$9:$AF$22,MATCH(U$7,$AD$9:$AD$22,0),3)),""),"")</f>
        <v/>
      </c>
      <c r="V35" s="288">
        <f t="shared" si="8"/>
        <v>9.1999999999999993</v>
      </c>
      <c r="W35" s="464" t="str">
        <f t="shared" si="9"/>
        <v>Giỏi</v>
      </c>
      <c r="X35" s="353" t="s">
        <v>38</v>
      </c>
      <c r="Y35" s="289" t="str">
        <f t="shared" si="10"/>
        <v>HSG</v>
      </c>
      <c r="AA35" s="644">
        <f t="shared" si="4"/>
        <v>27</v>
      </c>
      <c r="AB35" s="1"/>
      <c r="AG35" s="268" t="str">
        <f>IF($A35&lt;&gt;"",INDEX(DiemHKI!$DI$4:$DI$58,MATCH($A35,DiemHKI!$B$4:$B$58,0),1),"")</f>
        <v>12A1Phan Trương KiếnQuốc03/12/2004</v>
      </c>
      <c r="AH35" s="674" t="str">
        <f t="shared" si="5"/>
        <v/>
      </c>
      <c r="AI35" s="672" t="str">
        <f t="shared" ca="1" si="6"/>
        <v/>
      </c>
    </row>
    <row r="36" spans="1:35" s="268" customFormat="1" ht="29.1" customHeight="1">
      <c r="A36" s="281">
        <f>IF(A35&lt;MAX(DiemHKI!$B$4:$B$58),A35+1,"")</f>
        <v>29</v>
      </c>
      <c r="B36" s="32" t="str">
        <f>IF($A36&lt;&gt;"",PROPER(INDEX(DiemHKI!$B$4:$CP$58,MATCH($A36,DiemHKI!$B$4:$B$58,0),3)),"")</f>
        <v>Trần Thị Như</v>
      </c>
      <c r="C36" s="33" t="str">
        <f>IF($A36&lt;&gt;"",PROPER(INDEX(DiemHKI!$B$4:$CP$58,MATCH($A36,DiemHKI!$B$4:$B$58,0),4)),"")</f>
        <v>Quỳnh</v>
      </c>
      <c r="D36" s="284" t="str">
        <f>IF($A36&lt;&gt;"",IF(INDEX(DiemHKI!$B$4:$CP$58,MATCH($A36,DiemHKI!$B$4:$B$58,0),7)&lt;&gt;"",INDEX(DiemHKI!$B$4:$CP$58,MATCH($A36,DiemHKI!$B$4:$B$58,0),7),""),"")</f>
        <v>x</v>
      </c>
      <c r="E36" s="284" t="str">
        <f>IF($A36&lt;&gt;"",IF(INDEX(DiemHKI!$B$4:$CP$58,MATCH($A36,DiemHKI!$B$4:$B$58,0),8)&lt;&gt;"",INDEX(DiemHKI!$B$4:$CP$58,MATCH($A36,DiemHKI!$B$4:$B$58,0),8),""),"")</f>
        <v/>
      </c>
      <c r="F36" s="284" t="str">
        <f>IF($A36&lt;&gt;"",IF(INDEX(DiemHKI!$B$4:$CP$58,MATCH($A36,DiemHKI!$B$4:$B$58,0),9)&lt;&gt;"",INDEX(DiemHKI!$B$4:$CP$58,MATCH($A36,DiemHKI!$B$4:$B$58,0),9),""),"")</f>
        <v/>
      </c>
      <c r="G36" s="285">
        <f>IF($A36&lt;&gt;"",IF(INDEX(BDHKI,MATCH($A36,DiemHKI!$B$4:$B$58,0),INDEX($AD$9:$AF$22,MATCH(G$7,$AD$9:$AD$22,0),2))&lt;&gt;"",INDEX(BDHKI,MATCH($A36,DiemHKI!$B$4:$B$58,0),INDEX($AD$9:$AF$22,MATCH(G$7,$AD$9:$AD$22,0),3)),""),"")</f>
        <v>9.8000000000000007</v>
      </c>
      <c r="H36" s="286">
        <f>IF($A36&lt;&gt;"",IF(INDEX(BDHKI,MATCH($A36,DiemHKI!$B$4:$B$58,0),INDEX($AD$9:$AF$22,MATCH(H$7,$AD$9:$AD$22,0),2))&lt;&gt;"",INDEX(BDHKI,MATCH($A36,DiemHKI!$B$4:$B$58,0),INDEX($AD$9:$AF$22,MATCH(H$7,$AD$9:$AD$22,0),3)),""),"")</f>
        <v>9.9</v>
      </c>
      <c r="I36" s="286">
        <f>IF($A36&lt;&gt;"",IF(INDEX(BDHKI,MATCH($A36,DiemHKI!$B$4:$B$58,0),INDEX($AD$9:$AF$22,MATCH(I$7,$AD$9:$AD$22,0),2))&lt;&gt;"",INDEX(BDHKI,MATCH($A36,DiemHKI!$B$4:$B$58,0),INDEX($AD$9:$AF$22,MATCH(I$7,$AD$9:$AD$22,0),3)),""),"")</f>
        <v>9.4</v>
      </c>
      <c r="J36" s="286">
        <f>IF($A36&lt;&gt;"",IF(INDEX(BDHKI,MATCH($A36,DiemHKI!$B$4:$B$58,0),INDEX($AD$9:$AF$22,MATCH(J$7,$AD$9:$AD$22,0),2))&lt;&gt;"",INDEX(BDHKI,MATCH($A36,DiemHKI!$B$4:$B$58,0),INDEX($AD$9:$AF$22,MATCH(J$7,$AD$9:$AD$22,0),3)),""),"")</f>
        <v>9.3000000000000007</v>
      </c>
      <c r="K36" s="286">
        <f>IF($A36&lt;&gt;"",IF(INDEX(BDHKI,MATCH($A36,DiemHKI!$B$4:$B$58,0),INDEX($AD$9:$AF$22,MATCH(K$7,$AD$9:$AD$22,0),2))&lt;&gt;"",INDEX(BDHKI,MATCH($A36,DiemHKI!$B$4:$B$58,0),INDEX($AD$9:$AF$22,MATCH(K$7,$AD$9:$AD$22,0),3)),""),"")</f>
        <v>9.9</v>
      </c>
      <c r="L36" s="286">
        <f>IF($A36&lt;&gt;"",IF(INDEX(BDHKI,MATCH($A36,DiemHKI!$B$4:$B$58,0),INDEX($AD$9:$AF$22,MATCH(L$7,$AD$9:$AD$22,0),2))&lt;&gt;"",INDEX(BDHKI,MATCH($A36,DiemHKI!$B$4:$B$58,0),INDEX($AD$9:$AF$22,MATCH(L$7,$AD$9:$AD$22,0),3)),""),"")</f>
        <v>7.8</v>
      </c>
      <c r="M36" s="286">
        <f>IF($A36&lt;&gt;"",IF(INDEX(BDHKI,MATCH($A36,DiemHKI!$B$4:$B$58,0),INDEX($AD$9:$AF$22,MATCH(M$7,$AD$9:$AD$22,0),2))&lt;&gt;"",INDEX(BDHKI,MATCH($A36,DiemHKI!$B$4:$B$58,0),INDEX($AD$9:$AF$22,MATCH(M$7,$AD$9:$AD$22,0),3)),""),"")</f>
        <v>9.6</v>
      </c>
      <c r="N36" s="286">
        <f>IF($A36&lt;&gt;"",IF(INDEX(BDHKI,MATCH($A36,DiemHKI!$B$4:$B$58,0),INDEX($AD$9:$AF$22,MATCH(N$7,$AD$9:$AD$22,0),2))&lt;&gt;"",INDEX(BDHKI,MATCH($A36,DiemHKI!$B$4:$B$58,0),INDEX($AD$9:$AF$22,MATCH(N$7,$AD$9:$AD$22,0),3)),""),"")</f>
        <v>9.6</v>
      </c>
      <c r="O36" s="286">
        <f>IF($A36&lt;&gt;"",IF(INDEX(BDHKI,MATCH($A36,DiemHKI!$B$4:$B$58,0),INDEX($AD$9:$AF$22,MATCH(O$7,$AD$9:$AD$22,0),2))&lt;&gt;"",INDEX(BDHKI,MATCH($A36,DiemHKI!$B$4:$B$58,0),INDEX($AD$9:$AF$22,MATCH(O$7,$AD$9:$AD$22,0),3)),""),"")</f>
        <v>8.6999999999999993</v>
      </c>
      <c r="P36" s="286">
        <f>IF($A36&lt;&gt;"",IF(INDEX(BDHKI,MATCH($A36,DiemHKI!$B$4:$B$58,0),INDEX($AD$9:$AF$22,MATCH(P$7,$AD$9:$AD$22,0),2))&lt;&gt;"",INDEX(BDHKI,MATCH($A36,DiemHKI!$B$4:$B$58,0),INDEX($AD$9:$AF$22,MATCH(P$7,$AD$9:$AD$22,0),3)),""),"")</f>
        <v>9.5</v>
      </c>
      <c r="Q36" s="286">
        <f>IF($A36&lt;&gt;"",IF(INDEX(BDHKI,MATCH($A36,DiemHKI!$B$4:$B$58,0),INDEX($AD$9:$AF$22,MATCH(Q$7,$AD$9:$AD$22,0),2))&lt;&gt;"",INDEX(BDHKI,MATCH($A36,DiemHKI!$B$4:$B$58,0),INDEX($AD$9:$AF$22,MATCH(Q$7,$AD$9:$AD$22,0),3)),""),"")</f>
        <v>9.8000000000000007</v>
      </c>
      <c r="R36" s="464" t="str">
        <f>IF($A36&lt;&gt;"",IF(INDEX(BDHKI,MATCH($A36,DiemHKI!$B$4:$B$58,0),INDEX($AD$9:$AF$22,MATCH(R$7,$AD$9:$AD$22,0),2))&lt;&gt;"",INDEX(BDHKI,MATCH($A36,DiemHKI!$B$4:$B$58,0),INDEX($AD$9:$AF$22,MATCH(R$7,$AD$9:$AD$22,0),3)),""),"")</f>
        <v>Đ</v>
      </c>
      <c r="S36" s="464">
        <f t="shared" si="7"/>
        <v>8</v>
      </c>
      <c r="T36" s="286">
        <f>IF($A36&lt;&gt;"",IF(INDEX(BDHKI,MATCH($A36,DiemHKI!$B$4:$B$58,0),INDEX($AD$9:$AF$22,MATCH(T$7,$AD$9:$AD$22,0),2))&lt;&gt;"",INDEX(BDHKI,MATCH($A36,DiemHKI!$B$4:$B$58,0),INDEX($AD$9:$AF$22,MATCH(T$7,$AD$9:$AD$22,0),3)),""),"")</f>
        <v>9.9</v>
      </c>
      <c r="U36" s="287" t="str">
        <f>IF($A36&lt;&gt;"",IF(INDEX(BDHKI,MATCH($A36,DiemHKI!$B$4:$B$58,0),INDEX($AD$9:$AF$22,MATCH(U$7,$AD$9:$AD$22,0),2))&lt;&gt;"",INDEX(BDHKI,MATCH($A36,DiemHKI!$B$4:$B$58,0),INDEX($AD$9:$AF$22,MATCH(U$7,$AD$9:$AD$22,0),3)),""),"")</f>
        <v/>
      </c>
      <c r="V36" s="288">
        <f t="shared" si="8"/>
        <v>9.4</v>
      </c>
      <c r="W36" s="464" t="str">
        <f t="shared" si="9"/>
        <v>Giỏi</v>
      </c>
      <c r="X36" s="353" t="s">
        <v>38</v>
      </c>
      <c r="Y36" s="289" t="str">
        <f t="shared" si="10"/>
        <v>HSG</v>
      </c>
      <c r="AA36" s="644">
        <f t="shared" si="4"/>
        <v>10</v>
      </c>
      <c r="AB36" s="1"/>
      <c r="AG36" s="268" t="str">
        <f>IF($A36&lt;&gt;"",INDEX(DiemHKI!$DI$4:$DI$58,MATCH($A36,DiemHKI!$B$4:$B$58,0),1),"")</f>
        <v>12A1Trần Thị NhưQuỳnh28/01/2004</v>
      </c>
      <c r="AH36" s="674" t="str">
        <f t="shared" si="5"/>
        <v/>
      </c>
      <c r="AI36" s="672" t="str">
        <f t="shared" ca="1" si="6"/>
        <v/>
      </c>
    </row>
    <row r="37" spans="1:35" s="268" customFormat="1" ht="29.1" customHeight="1" thickBot="1">
      <c r="A37" s="290">
        <f>IF(A36&lt;MAX(DiemHKI!$B$4:$B$58),A36+1,"")</f>
        <v>30</v>
      </c>
      <c r="B37" s="44" t="str">
        <f>IF($A37&lt;&gt;"",PROPER(INDEX(DiemHKI!$B$4:$CP$58,MATCH($A37,DiemHKI!$B$4:$B$58,0),3)),"")</f>
        <v>Nguyễn Thái</v>
      </c>
      <c r="C37" s="45" t="str">
        <f>IF($A37&lt;&gt;"",PROPER(INDEX(DiemHKI!$B$4:$CP$58,MATCH($A37,DiemHKI!$B$4:$B$58,0),4)),"")</f>
        <v>Sơn</v>
      </c>
      <c r="D37" s="293" t="str">
        <f>IF($A37&lt;&gt;"",IF(INDEX(DiemHKI!$B$4:$CP$58,MATCH($A37,DiemHKI!$B$4:$B$58,0),7)&lt;&gt;"",INDEX(DiemHKI!$B$4:$CP$58,MATCH($A37,DiemHKI!$B$4:$B$58,0),7),""),"")</f>
        <v/>
      </c>
      <c r="E37" s="293" t="str">
        <f>IF($A37&lt;&gt;"",IF(INDEX(DiemHKI!$B$4:$CP$58,MATCH($A37,DiemHKI!$B$4:$B$58,0),8)&lt;&gt;"",INDEX(DiemHKI!$B$4:$CP$58,MATCH($A37,DiemHKI!$B$4:$B$58,0),8),""),"")</f>
        <v/>
      </c>
      <c r="F37" s="293" t="str">
        <f>IF($A37&lt;&gt;"",IF(INDEX(DiemHKI!$B$4:$CP$58,MATCH($A37,DiemHKI!$B$4:$B$58,0),9)&lt;&gt;"",INDEX(DiemHKI!$B$4:$CP$58,MATCH($A37,DiemHKI!$B$4:$B$58,0),9),""),"")</f>
        <v/>
      </c>
      <c r="G37" s="294">
        <f>IF($A37&lt;&gt;"",IF(INDEX(BDHKI,MATCH($A37,DiemHKI!$B$4:$B$58,0),INDEX($AD$9:$AF$22,MATCH(G$7,$AD$9:$AD$22,0),2))&lt;&gt;"",INDEX(BDHKI,MATCH($A37,DiemHKI!$B$4:$B$58,0),INDEX($AD$9:$AF$22,MATCH(G$7,$AD$9:$AD$22,0),3)),""),"")</f>
        <v>9.8000000000000007</v>
      </c>
      <c r="H37" s="295">
        <f>IF($A37&lt;&gt;"",IF(INDEX(BDHKI,MATCH($A37,DiemHKI!$B$4:$B$58,0),INDEX($AD$9:$AF$22,MATCH(H$7,$AD$9:$AD$22,0),2))&lt;&gt;"",INDEX(BDHKI,MATCH($A37,DiemHKI!$B$4:$B$58,0),INDEX($AD$9:$AF$22,MATCH(H$7,$AD$9:$AD$22,0),3)),""),"")</f>
        <v>9.6</v>
      </c>
      <c r="I37" s="295">
        <f>IF($A37&lt;&gt;"",IF(INDEX(BDHKI,MATCH($A37,DiemHKI!$B$4:$B$58,0),INDEX($AD$9:$AF$22,MATCH(I$7,$AD$9:$AD$22,0),2))&lt;&gt;"",INDEX(BDHKI,MATCH($A37,DiemHKI!$B$4:$B$58,0),INDEX($AD$9:$AF$22,MATCH(I$7,$AD$9:$AD$22,0),3)),""),"")</f>
        <v>9</v>
      </c>
      <c r="J37" s="295">
        <f>IF($A37&lt;&gt;"",IF(INDEX(BDHKI,MATCH($A37,DiemHKI!$B$4:$B$58,0),INDEX($AD$9:$AF$22,MATCH(J$7,$AD$9:$AD$22,0),2))&lt;&gt;"",INDEX(BDHKI,MATCH($A37,DiemHKI!$B$4:$B$58,0),INDEX($AD$9:$AF$22,MATCH(J$7,$AD$9:$AD$22,0),3)),""),"")</f>
        <v>8.5</v>
      </c>
      <c r="K37" s="295">
        <f>IF($A37&lt;&gt;"",IF(INDEX(BDHKI,MATCH($A37,DiemHKI!$B$4:$B$58,0),INDEX($AD$9:$AF$22,MATCH(K$7,$AD$9:$AD$22,0),2))&lt;&gt;"",INDEX(BDHKI,MATCH($A37,DiemHKI!$B$4:$B$58,0),INDEX($AD$9:$AF$22,MATCH(K$7,$AD$9:$AD$22,0),3)),""),"")</f>
        <v>9.8000000000000007</v>
      </c>
      <c r="L37" s="295">
        <f>IF($A37&lt;&gt;"",IF(INDEX(BDHKI,MATCH($A37,DiemHKI!$B$4:$B$58,0),INDEX($AD$9:$AF$22,MATCH(L$7,$AD$9:$AD$22,0),2))&lt;&gt;"",INDEX(BDHKI,MATCH($A37,DiemHKI!$B$4:$B$58,0),INDEX($AD$9:$AF$22,MATCH(L$7,$AD$9:$AD$22,0),3)),""),"")</f>
        <v>6.7</v>
      </c>
      <c r="M37" s="295">
        <f>IF($A37&lt;&gt;"",IF(INDEX(BDHKI,MATCH($A37,DiemHKI!$B$4:$B$58,0),INDEX($AD$9:$AF$22,MATCH(M$7,$AD$9:$AD$22,0),2))&lt;&gt;"",INDEX(BDHKI,MATCH($A37,DiemHKI!$B$4:$B$58,0),INDEX($AD$9:$AF$22,MATCH(M$7,$AD$9:$AD$22,0),3)),""),"")</f>
        <v>9.4</v>
      </c>
      <c r="N37" s="295">
        <f>IF($A37&lt;&gt;"",IF(INDEX(BDHKI,MATCH($A37,DiemHKI!$B$4:$B$58,0),INDEX($AD$9:$AF$22,MATCH(N$7,$AD$9:$AD$22,0),2))&lt;&gt;"",INDEX(BDHKI,MATCH($A37,DiemHKI!$B$4:$B$58,0),INDEX($AD$9:$AF$22,MATCH(N$7,$AD$9:$AD$22,0),3)),""),"")</f>
        <v>9.8000000000000007</v>
      </c>
      <c r="O37" s="295">
        <f>IF($A37&lt;&gt;"",IF(INDEX(BDHKI,MATCH($A37,DiemHKI!$B$4:$B$58,0),INDEX($AD$9:$AF$22,MATCH(O$7,$AD$9:$AD$22,0),2))&lt;&gt;"",INDEX(BDHKI,MATCH($A37,DiemHKI!$B$4:$B$58,0),INDEX($AD$9:$AF$22,MATCH(O$7,$AD$9:$AD$22,0),3)),""),"")</f>
        <v>8.6</v>
      </c>
      <c r="P37" s="295">
        <f>IF($A37&lt;&gt;"",IF(INDEX(BDHKI,MATCH($A37,DiemHKI!$B$4:$B$58,0),INDEX($AD$9:$AF$22,MATCH(P$7,$AD$9:$AD$22,0),2))&lt;&gt;"",INDEX(BDHKI,MATCH($A37,DiemHKI!$B$4:$B$58,0),INDEX($AD$9:$AF$22,MATCH(P$7,$AD$9:$AD$22,0),3)),""),"")</f>
        <v>9.1</v>
      </c>
      <c r="Q37" s="295">
        <f>IF($A37&lt;&gt;"",IF(INDEX(BDHKI,MATCH($A37,DiemHKI!$B$4:$B$58,0),INDEX($AD$9:$AF$22,MATCH(Q$7,$AD$9:$AD$22,0),2))&lt;&gt;"",INDEX(BDHKI,MATCH($A37,DiemHKI!$B$4:$B$58,0),INDEX($AD$9:$AF$22,MATCH(Q$7,$AD$9:$AD$22,0),3)),""),"")</f>
        <v>9.8000000000000007</v>
      </c>
      <c r="R37" s="296" t="str">
        <f>IF($A37&lt;&gt;"",IF(INDEX(BDHKI,MATCH($A37,DiemHKI!$B$4:$B$58,0),INDEX($AD$9:$AF$22,MATCH(R$7,$AD$9:$AD$22,0),2))&lt;&gt;"",INDEX(BDHKI,MATCH($A37,DiemHKI!$B$4:$B$58,0),INDEX($AD$9:$AF$22,MATCH(R$7,$AD$9:$AD$22,0),3)),""),"")</f>
        <v>Đ</v>
      </c>
      <c r="S37" s="296">
        <f t="shared" si="7"/>
        <v>8</v>
      </c>
      <c r="T37" s="295">
        <f>IF($A37&lt;&gt;"",IF(INDEX(BDHKI,MATCH($A37,DiemHKI!$B$4:$B$58,0),INDEX($AD$9:$AF$22,MATCH(T$7,$AD$9:$AD$22,0),2))&lt;&gt;"",INDEX(BDHKI,MATCH($A37,DiemHKI!$B$4:$B$58,0),INDEX($AD$9:$AF$22,MATCH(T$7,$AD$9:$AD$22,0),3)),""),"")</f>
        <v>9.9</v>
      </c>
      <c r="U37" s="297" t="str">
        <f>IF($A37&lt;&gt;"",IF(INDEX(BDHKI,MATCH($A37,DiemHKI!$B$4:$B$58,0),INDEX($AD$9:$AF$22,MATCH(U$7,$AD$9:$AD$22,0),2))&lt;&gt;"",INDEX(BDHKI,MATCH($A37,DiemHKI!$B$4:$B$58,0),INDEX($AD$9:$AF$22,MATCH(U$7,$AD$9:$AD$22,0),3)),""),"")</f>
        <v/>
      </c>
      <c r="V37" s="298">
        <f t="shared" si="8"/>
        <v>9.1999999999999993</v>
      </c>
      <c r="W37" s="296" t="str">
        <f t="shared" si="9"/>
        <v>Giỏi</v>
      </c>
      <c r="X37" s="354" t="s">
        <v>38</v>
      </c>
      <c r="Y37" s="299" t="str">
        <f t="shared" si="10"/>
        <v>HSG</v>
      </c>
      <c r="AA37" s="644">
        <f t="shared" si="4"/>
        <v>27</v>
      </c>
      <c r="AB37" s="1"/>
      <c r="AG37" s="268" t="str">
        <f>IF($A37&lt;&gt;"",INDEX(DiemHKI!$DI$4:$DI$58,MATCH($A37,DiemHKI!$B$4:$B$58,0),1),"")</f>
        <v>12A1Nguyễn TháiSơn14/04/2004</v>
      </c>
      <c r="AH37" s="674" t="str">
        <f t="shared" si="5"/>
        <v/>
      </c>
      <c r="AI37" s="672" t="str">
        <f t="shared" ca="1" si="6"/>
        <v/>
      </c>
    </row>
    <row r="38" spans="1:35" s="268" customFormat="1" ht="29.1" customHeight="1">
      <c r="A38" s="274">
        <f>IF(A37&lt;MAX(DiemHKI!$B$4:$B$58),A37+1,"")</f>
        <v>31</v>
      </c>
      <c r="B38" s="17" t="str">
        <f>IF($A38&lt;&gt;"",PROPER(INDEX(DiemHKI!$B$4:$CP$58,MATCH($A38,DiemHKI!$B$4:$B$58,0),3)),"")</f>
        <v>Đặng Hoàng</v>
      </c>
      <c r="C38" s="18" t="str">
        <f>IF($A38&lt;&gt;"",PROPER(INDEX(DiemHKI!$B$4:$CP$58,MATCH($A38,DiemHKI!$B$4:$B$58,0),4)),"")</f>
        <v>Tân</v>
      </c>
      <c r="D38" s="277" t="str">
        <f>IF($A38&lt;&gt;"",IF(INDEX(DiemHKI!$B$4:$CP$58,MATCH($A38,DiemHKI!$B$4:$B$58,0),7)&lt;&gt;"",INDEX(DiemHKI!$B$4:$CP$58,MATCH($A38,DiemHKI!$B$4:$B$58,0),7),""),"")</f>
        <v/>
      </c>
      <c r="E38" s="277" t="str">
        <f>IF($A38&lt;&gt;"",IF(INDEX(DiemHKI!$B$4:$CP$58,MATCH($A38,DiemHKI!$B$4:$B$58,0),8)&lt;&gt;"",INDEX(DiemHKI!$B$4:$CP$58,MATCH($A38,DiemHKI!$B$4:$B$58,0),8),""),"")</f>
        <v/>
      </c>
      <c r="F38" s="277" t="str">
        <f>IF($A38&lt;&gt;"",IF(INDEX(DiemHKI!$B$4:$CP$58,MATCH($A38,DiemHKI!$B$4:$B$58,0),9)&lt;&gt;"",INDEX(DiemHKI!$B$4:$CP$58,MATCH($A38,DiemHKI!$B$4:$B$58,0),9),""),"")</f>
        <v/>
      </c>
      <c r="G38" s="300">
        <f>IF($A38&lt;&gt;"",IF(INDEX(BDHKI,MATCH($A38,DiemHKI!$B$4:$B$58,0),INDEX($AD$9:$AF$22,MATCH(G$7,$AD$9:$AD$22,0),2))&lt;&gt;"",INDEX(BDHKI,MATCH($A38,DiemHKI!$B$4:$B$58,0),INDEX($AD$9:$AF$22,MATCH(G$7,$AD$9:$AD$22,0),3)),""),"")</f>
        <v>9.4</v>
      </c>
      <c r="H38" s="301">
        <f>IF($A38&lt;&gt;"",IF(INDEX(BDHKI,MATCH($A38,DiemHKI!$B$4:$B$58,0),INDEX($AD$9:$AF$22,MATCH(H$7,$AD$9:$AD$22,0),2))&lt;&gt;"",INDEX(BDHKI,MATCH($A38,DiemHKI!$B$4:$B$58,0),INDEX($AD$9:$AF$22,MATCH(H$7,$AD$9:$AD$22,0),3)),""),"")</f>
        <v>9.6999999999999993</v>
      </c>
      <c r="I38" s="301">
        <f>IF($A38&lt;&gt;"",IF(INDEX(BDHKI,MATCH($A38,DiemHKI!$B$4:$B$58,0),INDEX($AD$9:$AF$22,MATCH(I$7,$AD$9:$AD$22,0),2))&lt;&gt;"",INDEX(BDHKI,MATCH($A38,DiemHKI!$B$4:$B$58,0),INDEX($AD$9:$AF$22,MATCH(I$7,$AD$9:$AD$22,0),3)),""),"")</f>
        <v>9.3000000000000007</v>
      </c>
      <c r="J38" s="301">
        <f>IF($A38&lt;&gt;"",IF(INDEX(BDHKI,MATCH($A38,DiemHKI!$B$4:$B$58,0),INDEX($AD$9:$AF$22,MATCH(J$7,$AD$9:$AD$22,0),2))&lt;&gt;"",INDEX(BDHKI,MATCH($A38,DiemHKI!$B$4:$B$58,0),INDEX($AD$9:$AF$22,MATCH(J$7,$AD$9:$AD$22,0),3)),""),"")</f>
        <v>8.1</v>
      </c>
      <c r="K38" s="301">
        <f>IF($A38&lt;&gt;"",IF(INDEX(BDHKI,MATCH($A38,DiemHKI!$B$4:$B$58,0),INDEX($AD$9:$AF$22,MATCH(K$7,$AD$9:$AD$22,0),2))&lt;&gt;"",INDEX(BDHKI,MATCH($A38,DiemHKI!$B$4:$B$58,0),INDEX($AD$9:$AF$22,MATCH(K$7,$AD$9:$AD$22,0),3)),""),"")</f>
        <v>9.8000000000000007</v>
      </c>
      <c r="L38" s="301">
        <f>IF($A38&lt;&gt;"",IF(INDEX(BDHKI,MATCH($A38,DiemHKI!$B$4:$B$58,0),INDEX($AD$9:$AF$22,MATCH(L$7,$AD$9:$AD$22,0),2))&lt;&gt;"",INDEX(BDHKI,MATCH($A38,DiemHKI!$B$4:$B$58,0),INDEX($AD$9:$AF$22,MATCH(L$7,$AD$9:$AD$22,0),3)),""),"")</f>
        <v>7.3</v>
      </c>
      <c r="M38" s="301">
        <f>IF($A38&lt;&gt;"",IF(INDEX(BDHKI,MATCH($A38,DiemHKI!$B$4:$B$58,0),INDEX($AD$9:$AF$22,MATCH(M$7,$AD$9:$AD$22,0),2))&lt;&gt;"",INDEX(BDHKI,MATCH($A38,DiemHKI!$B$4:$B$58,0),INDEX($AD$9:$AF$22,MATCH(M$7,$AD$9:$AD$22,0),3)),""),"")</f>
        <v>9.6</v>
      </c>
      <c r="N38" s="301">
        <f>IF($A38&lt;&gt;"",IF(INDEX(BDHKI,MATCH($A38,DiemHKI!$B$4:$B$58,0),INDEX($AD$9:$AF$22,MATCH(N$7,$AD$9:$AD$22,0),2))&lt;&gt;"",INDEX(BDHKI,MATCH($A38,DiemHKI!$B$4:$B$58,0),INDEX($AD$9:$AF$22,MATCH(N$7,$AD$9:$AD$22,0),3)),""),"")</f>
        <v>9.8000000000000007</v>
      </c>
      <c r="O38" s="301">
        <f>IF($A38&lt;&gt;"",IF(INDEX(BDHKI,MATCH($A38,DiemHKI!$B$4:$B$58,0),INDEX($AD$9:$AF$22,MATCH(O$7,$AD$9:$AD$22,0),2))&lt;&gt;"",INDEX(BDHKI,MATCH($A38,DiemHKI!$B$4:$B$58,0),INDEX($AD$9:$AF$22,MATCH(O$7,$AD$9:$AD$22,0),3)),""),"")</f>
        <v>9.1</v>
      </c>
      <c r="P38" s="301">
        <f>IF($A38&lt;&gt;"",IF(INDEX(BDHKI,MATCH($A38,DiemHKI!$B$4:$B$58,0),INDEX($AD$9:$AF$22,MATCH(P$7,$AD$9:$AD$22,0),2))&lt;&gt;"",INDEX(BDHKI,MATCH($A38,DiemHKI!$B$4:$B$58,0),INDEX($AD$9:$AF$22,MATCH(P$7,$AD$9:$AD$22,0),3)),""),"")</f>
        <v>8.8000000000000007</v>
      </c>
      <c r="Q38" s="301">
        <f>IF($A38&lt;&gt;"",IF(INDEX(BDHKI,MATCH($A38,DiemHKI!$B$4:$B$58,0),INDEX($AD$9:$AF$22,MATCH(Q$7,$AD$9:$AD$22,0),2))&lt;&gt;"",INDEX(BDHKI,MATCH($A38,DiemHKI!$B$4:$B$58,0),INDEX($AD$9:$AF$22,MATCH(Q$7,$AD$9:$AD$22,0),3)),""),"")</f>
        <v>9.9</v>
      </c>
      <c r="R38" s="279" t="str">
        <f>IF($A38&lt;&gt;"",IF(INDEX(BDHKI,MATCH($A38,DiemHKI!$B$4:$B$58,0),INDEX($AD$9:$AF$22,MATCH(R$7,$AD$9:$AD$22,0),2))&lt;&gt;"",INDEX(BDHKI,MATCH($A38,DiemHKI!$B$4:$B$58,0),INDEX($AD$9:$AF$22,MATCH(R$7,$AD$9:$AD$22,0),3)),""),"")</f>
        <v>Đ</v>
      </c>
      <c r="S38" s="279">
        <f t="shared" si="7"/>
        <v>8</v>
      </c>
      <c r="T38" s="301">
        <f>IF($A38&lt;&gt;"",IF(INDEX(BDHKI,MATCH($A38,DiemHKI!$B$4:$B$58,0),INDEX($AD$9:$AF$22,MATCH(T$7,$AD$9:$AD$22,0),2))&lt;&gt;"",INDEX(BDHKI,MATCH($A38,DiemHKI!$B$4:$B$58,0),INDEX($AD$9:$AF$22,MATCH(T$7,$AD$9:$AD$22,0),3)),""),"")</f>
        <v>9.9</v>
      </c>
      <c r="U38" s="302" t="str">
        <f>IF($A38&lt;&gt;"",IF(INDEX(BDHKI,MATCH($A38,DiemHKI!$B$4:$B$58,0),INDEX($AD$9:$AF$22,MATCH(U$7,$AD$9:$AD$22,0),2))&lt;&gt;"",INDEX(BDHKI,MATCH($A38,DiemHKI!$B$4:$B$58,0),INDEX($AD$9:$AF$22,MATCH(U$7,$AD$9:$AD$22,0),3)),""),"")</f>
        <v/>
      </c>
      <c r="V38" s="278">
        <f t="shared" si="8"/>
        <v>9.1999999999999993</v>
      </c>
      <c r="W38" s="279" t="str">
        <f t="shared" si="9"/>
        <v>Giỏi</v>
      </c>
      <c r="X38" s="352" t="s">
        <v>38</v>
      </c>
      <c r="Y38" s="280" t="str">
        <f t="shared" si="10"/>
        <v>HSG</v>
      </c>
      <c r="AA38" s="644">
        <f t="shared" si="4"/>
        <v>27</v>
      </c>
      <c r="AB38" s="1"/>
      <c r="AG38" s="268" t="str">
        <f>IF($A38&lt;&gt;"",INDEX(DiemHKI!$DI$4:$DI$58,MATCH($A38,DiemHKI!$B$4:$B$58,0),1),"")</f>
        <v>12A1Đặng HoàngTân26/09/2004</v>
      </c>
      <c r="AH38" s="674" t="str">
        <f t="shared" si="5"/>
        <v/>
      </c>
      <c r="AI38" s="672" t="str">
        <f t="shared" ca="1" si="6"/>
        <v/>
      </c>
    </row>
    <row r="39" spans="1:35" s="268" customFormat="1" ht="29.1" customHeight="1">
      <c r="A39" s="281">
        <f>IF(A38&lt;MAX(DiemHKI!$B$4:$B$58),A38+1,"")</f>
        <v>32</v>
      </c>
      <c r="B39" s="32" t="str">
        <f>IF($A39&lt;&gt;"",PROPER(INDEX(DiemHKI!$B$4:$CP$58,MATCH($A39,DiemHKI!$B$4:$B$58,0),3)),"")</f>
        <v>Hồ Quang</v>
      </c>
      <c r="C39" s="33" t="str">
        <f>IF($A39&lt;&gt;"",PROPER(INDEX(DiemHKI!$B$4:$CP$58,MATCH($A39,DiemHKI!$B$4:$B$58,0),4)),"")</f>
        <v>Thành</v>
      </c>
      <c r="D39" s="284" t="str">
        <f>IF($A39&lt;&gt;"",IF(INDEX(DiemHKI!$B$4:$CP$58,MATCH($A39,DiemHKI!$B$4:$B$58,0),7)&lt;&gt;"",INDEX(DiemHKI!$B$4:$CP$58,MATCH($A39,DiemHKI!$B$4:$B$58,0),7),""),"")</f>
        <v/>
      </c>
      <c r="E39" s="284" t="str">
        <f>IF($A39&lt;&gt;"",IF(INDEX(DiemHKI!$B$4:$CP$58,MATCH($A39,DiemHKI!$B$4:$B$58,0),8)&lt;&gt;"",INDEX(DiemHKI!$B$4:$CP$58,MATCH($A39,DiemHKI!$B$4:$B$58,0),8),""),"")</f>
        <v/>
      </c>
      <c r="F39" s="284" t="str">
        <f>IF($A39&lt;&gt;"",IF(INDEX(DiemHKI!$B$4:$CP$58,MATCH($A39,DiemHKI!$B$4:$B$58,0),9)&lt;&gt;"",INDEX(DiemHKI!$B$4:$CP$58,MATCH($A39,DiemHKI!$B$4:$B$58,0),9),""),"")</f>
        <v/>
      </c>
      <c r="G39" s="285">
        <f>IF($A39&lt;&gt;"",IF(INDEX(BDHKI,MATCH($A39,DiemHKI!$B$4:$B$58,0),INDEX($AD$9:$AF$22,MATCH(G$7,$AD$9:$AD$22,0),2))&lt;&gt;"",INDEX(BDHKI,MATCH($A39,DiemHKI!$B$4:$B$58,0),INDEX($AD$9:$AF$22,MATCH(G$7,$AD$9:$AD$22,0),3)),""),"")</f>
        <v>9.5</v>
      </c>
      <c r="H39" s="286">
        <f>IF($A39&lt;&gt;"",IF(INDEX(BDHKI,MATCH($A39,DiemHKI!$B$4:$B$58,0),INDEX($AD$9:$AF$22,MATCH(H$7,$AD$9:$AD$22,0),2))&lt;&gt;"",INDEX(BDHKI,MATCH($A39,DiemHKI!$B$4:$B$58,0),INDEX($AD$9:$AF$22,MATCH(H$7,$AD$9:$AD$22,0),3)),""),"")</f>
        <v>9.5</v>
      </c>
      <c r="I39" s="286">
        <f>IF($A39&lt;&gt;"",IF(INDEX(BDHKI,MATCH($A39,DiemHKI!$B$4:$B$58,0),INDEX($AD$9:$AF$22,MATCH(I$7,$AD$9:$AD$22,0),2))&lt;&gt;"",INDEX(BDHKI,MATCH($A39,DiemHKI!$B$4:$B$58,0),INDEX($AD$9:$AF$22,MATCH(I$7,$AD$9:$AD$22,0),3)),""),"")</f>
        <v>8.8000000000000007</v>
      </c>
      <c r="J39" s="286">
        <f>IF($A39&lt;&gt;"",IF(INDEX(BDHKI,MATCH($A39,DiemHKI!$B$4:$B$58,0),INDEX($AD$9:$AF$22,MATCH(J$7,$AD$9:$AD$22,0),2))&lt;&gt;"",INDEX(BDHKI,MATCH($A39,DiemHKI!$B$4:$B$58,0),INDEX($AD$9:$AF$22,MATCH(J$7,$AD$9:$AD$22,0),3)),""),"")</f>
        <v>9.8000000000000007</v>
      </c>
      <c r="K39" s="286">
        <f>IF($A39&lt;&gt;"",IF(INDEX(BDHKI,MATCH($A39,DiemHKI!$B$4:$B$58,0),INDEX($AD$9:$AF$22,MATCH(K$7,$AD$9:$AD$22,0),2))&lt;&gt;"",INDEX(BDHKI,MATCH($A39,DiemHKI!$B$4:$B$58,0),INDEX($AD$9:$AF$22,MATCH(K$7,$AD$9:$AD$22,0),3)),""),"")</f>
        <v>9.8000000000000007</v>
      </c>
      <c r="L39" s="286">
        <f>IF($A39&lt;&gt;"",IF(INDEX(BDHKI,MATCH($A39,DiemHKI!$B$4:$B$58,0),INDEX($AD$9:$AF$22,MATCH(L$7,$AD$9:$AD$22,0),2))&lt;&gt;"",INDEX(BDHKI,MATCH($A39,DiemHKI!$B$4:$B$58,0),INDEX($AD$9:$AF$22,MATCH(L$7,$AD$9:$AD$22,0),3)),""),"")</f>
        <v>7.9</v>
      </c>
      <c r="M39" s="286">
        <f>IF($A39&lt;&gt;"",IF(INDEX(BDHKI,MATCH($A39,DiemHKI!$B$4:$B$58,0),INDEX($AD$9:$AF$22,MATCH(M$7,$AD$9:$AD$22,0),2))&lt;&gt;"",INDEX(BDHKI,MATCH($A39,DiemHKI!$B$4:$B$58,0),INDEX($AD$9:$AF$22,MATCH(M$7,$AD$9:$AD$22,0),3)),""),"")</f>
        <v>9.6</v>
      </c>
      <c r="N39" s="286">
        <f>IF($A39&lt;&gt;"",IF(INDEX(BDHKI,MATCH($A39,DiemHKI!$B$4:$B$58,0),INDEX($AD$9:$AF$22,MATCH(N$7,$AD$9:$AD$22,0),2))&lt;&gt;"",INDEX(BDHKI,MATCH($A39,DiemHKI!$B$4:$B$58,0),INDEX($AD$9:$AF$22,MATCH(N$7,$AD$9:$AD$22,0),3)),""),"")</f>
        <v>9.8000000000000007</v>
      </c>
      <c r="O39" s="286">
        <f>IF($A39&lt;&gt;"",IF(INDEX(BDHKI,MATCH($A39,DiemHKI!$B$4:$B$58,0),INDEX($AD$9:$AF$22,MATCH(O$7,$AD$9:$AD$22,0),2))&lt;&gt;"",INDEX(BDHKI,MATCH($A39,DiemHKI!$B$4:$B$58,0),INDEX($AD$9:$AF$22,MATCH(O$7,$AD$9:$AD$22,0),3)),""),"")</f>
        <v>9</v>
      </c>
      <c r="P39" s="286">
        <f>IF($A39&lt;&gt;"",IF(INDEX(BDHKI,MATCH($A39,DiemHKI!$B$4:$B$58,0),INDEX($AD$9:$AF$22,MATCH(P$7,$AD$9:$AD$22,0),2))&lt;&gt;"",INDEX(BDHKI,MATCH($A39,DiemHKI!$B$4:$B$58,0),INDEX($AD$9:$AF$22,MATCH(P$7,$AD$9:$AD$22,0),3)),""),"")</f>
        <v>9.8000000000000007</v>
      </c>
      <c r="Q39" s="286">
        <f>IF($A39&lt;&gt;"",IF(INDEX(BDHKI,MATCH($A39,DiemHKI!$B$4:$B$58,0),INDEX($AD$9:$AF$22,MATCH(Q$7,$AD$9:$AD$22,0),2))&lt;&gt;"",INDEX(BDHKI,MATCH($A39,DiemHKI!$B$4:$B$58,0),INDEX($AD$9:$AF$22,MATCH(Q$7,$AD$9:$AD$22,0),3)),""),"")</f>
        <v>9.4</v>
      </c>
      <c r="R39" s="464" t="str">
        <f>IF($A39&lt;&gt;"",IF(INDEX(BDHKI,MATCH($A39,DiemHKI!$B$4:$B$58,0),INDEX($AD$9:$AF$22,MATCH(R$7,$AD$9:$AD$22,0),2))&lt;&gt;"",INDEX(BDHKI,MATCH($A39,DiemHKI!$B$4:$B$58,0),INDEX($AD$9:$AF$22,MATCH(R$7,$AD$9:$AD$22,0),3)),""),"")</f>
        <v>Đ</v>
      </c>
      <c r="S39" s="464">
        <f t="shared" si="7"/>
        <v>8</v>
      </c>
      <c r="T39" s="286">
        <f>IF($A39&lt;&gt;"",IF(INDEX(BDHKI,MATCH($A39,DiemHKI!$B$4:$B$58,0),INDEX($AD$9:$AF$22,MATCH(T$7,$AD$9:$AD$22,0),2))&lt;&gt;"",INDEX(BDHKI,MATCH($A39,DiemHKI!$B$4:$B$58,0),INDEX($AD$9:$AF$22,MATCH(T$7,$AD$9:$AD$22,0),3)),""),"")</f>
        <v>9.9</v>
      </c>
      <c r="U39" s="287" t="str">
        <f>IF($A39&lt;&gt;"",IF(INDEX(BDHKI,MATCH($A39,DiemHKI!$B$4:$B$58,0),INDEX($AD$9:$AF$22,MATCH(U$7,$AD$9:$AD$22,0),2))&lt;&gt;"",INDEX(BDHKI,MATCH($A39,DiemHKI!$B$4:$B$58,0),INDEX($AD$9:$AF$22,MATCH(U$7,$AD$9:$AD$22,0),3)),""),"")</f>
        <v/>
      </c>
      <c r="V39" s="288">
        <f t="shared" si="8"/>
        <v>9.4</v>
      </c>
      <c r="W39" s="464" t="str">
        <f t="shared" si="9"/>
        <v>Giỏi</v>
      </c>
      <c r="X39" s="353" t="s">
        <v>38</v>
      </c>
      <c r="Y39" s="289" t="str">
        <f t="shared" si="10"/>
        <v>HSG</v>
      </c>
      <c r="AA39" s="644">
        <f t="shared" si="4"/>
        <v>10</v>
      </c>
      <c r="AB39" s="1"/>
      <c r="AG39" s="268" t="str">
        <f>IF($A39&lt;&gt;"",INDEX(DiemHKI!$DI$4:$DI$58,MATCH($A39,DiemHKI!$B$4:$B$58,0),1),"")</f>
        <v>12A1Hồ QuangThành28/02/2004</v>
      </c>
      <c r="AH39" s="674" t="str">
        <f t="shared" si="5"/>
        <v/>
      </c>
      <c r="AI39" s="672" t="str">
        <f t="shared" ca="1" si="6"/>
        <v/>
      </c>
    </row>
    <row r="40" spans="1:35" s="268" customFormat="1" ht="29.1" customHeight="1">
      <c r="A40" s="281">
        <f>IF(A39&lt;MAX(DiemHKI!$B$4:$B$58),A39+1,"")</f>
        <v>33</v>
      </c>
      <c r="B40" s="32" t="str">
        <f>IF($A40&lt;&gt;"",PROPER(INDEX(DiemHKI!$B$4:$CP$58,MATCH($A40,DiemHKI!$B$4:$B$58,0),3)),"")</f>
        <v>Trần Thịnh</v>
      </c>
      <c r="C40" s="33" t="str">
        <f>IF($A40&lt;&gt;"",PROPER(INDEX(DiemHKI!$B$4:$CP$58,MATCH($A40,DiemHKI!$B$4:$B$58,0),4)),"")</f>
        <v>Thịnh</v>
      </c>
      <c r="D40" s="284" t="str">
        <f>IF($A40&lt;&gt;"",IF(INDEX(DiemHKI!$B$4:$CP$58,MATCH($A40,DiemHKI!$B$4:$B$58,0),7)&lt;&gt;"",INDEX(DiemHKI!$B$4:$CP$58,MATCH($A40,DiemHKI!$B$4:$B$58,0),7),""),"")</f>
        <v/>
      </c>
      <c r="E40" s="284" t="str">
        <f>IF($A40&lt;&gt;"",IF(INDEX(DiemHKI!$B$4:$CP$58,MATCH($A40,DiemHKI!$B$4:$B$58,0),8)&lt;&gt;"",INDEX(DiemHKI!$B$4:$CP$58,MATCH($A40,DiemHKI!$B$4:$B$58,0),8),""),"")</f>
        <v/>
      </c>
      <c r="F40" s="284" t="str">
        <f>IF($A40&lt;&gt;"",IF(INDEX(DiemHKI!$B$4:$CP$58,MATCH($A40,DiemHKI!$B$4:$B$58,0),9)&lt;&gt;"",INDEX(DiemHKI!$B$4:$CP$58,MATCH($A40,DiemHKI!$B$4:$B$58,0),9),""),"")</f>
        <v/>
      </c>
      <c r="G40" s="285">
        <f>IF($A40&lt;&gt;"",IF(INDEX(BDHKI,MATCH($A40,DiemHKI!$B$4:$B$58,0),INDEX($AD$9:$AF$22,MATCH(G$7,$AD$9:$AD$22,0),2))&lt;&gt;"",INDEX(BDHKI,MATCH($A40,DiemHKI!$B$4:$B$58,0),INDEX($AD$9:$AF$22,MATCH(G$7,$AD$9:$AD$22,0),3)),""),"")</f>
        <v>9.8000000000000007</v>
      </c>
      <c r="H40" s="286">
        <f>IF($A40&lt;&gt;"",IF(INDEX(BDHKI,MATCH($A40,DiemHKI!$B$4:$B$58,0),INDEX($AD$9:$AF$22,MATCH(H$7,$AD$9:$AD$22,0),2))&lt;&gt;"",INDEX(BDHKI,MATCH($A40,DiemHKI!$B$4:$B$58,0),INDEX($AD$9:$AF$22,MATCH(H$7,$AD$9:$AD$22,0),3)),""),"")</f>
        <v>9.6</v>
      </c>
      <c r="I40" s="286">
        <f>IF($A40&lt;&gt;"",IF(INDEX(BDHKI,MATCH($A40,DiemHKI!$B$4:$B$58,0),INDEX($AD$9:$AF$22,MATCH(I$7,$AD$9:$AD$22,0),2))&lt;&gt;"",INDEX(BDHKI,MATCH($A40,DiemHKI!$B$4:$B$58,0),INDEX($AD$9:$AF$22,MATCH(I$7,$AD$9:$AD$22,0),3)),""),"")</f>
        <v>9.5</v>
      </c>
      <c r="J40" s="286">
        <f>IF($A40&lt;&gt;"",IF(INDEX(BDHKI,MATCH($A40,DiemHKI!$B$4:$B$58,0),INDEX($AD$9:$AF$22,MATCH(J$7,$AD$9:$AD$22,0),2))&lt;&gt;"",INDEX(BDHKI,MATCH($A40,DiemHKI!$B$4:$B$58,0),INDEX($AD$9:$AF$22,MATCH(J$7,$AD$9:$AD$22,0),3)),""),"")</f>
        <v>9.3000000000000007</v>
      </c>
      <c r="K40" s="286">
        <f>IF($A40&lt;&gt;"",IF(INDEX(BDHKI,MATCH($A40,DiemHKI!$B$4:$B$58,0),INDEX($AD$9:$AF$22,MATCH(K$7,$AD$9:$AD$22,0),2))&lt;&gt;"",INDEX(BDHKI,MATCH($A40,DiemHKI!$B$4:$B$58,0),INDEX($AD$9:$AF$22,MATCH(K$7,$AD$9:$AD$22,0),3)),""),"")</f>
        <v>9.6</v>
      </c>
      <c r="L40" s="286">
        <f>IF($A40&lt;&gt;"",IF(INDEX(BDHKI,MATCH($A40,DiemHKI!$B$4:$B$58,0),INDEX($AD$9:$AF$22,MATCH(L$7,$AD$9:$AD$22,0),2))&lt;&gt;"",INDEX(BDHKI,MATCH($A40,DiemHKI!$B$4:$B$58,0),INDEX($AD$9:$AF$22,MATCH(L$7,$AD$9:$AD$22,0),3)),""),"")</f>
        <v>7.3</v>
      </c>
      <c r="M40" s="286">
        <f>IF($A40&lt;&gt;"",IF(INDEX(BDHKI,MATCH($A40,DiemHKI!$B$4:$B$58,0),INDEX($AD$9:$AF$22,MATCH(M$7,$AD$9:$AD$22,0),2))&lt;&gt;"",INDEX(BDHKI,MATCH($A40,DiemHKI!$B$4:$B$58,0),INDEX($AD$9:$AF$22,MATCH(M$7,$AD$9:$AD$22,0),3)),""),"")</f>
        <v>9.1</v>
      </c>
      <c r="N40" s="286">
        <f>IF($A40&lt;&gt;"",IF(INDEX(BDHKI,MATCH($A40,DiemHKI!$B$4:$B$58,0),INDEX($AD$9:$AF$22,MATCH(N$7,$AD$9:$AD$22,0),2))&lt;&gt;"",INDEX(BDHKI,MATCH($A40,DiemHKI!$B$4:$B$58,0),INDEX($AD$9:$AF$22,MATCH(N$7,$AD$9:$AD$22,0),3)),""),"")</f>
        <v>9.1</v>
      </c>
      <c r="O40" s="286">
        <f>IF($A40&lt;&gt;"",IF(INDEX(BDHKI,MATCH($A40,DiemHKI!$B$4:$B$58,0),INDEX($AD$9:$AF$22,MATCH(O$7,$AD$9:$AD$22,0),2))&lt;&gt;"",INDEX(BDHKI,MATCH($A40,DiemHKI!$B$4:$B$58,0),INDEX($AD$9:$AF$22,MATCH(O$7,$AD$9:$AD$22,0),3)),""),"")</f>
        <v>8.9</v>
      </c>
      <c r="P40" s="286">
        <f>IF($A40&lt;&gt;"",IF(INDEX(BDHKI,MATCH($A40,DiemHKI!$B$4:$B$58,0),INDEX($AD$9:$AF$22,MATCH(P$7,$AD$9:$AD$22,0),2))&lt;&gt;"",INDEX(BDHKI,MATCH($A40,DiemHKI!$B$4:$B$58,0),INDEX($AD$9:$AF$22,MATCH(P$7,$AD$9:$AD$22,0),3)),""),"")</f>
        <v>9.1</v>
      </c>
      <c r="Q40" s="286">
        <f>IF($A40&lt;&gt;"",IF(INDEX(BDHKI,MATCH($A40,DiemHKI!$B$4:$B$58,0),INDEX($AD$9:$AF$22,MATCH(Q$7,$AD$9:$AD$22,0),2))&lt;&gt;"",INDEX(BDHKI,MATCH($A40,DiemHKI!$B$4:$B$58,0),INDEX($AD$9:$AF$22,MATCH(Q$7,$AD$9:$AD$22,0),3)),""),"")</f>
        <v>9.8000000000000007</v>
      </c>
      <c r="R40" s="464" t="str">
        <f>IF($A40&lt;&gt;"",IF(INDEX(BDHKI,MATCH($A40,DiemHKI!$B$4:$B$58,0),INDEX($AD$9:$AF$22,MATCH(R$7,$AD$9:$AD$22,0),2))&lt;&gt;"",INDEX(BDHKI,MATCH($A40,DiemHKI!$B$4:$B$58,0),INDEX($AD$9:$AF$22,MATCH(R$7,$AD$9:$AD$22,0),3)),""),"")</f>
        <v>Đ</v>
      </c>
      <c r="S40" s="464">
        <f t="shared" si="7"/>
        <v>8</v>
      </c>
      <c r="T40" s="286">
        <f>IF($A40&lt;&gt;"",IF(INDEX(BDHKI,MATCH($A40,DiemHKI!$B$4:$B$58,0),INDEX($AD$9:$AF$22,MATCH(T$7,$AD$9:$AD$22,0),2))&lt;&gt;"",INDEX(BDHKI,MATCH($A40,DiemHKI!$B$4:$B$58,0),INDEX($AD$9:$AF$22,MATCH(T$7,$AD$9:$AD$22,0),3)),""),"")</f>
        <v>9.9</v>
      </c>
      <c r="U40" s="287" t="str">
        <f>IF($A40&lt;&gt;"",IF(INDEX(BDHKI,MATCH($A40,DiemHKI!$B$4:$B$58,0),INDEX($AD$9:$AF$22,MATCH(U$7,$AD$9:$AD$22,0),2))&lt;&gt;"",INDEX(BDHKI,MATCH($A40,DiemHKI!$B$4:$B$58,0),INDEX($AD$9:$AF$22,MATCH(U$7,$AD$9:$AD$22,0),3)),""),"")</f>
        <v/>
      </c>
      <c r="V40" s="288">
        <f t="shared" si="8"/>
        <v>9.3000000000000007</v>
      </c>
      <c r="W40" s="464" t="str">
        <f t="shared" si="9"/>
        <v>Giỏi</v>
      </c>
      <c r="X40" s="353" t="s">
        <v>38</v>
      </c>
      <c r="Y40" s="289" t="str">
        <f t="shared" si="10"/>
        <v>HSG</v>
      </c>
      <c r="AA40" s="644">
        <f t="shared" si="4"/>
        <v>18</v>
      </c>
      <c r="AB40" s="1"/>
      <c r="AG40" s="268" t="str">
        <f>IF($A40&lt;&gt;"",INDEX(DiemHKI!$DI$4:$DI$58,MATCH($A40,DiemHKI!$B$4:$B$58,0),1),"")</f>
        <v>12A1Trần ThịnhThịnh18/08/2004</v>
      </c>
      <c r="AH40" s="674" t="str">
        <f t="shared" si="5"/>
        <v/>
      </c>
      <c r="AI40" s="672" t="str">
        <f t="shared" ca="1" si="6"/>
        <v/>
      </c>
    </row>
    <row r="41" spans="1:35" s="268" customFormat="1" ht="29.1" customHeight="1">
      <c r="A41" s="281">
        <f>IF(A40&lt;MAX(DiemHKI!$B$4:$B$58),A40+1,"")</f>
        <v>34</v>
      </c>
      <c r="B41" s="32" t="str">
        <f>IF($A41&lt;&gt;"",PROPER(INDEX(DiemHKI!$B$4:$CP$58,MATCH($A41,DiemHKI!$B$4:$B$58,0),3)),"")</f>
        <v>Trần Kim Bảo</v>
      </c>
      <c r="C41" s="33" t="str">
        <f>IF($A41&lt;&gt;"",PROPER(INDEX(DiemHKI!$B$4:$CP$58,MATCH($A41,DiemHKI!$B$4:$B$58,0),4)),"")</f>
        <v>Trân</v>
      </c>
      <c r="D41" s="284" t="str">
        <f>IF($A41&lt;&gt;"",IF(INDEX(DiemHKI!$B$4:$CP$58,MATCH($A41,DiemHKI!$B$4:$B$58,0),7)&lt;&gt;"",INDEX(DiemHKI!$B$4:$CP$58,MATCH($A41,DiemHKI!$B$4:$B$58,0),7),""),"")</f>
        <v>x</v>
      </c>
      <c r="E41" s="284" t="str">
        <f>IF($A41&lt;&gt;"",IF(INDEX(DiemHKI!$B$4:$CP$58,MATCH($A41,DiemHKI!$B$4:$B$58,0),8)&lt;&gt;"",INDEX(DiemHKI!$B$4:$CP$58,MATCH($A41,DiemHKI!$B$4:$B$58,0),8),""),"")</f>
        <v/>
      </c>
      <c r="F41" s="284" t="str">
        <f>IF($A41&lt;&gt;"",IF(INDEX(DiemHKI!$B$4:$CP$58,MATCH($A41,DiemHKI!$B$4:$B$58,0),9)&lt;&gt;"",INDEX(DiemHKI!$B$4:$CP$58,MATCH($A41,DiemHKI!$B$4:$B$58,0),9),""),"")</f>
        <v/>
      </c>
      <c r="G41" s="285">
        <f>IF($A41&lt;&gt;"",IF(INDEX(BDHKI,MATCH($A41,DiemHKI!$B$4:$B$58,0),INDEX($AD$9:$AF$22,MATCH(G$7,$AD$9:$AD$22,0),2))&lt;&gt;"",INDEX(BDHKI,MATCH($A41,DiemHKI!$B$4:$B$58,0),INDEX($AD$9:$AF$22,MATCH(G$7,$AD$9:$AD$22,0),3)),""),"")</f>
        <v>9.1999999999999993</v>
      </c>
      <c r="H41" s="286">
        <f>IF($A41&lt;&gt;"",IF(INDEX(BDHKI,MATCH($A41,DiemHKI!$B$4:$B$58,0),INDEX($AD$9:$AF$22,MATCH(H$7,$AD$9:$AD$22,0),2))&lt;&gt;"",INDEX(BDHKI,MATCH($A41,DiemHKI!$B$4:$B$58,0),INDEX($AD$9:$AF$22,MATCH(H$7,$AD$9:$AD$22,0),3)),""),"")</f>
        <v>8.6999999999999993</v>
      </c>
      <c r="I41" s="286">
        <f>IF($A41&lt;&gt;"",IF(INDEX(BDHKI,MATCH($A41,DiemHKI!$B$4:$B$58,0),INDEX($AD$9:$AF$22,MATCH(I$7,$AD$9:$AD$22,0),2))&lt;&gt;"",INDEX(BDHKI,MATCH($A41,DiemHKI!$B$4:$B$58,0),INDEX($AD$9:$AF$22,MATCH(I$7,$AD$9:$AD$22,0),3)),""),"")</f>
        <v>9.1999999999999993</v>
      </c>
      <c r="J41" s="286">
        <f>IF($A41&lt;&gt;"",IF(INDEX(BDHKI,MATCH($A41,DiemHKI!$B$4:$B$58,0),INDEX($AD$9:$AF$22,MATCH(J$7,$AD$9:$AD$22,0),2))&lt;&gt;"",INDEX(BDHKI,MATCH($A41,DiemHKI!$B$4:$B$58,0),INDEX($AD$9:$AF$22,MATCH(J$7,$AD$9:$AD$22,0),3)),""),"")</f>
        <v>8.8000000000000007</v>
      </c>
      <c r="K41" s="286">
        <f>IF($A41&lt;&gt;"",IF(INDEX(BDHKI,MATCH($A41,DiemHKI!$B$4:$B$58,0),INDEX($AD$9:$AF$22,MATCH(K$7,$AD$9:$AD$22,0),2))&lt;&gt;"",INDEX(BDHKI,MATCH($A41,DiemHKI!$B$4:$B$58,0),INDEX($AD$9:$AF$22,MATCH(K$7,$AD$9:$AD$22,0),3)),""),"")</f>
        <v>9.6</v>
      </c>
      <c r="L41" s="286">
        <f>IF($A41&lt;&gt;"",IF(INDEX(BDHKI,MATCH($A41,DiemHKI!$B$4:$B$58,0),INDEX($AD$9:$AF$22,MATCH(L$7,$AD$9:$AD$22,0),2))&lt;&gt;"",INDEX(BDHKI,MATCH($A41,DiemHKI!$B$4:$B$58,0),INDEX($AD$9:$AF$22,MATCH(L$7,$AD$9:$AD$22,0),3)),""),"")</f>
        <v>8</v>
      </c>
      <c r="M41" s="286">
        <f>IF($A41&lt;&gt;"",IF(INDEX(BDHKI,MATCH($A41,DiemHKI!$B$4:$B$58,0),INDEX($AD$9:$AF$22,MATCH(M$7,$AD$9:$AD$22,0),2))&lt;&gt;"",INDEX(BDHKI,MATCH($A41,DiemHKI!$B$4:$B$58,0),INDEX($AD$9:$AF$22,MATCH(M$7,$AD$9:$AD$22,0),3)),""),"")</f>
        <v>9.8000000000000007</v>
      </c>
      <c r="N41" s="286">
        <f>IF($A41&lt;&gt;"",IF(INDEX(BDHKI,MATCH($A41,DiemHKI!$B$4:$B$58,0),INDEX($AD$9:$AF$22,MATCH(N$7,$AD$9:$AD$22,0),2))&lt;&gt;"",INDEX(BDHKI,MATCH($A41,DiemHKI!$B$4:$B$58,0),INDEX($AD$9:$AF$22,MATCH(N$7,$AD$9:$AD$22,0),3)),""),"")</f>
        <v>9.9</v>
      </c>
      <c r="O41" s="286">
        <f>IF($A41&lt;&gt;"",IF(INDEX(BDHKI,MATCH($A41,DiemHKI!$B$4:$B$58,0),INDEX($AD$9:$AF$22,MATCH(O$7,$AD$9:$AD$22,0),2))&lt;&gt;"",INDEX(BDHKI,MATCH($A41,DiemHKI!$B$4:$B$58,0),INDEX($AD$9:$AF$22,MATCH(O$7,$AD$9:$AD$22,0),3)),""),"")</f>
        <v>8.8000000000000007</v>
      </c>
      <c r="P41" s="286">
        <f>IF($A41&lt;&gt;"",IF(INDEX(BDHKI,MATCH($A41,DiemHKI!$B$4:$B$58,0),INDEX($AD$9:$AF$22,MATCH(P$7,$AD$9:$AD$22,0),2))&lt;&gt;"",INDEX(BDHKI,MATCH($A41,DiemHKI!$B$4:$B$58,0),INDEX($AD$9:$AF$22,MATCH(P$7,$AD$9:$AD$22,0),3)),""),"")</f>
        <v>9.4</v>
      </c>
      <c r="Q41" s="286">
        <f>IF($A41&lt;&gt;"",IF(INDEX(BDHKI,MATCH($A41,DiemHKI!$B$4:$B$58,0),INDEX($AD$9:$AF$22,MATCH(Q$7,$AD$9:$AD$22,0),2))&lt;&gt;"",INDEX(BDHKI,MATCH($A41,DiemHKI!$B$4:$B$58,0),INDEX($AD$9:$AF$22,MATCH(Q$7,$AD$9:$AD$22,0),3)),""),"")</f>
        <v>9.9</v>
      </c>
      <c r="R41" s="464" t="str">
        <f>IF($A41&lt;&gt;"",IF(INDEX(BDHKI,MATCH($A41,DiemHKI!$B$4:$B$58,0),INDEX($AD$9:$AF$22,MATCH(R$7,$AD$9:$AD$22,0),2))&lt;&gt;"",INDEX(BDHKI,MATCH($A41,DiemHKI!$B$4:$B$58,0),INDEX($AD$9:$AF$22,MATCH(R$7,$AD$9:$AD$22,0),3)),""),"")</f>
        <v>Đ</v>
      </c>
      <c r="S41" s="464">
        <f t="shared" si="7"/>
        <v>8</v>
      </c>
      <c r="T41" s="286">
        <f>IF($A41&lt;&gt;"",IF(INDEX(BDHKI,MATCH($A41,DiemHKI!$B$4:$B$58,0),INDEX($AD$9:$AF$22,MATCH(T$7,$AD$9:$AD$22,0),2))&lt;&gt;"",INDEX(BDHKI,MATCH($A41,DiemHKI!$B$4:$B$58,0),INDEX($AD$9:$AF$22,MATCH(T$7,$AD$9:$AD$22,0),3)),""),"")</f>
        <v>9.9</v>
      </c>
      <c r="U41" s="287" t="str">
        <f>IF($A41&lt;&gt;"",IF(INDEX(BDHKI,MATCH($A41,DiemHKI!$B$4:$B$58,0),INDEX($AD$9:$AF$22,MATCH(U$7,$AD$9:$AD$22,0),2))&lt;&gt;"",INDEX(BDHKI,MATCH($A41,DiemHKI!$B$4:$B$58,0),INDEX($AD$9:$AF$22,MATCH(U$7,$AD$9:$AD$22,0),3)),""),"")</f>
        <v/>
      </c>
      <c r="V41" s="288">
        <f t="shared" si="8"/>
        <v>9.3000000000000007</v>
      </c>
      <c r="W41" s="464" t="str">
        <f t="shared" si="9"/>
        <v>Giỏi</v>
      </c>
      <c r="X41" s="353" t="s">
        <v>38</v>
      </c>
      <c r="Y41" s="289" t="str">
        <f t="shared" si="10"/>
        <v>HSG</v>
      </c>
      <c r="AA41" s="644">
        <f t="shared" si="4"/>
        <v>18</v>
      </c>
      <c r="AB41" s="1"/>
      <c r="AG41" s="268" t="str">
        <f>IF($A41&lt;&gt;"",INDEX(DiemHKI!$DI$4:$DI$58,MATCH($A41,DiemHKI!$B$4:$B$58,0),1),"")</f>
        <v>12A1Trần Kim BảoTrân05/06/2004</v>
      </c>
      <c r="AH41" s="674" t="str">
        <f t="shared" si="5"/>
        <v/>
      </c>
      <c r="AI41" s="672" t="str">
        <f t="shared" ca="1" si="6"/>
        <v/>
      </c>
    </row>
    <row r="42" spans="1:35" s="268" customFormat="1" ht="29.1" customHeight="1" thickBot="1">
      <c r="A42" s="290">
        <f>IF(A41&lt;MAX(DiemHKI!$B$4:$B$58),A41+1,"")</f>
        <v>35</v>
      </c>
      <c r="B42" s="44" t="str">
        <f>IF($A42&lt;&gt;"",PROPER(INDEX(DiemHKI!$B$4:$CP$58,MATCH($A42,DiemHKI!$B$4:$B$58,0),3)),"")</f>
        <v>Phạm Đức</v>
      </c>
      <c r="C42" s="45" t="str">
        <f>IF($A42&lt;&gt;"",PROPER(INDEX(DiemHKI!$B$4:$CP$58,MATCH($A42,DiemHKI!$B$4:$B$58,0),4)),"")</f>
        <v>Trung</v>
      </c>
      <c r="D42" s="293" t="str">
        <f>IF($A42&lt;&gt;"",IF(INDEX(DiemHKI!$B$4:$CP$58,MATCH($A42,DiemHKI!$B$4:$B$58,0),7)&lt;&gt;"",INDEX(DiemHKI!$B$4:$CP$58,MATCH($A42,DiemHKI!$B$4:$B$58,0),7),""),"")</f>
        <v/>
      </c>
      <c r="E42" s="293" t="str">
        <f>IF($A42&lt;&gt;"",IF(INDEX(DiemHKI!$B$4:$CP$58,MATCH($A42,DiemHKI!$B$4:$B$58,0),8)&lt;&gt;"",INDEX(DiemHKI!$B$4:$CP$58,MATCH($A42,DiemHKI!$B$4:$B$58,0),8),""),"")</f>
        <v/>
      </c>
      <c r="F42" s="293" t="str">
        <f>IF($A42&lt;&gt;"",IF(INDEX(DiemHKI!$B$4:$CP$58,MATCH($A42,DiemHKI!$B$4:$B$58,0),9)&lt;&gt;"",INDEX(DiemHKI!$B$4:$CP$58,MATCH($A42,DiemHKI!$B$4:$B$58,0),9),""),"")</f>
        <v/>
      </c>
      <c r="G42" s="294">
        <f>IF($A42&lt;&gt;"",IF(INDEX(BDHKI,MATCH($A42,DiemHKI!$B$4:$B$58,0),INDEX($AD$9:$AF$22,MATCH(G$7,$AD$9:$AD$22,0),2))&lt;&gt;"",INDEX(BDHKI,MATCH($A42,DiemHKI!$B$4:$B$58,0),INDEX($AD$9:$AF$22,MATCH(G$7,$AD$9:$AD$22,0),3)),""),"")</f>
        <v>9.9</v>
      </c>
      <c r="H42" s="295">
        <f>IF($A42&lt;&gt;"",IF(INDEX(BDHKI,MATCH($A42,DiemHKI!$B$4:$B$58,0),INDEX($AD$9:$AF$22,MATCH(H$7,$AD$9:$AD$22,0),2))&lt;&gt;"",INDEX(BDHKI,MATCH($A42,DiemHKI!$B$4:$B$58,0),INDEX($AD$9:$AF$22,MATCH(H$7,$AD$9:$AD$22,0),3)),""),"")</f>
        <v>9.6</v>
      </c>
      <c r="I42" s="295">
        <f>IF($A42&lt;&gt;"",IF(INDEX(BDHKI,MATCH($A42,DiemHKI!$B$4:$B$58,0),INDEX($AD$9:$AF$22,MATCH(I$7,$AD$9:$AD$22,0),2))&lt;&gt;"",INDEX(BDHKI,MATCH($A42,DiemHKI!$B$4:$B$58,0),INDEX($AD$9:$AF$22,MATCH(I$7,$AD$9:$AD$22,0),3)),""),"")</f>
        <v>9.8000000000000007</v>
      </c>
      <c r="J42" s="295">
        <f>IF($A42&lt;&gt;"",IF(INDEX(BDHKI,MATCH($A42,DiemHKI!$B$4:$B$58,0),INDEX($AD$9:$AF$22,MATCH(J$7,$AD$9:$AD$22,0),2))&lt;&gt;"",INDEX(BDHKI,MATCH($A42,DiemHKI!$B$4:$B$58,0),INDEX($AD$9:$AF$22,MATCH(J$7,$AD$9:$AD$22,0),3)),""),"")</f>
        <v>9.8000000000000007</v>
      </c>
      <c r="K42" s="295">
        <f>IF($A42&lt;&gt;"",IF(INDEX(BDHKI,MATCH($A42,DiemHKI!$B$4:$B$58,0),INDEX($AD$9:$AF$22,MATCH(K$7,$AD$9:$AD$22,0),2))&lt;&gt;"",INDEX(BDHKI,MATCH($A42,DiemHKI!$B$4:$B$58,0),INDEX($AD$9:$AF$22,MATCH(K$7,$AD$9:$AD$22,0),3)),""),"")</f>
        <v>9.8000000000000007</v>
      </c>
      <c r="L42" s="295">
        <f>IF($A42&lt;&gt;"",IF(INDEX(BDHKI,MATCH($A42,DiemHKI!$B$4:$B$58,0),INDEX($AD$9:$AF$22,MATCH(L$7,$AD$9:$AD$22,0),2))&lt;&gt;"",INDEX(BDHKI,MATCH($A42,DiemHKI!$B$4:$B$58,0),INDEX($AD$9:$AF$22,MATCH(L$7,$AD$9:$AD$22,0),3)),""),"")</f>
        <v>7.5</v>
      </c>
      <c r="M42" s="295">
        <f>IF($A42&lt;&gt;"",IF(INDEX(BDHKI,MATCH($A42,DiemHKI!$B$4:$B$58,0),INDEX($AD$9:$AF$22,MATCH(M$7,$AD$9:$AD$22,0),2))&lt;&gt;"",INDEX(BDHKI,MATCH($A42,DiemHKI!$B$4:$B$58,0),INDEX($AD$9:$AF$22,MATCH(M$7,$AD$9:$AD$22,0),3)),""),"")</f>
        <v>9.8000000000000007</v>
      </c>
      <c r="N42" s="295">
        <f>IF($A42&lt;&gt;"",IF(INDEX(BDHKI,MATCH($A42,DiemHKI!$B$4:$B$58,0),INDEX($AD$9:$AF$22,MATCH(N$7,$AD$9:$AD$22,0),2))&lt;&gt;"",INDEX(BDHKI,MATCH($A42,DiemHKI!$B$4:$B$58,0),INDEX($AD$9:$AF$22,MATCH(N$7,$AD$9:$AD$22,0),3)),""),"")</f>
        <v>9.6</v>
      </c>
      <c r="O42" s="295">
        <f>IF($A42&lt;&gt;"",IF(INDEX(BDHKI,MATCH($A42,DiemHKI!$B$4:$B$58,0),INDEX($AD$9:$AF$22,MATCH(O$7,$AD$9:$AD$22,0),2))&lt;&gt;"",INDEX(BDHKI,MATCH($A42,DiemHKI!$B$4:$B$58,0),INDEX($AD$9:$AF$22,MATCH(O$7,$AD$9:$AD$22,0),3)),""),"")</f>
        <v>8.6</v>
      </c>
      <c r="P42" s="295">
        <f>IF($A42&lt;&gt;"",IF(INDEX(BDHKI,MATCH($A42,DiemHKI!$B$4:$B$58,0),INDEX($AD$9:$AF$22,MATCH(P$7,$AD$9:$AD$22,0),2))&lt;&gt;"",INDEX(BDHKI,MATCH($A42,DiemHKI!$B$4:$B$58,0),INDEX($AD$9:$AF$22,MATCH(P$7,$AD$9:$AD$22,0),3)),""),"")</f>
        <v>9.1</v>
      </c>
      <c r="Q42" s="295">
        <f>IF($A42&lt;&gt;"",IF(INDEX(BDHKI,MATCH($A42,DiemHKI!$B$4:$B$58,0),INDEX($AD$9:$AF$22,MATCH(Q$7,$AD$9:$AD$22,0),2))&lt;&gt;"",INDEX(BDHKI,MATCH($A42,DiemHKI!$B$4:$B$58,0),INDEX($AD$9:$AF$22,MATCH(Q$7,$AD$9:$AD$22,0),3)),""),"")</f>
        <v>9.9</v>
      </c>
      <c r="R42" s="296" t="str">
        <f>IF($A42&lt;&gt;"",IF(INDEX(BDHKI,MATCH($A42,DiemHKI!$B$4:$B$58,0),INDEX($AD$9:$AF$22,MATCH(R$7,$AD$9:$AD$22,0),2))&lt;&gt;"",INDEX(BDHKI,MATCH($A42,DiemHKI!$B$4:$B$58,0),INDEX($AD$9:$AF$22,MATCH(R$7,$AD$9:$AD$22,0),3)),""),"")</f>
        <v>Đ</v>
      </c>
      <c r="S42" s="296">
        <f t="shared" si="7"/>
        <v>8</v>
      </c>
      <c r="T42" s="295">
        <f>IF($A42&lt;&gt;"",IF(INDEX(BDHKI,MATCH($A42,DiemHKI!$B$4:$B$58,0),INDEX($AD$9:$AF$22,MATCH(T$7,$AD$9:$AD$22,0),2))&lt;&gt;"",INDEX(BDHKI,MATCH($A42,DiemHKI!$B$4:$B$58,0),INDEX($AD$9:$AF$22,MATCH(T$7,$AD$9:$AD$22,0),3)),""),"")</f>
        <v>9.9</v>
      </c>
      <c r="U42" s="297" t="str">
        <f>IF($A42&lt;&gt;"",IF(INDEX(BDHKI,MATCH($A42,DiemHKI!$B$4:$B$58,0),INDEX($AD$9:$AF$22,MATCH(U$7,$AD$9:$AD$22,0),2))&lt;&gt;"",INDEX(BDHKI,MATCH($A42,DiemHKI!$B$4:$B$58,0),INDEX($AD$9:$AF$22,MATCH(U$7,$AD$9:$AD$22,0),3)),""),"")</f>
        <v/>
      </c>
      <c r="V42" s="298">
        <f t="shared" si="8"/>
        <v>9.4</v>
      </c>
      <c r="W42" s="296" t="str">
        <f t="shared" si="9"/>
        <v>Giỏi</v>
      </c>
      <c r="X42" s="354" t="s">
        <v>38</v>
      </c>
      <c r="Y42" s="299" t="str">
        <f t="shared" si="10"/>
        <v>HSG</v>
      </c>
      <c r="AA42" s="644">
        <f t="shared" si="4"/>
        <v>10</v>
      </c>
      <c r="AB42" s="1"/>
      <c r="AG42" s="268" t="str">
        <f>IF($A42&lt;&gt;"",INDEX(DiemHKI!$DI$4:$DI$58,MATCH($A42,DiemHKI!$B$4:$B$58,0),1),"")</f>
        <v>12A1Phạm ĐứcTrung07/10/2004</v>
      </c>
      <c r="AH42" s="674" t="str">
        <f t="shared" si="5"/>
        <v/>
      </c>
      <c r="AI42" s="672" t="str">
        <f t="shared" ca="1" si="6"/>
        <v/>
      </c>
    </row>
    <row r="43" spans="1:35" s="268" customFormat="1" ht="29.1" customHeight="1">
      <c r="A43" s="274">
        <f>IF(A42&lt;MAX(DiemHKI!$B$4:$B$58),A42+1,"")</f>
        <v>36</v>
      </c>
      <c r="B43" s="17" t="str">
        <f>IF($A43&lt;&gt;"",PROPER(INDEX(DiemHKI!$B$4:$CP$58,MATCH($A43,DiemHKI!$B$4:$B$58,0),3)),"")</f>
        <v>Võ Thủy</v>
      </c>
      <c r="C43" s="18" t="str">
        <f>IF($A43&lt;&gt;"",PROPER(INDEX(DiemHKI!$B$4:$CP$58,MATCH($A43,DiemHKI!$B$4:$B$58,0),4)),"")</f>
        <v>Vân</v>
      </c>
      <c r="D43" s="277" t="str">
        <f>IF($A43&lt;&gt;"",IF(INDEX(DiemHKI!$B$4:$CP$58,MATCH($A43,DiemHKI!$B$4:$B$58,0),7)&lt;&gt;"",INDEX(DiemHKI!$B$4:$CP$58,MATCH($A43,DiemHKI!$B$4:$B$58,0),7),""),"")</f>
        <v>x</v>
      </c>
      <c r="E43" s="277" t="str">
        <f>IF($A43&lt;&gt;"",IF(INDEX(DiemHKI!$B$4:$CP$58,MATCH($A43,DiemHKI!$B$4:$B$58,0),8)&lt;&gt;"",INDEX(DiemHKI!$B$4:$CP$58,MATCH($A43,DiemHKI!$B$4:$B$58,0),8),""),"")</f>
        <v/>
      </c>
      <c r="F43" s="277" t="str">
        <f>IF($A43&lt;&gt;"",IF(INDEX(DiemHKI!$B$4:$CP$58,MATCH($A43,DiemHKI!$B$4:$B$58,0),9)&lt;&gt;"",INDEX(DiemHKI!$B$4:$CP$58,MATCH($A43,DiemHKI!$B$4:$B$58,0),9),""),"")</f>
        <v/>
      </c>
      <c r="G43" s="300">
        <f>IF($A43&lt;&gt;"",IF(INDEX(BDHKI,MATCH($A43,DiemHKI!$B$4:$B$58,0),INDEX($AD$9:$AF$22,MATCH(G$7,$AD$9:$AD$22,0),2))&lt;&gt;"",INDEX(BDHKI,MATCH($A43,DiemHKI!$B$4:$B$58,0),INDEX($AD$9:$AF$22,MATCH(G$7,$AD$9:$AD$22,0),3)),""),"")</f>
        <v>9.6999999999999993</v>
      </c>
      <c r="H43" s="301">
        <f>IF($A43&lt;&gt;"",IF(INDEX(BDHKI,MATCH($A43,DiemHKI!$B$4:$B$58,0),INDEX($AD$9:$AF$22,MATCH(H$7,$AD$9:$AD$22,0),2))&lt;&gt;"",INDEX(BDHKI,MATCH($A43,DiemHKI!$B$4:$B$58,0),INDEX($AD$9:$AF$22,MATCH(H$7,$AD$9:$AD$22,0),3)),""),"")</f>
        <v>9.9</v>
      </c>
      <c r="I43" s="301">
        <f>IF($A43&lt;&gt;"",IF(INDEX(BDHKI,MATCH($A43,DiemHKI!$B$4:$B$58,0),INDEX($AD$9:$AF$22,MATCH(I$7,$AD$9:$AD$22,0),2))&lt;&gt;"",INDEX(BDHKI,MATCH($A43,DiemHKI!$B$4:$B$58,0),INDEX($AD$9:$AF$22,MATCH(I$7,$AD$9:$AD$22,0),3)),""),"")</f>
        <v>9.6999999999999993</v>
      </c>
      <c r="J43" s="301">
        <f>IF($A43&lt;&gt;"",IF(INDEX(BDHKI,MATCH($A43,DiemHKI!$B$4:$B$58,0),INDEX($AD$9:$AF$22,MATCH(J$7,$AD$9:$AD$22,0),2))&lt;&gt;"",INDEX(BDHKI,MATCH($A43,DiemHKI!$B$4:$B$58,0),INDEX($AD$9:$AF$22,MATCH(J$7,$AD$9:$AD$22,0),3)),""),"")</f>
        <v>9.4</v>
      </c>
      <c r="K43" s="301">
        <f>IF($A43&lt;&gt;"",IF(INDEX(BDHKI,MATCH($A43,DiemHKI!$B$4:$B$58,0),INDEX($AD$9:$AF$22,MATCH(K$7,$AD$9:$AD$22,0),2))&lt;&gt;"",INDEX(BDHKI,MATCH($A43,DiemHKI!$B$4:$B$58,0),INDEX($AD$9:$AF$22,MATCH(K$7,$AD$9:$AD$22,0),3)),""),"")</f>
        <v>9.8000000000000007</v>
      </c>
      <c r="L43" s="301">
        <f>IF($A43&lt;&gt;"",IF(INDEX(BDHKI,MATCH($A43,DiemHKI!$B$4:$B$58,0),INDEX($AD$9:$AF$22,MATCH(L$7,$AD$9:$AD$22,0),2))&lt;&gt;"",INDEX(BDHKI,MATCH($A43,DiemHKI!$B$4:$B$58,0),INDEX($AD$9:$AF$22,MATCH(L$7,$AD$9:$AD$22,0),3)),""),"")</f>
        <v>7.8</v>
      </c>
      <c r="M43" s="301">
        <f>IF($A43&lt;&gt;"",IF(INDEX(BDHKI,MATCH($A43,DiemHKI!$B$4:$B$58,0),INDEX($AD$9:$AF$22,MATCH(M$7,$AD$9:$AD$22,0),2))&lt;&gt;"",INDEX(BDHKI,MATCH($A43,DiemHKI!$B$4:$B$58,0),INDEX($AD$9:$AF$22,MATCH(M$7,$AD$9:$AD$22,0),3)),""),"")</f>
        <v>9.8000000000000007</v>
      </c>
      <c r="N43" s="301">
        <f>IF($A43&lt;&gt;"",IF(INDEX(BDHKI,MATCH($A43,DiemHKI!$B$4:$B$58,0),INDEX($AD$9:$AF$22,MATCH(N$7,$AD$9:$AD$22,0),2))&lt;&gt;"",INDEX(BDHKI,MATCH($A43,DiemHKI!$B$4:$B$58,0),INDEX($AD$9:$AF$22,MATCH(N$7,$AD$9:$AD$22,0),3)),""),"")</f>
        <v>9.9</v>
      </c>
      <c r="O43" s="301">
        <f>IF($A43&lt;&gt;"",IF(INDEX(BDHKI,MATCH($A43,DiemHKI!$B$4:$B$58,0),INDEX($AD$9:$AF$22,MATCH(O$7,$AD$9:$AD$22,0),2))&lt;&gt;"",INDEX(BDHKI,MATCH($A43,DiemHKI!$B$4:$B$58,0),INDEX($AD$9:$AF$22,MATCH(O$7,$AD$9:$AD$22,0),3)),""),"")</f>
        <v>9.6</v>
      </c>
      <c r="P43" s="301">
        <f>IF($A43&lt;&gt;"",IF(INDEX(BDHKI,MATCH($A43,DiemHKI!$B$4:$B$58,0),INDEX($AD$9:$AF$22,MATCH(P$7,$AD$9:$AD$22,0),2))&lt;&gt;"",INDEX(BDHKI,MATCH($A43,DiemHKI!$B$4:$B$58,0),INDEX($AD$9:$AF$22,MATCH(P$7,$AD$9:$AD$22,0),3)),""),"")</f>
        <v>9.8000000000000007</v>
      </c>
      <c r="Q43" s="301">
        <f>IF($A43&lt;&gt;"",IF(INDEX(BDHKI,MATCH($A43,DiemHKI!$B$4:$B$58,0),INDEX($AD$9:$AF$22,MATCH(Q$7,$AD$9:$AD$22,0),2))&lt;&gt;"",INDEX(BDHKI,MATCH($A43,DiemHKI!$B$4:$B$58,0),INDEX($AD$9:$AF$22,MATCH(Q$7,$AD$9:$AD$22,0),3)),""),"")</f>
        <v>9.9</v>
      </c>
      <c r="R43" s="279" t="str">
        <f>IF($A43&lt;&gt;"",IF(INDEX(BDHKI,MATCH($A43,DiemHKI!$B$4:$B$58,0),INDEX($AD$9:$AF$22,MATCH(R$7,$AD$9:$AD$22,0),2))&lt;&gt;"",INDEX(BDHKI,MATCH($A43,DiemHKI!$B$4:$B$58,0),INDEX($AD$9:$AF$22,MATCH(R$7,$AD$9:$AD$22,0),3)),""),"")</f>
        <v>Đ</v>
      </c>
      <c r="S43" s="279">
        <f t="shared" si="7"/>
        <v>8</v>
      </c>
      <c r="T43" s="301">
        <f>IF($A43&lt;&gt;"",IF(INDEX(BDHKI,MATCH($A43,DiemHKI!$B$4:$B$58,0),INDEX($AD$9:$AF$22,MATCH(T$7,$AD$9:$AD$22,0),2))&lt;&gt;"",INDEX(BDHKI,MATCH($A43,DiemHKI!$B$4:$B$58,0),INDEX($AD$9:$AF$22,MATCH(T$7,$AD$9:$AD$22,0),3)),""),"")</f>
        <v>9.9</v>
      </c>
      <c r="U43" s="302" t="str">
        <f>IF($A43&lt;&gt;"",IF(INDEX(BDHKI,MATCH($A43,DiemHKI!$B$4:$B$58,0),INDEX($AD$9:$AF$22,MATCH(U$7,$AD$9:$AD$22,0),2))&lt;&gt;"",INDEX(BDHKI,MATCH($A43,DiemHKI!$B$4:$B$58,0),INDEX($AD$9:$AF$22,MATCH(U$7,$AD$9:$AD$22,0),3)),""),"")</f>
        <v/>
      </c>
      <c r="V43" s="278">
        <f t="shared" si="8"/>
        <v>9.6</v>
      </c>
      <c r="W43" s="279" t="str">
        <f t="shared" si="9"/>
        <v>Giỏi</v>
      </c>
      <c r="X43" s="352" t="s">
        <v>38</v>
      </c>
      <c r="Y43" s="280" t="str">
        <f t="shared" si="10"/>
        <v>HSG</v>
      </c>
      <c r="AA43" s="644">
        <f t="shared" si="4"/>
        <v>1</v>
      </c>
      <c r="AB43" s="1"/>
      <c r="AG43" s="268" t="str">
        <f>IF($A43&lt;&gt;"",INDEX(DiemHKI!$DI$4:$DI$58,MATCH($A43,DiemHKI!$B$4:$B$58,0),1),"")</f>
        <v>12A1Võ ThủyVân30/10/2004</v>
      </c>
      <c r="AH43" s="674" t="str">
        <f t="shared" si="5"/>
        <v/>
      </c>
      <c r="AI43" s="672" t="str">
        <f t="shared" ca="1" si="6"/>
        <v/>
      </c>
    </row>
    <row r="44" spans="1:35" s="268" customFormat="1" ht="29.1" hidden="1" customHeight="1">
      <c r="A44" s="281" t="str">
        <f>IF(A43&lt;MAX(DiemHKI!$B$4:$B$58),A43+1,"")</f>
        <v/>
      </c>
      <c r="B44" s="32" t="str">
        <f>IF($A44&lt;&gt;"",PROPER(INDEX(DiemHKI!$B$4:$CP$58,MATCH($A44,DiemHKI!$B$4:$B$58,0),3)),"")</f>
        <v/>
      </c>
      <c r="C44" s="33" t="str">
        <f>IF($A44&lt;&gt;"",PROPER(INDEX(DiemHKI!$B$4:$CP$58,MATCH($A44,DiemHKI!$B$4:$B$58,0),4)),"")</f>
        <v/>
      </c>
      <c r="D44" s="284" t="str">
        <f>IF($A44&lt;&gt;"",IF(INDEX(DiemHKI!$B$4:$CP$58,MATCH($A44,DiemHKI!$B$4:$B$58,0),7)&lt;&gt;"",INDEX(DiemHKI!$B$4:$CP$58,MATCH($A44,DiemHKI!$B$4:$B$58,0),7),""),"")</f>
        <v/>
      </c>
      <c r="E44" s="284" t="str">
        <f>IF($A44&lt;&gt;"",IF(INDEX(DiemHKI!$B$4:$CP$58,MATCH($A44,DiemHKI!$B$4:$B$58,0),8)&lt;&gt;"",INDEX(DiemHKI!$B$4:$CP$58,MATCH($A44,DiemHKI!$B$4:$B$58,0),8),""),"")</f>
        <v/>
      </c>
      <c r="F44" s="284" t="str">
        <f>IF($A44&lt;&gt;"",IF(INDEX(DiemHKI!$B$4:$CP$58,MATCH($A44,DiemHKI!$B$4:$B$58,0),9)&lt;&gt;"",INDEX(DiemHKI!$B$4:$CP$58,MATCH($A44,DiemHKI!$B$4:$B$58,0),9),""),"")</f>
        <v/>
      </c>
      <c r="G44" s="285" t="str">
        <f>IF($A44&lt;&gt;"",IF(INDEX(BDHKI,MATCH($A44,DiemHKI!$B$4:$B$58,0),INDEX($AD$9:$AF$22,MATCH(G$7,$AD$9:$AD$22,0),2))&lt;&gt;"",INDEX(BDHKI,MATCH($A44,DiemHKI!$B$4:$B$58,0),INDEX($AD$9:$AF$22,MATCH(G$7,$AD$9:$AD$22,0),3)),""),"")</f>
        <v/>
      </c>
      <c r="H44" s="286" t="str">
        <f>IF($A44&lt;&gt;"",IF(INDEX(BDHKI,MATCH($A44,DiemHKI!$B$4:$B$58,0),INDEX($AD$9:$AF$22,MATCH(H$7,$AD$9:$AD$22,0),2))&lt;&gt;"",INDEX(BDHKI,MATCH($A44,DiemHKI!$B$4:$B$58,0),INDEX($AD$9:$AF$22,MATCH(H$7,$AD$9:$AD$22,0),3)),""),"")</f>
        <v/>
      </c>
      <c r="I44" s="286" t="str">
        <f>IF($A44&lt;&gt;"",IF(INDEX(BDHKI,MATCH($A44,DiemHKI!$B$4:$B$58,0),INDEX($AD$9:$AF$22,MATCH(I$7,$AD$9:$AD$22,0),2))&lt;&gt;"",INDEX(BDHKI,MATCH($A44,DiemHKI!$B$4:$B$58,0),INDEX($AD$9:$AF$22,MATCH(I$7,$AD$9:$AD$22,0),3)),""),"")</f>
        <v/>
      </c>
      <c r="J44" s="286" t="str">
        <f>IF($A44&lt;&gt;"",IF(INDEX(BDHKI,MATCH($A44,DiemHKI!$B$4:$B$58,0),INDEX($AD$9:$AF$22,MATCH(J$7,$AD$9:$AD$22,0),2))&lt;&gt;"",INDEX(BDHKI,MATCH($A44,DiemHKI!$B$4:$B$58,0),INDEX($AD$9:$AF$22,MATCH(J$7,$AD$9:$AD$22,0),3)),""),"")</f>
        <v/>
      </c>
      <c r="K44" s="286" t="str">
        <f>IF($A44&lt;&gt;"",IF(INDEX(BDHKI,MATCH($A44,DiemHKI!$B$4:$B$58,0),INDEX($AD$9:$AF$22,MATCH(K$7,$AD$9:$AD$22,0),2))&lt;&gt;"",INDEX(BDHKI,MATCH($A44,DiemHKI!$B$4:$B$58,0),INDEX($AD$9:$AF$22,MATCH(K$7,$AD$9:$AD$22,0),3)),""),"")</f>
        <v/>
      </c>
      <c r="L44" s="286" t="str">
        <f>IF($A44&lt;&gt;"",IF(INDEX(BDHKI,MATCH($A44,DiemHKI!$B$4:$B$58,0),INDEX($AD$9:$AF$22,MATCH(L$7,$AD$9:$AD$22,0),2))&lt;&gt;"",INDEX(BDHKI,MATCH($A44,DiemHKI!$B$4:$B$58,0),INDEX($AD$9:$AF$22,MATCH(L$7,$AD$9:$AD$22,0),3)),""),"")</f>
        <v/>
      </c>
      <c r="M44" s="286" t="str">
        <f>IF($A44&lt;&gt;"",IF(INDEX(BDHKI,MATCH($A44,DiemHKI!$B$4:$B$58,0),INDEX($AD$9:$AF$22,MATCH(M$7,$AD$9:$AD$22,0),2))&lt;&gt;"",INDEX(BDHKI,MATCH($A44,DiemHKI!$B$4:$B$58,0),INDEX($AD$9:$AF$22,MATCH(M$7,$AD$9:$AD$22,0),3)),""),"")</f>
        <v/>
      </c>
      <c r="N44" s="286" t="str">
        <f>IF($A44&lt;&gt;"",IF(INDEX(BDHKI,MATCH($A44,DiemHKI!$B$4:$B$58,0),INDEX($AD$9:$AF$22,MATCH(N$7,$AD$9:$AD$22,0),2))&lt;&gt;"",INDEX(BDHKI,MATCH($A44,DiemHKI!$B$4:$B$58,0),INDEX($AD$9:$AF$22,MATCH(N$7,$AD$9:$AD$22,0),3)),""),"")</f>
        <v/>
      </c>
      <c r="O44" s="286" t="str">
        <f>IF($A44&lt;&gt;"",IF(INDEX(BDHKI,MATCH($A44,DiemHKI!$B$4:$B$58,0),INDEX($AD$9:$AF$22,MATCH(O$7,$AD$9:$AD$22,0),2))&lt;&gt;"",INDEX(BDHKI,MATCH($A44,DiemHKI!$B$4:$B$58,0),INDEX($AD$9:$AF$22,MATCH(O$7,$AD$9:$AD$22,0),3)),""),"")</f>
        <v/>
      </c>
      <c r="P44" s="286" t="str">
        <f>IF($A44&lt;&gt;"",IF(INDEX(BDHKI,MATCH($A44,DiemHKI!$B$4:$B$58,0),INDEX($AD$9:$AF$22,MATCH(P$7,$AD$9:$AD$22,0),2))&lt;&gt;"",INDEX(BDHKI,MATCH($A44,DiemHKI!$B$4:$B$58,0),INDEX($AD$9:$AF$22,MATCH(P$7,$AD$9:$AD$22,0),3)),""),"")</f>
        <v/>
      </c>
      <c r="Q44" s="286" t="str">
        <f>IF($A44&lt;&gt;"",IF(INDEX(BDHKI,MATCH($A44,DiemHKI!$B$4:$B$58,0),INDEX($AD$9:$AF$22,MATCH(Q$7,$AD$9:$AD$22,0),2))&lt;&gt;"",INDEX(BDHKI,MATCH($A44,DiemHKI!$B$4:$B$58,0),INDEX($AD$9:$AF$22,MATCH(Q$7,$AD$9:$AD$22,0),3)),""),"")</f>
        <v/>
      </c>
      <c r="R44" s="464" t="str">
        <f>IF($A44&lt;&gt;"",IF(INDEX(BDHKI,MATCH($A44,DiemHKI!$B$4:$B$58,0),INDEX($AD$9:$AF$22,MATCH(R$7,$AD$9:$AD$22,0),2))&lt;&gt;"",INDEX(BDHKI,MATCH($A44,DiemHKI!$B$4:$B$58,0),INDEX($AD$9:$AF$22,MATCH(R$7,$AD$9:$AD$22,0),3)),""),"")</f>
        <v/>
      </c>
      <c r="S44" s="464" t="str">
        <f t="shared" si="7"/>
        <v/>
      </c>
      <c r="T44" s="286" t="str">
        <f>IF($A44&lt;&gt;"",IF(INDEX(BDHKI,MATCH($A44,DiemHKI!$B$4:$B$58,0),INDEX($AD$9:$AF$22,MATCH(T$7,$AD$9:$AD$22,0),2))&lt;&gt;"",INDEX(BDHKI,MATCH($A44,DiemHKI!$B$4:$B$58,0),INDEX($AD$9:$AF$22,MATCH(T$7,$AD$9:$AD$22,0),3)),""),"")</f>
        <v/>
      </c>
      <c r="U44" s="287" t="str">
        <f>IF($A44&lt;&gt;"",IF(INDEX(BDHKI,MATCH($A44,DiemHKI!$B$4:$B$58,0),INDEX($AD$9:$AF$22,MATCH(U$7,$AD$9:$AD$22,0),2))&lt;&gt;"",INDEX(BDHKI,MATCH($A44,DiemHKI!$B$4:$B$58,0),INDEX($AD$9:$AF$22,MATCH(U$7,$AD$9:$AD$22,0),3)),""),"")</f>
        <v/>
      </c>
      <c r="V44" s="288" t="str">
        <f t="shared" si="8"/>
        <v/>
      </c>
      <c r="W44" s="464" t="str">
        <f t="shared" si="9"/>
        <v/>
      </c>
      <c r="X44" s="353"/>
      <c r="Y44" s="289" t="str">
        <f t="shared" si="10"/>
        <v/>
      </c>
      <c r="AA44" s="644" t="str">
        <f t="shared" si="4"/>
        <v/>
      </c>
      <c r="AB44" s="1"/>
      <c r="AG44" s="268" t="str">
        <f>IF($A44&lt;&gt;"",INDEX(DiemHKI!$DI$4:$DI$58,MATCH($A44,DiemHKI!$B$4:$B$58,0),1),"")</f>
        <v/>
      </c>
      <c r="AH44" s="674" t="str">
        <f t="shared" si="5"/>
        <v/>
      </c>
      <c r="AI44" s="672" t="str">
        <f t="shared" ca="1" si="6"/>
        <v/>
      </c>
    </row>
    <row r="45" spans="1:35" s="268" customFormat="1" ht="29.1" hidden="1" customHeight="1">
      <c r="A45" s="281" t="str">
        <f>IF(A44&lt;MAX(DiemHKI!$B$4:$B$58),A44+1,"")</f>
        <v/>
      </c>
      <c r="B45" s="32" t="str">
        <f>IF($A45&lt;&gt;"",PROPER(INDEX(DiemHKI!$B$4:$CP$58,MATCH($A45,DiemHKI!$B$4:$B$58,0),3)),"")</f>
        <v/>
      </c>
      <c r="C45" s="33" t="str">
        <f>IF($A45&lt;&gt;"",PROPER(INDEX(DiemHKI!$B$4:$CP$58,MATCH($A45,DiemHKI!$B$4:$B$58,0),4)),"")</f>
        <v/>
      </c>
      <c r="D45" s="284" t="str">
        <f>IF($A45&lt;&gt;"",IF(INDEX(DiemHKI!$B$4:$CP$58,MATCH($A45,DiemHKI!$B$4:$B$58,0),7)&lt;&gt;"",INDEX(DiemHKI!$B$4:$CP$58,MATCH($A45,DiemHKI!$B$4:$B$58,0),7),""),"")</f>
        <v/>
      </c>
      <c r="E45" s="284" t="str">
        <f>IF($A45&lt;&gt;"",IF(INDEX(DiemHKI!$B$4:$CP$58,MATCH($A45,DiemHKI!$B$4:$B$58,0),8)&lt;&gt;"",INDEX(DiemHKI!$B$4:$CP$58,MATCH($A45,DiemHKI!$B$4:$B$58,0),8),""),"")</f>
        <v/>
      </c>
      <c r="F45" s="284" t="str">
        <f>IF($A45&lt;&gt;"",IF(INDEX(DiemHKI!$B$4:$CP$58,MATCH($A45,DiemHKI!$B$4:$B$58,0),9)&lt;&gt;"",INDEX(DiemHKI!$B$4:$CP$58,MATCH($A45,DiemHKI!$B$4:$B$58,0),9),""),"")</f>
        <v/>
      </c>
      <c r="G45" s="285" t="str">
        <f>IF($A45&lt;&gt;"",IF(INDEX(BDHKI,MATCH($A45,DiemHKI!$B$4:$B$58,0),INDEX($AD$9:$AF$22,MATCH(G$7,$AD$9:$AD$22,0),2))&lt;&gt;"",INDEX(BDHKI,MATCH($A45,DiemHKI!$B$4:$B$58,0),INDEX($AD$9:$AF$22,MATCH(G$7,$AD$9:$AD$22,0),3)),""),"")</f>
        <v/>
      </c>
      <c r="H45" s="286" t="str">
        <f>IF($A45&lt;&gt;"",IF(INDEX(BDHKI,MATCH($A45,DiemHKI!$B$4:$B$58,0),INDEX($AD$9:$AF$22,MATCH(H$7,$AD$9:$AD$22,0),2))&lt;&gt;"",INDEX(BDHKI,MATCH($A45,DiemHKI!$B$4:$B$58,0),INDEX($AD$9:$AF$22,MATCH(H$7,$AD$9:$AD$22,0),3)),""),"")</f>
        <v/>
      </c>
      <c r="I45" s="286" t="str">
        <f>IF($A45&lt;&gt;"",IF(INDEX(BDHKI,MATCH($A45,DiemHKI!$B$4:$B$58,0),INDEX($AD$9:$AF$22,MATCH(I$7,$AD$9:$AD$22,0),2))&lt;&gt;"",INDEX(BDHKI,MATCH($A45,DiemHKI!$B$4:$B$58,0),INDEX($AD$9:$AF$22,MATCH(I$7,$AD$9:$AD$22,0),3)),""),"")</f>
        <v/>
      </c>
      <c r="J45" s="286" t="str">
        <f>IF($A45&lt;&gt;"",IF(INDEX(BDHKI,MATCH($A45,DiemHKI!$B$4:$B$58,0),INDEX($AD$9:$AF$22,MATCH(J$7,$AD$9:$AD$22,0),2))&lt;&gt;"",INDEX(BDHKI,MATCH($A45,DiemHKI!$B$4:$B$58,0),INDEX($AD$9:$AF$22,MATCH(J$7,$AD$9:$AD$22,0),3)),""),"")</f>
        <v/>
      </c>
      <c r="K45" s="286" t="str">
        <f>IF($A45&lt;&gt;"",IF(INDEX(BDHKI,MATCH($A45,DiemHKI!$B$4:$B$58,0),INDEX($AD$9:$AF$22,MATCH(K$7,$AD$9:$AD$22,0),2))&lt;&gt;"",INDEX(BDHKI,MATCH($A45,DiemHKI!$B$4:$B$58,0),INDEX($AD$9:$AF$22,MATCH(K$7,$AD$9:$AD$22,0),3)),""),"")</f>
        <v/>
      </c>
      <c r="L45" s="286" t="str">
        <f>IF($A45&lt;&gt;"",IF(INDEX(BDHKI,MATCH($A45,DiemHKI!$B$4:$B$58,0),INDEX($AD$9:$AF$22,MATCH(L$7,$AD$9:$AD$22,0),2))&lt;&gt;"",INDEX(BDHKI,MATCH($A45,DiemHKI!$B$4:$B$58,0),INDEX($AD$9:$AF$22,MATCH(L$7,$AD$9:$AD$22,0),3)),""),"")</f>
        <v/>
      </c>
      <c r="M45" s="286" t="str">
        <f>IF($A45&lt;&gt;"",IF(INDEX(BDHKI,MATCH($A45,DiemHKI!$B$4:$B$58,0),INDEX($AD$9:$AF$22,MATCH(M$7,$AD$9:$AD$22,0),2))&lt;&gt;"",INDEX(BDHKI,MATCH($A45,DiemHKI!$B$4:$B$58,0),INDEX($AD$9:$AF$22,MATCH(M$7,$AD$9:$AD$22,0),3)),""),"")</f>
        <v/>
      </c>
      <c r="N45" s="286" t="str">
        <f>IF($A45&lt;&gt;"",IF(INDEX(BDHKI,MATCH($A45,DiemHKI!$B$4:$B$58,0),INDEX($AD$9:$AF$22,MATCH(N$7,$AD$9:$AD$22,0),2))&lt;&gt;"",INDEX(BDHKI,MATCH($A45,DiemHKI!$B$4:$B$58,0),INDEX($AD$9:$AF$22,MATCH(N$7,$AD$9:$AD$22,0),3)),""),"")</f>
        <v/>
      </c>
      <c r="O45" s="286" t="str">
        <f>IF($A45&lt;&gt;"",IF(INDEX(BDHKI,MATCH($A45,DiemHKI!$B$4:$B$58,0),INDEX($AD$9:$AF$22,MATCH(O$7,$AD$9:$AD$22,0),2))&lt;&gt;"",INDEX(BDHKI,MATCH($A45,DiemHKI!$B$4:$B$58,0),INDEX($AD$9:$AF$22,MATCH(O$7,$AD$9:$AD$22,0),3)),""),"")</f>
        <v/>
      </c>
      <c r="P45" s="286" t="str">
        <f>IF($A45&lt;&gt;"",IF(INDEX(BDHKI,MATCH($A45,DiemHKI!$B$4:$B$58,0),INDEX($AD$9:$AF$22,MATCH(P$7,$AD$9:$AD$22,0),2))&lt;&gt;"",INDEX(BDHKI,MATCH($A45,DiemHKI!$B$4:$B$58,0),INDEX($AD$9:$AF$22,MATCH(P$7,$AD$9:$AD$22,0),3)),""),"")</f>
        <v/>
      </c>
      <c r="Q45" s="286" t="str">
        <f>IF($A45&lt;&gt;"",IF(INDEX(BDHKI,MATCH($A45,DiemHKI!$B$4:$B$58,0),INDEX($AD$9:$AF$22,MATCH(Q$7,$AD$9:$AD$22,0),2))&lt;&gt;"",INDEX(BDHKI,MATCH($A45,DiemHKI!$B$4:$B$58,0),INDEX($AD$9:$AF$22,MATCH(Q$7,$AD$9:$AD$22,0),3)),""),"")</f>
        <v/>
      </c>
      <c r="R45" s="464" t="str">
        <f>IF($A45&lt;&gt;"",IF(INDEX(BDHKI,MATCH($A45,DiemHKI!$B$4:$B$58,0),INDEX($AD$9:$AF$22,MATCH(R$7,$AD$9:$AD$22,0),2))&lt;&gt;"",INDEX(BDHKI,MATCH($A45,DiemHKI!$B$4:$B$58,0),INDEX($AD$9:$AF$22,MATCH(R$7,$AD$9:$AD$22,0),3)),""),"")</f>
        <v/>
      </c>
      <c r="S45" s="464" t="str">
        <f t="shared" si="7"/>
        <v/>
      </c>
      <c r="T45" s="286" t="str">
        <f>IF($A45&lt;&gt;"",IF(INDEX(BDHKI,MATCH($A45,DiemHKI!$B$4:$B$58,0),INDEX($AD$9:$AF$22,MATCH(T$7,$AD$9:$AD$22,0),2))&lt;&gt;"",INDEX(BDHKI,MATCH($A45,DiemHKI!$B$4:$B$58,0),INDEX($AD$9:$AF$22,MATCH(T$7,$AD$9:$AD$22,0),3)),""),"")</f>
        <v/>
      </c>
      <c r="U45" s="287" t="str">
        <f>IF($A45&lt;&gt;"",IF(INDEX(BDHKI,MATCH($A45,DiemHKI!$B$4:$B$58,0),INDEX($AD$9:$AF$22,MATCH(U$7,$AD$9:$AD$22,0),2))&lt;&gt;"",INDEX(BDHKI,MATCH($A45,DiemHKI!$B$4:$B$58,0),INDEX($AD$9:$AF$22,MATCH(U$7,$AD$9:$AD$22,0),3)),""),"")</f>
        <v/>
      </c>
      <c r="V45" s="288" t="str">
        <f t="shared" si="8"/>
        <v/>
      </c>
      <c r="W45" s="464" t="str">
        <f t="shared" si="9"/>
        <v/>
      </c>
      <c r="X45" s="353"/>
      <c r="Y45" s="289" t="str">
        <f t="shared" si="10"/>
        <v/>
      </c>
      <c r="AA45" s="644" t="str">
        <f t="shared" si="4"/>
        <v/>
      </c>
      <c r="AB45" s="1"/>
      <c r="AG45" s="268" t="str">
        <f>IF($A45&lt;&gt;"",INDEX(DiemHKI!$DI$4:$DI$58,MATCH($A45,DiemHKI!$B$4:$B$58,0),1),"")</f>
        <v/>
      </c>
      <c r="AH45" s="674" t="str">
        <f t="shared" si="5"/>
        <v/>
      </c>
      <c r="AI45" s="672" t="str">
        <f t="shared" ca="1" si="6"/>
        <v/>
      </c>
    </row>
    <row r="46" spans="1:35" s="268" customFormat="1" ht="29.1" hidden="1" customHeight="1">
      <c r="A46" s="281" t="str">
        <f>IF(A45&lt;MAX(DiemHKI!$B$4:$B$58),A45+1,"")</f>
        <v/>
      </c>
      <c r="B46" s="32" t="str">
        <f>IF($A46&lt;&gt;"",PROPER(INDEX(DiemHKI!$B$4:$CP$58,MATCH($A46,DiemHKI!$B$4:$B$58,0),3)),"")</f>
        <v/>
      </c>
      <c r="C46" s="33" t="str">
        <f>IF($A46&lt;&gt;"",PROPER(INDEX(DiemHKI!$B$4:$CP$58,MATCH($A46,DiemHKI!$B$4:$B$58,0),4)),"")</f>
        <v/>
      </c>
      <c r="D46" s="284" t="str">
        <f>IF($A46&lt;&gt;"",IF(INDEX(DiemHKI!$B$4:$CP$58,MATCH($A46,DiemHKI!$B$4:$B$58,0),7)&lt;&gt;"",INDEX(DiemHKI!$B$4:$CP$58,MATCH($A46,DiemHKI!$B$4:$B$58,0),7),""),"")</f>
        <v/>
      </c>
      <c r="E46" s="284" t="str">
        <f>IF($A46&lt;&gt;"",IF(INDEX(DiemHKI!$B$4:$CP$58,MATCH($A46,DiemHKI!$B$4:$B$58,0),8)&lt;&gt;"",INDEX(DiemHKI!$B$4:$CP$58,MATCH($A46,DiemHKI!$B$4:$B$58,0),8),""),"")</f>
        <v/>
      </c>
      <c r="F46" s="284" t="str">
        <f>IF($A46&lt;&gt;"",IF(INDEX(DiemHKI!$B$4:$CP$58,MATCH($A46,DiemHKI!$B$4:$B$58,0),9)&lt;&gt;"",INDEX(DiemHKI!$B$4:$CP$58,MATCH($A46,DiemHKI!$B$4:$B$58,0),9),""),"")</f>
        <v/>
      </c>
      <c r="G46" s="285" t="str">
        <f>IF($A46&lt;&gt;"",IF(INDEX(BDHKI,MATCH($A46,DiemHKI!$B$4:$B$58,0),INDEX($AD$9:$AF$22,MATCH(G$7,$AD$9:$AD$22,0),2))&lt;&gt;"",INDEX(BDHKI,MATCH($A46,DiemHKI!$B$4:$B$58,0),INDEX($AD$9:$AF$22,MATCH(G$7,$AD$9:$AD$22,0),3)),""),"")</f>
        <v/>
      </c>
      <c r="H46" s="286" t="str">
        <f>IF($A46&lt;&gt;"",IF(INDEX(BDHKI,MATCH($A46,DiemHKI!$B$4:$B$58,0),INDEX($AD$9:$AF$22,MATCH(H$7,$AD$9:$AD$22,0),2))&lt;&gt;"",INDEX(BDHKI,MATCH($A46,DiemHKI!$B$4:$B$58,0),INDEX($AD$9:$AF$22,MATCH(H$7,$AD$9:$AD$22,0),3)),""),"")</f>
        <v/>
      </c>
      <c r="I46" s="286" t="str">
        <f>IF($A46&lt;&gt;"",IF(INDEX(BDHKI,MATCH($A46,DiemHKI!$B$4:$B$58,0),INDEX($AD$9:$AF$22,MATCH(I$7,$AD$9:$AD$22,0),2))&lt;&gt;"",INDEX(BDHKI,MATCH($A46,DiemHKI!$B$4:$B$58,0),INDEX($AD$9:$AF$22,MATCH(I$7,$AD$9:$AD$22,0),3)),""),"")</f>
        <v/>
      </c>
      <c r="J46" s="286" t="str">
        <f>IF($A46&lt;&gt;"",IF(INDEX(BDHKI,MATCH($A46,DiemHKI!$B$4:$B$58,0),INDEX($AD$9:$AF$22,MATCH(J$7,$AD$9:$AD$22,0),2))&lt;&gt;"",INDEX(BDHKI,MATCH($A46,DiemHKI!$B$4:$B$58,0),INDEX($AD$9:$AF$22,MATCH(J$7,$AD$9:$AD$22,0),3)),""),"")</f>
        <v/>
      </c>
      <c r="K46" s="286" t="str">
        <f>IF($A46&lt;&gt;"",IF(INDEX(BDHKI,MATCH($A46,DiemHKI!$B$4:$B$58,0),INDEX($AD$9:$AF$22,MATCH(K$7,$AD$9:$AD$22,0),2))&lt;&gt;"",INDEX(BDHKI,MATCH($A46,DiemHKI!$B$4:$B$58,0),INDEX($AD$9:$AF$22,MATCH(K$7,$AD$9:$AD$22,0),3)),""),"")</f>
        <v/>
      </c>
      <c r="L46" s="286" t="str">
        <f>IF($A46&lt;&gt;"",IF(INDEX(BDHKI,MATCH($A46,DiemHKI!$B$4:$B$58,0),INDEX($AD$9:$AF$22,MATCH(L$7,$AD$9:$AD$22,0),2))&lt;&gt;"",INDEX(BDHKI,MATCH($A46,DiemHKI!$B$4:$B$58,0),INDEX($AD$9:$AF$22,MATCH(L$7,$AD$9:$AD$22,0),3)),""),"")</f>
        <v/>
      </c>
      <c r="M46" s="286" t="str">
        <f>IF($A46&lt;&gt;"",IF(INDEX(BDHKI,MATCH($A46,DiemHKI!$B$4:$B$58,0),INDEX($AD$9:$AF$22,MATCH(M$7,$AD$9:$AD$22,0),2))&lt;&gt;"",INDEX(BDHKI,MATCH($A46,DiemHKI!$B$4:$B$58,0),INDEX($AD$9:$AF$22,MATCH(M$7,$AD$9:$AD$22,0),3)),""),"")</f>
        <v/>
      </c>
      <c r="N46" s="286" t="str">
        <f>IF($A46&lt;&gt;"",IF(INDEX(BDHKI,MATCH($A46,DiemHKI!$B$4:$B$58,0),INDEX($AD$9:$AF$22,MATCH(N$7,$AD$9:$AD$22,0),2))&lt;&gt;"",INDEX(BDHKI,MATCH($A46,DiemHKI!$B$4:$B$58,0),INDEX($AD$9:$AF$22,MATCH(N$7,$AD$9:$AD$22,0),3)),""),"")</f>
        <v/>
      </c>
      <c r="O46" s="286" t="str">
        <f>IF($A46&lt;&gt;"",IF(INDEX(BDHKI,MATCH($A46,DiemHKI!$B$4:$B$58,0),INDEX($AD$9:$AF$22,MATCH(O$7,$AD$9:$AD$22,0),2))&lt;&gt;"",INDEX(BDHKI,MATCH($A46,DiemHKI!$B$4:$B$58,0),INDEX($AD$9:$AF$22,MATCH(O$7,$AD$9:$AD$22,0),3)),""),"")</f>
        <v/>
      </c>
      <c r="P46" s="286" t="str">
        <f>IF($A46&lt;&gt;"",IF(INDEX(BDHKI,MATCH($A46,DiemHKI!$B$4:$B$58,0),INDEX($AD$9:$AF$22,MATCH(P$7,$AD$9:$AD$22,0),2))&lt;&gt;"",INDEX(BDHKI,MATCH($A46,DiemHKI!$B$4:$B$58,0),INDEX($AD$9:$AF$22,MATCH(P$7,$AD$9:$AD$22,0),3)),""),"")</f>
        <v/>
      </c>
      <c r="Q46" s="286" t="str">
        <f>IF($A46&lt;&gt;"",IF(INDEX(BDHKI,MATCH($A46,DiemHKI!$B$4:$B$58,0),INDEX($AD$9:$AF$22,MATCH(Q$7,$AD$9:$AD$22,0),2))&lt;&gt;"",INDEX(BDHKI,MATCH($A46,DiemHKI!$B$4:$B$58,0),INDEX($AD$9:$AF$22,MATCH(Q$7,$AD$9:$AD$22,0),3)),""),"")</f>
        <v/>
      </c>
      <c r="R46" s="464" t="str">
        <f>IF($A46&lt;&gt;"",IF(INDEX(BDHKI,MATCH($A46,DiemHKI!$B$4:$B$58,0),INDEX($AD$9:$AF$22,MATCH(R$7,$AD$9:$AD$22,0),2))&lt;&gt;"",INDEX(BDHKI,MATCH($A46,DiemHKI!$B$4:$B$58,0),INDEX($AD$9:$AF$22,MATCH(R$7,$AD$9:$AD$22,0),3)),""),"")</f>
        <v/>
      </c>
      <c r="S46" s="464" t="str">
        <f t="shared" si="7"/>
        <v/>
      </c>
      <c r="T46" s="286" t="str">
        <f>IF($A46&lt;&gt;"",IF(INDEX(BDHKI,MATCH($A46,DiemHKI!$B$4:$B$58,0),INDEX($AD$9:$AF$22,MATCH(T$7,$AD$9:$AD$22,0),2))&lt;&gt;"",INDEX(BDHKI,MATCH($A46,DiemHKI!$B$4:$B$58,0),INDEX($AD$9:$AF$22,MATCH(T$7,$AD$9:$AD$22,0),3)),""),"")</f>
        <v/>
      </c>
      <c r="U46" s="287" t="str">
        <f>IF($A46&lt;&gt;"",IF(INDEX(BDHKI,MATCH($A46,DiemHKI!$B$4:$B$58,0),INDEX($AD$9:$AF$22,MATCH(U$7,$AD$9:$AD$22,0),2))&lt;&gt;"",INDEX(BDHKI,MATCH($A46,DiemHKI!$B$4:$B$58,0),INDEX($AD$9:$AF$22,MATCH(U$7,$AD$9:$AD$22,0),3)),""),"")</f>
        <v/>
      </c>
      <c r="V46" s="288" t="str">
        <f t="shared" si="8"/>
        <v/>
      </c>
      <c r="W46" s="464" t="str">
        <f t="shared" si="9"/>
        <v/>
      </c>
      <c r="X46" s="353"/>
      <c r="Y46" s="289" t="str">
        <f t="shared" si="10"/>
        <v/>
      </c>
      <c r="AA46" s="644" t="str">
        <f t="shared" si="4"/>
        <v/>
      </c>
      <c r="AB46" s="1"/>
      <c r="AG46" s="268" t="str">
        <f>IF($A46&lt;&gt;"",INDEX(DiemHKI!$DI$4:$DI$58,MATCH($A46,DiemHKI!$B$4:$B$58,0),1),"")</f>
        <v/>
      </c>
      <c r="AH46" s="674" t="str">
        <f t="shared" si="5"/>
        <v/>
      </c>
      <c r="AI46" s="672" t="str">
        <f t="shared" ca="1" si="6"/>
        <v/>
      </c>
    </row>
    <row r="47" spans="1:35" s="268" customFormat="1" ht="29.1" customHeight="1" thickBot="1">
      <c r="A47" s="290" t="str">
        <f>IF(A46&lt;MAX(DiemHKI!$B$4:$B$58),A46+1,"")</f>
        <v/>
      </c>
      <c r="B47" s="44" t="str">
        <f>IF($A47&lt;&gt;"",PROPER(INDEX(DiemHKI!$B$4:$CP$58,MATCH($A47,DiemHKI!$B$4:$B$58,0),3)),"")</f>
        <v/>
      </c>
      <c r="C47" s="45" t="str">
        <f>IF($A47&lt;&gt;"",PROPER(INDEX(DiemHKI!$B$4:$CP$58,MATCH($A47,DiemHKI!$B$4:$B$58,0),4)),"")</f>
        <v/>
      </c>
      <c r="D47" s="293" t="str">
        <f>IF($A47&lt;&gt;"",IF(INDEX(DiemHKI!$B$4:$CP$58,MATCH($A47,DiemHKI!$B$4:$B$58,0),7)&lt;&gt;"",INDEX(DiemHKI!$B$4:$CP$58,MATCH($A47,DiemHKI!$B$4:$B$58,0),7),""),"")</f>
        <v/>
      </c>
      <c r="E47" s="293" t="str">
        <f>IF($A47&lt;&gt;"",IF(INDEX(DiemHKI!$B$4:$CP$58,MATCH($A47,DiemHKI!$B$4:$B$58,0),8)&lt;&gt;"",INDEX(DiemHKI!$B$4:$CP$58,MATCH($A47,DiemHKI!$B$4:$B$58,0),8),""),"")</f>
        <v/>
      </c>
      <c r="F47" s="293" t="str">
        <f>IF($A47&lt;&gt;"",IF(INDEX(DiemHKI!$B$4:$CP$58,MATCH($A47,DiemHKI!$B$4:$B$58,0),9)&lt;&gt;"",INDEX(DiemHKI!$B$4:$CP$58,MATCH($A47,DiemHKI!$B$4:$B$58,0),9),""),"")</f>
        <v/>
      </c>
      <c r="G47" s="294" t="str">
        <f>IF($A47&lt;&gt;"",IF(INDEX(BDHKI,MATCH($A47,DiemHKI!$B$4:$B$58,0),INDEX($AD$9:$AF$22,MATCH(G$7,$AD$9:$AD$22,0),2))&lt;&gt;"",INDEX(BDHKI,MATCH($A47,DiemHKI!$B$4:$B$58,0),INDEX($AD$9:$AF$22,MATCH(G$7,$AD$9:$AD$22,0),3)),""),"")</f>
        <v/>
      </c>
      <c r="H47" s="295" t="str">
        <f>IF($A47&lt;&gt;"",IF(INDEX(BDHKI,MATCH($A47,DiemHKI!$B$4:$B$58,0),INDEX($AD$9:$AF$22,MATCH(H$7,$AD$9:$AD$22,0),2))&lt;&gt;"",INDEX(BDHKI,MATCH($A47,DiemHKI!$B$4:$B$58,0),INDEX($AD$9:$AF$22,MATCH(H$7,$AD$9:$AD$22,0),3)),""),"")</f>
        <v/>
      </c>
      <c r="I47" s="295" t="str">
        <f>IF($A47&lt;&gt;"",IF(INDEX(BDHKI,MATCH($A47,DiemHKI!$B$4:$B$58,0),INDEX($AD$9:$AF$22,MATCH(I$7,$AD$9:$AD$22,0),2))&lt;&gt;"",INDEX(BDHKI,MATCH($A47,DiemHKI!$B$4:$B$58,0),INDEX($AD$9:$AF$22,MATCH(I$7,$AD$9:$AD$22,0),3)),""),"")</f>
        <v/>
      </c>
      <c r="J47" s="295" t="str">
        <f>IF($A47&lt;&gt;"",IF(INDEX(BDHKI,MATCH($A47,DiemHKI!$B$4:$B$58,0),INDEX($AD$9:$AF$22,MATCH(J$7,$AD$9:$AD$22,0),2))&lt;&gt;"",INDEX(BDHKI,MATCH($A47,DiemHKI!$B$4:$B$58,0),INDEX($AD$9:$AF$22,MATCH(J$7,$AD$9:$AD$22,0),3)),""),"")</f>
        <v/>
      </c>
      <c r="K47" s="295" t="str">
        <f>IF($A47&lt;&gt;"",IF(INDEX(BDHKI,MATCH($A47,DiemHKI!$B$4:$B$58,0),INDEX($AD$9:$AF$22,MATCH(K$7,$AD$9:$AD$22,0),2))&lt;&gt;"",INDEX(BDHKI,MATCH($A47,DiemHKI!$B$4:$B$58,0),INDEX($AD$9:$AF$22,MATCH(K$7,$AD$9:$AD$22,0),3)),""),"")</f>
        <v/>
      </c>
      <c r="L47" s="295" t="str">
        <f>IF($A47&lt;&gt;"",IF(INDEX(BDHKI,MATCH($A47,DiemHKI!$B$4:$B$58,0),INDEX($AD$9:$AF$22,MATCH(L$7,$AD$9:$AD$22,0),2))&lt;&gt;"",INDEX(BDHKI,MATCH($A47,DiemHKI!$B$4:$B$58,0),INDEX($AD$9:$AF$22,MATCH(L$7,$AD$9:$AD$22,0),3)),""),"")</f>
        <v/>
      </c>
      <c r="M47" s="295" t="str">
        <f>IF($A47&lt;&gt;"",IF(INDEX(BDHKI,MATCH($A47,DiemHKI!$B$4:$B$58,0),INDEX($AD$9:$AF$22,MATCH(M$7,$AD$9:$AD$22,0),2))&lt;&gt;"",INDEX(BDHKI,MATCH($A47,DiemHKI!$B$4:$B$58,0),INDEX($AD$9:$AF$22,MATCH(M$7,$AD$9:$AD$22,0),3)),""),"")</f>
        <v/>
      </c>
      <c r="N47" s="295" t="str">
        <f>IF($A47&lt;&gt;"",IF(INDEX(BDHKI,MATCH($A47,DiemHKI!$B$4:$B$58,0),INDEX($AD$9:$AF$22,MATCH(N$7,$AD$9:$AD$22,0),2))&lt;&gt;"",INDEX(BDHKI,MATCH($A47,DiemHKI!$B$4:$B$58,0),INDEX($AD$9:$AF$22,MATCH(N$7,$AD$9:$AD$22,0),3)),""),"")</f>
        <v/>
      </c>
      <c r="O47" s="295" t="str">
        <f>IF($A47&lt;&gt;"",IF(INDEX(BDHKI,MATCH($A47,DiemHKI!$B$4:$B$58,0),INDEX($AD$9:$AF$22,MATCH(O$7,$AD$9:$AD$22,0),2))&lt;&gt;"",INDEX(BDHKI,MATCH($A47,DiemHKI!$B$4:$B$58,0),INDEX($AD$9:$AF$22,MATCH(O$7,$AD$9:$AD$22,0),3)),""),"")</f>
        <v/>
      </c>
      <c r="P47" s="295" t="str">
        <f>IF($A47&lt;&gt;"",IF(INDEX(BDHKI,MATCH($A47,DiemHKI!$B$4:$B$58,0),INDEX($AD$9:$AF$22,MATCH(P$7,$AD$9:$AD$22,0),2))&lt;&gt;"",INDEX(BDHKI,MATCH($A47,DiemHKI!$B$4:$B$58,0),INDEX($AD$9:$AF$22,MATCH(P$7,$AD$9:$AD$22,0),3)),""),"")</f>
        <v/>
      </c>
      <c r="Q47" s="295" t="str">
        <f>IF($A47&lt;&gt;"",IF(INDEX(BDHKI,MATCH($A47,DiemHKI!$B$4:$B$58,0),INDEX($AD$9:$AF$22,MATCH(Q$7,$AD$9:$AD$22,0),2))&lt;&gt;"",INDEX(BDHKI,MATCH($A47,DiemHKI!$B$4:$B$58,0),INDEX($AD$9:$AF$22,MATCH(Q$7,$AD$9:$AD$22,0),3)),""),"")</f>
        <v/>
      </c>
      <c r="R47" s="296" t="str">
        <f>IF($A47&lt;&gt;"",IF(INDEX(BDHKI,MATCH($A47,DiemHKI!$B$4:$B$58,0),INDEX($AD$9:$AF$22,MATCH(R$7,$AD$9:$AD$22,0),2))&lt;&gt;"",INDEX(BDHKI,MATCH($A47,DiemHKI!$B$4:$B$58,0),INDEX($AD$9:$AF$22,MATCH(R$7,$AD$9:$AD$22,0),3)),""),"")</f>
        <v/>
      </c>
      <c r="S47" s="296" t="str">
        <f t="shared" si="7"/>
        <v/>
      </c>
      <c r="T47" s="295" t="str">
        <f>IF($A47&lt;&gt;"",IF(INDEX(BDHKI,MATCH($A47,DiemHKI!$B$4:$B$58,0),INDEX($AD$9:$AF$22,MATCH(T$7,$AD$9:$AD$22,0),2))&lt;&gt;"",INDEX(BDHKI,MATCH($A47,DiemHKI!$B$4:$B$58,0),INDEX($AD$9:$AF$22,MATCH(T$7,$AD$9:$AD$22,0),3)),""),"")</f>
        <v/>
      </c>
      <c r="U47" s="297" t="str">
        <f>IF($A47&lt;&gt;"",IF(INDEX(BDHKI,MATCH($A47,DiemHKI!$B$4:$B$58,0),INDEX($AD$9:$AF$22,MATCH(U$7,$AD$9:$AD$22,0),2))&lt;&gt;"",INDEX(BDHKI,MATCH($A47,DiemHKI!$B$4:$B$58,0),INDEX($AD$9:$AF$22,MATCH(U$7,$AD$9:$AD$22,0),3)),""),"")</f>
        <v/>
      </c>
      <c r="V47" s="298" t="str">
        <f t="shared" si="8"/>
        <v/>
      </c>
      <c r="W47" s="296" t="str">
        <f t="shared" si="9"/>
        <v/>
      </c>
      <c r="X47" s="354"/>
      <c r="Y47" s="299" t="str">
        <f t="shared" si="10"/>
        <v/>
      </c>
      <c r="AA47" s="644" t="str">
        <f t="shared" si="4"/>
        <v/>
      </c>
      <c r="AB47" s="1"/>
      <c r="AG47" s="268" t="str">
        <f>IF($A47&lt;&gt;"",INDEX(DiemHKI!$DI$4:$DI$58,MATCH($A47,DiemHKI!$B$4:$B$58,0),1),"")</f>
        <v/>
      </c>
      <c r="AH47" s="674" t="str">
        <f t="shared" si="5"/>
        <v/>
      </c>
      <c r="AI47" s="672" t="str">
        <f t="shared" ca="1" si="6"/>
        <v/>
      </c>
    </row>
    <row r="48" spans="1:35" s="268" customFormat="1" ht="29.1" hidden="1" customHeight="1">
      <c r="A48" s="274" t="str">
        <f>IF(A47&lt;MAX(DiemHKI!$B$4:$B$58),A47+1,"")</f>
        <v/>
      </c>
      <c r="B48" s="17" t="str">
        <f>IF($A48&lt;&gt;"",PROPER(INDEX(DiemHKI!$B$4:$CP$58,MATCH($A48,DiemHKI!$B$4:$B$58,0),3)),"")</f>
        <v/>
      </c>
      <c r="C48" s="18" t="str">
        <f>IF($A48&lt;&gt;"",PROPER(INDEX(DiemHKI!$B$4:$CP$58,MATCH($A48,DiemHKI!$B$4:$B$58,0),4)),"")</f>
        <v/>
      </c>
      <c r="D48" s="277" t="str">
        <f>IF($A48&lt;&gt;"",IF(INDEX(DiemHKI!$B$4:$CP$58,MATCH($A48,DiemHKI!$B$4:$B$58,0),7)&lt;&gt;"",INDEX(DiemHKI!$B$4:$CP$58,MATCH($A48,DiemHKI!$B$4:$B$58,0),7),""),"")</f>
        <v/>
      </c>
      <c r="E48" s="277" t="str">
        <f>IF($A48&lt;&gt;"",IF(INDEX(DiemHKI!$B$4:$CP$58,MATCH($A48,DiemHKI!$B$4:$B$58,0),8)&lt;&gt;"",INDEX(DiemHKI!$B$4:$CP$58,MATCH($A48,DiemHKI!$B$4:$B$58,0),8),""),"")</f>
        <v/>
      </c>
      <c r="F48" s="277" t="str">
        <f>IF($A48&lt;&gt;"",IF(INDEX(DiemHKI!$B$4:$CP$58,MATCH($A48,DiemHKI!$B$4:$B$58,0),9)&lt;&gt;"",INDEX(DiemHKI!$B$4:$CP$58,MATCH($A48,DiemHKI!$B$4:$B$58,0),9),""),"")</f>
        <v/>
      </c>
      <c r="G48" s="300" t="str">
        <f>IF($A48&lt;&gt;"",IF(INDEX(BDHKI,MATCH($A48,DiemHKI!$B$4:$B$58,0),INDEX($AD$9:$AF$22,MATCH(G$7,$AD$9:$AD$22,0),2))&lt;&gt;"",INDEX(BDHKI,MATCH($A48,DiemHKI!$B$4:$B$58,0),INDEX($AD$9:$AF$22,MATCH(G$7,$AD$9:$AD$22,0),3)),""),"")</f>
        <v/>
      </c>
      <c r="H48" s="301" t="str">
        <f>IF($A48&lt;&gt;"",IF(INDEX(BDHKI,MATCH($A48,DiemHKI!$B$4:$B$58,0),INDEX($AD$9:$AF$22,MATCH(H$7,$AD$9:$AD$22,0),2))&lt;&gt;"",INDEX(BDHKI,MATCH($A48,DiemHKI!$B$4:$B$58,0),INDEX($AD$9:$AF$22,MATCH(H$7,$AD$9:$AD$22,0),3)),""),"")</f>
        <v/>
      </c>
      <c r="I48" s="301" t="str">
        <f>IF($A48&lt;&gt;"",IF(INDEX(BDHKI,MATCH($A48,DiemHKI!$B$4:$B$58,0),INDEX($AD$9:$AF$22,MATCH(I$7,$AD$9:$AD$22,0),2))&lt;&gt;"",INDEX(BDHKI,MATCH($A48,DiemHKI!$B$4:$B$58,0),INDEX($AD$9:$AF$22,MATCH(I$7,$AD$9:$AD$22,0),3)),""),"")</f>
        <v/>
      </c>
      <c r="J48" s="301" t="str">
        <f>IF($A48&lt;&gt;"",IF(INDEX(BDHKI,MATCH($A48,DiemHKI!$B$4:$B$58,0),INDEX($AD$9:$AF$22,MATCH(J$7,$AD$9:$AD$22,0),2))&lt;&gt;"",INDEX(BDHKI,MATCH($A48,DiemHKI!$B$4:$B$58,0),INDEX($AD$9:$AF$22,MATCH(J$7,$AD$9:$AD$22,0),3)),""),"")</f>
        <v/>
      </c>
      <c r="K48" s="301" t="str">
        <f>IF($A48&lt;&gt;"",IF(INDEX(BDHKI,MATCH($A48,DiemHKI!$B$4:$B$58,0),INDEX($AD$9:$AF$22,MATCH(K$7,$AD$9:$AD$22,0),2))&lt;&gt;"",INDEX(BDHKI,MATCH($A48,DiemHKI!$B$4:$B$58,0),INDEX($AD$9:$AF$22,MATCH(K$7,$AD$9:$AD$22,0),3)),""),"")</f>
        <v/>
      </c>
      <c r="L48" s="301" t="str">
        <f>IF($A48&lt;&gt;"",IF(INDEX(BDHKI,MATCH($A48,DiemHKI!$B$4:$B$58,0),INDEX($AD$9:$AF$22,MATCH(L$7,$AD$9:$AD$22,0),2))&lt;&gt;"",INDEX(BDHKI,MATCH($A48,DiemHKI!$B$4:$B$58,0),INDEX($AD$9:$AF$22,MATCH(L$7,$AD$9:$AD$22,0),3)),""),"")</f>
        <v/>
      </c>
      <c r="M48" s="301" t="str">
        <f>IF($A48&lt;&gt;"",IF(INDEX(BDHKI,MATCH($A48,DiemHKI!$B$4:$B$58,0),INDEX($AD$9:$AF$22,MATCH(M$7,$AD$9:$AD$22,0),2))&lt;&gt;"",INDEX(BDHKI,MATCH($A48,DiemHKI!$B$4:$B$58,0),INDEX($AD$9:$AF$22,MATCH(M$7,$AD$9:$AD$22,0),3)),""),"")</f>
        <v/>
      </c>
      <c r="N48" s="301" t="str">
        <f>IF($A48&lt;&gt;"",IF(INDEX(BDHKI,MATCH($A48,DiemHKI!$B$4:$B$58,0),INDEX($AD$9:$AF$22,MATCH(N$7,$AD$9:$AD$22,0),2))&lt;&gt;"",INDEX(BDHKI,MATCH($A48,DiemHKI!$B$4:$B$58,0),INDEX($AD$9:$AF$22,MATCH(N$7,$AD$9:$AD$22,0),3)),""),"")</f>
        <v/>
      </c>
      <c r="O48" s="301" t="str">
        <f>IF($A48&lt;&gt;"",IF(INDEX(BDHKI,MATCH($A48,DiemHKI!$B$4:$B$58,0),INDEX($AD$9:$AF$22,MATCH(O$7,$AD$9:$AD$22,0),2))&lt;&gt;"",INDEX(BDHKI,MATCH($A48,DiemHKI!$B$4:$B$58,0),INDEX($AD$9:$AF$22,MATCH(O$7,$AD$9:$AD$22,0),3)),""),"")</f>
        <v/>
      </c>
      <c r="P48" s="301" t="str">
        <f>IF($A48&lt;&gt;"",IF(INDEX(BDHKI,MATCH($A48,DiemHKI!$B$4:$B$58,0),INDEX($AD$9:$AF$22,MATCH(P$7,$AD$9:$AD$22,0),2))&lt;&gt;"",INDEX(BDHKI,MATCH($A48,DiemHKI!$B$4:$B$58,0),INDEX($AD$9:$AF$22,MATCH(P$7,$AD$9:$AD$22,0),3)),""),"")</f>
        <v/>
      </c>
      <c r="Q48" s="301" t="str">
        <f>IF($A48&lt;&gt;"",IF(INDEX(BDHKI,MATCH($A48,DiemHKI!$B$4:$B$58,0),INDEX($AD$9:$AF$22,MATCH(Q$7,$AD$9:$AD$22,0),2))&lt;&gt;"",INDEX(BDHKI,MATCH($A48,DiemHKI!$B$4:$B$58,0),INDEX($AD$9:$AF$22,MATCH(Q$7,$AD$9:$AD$22,0),3)),""),"")</f>
        <v/>
      </c>
      <c r="R48" s="279" t="str">
        <f>IF($A48&lt;&gt;"",IF(INDEX(BDHKI,MATCH($A48,DiemHKI!$B$4:$B$58,0),INDEX($AD$9:$AF$22,MATCH(R$7,$AD$9:$AD$22,0),2))&lt;&gt;"",INDEX(BDHKI,MATCH($A48,DiemHKI!$B$4:$B$58,0),INDEX($AD$9:$AF$22,MATCH(R$7,$AD$9:$AD$22,0),3)),""),"")</f>
        <v/>
      </c>
      <c r="S48" s="279" t="str">
        <f t="shared" si="7"/>
        <v/>
      </c>
      <c r="T48" s="301" t="str">
        <f>IF($A48&lt;&gt;"",IF(INDEX(BDHKI,MATCH($A48,DiemHKI!$B$4:$B$58,0),INDEX($AD$9:$AF$22,MATCH(T$7,$AD$9:$AD$22,0),2))&lt;&gt;"",INDEX(BDHKI,MATCH($A48,DiemHKI!$B$4:$B$58,0),INDEX($AD$9:$AF$22,MATCH(T$7,$AD$9:$AD$22,0),3)),""),"")</f>
        <v/>
      </c>
      <c r="U48" s="302" t="str">
        <f>IF($A48&lt;&gt;"",IF(INDEX(BDHKI,MATCH($A48,DiemHKI!$B$4:$B$58,0),INDEX($AD$9:$AF$22,MATCH(U$7,$AD$9:$AD$22,0),2))&lt;&gt;"",INDEX(BDHKI,MATCH($A48,DiemHKI!$B$4:$B$58,0),INDEX($AD$9:$AF$22,MATCH(U$7,$AD$9:$AD$22,0),3)),""),"")</f>
        <v/>
      </c>
      <c r="V48" s="278" t="str">
        <f t="shared" si="8"/>
        <v/>
      </c>
      <c r="W48" s="279" t="str">
        <f t="shared" si="9"/>
        <v/>
      </c>
      <c r="X48" s="352"/>
      <c r="Y48" s="280" t="str">
        <f t="shared" si="10"/>
        <v/>
      </c>
      <c r="AA48" s="644" t="str">
        <f t="shared" si="4"/>
        <v/>
      </c>
      <c r="AB48" s="1"/>
      <c r="AG48" s="268" t="str">
        <f>IF($A48&lt;&gt;"",INDEX(DiemHKI!$DI$4:$DI$58,MATCH($A48,DiemHKI!$B$4:$B$58,0),1),"")</f>
        <v/>
      </c>
      <c r="AH48" s="674" t="str">
        <f t="shared" si="5"/>
        <v/>
      </c>
      <c r="AI48" s="672" t="str">
        <f t="shared" ca="1" si="6"/>
        <v/>
      </c>
    </row>
    <row r="49" spans="1:35" s="268" customFormat="1" ht="29.1" hidden="1" customHeight="1">
      <c r="A49" s="281" t="str">
        <f>IF(A48&lt;MAX(DiemHKI!$B$4:$B$58),A48+1,"")</f>
        <v/>
      </c>
      <c r="B49" s="32" t="str">
        <f>IF($A49&lt;&gt;"",PROPER(INDEX(DiemHKI!$B$4:$CP$58,MATCH($A49,DiemHKI!$B$4:$B$58,0),3)),"")</f>
        <v/>
      </c>
      <c r="C49" s="33" t="str">
        <f>IF($A49&lt;&gt;"",PROPER(INDEX(DiemHKI!$B$4:$CP$58,MATCH($A49,DiemHKI!$B$4:$B$58,0),4)),"")</f>
        <v/>
      </c>
      <c r="D49" s="284" t="str">
        <f>IF($A49&lt;&gt;"",IF(INDEX(DiemHKI!$B$4:$CP$58,MATCH($A49,DiemHKI!$B$4:$B$58,0),7)&lt;&gt;"",INDEX(DiemHKI!$B$4:$CP$58,MATCH($A49,DiemHKI!$B$4:$B$58,0),7),""),"")</f>
        <v/>
      </c>
      <c r="E49" s="284" t="str">
        <f>IF($A49&lt;&gt;"",IF(INDEX(DiemHKI!$B$4:$CP$58,MATCH($A49,DiemHKI!$B$4:$B$58,0),8)&lt;&gt;"",INDEX(DiemHKI!$B$4:$CP$58,MATCH($A49,DiemHKI!$B$4:$B$58,0),8),""),"")</f>
        <v/>
      </c>
      <c r="F49" s="284" t="str">
        <f>IF($A49&lt;&gt;"",IF(INDEX(DiemHKI!$B$4:$CP$58,MATCH($A49,DiemHKI!$B$4:$B$58,0),9)&lt;&gt;"",INDEX(DiemHKI!$B$4:$CP$58,MATCH($A49,DiemHKI!$B$4:$B$58,0),9),""),"")</f>
        <v/>
      </c>
      <c r="G49" s="285" t="str">
        <f>IF($A49&lt;&gt;"",IF(INDEX(BDHKI,MATCH($A49,DiemHKI!$B$4:$B$58,0),INDEX($AD$9:$AF$22,MATCH(G$7,$AD$9:$AD$22,0),2))&lt;&gt;"",INDEX(BDHKI,MATCH($A49,DiemHKI!$B$4:$B$58,0),INDEX($AD$9:$AF$22,MATCH(G$7,$AD$9:$AD$22,0),3)),""),"")</f>
        <v/>
      </c>
      <c r="H49" s="286" t="str">
        <f>IF($A49&lt;&gt;"",IF(INDEX(BDHKI,MATCH($A49,DiemHKI!$B$4:$B$58,0),INDEX($AD$9:$AF$22,MATCH(H$7,$AD$9:$AD$22,0),2))&lt;&gt;"",INDEX(BDHKI,MATCH($A49,DiemHKI!$B$4:$B$58,0),INDEX($AD$9:$AF$22,MATCH(H$7,$AD$9:$AD$22,0),3)),""),"")</f>
        <v/>
      </c>
      <c r="I49" s="286" t="str">
        <f>IF($A49&lt;&gt;"",IF(INDEX(BDHKI,MATCH($A49,DiemHKI!$B$4:$B$58,0),INDEX($AD$9:$AF$22,MATCH(I$7,$AD$9:$AD$22,0),2))&lt;&gt;"",INDEX(BDHKI,MATCH($A49,DiemHKI!$B$4:$B$58,0),INDEX($AD$9:$AF$22,MATCH(I$7,$AD$9:$AD$22,0),3)),""),"")</f>
        <v/>
      </c>
      <c r="J49" s="286" t="str">
        <f>IF($A49&lt;&gt;"",IF(INDEX(BDHKI,MATCH($A49,DiemHKI!$B$4:$B$58,0),INDEX($AD$9:$AF$22,MATCH(J$7,$AD$9:$AD$22,0),2))&lt;&gt;"",INDEX(BDHKI,MATCH($A49,DiemHKI!$B$4:$B$58,0),INDEX($AD$9:$AF$22,MATCH(J$7,$AD$9:$AD$22,0),3)),""),"")</f>
        <v/>
      </c>
      <c r="K49" s="286" t="str">
        <f>IF($A49&lt;&gt;"",IF(INDEX(BDHKI,MATCH($A49,DiemHKI!$B$4:$B$58,0),INDEX($AD$9:$AF$22,MATCH(K$7,$AD$9:$AD$22,0),2))&lt;&gt;"",INDEX(BDHKI,MATCH($A49,DiemHKI!$B$4:$B$58,0),INDEX($AD$9:$AF$22,MATCH(K$7,$AD$9:$AD$22,0),3)),""),"")</f>
        <v/>
      </c>
      <c r="L49" s="286" t="str">
        <f>IF($A49&lt;&gt;"",IF(INDEX(BDHKI,MATCH($A49,DiemHKI!$B$4:$B$58,0),INDEX($AD$9:$AF$22,MATCH(L$7,$AD$9:$AD$22,0),2))&lt;&gt;"",INDEX(BDHKI,MATCH($A49,DiemHKI!$B$4:$B$58,0),INDEX($AD$9:$AF$22,MATCH(L$7,$AD$9:$AD$22,0),3)),""),"")</f>
        <v/>
      </c>
      <c r="M49" s="286" t="str">
        <f>IF($A49&lt;&gt;"",IF(INDEX(BDHKI,MATCH($A49,DiemHKI!$B$4:$B$58,0),INDEX($AD$9:$AF$22,MATCH(M$7,$AD$9:$AD$22,0),2))&lt;&gt;"",INDEX(BDHKI,MATCH($A49,DiemHKI!$B$4:$B$58,0),INDEX($AD$9:$AF$22,MATCH(M$7,$AD$9:$AD$22,0),3)),""),"")</f>
        <v/>
      </c>
      <c r="N49" s="286" t="str">
        <f>IF($A49&lt;&gt;"",IF(INDEX(BDHKI,MATCH($A49,DiemHKI!$B$4:$B$58,0),INDEX($AD$9:$AF$22,MATCH(N$7,$AD$9:$AD$22,0),2))&lt;&gt;"",INDEX(BDHKI,MATCH($A49,DiemHKI!$B$4:$B$58,0),INDEX($AD$9:$AF$22,MATCH(N$7,$AD$9:$AD$22,0),3)),""),"")</f>
        <v/>
      </c>
      <c r="O49" s="286" t="str">
        <f>IF($A49&lt;&gt;"",IF(INDEX(BDHKI,MATCH($A49,DiemHKI!$B$4:$B$58,0),INDEX($AD$9:$AF$22,MATCH(O$7,$AD$9:$AD$22,0),2))&lt;&gt;"",INDEX(BDHKI,MATCH($A49,DiemHKI!$B$4:$B$58,0),INDEX($AD$9:$AF$22,MATCH(O$7,$AD$9:$AD$22,0),3)),""),"")</f>
        <v/>
      </c>
      <c r="P49" s="286" t="str">
        <f>IF($A49&lt;&gt;"",IF(INDEX(BDHKI,MATCH($A49,DiemHKI!$B$4:$B$58,0),INDEX($AD$9:$AF$22,MATCH(P$7,$AD$9:$AD$22,0),2))&lt;&gt;"",INDEX(BDHKI,MATCH($A49,DiemHKI!$B$4:$B$58,0),INDEX($AD$9:$AF$22,MATCH(P$7,$AD$9:$AD$22,0),3)),""),"")</f>
        <v/>
      </c>
      <c r="Q49" s="286" t="str">
        <f>IF($A49&lt;&gt;"",IF(INDEX(BDHKI,MATCH($A49,DiemHKI!$B$4:$B$58,0),INDEX($AD$9:$AF$22,MATCH(Q$7,$AD$9:$AD$22,0),2))&lt;&gt;"",INDEX(BDHKI,MATCH($A49,DiemHKI!$B$4:$B$58,0),INDEX($AD$9:$AF$22,MATCH(Q$7,$AD$9:$AD$22,0),3)),""),"")</f>
        <v/>
      </c>
      <c r="R49" s="464" t="str">
        <f>IF($A49&lt;&gt;"",IF(INDEX(BDHKI,MATCH($A49,DiemHKI!$B$4:$B$58,0),INDEX($AD$9:$AF$22,MATCH(R$7,$AD$9:$AD$22,0),2))&lt;&gt;"",INDEX(BDHKI,MATCH($A49,DiemHKI!$B$4:$B$58,0),INDEX($AD$9:$AF$22,MATCH(R$7,$AD$9:$AD$22,0),3)),""),"")</f>
        <v/>
      </c>
      <c r="S49" s="464" t="str">
        <f t="shared" si="7"/>
        <v/>
      </c>
      <c r="T49" s="286" t="str">
        <f>IF($A49&lt;&gt;"",IF(INDEX(BDHKI,MATCH($A49,DiemHKI!$B$4:$B$58,0),INDEX($AD$9:$AF$22,MATCH(T$7,$AD$9:$AD$22,0),2))&lt;&gt;"",INDEX(BDHKI,MATCH($A49,DiemHKI!$B$4:$B$58,0),INDEX($AD$9:$AF$22,MATCH(T$7,$AD$9:$AD$22,0),3)),""),"")</f>
        <v/>
      </c>
      <c r="U49" s="287" t="str">
        <f>IF($A49&lt;&gt;"",IF(INDEX(BDHKI,MATCH($A49,DiemHKI!$B$4:$B$58,0),INDEX($AD$9:$AF$22,MATCH(U$7,$AD$9:$AD$22,0),2))&lt;&gt;"",INDEX(BDHKI,MATCH($A49,DiemHKI!$B$4:$B$58,0),INDEX($AD$9:$AF$22,MATCH(U$7,$AD$9:$AD$22,0),3)),""),"")</f>
        <v/>
      </c>
      <c r="V49" s="288" t="str">
        <f t="shared" si="8"/>
        <v/>
      </c>
      <c r="W49" s="464" t="str">
        <f t="shared" si="9"/>
        <v/>
      </c>
      <c r="X49" s="353"/>
      <c r="Y49" s="289" t="str">
        <f t="shared" si="10"/>
        <v/>
      </c>
      <c r="AA49" s="644" t="str">
        <f t="shared" si="4"/>
        <v/>
      </c>
      <c r="AB49" s="1"/>
      <c r="AG49" s="268" t="str">
        <f>IF($A49&lt;&gt;"",INDEX(DiemHKI!$DI$4:$DI$58,MATCH($A49,DiemHKI!$B$4:$B$58,0),1),"")</f>
        <v/>
      </c>
      <c r="AH49" s="674" t="str">
        <f t="shared" si="5"/>
        <v/>
      </c>
      <c r="AI49" s="672" t="str">
        <f t="shared" ca="1" si="6"/>
        <v/>
      </c>
    </row>
    <row r="50" spans="1:35" s="268" customFormat="1" ht="29.1" hidden="1" customHeight="1">
      <c r="A50" s="281" t="str">
        <f>IF(A49&lt;MAX(DiemHKI!$B$4:$B$58),A49+1,"")</f>
        <v/>
      </c>
      <c r="B50" s="32" t="str">
        <f>IF($A50&lt;&gt;"",PROPER(INDEX(DiemHKI!$B$4:$CP$58,MATCH($A50,DiemHKI!$B$4:$B$58,0),3)),"")</f>
        <v/>
      </c>
      <c r="C50" s="33" t="str">
        <f>IF($A50&lt;&gt;"",PROPER(INDEX(DiemHKI!$B$4:$CP$58,MATCH($A50,DiemHKI!$B$4:$B$58,0),4)),"")</f>
        <v/>
      </c>
      <c r="D50" s="284" t="str">
        <f>IF($A50&lt;&gt;"",IF(INDEX(DiemHKI!$B$4:$CP$58,MATCH($A50,DiemHKI!$B$4:$B$58,0),7)&lt;&gt;"",INDEX(DiemHKI!$B$4:$CP$58,MATCH($A50,DiemHKI!$B$4:$B$58,0),7),""),"")</f>
        <v/>
      </c>
      <c r="E50" s="284" t="str">
        <f>IF($A50&lt;&gt;"",IF(INDEX(DiemHKI!$B$4:$CP$58,MATCH($A50,DiemHKI!$B$4:$B$58,0),8)&lt;&gt;"",INDEX(DiemHKI!$B$4:$CP$58,MATCH($A50,DiemHKI!$B$4:$B$58,0),8),""),"")</f>
        <v/>
      </c>
      <c r="F50" s="284" t="str">
        <f>IF($A50&lt;&gt;"",IF(INDEX(DiemHKI!$B$4:$CP$58,MATCH($A50,DiemHKI!$B$4:$B$58,0),9)&lt;&gt;"",INDEX(DiemHKI!$B$4:$CP$58,MATCH($A50,DiemHKI!$B$4:$B$58,0),9),""),"")</f>
        <v/>
      </c>
      <c r="G50" s="285" t="str">
        <f>IF($A50&lt;&gt;"",IF(INDEX(BDHKI,MATCH($A50,DiemHKI!$B$4:$B$58,0),INDEX($AD$9:$AF$22,MATCH(G$7,$AD$9:$AD$22,0),2))&lt;&gt;"",INDEX(BDHKI,MATCH($A50,DiemHKI!$B$4:$B$58,0),INDEX($AD$9:$AF$22,MATCH(G$7,$AD$9:$AD$22,0),3)),""),"")</f>
        <v/>
      </c>
      <c r="H50" s="286" t="str">
        <f>IF($A50&lt;&gt;"",IF(INDEX(BDHKI,MATCH($A50,DiemHKI!$B$4:$B$58,0),INDEX($AD$9:$AF$22,MATCH(H$7,$AD$9:$AD$22,0),2))&lt;&gt;"",INDEX(BDHKI,MATCH($A50,DiemHKI!$B$4:$B$58,0),INDEX($AD$9:$AF$22,MATCH(H$7,$AD$9:$AD$22,0),3)),""),"")</f>
        <v/>
      </c>
      <c r="I50" s="286" t="str">
        <f>IF($A50&lt;&gt;"",IF(INDEX(BDHKI,MATCH($A50,DiemHKI!$B$4:$B$58,0),INDEX($AD$9:$AF$22,MATCH(I$7,$AD$9:$AD$22,0),2))&lt;&gt;"",INDEX(BDHKI,MATCH($A50,DiemHKI!$B$4:$B$58,0),INDEX($AD$9:$AF$22,MATCH(I$7,$AD$9:$AD$22,0),3)),""),"")</f>
        <v/>
      </c>
      <c r="J50" s="286" t="str">
        <f>IF($A50&lt;&gt;"",IF(INDEX(BDHKI,MATCH($A50,DiemHKI!$B$4:$B$58,0),INDEX($AD$9:$AF$22,MATCH(J$7,$AD$9:$AD$22,0),2))&lt;&gt;"",INDEX(BDHKI,MATCH($A50,DiemHKI!$B$4:$B$58,0),INDEX($AD$9:$AF$22,MATCH(J$7,$AD$9:$AD$22,0),3)),""),"")</f>
        <v/>
      </c>
      <c r="K50" s="286" t="str">
        <f>IF($A50&lt;&gt;"",IF(INDEX(BDHKI,MATCH($A50,DiemHKI!$B$4:$B$58,0),INDEX($AD$9:$AF$22,MATCH(K$7,$AD$9:$AD$22,0),2))&lt;&gt;"",INDEX(BDHKI,MATCH($A50,DiemHKI!$B$4:$B$58,0),INDEX($AD$9:$AF$22,MATCH(K$7,$AD$9:$AD$22,0),3)),""),"")</f>
        <v/>
      </c>
      <c r="L50" s="286" t="str">
        <f>IF($A50&lt;&gt;"",IF(INDEX(BDHKI,MATCH($A50,DiemHKI!$B$4:$B$58,0),INDEX($AD$9:$AF$22,MATCH(L$7,$AD$9:$AD$22,0),2))&lt;&gt;"",INDEX(BDHKI,MATCH($A50,DiemHKI!$B$4:$B$58,0),INDEX($AD$9:$AF$22,MATCH(L$7,$AD$9:$AD$22,0),3)),""),"")</f>
        <v/>
      </c>
      <c r="M50" s="286" t="str">
        <f>IF($A50&lt;&gt;"",IF(INDEX(BDHKI,MATCH($A50,DiemHKI!$B$4:$B$58,0),INDEX($AD$9:$AF$22,MATCH(M$7,$AD$9:$AD$22,0),2))&lt;&gt;"",INDEX(BDHKI,MATCH($A50,DiemHKI!$B$4:$B$58,0),INDEX($AD$9:$AF$22,MATCH(M$7,$AD$9:$AD$22,0),3)),""),"")</f>
        <v/>
      </c>
      <c r="N50" s="286" t="str">
        <f>IF($A50&lt;&gt;"",IF(INDEX(BDHKI,MATCH($A50,DiemHKI!$B$4:$B$58,0),INDEX($AD$9:$AF$22,MATCH(N$7,$AD$9:$AD$22,0),2))&lt;&gt;"",INDEX(BDHKI,MATCH($A50,DiemHKI!$B$4:$B$58,0),INDEX($AD$9:$AF$22,MATCH(N$7,$AD$9:$AD$22,0),3)),""),"")</f>
        <v/>
      </c>
      <c r="O50" s="286" t="str">
        <f>IF($A50&lt;&gt;"",IF(INDEX(BDHKI,MATCH($A50,DiemHKI!$B$4:$B$58,0),INDEX($AD$9:$AF$22,MATCH(O$7,$AD$9:$AD$22,0),2))&lt;&gt;"",INDEX(BDHKI,MATCH($A50,DiemHKI!$B$4:$B$58,0),INDEX($AD$9:$AF$22,MATCH(O$7,$AD$9:$AD$22,0),3)),""),"")</f>
        <v/>
      </c>
      <c r="P50" s="286" t="str">
        <f>IF($A50&lt;&gt;"",IF(INDEX(BDHKI,MATCH($A50,DiemHKI!$B$4:$B$58,0),INDEX($AD$9:$AF$22,MATCH(P$7,$AD$9:$AD$22,0),2))&lt;&gt;"",INDEX(BDHKI,MATCH($A50,DiemHKI!$B$4:$B$58,0),INDEX($AD$9:$AF$22,MATCH(P$7,$AD$9:$AD$22,0),3)),""),"")</f>
        <v/>
      </c>
      <c r="Q50" s="286" t="str">
        <f>IF($A50&lt;&gt;"",IF(INDEX(BDHKI,MATCH($A50,DiemHKI!$B$4:$B$58,0),INDEX($AD$9:$AF$22,MATCH(Q$7,$AD$9:$AD$22,0),2))&lt;&gt;"",INDEX(BDHKI,MATCH($A50,DiemHKI!$B$4:$B$58,0),INDEX($AD$9:$AF$22,MATCH(Q$7,$AD$9:$AD$22,0),3)),""),"")</f>
        <v/>
      </c>
      <c r="R50" s="464" t="str">
        <f>IF($A50&lt;&gt;"",IF(INDEX(BDHKI,MATCH($A50,DiemHKI!$B$4:$B$58,0),INDEX($AD$9:$AF$22,MATCH(R$7,$AD$9:$AD$22,0),2))&lt;&gt;"",INDEX(BDHKI,MATCH($A50,DiemHKI!$B$4:$B$58,0),INDEX($AD$9:$AF$22,MATCH(R$7,$AD$9:$AD$22,0),3)),""),"")</f>
        <v/>
      </c>
      <c r="S50" s="464" t="str">
        <f t="shared" si="7"/>
        <v/>
      </c>
      <c r="T50" s="286" t="str">
        <f>IF($A50&lt;&gt;"",IF(INDEX(BDHKI,MATCH($A50,DiemHKI!$B$4:$B$58,0),INDEX($AD$9:$AF$22,MATCH(T$7,$AD$9:$AD$22,0),2))&lt;&gt;"",INDEX(BDHKI,MATCH($A50,DiemHKI!$B$4:$B$58,0),INDEX($AD$9:$AF$22,MATCH(T$7,$AD$9:$AD$22,0),3)),""),"")</f>
        <v/>
      </c>
      <c r="U50" s="287" t="str">
        <f>IF($A50&lt;&gt;"",IF(INDEX(BDHKI,MATCH($A50,DiemHKI!$B$4:$B$58,0),INDEX($AD$9:$AF$22,MATCH(U$7,$AD$9:$AD$22,0),2))&lt;&gt;"",INDEX(BDHKI,MATCH($A50,DiemHKI!$B$4:$B$58,0),INDEX($AD$9:$AF$22,MATCH(U$7,$AD$9:$AD$22,0),3)),""),"")</f>
        <v/>
      </c>
      <c r="V50" s="288" t="str">
        <f t="shared" si="8"/>
        <v/>
      </c>
      <c r="W50" s="464" t="str">
        <f t="shared" si="9"/>
        <v/>
      </c>
      <c r="X50" s="353"/>
      <c r="Y50" s="289" t="str">
        <f t="shared" si="10"/>
        <v/>
      </c>
      <c r="AA50" s="644" t="str">
        <f t="shared" si="4"/>
        <v/>
      </c>
      <c r="AB50" s="1"/>
      <c r="AG50" s="268" t="str">
        <f>IF($A50&lt;&gt;"",INDEX(DiemHKI!$DI$4:$DI$58,MATCH($A50,DiemHKI!$B$4:$B$58,0),1),"")</f>
        <v/>
      </c>
      <c r="AH50" s="674" t="str">
        <f t="shared" si="5"/>
        <v/>
      </c>
      <c r="AI50" s="672" t="str">
        <f t="shared" ca="1" si="6"/>
        <v/>
      </c>
    </row>
    <row r="51" spans="1:35" s="268" customFormat="1" ht="29.1" hidden="1" customHeight="1">
      <c r="A51" s="281" t="str">
        <f>IF(A50&lt;MAX(DiemHKI!$B$4:$B$58),A50+1,"")</f>
        <v/>
      </c>
      <c r="B51" s="32" t="str">
        <f>IF($A51&lt;&gt;"",PROPER(INDEX(DiemHKI!$B$4:$CP$58,MATCH($A51,DiemHKI!$B$4:$B$58,0),3)),"")</f>
        <v/>
      </c>
      <c r="C51" s="33" t="str">
        <f>IF($A51&lt;&gt;"",PROPER(INDEX(DiemHKI!$B$4:$CP$58,MATCH($A51,DiemHKI!$B$4:$B$58,0),4)),"")</f>
        <v/>
      </c>
      <c r="D51" s="284" t="str">
        <f>IF($A51&lt;&gt;"",IF(INDEX(DiemHKI!$B$4:$CP$58,MATCH($A51,DiemHKI!$B$4:$B$58,0),7)&lt;&gt;"",INDEX(DiemHKI!$B$4:$CP$58,MATCH($A51,DiemHKI!$B$4:$B$58,0),7),""),"")</f>
        <v/>
      </c>
      <c r="E51" s="284" t="str">
        <f>IF($A51&lt;&gt;"",IF(INDEX(DiemHKI!$B$4:$CP$58,MATCH($A51,DiemHKI!$B$4:$B$58,0),8)&lt;&gt;"",INDEX(DiemHKI!$B$4:$CP$58,MATCH($A51,DiemHKI!$B$4:$B$58,0),8),""),"")</f>
        <v/>
      </c>
      <c r="F51" s="284" t="str">
        <f>IF($A51&lt;&gt;"",IF(INDEX(DiemHKI!$B$4:$CP$58,MATCH($A51,DiemHKI!$B$4:$B$58,0),9)&lt;&gt;"",INDEX(DiemHKI!$B$4:$CP$58,MATCH($A51,DiemHKI!$B$4:$B$58,0),9),""),"")</f>
        <v/>
      </c>
      <c r="G51" s="285" t="str">
        <f>IF($A51&lt;&gt;"",IF(INDEX(BDHKI,MATCH($A51,DiemHKI!$B$4:$B$58,0),INDEX($AD$9:$AF$22,MATCH(G$7,$AD$9:$AD$22,0),2))&lt;&gt;"",INDEX(BDHKI,MATCH($A51,DiemHKI!$B$4:$B$58,0),INDEX($AD$9:$AF$22,MATCH(G$7,$AD$9:$AD$22,0),3)),""),"")</f>
        <v/>
      </c>
      <c r="H51" s="286" t="str">
        <f>IF($A51&lt;&gt;"",IF(INDEX(BDHKI,MATCH($A51,DiemHKI!$B$4:$B$58,0),INDEX($AD$9:$AF$22,MATCH(H$7,$AD$9:$AD$22,0),2))&lt;&gt;"",INDEX(BDHKI,MATCH($A51,DiemHKI!$B$4:$B$58,0),INDEX($AD$9:$AF$22,MATCH(H$7,$AD$9:$AD$22,0),3)),""),"")</f>
        <v/>
      </c>
      <c r="I51" s="286" t="str">
        <f>IF($A51&lt;&gt;"",IF(INDEX(BDHKI,MATCH($A51,DiemHKI!$B$4:$B$58,0),INDEX($AD$9:$AF$22,MATCH(I$7,$AD$9:$AD$22,0),2))&lt;&gt;"",INDEX(BDHKI,MATCH($A51,DiemHKI!$B$4:$B$58,0),INDEX($AD$9:$AF$22,MATCH(I$7,$AD$9:$AD$22,0),3)),""),"")</f>
        <v/>
      </c>
      <c r="J51" s="286" t="str">
        <f>IF($A51&lt;&gt;"",IF(INDEX(BDHKI,MATCH($A51,DiemHKI!$B$4:$B$58,0),INDEX($AD$9:$AF$22,MATCH(J$7,$AD$9:$AD$22,0),2))&lt;&gt;"",INDEX(BDHKI,MATCH($A51,DiemHKI!$B$4:$B$58,0),INDEX($AD$9:$AF$22,MATCH(J$7,$AD$9:$AD$22,0),3)),""),"")</f>
        <v/>
      </c>
      <c r="K51" s="286" t="str">
        <f>IF($A51&lt;&gt;"",IF(INDEX(BDHKI,MATCH($A51,DiemHKI!$B$4:$B$58,0),INDEX($AD$9:$AF$22,MATCH(K$7,$AD$9:$AD$22,0),2))&lt;&gt;"",INDEX(BDHKI,MATCH($A51,DiemHKI!$B$4:$B$58,0),INDEX($AD$9:$AF$22,MATCH(K$7,$AD$9:$AD$22,0),3)),""),"")</f>
        <v/>
      </c>
      <c r="L51" s="286" t="str">
        <f>IF($A51&lt;&gt;"",IF(INDEX(BDHKI,MATCH($A51,DiemHKI!$B$4:$B$58,0),INDEX($AD$9:$AF$22,MATCH(L$7,$AD$9:$AD$22,0),2))&lt;&gt;"",INDEX(BDHKI,MATCH($A51,DiemHKI!$B$4:$B$58,0),INDEX($AD$9:$AF$22,MATCH(L$7,$AD$9:$AD$22,0),3)),""),"")</f>
        <v/>
      </c>
      <c r="M51" s="286" t="str">
        <f>IF($A51&lt;&gt;"",IF(INDEX(BDHKI,MATCH($A51,DiemHKI!$B$4:$B$58,0),INDEX($AD$9:$AF$22,MATCH(M$7,$AD$9:$AD$22,0),2))&lt;&gt;"",INDEX(BDHKI,MATCH($A51,DiemHKI!$B$4:$B$58,0),INDEX($AD$9:$AF$22,MATCH(M$7,$AD$9:$AD$22,0),3)),""),"")</f>
        <v/>
      </c>
      <c r="N51" s="286" t="str">
        <f>IF($A51&lt;&gt;"",IF(INDEX(BDHKI,MATCH($A51,DiemHKI!$B$4:$B$58,0),INDEX($AD$9:$AF$22,MATCH(N$7,$AD$9:$AD$22,0),2))&lt;&gt;"",INDEX(BDHKI,MATCH($A51,DiemHKI!$B$4:$B$58,0),INDEX($AD$9:$AF$22,MATCH(N$7,$AD$9:$AD$22,0),3)),""),"")</f>
        <v/>
      </c>
      <c r="O51" s="286" t="str">
        <f>IF($A51&lt;&gt;"",IF(INDEX(BDHKI,MATCH($A51,DiemHKI!$B$4:$B$58,0),INDEX($AD$9:$AF$22,MATCH(O$7,$AD$9:$AD$22,0),2))&lt;&gt;"",INDEX(BDHKI,MATCH($A51,DiemHKI!$B$4:$B$58,0),INDEX($AD$9:$AF$22,MATCH(O$7,$AD$9:$AD$22,0),3)),""),"")</f>
        <v/>
      </c>
      <c r="P51" s="286" t="str">
        <f>IF($A51&lt;&gt;"",IF(INDEX(BDHKI,MATCH($A51,DiemHKI!$B$4:$B$58,0),INDEX($AD$9:$AF$22,MATCH(P$7,$AD$9:$AD$22,0),2))&lt;&gt;"",INDEX(BDHKI,MATCH($A51,DiemHKI!$B$4:$B$58,0),INDEX($AD$9:$AF$22,MATCH(P$7,$AD$9:$AD$22,0),3)),""),"")</f>
        <v/>
      </c>
      <c r="Q51" s="286" t="str">
        <f>IF($A51&lt;&gt;"",IF(INDEX(BDHKI,MATCH($A51,DiemHKI!$B$4:$B$58,0),INDEX($AD$9:$AF$22,MATCH(Q$7,$AD$9:$AD$22,0),2))&lt;&gt;"",INDEX(BDHKI,MATCH($A51,DiemHKI!$B$4:$B$58,0),INDEX($AD$9:$AF$22,MATCH(Q$7,$AD$9:$AD$22,0),3)),""),"")</f>
        <v/>
      </c>
      <c r="R51" s="464" t="str">
        <f>IF($A51&lt;&gt;"",IF(INDEX(BDHKI,MATCH($A51,DiemHKI!$B$4:$B$58,0),INDEX($AD$9:$AF$22,MATCH(R$7,$AD$9:$AD$22,0),2))&lt;&gt;"",INDEX(BDHKI,MATCH($A51,DiemHKI!$B$4:$B$58,0),INDEX($AD$9:$AF$22,MATCH(R$7,$AD$9:$AD$22,0),3)),""),"")</f>
        <v/>
      </c>
      <c r="S51" s="464" t="str">
        <f t="shared" si="7"/>
        <v/>
      </c>
      <c r="T51" s="286" t="str">
        <f>IF($A51&lt;&gt;"",IF(INDEX(BDHKI,MATCH($A51,DiemHKI!$B$4:$B$58,0),INDEX($AD$9:$AF$22,MATCH(T$7,$AD$9:$AD$22,0),2))&lt;&gt;"",INDEX(BDHKI,MATCH($A51,DiemHKI!$B$4:$B$58,0),INDEX($AD$9:$AF$22,MATCH(T$7,$AD$9:$AD$22,0),3)),""),"")</f>
        <v/>
      </c>
      <c r="U51" s="287" t="str">
        <f>IF($A51&lt;&gt;"",IF(INDEX(BDHKI,MATCH($A51,DiemHKI!$B$4:$B$58,0),INDEX($AD$9:$AF$22,MATCH(U$7,$AD$9:$AD$22,0),2))&lt;&gt;"",INDEX(BDHKI,MATCH($A51,DiemHKI!$B$4:$B$58,0),INDEX($AD$9:$AF$22,MATCH(U$7,$AD$9:$AD$22,0),3)),""),"")</f>
        <v/>
      </c>
      <c r="V51" s="288" t="str">
        <f t="shared" si="8"/>
        <v/>
      </c>
      <c r="W51" s="464" t="str">
        <f t="shared" si="9"/>
        <v/>
      </c>
      <c r="X51" s="353"/>
      <c r="Y51" s="289" t="str">
        <f t="shared" si="10"/>
        <v/>
      </c>
      <c r="AA51" s="644" t="str">
        <f t="shared" si="4"/>
        <v/>
      </c>
      <c r="AB51" s="1"/>
      <c r="AG51" s="268" t="str">
        <f>IF($A51&lt;&gt;"",INDEX(DiemHKI!$DI$4:$DI$58,MATCH($A51,DiemHKI!$B$4:$B$58,0),1),"")</f>
        <v/>
      </c>
      <c r="AH51" s="674" t="str">
        <f t="shared" si="5"/>
        <v/>
      </c>
      <c r="AI51" s="672" t="str">
        <f t="shared" ca="1" si="6"/>
        <v/>
      </c>
    </row>
    <row r="52" spans="1:35" s="268" customFormat="1" ht="29.1" hidden="1" customHeight="1" thickBot="1">
      <c r="A52" s="290" t="str">
        <f>IF(A51&lt;MAX(DiemHKI!$B$4:$B$58),A51+1,"")</f>
        <v/>
      </c>
      <c r="B52" s="44" t="str">
        <f>IF($A52&lt;&gt;"",PROPER(INDEX(DiemHKI!$B$4:$CP$58,MATCH($A52,DiemHKI!$B$4:$B$58,0),3)),"")</f>
        <v/>
      </c>
      <c r="C52" s="45" t="str">
        <f>IF($A52&lt;&gt;"",PROPER(INDEX(DiemHKI!$B$4:$CP$58,MATCH($A52,DiemHKI!$B$4:$B$58,0),4)),"")</f>
        <v/>
      </c>
      <c r="D52" s="293" t="str">
        <f>IF($A52&lt;&gt;"",IF(INDEX(DiemHKI!$B$4:$CP$58,MATCH($A52,DiemHKI!$B$4:$B$58,0),7)&lt;&gt;"",INDEX(DiemHKI!$B$4:$CP$58,MATCH($A52,DiemHKI!$B$4:$B$58,0),7),""),"")</f>
        <v/>
      </c>
      <c r="E52" s="293" t="str">
        <f>IF($A52&lt;&gt;"",IF(INDEX(DiemHKI!$B$4:$CP$58,MATCH($A52,DiemHKI!$B$4:$B$58,0),8)&lt;&gt;"",INDEX(DiemHKI!$B$4:$CP$58,MATCH($A52,DiemHKI!$B$4:$B$58,0),8),""),"")</f>
        <v/>
      </c>
      <c r="F52" s="293" t="str">
        <f>IF($A52&lt;&gt;"",IF(INDEX(DiemHKI!$B$4:$CP$58,MATCH($A52,DiemHKI!$B$4:$B$58,0),9)&lt;&gt;"",INDEX(DiemHKI!$B$4:$CP$58,MATCH($A52,DiemHKI!$B$4:$B$58,0),9),""),"")</f>
        <v/>
      </c>
      <c r="G52" s="294" t="str">
        <f>IF($A52&lt;&gt;"",IF(INDEX(BDHKI,MATCH($A52,DiemHKI!$B$4:$B$58,0),INDEX($AD$9:$AF$22,MATCH(G$7,$AD$9:$AD$22,0),2))&lt;&gt;"",INDEX(BDHKI,MATCH($A52,DiemHKI!$B$4:$B$58,0),INDEX($AD$9:$AF$22,MATCH(G$7,$AD$9:$AD$22,0),3)),""),"")</f>
        <v/>
      </c>
      <c r="H52" s="295" t="str">
        <f>IF($A52&lt;&gt;"",IF(INDEX(BDHKI,MATCH($A52,DiemHKI!$B$4:$B$58,0),INDEX($AD$9:$AF$22,MATCH(H$7,$AD$9:$AD$22,0),2))&lt;&gt;"",INDEX(BDHKI,MATCH($A52,DiemHKI!$B$4:$B$58,0),INDEX($AD$9:$AF$22,MATCH(H$7,$AD$9:$AD$22,0),3)),""),"")</f>
        <v/>
      </c>
      <c r="I52" s="295" t="str">
        <f>IF($A52&lt;&gt;"",IF(INDEX(BDHKI,MATCH($A52,DiemHKI!$B$4:$B$58,0),INDEX($AD$9:$AF$22,MATCH(I$7,$AD$9:$AD$22,0),2))&lt;&gt;"",INDEX(BDHKI,MATCH($A52,DiemHKI!$B$4:$B$58,0),INDEX($AD$9:$AF$22,MATCH(I$7,$AD$9:$AD$22,0),3)),""),"")</f>
        <v/>
      </c>
      <c r="J52" s="295" t="str">
        <f>IF($A52&lt;&gt;"",IF(INDEX(BDHKI,MATCH($A52,DiemHKI!$B$4:$B$58,0),INDEX($AD$9:$AF$22,MATCH(J$7,$AD$9:$AD$22,0),2))&lt;&gt;"",INDEX(BDHKI,MATCH($A52,DiemHKI!$B$4:$B$58,0),INDEX($AD$9:$AF$22,MATCH(J$7,$AD$9:$AD$22,0),3)),""),"")</f>
        <v/>
      </c>
      <c r="K52" s="295" t="str">
        <f>IF($A52&lt;&gt;"",IF(INDEX(BDHKI,MATCH($A52,DiemHKI!$B$4:$B$58,0),INDEX($AD$9:$AF$22,MATCH(K$7,$AD$9:$AD$22,0),2))&lt;&gt;"",INDEX(BDHKI,MATCH($A52,DiemHKI!$B$4:$B$58,0),INDEX($AD$9:$AF$22,MATCH(K$7,$AD$9:$AD$22,0),3)),""),"")</f>
        <v/>
      </c>
      <c r="L52" s="295" t="str">
        <f>IF($A52&lt;&gt;"",IF(INDEX(BDHKI,MATCH($A52,DiemHKI!$B$4:$B$58,0),INDEX($AD$9:$AF$22,MATCH(L$7,$AD$9:$AD$22,0),2))&lt;&gt;"",INDEX(BDHKI,MATCH($A52,DiemHKI!$B$4:$B$58,0),INDEX($AD$9:$AF$22,MATCH(L$7,$AD$9:$AD$22,0),3)),""),"")</f>
        <v/>
      </c>
      <c r="M52" s="295" t="str">
        <f>IF($A52&lt;&gt;"",IF(INDEX(BDHKI,MATCH($A52,DiemHKI!$B$4:$B$58,0),INDEX($AD$9:$AF$22,MATCH(M$7,$AD$9:$AD$22,0),2))&lt;&gt;"",INDEX(BDHKI,MATCH($A52,DiemHKI!$B$4:$B$58,0),INDEX($AD$9:$AF$22,MATCH(M$7,$AD$9:$AD$22,0),3)),""),"")</f>
        <v/>
      </c>
      <c r="N52" s="295" t="str">
        <f>IF($A52&lt;&gt;"",IF(INDEX(BDHKI,MATCH($A52,DiemHKI!$B$4:$B$58,0),INDEX($AD$9:$AF$22,MATCH(N$7,$AD$9:$AD$22,0),2))&lt;&gt;"",INDEX(BDHKI,MATCH($A52,DiemHKI!$B$4:$B$58,0),INDEX($AD$9:$AF$22,MATCH(N$7,$AD$9:$AD$22,0),3)),""),"")</f>
        <v/>
      </c>
      <c r="O52" s="295" t="str">
        <f>IF($A52&lt;&gt;"",IF(INDEX(BDHKI,MATCH($A52,DiemHKI!$B$4:$B$58,0),INDEX($AD$9:$AF$22,MATCH(O$7,$AD$9:$AD$22,0),2))&lt;&gt;"",INDEX(BDHKI,MATCH($A52,DiemHKI!$B$4:$B$58,0),INDEX($AD$9:$AF$22,MATCH(O$7,$AD$9:$AD$22,0),3)),""),"")</f>
        <v/>
      </c>
      <c r="P52" s="295" t="str">
        <f>IF($A52&lt;&gt;"",IF(INDEX(BDHKI,MATCH($A52,DiemHKI!$B$4:$B$58,0),INDEX($AD$9:$AF$22,MATCH(P$7,$AD$9:$AD$22,0),2))&lt;&gt;"",INDEX(BDHKI,MATCH($A52,DiemHKI!$B$4:$B$58,0),INDEX($AD$9:$AF$22,MATCH(P$7,$AD$9:$AD$22,0),3)),""),"")</f>
        <v/>
      </c>
      <c r="Q52" s="295" t="str">
        <f>IF($A52&lt;&gt;"",IF(INDEX(BDHKI,MATCH($A52,DiemHKI!$B$4:$B$58,0),INDEX($AD$9:$AF$22,MATCH(Q$7,$AD$9:$AD$22,0),2))&lt;&gt;"",INDEX(BDHKI,MATCH($A52,DiemHKI!$B$4:$B$58,0),INDEX($AD$9:$AF$22,MATCH(Q$7,$AD$9:$AD$22,0),3)),""),"")</f>
        <v/>
      </c>
      <c r="R52" s="296" t="str">
        <f>IF($A52&lt;&gt;"",IF(INDEX(BDHKI,MATCH($A52,DiemHKI!$B$4:$B$58,0),INDEX($AD$9:$AF$22,MATCH(R$7,$AD$9:$AD$22,0),2))&lt;&gt;"",INDEX(BDHKI,MATCH($A52,DiemHKI!$B$4:$B$58,0),INDEX($AD$9:$AF$22,MATCH(R$7,$AD$9:$AD$22,0),3)),""),"")</f>
        <v/>
      </c>
      <c r="S52" s="296" t="str">
        <f t="shared" si="7"/>
        <v/>
      </c>
      <c r="T52" s="295" t="str">
        <f>IF($A52&lt;&gt;"",IF(INDEX(BDHKI,MATCH($A52,DiemHKI!$B$4:$B$58,0),INDEX($AD$9:$AF$22,MATCH(T$7,$AD$9:$AD$22,0),2))&lt;&gt;"",INDEX(BDHKI,MATCH($A52,DiemHKI!$B$4:$B$58,0),INDEX($AD$9:$AF$22,MATCH(T$7,$AD$9:$AD$22,0),3)),""),"")</f>
        <v/>
      </c>
      <c r="U52" s="297" t="str">
        <f>IF($A52&lt;&gt;"",IF(INDEX(BDHKI,MATCH($A52,DiemHKI!$B$4:$B$58,0),INDEX($AD$9:$AF$22,MATCH(U$7,$AD$9:$AD$22,0),2))&lt;&gt;"",INDEX(BDHKI,MATCH($A52,DiemHKI!$B$4:$B$58,0),INDEX($AD$9:$AF$22,MATCH(U$7,$AD$9:$AD$22,0),3)),""),"")</f>
        <v/>
      </c>
      <c r="V52" s="298" t="str">
        <f t="shared" si="8"/>
        <v/>
      </c>
      <c r="W52" s="296" t="str">
        <f t="shared" si="9"/>
        <v/>
      </c>
      <c r="X52" s="354"/>
      <c r="Y52" s="299" t="str">
        <f t="shared" si="10"/>
        <v/>
      </c>
      <c r="AA52" s="644" t="str">
        <f t="shared" si="4"/>
        <v/>
      </c>
      <c r="AB52" s="1"/>
      <c r="AG52" s="268" t="str">
        <f>IF($A52&lt;&gt;"",INDEX(DiemHKI!$DI$4:$DI$58,MATCH($A52,DiemHKI!$B$4:$B$58,0),1),"")</f>
        <v/>
      </c>
      <c r="AH52" s="674" t="str">
        <f t="shared" si="5"/>
        <v/>
      </c>
      <c r="AI52" s="672" t="str">
        <f t="shared" ca="1" si="6"/>
        <v/>
      </c>
    </row>
    <row r="53" spans="1:35" s="268" customFormat="1" ht="29.1" hidden="1" customHeight="1">
      <c r="A53" s="274" t="str">
        <f>IF(A52&lt;MAX(DiemHKI!$B$4:$B$58),A52+1,"")</f>
        <v/>
      </c>
      <c r="B53" s="17" t="str">
        <f>IF($A53&lt;&gt;"",PROPER(INDEX(DiemHKI!$B$4:$CP$58,MATCH($A53,DiemHKI!$B$4:$B$58,0),3)),"")</f>
        <v/>
      </c>
      <c r="C53" s="18" t="str">
        <f>IF($A53&lt;&gt;"",PROPER(INDEX(DiemHKI!$B$4:$CP$58,MATCH($A53,DiemHKI!$B$4:$B$58,0),4)),"")</f>
        <v/>
      </c>
      <c r="D53" s="277" t="str">
        <f>IF($A53&lt;&gt;"",IF(INDEX(DiemHKI!$B$4:$CP$58,MATCH($A53,DiemHKI!$B$4:$B$58,0),7)&lt;&gt;"",INDEX(DiemHKI!$B$4:$CP$58,MATCH($A53,DiemHKI!$B$4:$B$58,0),7),""),"")</f>
        <v/>
      </c>
      <c r="E53" s="277" t="str">
        <f>IF($A53&lt;&gt;"",IF(INDEX(DiemHKI!$B$4:$CP$58,MATCH($A53,DiemHKI!$B$4:$B$58,0),8)&lt;&gt;"",INDEX(DiemHKI!$B$4:$CP$58,MATCH($A53,DiemHKI!$B$4:$B$58,0),8),""),"")</f>
        <v/>
      </c>
      <c r="F53" s="277" t="str">
        <f>IF($A53&lt;&gt;"",IF(INDEX(DiemHKI!$B$4:$CP$58,MATCH($A53,DiemHKI!$B$4:$B$58,0),9)&lt;&gt;"",INDEX(DiemHKI!$B$4:$CP$58,MATCH($A53,DiemHKI!$B$4:$B$58,0),9),""),"")</f>
        <v/>
      </c>
      <c r="G53" s="300" t="str">
        <f>IF($A53&lt;&gt;"",IF(INDEX(BDHKI,MATCH($A53,DiemHKI!$B$4:$B$58,0),INDEX($AD$9:$AF$22,MATCH(G$7,$AD$9:$AD$22,0),2))&lt;&gt;"",INDEX(BDHKI,MATCH($A53,DiemHKI!$B$4:$B$58,0),INDEX($AD$9:$AF$22,MATCH(G$7,$AD$9:$AD$22,0),3)),""),"")</f>
        <v/>
      </c>
      <c r="H53" s="301" t="str">
        <f>IF($A53&lt;&gt;"",IF(INDEX(BDHKI,MATCH($A53,DiemHKI!$B$4:$B$58,0),INDEX($AD$9:$AF$22,MATCH(H$7,$AD$9:$AD$22,0),2))&lt;&gt;"",INDEX(BDHKI,MATCH($A53,DiemHKI!$B$4:$B$58,0),INDEX($AD$9:$AF$22,MATCH(H$7,$AD$9:$AD$22,0),3)),""),"")</f>
        <v/>
      </c>
      <c r="I53" s="301" t="str">
        <f>IF($A53&lt;&gt;"",IF(INDEX(BDHKI,MATCH($A53,DiemHKI!$B$4:$B$58,0),INDEX($AD$9:$AF$22,MATCH(I$7,$AD$9:$AD$22,0),2))&lt;&gt;"",INDEX(BDHKI,MATCH($A53,DiemHKI!$B$4:$B$58,0),INDEX($AD$9:$AF$22,MATCH(I$7,$AD$9:$AD$22,0),3)),""),"")</f>
        <v/>
      </c>
      <c r="J53" s="301" t="str">
        <f>IF($A53&lt;&gt;"",IF(INDEX(BDHKI,MATCH($A53,DiemHKI!$B$4:$B$58,0),INDEX($AD$9:$AF$22,MATCH(J$7,$AD$9:$AD$22,0),2))&lt;&gt;"",INDEX(BDHKI,MATCH($A53,DiemHKI!$B$4:$B$58,0),INDEX($AD$9:$AF$22,MATCH(J$7,$AD$9:$AD$22,0),3)),""),"")</f>
        <v/>
      </c>
      <c r="K53" s="301" t="str">
        <f>IF($A53&lt;&gt;"",IF(INDEX(BDHKI,MATCH($A53,DiemHKI!$B$4:$B$58,0),INDEX($AD$9:$AF$22,MATCH(K$7,$AD$9:$AD$22,0),2))&lt;&gt;"",INDEX(BDHKI,MATCH($A53,DiemHKI!$B$4:$B$58,0),INDEX($AD$9:$AF$22,MATCH(K$7,$AD$9:$AD$22,0),3)),""),"")</f>
        <v/>
      </c>
      <c r="L53" s="301" t="str">
        <f>IF($A53&lt;&gt;"",IF(INDEX(BDHKI,MATCH($A53,DiemHKI!$B$4:$B$58,0),INDEX($AD$9:$AF$22,MATCH(L$7,$AD$9:$AD$22,0),2))&lt;&gt;"",INDEX(BDHKI,MATCH($A53,DiemHKI!$B$4:$B$58,0),INDEX($AD$9:$AF$22,MATCH(L$7,$AD$9:$AD$22,0),3)),""),"")</f>
        <v/>
      </c>
      <c r="M53" s="301" t="str">
        <f>IF($A53&lt;&gt;"",IF(INDEX(BDHKI,MATCH($A53,DiemHKI!$B$4:$B$58,0),INDEX($AD$9:$AF$22,MATCH(M$7,$AD$9:$AD$22,0),2))&lt;&gt;"",INDEX(BDHKI,MATCH($A53,DiemHKI!$B$4:$B$58,0),INDEX($AD$9:$AF$22,MATCH(M$7,$AD$9:$AD$22,0),3)),""),"")</f>
        <v/>
      </c>
      <c r="N53" s="301" t="str">
        <f>IF($A53&lt;&gt;"",IF(INDEX(BDHKI,MATCH($A53,DiemHKI!$B$4:$B$58,0),INDEX($AD$9:$AF$22,MATCH(N$7,$AD$9:$AD$22,0),2))&lt;&gt;"",INDEX(BDHKI,MATCH($A53,DiemHKI!$B$4:$B$58,0),INDEX($AD$9:$AF$22,MATCH(N$7,$AD$9:$AD$22,0),3)),""),"")</f>
        <v/>
      </c>
      <c r="O53" s="301" t="str">
        <f>IF($A53&lt;&gt;"",IF(INDEX(BDHKI,MATCH($A53,DiemHKI!$B$4:$B$58,0),INDEX($AD$9:$AF$22,MATCH(O$7,$AD$9:$AD$22,0),2))&lt;&gt;"",INDEX(BDHKI,MATCH($A53,DiemHKI!$B$4:$B$58,0),INDEX($AD$9:$AF$22,MATCH(O$7,$AD$9:$AD$22,0),3)),""),"")</f>
        <v/>
      </c>
      <c r="P53" s="301" t="str">
        <f>IF($A53&lt;&gt;"",IF(INDEX(BDHKI,MATCH($A53,DiemHKI!$B$4:$B$58,0),INDEX($AD$9:$AF$22,MATCH(P$7,$AD$9:$AD$22,0),2))&lt;&gt;"",INDEX(BDHKI,MATCH($A53,DiemHKI!$B$4:$B$58,0),INDEX($AD$9:$AF$22,MATCH(P$7,$AD$9:$AD$22,0),3)),""),"")</f>
        <v/>
      </c>
      <c r="Q53" s="301" t="str">
        <f>IF($A53&lt;&gt;"",IF(INDEX(BDHKI,MATCH($A53,DiemHKI!$B$4:$B$58,0),INDEX($AD$9:$AF$22,MATCH(Q$7,$AD$9:$AD$22,0),2))&lt;&gt;"",INDEX(BDHKI,MATCH($A53,DiemHKI!$B$4:$B$58,0),INDEX($AD$9:$AF$22,MATCH(Q$7,$AD$9:$AD$22,0),3)),""),"")</f>
        <v/>
      </c>
      <c r="R53" s="279" t="str">
        <f>IF($A53&lt;&gt;"",IF(INDEX(BDHKI,MATCH($A53,DiemHKI!$B$4:$B$58,0),INDEX($AD$9:$AF$22,MATCH(R$7,$AD$9:$AD$22,0),2))&lt;&gt;"",INDEX(BDHKI,MATCH($A53,DiemHKI!$B$4:$B$58,0),INDEX($AD$9:$AF$22,MATCH(R$7,$AD$9:$AD$22,0),3)),""),"")</f>
        <v/>
      </c>
      <c r="S53" s="279" t="str">
        <f t="shared" si="7"/>
        <v/>
      </c>
      <c r="T53" s="301" t="str">
        <f>IF($A53&lt;&gt;"",IF(INDEX(BDHKI,MATCH($A53,DiemHKI!$B$4:$B$58,0),INDEX($AD$9:$AF$22,MATCH(T$7,$AD$9:$AD$22,0),2))&lt;&gt;"",INDEX(BDHKI,MATCH($A53,DiemHKI!$B$4:$B$58,0),INDEX($AD$9:$AF$22,MATCH(T$7,$AD$9:$AD$22,0),3)),""),"")</f>
        <v/>
      </c>
      <c r="U53" s="302" t="str">
        <f>IF($A53&lt;&gt;"",IF(INDEX(BDHKI,MATCH($A53,DiemHKI!$B$4:$B$58,0),INDEX($AD$9:$AF$22,MATCH(U$7,$AD$9:$AD$22,0),2))&lt;&gt;"",INDEX(BDHKI,MATCH($A53,DiemHKI!$B$4:$B$58,0),INDEX($AD$9:$AF$22,MATCH(U$7,$AD$9:$AD$22,0),3)),""),"")</f>
        <v/>
      </c>
      <c r="V53" s="278" t="str">
        <f t="shared" si="8"/>
        <v/>
      </c>
      <c r="W53" s="279" t="str">
        <f t="shared" si="9"/>
        <v/>
      </c>
      <c r="X53" s="352"/>
      <c r="Y53" s="280" t="str">
        <f t="shared" si="10"/>
        <v/>
      </c>
      <c r="AA53" s="644" t="str">
        <f t="shared" si="4"/>
        <v/>
      </c>
      <c r="AB53" s="1"/>
      <c r="AG53" s="268" t="str">
        <f>IF($A53&lt;&gt;"",INDEX(DiemHKI!$DI$4:$DI$58,MATCH($A53,DiemHKI!$B$4:$B$58,0),1),"")</f>
        <v/>
      </c>
      <c r="AH53" s="674" t="str">
        <f t="shared" si="5"/>
        <v/>
      </c>
      <c r="AI53" s="672" t="str">
        <f t="shared" ca="1" si="6"/>
        <v/>
      </c>
    </row>
    <row r="54" spans="1:35" s="268" customFormat="1" ht="29.1" hidden="1" customHeight="1">
      <c r="A54" s="281" t="str">
        <f>IF(A53&lt;MAX(DiemHKI!$B$4:$B$58),A53+1,"")</f>
        <v/>
      </c>
      <c r="B54" s="32" t="str">
        <f>IF($A54&lt;&gt;"",PROPER(INDEX(DiemHKI!$B$4:$CP$58,MATCH($A54,DiemHKI!$B$4:$B$58,0),3)),"")</f>
        <v/>
      </c>
      <c r="C54" s="33" t="str">
        <f>IF($A54&lt;&gt;"",PROPER(INDEX(DiemHKI!$B$4:$CP$58,MATCH($A54,DiemHKI!$B$4:$B$58,0),4)),"")</f>
        <v/>
      </c>
      <c r="D54" s="284" t="str">
        <f>IF($A54&lt;&gt;"",IF(INDEX(DiemHKI!$B$4:$CP$58,MATCH($A54,DiemHKI!$B$4:$B$58,0),7)&lt;&gt;"",INDEX(DiemHKI!$B$4:$CP$58,MATCH($A54,DiemHKI!$B$4:$B$58,0),7),""),"")</f>
        <v/>
      </c>
      <c r="E54" s="284" t="str">
        <f>IF($A54&lt;&gt;"",IF(INDEX(DiemHKI!$B$4:$CP$58,MATCH($A54,DiemHKI!$B$4:$B$58,0),8)&lt;&gt;"",INDEX(DiemHKI!$B$4:$CP$58,MATCH($A54,DiemHKI!$B$4:$B$58,0),8),""),"")</f>
        <v/>
      </c>
      <c r="F54" s="284" t="str">
        <f>IF($A54&lt;&gt;"",IF(INDEX(DiemHKI!$B$4:$CP$58,MATCH($A54,DiemHKI!$B$4:$B$58,0),9)&lt;&gt;"",INDEX(DiemHKI!$B$4:$CP$58,MATCH($A54,DiemHKI!$B$4:$B$58,0),9),""),"")</f>
        <v/>
      </c>
      <c r="G54" s="285" t="str">
        <f>IF($A54&lt;&gt;"",IF(INDEX(BDHKI,MATCH($A54,DiemHKI!$B$4:$B$58,0),INDEX($AD$9:$AF$22,MATCH(G$7,$AD$9:$AD$22,0),2))&lt;&gt;"",INDEX(BDHKI,MATCH($A54,DiemHKI!$B$4:$B$58,0),INDEX($AD$9:$AF$22,MATCH(G$7,$AD$9:$AD$22,0),3)),""),"")</f>
        <v/>
      </c>
      <c r="H54" s="286" t="str">
        <f>IF($A54&lt;&gt;"",IF(INDEX(BDHKI,MATCH($A54,DiemHKI!$B$4:$B$58,0),INDEX($AD$9:$AF$22,MATCH(H$7,$AD$9:$AD$22,0),2))&lt;&gt;"",INDEX(BDHKI,MATCH($A54,DiemHKI!$B$4:$B$58,0),INDEX($AD$9:$AF$22,MATCH(H$7,$AD$9:$AD$22,0),3)),""),"")</f>
        <v/>
      </c>
      <c r="I54" s="286" t="str">
        <f>IF($A54&lt;&gt;"",IF(INDEX(BDHKI,MATCH($A54,DiemHKI!$B$4:$B$58,0),INDEX($AD$9:$AF$22,MATCH(I$7,$AD$9:$AD$22,0),2))&lt;&gt;"",INDEX(BDHKI,MATCH($A54,DiemHKI!$B$4:$B$58,0),INDEX($AD$9:$AF$22,MATCH(I$7,$AD$9:$AD$22,0),3)),""),"")</f>
        <v/>
      </c>
      <c r="J54" s="286" t="str">
        <f>IF($A54&lt;&gt;"",IF(INDEX(BDHKI,MATCH($A54,DiemHKI!$B$4:$B$58,0),INDEX($AD$9:$AF$22,MATCH(J$7,$AD$9:$AD$22,0),2))&lt;&gt;"",INDEX(BDHKI,MATCH($A54,DiemHKI!$B$4:$B$58,0),INDEX($AD$9:$AF$22,MATCH(J$7,$AD$9:$AD$22,0),3)),""),"")</f>
        <v/>
      </c>
      <c r="K54" s="286" t="str">
        <f>IF($A54&lt;&gt;"",IF(INDEX(BDHKI,MATCH($A54,DiemHKI!$B$4:$B$58,0),INDEX($AD$9:$AF$22,MATCH(K$7,$AD$9:$AD$22,0),2))&lt;&gt;"",INDEX(BDHKI,MATCH($A54,DiemHKI!$B$4:$B$58,0),INDEX($AD$9:$AF$22,MATCH(K$7,$AD$9:$AD$22,0),3)),""),"")</f>
        <v/>
      </c>
      <c r="L54" s="286" t="str">
        <f>IF($A54&lt;&gt;"",IF(INDEX(BDHKI,MATCH($A54,DiemHKI!$B$4:$B$58,0),INDEX($AD$9:$AF$22,MATCH(L$7,$AD$9:$AD$22,0),2))&lt;&gt;"",INDEX(BDHKI,MATCH($A54,DiemHKI!$B$4:$B$58,0),INDEX($AD$9:$AF$22,MATCH(L$7,$AD$9:$AD$22,0),3)),""),"")</f>
        <v/>
      </c>
      <c r="M54" s="286" t="str">
        <f>IF($A54&lt;&gt;"",IF(INDEX(BDHKI,MATCH($A54,DiemHKI!$B$4:$B$58,0),INDEX($AD$9:$AF$22,MATCH(M$7,$AD$9:$AD$22,0),2))&lt;&gt;"",INDEX(BDHKI,MATCH($A54,DiemHKI!$B$4:$B$58,0),INDEX($AD$9:$AF$22,MATCH(M$7,$AD$9:$AD$22,0),3)),""),"")</f>
        <v/>
      </c>
      <c r="N54" s="286" t="str">
        <f>IF($A54&lt;&gt;"",IF(INDEX(BDHKI,MATCH($A54,DiemHKI!$B$4:$B$58,0),INDEX($AD$9:$AF$22,MATCH(N$7,$AD$9:$AD$22,0),2))&lt;&gt;"",INDEX(BDHKI,MATCH($A54,DiemHKI!$B$4:$B$58,0),INDEX($AD$9:$AF$22,MATCH(N$7,$AD$9:$AD$22,0),3)),""),"")</f>
        <v/>
      </c>
      <c r="O54" s="286" t="str">
        <f>IF($A54&lt;&gt;"",IF(INDEX(BDHKI,MATCH($A54,DiemHKI!$B$4:$B$58,0),INDEX($AD$9:$AF$22,MATCH(O$7,$AD$9:$AD$22,0),2))&lt;&gt;"",INDEX(BDHKI,MATCH($A54,DiemHKI!$B$4:$B$58,0),INDEX($AD$9:$AF$22,MATCH(O$7,$AD$9:$AD$22,0),3)),""),"")</f>
        <v/>
      </c>
      <c r="P54" s="286" t="str">
        <f>IF($A54&lt;&gt;"",IF(INDEX(BDHKI,MATCH($A54,DiemHKI!$B$4:$B$58,0),INDEX($AD$9:$AF$22,MATCH(P$7,$AD$9:$AD$22,0),2))&lt;&gt;"",INDEX(BDHKI,MATCH($A54,DiemHKI!$B$4:$B$58,0),INDEX($AD$9:$AF$22,MATCH(P$7,$AD$9:$AD$22,0),3)),""),"")</f>
        <v/>
      </c>
      <c r="Q54" s="286" t="str">
        <f>IF($A54&lt;&gt;"",IF(INDEX(BDHKI,MATCH($A54,DiemHKI!$B$4:$B$58,0),INDEX($AD$9:$AF$22,MATCH(Q$7,$AD$9:$AD$22,0),2))&lt;&gt;"",INDEX(BDHKI,MATCH($A54,DiemHKI!$B$4:$B$58,0),INDEX($AD$9:$AF$22,MATCH(Q$7,$AD$9:$AD$22,0),3)),""),"")</f>
        <v/>
      </c>
      <c r="R54" s="464" t="str">
        <f>IF($A54&lt;&gt;"",IF(INDEX(BDHKI,MATCH($A54,DiemHKI!$B$4:$B$58,0),INDEX($AD$9:$AF$22,MATCH(R$7,$AD$9:$AD$22,0),2))&lt;&gt;"",INDEX(BDHKI,MATCH($A54,DiemHKI!$B$4:$B$58,0),INDEX($AD$9:$AF$22,MATCH(R$7,$AD$9:$AD$22,0),3)),""),"")</f>
        <v/>
      </c>
      <c r="S54" s="464" t="str">
        <f t="shared" si="7"/>
        <v/>
      </c>
      <c r="T54" s="286" t="str">
        <f>IF($A54&lt;&gt;"",IF(INDEX(BDHKI,MATCH($A54,DiemHKI!$B$4:$B$58,0),INDEX($AD$9:$AF$22,MATCH(T$7,$AD$9:$AD$22,0),2))&lt;&gt;"",INDEX(BDHKI,MATCH($A54,DiemHKI!$B$4:$B$58,0),INDEX($AD$9:$AF$22,MATCH(T$7,$AD$9:$AD$22,0),3)),""),"")</f>
        <v/>
      </c>
      <c r="U54" s="287" t="str">
        <f>IF($A54&lt;&gt;"",IF(INDEX(BDHKI,MATCH($A54,DiemHKI!$B$4:$B$58,0),INDEX($AD$9:$AF$22,MATCH(U$7,$AD$9:$AD$22,0),2))&lt;&gt;"",INDEX(BDHKI,MATCH($A54,DiemHKI!$B$4:$B$58,0),INDEX($AD$9:$AF$22,MATCH(U$7,$AD$9:$AD$22,0),3)),""),"")</f>
        <v/>
      </c>
      <c r="V54" s="288" t="str">
        <f t="shared" si="8"/>
        <v/>
      </c>
      <c r="W54" s="464" t="str">
        <f t="shared" si="9"/>
        <v/>
      </c>
      <c r="X54" s="353"/>
      <c r="Y54" s="289" t="str">
        <f t="shared" si="10"/>
        <v/>
      </c>
      <c r="AA54" s="644" t="str">
        <f t="shared" si="4"/>
        <v/>
      </c>
      <c r="AB54" s="1"/>
      <c r="AG54" s="268" t="str">
        <f>IF($A54&lt;&gt;"",INDEX(DiemHKI!$DI$4:$DI$58,MATCH($A54,DiemHKI!$B$4:$B$58,0),1),"")</f>
        <v/>
      </c>
      <c r="AH54" s="674" t="str">
        <f t="shared" si="5"/>
        <v/>
      </c>
      <c r="AI54" s="672" t="str">
        <f t="shared" ca="1" si="6"/>
        <v/>
      </c>
    </row>
    <row r="55" spans="1:35" s="268" customFormat="1" ht="29.1" hidden="1" customHeight="1">
      <c r="A55" s="281" t="str">
        <f>IF(A54&lt;MAX(DiemHKI!$B$4:$B$58),A54+1,"")</f>
        <v/>
      </c>
      <c r="B55" s="32" t="str">
        <f>IF($A55&lt;&gt;"",PROPER(INDEX(DiemHKI!$B$4:$CP$58,MATCH($A55,DiemHKI!$B$4:$B$58,0),3)),"")</f>
        <v/>
      </c>
      <c r="C55" s="33" t="str">
        <f>IF($A55&lt;&gt;"",PROPER(INDEX(DiemHKI!$B$4:$CP$58,MATCH($A55,DiemHKI!$B$4:$B$58,0),4)),"")</f>
        <v/>
      </c>
      <c r="D55" s="284" t="str">
        <f>IF($A55&lt;&gt;"",IF(INDEX(DiemHKI!$B$4:$CP$58,MATCH($A55,DiemHKI!$B$4:$B$58,0),7)&lt;&gt;"",INDEX(DiemHKI!$B$4:$CP$58,MATCH($A55,DiemHKI!$B$4:$B$58,0),7),""),"")</f>
        <v/>
      </c>
      <c r="E55" s="284" t="str">
        <f>IF($A55&lt;&gt;"",IF(INDEX(DiemHKI!$B$4:$CP$58,MATCH($A55,DiemHKI!$B$4:$B$58,0),8)&lt;&gt;"",INDEX(DiemHKI!$B$4:$CP$58,MATCH($A55,DiemHKI!$B$4:$B$58,0),8),""),"")</f>
        <v/>
      </c>
      <c r="F55" s="284" t="str">
        <f>IF($A55&lt;&gt;"",IF(INDEX(DiemHKI!$B$4:$CP$58,MATCH($A55,DiemHKI!$B$4:$B$58,0),9)&lt;&gt;"",INDEX(DiemHKI!$B$4:$CP$58,MATCH($A55,DiemHKI!$B$4:$B$58,0),9),""),"")</f>
        <v/>
      </c>
      <c r="G55" s="285" t="str">
        <f>IF($A55&lt;&gt;"",IF(INDEX(BDHKI,MATCH($A55,DiemHKI!$B$4:$B$58,0),INDEX($AD$9:$AF$22,MATCH(G$7,$AD$9:$AD$22,0),2))&lt;&gt;"",INDEX(BDHKI,MATCH($A55,DiemHKI!$B$4:$B$58,0),INDEX($AD$9:$AF$22,MATCH(G$7,$AD$9:$AD$22,0),3)),""),"")</f>
        <v/>
      </c>
      <c r="H55" s="286" t="str">
        <f>IF($A55&lt;&gt;"",IF(INDEX(BDHKI,MATCH($A55,DiemHKI!$B$4:$B$58,0),INDEX($AD$9:$AF$22,MATCH(H$7,$AD$9:$AD$22,0),2))&lt;&gt;"",INDEX(BDHKI,MATCH($A55,DiemHKI!$B$4:$B$58,0),INDEX($AD$9:$AF$22,MATCH(H$7,$AD$9:$AD$22,0),3)),""),"")</f>
        <v/>
      </c>
      <c r="I55" s="286" t="str">
        <f>IF($A55&lt;&gt;"",IF(INDEX(BDHKI,MATCH($A55,DiemHKI!$B$4:$B$58,0),INDEX($AD$9:$AF$22,MATCH(I$7,$AD$9:$AD$22,0),2))&lt;&gt;"",INDEX(BDHKI,MATCH($A55,DiemHKI!$B$4:$B$58,0),INDEX($AD$9:$AF$22,MATCH(I$7,$AD$9:$AD$22,0),3)),""),"")</f>
        <v/>
      </c>
      <c r="J55" s="286" t="str">
        <f>IF($A55&lt;&gt;"",IF(INDEX(BDHKI,MATCH($A55,DiemHKI!$B$4:$B$58,0),INDEX($AD$9:$AF$22,MATCH(J$7,$AD$9:$AD$22,0),2))&lt;&gt;"",INDEX(BDHKI,MATCH($A55,DiemHKI!$B$4:$B$58,0),INDEX($AD$9:$AF$22,MATCH(J$7,$AD$9:$AD$22,0),3)),""),"")</f>
        <v/>
      </c>
      <c r="K55" s="286" t="str">
        <f>IF($A55&lt;&gt;"",IF(INDEX(BDHKI,MATCH($A55,DiemHKI!$B$4:$B$58,0),INDEX($AD$9:$AF$22,MATCH(K$7,$AD$9:$AD$22,0),2))&lt;&gt;"",INDEX(BDHKI,MATCH($A55,DiemHKI!$B$4:$B$58,0),INDEX($AD$9:$AF$22,MATCH(K$7,$AD$9:$AD$22,0),3)),""),"")</f>
        <v/>
      </c>
      <c r="L55" s="286" t="str">
        <f>IF($A55&lt;&gt;"",IF(INDEX(BDHKI,MATCH($A55,DiemHKI!$B$4:$B$58,0),INDEX($AD$9:$AF$22,MATCH(L$7,$AD$9:$AD$22,0),2))&lt;&gt;"",INDEX(BDHKI,MATCH($A55,DiemHKI!$B$4:$B$58,0),INDEX($AD$9:$AF$22,MATCH(L$7,$AD$9:$AD$22,0),3)),""),"")</f>
        <v/>
      </c>
      <c r="M55" s="286" t="str">
        <f>IF($A55&lt;&gt;"",IF(INDEX(BDHKI,MATCH($A55,DiemHKI!$B$4:$B$58,0),INDEX($AD$9:$AF$22,MATCH(M$7,$AD$9:$AD$22,0),2))&lt;&gt;"",INDEX(BDHKI,MATCH($A55,DiemHKI!$B$4:$B$58,0),INDEX($AD$9:$AF$22,MATCH(M$7,$AD$9:$AD$22,0),3)),""),"")</f>
        <v/>
      </c>
      <c r="N55" s="286" t="str">
        <f>IF($A55&lt;&gt;"",IF(INDEX(BDHKI,MATCH($A55,DiemHKI!$B$4:$B$58,0),INDEX($AD$9:$AF$22,MATCH(N$7,$AD$9:$AD$22,0),2))&lt;&gt;"",INDEX(BDHKI,MATCH($A55,DiemHKI!$B$4:$B$58,0),INDEX($AD$9:$AF$22,MATCH(N$7,$AD$9:$AD$22,0),3)),""),"")</f>
        <v/>
      </c>
      <c r="O55" s="286" t="str">
        <f>IF($A55&lt;&gt;"",IF(INDEX(BDHKI,MATCH($A55,DiemHKI!$B$4:$B$58,0),INDEX($AD$9:$AF$22,MATCH(O$7,$AD$9:$AD$22,0),2))&lt;&gt;"",INDEX(BDHKI,MATCH($A55,DiemHKI!$B$4:$B$58,0),INDEX($AD$9:$AF$22,MATCH(O$7,$AD$9:$AD$22,0),3)),""),"")</f>
        <v/>
      </c>
      <c r="P55" s="286" t="str">
        <f>IF($A55&lt;&gt;"",IF(INDEX(BDHKI,MATCH($A55,DiemHKI!$B$4:$B$58,0),INDEX($AD$9:$AF$22,MATCH(P$7,$AD$9:$AD$22,0),2))&lt;&gt;"",INDEX(BDHKI,MATCH($A55,DiemHKI!$B$4:$B$58,0),INDEX($AD$9:$AF$22,MATCH(P$7,$AD$9:$AD$22,0),3)),""),"")</f>
        <v/>
      </c>
      <c r="Q55" s="286" t="str">
        <f>IF($A55&lt;&gt;"",IF(INDEX(BDHKI,MATCH($A55,DiemHKI!$B$4:$B$58,0),INDEX($AD$9:$AF$22,MATCH(Q$7,$AD$9:$AD$22,0),2))&lt;&gt;"",INDEX(BDHKI,MATCH($A55,DiemHKI!$B$4:$B$58,0),INDEX($AD$9:$AF$22,MATCH(Q$7,$AD$9:$AD$22,0),3)),""),"")</f>
        <v/>
      </c>
      <c r="R55" s="464" t="str">
        <f>IF($A55&lt;&gt;"",IF(INDEX(BDHKI,MATCH($A55,DiemHKI!$B$4:$B$58,0),INDEX($AD$9:$AF$22,MATCH(R$7,$AD$9:$AD$22,0),2))&lt;&gt;"",INDEX(BDHKI,MATCH($A55,DiemHKI!$B$4:$B$58,0),INDEX($AD$9:$AF$22,MATCH(R$7,$AD$9:$AD$22,0),3)),""),"")</f>
        <v/>
      </c>
      <c r="S55" s="464" t="str">
        <f t="shared" si="7"/>
        <v/>
      </c>
      <c r="T55" s="286" t="str">
        <f>IF($A55&lt;&gt;"",IF(INDEX(BDHKI,MATCH($A55,DiemHKI!$B$4:$B$58,0),INDEX($AD$9:$AF$22,MATCH(T$7,$AD$9:$AD$22,0),2))&lt;&gt;"",INDEX(BDHKI,MATCH($A55,DiemHKI!$B$4:$B$58,0),INDEX($AD$9:$AF$22,MATCH(T$7,$AD$9:$AD$22,0),3)),""),"")</f>
        <v/>
      </c>
      <c r="U55" s="287" t="str">
        <f>IF($A55&lt;&gt;"",IF(INDEX(BDHKI,MATCH($A55,DiemHKI!$B$4:$B$58,0),INDEX($AD$9:$AF$22,MATCH(U$7,$AD$9:$AD$22,0),2))&lt;&gt;"",INDEX(BDHKI,MATCH($A55,DiemHKI!$B$4:$B$58,0),INDEX($AD$9:$AF$22,MATCH(U$7,$AD$9:$AD$22,0),3)),""),"")</f>
        <v/>
      </c>
      <c r="V55" s="288" t="str">
        <f t="shared" si="8"/>
        <v/>
      </c>
      <c r="W55" s="464" t="str">
        <f t="shared" si="9"/>
        <v/>
      </c>
      <c r="X55" s="353"/>
      <c r="Y55" s="289" t="str">
        <f t="shared" si="10"/>
        <v/>
      </c>
      <c r="AA55" s="644" t="str">
        <f t="shared" si="4"/>
        <v/>
      </c>
      <c r="AB55" s="1"/>
      <c r="AG55" s="268" t="str">
        <f>IF($A55&lt;&gt;"",INDEX(DiemHKI!$DI$4:$DI$58,MATCH($A55,DiemHKI!$B$4:$B$58,0),1),"")</f>
        <v/>
      </c>
      <c r="AH55" s="674" t="str">
        <f t="shared" si="5"/>
        <v/>
      </c>
      <c r="AI55" s="672" t="str">
        <f t="shared" ca="1" si="6"/>
        <v/>
      </c>
    </row>
    <row r="56" spans="1:35" s="268" customFormat="1" ht="29.1" hidden="1" customHeight="1">
      <c r="A56" s="281" t="str">
        <f>IF(A55&lt;MAX(DiemHKI!$B$4:$B$58),A55+1,"")</f>
        <v/>
      </c>
      <c r="B56" s="32" t="str">
        <f>IF($A56&lt;&gt;"",PROPER(INDEX(DiemHKI!$B$4:$CP$58,MATCH($A56,DiemHKI!$B$4:$B$58,0),3)),"")</f>
        <v/>
      </c>
      <c r="C56" s="33" t="str">
        <f>IF($A56&lt;&gt;"",PROPER(INDEX(DiemHKI!$B$4:$CP$58,MATCH($A56,DiemHKI!$B$4:$B$58,0),4)),"")</f>
        <v/>
      </c>
      <c r="D56" s="284" t="str">
        <f>IF($A56&lt;&gt;"",IF(INDEX(DiemHKI!$B$4:$CP$58,MATCH($A56,DiemHKI!$B$4:$B$58,0),7)&lt;&gt;"",INDEX(DiemHKI!$B$4:$CP$58,MATCH($A56,DiemHKI!$B$4:$B$58,0),7),""),"")</f>
        <v/>
      </c>
      <c r="E56" s="284" t="str">
        <f>IF($A56&lt;&gt;"",IF(INDEX(DiemHKI!$B$4:$CP$58,MATCH($A56,DiemHKI!$B$4:$B$58,0),8)&lt;&gt;"",INDEX(DiemHKI!$B$4:$CP$58,MATCH($A56,DiemHKI!$B$4:$B$58,0),8),""),"")</f>
        <v/>
      </c>
      <c r="F56" s="284" t="str">
        <f>IF($A56&lt;&gt;"",IF(INDEX(DiemHKI!$B$4:$CP$58,MATCH($A56,DiemHKI!$B$4:$B$58,0),9)&lt;&gt;"",INDEX(DiemHKI!$B$4:$CP$58,MATCH($A56,DiemHKI!$B$4:$B$58,0),9),""),"")</f>
        <v/>
      </c>
      <c r="G56" s="285" t="str">
        <f>IF($A56&lt;&gt;"",IF(INDEX(BDHKI,MATCH($A56,DiemHKI!$B$4:$B$58,0),INDEX($AD$9:$AF$22,MATCH(G$7,$AD$9:$AD$22,0),2))&lt;&gt;"",INDEX(BDHKI,MATCH($A56,DiemHKI!$B$4:$B$58,0),INDEX($AD$9:$AF$22,MATCH(G$7,$AD$9:$AD$22,0),3)),""),"")</f>
        <v/>
      </c>
      <c r="H56" s="286" t="str">
        <f>IF($A56&lt;&gt;"",IF(INDEX(BDHKI,MATCH($A56,DiemHKI!$B$4:$B$58,0),INDEX($AD$9:$AF$22,MATCH(H$7,$AD$9:$AD$22,0),2))&lt;&gt;"",INDEX(BDHKI,MATCH($A56,DiemHKI!$B$4:$B$58,0),INDEX($AD$9:$AF$22,MATCH(H$7,$AD$9:$AD$22,0),3)),""),"")</f>
        <v/>
      </c>
      <c r="I56" s="286" t="str">
        <f>IF($A56&lt;&gt;"",IF(INDEX(BDHKI,MATCH($A56,DiemHKI!$B$4:$B$58,0),INDEX($AD$9:$AF$22,MATCH(I$7,$AD$9:$AD$22,0),2))&lt;&gt;"",INDEX(BDHKI,MATCH($A56,DiemHKI!$B$4:$B$58,0),INDEX($AD$9:$AF$22,MATCH(I$7,$AD$9:$AD$22,0),3)),""),"")</f>
        <v/>
      </c>
      <c r="J56" s="286" t="str">
        <f>IF($A56&lt;&gt;"",IF(INDEX(BDHKI,MATCH($A56,DiemHKI!$B$4:$B$58,0),INDEX($AD$9:$AF$22,MATCH(J$7,$AD$9:$AD$22,0),2))&lt;&gt;"",INDEX(BDHKI,MATCH($A56,DiemHKI!$B$4:$B$58,0),INDEX($AD$9:$AF$22,MATCH(J$7,$AD$9:$AD$22,0),3)),""),"")</f>
        <v/>
      </c>
      <c r="K56" s="286" t="str">
        <f>IF($A56&lt;&gt;"",IF(INDEX(BDHKI,MATCH($A56,DiemHKI!$B$4:$B$58,0),INDEX($AD$9:$AF$22,MATCH(K$7,$AD$9:$AD$22,0),2))&lt;&gt;"",INDEX(BDHKI,MATCH($A56,DiemHKI!$B$4:$B$58,0),INDEX($AD$9:$AF$22,MATCH(K$7,$AD$9:$AD$22,0),3)),""),"")</f>
        <v/>
      </c>
      <c r="L56" s="286" t="str">
        <f>IF($A56&lt;&gt;"",IF(INDEX(BDHKI,MATCH($A56,DiemHKI!$B$4:$B$58,0),INDEX($AD$9:$AF$22,MATCH(L$7,$AD$9:$AD$22,0),2))&lt;&gt;"",INDEX(BDHKI,MATCH($A56,DiemHKI!$B$4:$B$58,0),INDEX($AD$9:$AF$22,MATCH(L$7,$AD$9:$AD$22,0),3)),""),"")</f>
        <v/>
      </c>
      <c r="M56" s="286" t="str">
        <f>IF($A56&lt;&gt;"",IF(INDEX(BDHKI,MATCH($A56,DiemHKI!$B$4:$B$58,0),INDEX($AD$9:$AF$22,MATCH(M$7,$AD$9:$AD$22,0),2))&lt;&gt;"",INDEX(BDHKI,MATCH($A56,DiemHKI!$B$4:$B$58,0),INDEX($AD$9:$AF$22,MATCH(M$7,$AD$9:$AD$22,0),3)),""),"")</f>
        <v/>
      </c>
      <c r="N56" s="286" t="str">
        <f>IF($A56&lt;&gt;"",IF(INDEX(BDHKI,MATCH($A56,DiemHKI!$B$4:$B$58,0),INDEX($AD$9:$AF$22,MATCH(N$7,$AD$9:$AD$22,0),2))&lt;&gt;"",INDEX(BDHKI,MATCH($A56,DiemHKI!$B$4:$B$58,0),INDEX($AD$9:$AF$22,MATCH(N$7,$AD$9:$AD$22,0),3)),""),"")</f>
        <v/>
      </c>
      <c r="O56" s="286" t="str">
        <f>IF($A56&lt;&gt;"",IF(INDEX(BDHKI,MATCH($A56,DiemHKI!$B$4:$B$58,0),INDEX($AD$9:$AF$22,MATCH(O$7,$AD$9:$AD$22,0),2))&lt;&gt;"",INDEX(BDHKI,MATCH($A56,DiemHKI!$B$4:$B$58,0),INDEX($AD$9:$AF$22,MATCH(O$7,$AD$9:$AD$22,0),3)),""),"")</f>
        <v/>
      </c>
      <c r="P56" s="286" t="str">
        <f>IF($A56&lt;&gt;"",IF(INDEX(BDHKI,MATCH($A56,DiemHKI!$B$4:$B$58,0),INDEX($AD$9:$AF$22,MATCH(P$7,$AD$9:$AD$22,0),2))&lt;&gt;"",INDEX(BDHKI,MATCH($A56,DiemHKI!$B$4:$B$58,0),INDEX($AD$9:$AF$22,MATCH(P$7,$AD$9:$AD$22,0),3)),""),"")</f>
        <v/>
      </c>
      <c r="Q56" s="286" t="str">
        <f>IF($A56&lt;&gt;"",IF(INDEX(BDHKI,MATCH($A56,DiemHKI!$B$4:$B$58,0),INDEX($AD$9:$AF$22,MATCH(Q$7,$AD$9:$AD$22,0),2))&lt;&gt;"",INDEX(BDHKI,MATCH($A56,DiemHKI!$B$4:$B$58,0),INDEX($AD$9:$AF$22,MATCH(Q$7,$AD$9:$AD$22,0),3)),""),"")</f>
        <v/>
      </c>
      <c r="R56" s="464" t="str">
        <f>IF($A56&lt;&gt;"",IF(INDEX(BDHKI,MATCH($A56,DiemHKI!$B$4:$B$58,0),INDEX($AD$9:$AF$22,MATCH(R$7,$AD$9:$AD$22,0),2))&lt;&gt;"",INDEX(BDHKI,MATCH($A56,DiemHKI!$B$4:$B$58,0),INDEX($AD$9:$AF$22,MATCH(R$7,$AD$9:$AD$22,0),3)),""),"")</f>
        <v/>
      </c>
      <c r="S56" s="464" t="str">
        <f t="shared" si="7"/>
        <v/>
      </c>
      <c r="T56" s="286" t="str">
        <f>IF($A56&lt;&gt;"",IF(INDEX(BDHKI,MATCH($A56,DiemHKI!$B$4:$B$58,0),INDEX($AD$9:$AF$22,MATCH(T$7,$AD$9:$AD$22,0),2))&lt;&gt;"",INDEX(BDHKI,MATCH($A56,DiemHKI!$B$4:$B$58,0),INDEX($AD$9:$AF$22,MATCH(T$7,$AD$9:$AD$22,0),3)),""),"")</f>
        <v/>
      </c>
      <c r="U56" s="287" t="str">
        <f>IF($A56&lt;&gt;"",IF(INDEX(BDHKI,MATCH($A56,DiemHKI!$B$4:$B$58,0),INDEX($AD$9:$AF$22,MATCH(U$7,$AD$9:$AD$22,0),2))&lt;&gt;"",INDEX(BDHKI,MATCH($A56,DiemHKI!$B$4:$B$58,0),INDEX($AD$9:$AF$22,MATCH(U$7,$AD$9:$AD$22,0),3)),""),"")</f>
        <v/>
      </c>
      <c r="V56" s="288" t="str">
        <f t="shared" si="8"/>
        <v/>
      </c>
      <c r="W56" s="464" t="str">
        <f t="shared" si="9"/>
        <v/>
      </c>
      <c r="X56" s="353"/>
      <c r="Y56" s="289" t="str">
        <f t="shared" si="10"/>
        <v/>
      </c>
      <c r="AA56" s="644" t="str">
        <f t="shared" si="4"/>
        <v/>
      </c>
      <c r="AB56" s="1"/>
      <c r="AG56" s="268" t="str">
        <f>IF($A56&lt;&gt;"",INDEX(DiemHKI!$DI$4:$DI$58,MATCH($A56,DiemHKI!$B$4:$B$58,0),1),"")</f>
        <v/>
      </c>
      <c r="AH56" s="674" t="str">
        <f t="shared" si="5"/>
        <v/>
      </c>
      <c r="AI56" s="672" t="str">
        <f t="shared" ca="1" si="6"/>
        <v/>
      </c>
    </row>
    <row r="57" spans="1:35" s="268" customFormat="1" ht="29.1" hidden="1" customHeight="1" thickBot="1">
      <c r="A57" s="290" t="str">
        <f>IF(A56&lt;MAX(DiemHKI!$B$4:$B$58),A56+1,"")</f>
        <v/>
      </c>
      <c r="B57" s="44" t="str">
        <f>IF($A57&lt;&gt;"",PROPER(INDEX(DiemHKI!$B$4:$CP$58,MATCH($A57,DiemHKI!$B$4:$B$58,0),3)),"")</f>
        <v/>
      </c>
      <c r="C57" s="45" t="str">
        <f>IF($A57&lt;&gt;"",PROPER(INDEX(DiemHKI!$B$4:$CP$58,MATCH($A57,DiemHKI!$B$4:$B$58,0),4)),"")</f>
        <v/>
      </c>
      <c r="D57" s="293" t="str">
        <f>IF($A57&lt;&gt;"",IF(INDEX(DiemHKI!$B$4:$CP$58,MATCH($A57,DiemHKI!$B$4:$B$58,0),7)&lt;&gt;"",INDEX(DiemHKI!$B$4:$CP$58,MATCH($A57,DiemHKI!$B$4:$B$58,0),7),""),"")</f>
        <v/>
      </c>
      <c r="E57" s="293" t="str">
        <f>IF($A57&lt;&gt;"",IF(INDEX(DiemHKI!$B$4:$CP$58,MATCH($A57,DiemHKI!$B$4:$B$58,0),8)&lt;&gt;"",INDEX(DiemHKI!$B$4:$CP$58,MATCH($A57,DiemHKI!$B$4:$B$58,0),8),""),"")</f>
        <v/>
      </c>
      <c r="F57" s="293" t="str">
        <f>IF($A57&lt;&gt;"",IF(INDEX(DiemHKI!$B$4:$CP$58,MATCH($A57,DiemHKI!$B$4:$B$58,0),9)&lt;&gt;"",INDEX(DiemHKI!$B$4:$CP$58,MATCH($A57,DiemHKI!$B$4:$B$58,0),9),""),"")</f>
        <v/>
      </c>
      <c r="G57" s="294" t="str">
        <f>IF($A57&lt;&gt;"",IF(INDEX(BDHKI,MATCH($A57,DiemHKI!$B$4:$B$58,0),INDEX($AD$9:$AF$22,MATCH(G$7,$AD$9:$AD$22,0),2))&lt;&gt;"",INDEX(BDHKI,MATCH($A57,DiemHKI!$B$4:$B$58,0),INDEX($AD$9:$AF$22,MATCH(G$7,$AD$9:$AD$22,0),3)),""),"")</f>
        <v/>
      </c>
      <c r="H57" s="295" t="str">
        <f>IF($A57&lt;&gt;"",IF(INDEX(BDHKI,MATCH($A57,DiemHKI!$B$4:$B$58,0),INDEX($AD$9:$AF$22,MATCH(H$7,$AD$9:$AD$22,0),2))&lt;&gt;"",INDEX(BDHKI,MATCH($A57,DiemHKI!$B$4:$B$58,0),INDEX($AD$9:$AF$22,MATCH(H$7,$AD$9:$AD$22,0),3)),""),"")</f>
        <v/>
      </c>
      <c r="I57" s="295" t="str">
        <f>IF($A57&lt;&gt;"",IF(INDEX(BDHKI,MATCH($A57,DiemHKI!$B$4:$B$58,0),INDEX($AD$9:$AF$22,MATCH(I$7,$AD$9:$AD$22,0),2))&lt;&gt;"",INDEX(BDHKI,MATCH($A57,DiemHKI!$B$4:$B$58,0),INDEX($AD$9:$AF$22,MATCH(I$7,$AD$9:$AD$22,0),3)),""),"")</f>
        <v/>
      </c>
      <c r="J57" s="295" t="str">
        <f>IF($A57&lt;&gt;"",IF(INDEX(BDHKI,MATCH($A57,DiemHKI!$B$4:$B$58,0),INDEX($AD$9:$AF$22,MATCH(J$7,$AD$9:$AD$22,0),2))&lt;&gt;"",INDEX(BDHKI,MATCH($A57,DiemHKI!$B$4:$B$58,0),INDEX($AD$9:$AF$22,MATCH(J$7,$AD$9:$AD$22,0),3)),""),"")</f>
        <v/>
      </c>
      <c r="K57" s="295" t="str">
        <f>IF($A57&lt;&gt;"",IF(INDEX(BDHKI,MATCH($A57,DiemHKI!$B$4:$B$58,0),INDEX($AD$9:$AF$22,MATCH(K$7,$AD$9:$AD$22,0),2))&lt;&gt;"",INDEX(BDHKI,MATCH($A57,DiemHKI!$B$4:$B$58,0),INDEX($AD$9:$AF$22,MATCH(K$7,$AD$9:$AD$22,0),3)),""),"")</f>
        <v/>
      </c>
      <c r="L57" s="295" t="str">
        <f>IF($A57&lt;&gt;"",IF(INDEX(BDHKI,MATCH($A57,DiemHKI!$B$4:$B$58,0),INDEX($AD$9:$AF$22,MATCH(L$7,$AD$9:$AD$22,0),2))&lt;&gt;"",INDEX(BDHKI,MATCH($A57,DiemHKI!$B$4:$B$58,0),INDEX($AD$9:$AF$22,MATCH(L$7,$AD$9:$AD$22,0),3)),""),"")</f>
        <v/>
      </c>
      <c r="M57" s="295" t="str">
        <f>IF($A57&lt;&gt;"",IF(INDEX(BDHKI,MATCH($A57,DiemHKI!$B$4:$B$58,0),INDEX($AD$9:$AF$22,MATCH(M$7,$AD$9:$AD$22,0),2))&lt;&gt;"",INDEX(BDHKI,MATCH($A57,DiemHKI!$B$4:$B$58,0),INDEX($AD$9:$AF$22,MATCH(M$7,$AD$9:$AD$22,0),3)),""),"")</f>
        <v/>
      </c>
      <c r="N57" s="295" t="str">
        <f>IF($A57&lt;&gt;"",IF(INDEX(BDHKI,MATCH($A57,DiemHKI!$B$4:$B$58,0),INDEX($AD$9:$AF$22,MATCH(N$7,$AD$9:$AD$22,0),2))&lt;&gt;"",INDEX(BDHKI,MATCH($A57,DiemHKI!$B$4:$B$58,0),INDEX($AD$9:$AF$22,MATCH(N$7,$AD$9:$AD$22,0),3)),""),"")</f>
        <v/>
      </c>
      <c r="O57" s="295" t="str">
        <f>IF($A57&lt;&gt;"",IF(INDEX(BDHKI,MATCH($A57,DiemHKI!$B$4:$B$58,0),INDEX($AD$9:$AF$22,MATCH(O$7,$AD$9:$AD$22,0),2))&lt;&gt;"",INDEX(BDHKI,MATCH($A57,DiemHKI!$B$4:$B$58,0),INDEX($AD$9:$AF$22,MATCH(O$7,$AD$9:$AD$22,0),3)),""),"")</f>
        <v/>
      </c>
      <c r="P57" s="295" t="str">
        <f>IF($A57&lt;&gt;"",IF(INDEX(BDHKI,MATCH($A57,DiemHKI!$B$4:$B$58,0),INDEX($AD$9:$AF$22,MATCH(P$7,$AD$9:$AD$22,0),2))&lt;&gt;"",INDEX(BDHKI,MATCH($A57,DiemHKI!$B$4:$B$58,0),INDEX($AD$9:$AF$22,MATCH(P$7,$AD$9:$AD$22,0),3)),""),"")</f>
        <v/>
      </c>
      <c r="Q57" s="295" t="str">
        <f>IF($A57&lt;&gt;"",IF(INDEX(BDHKI,MATCH($A57,DiemHKI!$B$4:$B$58,0),INDEX($AD$9:$AF$22,MATCH(Q$7,$AD$9:$AD$22,0),2))&lt;&gt;"",INDEX(BDHKI,MATCH($A57,DiemHKI!$B$4:$B$58,0),INDEX($AD$9:$AF$22,MATCH(Q$7,$AD$9:$AD$22,0),3)),""),"")</f>
        <v/>
      </c>
      <c r="R57" s="296" t="str">
        <f>IF($A57&lt;&gt;"",IF(INDEX(BDHKI,MATCH($A57,DiemHKI!$B$4:$B$58,0),INDEX($AD$9:$AF$22,MATCH(R$7,$AD$9:$AD$22,0),2))&lt;&gt;"",INDEX(BDHKI,MATCH($A57,DiemHKI!$B$4:$B$58,0),INDEX($AD$9:$AF$22,MATCH(R$7,$AD$9:$AD$22,0),3)),""),"")</f>
        <v/>
      </c>
      <c r="S57" s="296" t="str">
        <f t="shared" si="7"/>
        <v/>
      </c>
      <c r="T57" s="295" t="str">
        <f>IF($A57&lt;&gt;"",IF(INDEX(BDHKI,MATCH($A57,DiemHKI!$B$4:$B$58,0),INDEX($AD$9:$AF$22,MATCH(T$7,$AD$9:$AD$22,0),2))&lt;&gt;"",INDEX(BDHKI,MATCH($A57,DiemHKI!$B$4:$B$58,0),INDEX($AD$9:$AF$22,MATCH(T$7,$AD$9:$AD$22,0),3)),""),"")</f>
        <v/>
      </c>
      <c r="U57" s="297" t="str">
        <f>IF($A57&lt;&gt;"",IF(INDEX(BDHKI,MATCH($A57,DiemHKI!$B$4:$B$58,0),INDEX($AD$9:$AF$22,MATCH(U$7,$AD$9:$AD$22,0),2))&lt;&gt;"",INDEX(BDHKI,MATCH($A57,DiemHKI!$B$4:$B$58,0),INDEX($AD$9:$AF$22,MATCH(U$7,$AD$9:$AD$22,0),3)),""),"")</f>
        <v/>
      </c>
      <c r="V57" s="298" t="str">
        <f t="shared" si="8"/>
        <v/>
      </c>
      <c r="W57" s="296" t="str">
        <f t="shared" si="9"/>
        <v/>
      </c>
      <c r="X57" s="354"/>
      <c r="Y57" s="299" t="str">
        <f t="shared" si="10"/>
        <v/>
      </c>
      <c r="AA57" s="644" t="str">
        <f t="shared" si="4"/>
        <v/>
      </c>
      <c r="AB57" s="1"/>
      <c r="AG57" s="268" t="str">
        <f>IF($A57&lt;&gt;"",INDEX(DiemHKI!$DI$4:$DI$58,MATCH($A57,DiemHKI!$B$4:$B$58,0),1),"")</f>
        <v/>
      </c>
      <c r="AH57" s="674" t="str">
        <f t="shared" si="5"/>
        <v/>
      </c>
      <c r="AI57" s="672" t="str">
        <f t="shared" ca="1" si="6"/>
        <v/>
      </c>
    </row>
    <row r="58" spans="1:35" s="268" customFormat="1" ht="29.1" hidden="1" customHeight="1">
      <c r="A58" s="274" t="str">
        <f>IF(A57&lt;MAX(DiemHKI!$B$4:$B$58),A57+1,"")</f>
        <v/>
      </c>
      <c r="B58" s="275" t="str">
        <f>IF($A58&lt;&gt;"",PROPER(INDEX(DiemHKI!$B$4:$CP$58,MATCH($A58,DiemHKI!$B$4:$B$58,0),3)),"")</f>
        <v/>
      </c>
      <c r="C58" s="276" t="str">
        <f>IF($A58&lt;&gt;"",PROPER(INDEX(DiemHKI!$B$4:$CP$58,MATCH($A58,DiemHKI!$B$4:$B$58,0),4)),"")</f>
        <v/>
      </c>
      <c r="D58" s="277" t="str">
        <f>IF($A58&lt;&gt;"",IF(INDEX(DiemHKI!$B$4:$CP$58,MATCH($A58,DiemHKI!$B$4:$B$58,0),7)&lt;&gt;"",INDEX(DiemHKI!$B$4:$CP$58,MATCH($A58,DiemHKI!$B$4:$B$58,0),7),""),"")</f>
        <v/>
      </c>
      <c r="E58" s="277" t="str">
        <f>IF($A58&lt;&gt;"",IF(INDEX(DiemHKI!$B$4:$CP$58,MATCH($A58,DiemHKI!$B$4:$B$58,0),8)&lt;&gt;"",INDEX(DiemHKI!$B$4:$CP$58,MATCH($A58,DiemHKI!$B$4:$B$58,0),8),""),"")</f>
        <v/>
      </c>
      <c r="F58" s="277" t="str">
        <f>IF($A58&lt;&gt;"",IF(INDEX(DiemHKI!$B$4:$CP$58,MATCH($A58,DiemHKI!$B$4:$B$58,0),9)&lt;&gt;"",INDEX(DiemHKI!$B$4:$CP$58,MATCH($A58,DiemHKI!$B$4:$B$58,0),9),""),"")</f>
        <v/>
      </c>
      <c r="G58" s="300" t="str">
        <f>IF($A58&lt;&gt;"",IF(INDEX(BDHKI,MATCH($A58,DiemHKI!$B$4:$B$58,0),INDEX($AD$9:$AF$22,MATCH(G$7,$AD$9:$AD$22,0),2))&lt;&gt;"",INDEX(BDHKI,MATCH($A58,DiemHKI!$B$4:$B$58,0),INDEX($AD$9:$AF$22,MATCH(G$7,$AD$9:$AD$22,0),3)),""),"")</f>
        <v/>
      </c>
      <c r="H58" s="301" t="str">
        <f>IF($A58&lt;&gt;"",IF(INDEX(BDHKI,MATCH($A58,DiemHKI!$B$4:$B$58,0),INDEX($AD$9:$AF$22,MATCH(H$7,$AD$9:$AD$22,0),2))&lt;&gt;"",INDEX(BDHKI,MATCH($A58,DiemHKI!$B$4:$B$58,0),INDEX($AD$9:$AF$22,MATCH(H$7,$AD$9:$AD$22,0),3)),""),"")</f>
        <v/>
      </c>
      <c r="I58" s="301" t="str">
        <f>IF($A58&lt;&gt;"",IF(INDEX(BDHKI,MATCH($A58,DiemHKI!$B$4:$B$58,0),INDEX($AD$9:$AF$22,MATCH(I$7,$AD$9:$AD$22,0),2))&lt;&gt;"",INDEX(BDHKI,MATCH($A58,DiemHKI!$B$4:$B$58,0),INDEX($AD$9:$AF$22,MATCH(I$7,$AD$9:$AD$22,0),3)),""),"")</f>
        <v/>
      </c>
      <c r="J58" s="301" t="str">
        <f>IF($A58&lt;&gt;"",IF(INDEX(BDHKI,MATCH($A58,DiemHKI!$B$4:$B$58,0),INDEX($AD$9:$AF$22,MATCH(J$7,$AD$9:$AD$22,0),2))&lt;&gt;"",INDEX(BDHKI,MATCH($A58,DiemHKI!$B$4:$B$58,0),INDEX($AD$9:$AF$22,MATCH(J$7,$AD$9:$AD$22,0),3)),""),"")</f>
        <v/>
      </c>
      <c r="K58" s="301" t="str">
        <f>IF($A58&lt;&gt;"",IF(INDEX(BDHKI,MATCH($A58,DiemHKI!$B$4:$B$58,0),INDEX($AD$9:$AF$22,MATCH(K$7,$AD$9:$AD$22,0),2))&lt;&gt;"",INDEX(BDHKI,MATCH($A58,DiemHKI!$B$4:$B$58,0),INDEX($AD$9:$AF$22,MATCH(K$7,$AD$9:$AD$22,0),3)),""),"")</f>
        <v/>
      </c>
      <c r="L58" s="301" t="str">
        <f>IF($A58&lt;&gt;"",IF(INDEX(BDHKI,MATCH($A58,DiemHKI!$B$4:$B$58,0),INDEX($AD$9:$AF$22,MATCH(L$7,$AD$9:$AD$22,0),2))&lt;&gt;"",INDEX(BDHKI,MATCH($A58,DiemHKI!$B$4:$B$58,0),INDEX($AD$9:$AF$22,MATCH(L$7,$AD$9:$AD$22,0),3)),""),"")</f>
        <v/>
      </c>
      <c r="M58" s="301" t="str">
        <f>IF($A58&lt;&gt;"",IF(INDEX(BDHKI,MATCH($A58,DiemHKI!$B$4:$B$58,0),INDEX($AD$9:$AF$22,MATCH(M$7,$AD$9:$AD$22,0),2))&lt;&gt;"",INDEX(BDHKI,MATCH($A58,DiemHKI!$B$4:$B$58,0),INDEX($AD$9:$AF$22,MATCH(M$7,$AD$9:$AD$22,0),3)),""),"")</f>
        <v/>
      </c>
      <c r="N58" s="301" t="str">
        <f>IF($A58&lt;&gt;"",IF(INDEX(BDHKI,MATCH($A58,DiemHKI!$B$4:$B$58,0),INDEX($AD$9:$AF$22,MATCH(N$7,$AD$9:$AD$22,0),2))&lt;&gt;"",INDEX(BDHKI,MATCH($A58,DiemHKI!$B$4:$B$58,0),INDEX($AD$9:$AF$22,MATCH(N$7,$AD$9:$AD$22,0),3)),""),"")</f>
        <v/>
      </c>
      <c r="O58" s="301" t="str">
        <f>IF($A58&lt;&gt;"",IF(INDEX(BDHKI,MATCH($A58,DiemHKI!$B$4:$B$58,0),INDEX($AD$9:$AF$22,MATCH(O$7,$AD$9:$AD$22,0),2))&lt;&gt;"",INDEX(BDHKI,MATCH($A58,DiemHKI!$B$4:$B$58,0),INDEX($AD$9:$AF$22,MATCH(O$7,$AD$9:$AD$22,0),3)),""),"")</f>
        <v/>
      </c>
      <c r="P58" s="301" t="str">
        <f>IF($A58&lt;&gt;"",IF(INDEX(BDHKI,MATCH($A58,DiemHKI!$B$4:$B$58,0),INDEX($AD$9:$AF$22,MATCH(P$7,$AD$9:$AD$22,0),2))&lt;&gt;"",INDEX(BDHKI,MATCH($A58,DiemHKI!$B$4:$B$58,0),INDEX($AD$9:$AF$22,MATCH(P$7,$AD$9:$AD$22,0),3)),""),"")</f>
        <v/>
      </c>
      <c r="Q58" s="301" t="str">
        <f>IF($A58&lt;&gt;"",IF(INDEX(BDHKI,MATCH($A58,DiemHKI!$B$4:$B$58,0),INDEX($AD$9:$AF$22,MATCH(Q$7,$AD$9:$AD$22,0),2))&lt;&gt;"",INDEX(BDHKI,MATCH($A58,DiemHKI!$B$4:$B$58,0),INDEX($AD$9:$AF$22,MATCH(Q$7,$AD$9:$AD$22,0),3)),""),"")</f>
        <v/>
      </c>
      <c r="R58" s="279" t="str">
        <f>IF($A58&lt;&gt;"",IF(INDEX(BDHKI,MATCH($A58,DiemHKI!$B$4:$B$58,0),INDEX($AD$9:$AF$22,MATCH(R$7,$AD$9:$AD$22,0),2))&lt;&gt;"",INDEX(BDHKI,MATCH($A58,DiemHKI!$B$4:$B$58,0),INDEX($AD$9:$AF$22,MATCH(R$7,$AD$9:$AD$22,0),3)),""),"")</f>
        <v/>
      </c>
      <c r="S58" s="279" t="str">
        <f t="shared" si="0"/>
        <v/>
      </c>
      <c r="T58" s="301" t="str">
        <f>IF($A58&lt;&gt;"",IF(INDEX(BDHKI,MATCH($A58,DiemHKI!$B$4:$B$58,0),INDEX($AD$9:$AF$22,MATCH(T$7,$AD$9:$AD$22,0),2))&lt;&gt;"",INDEX(BDHKI,MATCH($A58,DiemHKI!$B$4:$B$58,0),INDEX($AD$9:$AF$22,MATCH(T$7,$AD$9:$AD$22,0),3)),""),"")</f>
        <v/>
      </c>
      <c r="U58" s="302" t="str">
        <f>IF($A58&lt;&gt;"",IF(INDEX(BDHKI,MATCH($A58,DiemHKI!$B$4:$B$58,0),INDEX($AD$9:$AF$22,MATCH(U$7,$AD$9:$AD$22,0),2))&lt;&gt;"",INDEX(BDHKI,MATCH($A58,DiemHKI!$B$4:$B$58,0),INDEX($AD$9:$AF$22,MATCH(U$7,$AD$9:$AD$22,0),3)),""),"")</f>
        <v/>
      </c>
      <c r="V58" s="278" t="str">
        <f t="shared" ref="V58:V62" si="11">IF(COUNT(G58:Q58,T58:U58)&gt;=11,ROUND(AVERAGE(G58:Q58,T58),1),"")</f>
        <v/>
      </c>
      <c r="W58" s="279" t="str">
        <f t="shared" si="2"/>
        <v/>
      </c>
      <c r="X58" s="352"/>
      <c r="Y58" s="280" t="str">
        <f t="shared" si="3"/>
        <v/>
      </c>
      <c r="AA58" s="644" t="str">
        <f t="shared" si="4"/>
        <v/>
      </c>
      <c r="AB58" s="1"/>
      <c r="AG58" s="268" t="str">
        <f>IF($A58&lt;&gt;"",INDEX(DiemHKI!$DI$4:$DI$58,MATCH($A58,DiemHKI!$B$4:$B$58,0),1),"")</f>
        <v/>
      </c>
      <c r="AH58" s="674" t="str">
        <f t="shared" si="5"/>
        <v/>
      </c>
      <c r="AI58" s="672" t="str">
        <f t="shared" ref="AI58:AI62" ca="1" si="12">IF(AND(V58&gt;=8,W58="Khá",MIN(H58:K58,M58:N58,P58:Q58,T58)&lt;6.5),OFFSET(INDEX(G58:Q58,1,MATCH(MIN(H58:K58,M58:N58,P58:Q58,T58),G58:Q58,0)),-A58,0)&amp;" "&amp;IF(AND(V58&gt;=8,W58="Khá"),MIN(H58:K58,M58:N58,P58:Q58,T58),""),"")&amp;IF(AND(V58&gt;=6.5,W58="Tb",MIN(H58:K58,M58:N58,P58:Q58,T58)&lt;5),OFFSET(INDEX(G58:Q58,1,MATCH(MIN(H58:K58,M58:N58,P58:Q58,T58),G58:Q58,0)),-A58,0)&amp;" "&amp;IF(AND(V58&gt;=6.5,W58="Tb"),MIN(H58:K58,M58:N58,P58:Q58,T58),""),"")&amp;IF(AND(V58&gt;=5,W58="Yếu",MIN(H58:K58,M58:N58,P58:Q58,T58)&lt;3.5),OFFSET(INDEX(G58:Q58,1,MATCH(MIN(H58:K58,M58:N58,P58:Q58,T58),G58:Q58,0)),-A58,0)&amp;" "&amp;IF(AND(V58&gt;=5,W58="Yếu"),MIN(H58:K58,M58:N58,P58:Q58,T58),""),"")</f>
        <v/>
      </c>
    </row>
    <row r="59" spans="1:35" s="268" customFormat="1" ht="29.1" hidden="1" customHeight="1">
      <c r="A59" s="281" t="str">
        <f>IF(A58&lt;MAX(DiemHKI!$B$4:$B$58),A58+1,"")</f>
        <v/>
      </c>
      <c r="B59" s="282" t="str">
        <f>IF($A59&lt;&gt;"",PROPER(INDEX(DiemHKI!$B$4:$CP$58,MATCH($A59,DiemHKI!$B$4:$B$58,0),3)),"")</f>
        <v/>
      </c>
      <c r="C59" s="283" t="str">
        <f>IF($A59&lt;&gt;"",PROPER(INDEX(DiemHKI!$B$4:$CP$58,MATCH($A59,DiemHKI!$B$4:$B$58,0),4)),"")</f>
        <v/>
      </c>
      <c r="D59" s="284" t="str">
        <f>IF($A59&lt;&gt;"",IF(INDEX(DiemHKI!$B$4:$CP$58,MATCH($A59,DiemHKI!$B$4:$B$58,0),7)&lt;&gt;"",INDEX(DiemHKI!$B$4:$CP$58,MATCH($A59,DiemHKI!$B$4:$B$58,0),7),""),"")</f>
        <v/>
      </c>
      <c r="E59" s="284" t="str">
        <f>IF($A59&lt;&gt;"",IF(INDEX(DiemHKI!$B$4:$CP$58,MATCH($A59,DiemHKI!$B$4:$B$58,0),8)&lt;&gt;"",INDEX(DiemHKI!$B$4:$CP$58,MATCH($A59,DiemHKI!$B$4:$B$58,0),8),""),"")</f>
        <v/>
      </c>
      <c r="F59" s="284" t="str">
        <f>IF($A59&lt;&gt;"",IF(INDEX(DiemHKI!$B$4:$CP$58,MATCH($A59,DiemHKI!$B$4:$B$58,0),9)&lt;&gt;"",INDEX(DiemHKI!$B$4:$CP$58,MATCH($A59,DiemHKI!$B$4:$B$58,0),9),""),"")</f>
        <v/>
      </c>
      <c r="G59" s="285" t="str">
        <f>IF($A59&lt;&gt;"",IF(INDEX(BDHKI,MATCH($A59,DiemHKI!$B$4:$B$58,0),INDEX($AD$9:$AF$22,MATCH(G$7,$AD$9:$AD$22,0),2))&lt;&gt;"",INDEX(BDHKI,MATCH($A59,DiemHKI!$B$4:$B$58,0),INDEX($AD$9:$AF$22,MATCH(G$7,$AD$9:$AD$22,0),3)),""),"")</f>
        <v/>
      </c>
      <c r="H59" s="286" t="str">
        <f>IF($A59&lt;&gt;"",IF(INDEX(BDHKI,MATCH($A59,DiemHKI!$B$4:$B$58,0),INDEX($AD$9:$AF$22,MATCH(H$7,$AD$9:$AD$22,0),2))&lt;&gt;"",INDEX(BDHKI,MATCH($A59,DiemHKI!$B$4:$B$58,0),INDEX($AD$9:$AF$22,MATCH(H$7,$AD$9:$AD$22,0),3)),""),"")</f>
        <v/>
      </c>
      <c r="I59" s="286" t="str">
        <f>IF($A59&lt;&gt;"",IF(INDEX(BDHKI,MATCH($A59,DiemHKI!$B$4:$B$58,0),INDEX($AD$9:$AF$22,MATCH(I$7,$AD$9:$AD$22,0),2))&lt;&gt;"",INDEX(BDHKI,MATCH($A59,DiemHKI!$B$4:$B$58,0),INDEX($AD$9:$AF$22,MATCH(I$7,$AD$9:$AD$22,0),3)),""),"")</f>
        <v/>
      </c>
      <c r="J59" s="286" t="str">
        <f>IF($A59&lt;&gt;"",IF(INDEX(BDHKI,MATCH($A59,DiemHKI!$B$4:$B$58,0),INDEX($AD$9:$AF$22,MATCH(J$7,$AD$9:$AD$22,0),2))&lt;&gt;"",INDEX(BDHKI,MATCH($A59,DiemHKI!$B$4:$B$58,0),INDEX($AD$9:$AF$22,MATCH(J$7,$AD$9:$AD$22,0),3)),""),"")</f>
        <v/>
      </c>
      <c r="K59" s="286" t="str">
        <f>IF($A59&lt;&gt;"",IF(INDEX(BDHKI,MATCH($A59,DiemHKI!$B$4:$B$58,0),INDEX($AD$9:$AF$22,MATCH(K$7,$AD$9:$AD$22,0),2))&lt;&gt;"",INDEX(BDHKI,MATCH($A59,DiemHKI!$B$4:$B$58,0),INDEX($AD$9:$AF$22,MATCH(K$7,$AD$9:$AD$22,0),3)),""),"")</f>
        <v/>
      </c>
      <c r="L59" s="286" t="str">
        <f>IF($A59&lt;&gt;"",IF(INDEX(BDHKI,MATCH($A59,DiemHKI!$B$4:$B$58,0),INDEX($AD$9:$AF$22,MATCH(L$7,$AD$9:$AD$22,0),2))&lt;&gt;"",INDEX(BDHKI,MATCH($A59,DiemHKI!$B$4:$B$58,0),INDEX($AD$9:$AF$22,MATCH(L$7,$AD$9:$AD$22,0),3)),""),"")</f>
        <v/>
      </c>
      <c r="M59" s="286" t="str">
        <f>IF($A59&lt;&gt;"",IF(INDEX(BDHKI,MATCH($A59,DiemHKI!$B$4:$B$58,0),INDEX($AD$9:$AF$22,MATCH(M$7,$AD$9:$AD$22,0),2))&lt;&gt;"",INDEX(BDHKI,MATCH($A59,DiemHKI!$B$4:$B$58,0),INDEX($AD$9:$AF$22,MATCH(M$7,$AD$9:$AD$22,0),3)),""),"")</f>
        <v/>
      </c>
      <c r="N59" s="286" t="str">
        <f>IF($A59&lt;&gt;"",IF(INDEX(BDHKI,MATCH($A59,DiemHKI!$B$4:$B$58,0),INDEX($AD$9:$AF$22,MATCH(N$7,$AD$9:$AD$22,0),2))&lt;&gt;"",INDEX(BDHKI,MATCH($A59,DiemHKI!$B$4:$B$58,0),INDEX($AD$9:$AF$22,MATCH(N$7,$AD$9:$AD$22,0),3)),""),"")</f>
        <v/>
      </c>
      <c r="O59" s="286" t="str">
        <f>IF($A59&lt;&gt;"",IF(INDEX(BDHKI,MATCH($A59,DiemHKI!$B$4:$B$58,0),INDEX($AD$9:$AF$22,MATCH(O$7,$AD$9:$AD$22,0),2))&lt;&gt;"",INDEX(BDHKI,MATCH($A59,DiemHKI!$B$4:$B$58,0),INDEX($AD$9:$AF$22,MATCH(O$7,$AD$9:$AD$22,0),3)),""),"")</f>
        <v/>
      </c>
      <c r="P59" s="286" t="str">
        <f>IF($A59&lt;&gt;"",IF(INDEX(BDHKI,MATCH($A59,DiemHKI!$B$4:$B$58,0),INDEX($AD$9:$AF$22,MATCH(P$7,$AD$9:$AD$22,0),2))&lt;&gt;"",INDEX(BDHKI,MATCH($A59,DiemHKI!$B$4:$B$58,0),INDEX($AD$9:$AF$22,MATCH(P$7,$AD$9:$AD$22,0),3)),""),"")</f>
        <v/>
      </c>
      <c r="Q59" s="286" t="str">
        <f>IF($A59&lt;&gt;"",IF(INDEX(BDHKI,MATCH($A59,DiemHKI!$B$4:$B$58,0),INDEX($AD$9:$AF$22,MATCH(Q$7,$AD$9:$AD$22,0),2))&lt;&gt;"",INDEX(BDHKI,MATCH($A59,DiemHKI!$B$4:$B$58,0),INDEX($AD$9:$AF$22,MATCH(Q$7,$AD$9:$AD$22,0),3)),""),"")</f>
        <v/>
      </c>
      <c r="R59" s="464" t="str">
        <f>IF($A59&lt;&gt;"",IF(INDEX(BDHKI,MATCH($A59,DiemHKI!$B$4:$B$58,0),INDEX($AD$9:$AF$22,MATCH(R$7,$AD$9:$AD$22,0),2))&lt;&gt;"",INDEX(BDHKI,MATCH($A59,DiemHKI!$B$4:$B$58,0),INDEX($AD$9:$AF$22,MATCH(R$7,$AD$9:$AD$22,0),3)),""),"")</f>
        <v/>
      </c>
      <c r="S59" s="464" t="str">
        <f t="shared" si="0"/>
        <v/>
      </c>
      <c r="T59" s="286" t="str">
        <f>IF($A59&lt;&gt;"",IF(INDEX(BDHKI,MATCH($A59,DiemHKI!$B$4:$B$58,0),INDEX($AD$9:$AF$22,MATCH(T$7,$AD$9:$AD$22,0),2))&lt;&gt;"",INDEX(BDHKI,MATCH($A59,DiemHKI!$B$4:$B$58,0),INDEX($AD$9:$AF$22,MATCH(T$7,$AD$9:$AD$22,0),3)),""),"")</f>
        <v/>
      </c>
      <c r="U59" s="287" t="str">
        <f>IF($A59&lt;&gt;"",IF(INDEX(BDHKI,MATCH($A59,DiemHKI!$B$4:$B$58,0),INDEX($AD$9:$AF$22,MATCH(U$7,$AD$9:$AD$22,0),2))&lt;&gt;"",INDEX(BDHKI,MATCH($A59,DiemHKI!$B$4:$B$58,0),INDEX($AD$9:$AF$22,MATCH(U$7,$AD$9:$AD$22,0),3)),""),"")</f>
        <v/>
      </c>
      <c r="V59" s="288" t="str">
        <f t="shared" si="11"/>
        <v/>
      </c>
      <c r="W59" s="464" t="str">
        <f t="shared" si="2"/>
        <v/>
      </c>
      <c r="X59" s="353"/>
      <c r="Y59" s="289" t="str">
        <f t="shared" si="3"/>
        <v/>
      </c>
      <c r="AA59" s="644" t="str">
        <f t="shared" si="4"/>
        <v/>
      </c>
      <c r="AB59" s="1"/>
      <c r="AG59" s="268" t="str">
        <f>IF($A59&lt;&gt;"",INDEX(DiemHKI!$DI$4:$DI$58,MATCH($A59,DiemHKI!$B$4:$B$58,0),1),"")</f>
        <v/>
      </c>
      <c r="AH59" s="674" t="str">
        <f t="shared" si="5"/>
        <v/>
      </c>
      <c r="AI59" s="672" t="str">
        <f t="shared" ca="1" si="12"/>
        <v/>
      </c>
    </row>
    <row r="60" spans="1:35" s="268" customFormat="1" ht="29.1" hidden="1" customHeight="1">
      <c r="A60" s="281" t="str">
        <f>IF(A59&lt;MAX(DiemHKI!$B$4:$B$58),A59+1,"")</f>
        <v/>
      </c>
      <c r="B60" s="282" t="str">
        <f>IF($A60&lt;&gt;"",PROPER(INDEX(DiemHKI!$B$4:$CP$58,MATCH($A60,DiemHKI!$B$4:$B$58,0),3)),"")</f>
        <v/>
      </c>
      <c r="C60" s="283" t="str">
        <f>IF($A60&lt;&gt;"",PROPER(INDEX(DiemHKI!$B$4:$CP$58,MATCH($A60,DiemHKI!$B$4:$B$58,0),4)),"")</f>
        <v/>
      </c>
      <c r="D60" s="284" t="str">
        <f>IF($A60&lt;&gt;"",IF(INDEX(DiemHKI!$B$4:$CP$58,MATCH($A60,DiemHKI!$B$4:$B$58,0),7)&lt;&gt;"",INDEX(DiemHKI!$B$4:$CP$58,MATCH($A60,DiemHKI!$B$4:$B$58,0),7),""),"")</f>
        <v/>
      </c>
      <c r="E60" s="284" t="str">
        <f>IF($A60&lt;&gt;"",IF(INDEX(DiemHKI!$B$4:$CP$58,MATCH($A60,DiemHKI!$B$4:$B$58,0),8)&lt;&gt;"",INDEX(DiemHKI!$B$4:$CP$58,MATCH($A60,DiemHKI!$B$4:$B$58,0),8),""),"")</f>
        <v/>
      </c>
      <c r="F60" s="284" t="str">
        <f>IF($A60&lt;&gt;"",IF(INDEX(DiemHKI!$B$4:$CP$58,MATCH($A60,DiemHKI!$B$4:$B$58,0),9)&lt;&gt;"",INDEX(DiemHKI!$B$4:$CP$58,MATCH($A60,DiemHKI!$B$4:$B$58,0),9),""),"")</f>
        <v/>
      </c>
      <c r="G60" s="285" t="str">
        <f>IF($A60&lt;&gt;"",IF(INDEX(BDHKI,MATCH($A60,DiemHKI!$B$4:$B$58,0),INDEX($AD$9:$AF$22,MATCH(G$7,$AD$9:$AD$22,0),2))&lt;&gt;"",INDEX(BDHKI,MATCH($A60,DiemHKI!$B$4:$B$58,0),INDEX($AD$9:$AF$22,MATCH(G$7,$AD$9:$AD$22,0),3)),""),"")</f>
        <v/>
      </c>
      <c r="H60" s="286" t="str">
        <f>IF($A60&lt;&gt;"",IF(INDEX(BDHKI,MATCH($A60,DiemHKI!$B$4:$B$58,0),INDEX($AD$9:$AF$22,MATCH(H$7,$AD$9:$AD$22,0),2))&lt;&gt;"",INDEX(BDHKI,MATCH($A60,DiemHKI!$B$4:$B$58,0),INDEX($AD$9:$AF$22,MATCH(H$7,$AD$9:$AD$22,0),3)),""),"")</f>
        <v/>
      </c>
      <c r="I60" s="286" t="str">
        <f>IF($A60&lt;&gt;"",IF(INDEX(BDHKI,MATCH($A60,DiemHKI!$B$4:$B$58,0),INDEX($AD$9:$AF$22,MATCH(I$7,$AD$9:$AD$22,0),2))&lt;&gt;"",INDEX(BDHKI,MATCH($A60,DiemHKI!$B$4:$B$58,0),INDEX($AD$9:$AF$22,MATCH(I$7,$AD$9:$AD$22,0),3)),""),"")</f>
        <v/>
      </c>
      <c r="J60" s="286" t="str">
        <f>IF($A60&lt;&gt;"",IF(INDEX(BDHKI,MATCH($A60,DiemHKI!$B$4:$B$58,0),INDEX($AD$9:$AF$22,MATCH(J$7,$AD$9:$AD$22,0),2))&lt;&gt;"",INDEX(BDHKI,MATCH($A60,DiemHKI!$B$4:$B$58,0),INDEX($AD$9:$AF$22,MATCH(J$7,$AD$9:$AD$22,0),3)),""),"")</f>
        <v/>
      </c>
      <c r="K60" s="286" t="str">
        <f>IF($A60&lt;&gt;"",IF(INDEX(BDHKI,MATCH($A60,DiemHKI!$B$4:$B$58,0),INDEX($AD$9:$AF$22,MATCH(K$7,$AD$9:$AD$22,0),2))&lt;&gt;"",INDEX(BDHKI,MATCH($A60,DiemHKI!$B$4:$B$58,0),INDEX($AD$9:$AF$22,MATCH(K$7,$AD$9:$AD$22,0),3)),""),"")</f>
        <v/>
      </c>
      <c r="L60" s="286" t="str">
        <f>IF($A60&lt;&gt;"",IF(INDEX(BDHKI,MATCH($A60,DiemHKI!$B$4:$B$58,0),INDEX($AD$9:$AF$22,MATCH(L$7,$AD$9:$AD$22,0),2))&lt;&gt;"",INDEX(BDHKI,MATCH($A60,DiemHKI!$B$4:$B$58,0),INDEX($AD$9:$AF$22,MATCH(L$7,$AD$9:$AD$22,0),3)),""),"")</f>
        <v/>
      </c>
      <c r="M60" s="286" t="str">
        <f>IF($A60&lt;&gt;"",IF(INDEX(BDHKI,MATCH($A60,DiemHKI!$B$4:$B$58,0),INDEX($AD$9:$AF$22,MATCH(M$7,$AD$9:$AD$22,0),2))&lt;&gt;"",INDEX(BDHKI,MATCH($A60,DiemHKI!$B$4:$B$58,0),INDEX($AD$9:$AF$22,MATCH(M$7,$AD$9:$AD$22,0),3)),""),"")</f>
        <v/>
      </c>
      <c r="N60" s="286" t="str">
        <f>IF($A60&lt;&gt;"",IF(INDEX(BDHKI,MATCH($A60,DiemHKI!$B$4:$B$58,0),INDEX($AD$9:$AF$22,MATCH(N$7,$AD$9:$AD$22,0),2))&lt;&gt;"",INDEX(BDHKI,MATCH($A60,DiemHKI!$B$4:$B$58,0),INDEX($AD$9:$AF$22,MATCH(N$7,$AD$9:$AD$22,0),3)),""),"")</f>
        <v/>
      </c>
      <c r="O60" s="286" t="str">
        <f>IF($A60&lt;&gt;"",IF(INDEX(BDHKI,MATCH($A60,DiemHKI!$B$4:$B$58,0),INDEX($AD$9:$AF$22,MATCH(O$7,$AD$9:$AD$22,0),2))&lt;&gt;"",INDEX(BDHKI,MATCH($A60,DiemHKI!$B$4:$B$58,0),INDEX($AD$9:$AF$22,MATCH(O$7,$AD$9:$AD$22,0),3)),""),"")</f>
        <v/>
      </c>
      <c r="P60" s="286" t="str">
        <f>IF($A60&lt;&gt;"",IF(INDEX(BDHKI,MATCH($A60,DiemHKI!$B$4:$B$58,0),INDEX($AD$9:$AF$22,MATCH(P$7,$AD$9:$AD$22,0),2))&lt;&gt;"",INDEX(BDHKI,MATCH($A60,DiemHKI!$B$4:$B$58,0),INDEX($AD$9:$AF$22,MATCH(P$7,$AD$9:$AD$22,0),3)),""),"")</f>
        <v/>
      </c>
      <c r="Q60" s="286" t="str">
        <f>IF($A60&lt;&gt;"",IF(INDEX(BDHKI,MATCH($A60,DiemHKI!$B$4:$B$58,0),INDEX($AD$9:$AF$22,MATCH(Q$7,$AD$9:$AD$22,0),2))&lt;&gt;"",INDEX(BDHKI,MATCH($A60,DiemHKI!$B$4:$B$58,0),INDEX($AD$9:$AF$22,MATCH(Q$7,$AD$9:$AD$22,0),3)),""),"")</f>
        <v/>
      </c>
      <c r="R60" s="464" t="str">
        <f>IF($A60&lt;&gt;"",IF(INDEX(BDHKI,MATCH($A60,DiemHKI!$B$4:$B$58,0),INDEX($AD$9:$AF$22,MATCH(R$7,$AD$9:$AD$22,0),2))&lt;&gt;"",INDEX(BDHKI,MATCH($A60,DiemHKI!$B$4:$B$58,0),INDEX($AD$9:$AF$22,MATCH(R$7,$AD$9:$AD$22,0),3)),""),"")</f>
        <v/>
      </c>
      <c r="S60" s="464" t="str">
        <f t="shared" si="0"/>
        <v/>
      </c>
      <c r="T60" s="286" t="str">
        <f>IF($A60&lt;&gt;"",IF(INDEX(BDHKI,MATCH($A60,DiemHKI!$B$4:$B$58,0),INDEX($AD$9:$AF$22,MATCH(T$7,$AD$9:$AD$22,0),2))&lt;&gt;"",INDEX(BDHKI,MATCH($A60,DiemHKI!$B$4:$B$58,0),INDEX($AD$9:$AF$22,MATCH(T$7,$AD$9:$AD$22,0),3)),""),"")</f>
        <v/>
      </c>
      <c r="U60" s="287" t="str">
        <f>IF($A60&lt;&gt;"",IF(INDEX(BDHKI,MATCH($A60,DiemHKI!$B$4:$B$58,0),INDEX($AD$9:$AF$22,MATCH(U$7,$AD$9:$AD$22,0),2))&lt;&gt;"",INDEX(BDHKI,MATCH($A60,DiemHKI!$B$4:$B$58,0),INDEX($AD$9:$AF$22,MATCH(U$7,$AD$9:$AD$22,0),3)),""),"")</f>
        <v/>
      </c>
      <c r="V60" s="288" t="str">
        <f t="shared" si="11"/>
        <v/>
      </c>
      <c r="W60" s="464" t="str">
        <f t="shared" si="2"/>
        <v/>
      </c>
      <c r="X60" s="353"/>
      <c r="Y60" s="289" t="str">
        <f t="shared" si="3"/>
        <v/>
      </c>
      <c r="AA60" s="644" t="str">
        <f t="shared" si="4"/>
        <v/>
      </c>
      <c r="AB60" s="1"/>
      <c r="AG60" s="268" t="str">
        <f>IF($A60&lt;&gt;"",INDEX(DiemHKI!$DI$4:$DI$58,MATCH($A60,DiemHKI!$B$4:$B$58,0),1),"")</f>
        <v/>
      </c>
      <c r="AH60" s="674" t="str">
        <f t="shared" si="5"/>
        <v/>
      </c>
      <c r="AI60" s="672" t="str">
        <f t="shared" ca="1" si="12"/>
        <v/>
      </c>
    </row>
    <row r="61" spans="1:35" s="268" customFormat="1" ht="29.1" hidden="1" customHeight="1">
      <c r="A61" s="281" t="str">
        <f>IF(A60&lt;MAX(DiemHKI!$B$4:$B$58),A60+1,"")</f>
        <v/>
      </c>
      <c r="B61" s="282" t="str">
        <f>IF($A61&lt;&gt;"",PROPER(INDEX(DiemHKI!$B$4:$CP$58,MATCH($A61,DiemHKI!$B$4:$B$58,0),3)),"")</f>
        <v/>
      </c>
      <c r="C61" s="283" t="str">
        <f>IF($A61&lt;&gt;"",PROPER(INDEX(DiemHKI!$B$4:$CP$58,MATCH($A61,DiemHKI!$B$4:$B$58,0),4)),"")</f>
        <v/>
      </c>
      <c r="D61" s="284" t="str">
        <f>IF($A61&lt;&gt;"",IF(INDEX(DiemHKI!$B$4:$CP$58,MATCH($A61,DiemHKI!$B$4:$B$58,0),7)&lt;&gt;"",INDEX(DiemHKI!$B$4:$CP$58,MATCH($A61,DiemHKI!$B$4:$B$58,0),7),""),"")</f>
        <v/>
      </c>
      <c r="E61" s="284" t="str">
        <f>IF($A61&lt;&gt;"",IF(INDEX(DiemHKI!$B$4:$CP$58,MATCH($A61,DiemHKI!$B$4:$B$58,0),8)&lt;&gt;"",INDEX(DiemHKI!$B$4:$CP$58,MATCH($A61,DiemHKI!$B$4:$B$58,0),8),""),"")</f>
        <v/>
      </c>
      <c r="F61" s="284" t="str">
        <f>IF($A61&lt;&gt;"",IF(INDEX(DiemHKI!$B$4:$CP$58,MATCH($A61,DiemHKI!$B$4:$B$58,0),9)&lt;&gt;"",INDEX(DiemHKI!$B$4:$CP$58,MATCH($A61,DiemHKI!$B$4:$B$58,0),9),""),"")</f>
        <v/>
      </c>
      <c r="G61" s="285" t="str">
        <f>IF($A61&lt;&gt;"",IF(INDEX(BDHKI,MATCH($A61,DiemHKI!$B$4:$B$58,0),INDEX($AD$9:$AF$22,MATCH(G$7,$AD$9:$AD$22,0),2))&lt;&gt;"",INDEX(BDHKI,MATCH($A61,DiemHKI!$B$4:$B$58,0),INDEX($AD$9:$AF$22,MATCH(G$7,$AD$9:$AD$22,0),3)),""),"")</f>
        <v/>
      </c>
      <c r="H61" s="286" t="str">
        <f>IF($A61&lt;&gt;"",IF(INDEX(BDHKI,MATCH($A61,DiemHKI!$B$4:$B$58,0),INDEX($AD$9:$AF$22,MATCH(H$7,$AD$9:$AD$22,0),2))&lt;&gt;"",INDEX(BDHKI,MATCH($A61,DiemHKI!$B$4:$B$58,0),INDEX($AD$9:$AF$22,MATCH(H$7,$AD$9:$AD$22,0),3)),""),"")</f>
        <v/>
      </c>
      <c r="I61" s="286" t="str">
        <f>IF($A61&lt;&gt;"",IF(INDEX(BDHKI,MATCH($A61,DiemHKI!$B$4:$B$58,0),INDEX($AD$9:$AF$22,MATCH(I$7,$AD$9:$AD$22,0),2))&lt;&gt;"",INDEX(BDHKI,MATCH($A61,DiemHKI!$B$4:$B$58,0),INDEX($AD$9:$AF$22,MATCH(I$7,$AD$9:$AD$22,0),3)),""),"")</f>
        <v/>
      </c>
      <c r="J61" s="286" t="str">
        <f>IF($A61&lt;&gt;"",IF(INDEX(BDHKI,MATCH($A61,DiemHKI!$B$4:$B$58,0),INDEX($AD$9:$AF$22,MATCH(J$7,$AD$9:$AD$22,0),2))&lt;&gt;"",INDEX(BDHKI,MATCH($A61,DiemHKI!$B$4:$B$58,0),INDEX($AD$9:$AF$22,MATCH(J$7,$AD$9:$AD$22,0),3)),""),"")</f>
        <v/>
      </c>
      <c r="K61" s="286" t="str">
        <f>IF($A61&lt;&gt;"",IF(INDEX(BDHKI,MATCH($A61,DiemHKI!$B$4:$B$58,0),INDEX($AD$9:$AF$22,MATCH(K$7,$AD$9:$AD$22,0),2))&lt;&gt;"",INDEX(BDHKI,MATCH($A61,DiemHKI!$B$4:$B$58,0),INDEX($AD$9:$AF$22,MATCH(K$7,$AD$9:$AD$22,0),3)),""),"")</f>
        <v/>
      </c>
      <c r="L61" s="286" t="str">
        <f>IF($A61&lt;&gt;"",IF(INDEX(BDHKI,MATCH($A61,DiemHKI!$B$4:$B$58,0),INDEX($AD$9:$AF$22,MATCH(L$7,$AD$9:$AD$22,0),2))&lt;&gt;"",INDEX(BDHKI,MATCH($A61,DiemHKI!$B$4:$B$58,0),INDEX($AD$9:$AF$22,MATCH(L$7,$AD$9:$AD$22,0),3)),""),"")</f>
        <v/>
      </c>
      <c r="M61" s="286" t="str">
        <f>IF($A61&lt;&gt;"",IF(INDEX(BDHKI,MATCH($A61,DiemHKI!$B$4:$B$58,0),INDEX($AD$9:$AF$22,MATCH(M$7,$AD$9:$AD$22,0),2))&lt;&gt;"",INDEX(BDHKI,MATCH($A61,DiemHKI!$B$4:$B$58,0),INDEX($AD$9:$AF$22,MATCH(M$7,$AD$9:$AD$22,0),3)),""),"")</f>
        <v/>
      </c>
      <c r="N61" s="286" t="str">
        <f>IF($A61&lt;&gt;"",IF(INDEX(BDHKI,MATCH($A61,DiemHKI!$B$4:$B$58,0),INDEX($AD$9:$AF$22,MATCH(N$7,$AD$9:$AD$22,0),2))&lt;&gt;"",INDEX(BDHKI,MATCH($A61,DiemHKI!$B$4:$B$58,0),INDEX($AD$9:$AF$22,MATCH(N$7,$AD$9:$AD$22,0),3)),""),"")</f>
        <v/>
      </c>
      <c r="O61" s="286" t="str">
        <f>IF($A61&lt;&gt;"",IF(INDEX(BDHKI,MATCH($A61,DiemHKI!$B$4:$B$58,0),INDEX($AD$9:$AF$22,MATCH(O$7,$AD$9:$AD$22,0),2))&lt;&gt;"",INDEX(BDHKI,MATCH($A61,DiemHKI!$B$4:$B$58,0),INDEX($AD$9:$AF$22,MATCH(O$7,$AD$9:$AD$22,0),3)),""),"")</f>
        <v/>
      </c>
      <c r="P61" s="286" t="str">
        <f>IF($A61&lt;&gt;"",IF(INDEX(BDHKI,MATCH($A61,DiemHKI!$B$4:$B$58,0),INDEX($AD$9:$AF$22,MATCH(P$7,$AD$9:$AD$22,0),2))&lt;&gt;"",INDEX(BDHKI,MATCH($A61,DiemHKI!$B$4:$B$58,0),INDEX($AD$9:$AF$22,MATCH(P$7,$AD$9:$AD$22,0),3)),""),"")</f>
        <v/>
      </c>
      <c r="Q61" s="286" t="str">
        <f>IF($A61&lt;&gt;"",IF(INDEX(BDHKI,MATCH($A61,DiemHKI!$B$4:$B$58,0),INDEX($AD$9:$AF$22,MATCH(Q$7,$AD$9:$AD$22,0),2))&lt;&gt;"",INDEX(BDHKI,MATCH($A61,DiemHKI!$B$4:$B$58,0),INDEX($AD$9:$AF$22,MATCH(Q$7,$AD$9:$AD$22,0),3)),""),"")</f>
        <v/>
      </c>
      <c r="R61" s="464" t="str">
        <f>IF($A61&lt;&gt;"",IF(INDEX(BDHKI,MATCH($A61,DiemHKI!$B$4:$B$58,0),INDEX($AD$9:$AF$22,MATCH(R$7,$AD$9:$AD$22,0),2))&lt;&gt;"",INDEX(BDHKI,MATCH($A61,DiemHKI!$B$4:$B$58,0),INDEX($AD$9:$AF$22,MATCH(R$7,$AD$9:$AD$22,0),3)),""),"")</f>
        <v/>
      </c>
      <c r="S61" s="464" t="str">
        <f t="shared" si="0"/>
        <v/>
      </c>
      <c r="T61" s="286" t="str">
        <f>IF($A61&lt;&gt;"",IF(INDEX(BDHKI,MATCH($A61,DiemHKI!$B$4:$B$58,0),INDEX($AD$9:$AF$22,MATCH(T$7,$AD$9:$AD$22,0),2))&lt;&gt;"",INDEX(BDHKI,MATCH($A61,DiemHKI!$B$4:$B$58,0),INDEX($AD$9:$AF$22,MATCH(T$7,$AD$9:$AD$22,0),3)),""),"")</f>
        <v/>
      </c>
      <c r="U61" s="287" t="str">
        <f>IF($A61&lt;&gt;"",IF(INDEX(BDHKI,MATCH($A61,DiemHKI!$B$4:$B$58,0),INDEX($AD$9:$AF$22,MATCH(U$7,$AD$9:$AD$22,0),2))&lt;&gt;"",INDEX(BDHKI,MATCH($A61,DiemHKI!$B$4:$B$58,0),INDEX($AD$9:$AF$22,MATCH(U$7,$AD$9:$AD$22,0),3)),""),"")</f>
        <v/>
      </c>
      <c r="V61" s="288" t="str">
        <f t="shared" si="11"/>
        <v/>
      </c>
      <c r="W61" s="464" t="str">
        <f t="shared" si="2"/>
        <v/>
      </c>
      <c r="X61" s="353"/>
      <c r="Y61" s="289" t="str">
        <f t="shared" si="3"/>
        <v/>
      </c>
      <c r="AA61" s="644" t="str">
        <f t="shared" si="4"/>
        <v/>
      </c>
      <c r="AB61" s="1"/>
      <c r="AG61" s="268" t="str">
        <f>IF($A61&lt;&gt;"",INDEX(DiemHKI!$DI$4:$DI$58,MATCH($A61,DiemHKI!$B$4:$B$58,0),1),"")</f>
        <v/>
      </c>
      <c r="AH61" s="674" t="str">
        <f t="shared" si="5"/>
        <v/>
      </c>
      <c r="AI61" s="672" t="str">
        <f t="shared" ca="1" si="12"/>
        <v/>
      </c>
    </row>
    <row r="62" spans="1:35" s="268" customFormat="1" ht="29.1" hidden="1" customHeight="1" thickBot="1">
      <c r="A62" s="290" t="str">
        <f>IF(A61&lt;MAX(DiemHKI!$B$4:$B$58),A61+1,"")</f>
        <v/>
      </c>
      <c r="B62" s="291" t="str">
        <f>IF($A62&lt;&gt;"",PROPER(INDEX(DiemHKI!$B$4:$CP$58,MATCH($A62,DiemHKI!$B$4:$B$58,0),3)),"")</f>
        <v/>
      </c>
      <c r="C62" s="292" t="str">
        <f>IF($A62&lt;&gt;"",PROPER(INDEX(DiemHKI!$B$4:$CP$58,MATCH($A62,DiemHKI!$B$4:$B$58,0),4)),"")</f>
        <v/>
      </c>
      <c r="D62" s="293" t="str">
        <f>IF($A62&lt;&gt;"",IF(INDEX(DiemHKI!$B$4:$CP$58,MATCH($A62,DiemHKI!$B$4:$B$58,0),7)&lt;&gt;"",INDEX(DiemHKI!$B$4:$CP$58,MATCH($A62,DiemHKI!$B$4:$B$58,0),7),""),"")</f>
        <v/>
      </c>
      <c r="E62" s="293" t="str">
        <f>IF($A62&lt;&gt;"",IF(INDEX(DiemHKI!$B$4:$CP$58,MATCH($A62,DiemHKI!$B$4:$B$58,0),8)&lt;&gt;"",INDEX(DiemHKI!$B$4:$CP$58,MATCH($A62,DiemHKI!$B$4:$B$58,0),8),""),"")</f>
        <v/>
      </c>
      <c r="F62" s="293" t="str">
        <f>IF($A62&lt;&gt;"",IF(INDEX(DiemHKI!$B$4:$CP$58,MATCH($A62,DiemHKI!$B$4:$B$58,0),9)&lt;&gt;"",INDEX(DiemHKI!$B$4:$CP$58,MATCH($A62,DiemHKI!$B$4:$B$58,0),9),""),"")</f>
        <v/>
      </c>
      <c r="G62" s="294" t="str">
        <f>IF($A62&lt;&gt;"",IF(INDEX(BDHKI,MATCH($A62,DiemHKI!$B$4:$B$58,0),INDEX($AD$9:$AF$22,MATCH(G$7,$AD$9:$AD$22,0),2))&lt;&gt;"",INDEX(BDHKI,MATCH($A62,DiemHKI!$B$4:$B$58,0),INDEX($AD$9:$AF$22,MATCH(G$7,$AD$9:$AD$22,0),3)),""),"")</f>
        <v/>
      </c>
      <c r="H62" s="295" t="str">
        <f>IF($A62&lt;&gt;"",IF(INDEX(BDHKI,MATCH($A62,DiemHKI!$B$4:$B$58,0),INDEX($AD$9:$AF$22,MATCH(H$7,$AD$9:$AD$22,0),2))&lt;&gt;"",INDEX(BDHKI,MATCH($A62,DiemHKI!$B$4:$B$58,0),INDEX($AD$9:$AF$22,MATCH(H$7,$AD$9:$AD$22,0),3)),""),"")</f>
        <v/>
      </c>
      <c r="I62" s="295" t="str">
        <f>IF($A62&lt;&gt;"",IF(INDEX(BDHKI,MATCH($A62,DiemHKI!$B$4:$B$58,0),INDEX($AD$9:$AF$22,MATCH(I$7,$AD$9:$AD$22,0),2))&lt;&gt;"",INDEX(BDHKI,MATCH($A62,DiemHKI!$B$4:$B$58,0),INDEX($AD$9:$AF$22,MATCH(I$7,$AD$9:$AD$22,0),3)),""),"")</f>
        <v/>
      </c>
      <c r="J62" s="295" t="str">
        <f>IF($A62&lt;&gt;"",IF(INDEX(BDHKI,MATCH($A62,DiemHKI!$B$4:$B$58,0),INDEX($AD$9:$AF$22,MATCH(J$7,$AD$9:$AD$22,0),2))&lt;&gt;"",INDEX(BDHKI,MATCH($A62,DiemHKI!$B$4:$B$58,0),INDEX($AD$9:$AF$22,MATCH(J$7,$AD$9:$AD$22,0),3)),""),"")</f>
        <v/>
      </c>
      <c r="K62" s="295" t="str">
        <f>IF($A62&lt;&gt;"",IF(INDEX(BDHKI,MATCH($A62,DiemHKI!$B$4:$B$58,0),INDEX($AD$9:$AF$22,MATCH(K$7,$AD$9:$AD$22,0),2))&lt;&gt;"",INDEX(BDHKI,MATCH($A62,DiemHKI!$B$4:$B$58,0),INDEX($AD$9:$AF$22,MATCH(K$7,$AD$9:$AD$22,0),3)),""),"")</f>
        <v/>
      </c>
      <c r="L62" s="295" t="str">
        <f>IF($A62&lt;&gt;"",IF(INDEX(BDHKI,MATCH($A62,DiemHKI!$B$4:$B$58,0),INDEX($AD$9:$AF$22,MATCH(L$7,$AD$9:$AD$22,0),2))&lt;&gt;"",INDEX(BDHKI,MATCH($A62,DiemHKI!$B$4:$B$58,0),INDEX($AD$9:$AF$22,MATCH(L$7,$AD$9:$AD$22,0),3)),""),"")</f>
        <v/>
      </c>
      <c r="M62" s="295" t="str">
        <f>IF($A62&lt;&gt;"",IF(INDEX(BDHKI,MATCH($A62,DiemHKI!$B$4:$B$58,0),INDEX($AD$9:$AF$22,MATCH(M$7,$AD$9:$AD$22,0),2))&lt;&gt;"",INDEX(BDHKI,MATCH($A62,DiemHKI!$B$4:$B$58,0),INDEX($AD$9:$AF$22,MATCH(M$7,$AD$9:$AD$22,0),3)),""),"")</f>
        <v/>
      </c>
      <c r="N62" s="295" t="str">
        <f>IF($A62&lt;&gt;"",IF(INDEX(BDHKI,MATCH($A62,DiemHKI!$B$4:$B$58,0),INDEX($AD$9:$AF$22,MATCH(N$7,$AD$9:$AD$22,0),2))&lt;&gt;"",INDEX(BDHKI,MATCH($A62,DiemHKI!$B$4:$B$58,0),INDEX($AD$9:$AF$22,MATCH(N$7,$AD$9:$AD$22,0),3)),""),"")</f>
        <v/>
      </c>
      <c r="O62" s="295" t="str">
        <f>IF($A62&lt;&gt;"",IF(INDEX(BDHKI,MATCH($A62,DiemHKI!$B$4:$B$58,0),INDEX($AD$9:$AF$22,MATCH(O$7,$AD$9:$AD$22,0),2))&lt;&gt;"",INDEX(BDHKI,MATCH($A62,DiemHKI!$B$4:$B$58,0),INDEX($AD$9:$AF$22,MATCH(O$7,$AD$9:$AD$22,0),3)),""),"")</f>
        <v/>
      </c>
      <c r="P62" s="295" t="str">
        <f>IF($A62&lt;&gt;"",IF(INDEX(BDHKI,MATCH($A62,DiemHKI!$B$4:$B$58,0),INDEX($AD$9:$AF$22,MATCH(P$7,$AD$9:$AD$22,0),2))&lt;&gt;"",INDEX(BDHKI,MATCH($A62,DiemHKI!$B$4:$B$58,0),INDEX($AD$9:$AF$22,MATCH(P$7,$AD$9:$AD$22,0),3)),""),"")</f>
        <v/>
      </c>
      <c r="Q62" s="295" t="str">
        <f>IF($A62&lt;&gt;"",IF(INDEX(BDHKI,MATCH($A62,DiemHKI!$B$4:$B$58,0),INDEX($AD$9:$AF$22,MATCH(Q$7,$AD$9:$AD$22,0),2))&lt;&gt;"",INDEX(BDHKI,MATCH($A62,DiemHKI!$B$4:$B$58,0),INDEX($AD$9:$AF$22,MATCH(Q$7,$AD$9:$AD$22,0),3)),""),"")</f>
        <v/>
      </c>
      <c r="R62" s="296" t="str">
        <f>IF($A62&lt;&gt;"",IF(INDEX(BDHKI,MATCH($A62,DiemHKI!$B$4:$B$58,0),INDEX($AD$9:$AF$22,MATCH(R$7,$AD$9:$AD$22,0),2))&lt;&gt;"",INDEX(BDHKI,MATCH($A62,DiemHKI!$B$4:$B$58,0),INDEX($AD$9:$AF$22,MATCH(R$7,$AD$9:$AD$22,0),3)),""),"")</f>
        <v/>
      </c>
      <c r="S62" s="296" t="str">
        <f t="shared" si="0"/>
        <v/>
      </c>
      <c r="T62" s="295" t="str">
        <f>IF($A62&lt;&gt;"",IF(INDEX(BDHKI,MATCH($A62,DiemHKI!$B$4:$B$58,0),INDEX($AD$9:$AF$22,MATCH(T$7,$AD$9:$AD$22,0),2))&lt;&gt;"",INDEX(BDHKI,MATCH($A62,DiemHKI!$B$4:$B$58,0),INDEX($AD$9:$AF$22,MATCH(T$7,$AD$9:$AD$22,0),3)),""),"")</f>
        <v/>
      </c>
      <c r="U62" s="297" t="str">
        <f>IF($A62&lt;&gt;"",IF(INDEX(BDHKI,MATCH($A62,DiemHKI!$B$4:$B$58,0),INDEX($AD$9:$AF$22,MATCH(U$7,$AD$9:$AD$22,0),2))&lt;&gt;"",INDEX(BDHKI,MATCH($A62,DiemHKI!$B$4:$B$58,0),INDEX($AD$9:$AF$22,MATCH(U$7,$AD$9:$AD$22,0),3)),""),"")</f>
        <v/>
      </c>
      <c r="V62" s="298" t="str">
        <f t="shared" si="11"/>
        <v/>
      </c>
      <c r="W62" s="296" t="str">
        <f t="shared" si="2"/>
        <v/>
      </c>
      <c r="X62" s="354"/>
      <c r="Y62" s="299" t="str">
        <f t="shared" si="3"/>
        <v/>
      </c>
      <c r="AA62" s="660" t="str">
        <f t="shared" si="4"/>
        <v/>
      </c>
      <c r="AB62" s="677"/>
      <c r="AC62" s="84"/>
      <c r="AD62" s="84"/>
      <c r="AE62" s="84"/>
      <c r="AF62" s="84"/>
      <c r="AG62" s="84" t="str">
        <f>IF($A62&lt;&gt;"",INDEX(DiemHKI!$DI$4:$DI$58,MATCH($A62,DiemHKI!$B$4:$B$58,0),1),"")</f>
        <v/>
      </c>
      <c r="AH62" s="678" t="str">
        <f t="shared" si="5"/>
        <v/>
      </c>
      <c r="AI62" s="679" t="str">
        <f t="shared" ca="1" si="12"/>
        <v/>
      </c>
    </row>
    <row r="63" spans="1:35" s="268" customFormat="1" ht="11.25" customHeight="1">
      <c r="A63" s="1"/>
      <c r="D63" s="1"/>
      <c r="E63" s="1"/>
      <c r="F63" s="1"/>
      <c r="AA63" s="1"/>
      <c r="AB63" s="1"/>
    </row>
    <row r="64" spans="1:35" ht="15" customHeight="1">
      <c r="N64" s="956" t="s">
        <v>256</v>
      </c>
      <c r="O64" s="956"/>
      <c r="P64" s="956"/>
      <c r="Q64" s="956"/>
      <c r="R64" s="956"/>
      <c r="S64" s="956"/>
      <c r="T64" s="956"/>
      <c r="U64" s="956"/>
      <c r="V64" s="956"/>
      <c r="W64" s="956"/>
      <c r="X64" s="956"/>
    </row>
    <row r="65" spans="5:25" ht="15" customHeight="1">
      <c r="N65" s="957" t="s">
        <v>70</v>
      </c>
      <c r="O65" s="957"/>
      <c r="P65" s="957"/>
      <c r="Q65" s="957"/>
      <c r="R65" s="957"/>
      <c r="S65" s="957"/>
      <c r="T65" s="957"/>
      <c r="U65" s="957"/>
      <c r="V65" s="957"/>
      <c r="W65" s="957"/>
      <c r="X65" s="957"/>
    </row>
    <row r="66" spans="5:25" ht="12" customHeight="1"/>
    <row r="67" spans="5:25" ht="12" customHeight="1">
      <c r="E67" s="268"/>
      <c r="G67" s="268"/>
      <c r="I67" s="268"/>
      <c r="K67" s="268"/>
      <c r="M67" s="268"/>
      <c r="O67" s="268"/>
      <c r="Q67" s="268"/>
      <c r="S67" s="268"/>
      <c r="U67" s="268"/>
      <c r="W67" s="268"/>
      <c r="Y67" s="268"/>
    </row>
    <row r="68" spans="5:25" ht="12" customHeight="1"/>
    <row r="69" spans="5:25" ht="12" customHeight="1"/>
    <row r="70" spans="5:25" ht="12" customHeight="1"/>
    <row r="71" spans="5:25" ht="12" customHeight="1"/>
    <row r="73" spans="5:25">
      <c r="H73" s="938" t="s">
        <v>36</v>
      </c>
      <c r="I73" s="939"/>
      <c r="J73" s="940"/>
      <c r="K73" s="303" t="s">
        <v>11</v>
      </c>
      <c r="L73" s="304" t="s">
        <v>12</v>
      </c>
      <c r="M73" s="304" t="s">
        <v>39</v>
      </c>
      <c r="N73" s="304" t="s">
        <v>14</v>
      </c>
      <c r="O73" s="305" t="s">
        <v>15</v>
      </c>
      <c r="P73" s="306" t="s">
        <v>52</v>
      </c>
      <c r="Q73" s="938" t="s">
        <v>37</v>
      </c>
      <c r="R73" s="939"/>
      <c r="S73" s="940"/>
      <c r="T73" s="303" t="s">
        <v>38</v>
      </c>
      <c r="U73" s="304" t="s">
        <v>12</v>
      </c>
      <c r="V73" s="304" t="s">
        <v>39</v>
      </c>
      <c r="W73" s="305" t="s">
        <v>14</v>
      </c>
    </row>
    <row r="74" spans="5:25">
      <c r="H74" s="942" t="s">
        <v>249</v>
      </c>
      <c r="I74" s="943"/>
      <c r="J74" s="239" t="s">
        <v>49</v>
      </c>
      <c r="K74" s="307">
        <f>COUNTIFS($B$8:$B$62,"?*",$W$8:$W$62,K73)</f>
        <v>36</v>
      </c>
      <c r="L74" s="307">
        <f>COUNTIFS($B$8:$B$62,"?*",$W$8:$W$62,L73)</f>
        <v>0</v>
      </c>
      <c r="M74" s="307">
        <f>COUNTIFS($B$8:$B$62,"?*",$W$8:$W$62,M73)</f>
        <v>0</v>
      </c>
      <c r="N74" s="307">
        <f>COUNTIFS($B$8:$B$62,"?*",$W$8:$W$62,N73)</f>
        <v>0</v>
      </c>
      <c r="O74" s="307">
        <f>COUNTIFS($B$8:$B$62,"?*",$W$8:$W$62,O73)</f>
        <v>0</v>
      </c>
      <c r="P74" s="243">
        <f>SUM(K74:O74)</f>
        <v>36</v>
      </c>
      <c r="Q74" s="937" t="s">
        <v>71</v>
      </c>
      <c r="R74" s="937"/>
      <c r="S74" s="308" t="s">
        <v>49</v>
      </c>
      <c r="T74" s="307">
        <f>COUNTIFS($B$8:$B$62,"?*",$X$8:$X$62,T73)</f>
        <v>36</v>
      </c>
      <c r="U74" s="307">
        <f>COUNTIFS($B$8:$B$62,"?*",$X$8:$X$62,U73)</f>
        <v>0</v>
      </c>
      <c r="V74" s="307">
        <f>COUNTIFS($B$8:$B$62,"?*",$X$8:$X$62,V73)</f>
        <v>0</v>
      </c>
      <c r="W74" s="307">
        <f>COUNTIFS($B$8:$B$62,"?*",$X$8:$X$62,W73)</f>
        <v>0</v>
      </c>
    </row>
    <row r="75" spans="5:25">
      <c r="H75" s="875"/>
      <c r="I75" s="944"/>
      <c r="J75" s="244" t="s">
        <v>17</v>
      </c>
      <c r="K75" s="243">
        <f>COUNTIFS($B$8:$B$62,"?*",$D$8:$D$62,"",$W$8:$W$62,K73)</f>
        <v>23</v>
      </c>
      <c r="L75" s="243">
        <f>COUNTIFS($B$8:$B$62,"?*",$D$8:$D$62,"",$W$8:$W$62,L73)</f>
        <v>0</v>
      </c>
      <c r="M75" s="243">
        <f>COUNTIFS($B$8:$B$62,"?*",$D$8:$D$62,"",$W$8:$W$62,M73)</f>
        <v>0</v>
      </c>
      <c r="N75" s="243">
        <f>COUNTIFS($B$8:$B$62,"?*",$D$8:$D$62,"",$W$8:$W$62,N73)</f>
        <v>0</v>
      </c>
      <c r="O75" s="243">
        <f>COUNTIFS($B$8:$B$62,"?*",$D$8:$D$62,"",$W$8:$W$62,O73)</f>
        <v>0</v>
      </c>
      <c r="P75" s="243">
        <f t="shared" ref="P75:P78" si="13">SUM(K75:O75)</f>
        <v>23</v>
      </c>
      <c r="Q75" s="937"/>
      <c r="R75" s="937"/>
      <c r="S75" s="309" t="s">
        <v>17</v>
      </c>
      <c r="T75" s="243">
        <f>COUNTIFS($B$8:$B$62,"?*",$D$8:$D$62,"",$X$8:$X$62,T73)</f>
        <v>23</v>
      </c>
      <c r="U75" s="243">
        <f>COUNTIFS($B$8:$B$62,"?*",$D$8:$D$62,"",$X$8:$X$62,U73)</f>
        <v>0</v>
      </c>
      <c r="V75" s="243">
        <f>COUNTIFS($B$8:$B$62,"?*",$D$8:$D$62,"",$X$8:$X$62,V73)</f>
        <v>0</v>
      </c>
      <c r="W75" s="243">
        <f>COUNTIFS($B$8:$B$62,"?*",$D$8:$D$62,"",$X$8:$X$62,W73)</f>
        <v>0</v>
      </c>
    </row>
    <row r="76" spans="5:25">
      <c r="H76" s="875"/>
      <c r="I76" s="944"/>
      <c r="J76" s="244" t="s">
        <v>18</v>
      </c>
      <c r="K76" s="243">
        <f>COUNTIFS($B$8:$B$62,"?*",$D$8:$D$62,"x",$W$8:$W$62,K73)</f>
        <v>13</v>
      </c>
      <c r="L76" s="243">
        <f>COUNTIFS($B$8:$B$62,"?*",$D$8:$D$62,"x",$W$8:$W$62,L73)</f>
        <v>0</v>
      </c>
      <c r="M76" s="243">
        <f>COUNTIFS($B$8:$B$62,"?*",$D$8:$D$62,"x",$W$8:$W$62,M73)</f>
        <v>0</v>
      </c>
      <c r="N76" s="243">
        <f>COUNTIFS($B$8:$B$62,"?*",$D$8:$D$62,"x",$W$8:$W$62,N73)</f>
        <v>0</v>
      </c>
      <c r="O76" s="243">
        <f>COUNTIFS($B$8:$B$62,"?*",$D$8:$D$62,"x",$W$8:$W$62,O73)</f>
        <v>0</v>
      </c>
      <c r="P76" s="243">
        <f t="shared" si="13"/>
        <v>13</v>
      </c>
      <c r="Q76" s="937"/>
      <c r="R76" s="937"/>
      <c r="S76" s="309" t="s">
        <v>18</v>
      </c>
      <c r="T76" s="243">
        <f>COUNTIFS($B$8:$B$62,"?*",$D$8:$D$62,"x",$X$8:$X$62,T73)</f>
        <v>13</v>
      </c>
      <c r="U76" s="243">
        <f>COUNTIFS($B$8:$B$62,"?*",$D$8:$D$62,"x",$X$8:$X$62,U73)</f>
        <v>0</v>
      </c>
      <c r="V76" s="243">
        <f>COUNTIFS($B$8:$B$62,"?*",$D$8:$D$62,"x",$X$8:$X$62,V73)</f>
        <v>0</v>
      </c>
      <c r="W76" s="243">
        <f>COUNTIFS($B$8:$B$62,"?*",$D$8:$D$62,"x",$X$8:$X$62,W73)</f>
        <v>0</v>
      </c>
    </row>
    <row r="77" spans="5:25">
      <c r="H77" s="875"/>
      <c r="I77" s="944"/>
      <c r="J77" s="244" t="s">
        <v>50</v>
      </c>
      <c r="K77" s="243">
        <f>COUNTIFS($B$8:$B$62,"?*",$E$8:$E$62,"x",$W$8:$W$62,K73)</f>
        <v>0</v>
      </c>
      <c r="L77" s="243">
        <f>COUNTIFS($B$8:$B$62,"?*",$E$8:$E$62,"x",$W$8:$W$62,L73)</f>
        <v>0</v>
      </c>
      <c r="M77" s="243">
        <f>COUNTIFS($B$8:$B$62,"?*",$E$8:$E$62,"x",$W$8:$W$62,M73)</f>
        <v>0</v>
      </c>
      <c r="N77" s="243">
        <f>COUNTIFS($B$8:$B$62,"?*",$E$8:$E$62,"x",$W$8:$W$62,N73)</f>
        <v>0</v>
      </c>
      <c r="O77" s="243">
        <f>COUNTIFS($B$8:$B$62,"?*",$E$8:$E$62,"x",$W$8:$W$62,O73)</f>
        <v>0</v>
      </c>
      <c r="P77" s="243">
        <f t="shared" si="13"/>
        <v>0</v>
      </c>
      <c r="Q77" s="937"/>
      <c r="R77" s="937"/>
      <c r="S77" s="309" t="s">
        <v>50</v>
      </c>
      <c r="T77" s="243">
        <f>COUNTIFS($B$8:$B$62,"?*",$E$8:$E$62,"x",$X$8:$X$62,T73)</f>
        <v>0</v>
      </c>
      <c r="U77" s="243">
        <f>COUNTIFS($B$8:$B$62,"?*",$E$8:$E$62,"x",$X$8:$X$62,U73)</f>
        <v>0</v>
      </c>
      <c r="V77" s="243">
        <f>COUNTIFS($B$8:$B$62,"?*",$E$8:$E$62,"x",$X$8:$X$62,V73)</f>
        <v>0</v>
      </c>
      <c r="W77" s="243">
        <f>COUNTIFS($B$8:$B$62,"?*",$E$8:$E$62,"x",$X$8:$X$62,W73)</f>
        <v>0</v>
      </c>
    </row>
    <row r="78" spans="5:25">
      <c r="H78" s="876"/>
      <c r="I78" s="945"/>
      <c r="J78" s="244" t="s">
        <v>48</v>
      </c>
      <c r="K78" s="243">
        <f>COUNTIFS($B$8:$B$62,"?*",$F$8:$F$62,"x",$W$8:$W$62,K73)</f>
        <v>0</v>
      </c>
      <c r="L78" s="243">
        <f>COUNTIFS($B$8:$B$62,"?*",$F$8:$F$62,"x",$W$8:$W$62,L73)</f>
        <v>0</v>
      </c>
      <c r="M78" s="243">
        <f>COUNTIFS($B$8:$B$62,"?*",$F$8:$F$62,"x",$W$8:$W$62,M73)</f>
        <v>0</v>
      </c>
      <c r="N78" s="243">
        <f>COUNTIFS($B$8:$B$62,"?*",$F$8:$F$62,"x",$W$8:$W$62,N73)</f>
        <v>0</v>
      </c>
      <c r="O78" s="243">
        <f>COUNTIFS($B$8:$B$62,"?*",$F$8:$F$62,"x",$W$8:$W$62,O73)</f>
        <v>0</v>
      </c>
      <c r="P78" s="243">
        <f t="shared" si="13"/>
        <v>0</v>
      </c>
      <c r="Q78" s="937"/>
      <c r="R78" s="937"/>
      <c r="S78" s="309" t="s">
        <v>48</v>
      </c>
      <c r="T78" s="243">
        <f>COUNTIFS($B$8:$B$62,"?*",$F$8:$F$62,"x",$X$8:$X$62,T73)</f>
        <v>0</v>
      </c>
      <c r="U78" s="243">
        <f>COUNTIFS($B$8:$B$62,"?*",$F$8:$F$62,"x",$X$8:$X$62,U73)</f>
        <v>0</v>
      </c>
      <c r="V78" s="243">
        <f>COUNTIFS($B$8:$B$62,"?*",$F$8:$F$62,"x",$X$8:$X$62,V73)</f>
        <v>0</v>
      </c>
      <c r="W78" s="243">
        <f>COUNTIFS($B$8:$B$62,"?*",$F$8:$F$62,"x",$X$8:$X$62,W73)</f>
        <v>0</v>
      </c>
    </row>
    <row r="81" spans="8:11">
      <c r="H81" s="941" t="s">
        <v>25</v>
      </c>
      <c r="I81" s="941"/>
      <c r="J81" s="464" t="s">
        <v>108</v>
      </c>
      <c r="K81" s="464">
        <f>COUNTIFS($A$8:$A$62,"&gt;=1",$Y$8:$Y$62,J81)</f>
        <v>0</v>
      </c>
    </row>
    <row r="82" spans="8:11">
      <c r="H82" s="941"/>
      <c r="I82" s="941"/>
      <c r="J82" s="464" t="s">
        <v>109</v>
      </c>
      <c r="K82" s="464">
        <f>COUNTIFS($A$8:$A$62,"&gt;=1",$Y$8:$Y$62,J82)</f>
        <v>36</v>
      </c>
    </row>
  </sheetData>
  <sheetProtection algorithmName="SHA-512" hashValue="ccjTTXKhRzepks2RHCGUs2ePI+VSDQlOCBVgAW9zCOmEKab4Ug+bzkLMm4GnwLNzn4OvVv8rrl3rvkskDfrV9g==" saltValue="/VSDBSiON+3xtWYVfp/AUg==" spinCount="100000" sheet="1" formatCells="0" formatColumns="0" formatRows="0"/>
  <mergeCells count="19">
    <mergeCell ref="A6:A7"/>
    <mergeCell ref="B6:C7"/>
    <mergeCell ref="G6:U6"/>
    <mergeCell ref="V6:V7"/>
    <mergeCell ref="H73:J73"/>
    <mergeCell ref="N64:X64"/>
    <mergeCell ref="N65:X65"/>
    <mergeCell ref="W6:X6"/>
    <mergeCell ref="A1:I1"/>
    <mergeCell ref="K1:Y1"/>
    <mergeCell ref="A2:I2"/>
    <mergeCell ref="K2:Y2"/>
    <mergeCell ref="A3:I3"/>
    <mergeCell ref="Q74:R78"/>
    <mergeCell ref="Q73:S73"/>
    <mergeCell ref="H81:I82"/>
    <mergeCell ref="B4:Y4"/>
    <mergeCell ref="H74:I78"/>
    <mergeCell ref="Y6:Y7"/>
  </mergeCells>
  <conditionalFormatting sqref="V8:V62">
    <cfRule type="cellIs" dxfId="485" priority="11" operator="between">
      <formula>8</formula>
      <formula>10</formula>
    </cfRule>
  </conditionalFormatting>
  <conditionalFormatting sqref="G8:Y62">
    <cfRule type="expression" dxfId="484" priority="2">
      <formula>AND($V8&gt;=6.5,$W8="Tb")</formula>
    </cfRule>
    <cfRule type="expression" dxfId="483" priority="3" stopIfTrue="1">
      <formula>AND($V8&gt;=8,$W8="Khá")</formula>
    </cfRule>
    <cfRule type="expression" dxfId="482" priority="9">
      <formula>G8=""</formula>
    </cfRule>
  </conditionalFormatting>
  <conditionalFormatting sqref="AA8:AA62">
    <cfRule type="top10" dxfId="481" priority="7" bottom="1" rank="5"/>
    <cfRule type="top10" dxfId="480" priority="8" rank="5"/>
  </conditionalFormatting>
  <conditionalFormatting sqref="G8:W62">
    <cfRule type="expression" dxfId="479" priority="1">
      <formula>AND($V8&gt;=5,$W8="Yếu")</formula>
    </cfRule>
  </conditionalFormatting>
  <dataValidations count="1">
    <dataValidation type="list" allowBlank="1" showInputMessage="1" showErrorMessage="1" sqref="X8:X62">
      <formula1>$AC$9:$AC$13</formula1>
    </dataValidation>
  </dataValidations>
  <printOptions horizontalCentered="1"/>
  <pageMargins left="0.25" right="0.25" top="0.25" bottom="0.25" header="0" footer="0"/>
  <pageSetup paperSize="9" scale="60" orientation="portrait" blackAndWhite="1" r:id="rId1"/>
  <ignoredErrors>
    <ignoredError sqref="S58:S62 S8:S5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Nhapdiemhk1">
                <anchor moveWithCells="1" sizeWithCells="1">
                  <from>
                    <xdr:col>25</xdr:col>
                    <xdr:colOff>7620</xdr:colOff>
                    <xdr:row>1</xdr:row>
                    <xdr:rowOff>121920</xdr:rowOff>
                  </from>
                  <to>
                    <xdr:col>27</xdr:col>
                    <xdr:colOff>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VeHDpd1">
                <anchor moveWithCells="1" sizeWithCells="1">
                  <from>
                    <xdr:col>25</xdr:col>
                    <xdr:colOff>0</xdr:colOff>
                    <xdr:row>3</xdr:row>
                    <xdr:rowOff>99060</xdr:rowOff>
                  </from>
                  <to>
                    <xdr:col>26</xdr:col>
                    <xdr:colOff>1188720</xdr:colOff>
                    <xdr:row>3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59999389629810485"/>
    <pageSetUpPr fitToPage="1"/>
  </sheetPr>
  <dimension ref="A1:AE56"/>
  <sheetViews>
    <sheetView workbookViewId="0">
      <selection activeCell="C31" sqref="C31:D31"/>
    </sheetView>
  </sheetViews>
  <sheetFormatPr defaultRowHeight="15.6"/>
  <cols>
    <col min="1" max="1" width="8.6640625" style="314" customWidth="1"/>
    <col min="2" max="2" width="10.88671875" style="314" customWidth="1"/>
    <col min="3" max="20" width="4.6640625" style="314" customWidth="1"/>
    <col min="21" max="21" width="6.88671875" style="314" customWidth="1"/>
    <col min="22" max="24" width="9.109375" style="314"/>
    <col min="25" max="25" width="9.109375" style="314" customWidth="1"/>
    <col min="26" max="26" width="12.6640625" style="314" hidden="1" customWidth="1"/>
    <col min="27" max="31" width="9.109375" style="314" hidden="1" customWidth="1"/>
    <col min="32" max="32" width="9.109375" style="314" customWidth="1"/>
    <col min="33" max="252" width="9.109375" style="314"/>
    <col min="253" max="253" width="8.6640625" style="314" customWidth="1"/>
    <col min="254" max="254" width="10.88671875" style="314" customWidth="1"/>
    <col min="255" max="272" width="4.6640625" style="314" customWidth="1"/>
    <col min="273" max="273" width="7.33203125" style="314" customWidth="1"/>
    <col min="274" max="508" width="9.109375" style="314"/>
    <col min="509" max="509" width="8.6640625" style="314" customWidth="1"/>
    <col min="510" max="510" width="10.88671875" style="314" customWidth="1"/>
    <col min="511" max="528" width="4.6640625" style="314" customWidth="1"/>
    <col min="529" max="529" width="7.33203125" style="314" customWidth="1"/>
    <col min="530" max="764" width="9.109375" style="314"/>
    <col min="765" max="765" width="8.6640625" style="314" customWidth="1"/>
    <col min="766" max="766" width="10.88671875" style="314" customWidth="1"/>
    <col min="767" max="784" width="4.6640625" style="314" customWidth="1"/>
    <col min="785" max="785" width="7.33203125" style="314" customWidth="1"/>
    <col min="786" max="1020" width="9.109375" style="314"/>
    <col min="1021" max="1021" width="8.6640625" style="314" customWidth="1"/>
    <col min="1022" max="1022" width="10.88671875" style="314" customWidth="1"/>
    <col min="1023" max="1040" width="4.6640625" style="314" customWidth="1"/>
    <col min="1041" max="1041" width="7.33203125" style="314" customWidth="1"/>
    <col min="1042" max="1276" width="9.109375" style="314"/>
    <col min="1277" max="1277" width="8.6640625" style="314" customWidth="1"/>
    <col min="1278" max="1278" width="10.88671875" style="314" customWidth="1"/>
    <col min="1279" max="1296" width="4.6640625" style="314" customWidth="1"/>
    <col min="1297" max="1297" width="7.33203125" style="314" customWidth="1"/>
    <col min="1298" max="1532" width="9.109375" style="314"/>
    <col min="1533" max="1533" width="8.6640625" style="314" customWidth="1"/>
    <col min="1534" max="1534" width="10.88671875" style="314" customWidth="1"/>
    <col min="1535" max="1552" width="4.6640625" style="314" customWidth="1"/>
    <col min="1553" max="1553" width="7.33203125" style="314" customWidth="1"/>
    <col min="1554" max="1788" width="9.109375" style="314"/>
    <col min="1789" max="1789" width="8.6640625" style="314" customWidth="1"/>
    <col min="1790" max="1790" width="10.88671875" style="314" customWidth="1"/>
    <col min="1791" max="1808" width="4.6640625" style="314" customWidth="1"/>
    <col min="1809" max="1809" width="7.33203125" style="314" customWidth="1"/>
    <col min="1810" max="2044" width="9.109375" style="314"/>
    <col min="2045" max="2045" width="8.6640625" style="314" customWidth="1"/>
    <col min="2046" max="2046" width="10.88671875" style="314" customWidth="1"/>
    <col min="2047" max="2064" width="4.6640625" style="314" customWidth="1"/>
    <col min="2065" max="2065" width="7.33203125" style="314" customWidth="1"/>
    <col min="2066" max="2300" width="9.109375" style="314"/>
    <col min="2301" max="2301" width="8.6640625" style="314" customWidth="1"/>
    <col min="2302" max="2302" width="10.88671875" style="314" customWidth="1"/>
    <col min="2303" max="2320" width="4.6640625" style="314" customWidth="1"/>
    <col min="2321" max="2321" width="7.33203125" style="314" customWidth="1"/>
    <col min="2322" max="2556" width="9.109375" style="314"/>
    <col min="2557" max="2557" width="8.6640625" style="314" customWidth="1"/>
    <col min="2558" max="2558" width="10.88671875" style="314" customWidth="1"/>
    <col min="2559" max="2576" width="4.6640625" style="314" customWidth="1"/>
    <col min="2577" max="2577" width="7.33203125" style="314" customWidth="1"/>
    <col min="2578" max="2812" width="9.109375" style="314"/>
    <col min="2813" max="2813" width="8.6640625" style="314" customWidth="1"/>
    <col min="2814" max="2814" width="10.88671875" style="314" customWidth="1"/>
    <col min="2815" max="2832" width="4.6640625" style="314" customWidth="1"/>
    <col min="2833" max="2833" width="7.33203125" style="314" customWidth="1"/>
    <col min="2834" max="3068" width="9.109375" style="314"/>
    <col min="3069" max="3069" width="8.6640625" style="314" customWidth="1"/>
    <col min="3070" max="3070" width="10.88671875" style="314" customWidth="1"/>
    <col min="3071" max="3088" width="4.6640625" style="314" customWidth="1"/>
    <col min="3089" max="3089" width="7.33203125" style="314" customWidth="1"/>
    <col min="3090" max="3324" width="9.109375" style="314"/>
    <col min="3325" max="3325" width="8.6640625" style="314" customWidth="1"/>
    <col min="3326" max="3326" width="10.88671875" style="314" customWidth="1"/>
    <col min="3327" max="3344" width="4.6640625" style="314" customWidth="1"/>
    <col min="3345" max="3345" width="7.33203125" style="314" customWidth="1"/>
    <col min="3346" max="3580" width="9.109375" style="314"/>
    <col min="3581" max="3581" width="8.6640625" style="314" customWidth="1"/>
    <col min="3582" max="3582" width="10.88671875" style="314" customWidth="1"/>
    <col min="3583" max="3600" width="4.6640625" style="314" customWidth="1"/>
    <col min="3601" max="3601" width="7.33203125" style="314" customWidth="1"/>
    <col min="3602" max="3836" width="9.109375" style="314"/>
    <col min="3837" max="3837" width="8.6640625" style="314" customWidth="1"/>
    <col min="3838" max="3838" width="10.88671875" style="314" customWidth="1"/>
    <col min="3839" max="3856" width="4.6640625" style="314" customWidth="1"/>
    <col min="3857" max="3857" width="7.33203125" style="314" customWidth="1"/>
    <col min="3858" max="4092" width="9.109375" style="314"/>
    <col min="4093" max="4093" width="8.6640625" style="314" customWidth="1"/>
    <col min="4094" max="4094" width="10.88671875" style="314" customWidth="1"/>
    <col min="4095" max="4112" width="4.6640625" style="314" customWidth="1"/>
    <col min="4113" max="4113" width="7.33203125" style="314" customWidth="1"/>
    <col min="4114" max="4348" width="9.109375" style="314"/>
    <col min="4349" max="4349" width="8.6640625" style="314" customWidth="1"/>
    <col min="4350" max="4350" width="10.88671875" style="314" customWidth="1"/>
    <col min="4351" max="4368" width="4.6640625" style="314" customWidth="1"/>
    <col min="4369" max="4369" width="7.33203125" style="314" customWidth="1"/>
    <col min="4370" max="4604" width="9.109375" style="314"/>
    <col min="4605" max="4605" width="8.6640625" style="314" customWidth="1"/>
    <col min="4606" max="4606" width="10.88671875" style="314" customWidth="1"/>
    <col min="4607" max="4624" width="4.6640625" style="314" customWidth="1"/>
    <col min="4625" max="4625" width="7.33203125" style="314" customWidth="1"/>
    <col min="4626" max="4860" width="9.109375" style="314"/>
    <col min="4861" max="4861" width="8.6640625" style="314" customWidth="1"/>
    <col min="4862" max="4862" width="10.88671875" style="314" customWidth="1"/>
    <col min="4863" max="4880" width="4.6640625" style="314" customWidth="1"/>
    <col min="4881" max="4881" width="7.33203125" style="314" customWidth="1"/>
    <col min="4882" max="5116" width="9.109375" style="314"/>
    <col min="5117" max="5117" width="8.6640625" style="314" customWidth="1"/>
    <col min="5118" max="5118" width="10.88671875" style="314" customWidth="1"/>
    <col min="5119" max="5136" width="4.6640625" style="314" customWidth="1"/>
    <col min="5137" max="5137" width="7.33203125" style="314" customWidth="1"/>
    <col min="5138" max="5372" width="9.109375" style="314"/>
    <col min="5373" max="5373" width="8.6640625" style="314" customWidth="1"/>
    <col min="5374" max="5374" width="10.88671875" style="314" customWidth="1"/>
    <col min="5375" max="5392" width="4.6640625" style="314" customWidth="1"/>
    <col min="5393" max="5393" width="7.33203125" style="314" customWidth="1"/>
    <col min="5394" max="5628" width="9.109375" style="314"/>
    <col min="5629" max="5629" width="8.6640625" style="314" customWidth="1"/>
    <col min="5630" max="5630" width="10.88671875" style="314" customWidth="1"/>
    <col min="5631" max="5648" width="4.6640625" style="314" customWidth="1"/>
    <col min="5649" max="5649" width="7.33203125" style="314" customWidth="1"/>
    <col min="5650" max="5884" width="9.109375" style="314"/>
    <col min="5885" max="5885" width="8.6640625" style="314" customWidth="1"/>
    <col min="5886" max="5886" width="10.88671875" style="314" customWidth="1"/>
    <col min="5887" max="5904" width="4.6640625" style="314" customWidth="1"/>
    <col min="5905" max="5905" width="7.33203125" style="314" customWidth="1"/>
    <col min="5906" max="6140" width="9.109375" style="314"/>
    <col min="6141" max="6141" width="8.6640625" style="314" customWidth="1"/>
    <col min="6142" max="6142" width="10.88671875" style="314" customWidth="1"/>
    <col min="6143" max="6160" width="4.6640625" style="314" customWidth="1"/>
    <col min="6161" max="6161" width="7.33203125" style="314" customWidth="1"/>
    <col min="6162" max="6396" width="9.109375" style="314"/>
    <col min="6397" max="6397" width="8.6640625" style="314" customWidth="1"/>
    <col min="6398" max="6398" width="10.88671875" style="314" customWidth="1"/>
    <col min="6399" max="6416" width="4.6640625" style="314" customWidth="1"/>
    <col min="6417" max="6417" width="7.33203125" style="314" customWidth="1"/>
    <col min="6418" max="6652" width="9.109375" style="314"/>
    <col min="6653" max="6653" width="8.6640625" style="314" customWidth="1"/>
    <col min="6654" max="6654" width="10.88671875" style="314" customWidth="1"/>
    <col min="6655" max="6672" width="4.6640625" style="314" customWidth="1"/>
    <col min="6673" max="6673" width="7.33203125" style="314" customWidth="1"/>
    <col min="6674" max="6908" width="9.109375" style="314"/>
    <col min="6909" max="6909" width="8.6640625" style="314" customWidth="1"/>
    <col min="6910" max="6910" width="10.88671875" style="314" customWidth="1"/>
    <col min="6911" max="6928" width="4.6640625" style="314" customWidth="1"/>
    <col min="6929" max="6929" width="7.33203125" style="314" customWidth="1"/>
    <col min="6930" max="7164" width="9.109375" style="314"/>
    <col min="7165" max="7165" width="8.6640625" style="314" customWidth="1"/>
    <col min="7166" max="7166" width="10.88671875" style="314" customWidth="1"/>
    <col min="7167" max="7184" width="4.6640625" style="314" customWidth="1"/>
    <col min="7185" max="7185" width="7.33203125" style="314" customWidth="1"/>
    <col min="7186" max="7420" width="9.109375" style="314"/>
    <col min="7421" max="7421" width="8.6640625" style="314" customWidth="1"/>
    <col min="7422" max="7422" width="10.88671875" style="314" customWidth="1"/>
    <col min="7423" max="7440" width="4.6640625" style="314" customWidth="1"/>
    <col min="7441" max="7441" width="7.33203125" style="314" customWidth="1"/>
    <col min="7442" max="7676" width="9.109375" style="314"/>
    <col min="7677" max="7677" width="8.6640625" style="314" customWidth="1"/>
    <col min="7678" max="7678" width="10.88671875" style="314" customWidth="1"/>
    <col min="7679" max="7696" width="4.6640625" style="314" customWidth="1"/>
    <col min="7697" max="7697" width="7.33203125" style="314" customWidth="1"/>
    <col min="7698" max="7932" width="9.109375" style="314"/>
    <col min="7933" max="7933" width="8.6640625" style="314" customWidth="1"/>
    <col min="7934" max="7934" width="10.88671875" style="314" customWidth="1"/>
    <col min="7935" max="7952" width="4.6640625" style="314" customWidth="1"/>
    <col min="7953" max="7953" width="7.33203125" style="314" customWidth="1"/>
    <col min="7954" max="8188" width="9.109375" style="314"/>
    <col min="8189" max="8189" width="8.6640625" style="314" customWidth="1"/>
    <col min="8190" max="8190" width="10.88671875" style="314" customWidth="1"/>
    <col min="8191" max="8208" width="4.6640625" style="314" customWidth="1"/>
    <col min="8209" max="8209" width="7.33203125" style="314" customWidth="1"/>
    <col min="8210" max="8444" width="9.109375" style="314"/>
    <col min="8445" max="8445" width="8.6640625" style="314" customWidth="1"/>
    <col min="8446" max="8446" width="10.88671875" style="314" customWidth="1"/>
    <col min="8447" max="8464" width="4.6640625" style="314" customWidth="1"/>
    <col min="8465" max="8465" width="7.33203125" style="314" customWidth="1"/>
    <col min="8466" max="8700" width="9.109375" style="314"/>
    <col min="8701" max="8701" width="8.6640625" style="314" customWidth="1"/>
    <col min="8702" max="8702" width="10.88671875" style="314" customWidth="1"/>
    <col min="8703" max="8720" width="4.6640625" style="314" customWidth="1"/>
    <col min="8721" max="8721" width="7.33203125" style="314" customWidth="1"/>
    <col min="8722" max="8956" width="9.109375" style="314"/>
    <col min="8957" max="8957" width="8.6640625" style="314" customWidth="1"/>
    <col min="8958" max="8958" width="10.88671875" style="314" customWidth="1"/>
    <col min="8959" max="8976" width="4.6640625" style="314" customWidth="1"/>
    <col min="8977" max="8977" width="7.33203125" style="314" customWidth="1"/>
    <col min="8978" max="9212" width="9.109375" style="314"/>
    <col min="9213" max="9213" width="8.6640625" style="314" customWidth="1"/>
    <col min="9214" max="9214" width="10.88671875" style="314" customWidth="1"/>
    <col min="9215" max="9232" width="4.6640625" style="314" customWidth="1"/>
    <col min="9233" max="9233" width="7.33203125" style="314" customWidth="1"/>
    <col min="9234" max="9468" width="9.109375" style="314"/>
    <col min="9469" max="9469" width="8.6640625" style="314" customWidth="1"/>
    <col min="9470" max="9470" width="10.88671875" style="314" customWidth="1"/>
    <col min="9471" max="9488" width="4.6640625" style="314" customWidth="1"/>
    <col min="9489" max="9489" width="7.33203125" style="314" customWidth="1"/>
    <col min="9490" max="9724" width="9.109375" style="314"/>
    <col min="9725" max="9725" width="8.6640625" style="314" customWidth="1"/>
    <col min="9726" max="9726" width="10.88671875" style="314" customWidth="1"/>
    <col min="9727" max="9744" width="4.6640625" style="314" customWidth="1"/>
    <col min="9745" max="9745" width="7.33203125" style="314" customWidth="1"/>
    <col min="9746" max="9980" width="9.109375" style="314"/>
    <col min="9981" max="9981" width="8.6640625" style="314" customWidth="1"/>
    <col min="9982" max="9982" width="10.88671875" style="314" customWidth="1"/>
    <col min="9983" max="10000" width="4.6640625" style="314" customWidth="1"/>
    <col min="10001" max="10001" width="7.33203125" style="314" customWidth="1"/>
    <col min="10002" max="10236" width="9.109375" style="314"/>
    <col min="10237" max="10237" width="8.6640625" style="314" customWidth="1"/>
    <col min="10238" max="10238" width="10.88671875" style="314" customWidth="1"/>
    <col min="10239" max="10256" width="4.6640625" style="314" customWidth="1"/>
    <col min="10257" max="10257" width="7.33203125" style="314" customWidth="1"/>
    <col min="10258" max="10492" width="9.109375" style="314"/>
    <col min="10493" max="10493" width="8.6640625" style="314" customWidth="1"/>
    <col min="10494" max="10494" width="10.88671875" style="314" customWidth="1"/>
    <col min="10495" max="10512" width="4.6640625" style="314" customWidth="1"/>
    <col min="10513" max="10513" width="7.33203125" style="314" customWidth="1"/>
    <col min="10514" max="10748" width="9.109375" style="314"/>
    <col min="10749" max="10749" width="8.6640625" style="314" customWidth="1"/>
    <col min="10750" max="10750" width="10.88671875" style="314" customWidth="1"/>
    <col min="10751" max="10768" width="4.6640625" style="314" customWidth="1"/>
    <col min="10769" max="10769" width="7.33203125" style="314" customWidth="1"/>
    <col min="10770" max="11004" width="9.109375" style="314"/>
    <col min="11005" max="11005" width="8.6640625" style="314" customWidth="1"/>
    <col min="11006" max="11006" width="10.88671875" style="314" customWidth="1"/>
    <col min="11007" max="11024" width="4.6640625" style="314" customWidth="1"/>
    <col min="11025" max="11025" width="7.33203125" style="314" customWidth="1"/>
    <col min="11026" max="11260" width="9.109375" style="314"/>
    <col min="11261" max="11261" width="8.6640625" style="314" customWidth="1"/>
    <col min="11262" max="11262" width="10.88671875" style="314" customWidth="1"/>
    <col min="11263" max="11280" width="4.6640625" style="314" customWidth="1"/>
    <col min="11281" max="11281" width="7.33203125" style="314" customWidth="1"/>
    <col min="11282" max="11516" width="9.109375" style="314"/>
    <col min="11517" max="11517" width="8.6640625" style="314" customWidth="1"/>
    <col min="11518" max="11518" width="10.88671875" style="314" customWidth="1"/>
    <col min="11519" max="11536" width="4.6640625" style="314" customWidth="1"/>
    <col min="11537" max="11537" width="7.33203125" style="314" customWidth="1"/>
    <col min="11538" max="11772" width="9.109375" style="314"/>
    <col min="11773" max="11773" width="8.6640625" style="314" customWidth="1"/>
    <col min="11774" max="11774" width="10.88671875" style="314" customWidth="1"/>
    <col min="11775" max="11792" width="4.6640625" style="314" customWidth="1"/>
    <col min="11793" max="11793" width="7.33203125" style="314" customWidth="1"/>
    <col min="11794" max="12028" width="9.109375" style="314"/>
    <col min="12029" max="12029" width="8.6640625" style="314" customWidth="1"/>
    <col min="12030" max="12030" width="10.88671875" style="314" customWidth="1"/>
    <col min="12031" max="12048" width="4.6640625" style="314" customWidth="1"/>
    <col min="12049" max="12049" width="7.33203125" style="314" customWidth="1"/>
    <col min="12050" max="12284" width="9.109375" style="314"/>
    <col min="12285" max="12285" width="8.6640625" style="314" customWidth="1"/>
    <col min="12286" max="12286" width="10.88671875" style="314" customWidth="1"/>
    <col min="12287" max="12304" width="4.6640625" style="314" customWidth="1"/>
    <col min="12305" max="12305" width="7.33203125" style="314" customWidth="1"/>
    <col min="12306" max="12540" width="9.109375" style="314"/>
    <col min="12541" max="12541" width="8.6640625" style="314" customWidth="1"/>
    <col min="12542" max="12542" width="10.88671875" style="314" customWidth="1"/>
    <col min="12543" max="12560" width="4.6640625" style="314" customWidth="1"/>
    <col min="12561" max="12561" width="7.33203125" style="314" customWidth="1"/>
    <col min="12562" max="12796" width="9.109375" style="314"/>
    <col min="12797" max="12797" width="8.6640625" style="314" customWidth="1"/>
    <col min="12798" max="12798" width="10.88671875" style="314" customWidth="1"/>
    <col min="12799" max="12816" width="4.6640625" style="314" customWidth="1"/>
    <col min="12817" max="12817" width="7.33203125" style="314" customWidth="1"/>
    <col min="12818" max="13052" width="9.109375" style="314"/>
    <col min="13053" max="13053" width="8.6640625" style="314" customWidth="1"/>
    <col min="13054" max="13054" width="10.88671875" style="314" customWidth="1"/>
    <col min="13055" max="13072" width="4.6640625" style="314" customWidth="1"/>
    <col min="13073" max="13073" width="7.33203125" style="314" customWidth="1"/>
    <col min="13074" max="13308" width="9.109375" style="314"/>
    <col min="13309" max="13309" width="8.6640625" style="314" customWidth="1"/>
    <col min="13310" max="13310" width="10.88671875" style="314" customWidth="1"/>
    <col min="13311" max="13328" width="4.6640625" style="314" customWidth="1"/>
    <col min="13329" max="13329" width="7.33203125" style="314" customWidth="1"/>
    <col min="13330" max="13564" width="9.109375" style="314"/>
    <col min="13565" max="13565" width="8.6640625" style="314" customWidth="1"/>
    <col min="13566" max="13566" width="10.88671875" style="314" customWidth="1"/>
    <col min="13567" max="13584" width="4.6640625" style="314" customWidth="1"/>
    <col min="13585" max="13585" width="7.33203125" style="314" customWidth="1"/>
    <col min="13586" max="13820" width="9.109375" style="314"/>
    <col min="13821" max="13821" width="8.6640625" style="314" customWidth="1"/>
    <col min="13822" max="13822" width="10.88671875" style="314" customWidth="1"/>
    <col min="13823" max="13840" width="4.6640625" style="314" customWidth="1"/>
    <col min="13841" max="13841" width="7.33203125" style="314" customWidth="1"/>
    <col min="13842" max="14076" width="9.109375" style="314"/>
    <col min="14077" max="14077" width="8.6640625" style="314" customWidth="1"/>
    <col min="14078" max="14078" width="10.88671875" style="314" customWidth="1"/>
    <col min="14079" max="14096" width="4.6640625" style="314" customWidth="1"/>
    <col min="14097" max="14097" width="7.33203125" style="314" customWidth="1"/>
    <col min="14098" max="14332" width="9.109375" style="314"/>
    <col min="14333" max="14333" width="8.6640625" style="314" customWidth="1"/>
    <col min="14334" max="14334" width="10.88671875" style="314" customWidth="1"/>
    <col min="14335" max="14352" width="4.6640625" style="314" customWidth="1"/>
    <col min="14353" max="14353" width="7.33203125" style="314" customWidth="1"/>
    <col min="14354" max="14588" width="9.109375" style="314"/>
    <col min="14589" max="14589" width="8.6640625" style="314" customWidth="1"/>
    <col min="14590" max="14590" width="10.88671875" style="314" customWidth="1"/>
    <col min="14591" max="14608" width="4.6640625" style="314" customWidth="1"/>
    <col min="14609" max="14609" width="7.33203125" style="314" customWidth="1"/>
    <col min="14610" max="14844" width="9.109375" style="314"/>
    <col min="14845" max="14845" width="8.6640625" style="314" customWidth="1"/>
    <col min="14846" max="14846" width="10.88671875" style="314" customWidth="1"/>
    <col min="14847" max="14864" width="4.6640625" style="314" customWidth="1"/>
    <col min="14865" max="14865" width="7.33203125" style="314" customWidth="1"/>
    <col min="14866" max="15100" width="9.109375" style="314"/>
    <col min="15101" max="15101" width="8.6640625" style="314" customWidth="1"/>
    <col min="15102" max="15102" width="10.88671875" style="314" customWidth="1"/>
    <col min="15103" max="15120" width="4.6640625" style="314" customWidth="1"/>
    <col min="15121" max="15121" width="7.33203125" style="314" customWidth="1"/>
    <col min="15122" max="15356" width="9.109375" style="314"/>
    <col min="15357" max="15357" width="8.6640625" style="314" customWidth="1"/>
    <col min="15358" max="15358" width="10.88671875" style="314" customWidth="1"/>
    <col min="15359" max="15376" width="4.6640625" style="314" customWidth="1"/>
    <col min="15377" max="15377" width="7.33203125" style="314" customWidth="1"/>
    <col min="15378" max="15612" width="9.109375" style="314"/>
    <col min="15613" max="15613" width="8.6640625" style="314" customWidth="1"/>
    <col min="15614" max="15614" width="10.88671875" style="314" customWidth="1"/>
    <col min="15615" max="15632" width="4.6640625" style="314" customWidth="1"/>
    <col min="15633" max="15633" width="7.33203125" style="314" customWidth="1"/>
    <col min="15634" max="15868" width="9.109375" style="314"/>
    <col min="15869" max="15869" width="8.6640625" style="314" customWidth="1"/>
    <col min="15870" max="15870" width="10.88671875" style="314" customWidth="1"/>
    <col min="15871" max="15888" width="4.6640625" style="314" customWidth="1"/>
    <col min="15889" max="15889" width="7.33203125" style="314" customWidth="1"/>
    <col min="15890" max="16124" width="9.109375" style="314"/>
    <col min="16125" max="16125" width="8.6640625" style="314" customWidth="1"/>
    <col min="16126" max="16126" width="10.88671875" style="314" customWidth="1"/>
    <col min="16127" max="16144" width="4.6640625" style="314" customWidth="1"/>
    <col min="16145" max="16145" width="7.33203125" style="314" customWidth="1"/>
    <col min="16146" max="16384" width="9.109375" style="314"/>
  </cols>
  <sheetData>
    <row r="1" spans="1:21" ht="10.5" customHeight="1"/>
    <row r="2" spans="1:21" s="310" customFormat="1" ht="15">
      <c r="A2" s="921" t="str">
        <f>IF('Huong dan'!E3&lt;&gt;"","SỞ GIÁO DỤC VÀ ĐÀO TẠO "&amp;UPPER('Huong dan'!E3),"")</f>
        <v>SỞ GIÁO DỤC VÀ ĐÀO TẠO TP. HỒ CHÍ MINH</v>
      </c>
      <c r="B2" s="921"/>
      <c r="C2" s="921"/>
      <c r="D2" s="921"/>
      <c r="E2" s="921"/>
      <c r="F2" s="921"/>
      <c r="G2" s="921"/>
      <c r="H2" s="921"/>
      <c r="I2" s="921"/>
    </row>
    <row r="3" spans="1:21" s="311" customFormat="1" ht="15">
      <c r="A3" s="931" t="str">
        <f>IF('Huong dan'!E4&lt;&gt;"","TRƯỜNG "&amp;UPPER('Huong dan'!E4),"")</f>
        <v>TRƯỜNG THCS VÀ THPT NGUYỄN KHUYẾN</v>
      </c>
      <c r="B3" s="931"/>
      <c r="C3" s="931"/>
      <c r="D3" s="931"/>
      <c r="E3" s="931"/>
      <c r="F3" s="931"/>
      <c r="G3" s="931"/>
      <c r="H3" s="931"/>
      <c r="I3" s="931"/>
      <c r="L3" s="312"/>
    </row>
    <row r="4" spans="1:21" s="313" customFormat="1" ht="15.75" customHeight="1">
      <c r="A4" s="922" t="str">
        <f>IF('Huong dan'!C3&lt;&gt;"","Lớp "&amp;UPPER('Huong dan'!C3),"")</f>
        <v>Lớp 12A1</v>
      </c>
      <c r="B4" s="922"/>
      <c r="C4" s="922"/>
      <c r="D4" s="922"/>
      <c r="E4" s="922"/>
      <c r="F4" s="922"/>
      <c r="G4" s="922"/>
    </row>
    <row r="5" spans="1:21" ht="11.25" customHeight="1"/>
    <row r="6" spans="1:21" ht="22.5" customHeight="1">
      <c r="A6" s="971" t="str">
        <f>"BÁO CÁO XẾP LOẠI HAI MẶT HỌC KỲ I NĂM HỌC "&amp;'Huong dan'!C5</f>
        <v>BÁO CÁO XẾP LOẠI HAI MẶT HỌC KỲ I NĂM HỌC 2021 - 2022</v>
      </c>
      <c r="B6" s="971"/>
      <c r="C6" s="971"/>
      <c r="D6" s="971"/>
      <c r="E6" s="971"/>
      <c r="F6" s="971"/>
      <c r="G6" s="971"/>
      <c r="H6" s="971"/>
      <c r="I6" s="971"/>
      <c r="J6" s="971"/>
      <c r="K6" s="971"/>
      <c r="L6" s="971"/>
      <c r="M6" s="971"/>
      <c r="N6" s="971"/>
      <c r="O6" s="971"/>
      <c r="P6" s="971"/>
      <c r="Q6" s="971"/>
      <c r="R6" s="971"/>
      <c r="S6" s="971"/>
      <c r="T6" s="971"/>
      <c r="U6" s="971"/>
    </row>
    <row r="7" spans="1:21" ht="13.5" customHeight="1"/>
    <row r="8" spans="1:21" s="313" customFormat="1">
      <c r="A8" s="313" t="s">
        <v>123</v>
      </c>
    </row>
    <row r="9" spans="1:21" ht="6" customHeight="1"/>
    <row r="10" spans="1:21" s="313" customFormat="1" ht="20.25" customHeight="1">
      <c r="A10" s="972" t="s">
        <v>7</v>
      </c>
      <c r="B10" s="958" t="s">
        <v>124</v>
      </c>
      <c r="C10" s="961" t="s">
        <v>125</v>
      </c>
      <c r="D10" s="962"/>
      <c r="E10" s="962"/>
      <c r="F10" s="962"/>
      <c r="G10" s="962"/>
      <c r="H10" s="962"/>
      <c r="I10" s="962"/>
      <c r="J10" s="962"/>
      <c r="K10" s="962"/>
      <c r="L10" s="963"/>
      <c r="M10" s="964" t="s">
        <v>37</v>
      </c>
      <c r="N10" s="964"/>
      <c r="O10" s="964"/>
      <c r="P10" s="964"/>
      <c r="Q10" s="964"/>
      <c r="R10" s="964"/>
      <c r="S10" s="964"/>
      <c r="T10" s="964"/>
      <c r="U10" s="965" t="s">
        <v>126</v>
      </c>
    </row>
    <row r="11" spans="1:21" s="313" customFormat="1" ht="20.25" customHeight="1">
      <c r="A11" s="972"/>
      <c r="B11" s="959"/>
      <c r="C11" s="968" t="s">
        <v>11</v>
      </c>
      <c r="D11" s="969"/>
      <c r="E11" s="968" t="s">
        <v>12</v>
      </c>
      <c r="F11" s="969"/>
      <c r="G11" s="968" t="s">
        <v>127</v>
      </c>
      <c r="H11" s="969"/>
      <c r="I11" s="968" t="s">
        <v>14</v>
      </c>
      <c r="J11" s="969"/>
      <c r="K11" s="968" t="s">
        <v>15</v>
      </c>
      <c r="L11" s="969"/>
      <c r="M11" s="968" t="s">
        <v>38</v>
      </c>
      <c r="N11" s="970"/>
      <c r="O11" s="968" t="s">
        <v>12</v>
      </c>
      <c r="P11" s="970"/>
      <c r="Q11" s="968" t="s">
        <v>128</v>
      </c>
      <c r="R11" s="970"/>
      <c r="S11" s="968" t="s">
        <v>14</v>
      </c>
      <c r="T11" s="970"/>
      <c r="U11" s="966"/>
    </row>
    <row r="12" spans="1:21" s="313" customFormat="1" ht="20.25" customHeight="1">
      <c r="A12" s="972"/>
      <c r="B12" s="960"/>
      <c r="C12" s="315" t="s">
        <v>129</v>
      </c>
      <c r="D12" s="316" t="s">
        <v>380</v>
      </c>
      <c r="E12" s="315" t="s">
        <v>129</v>
      </c>
      <c r="F12" s="316" t="s">
        <v>380</v>
      </c>
      <c r="G12" s="315" t="s">
        <v>129</v>
      </c>
      <c r="H12" s="316" t="s">
        <v>380</v>
      </c>
      <c r="I12" s="315" t="s">
        <v>129</v>
      </c>
      <c r="J12" s="316" t="s">
        <v>380</v>
      </c>
      <c r="K12" s="315" t="s">
        <v>129</v>
      </c>
      <c r="L12" s="316" t="s">
        <v>380</v>
      </c>
      <c r="M12" s="315" t="s">
        <v>129</v>
      </c>
      <c r="N12" s="316" t="s">
        <v>380</v>
      </c>
      <c r="O12" s="315" t="s">
        <v>129</v>
      </c>
      <c r="P12" s="316" t="s">
        <v>380</v>
      </c>
      <c r="Q12" s="315" t="s">
        <v>129</v>
      </c>
      <c r="R12" s="316" t="s">
        <v>380</v>
      </c>
      <c r="S12" s="315" t="s">
        <v>129</v>
      </c>
      <c r="T12" s="317" t="s">
        <v>380</v>
      </c>
      <c r="U12" s="967"/>
    </row>
    <row r="13" spans="1:21" s="580" customFormat="1" ht="25.5" customHeight="1">
      <c r="A13" s="322" t="str">
        <f>IF('Huong dan'!C3&lt;&gt;"",UPPER('Huong dan'!C3),"")</f>
        <v>12A1</v>
      </c>
      <c r="B13" s="465">
        <f>IF(COUNTIF(DiemHKI!$C$4:$C$58,"?*")&lt;1,"",COUNTIF(DiemHKI!$C$4:$C$58,"?*"))</f>
        <v>36</v>
      </c>
      <c r="C13" s="318">
        <f>IF(THHKI!K74&lt;&gt;"",THHKI!K74,"")</f>
        <v>36</v>
      </c>
      <c r="D13" s="818">
        <f>IF($B13="","",C13*100/$B13)</f>
        <v>100</v>
      </c>
      <c r="E13" s="318">
        <f>IF(THHKI!L74&lt;&gt;"",THHKI!L74,"")</f>
        <v>0</v>
      </c>
      <c r="F13" s="818">
        <f>IF($B13="","",E13*100/$B13)</f>
        <v>0</v>
      </c>
      <c r="G13" s="819">
        <f>IF(THHKI!M74&lt;&gt;"",THHKI!M74,"")</f>
        <v>0</v>
      </c>
      <c r="H13" s="820">
        <f>IF($B13="","",G13*100/$B13)</f>
        <v>0</v>
      </c>
      <c r="I13" s="318">
        <f>IF(THHKI!N74&lt;&gt;"",THHKI!N74,"")</f>
        <v>0</v>
      </c>
      <c r="J13" s="818">
        <f>IF($B13="","",I13*100/$B13)</f>
        <v>0</v>
      </c>
      <c r="K13" s="819">
        <f>IF(THHKI!O74&lt;&gt;"",THHKI!O74,"")</f>
        <v>0</v>
      </c>
      <c r="L13" s="820">
        <f>IF($B13="","",K13*100/$B13)</f>
        <v>0</v>
      </c>
      <c r="M13" s="318">
        <f>IF(THHKI!T74&lt;&gt;"",THHKI!T74,"")</f>
        <v>36</v>
      </c>
      <c r="N13" s="818">
        <f>IF($B13="","",M13*100/$B13)</f>
        <v>100</v>
      </c>
      <c r="O13" s="318">
        <f>IF(THHKI!U74&lt;&gt;"",THHKI!U74,"")</f>
        <v>0</v>
      </c>
      <c r="P13" s="818">
        <f>IF($B13="","",O13*100/$B13)</f>
        <v>0</v>
      </c>
      <c r="Q13" s="318">
        <f>IF(THHKI!V74&lt;&gt;"",THHKI!V74,"")</f>
        <v>0</v>
      </c>
      <c r="R13" s="818">
        <f>IF($B13="","",Q13*100/$B13)</f>
        <v>0</v>
      </c>
      <c r="S13" s="819">
        <f>IF(THHKI!W74&lt;&gt;"",THHKI!W74,"")</f>
        <v>0</v>
      </c>
      <c r="T13" s="820">
        <f>IF($B13="","",S13*100/$B13)</f>
        <v>0</v>
      </c>
      <c r="U13" s="319" t="str">
        <f>IF(SUM(S13,Q13,O13,M13)&lt;&gt;SUM(K13,I13,G13,E13,C13),"Chưa đúng","")</f>
        <v/>
      </c>
    </row>
    <row r="14" spans="1:21" ht="10.5" customHeight="1"/>
    <row r="15" spans="1:21" s="313" customFormat="1">
      <c r="A15" s="313" t="s">
        <v>130</v>
      </c>
    </row>
    <row r="16" spans="1:21" ht="6" customHeight="1"/>
    <row r="17" spans="1:31" ht="36.75" customHeight="1">
      <c r="A17" s="965" t="s">
        <v>124</v>
      </c>
      <c r="B17" s="964" t="s">
        <v>59</v>
      </c>
      <c r="C17" s="961" t="s">
        <v>11</v>
      </c>
      <c r="D17" s="963"/>
      <c r="E17" s="961" t="s">
        <v>131</v>
      </c>
      <c r="F17" s="963"/>
      <c r="G17" s="961" t="s">
        <v>8</v>
      </c>
      <c r="H17" s="963"/>
      <c r="I17" s="961" t="s">
        <v>132</v>
      </c>
      <c r="J17" s="963"/>
      <c r="K17" s="961" t="s">
        <v>133</v>
      </c>
      <c r="L17" s="963"/>
      <c r="O17" s="961" t="s">
        <v>59</v>
      </c>
      <c r="P17" s="962"/>
      <c r="Q17" s="962"/>
      <c r="R17" s="963"/>
      <c r="S17" s="983" t="s">
        <v>134</v>
      </c>
      <c r="T17" s="984"/>
      <c r="U17" s="965" t="s">
        <v>135</v>
      </c>
    </row>
    <row r="18" spans="1:31" s="320" customFormat="1" ht="18.75" customHeight="1">
      <c r="A18" s="973"/>
      <c r="B18" s="979"/>
      <c r="C18" s="980"/>
      <c r="D18" s="981"/>
      <c r="E18" s="980"/>
      <c r="F18" s="981"/>
      <c r="G18" s="980"/>
      <c r="H18" s="981"/>
      <c r="I18" s="980"/>
      <c r="J18" s="981"/>
      <c r="K18" s="980"/>
      <c r="L18" s="981"/>
      <c r="O18" s="980"/>
      <c r="P18" s="982"/>
      <c r="Q18" s="982"/>
      <c r="R18" s="981"/>
      <c r="S18" s="985"/>
      <c r="T18" s="967"/>
      <c r="U18" s="973"/>
      <c r="Z18" s="248"/>
      <c r="AA18" s="314"/>
      <c r="AB18" s="314"/>
      <c r="AC18" s="314"/>
      <c r="AD18" s="314"/>
    </row>
    <row r="19" spans="1:31">
      <c r="A19" s="323"/>
      <c r="B19" s="380" t="s">
        <v>26</v>
      </c>
      <c r="C19" s="974">
        <f>IF(INDEX(DiemHKI!$B$68:$DD$80,9,INDEX($Z$21:$AE$34,MATCH($B19,$Z$21:$Z$34,0),AA$20))&lt;&gt;"",INDEX(DiemHKI!$B$68:$DD$80,9,INDEX($Z$21:$AE$34,MATCH($B19,$Z$21:$Z$34,0),AA$20)),"")</f>
        <v>36</v>
      </c>
      <c r="D19" s="975"/>
      <c r="E19" s="974">
        <f>IF(INDEX(DiemHKI!$B$68:$DD$80,9,INDEX($Z$21:$AE$34,MATCH($B19,$Z$21:$Z$34,0),AB$20))&lt;&gt;"",INDEX(DiemHKI!$B$68:$DD$80,9,INDEX($Z$21:$AE$34,MATCH($B19,$Z$21:$Z$34,0),AB$20)),"")</f>
        <v>0</v>
      </c>
      <c r="F19" s="975"/>
      <c r="G19" s="974">
        <f>IF(INDEX(DiemHKI!$B$68:$DD$80,9,INDEX($Z$21:$AE$34,MATCH($B19,$Z$21:$Z$34,0),AC$20))&lt;&gt;"",INDEX(DiemHKI!$B$68:$DD$80,9,INDEX($Z$21:$AE$34,MATCH($B19,$Z$21:$Z$34,0),AC$20)),"")</f>
        <v>0</v>
      </c>
      <c r="H19" s="975"/>
      <c r="I19" s="974">
        <f>IF(INDEX(DiemHKI!$B$68:$DD$80,9,INDEX($Z$21:$AE$34,MATCH($B19,$Z$21:$Z$34,0),AD$20))&lt;&gt;"",INDEX(DiemHKI!$B$68:$DD$80,9,INDEX($Z$21:$AE$34,MATCH($B19,$Z$21:$Z$34,0),AD$20)),"")</f>
        <v>0</v>
      </c>
      <c r="J19" s="975"/>
      <c r="K19" s="974">
        <f>IF(INDEX(DiemHKI!$B$68:$DD$80,9,INDEX($Z$21:$AE$34,MATCH($B19,$Z$21:$Z$34,0),AE$20))&lt;&gt;"",INDEX(DiemHKI!$B$68:$DD$80,9,INDEX($Z$21:$AE$34,MATCH($B19,$Z$21:$Z$34,0),AE$20)),"")</f>
        <v>0</v>
      </c>
      <c r="L19" s="975"/>
      <c r="M19" s="314" t="str">
        <f>IF(SUM(C19:L19)*1=0,"",IF(SUM(C19:L19)*1=$A$23,"","Xem lại"))</f>
        <v/>
      </c>
      <c r="O19" s="976" t="s">
        <v>35</v>
      </c>
      <c r="P19" s="977"/>
      <c r="Q19" s="977"/>
      <c r="R19" s="978"/>
      <c r="S19" s="974">
        <f>IF(DiemHKI!CO69&lt;&gt;"",DiemHKI!CO69,"")</f>
        <v>36</v>
      </c>
      <c r="T19" s="975"/>
      <c r="U19" s="322">
        <f>IF(DiemHKI!CP69&lt;&gt;"",DiemHKI!CP69,"")</f>
        <v>0</v>
      </c>
      <c r="Z19" s="248"/>
      <c r="AA19" s="581" t="s">
        <v>11</v>
      </c>
      <c r="AB19" s="581" t="s">
        <v>12</v>
      </c>
      <c r="AC19" s="581" t="s">
        <v>8</v>
      </c>
      <c r="AD19" s="582" t="s">
        <v>14</v>
      </c>
      <c r="AE19" s="583" t="s">
        <v>15</v>
      </c>
    </row>
    <row r="20" spans="1:31">
      <c r="A20" s="323"/>
      <c r="B20" s="741" t="s">
        <v>27</v>
      </c>
      <c r="C20" s="974">
        <f>IF(INDEX(DiemHKI!$B$68:$DD$80,9,INDEX($Z$21:$AE$34,MATCH($B20,$Z$21:$Z$34,0),AA$20))&lt;&gt;"",INDEX(DiemHKI!$B$68:$DD$80,9,INDEX($Z$21:$AE$34,MATCH($B20,$Z$21:$Z$34,0),AA$20)),"")</f>
        <v>36</v>
      </c>
      <c r="D20" s="975"/>
      <c r="E20" s="974">
        <f>IF(INDEX(DiemHKI!$B$68:$DD$80,9,INDEX($Z$21:$AE$34,MATCH($B20,$Z$21:$Z$34,0),AB$20))&lt;&gt;"",INDEX(DiemHKI!$B$68:$DD$80,9,INDEX($Z$21:$AE$34,MATCH($B20,$Z$21:$Z$34,0),AB$20)),"")</f>
        <v>0</v>
      </c>
      <c r="F20" s="975"/>
      <c r="G20" s="974">
        <f>IF(INDEX(DiemHKI!$B$68:$DD$80,9,INDEX($Z$21:$AE$34,MATCH($B20,$Z$21:$Z$34,0),AC$20))&lt;&gt;"",INDEX(DiemHKI!$B$68:$DD$80,9,INDEX($Z$21:$AE$34,MATCH($B20,$Z$21:$Z$34,0),AC$20)),"")</f>
        <v>0</v>
      </c>
      <c r="H20" s="975"/>
      <c r="I20" s="974">
        <f>IF(INDEX(DiemHKI!$B$68:$DD$80,9,INDEX($Z$21:$AE$34,MATCH($B20,$Z$21:$Z$34,0),AD$20))&lt;&gt;"",INDEX(DiemHKI!$B$68:$DD$80,9,INDEX($Z$21:$AE$34,MATCH($B20,$Z$21:$Z$34,0),AD$20)),"")</f>
        <v>0</v>
      </c>
      <c r="J20" s="975"/>
      <c r="K20" s="974">
        <f>IF(INDEX(DiemHKI!$B$68:$DD$80,9,INDEX($Z$21:$AE$34,MATCH($B20,$Z$21:$Z$34,0),AE$20))&lt;&gt;"",INDEX(DiemHKI!$B$68:$DD$80,9,INDEX($Z$21:$AE$34,MATCH($B20,$Z$21:$Z$34,0),AE$20)),"")</f>
        <v>0</v>
      </c>
      <c r="L20" s="975"/>
      <c r="M20" s="314" t="str">
        <f t="shared" ref="M20:M31" si="0">IF(SUM(C20:L20)*1=0,"",IF(SUM(C20:L20)*1=$A$23,"","Xem lại"))</f>
        <v/>
      </c>
      <c r="Z20" s="248"/>
      <c r="AA20" s="355">
        <v>2</v>
      </c>
      <c r="AB20" s="355">
        <v>3</v>
      </c>
      <c r="AC20" s="355">
        <v>4</v>
      </c>
      <c r="AD20" s="355">
        <v>5</v>
      </c>
      <c r="AE20" s="355">
        <v>6</v>
      </c>
    </row>
    <row r="21" spans="1:31">
      <c r="A21" s="323"/>
      <c r="B21" s="741" t="s">
        <v>28</v>
      </c>
      <c r="C21" s="974">
        <f>IF(INDEX(DiemHKI!$B$68:$DD$80,9,INDEX($Z$21:$AE$34,MATCH($B21,$Z$21:$Z$34,0),AA$20))&lt;&gt;"",INDEX(DiemHKI!$B$68:$DD$80,9,INDEX($Z$21:$AE$34,MATCH($B21,$Z$21:$Z$34,0),AA$20)),"")</f>
        <v>36</v>
      </c>
      <c r="D21" s="975"/>
      <c r="E21" s="974">
        <f>IF(INDEX(DiemHKI!$B$68:$DD$80,9,INDEX($Z$21:$AE$34,MATCH($B21,$Z$21:$Z$34,0),AB$20))&lt;&gt;"",INDEX(DiemHKI!$B$68:$DD$80,9,INDEX($Z$21:$AE$34,MATCH($B21,$Z$21:$Z$34,0),AB$20)),"")</f>
        <v>0</v>
      </c>
      <c r="F21" s="975"/>
      <c r="G21" s="974">
        <f>IF(INDEX(DiemHKI!$B$68:$DD$80,9,INDEX($Z$21:$AE$34,MATCH($B21,$Z$21:$Z$34,0),AC$20))&lt;&gt;"",INDEX(DiemHKI!$B$68:$DD$80,9,INDEX($Z$21:$AE$34,MATCH($B21,$Z$21:$Z$34,0),AC$20)),"")</f>
        <v>0</v>
      </c>
      <c r="H21" s="975"/>
      <c r="I21" s="974">
        <f>IF(INDEX(DiemHKI!$B$68:$DD$80,9,INDEX($Z$21:$AE$34,MATCH($B21,$Z$21:$Z$34,0),AD$20))&lt;&gt;"",INDEX(DiemHKI!$B$68:$DD$80,9,INDEX($Z$21:$AE$34,MATCH($B21,$Z$21:$Z$34,0),AD$20)),"")</f>
        <v>0</v>
      </c>
      <c r="J21" s="975"/>
      <c r="K21" s="974">
        <f>IF(INDEX(DiemHKI!$B$68:$DD$80,9,INDEX($Z$21:$AE$34,MATCH($B21,$Z$21:$Z$34,0),AE$20))&lt;&gt;"",INDEX(DiemHKI!$B$68:$DD$80,9,INDEX($Z$21:$AE$34,MATCH($B21,$Z$21:$Z$34,0),AE$20)),"")</f>
        <v>0</v>
      </c>
      <c r="L21" s="975"/>
      <c r="M21" s="314" t="str">
        <f t="shared" si="0"/>
        <v/>
      </c>
      <c r="Z21" s="248" t="s">
        <v>26</v>
      </c>
      <c r="AA21" s="355">
        <v>12</v>
      </c>
      <c r="AB21" s="355">
        <v>13</v>
      </c>
      <c r="AC21" s="355">
        <v>14</v>
      </c>
      <c r="AD21" s="355">
        <v>15</v>
      </c>
      <c r="AE21" s="355">
        <v>16</v>
      </c>
    </row>
    <row r="22" spans="1:31">
      <c r="A22" s="323"/>
      <c r="B22" s="741" t="s">
        <v>29</v>
      </c>
      <c r="C22" s="974">
        <f>IF(INDEX(DiemHKI!$B$68:$DD$80,9,INDEX($Z$21:$AE$34,MATCH($B22,$Z$21:$Z$34,0),AA$20))&lt;&gt;"",INDEX(DiemHKI!$B$68:$DD$80,9,INDEX($Z$21:$AE$34,MATCH($B22,$Z$21:$Z$34,0),AA$20)),"")</f>
        <v>36</v>
      </c>
      <c r="D22" s="975"/>
      <c r="E22" s="974">
        <f>IF(INDEX(DiemHKI!$B$68:$DD$80,9,INDEX($Z$21:$AE$34,MATCH($B22,$Z$21:$Z$34,0),AB$20))&lt;&gt;"",INDEX(DiemHKI!$B$68:$DD$80,9,INDEX($Z$21:$AE$34,MATCH($B22,$Z$21:$Z$34,0),AB$20)),"")</f>
        <v>0</v>
      </c>
      <c r="F22" s="975"/>
      <c r="G22" s="974">
        <f>IF(INDEX(DiemHKI!$B$68:$DD$80,9,INDEX($Z$21:$AE$34,MATCH($B22,$Z$21:$Z$34,0),AC$20))&lt;&gt;"",INDEX(DiemHKI!$B$68:$DD$80,9,INDEX($Z$21:$AE$34,MATCH($B22,$Z$21:$Z$34,0),AC$20)),"")</f>
        <v>0</v>
      </c>
      <c r="H22" s="975"/>
      <c r="I22" s="974">
        <f>IF(INDEX(DiemHKI!$B$68:$DD$80,9,INDEX($Z$21:$AE$34,MATCH($B22,$Z$21:$Z$34,0),AD$20))&lt;&gt;"",INDEX(DiemHKI!$B$68:$DD$80,9,INDEX($Z$21:$AE$34,MATCH($B22,$Z$21:$Z$34,0),AD$20)),"")</f>
        <v>0</v>
      </c>
      <c r="J22" s="975"/>
      <c r="K22" s="974">
        <f>IF(INDEX(DiemHKI!$B$68:$DD$80,9,INDEX($Z$21:$AE$34,MATCH($B22,$Z$21:$Z$34,0),AE$20))&lt;&gt;"",INDEX(DiemHKI!$B$68:$DD$80,9,INDEX($Z$21:$AE$34,MATCH($B22,$Z$21:$Z$34,0),AE$20)),"")</f>
        <v>0</v>
      </c>
      <c r="L22" s="975"/>
      <c r="M22" s="314" t="str">
        <f t="shared" si="0"/>
        <v/>
      </c>
      <c r="Z22" s="248" t="s">
        <v>27</v>
      </c>
      <c r="AA22" s="355">
        <v>19</v>
      </c>
      <c r="AB22" s="355">
        <v>20</v>
      </c>
      <c r="AC22" s="355">
        <v>21</v>
      </c>
      <c r="AD22" s="355">
        <v>22</v>
      </c>
      <c r="AE22" s="355">
        <v>23</v>
      </c>
    </row>
    <row r="23" spans="1:31">
      <c r="A23" s="323">
        <f>B13</f>
        <v>36</v>
      </c>
      <c r="B23" s="741" t="s">
        <v>120</v>
      </c>
      <c r="C23" s="974">
        <f>IF(INDEX(DiemHKI!$B$68:$DD$80,9,INDEX($Z$21:$AE$34,MATCH($B23,$Z$21:$Z$34,0),AA$20))&lt;&gt;"",INDEX(DiemHKI!$B$68:$DD$80,9,INDEX($Z$21:$AE$34,MATCH($B23,$Z$21:$Z$34,0),AA$20)),"")</f>
        <v>36</v>
      </c>
      <c r="D23" s="975"/>
      <c r="E23" s="974">
        <f>IF(INDEX(DiemHKI!$B$68:$DD$80,9,INDEX($Z$21:$AE$34,MATCH($B23,$Z$21:$Z$34,0),AB$20))&lt;&gt;"",INDEX(DiemHKI!$B$68:$DD$80,9,INDEX($Z$21:$AE$34,MATCH($B23,$Z$21:$Z$34,0),AB$20)),"")</f>
        <v>0</v>
      </c>
      <c r="F23" s="975"/>
      <c r="G23" s="974">
        <f>IF(INDEX(DiemHKI!$B$68:$DD$80,9,INDEX($Z$21:$AE$34,MATCH($B23,$Z$21:$Z$34,0),AC$20))&lt;&gt;"",INDEX(DiemHKI!$B$68:$DD$80,9,INDEX($Z$21:$AE$34,MATCH($B23,$Z$21:$Z$34,0),AC$20)),"")</f>
        <v>0</v>
      </c>
      <c r="H23" s="975"/>
      <c r="I23" s="974">
        <f>IF(INDEX(DiemHKI!$B$68:$DD$80,9,INDEX($Z$21:$AE$34,MATCH($B23,$Z$21:$Z$34,0),AD$20))&lt;&gt;"",INDEX(DiemHKI!$B$68:$DD$80,9,INDEX($Z$21:$AE$34,MATCH($B23,$Z$21:$Z$34,0),AD$20)),"")</f>
        <v>0</v>
      </c>
      <c r="J23" s="975"/>
      <c r="K23" s="974">
        <f>IF(INDEX(DiemHKI!$B$68:$DD$80,9,INDEX($Z$21:$AE$34,MATCH($B23,$Z$21:$Z$34,0),AE$20))&lt;&gt;"",INDEX(DiemHKI!$B$68:$DD$80,9,INDEX($Z$21:$AE$34,MATCH($B23,$Z$21:$Z$34,0),AE$20)),"")</f>
        <v>0</v>
      </c>
      <c r="L23" s="975"/>
      <c r="M23" s="314" t="str">
        <f t="shared" si="0"/>
        <v/>
      </c>
      <c r="Z23" s="248" t="s">
        <v>28</v>
      </c>
      <c r="AA23" s="355">
        <v>26</v>
      </c>
      <c r="AB23" s="355">
        <v>27</v>
      </c>
      <c r="AC23" s="355">
        <v>28</v>
      </c>
      <c r="AD23" s="355">
        <v>29</v>
      </c>
      <c r="AE23" s="355">
        <v>30</v>
      </c>
    </row>
    <row r="24" spans="1:31">
      <c r="A24" s="323"/>
      <c r="B24" s="741" t="s">
        <v>30</v>
      </c>
      <c r="C24" s="974">
        <f>IF(INDEX(DiemHKI!$B$68:$DD$80,9,INDEX($Z$21:$AE$34,MATCH($B24,$Z$21:$Z$34,0),AA$20))&lt;&gt;"",INDEX(DiemHKI!$B$68:$DD$80,9,INDEX($Z$21:$AE$34,MATCH($B24,$Z$21:$Z$34,0),AA$20)),"")</f>
        <v>5</v>
      </c>
      <c r="D24" s="975"/>
      <c r="E24" s="974">
        <f>IF(INDEX(DiemHKI!$B$68:$DD$80,9,INDEX($Z$21:$AE$34,MATCH($B24,$Z$21:$Z$34,0),AB$20))&lt;&gt;"",INDEX(DiemHKI!$B$68:$DD$80,9,INDEX($Z$21:$AE$34,MATCH($B24,$Z$21:$Z$34,0),AB$20)),"")</f>
        <v>31</v>
      </c>
      <c r="F24" s="975"/>
      <c r="G24" s="974">
        <f>IF(INDEX(DiemHKI!$B$68:$DD$80,9,INDEX($Z$21:$AE$34,MATCH($B24,$Z$21:$Z$34,0),AC$20))&lt;&gt;"",INDEX(DiemHKI!$B$68:$DD$80,9,INDEX($Z$21:$AE$34,MATCH($B24,$Z$21:$Z$34,0),AC$20)),"")</f>
        <v>0</v>
      </c>
      <c r="H24" s="975"/>
      <c r="I24" s="974">
        <f>IF(INDEX(DiemHKI!$B$68:$DD$80,9,INDEX($Z$21:$AE$34,MATCH($B24,$Z$21:$Z$34,0),AD$20))&lt;&gt;"",INDEX(DiemHKI!$B$68:$DD$80,9,INDEX($Z$21:$AE$34,MATCH($B24,$Z$21:$Z$34,0),AD$20)),"")</f>
        <v>0</v>
      </c>
      <c r="J24" s="975"/>
      <c r="K24" s="974">
        <f>IF(INDEX(DiemHKI!$B$68:$DD$80,9,INDEX($Z$21:$AE$34,MATCH($B24,$Z$21:$Z$34,0),AE$20))&lt;&gt;"",INDEX(DiemHKI!$B$68:$DD$80,9,INDEX($Z$21:$AE$34,MATCH($B24,$Z$21:$Z$34,0),AE$20)),"")</f>
        <v>0</v>
      </c>
      <c r="L24" s="975"/>
      <c r="M24" s="314" t="str">
        <f t="shared" si="0"/>
        <v/>
      </c>
      <c r="Z24" s="248" t="s">
        <v>29</v>
      </c>
      <c r="AA24" s="355">
        <v>33</v>
      </c>
      <c r="AB24" s="355">
        <v>34</v>
      </c>
      <c r="AC24" s="355">
        <v>35</v>
      </c>
      <c r="AD24" s="355">
        <v>36</v>
      </c>
      <c r="AE24" s="355">
        <v>37</v>
      </c>
    </row>
    <row r="25" spans="1:31">
      <c r="A25" s="323"/>
      <c r="B25" s="741" t="s">
        <v>31</v>
      </c>
      <c r="C25" s="974">
        <f>IF(INDEX(DiemHKI!$B$68:$DD$80,9,INDEX($Z$21:$AE$34,MATCH($B25,$Z$21:$Z$34,0),AA$20))&lt;&gt;"",INDEX(DiemHKI!$B$68:$DD$80,9,INDEX($Z$21:$AE$34,MATCH($B25,$Z$21:$Z$34,0),AA$20)),"")</f>
        <v>36</v>
      </c>
      <c r="D25" s="975"/>
      <c r="E25" s="974">
        <f>IF(INDEX(DiemHKI!$B$68:$DD$80,9,INDEX($Z$21:$AE$34,MATCH($B25,$Z$21:$Z$34,0),AB$20))&lt;&gt;"",INDEX(DiemHKI!$B$68:$DD$80,9,INDEX($Z$21:$AE$34,MATCH($B25,$Z$21:$Z$34,0),AB$20)),"")</f>
        <v>0</v>
      </c>
      <c r="F25" s="975"/>
      <c r="G25" s="974">
        <f>IF(INDEX(DiemHKI!$B$68:$DD$80,9,INDEX($Z$21:$AE$34,MATCH($B25,$Z$21:$Z$34,0),AC$20))&lt;&gt;"",INDEX(DiemHKI!$B$68:$DD$80,9,INDEX($Z$21:$AE$34,MATCH($B25,$Z$21:$Z$34,0),AC$20)),"")</f>
        <v>0</v>
      </c>
      <c r="H25" s="975"/>
      <c r="I25" s="974">
        <f>IF(INDEX(DiemHKI!$B$68:$DD$80,9,INDEX($Z$21:$AE$34,MATCH($B25,$Z$21:$Z$34,0),AD$20))&lt;&gt;"",INDEX(DiemHKI!$B$68:$DD$80,9,INDEX($Z$21:$AE$34,MATCH($B25,$Z$21:$Z$34,0),AD$20)),"")</f>
        <v>0</v>
      </c>
      <c r="J25" s="975"/>
      <c r="K25" s="974">
        <f>IF(INDEX(DiemHKI!$B$68:$DD$80,9,INDEX($Z$21:$AE$34,MATCH($B25,$Z$21:$Z$34,0),AE$20))&lt;&gt;"",INDEX(DiemHKI!$B$68:$DD$80,9,INDEX($Z$21:$AE$34,MATCH($B25,$Z$21:$Z$34,0),AE$20)),"")</f>
        <v>0</v>
      </c>
      <c r="L25" s="975"/>
      <c r="M25" s="314" t="str">
        <f t="shared" si="0"/>
        <v/>
      </c>
      <c r="Z25" s="248" t="s">
        <v>120</v>
      </c>
      <c r="AA25" s="355">
        <v>40</v>
      </c>
      <c r="AB25" s="355">
        <v>41</v>
      </c>
      <c r="AC25" s="355">
        <v>42</v>
      </c>
      <c r="AD25" s="355">
        <v>43</v>
      </c>
      <c r="AE25" s="355">
        <v>44</v>
      </c>
    </row>
    <row r="26" spans="1:31">
      <c r="A26" s="323"/>
      <c r="B26" s="741" t="s">
        <v>32</v>
      </c>
      <c r="C26" s="974">
        <f>IF(INDEX(DiemHKI!$B$68:$DD$80,9,INDEX($Z$21:$AE$34,MATCH($B26,$Z$21:$Z$34,0),AA$20))&lt;&gt;"",INDEX(DiemHKI!$B$68:$DD$80,9,INDEX($Z$21:$AE$34,MATCH($B26,$Z$21:$Z$34,0),AA$20)),"")</f>
        <v>36</v>
      </c>
      <c r="D26" s="975"/>
      <c r="E26" s="974">
        <f>IF(INDEX(DiemHKI!$B$68:$DD$80,9,INDEX($Z$21:$AE$34,MATCH($B26,$Z$21:$Z$34,0),AB$20))&lt;&gt;"",INDEX(DiemHKI!$B$68:$DD$80,9,INDEX($Z$21:$AE$34,MATCH($B26,$Z$21:$Z$34,0),AB$20)),"")</f>
        <v>0</v>
      </c>
      <c r="F26" s="975"/>
      <c r="G26" s="974">
        <f>IF(INDEX(DiemHKI!$B$68:$DD$80,9,INDEX($Z$21:$AE$34,MATCH($B26,$Z$21:$Z$34,0),AC$20))&lt;&gt;"",INDEX(DiemHKI!$B$68:$DD$80,9,INDEX($Z$21:$AE$34,MATCH($B26,$Z$21:$Z$34,0),AC$20)),"")</f>
        <v>0</v>
      </c>
      <c r="H26" s="975"/>
      <c r="I26" s="974">
        <f>IF(INDEX(DiemHKI!$B$68:$DD$80,9,INDEX($Z$21:$AE$34,MATCH($B26,$Z$21:$Z$34,0),AD$20))&lt;&gt;"",INDEX(DiemHKI!$B$68:$DD$80,9,INDEX($Z$21:$AE$34,MATCH($B26,$Z$21:$Z$34,0),AD$20)),"")</f>
        <v>0</v>
      </c>
      <c r="J26" s="975"/>
      <c r="K26" s="974">
        <f>IF(INDEX(DiemHKI!$B$68:$DD$80,9,INDEX($Z$21:$AE$34,MATCH($B26,$Z$21:$Z$34,0),AE$20))&lt;&gt;"",INDEX(DiemHKI!$B$68:$DD$80,9,INDEX($Z$21:$AE$34,MATCH($B26,$Z$21:$Z$34,0),AE$20)),"")</f>
        <v>0</v>
      </c>
      <c r="L26" s="975"/>
      <c r="M26" s="314" t="str">
        <f t="shared" si="0"/>
        <v/>
      </c>
      <c r="Z26" s="248" t="s">
        <v>30</v>
      </c>
      <c r="AA26" s="355">
        <v>47</v>
      </c>
      <c r="AB26" s="355">
        <v>48</v>
      </c>
      <c r="AC26" s="355">
        <v>49</v>
      </c>
      <c r="AD26" s="355">
        <v>50</v>
      </c>
      <c r="AE26" s="355">
        <v>51</v>
      </c>
    </row>
    <row r="27" spans="1:31">
      <c r="A27" s="323"/>
      <c r="B27" s="741" t="s">
        <v>33</v>
      </c>
      <c r="C27" s="974">
        <f>IF(INDEX(DiemHKI!$B$68:$DD$80,9,INDEX($Z$21:$AE$34,MATCH($B27,$Z$21:$Z$34,0),AA$20))&lt;&gt;"",INDEX(DiemHKI!$B$68:$DD$80,9,INDEX($Z$21:$AE$34,MATCH($B27,$Z$21:$Z$34,0),AA$20)),"")</f>
        <v>33</v>
      </c>
      <c r="D27" s="975"/>
      <c r="E27" s="974">
        <f>IF(INDEX(DiemHKI!$B$68:$DD$80,9,INDEX($Z$21:$AE$34,MATCH($B27,$Z$21:$Z$34,0),AB$20))&lt;&gt;"",INDEX(DiemHKI!$B$68:$DD$80,9,INDEX($Z$21:$AE$34,MATCH($B27,$Z$21:$Z$34,0),AB$20)),"")</f>
        <v>3</v>
      </c>
      <c r="F27" s="975"/>
      <c r="G27" s="974">
        <f>IF(INDEX(DiemHKI!$B$68:$DD$80,9,INDEX($Z$21:$AE$34,MATCH($B27,$Z$21:$Z$34,0),AC$20))&lt;&gt;"",INDEX(DiemHKI!$B$68:$DD$80,9,INDEX($Z$21:$AE$34,MATCH($B27,$Z$21:$Z$34,0),AC$20)),"")</f>
        <v>0</v>
      </c>
      <c r="H27" s="975"/>
      <c r="I27" s="974">
        <f>IF(INDEX(DiemHKI!$B$68:$DD$80,9,INDEX($Z$21:$AE$34,MATCH($B27,$Z$21:$Z$34,0),AD$20))&lt;&gt;"",INDEX(DiemHKI!$B$68:$DD$80,9,INDEX($Z$21:$AE$34,MATCH($B27,$Z$21:$Z$34,0),AD$20)),"")</f>
        <v>0</v>
      </c>
      <c r="J27" s="975"/>
      <c r="K27" s="974">
        <f>IF(INDEX(DiemHKI!$B$68:$DD$80,9,INDEX($Z$21:$AE$34,MATCH($B27,$Z$21:$Z$34,0),AE$20))&lt;&gt;"",INDEX(DiemHKI!$B$68:$DD$80,9,INDEX($Z$21:$AE$34,MATCH($B27,$Z$21:$Z$34,0),AE$20)),"")</f>
        <v>0</v>
      </c>
      <c r="L27" s="975"/>
      <c r="M27" s="314" t="str">
        <f t="shared" si="0"/>
        <v/>
      </c>
      <c r="Z27" s="248" t="s">
        <v>31</v>
      </c>
      <c r="AA27" s="355">
        <v>54</v>
      </c>
      <c r="AB27" s="355">
        <v>55</v>
      </c>
      <c r="AC27" s="355">
        <v>56</v>
      </c>
      <c r="AD27" s="355">
        <v>57</v>
      </c>
      <c r="AE27" s="355">
        <v>58</v>
      </c>
    </row>
    <row r="28" spans="1:31">
      <c r="A28" s="323"/>
      <c r="B28" s="741" t="s">
        <v>60</v>
      </c>
      <c r="C28" s="974">
        <f>IF(INDEX(DiemHKI!$B$68:$DD$80,9,INDEX($Z$21:$AE$34,MATCH($B28,$Z$21:$Z$34,0),AA$20))&lt;&gt;"",INDEX(DiemHKI!$B$68:$DD$80,9,INDEX($Z$21:$AE$34,MATCH($B28,$Z$21:$Z$34,0),AA$20)),"")</f>
        <v>36</v>
      </c>
      <c r="D28" s="975"/>
      <c r="E28" s="974">
        <f>IF(INDEX(DiemHKI!$B$68:$DD$80,9,INDEX($Z$21:$AE$34,MATCH($B28,$Z$21:$Z$34,0),AB$20))&lt;&gt;"",INDEX(DiemHKI!$B$68:$DD$80,9,INDEX($Z$21:$AE$34,MATCH($B28,$Z$21:$Z$34,0),AB$20)),"")</f>
        <v>0</v>
      </c>
      <c r="F28" s="975"/>
      <c r="G28" s="974">
        <f>IF(INDEX(DiemHKI!$B$68:$DD$80,9,INDEX($Z$21:$AE$34,MATCH($B28,$Z$21:$Z$34,0),AC$20))&lt;&gt;"",INDEX(DiemHKI!$B$68:$DD$80,9,INDEX($Z$21:$AE$34,MATCH($B28,$Z$21:$Z$34,0),AC$20)),"")</f>
        <v>0</v>
      </c>
      <c r="H28" s="975"/>
      <c r="I28" s="974">
        <f>IF(INDEX(DiemHKI!$B$68:$DD$80,9,INDEX($Z$21:$AE$34,MATCH($B28,$Z$21:$Z$34,0),AD$20))&lt;&gt;"",INDEX(DiemHKI!$B$68:$DD$80,9,INDEX($Z$21:$AE$34,MATCH($B28,$Z$21:$Z$34,0),AD$20)),"")</f>
        <v>0</v>
      </c>
      <c r="J28" s="975"/>
      <c r="K28" s="974">
        <f>IF(INDEX(DiemHKI!$B$68:$DD$80,9,INDEX($Z$21:$AE$34,MATCH($B28,$Z$21:$Z$34,0),AE$20))&lt;&gt;"",INDEX(DiemHKI!$B$68:$DD$80,9,INDEX($Z$21:$AE$34,MATCH($B28,$Z$21:$Z$34,0),AE$20)),"")</f>
        <v>0</v>
      </c>
      <c r="L28" s="975"/>
      <c r="M28" s="314" t="str">
        <f t="shared" si="0"/>
        <v/>
      </c>
      <c r="Z28" s="248" t="s">
        <v>32</v>
      </c>
      <c r="AA28" s="355">
        <v>61</v>
      </c>
      <c r="AB28" s="355">
        <v>62</v>
      </c>
      <c r="AC28" s="355">
        <v>63</v>
      </c>
      <c r="AD28" s="355">
        <v>64</v>
      </c>
      <c r="AE28" s="355">
        <v>65</v>
      </c>
    </row>
    <row r="29" spans="1:31">
      <c r="A29" s="323"/>
      <c r="B29" s="741" t="s">
        <v>34</v>
      </c>
      <c r="C29" s="974">
        <f>IF(INDEX(DiemHKI!$B$68:$DD$80,9,INDEX($Z$21:$AE$34,MATCH($B29,$Z$21:$Z$34,0),AA$20))&lt;&gt;"",INDEX(DiemHKI!$B$68:$DD$80,9,INDEX($Z$21:$AE$34,MATCH($B29,$Z$21:$Z$34,0),AA$20)),"")</f>
        <v>36</v>
      </c>
      <c r="D29" s="975"/>
      <c r="E29" s="974">
        <f>IF(INDEX(DiemHKI!$B$68:$DD$80,9,INDEX($Z$21:$AE$34,MATCH($B29,$Z$21:$Z$34,0),AB$20))&lt;&gt;"",INDEX(DiemHKI!$B$68:$DD$80,9,INDEX($Z$21:$AE$34,MATCH($B29,$Z$21:$Z$34,0),AB$20)),"")</f>
        <v>0</v>
      </c>
      <c r="F29" s="975"/>
      <c r="G29" s="974">
        <f>IF(INDEX(DiemHKI!$B$68:$DD$80,9,INDEX($Z$21:$AE$34,MATCH($B29,$Z$21:$Z$34,0),AC$20))&lt;&gt;"",INDEX(DiemHKI!$B$68:$DD$80,9,INDEX($Z$21:$AE$34,MATCH($B29,$Z$21:$Z$34,0),AC$20)),"")</f>
        <v>0</v>
      </c>
      <c r="H29" s="975"/>
      <c r="I29" s="974">
        <f>IF(INDEX(DiemHKI!$B$68:$DD$80,9,INDEX($Z$21:$AE$34,MATCH($B29,$Z$21:$Z$34,0),AD$20))&lt;&gt;"",INDEX(DiemHKI!$B$68:$DD$80,9,INDEX($Z$21:$AE$34,MATCH($B29,$Z$21:$Z$34,0),AD$20)),"")</f>
        <v>0</v>
      </c>
      <c r="J29" s="975"/>
      <c r="K29" s="974">
        <f>IF(INDEX(DiemHKI!$B$68:$DD$80,9,INDEX($Z$21:$AE$34,MATCH($B29,$Z$21:$Z$34,0),AE$20))&lt;&gt;"",INDEX(DiemHKI!$B$68:$DD$80,9,INDEX($Z$21:$AE$34,MATCH($B29,$Z$21:$Z$34,0),AE$20)),"")</f>
        <v>0</v>
      </c>
      <c r="L29" s="975"/>
      <c r="M29" s="314" t="str">
        <f t="shared" si="0"/>
        <v/>
      </c>
      <c r="Z29" s="248" t="s">
        <v>33</v>
      </c>
      <c r="AA29" s="355">
        <v>68</v>
      </c>
      <c r="AB29" s="355">
        <v>69</v>
      </c>
      <c r="AC29" s="355">
        <v>70</v>
      </c>
      <c r="AD29" s="355">
        <v>71</v>
      </c>
      <c r="AE29" s="355">
        <v>72</v>
      </c>
    </row>
    <row r="30" spans="1:31">
      <c r="A30" s="323"/>
      <c r="B30" s="741" t="s">
        <v>121</v>
      </c>
      <c r="C30" s="974">
        <f>IF(INDEX(DiemHKI!$B$68:$DD$80,9,INDEX($Z$21:$AE$34,MATCH($B30,$Z$21:$Z$34,0),AA$20))&lt;&gt;"",INDEX(DiemHKI!$B$68:$DD$80,9,INDEX($Z$21:$AE$34,MATCH($B30,$Z$21:$Z$34,0),AA$20)),"")</f>
        <v>36</v>
      </c>
      <c r="D30" s="975"/>
      <c r="E30" s="974">
        <f>IF(INDEX(DiemHKI!$B$68:$DD$80,9,INDEX($Z$21:$AE$34,MATCH($B30,$Z$21:$Z$34,0),AB$20))&lt;&gt;"",INDEX(DiemHKI!$B$68:$DD$80,9,INDEX($Z$21:$AE$34,MATCH($B30,$Z$21:$Z$34,0),AB$20)),"")</f>
        <v>0</v>
      </c>
      <c r="F30" s="975"/>
      <c r="G30" s="974">
        <f>IF(INDEX(DiemHKI!$B$68:$DD$80,9,INDEX($Z$21:$AE$34,MATCH($B30,$Z$21:$Z$34,0),AC$20))&lt;&gt;"",INDEX(DiemHKI!$B$68:$DD$80,9,INDEX($Z$21:$AE$34,MATCH($B30,$Z$21:$Z$34,0),AC$20)),"")</f>
        <v>0</v>
      </c>
      <c r="H30" s="975"/>
      <c r="I30" s="974">
        <f>IF(INDEX(DiemHKI!$B$68:$DD$80,9,INDEX($Z$21:$AE$34,MATCH($B30,$Z$21:$Z$34,0),AD$20))&lt;&gt;"",INDEX(DiemHKI!$B$68:$DD$80,9,INDEX($Z$21:$AE$34,MATCH($B30,$Z$21:$Z$34,0),AD$20)),"")</f>
        <v>0</v>
      </c>
      <c r="J30" s="975"/>
      <c r="K30" s="974">
        <f>IF(INDEX(DiemHKI!$B$68:$DD$80,9,INDEX($Z$21:$AE$34,MATCH($B30,$Z$21:$Z$34,0),AE$20))&lt;&gt;"",INDEX(DiemHKI!$B$68:$DD$80,9,INDEX($Z$21:$AE$34,MATCH($B30,$Z$21:$Z$34,0),AE$20)),"")</f>
        <v>0</v>
      </c>
      <c r="L30" s="975"/>
      <c r="M30" s="314" t="str">
        <f t="shared" si="0"/>
        <v/>
      </c>
      <c r="Z30" s="248" t="s">
        <v>60</v>
      </c>
      <c r="AA30" s="355">
        <v>75</v>
      </c>
      <c r="AB30" s="355">
        <v>76</v>
      </c>
      <c r="AC30" s="355">
        <v>77</v>
      </c>
      <c r="AD30" s="355">
        <v>78</v>
      </c>
      <c r="AE30" s="355">
        <v>79</v>
      </c>
    </row>
    <row r="31" spans="1:31">
      <c r="A31" s="324"/>
      <c r="B31" s="741" t="s">
        <v>122</v>
      </c>
      <c r="C31" s="974">
        <f>IF(INDEX(DiemHKI!$B$68:$DD$80,9,INDEX($Z$21:$AE$34,MATCH($B31,$Z$21:$Z$34,0),AA$20))&lt;&gt;"",INDEX(DiemHKI!$B$68:$DD$80,9,INDEX($Z$21:$AE$34,MATCH($B31,$Z$21:$Z$34,0),AA$20)),"")</f>
        <v>0</v>
      </c>
      <c r="D31" s="975"/>
      <c r="E31" s="974">
        <f>IF(INDEX(DiemHKI!$B$68:$DD$80,9,INDEX($Z$21:$AE$34,MATCH($B31,$Z$21:$Z$34,0),AB$20))&lt;&gt;"",INDEX(DiemHKI!$B$68:$DD$80,9,INDEX($Z$21:$AE$34,MATCH($B31,$Z$21:$Z$34,0),AB$20)),"")</f>
        <v>0</v>
      </c>
      <c r="F31" s="975"/>
      <c r="G31" s="974">
        <f>IF(INDEX(DiemHKI!$B$68:$DD$80,9,INDEX($Z$21:$AE$34,MATCH($B31,$Z$21:$Z$34,0),AC$20))&lt;&gt;"",INDEX(DiemHKI!$B$68:$DD$80,9,INDEX($Z$21:$AE$34,MATCH($B31,$Z$21:$Z$34,0),AC$20)),"")</f>
        <v>0</v>
      </c>
      <c r="H31" s="975"/>
      <c r="I31" s="974">
        <f>IF(INDEX(DiemHKI!$B$68:$DD$80,9,INDEX($Z$21:$AE$34,MATCH($B31,$Z$21:$Z$34,0),AD$20))&lt;&gt;"",INDEX(DiemHKI!$B$68:$DD$80,9,INDEX($Z$21:$AE$34,MATCH($B31,$Z$21:$Z$34,0),AD$20)),"")</f>
        <v>0</v>
      </c>
      <c r="J31" s="975"/>
      <c r="K31" s="974">
        <f>IF(INDEX(DiemHKI!$B$68:$DD$80,9,INDEX($Z$21:$AE$34,MATCH($B31,$Z$21:$Z$34,0),AE$20))&lt;&gt;"",INDEX(DiemHKI!$B$68:$DD$80,9,INDEX($Z$21:$AE$34,MATCH($B31,$Z$21:$Z$34,0),AE$20)),"")</f>
        <v>36</v>
      </c>
      <c r="L31" s="975"/>
      <c r="M31" s="314" t="str">
        <f t="shared" si="0"/>
        <v/>
      </c>
      <c r="Z31" s="248" t="s">
        <v>34</v>
      </c>
      <c r="AA31" s="355">
        <v>82</v>
      </c>
      <c r="AB31" s="355">
        <v>83</v>
      </c>
      <c r="AC31" s="355">
        <v>84</v>
      </c>
      <c r="AD31" s="355">
        <v>85</v>
      </c>
      <c r="AE31" s="355">
        <v>86</v>
      </c>
    </row>
    <row r="32" spans="1:31" ht="9" customHeight="1">
      <c r="B32" s="248"/>
      <c r="Z32" s="248" t="s">
        <v>35</v>
      </c>
      <c r="AA32" s="355">
        <v>89</v>
      </c>
      <c r="AB32" s="355">
        <v>90</v>
      </c>
      <c r="AC32" s="355">
        <v>91</v>
      </c>
      <c r="AD32" s="355">
        <v>92</v>
      </c>
      <c r="AE32" s="355">
        <v>93</v>
      </c>
    </row>
    <row r="33" spans="1:31" s="313" customFormat="1">
      <c r="A33" s="313" t="s">
        <v>137</v>
      </c>
      <c r="Z33" s="248" t="s">
        <v>121</v>
      </c>
      <c r="AA33" s="355">
        <v>96</v>
      </c>
      <c r="AB33" s="355">
        <v>97</v>
      </c>
      <c r="AC33" s="355">
        <v>98</v>
      </c>
      <c r="AD33" s="355">
        <v>99</v>
      </c>
      <c r="AE33" s="355">
        <v>100</v>
      </c>
    </row>
    <row r="34" spans="1:31" ht="6.75" customHeight="1">
      <c r="Z34" s="248" t="s">
        <v>122</v>
      </c>
      <c r="AA34" s="355">
        <v>103</v>
      </c>
      <c r="AB34" s="355">
        <v>104</v>
      </c>
      <c r="AC34" s="355">
        <v>105</v>
      </c>
      <c r="AD34" s="355">
        <v>106</v>
      </c>
      <c r="AE34" s="355">
        <v>107</v>
      </c>
    </row>
    <row r="35" spans="1:31" ht="42" customHeight="1">
      <c r="A35" s="965" t="s">
        <v>124</v>
      </c>
      <c r="B35" s="964" t="s">
        <v>59</v>
      </c>
      <c r="C35" s="961" t="s">
        <v>11</v>
      </c>
      <c r="D35" s="963"/>
      <c r="E35" s="961" t="s">
        <v>131</v>
      </c>
      <c r="F35" s="963"/>
      <c r="G35" s="961" t="s">
        <v>8</v>
      </c>
      <c r="H35" s="963"/>
      <c r="I35" s="961" t="s">
        <v>132</v>
      </c>
      <c r="J35" s="963"/>
      <c r="K35" s="961" t="s">
        <v>133</v>
      </c>
      <c r="L35" s="963"/>
      <c r="O35" s="961" t="s">
        <v>59</v>
      </c>
      <c r="P35" s="962"/>
      <c r="Q35" s="962"/>
      <c r="R35" s="963"/>
      <c r="S35" s="983" t="s">
        <v>134</v>
      </c>
      <c r="T35" s="984"/>
      <c r="U35" s="965" t="s">
        <v>135</v>
      </c>
      <c r="Z35" s="248"/>
      <c r="AA35" s="355"/>
      <c r="AB35" s="355"/>
      <c r="AC35" s="355"/>
      <c r="AD35" s="355"/>
    </row>
    <row r="36" spans="1:31">
      <c r="A36" s="973"/>
      <c r="B36" s="979"/>
      <c r="C36" s="980"/>
      <c r="D36" s="981"/>
      <c r="E36" s="980"/>
      <c r="F36" s="981"/>
      <c r="G36" s="980"/>
      <c r="H36" s="981"/>
      <c r="I36" s="980"/>
      <c r="J36" s="981"/>
      <c r="K36" s="980"/>
      <c r="L36" s="981"/>
      <c r="O36" s="980"/>
      <c r="P36" s="982"/>
      <c r="Q36" s="982"/>
      <c r="R36" s="981"/>
      <c r="S36" s="985"/>
      <c r="T36" s="967"/>
      <c r="U36" s="973"/>
    </row>
    <row r="37" spans="1:31">
      <c r="A37" s="321"/>
      <c r="B37" s="741" t="s">
        <v>26</v>
      </c>
      <c r="C37" s="974">
        <f>IF(INDEX(DiemHKI!$B$68:$DD$80,2,INDEX($Z$21:$AE$34,MATCH($B37,$Z$21:$Z$34,0),AA$20))&lt;&gt;"",INDEX(DiemHKI!$B$68:$DD$80,2,INDEX($Z$21:$AE$34,MATCH($B37,$Z$21:$Z$34,0),AA$20)),"")</f>
        <v>36</v>
      </c>
      <c r="D37" s="975"/>
      <c r="E37" s="974">
        <f>IF(INDEX(DiemHKI!$B$68:$DD$80,2,INDEX($Z$21:$AE$34,MATCH($B37,$Z$21:$Z$34,0),AB$20))&lt;&gt;"",INDEX(DiemHKI!$B$68:$DD$80,2,INDEX($Z$21:$AE$34,MATCH($B37,$Z$21:$Z$34,0),AB$20)),"")</f>
        <v>0</v>
      </c>
      <c r="F37" s="975"/>
      <c r="G37" s="974">
        <f>IF(INDEX(DiemHKI!$B$68:$DD$80,2,INDEX($Z$21:$AE$34,MATCH($B37,$Z$21:$Z$34,0),AC$20))&lt;&gt;"",INDEX(DiemHKI!$B$68:$DD$80,2,INDEX($Z$21:$AE$34,MATCH($B37,$Z$21:$Z$34,0),AC$20)),"")</f>
        <v>0</v>
      </c>
      <c r="H37" s="975"/>
      <c r="I37" s="974">
        <f>IF(INDEX(DiemHKI!$B$68:$DD$80,2,INDEX($Z$21:$AE$34,MATCH($B37,$Z$21:$Z$34,0),AD$20))&lt;&gt;"",INDEX(DiemHKI!$B$68:$DD$80,2,INDEX($Z$21:$AE$34,MATCH($B37,$Z$21:$Z$34,0),AD$20)),"")</f>
        <v>0</v>
      </c>
      <c r="J37" s="975"/>
      <c r="K37" s="974">
        <f>IF(INDEX(DiemHKI!$B$68:$DD$80,2,INDEX($Z$21:$AE$34,MATCH($B37,$Z$21:$Z$34,0),AE$20))&lt;&gt;"",INDEX(DiemHKI!$B$68:$DD$80,2,INDEX($Z$21:$AE$34,MATCH($B37,$Z$21:$Z$34,0),AE$20)),"")</f>
        <v>0</v>
      </c>
      <c r="L37" s="975"/>
      <c r="M37" s="314" t="str">
        <f>IF(SUM(C37:L37)=0,"",IF(SUM(C37:L37)&lt;&gt;$A$41,"Xem lại",""))</f>
        <v/>
      </c>
      <c r="O37" s="976" t="s">
        <v>35</v>
      </c>
      <c r="P37" s="977"/>
      <c r="Q37" s="977"/>
      <c r="R37" s="978"/>
      <c r="S37" s="974">
        <f>IF(DiemHKI!CL69&lt;&gt;"",DiemHKI!CL69,"")</f>
        <v>36</v>
      </c>
      <c r="T37" s="975"/>
      <c r="U37" s="322">
        <f>IF(DiemHKI!CM69&lt;&gt;"",DiemHKI!CM69,"")</f>
        <v>0</v>
      </c>
    </row>
    <row r="38" spans="1:31">
      <c r="A38" s="323"/>
      <c r="B38" s="741" t="s">
        <v>27</v>
      </c>
      <c r="C38" s="974">
        <f>IF(INDEX(DiemHKI!$B$68:$DD$80,2,INDEX($Z$21:$AE$34,MATCH($B38,$Z$21:$Z$34,0),AA$20))&lt;&gt;"",INDEX(DiemHKI!$B$68:$DD$80,2,INDEX($Z$21:$AE$34,MATCH($B38,$Z$21:$Z$34,0),AA$20)),"")</f>
        <v>36</v>
      </c>
      <c r="D38" s="975"/>
      <c r="E38" s="974">
        <f>IF(INDEX(DiemHKI!$B$68:$DD$80,2,INDEX($Z$21:$AE$34,MATCH($B38,$Z$21:$Z$34,0),AB$20))&lt;&gt;"",INDEX(DiemHKI!$B$68:$DD$80,2,INDEX($Z$21:$AE$34,MATCH($B38,$Z$21:$Z$34,0),AB$20)),"")</f>
        <v>0</v>
      </c>
      <c r="F38" s="975"/>
      <c r="G38" s="974">
        <f>IF(INDEX(DiemHKI!$B$68:$DD$80,2,INDEX($Z$21:$AE$34,MATCH($B38,$Z$21:$Z$34,0),AC$20))&lt;&gt;"",INDEX(DiemHKI!$B$68:$DD$80,2,INDEX($Z$21:$AE$34,MATCH($B38,$Z$21:$Z$34,0),AC$20)),"")</f>
        <v>0</v>
      </c>
      <c r="H38" s="975"/>
      <c r="I38" s="974">
        <f>IF(INDEX(DiemHKI!$B$68:$DD$80,2,INDEX($Z$21:$AE$34,MATCH($B38,$Z$21:$Z$34,0),AD$20))&lt;&gt;"",INDEX(DiemHKI!$B$68:$DD$80,2,INDEX($Z$21:$AE$34,MATCH($B38,$Z$21:$Z$34,0),AD$20)),"")</f>
        <v>0</v>
      </c>
      <c r="J38" s="975"/>
      <c r="K38" s="974">
        <f>IF(INDEX(DiemHKI!$B$68:$DD$80,2,INDEX($Z$21:$AE$34,MATCH($B38,$Z$21:$Z$34,0),AE$20))&lt;&gt;"",INDEX(DiemHKI!$B$68:$DD$80,2,INDEX($Z$21:$AE$34,MATCH($B38,$Z$21:$Z$34,0),AE$20)),"")</f>
        <v>0</v>
      </c>
      <c r="L38" s="975"/>
      <c r="M38" s="314" t="str">
        <f t="shared" ref="M38:M49" si="1">IF(SUM(C38:L38)=0,"",IF(SUM(C38:L38)&lt;&gt;$A$41,"Xem lại",""))</f>
        <v/>
      </c>
    </row>
    <row r="39" spans="1:31">
      <c r="A39" s="323"/>
      <c r="B39" s="741" t="s">
        <v>28</v>
      </c>
      <c r="C39" s="974">
        <f>IF(INDEX(DiemHKI!$B$68:$DD$80,2,INDEX($Z$21:$AE$34,MATCH($B39,$Z$21:$Z$34,0),AA$20))&lt;&gt;"",INDEX(DiemHKI!$B$68:$DD$80,2,INDEX($Z$21:$AE$34,MATCH($B39,$Z$21:$Z$34,0),AA$20)),"")</f>
        <v>35</v>
      </c>
      <c r="D39" s="975"/>
      <c r="E39" s="974">
        <f>IF(INDEX(DiemHKI!$B$68:$DD$80,2,INDEX($Z$21:$AE$34,MATCH($B39,$Z$21:$Z$34,0),AB$20))&lt;&gt;"",INDEX(DiemHKI!$B$68:$DD$80,2,INDEX($Z$21:$AE$34,MATCH($B39,$Z$21:$Z$34,0),AB$20)),"")</f>
        <v>1</v>
      </c>
      <c r="F39" s="975"/>
      <c r="G39" s="974">
        <f>IF(INDEX(DiemHKI!$B$68:$DD$80,2,INDEX($Z$21:$AE$34,MATCH($B39,$Z$21:$Z$34,0),AC$20))&lt;&gt;"",INDEX(DiemHKI!$B$68:$DD$80,2,INDEX($Z$21:$AE$34,MATCH($B39,$Z$21:$Z$34,0),AC$20)),"")</f>
        <v>0</v>
      </c>
      <c r="H39" s="975"/>
      <c r="I39" s="974">
        <f>IF(INDEX(DiemHKI!$B$68:$DD$80,2,INDEX($Z$21:$AE$34,MATCH($B39,$Z$21:$Z$34,0),AD$20))&lt;&gt;"",INDEX(DiemHKI!$B$68:$DD$80,2,INDEX($Z$21:$AE$34,MATCH($B39,$Z$21:$Z$34,0),AD$20)),"")</f>
        <v>0</v>
      </c>
      <c r="J39" s="975"/>
      <c r="K39" s="974">
        <f>IF(INDEX(DiemHKI!$B$68:$DD$80,2,INDEX($Z$21:$AE$34,MATCH($B39,$Z$21:$Z$34,0),AE$20))&lt;&gt;"",INDEX(DiemHKI!$B$68:$DD$80,2,INDEX($Z$21:$AE$34,MATCH($B39,$Z$21:$Z$34,0),AE$20)),"")</f>
        <v>0</v>
      </c>
      <c r="L39" s="975"/>
      <c r="M39" s="314" t="str">
        <f t="shared" si="1"/>
        <v/>
      </c>
    </row>
    <row r="40" spans="1:31">
      <c r="A40" s="323"/>
      <c r="B40" s="741" t="s">
        <v>29</v>
      </c>
      <c r="C40" s="974">
        <f>IF(INDEX(DiemHKI!$B$68:$DD$80,2,INDEX($Z$21:$AE$34,MATCH($B40,$Z$21:$Z$34,0),AA$20))&lt;&gt;"",INDEX(DiemHKI!$B$68:$DD$80,2,INDEX($Z$21:$AE$34,MATCH($B40,$Z$21:$Z$34,0),AA$20)),"")</f>
        <v>33</v>
      </c>
      <c r="D40" s="975"/>
      <c r="E40" s="974">
        <f>IF(INDEX(DiemHKI!$B$68:$DD$80,2,INDEX($Z$21:$AE$34,MATCH($B40,$Z$21:$Z$34,0),AB$20))&lt;&gt;"",INDEX(DiemHKI!$B$68:$DD$80,2,INDEX($Z$21:$AE$34,MATCH($B40,$Z$21:$Z$34,0),AB$20)),"")</f>
        <v>3</v>
      </c>
      <c r="F40" s="975"/>
      <c r="G40" s="974">
        <f>IF(INDEX(DiemHKI!$B$68:$DD$80,2,INDEX($Z$21:$AE$34,MATCH($B40,$Z$21:$Z$34,0),AC$20))&lt;&gt;"",INDEX(DiemHKI!$B$68:$DD$80,2,INDEX($Z$21:$AE$34,MATCH($B40,$Z$21:$Z$34,0),AC$20)),"")</f>
        <v>0</v>
      </c>
      <c r="H40" s="975"/>
      <c r="I40" s="974">
        <f>IF(INDEX(DiemHKI!$B$68:$DD$80,2,INDEX($Z$21:$AE$34,MATCH($B40,$Z$21:$Z$34,0),AD$20))&lt;&gt;"",INDEX(DiemHKI!$B$68:$DD$80,2,INDEX($Z$21:$AE$34,MATCH($B40,$Z$21:$Z$34,0),AD$20)),"")</f>
        <v>0</v>
      </c>
      <c r="J40" s="975"/>
      <c r="K40" s="974">
        <f>IF(INDEX(DiemHKI!$B$68:$DD$80,2,INDEX($Z$21:$AE$34,MATCH($B40,$Z$21:$Z$34,0),AE$20))&lt;&gt;"",INDEX(DiemHKI!$B$68:$DD$80,2,INDEX($Z$21:$AE$34,MATCH($B40,$Z$21:$Z$34,0),AE$20)),"")</f>
        <v>0</v>
      </c>
      <c r="L40" s="975"/>
      <c r="M40" s="314" t="str">
        <f t="shared" si="1"/>
        <v/>
      </c>
    </row>
    <row r="41" spans="1:31">
      <c r="A41" s="323">
        <f>B13</f>
        <v>36</v>
      </c>
      <c r="B41" s="741" t="s">
        <v>120</v>
      </c>
      <c r="C41" s="974">
        <f>IF(INDEX(DiemHKI!$B$68:$DD$80,2,INDEX($Z$21:$AE$34,MATCH($B41,$Z$21:$Z$34,0),AA$20))&lt;&gt;"",INDEX(DiemHKI!$B$68:$DD$80,2,INDEX($Z$21:$AE$34,MATCH($B41,$Z$21:$Z$34,0),AA$20)),"")</f>
        <v>36</v>
      </c>
      <c r="D41" s="975"/>
      <c r="E41" s="974">
        <f>IF(INDEX(DiemHKI!$B$68:$DD$80,2,INDEX($Z$21:$AE$34,MATCH($B41,$Z$21:$Z$34,0),AB$20))&lt;&gt;"",INDEX(DiemHKI!$B$68:$DD$80,2,INDEX($Z$21:$AE$34,MATCH($B41,$Z$21:$Z$34,0),AB$20)),"")</f>
        <v>0</v>
      </c>
      <c r="F41" s="975"/>
      <c r="G41" s="974">
        <f>IF(INDEX(DiemHKI!$B$68:$DD$80,2,INDEX($Z$21:$AE$34,MATCH($B41,$Z$21:$Z$34,0),AC$20))&lt;&gt;"",INDEX(DiemHKI!$B$68:$DD$80,2,INDEX($Z$21:$AE$34,MATCH($B41,$Z$21:$Z$34,0),AC$20)),"")</f>
        <v>0</v>
      </c>
      <c r="H41" s="975"/>
      <c r="I41" s="974">
        <f>IF(INDEX(DiemHKI!$B$68:$DD$80,2,INDEX($Z$21:$AE$34,MATCH($B41,$Z$21:$Z$34,0),AD$20))&lt;&gt;"",INDEX(DiemHKI!$B$68:$DD$80,2,INDEX($Z$21:$AE$34,MATCH($B41,$Z$21:$Z$34,0),AD$20)),"")</f>
        <v>0</v>
      </c>
      <c r="J41" s="975"/>
      <c r="K41" s="974">
        <f>IF(INDEX(DiemHKI!$B$68:$DD$80,2,INDEX($Z$21:$AE$34,MATCH($B41,$Z$21:$Z$34,0),AE$20))&lt;&gt;"",INDEX(DiemHKI!$B$68:$DD$80,2,INDEX($Z$21:$AE$34,MATCH($B41,$Z$21:$Z$34,0),AE$20)),"")</f>
        <v>0</v>
      </c>
      <c r="L41" s="975"/>
      <c r="M41" s="314" t="str">
        <f t="shared" si="1"/>
        <v/>
      </c>
    </row>
    <row r="42" spans="1:31">
      <c r="A42" s="323"/>
      <c r="B42" s="741" t="s">
        <v>30</v>
      </c>
      <c r="C42" s="974">
        <f>IF(INDEX(DiemHKI!$B$68:$DD$80,2,INDEX($Z$21:$AE$34,MATCH($B42,$Z$21:$Z$34,0),AA$20))&lt;&gt;"",INDEX(DiemHKI!$B$68:$DD$80,2,INDEX($Z$21:$AE$34,MATCH($B42,$Z$21:$Z$34,0),AA$20)),"")</f>
        <v>0</v>
      </c>
      <c r="D42" s="975"/>
      <c r="E42" s="974">
        <f>IF(INDEX(DiemHKI!$B$68:$DD$80,2,INDEX($Z$21:$AE$34,MATCH($B42,$Z$21:$Z$34,0),AB$20))&lt;&gt;"",INDEX(DiemHKI!$B$68:$DD$80,2,INDEX($Z$21:$AE$34,MATCH($B42,$Z$21:$Z$34,0),AB$20)),"")</f>
        <v>17</v>
      </c>
      <c r="F42" s="975"/>
      <c r="G42" s="974">
        <f>IF(INDEX(DiemHKI!$B$68:$DD$80,2,INDEX($Z$21:$AE$34,MATCH($B42,$Z$21:$Z$34,0),AC$20))&lt;&gt;"",INDEX(DiemHKI!$B$68:$DD$80,2,INDEX($Z$21:$AE$34,MATCH($B42,$Z$21:$Z$34,0),AC$20)),"")</f>
        <v>19</v>
      </c>
      <c r="H42" s="975"/>
      <c r="I42" s="974">
        <f>IF(INDEX(DiemHKI!$B$68:$DD$80,2,INDEX($Z$21:$AE$34,MATCH($B42,$Z$21:$Z$34,0),AD$20))&lt;&gt;"",INDEX(DiemHKI!$B$68:$DD$80,2,INDEX($Z$21:$AE$34,MATCH($B42,$Z$21:$Z$34,0),AD$20)),"")</f>
        <v>0</v>
      </c>
      <c r="J42" s="975"/>
      <c r="K42" s="974">
        <f>IF(INDEX(DiemHKI!$B$68:$DD$80,2,INDEX($Z$21:$AE$34,MATCH($B42,$Z$21:$Z$34,0),AE$20))&lt;&gt;"",INDEX(DiemHKI!$B$68:$DD$80,2,INDEX($Z$21:$AE$34,MATCH($B42,$Z$21:$Z$34,0),AE$20)),"")</f>
        <v>0</v>
      </c>
      <c r="L42" s="975"/>
      <c r="M42" s="314" t="str">
        <f t="shared" si="1"/>
        <v/>
      </c>
    </row>
    <row r="43" spans="1:31">
      <c r="A43" s="323"/>
      <c r="B43" s="741" t="s">
        <v>31</v>
      </c>
      <c r="C43" s="974">
        <f>IF(INDEX(DiemHKI!$B$68:$DD$80,2,INDEX($Z$21:$AE$34,MATCH($B43,$Z$21:$Z$34,0),AA$20))&lt;&gt;"",INDEX(DiemHKI!$B$68:$DD$80,2,INDEX($Z$21:$AE$34,MATCH($B43,$Z$21:$Z$34,0),AA$20)),"")</f>
        <v>36</v>
      </c>
      <c r="D43" s="975"/>
      <c r="E43" s="974">
        <f>IF(INDEX(DiemHKI!$B$68:$DD$80,2,INDEX($Z$21:$AE$34,MATCH($B43,$Z$21:$Z$34,0),AB$20))&lt;&gt;"",INDEX(DiemHKI!$B$68:$DD$80,2,INDEX($Z$21:$AE$34,MATCH($B43,$Z$21:$Z$34,0),AB$20)),"")</f>
        <v>0</v>
      </c>
      <c r="F43" s="975"/>
      <c r="G43" s="974">
        <f>IF(INDEX(DiemHKI!$B$68:$DD$80,2,INDEX($Z$21:$AE$34,MATCH($B43,$Z$21:$Z$34,0),AC$20))&lt;&gt;"",INDEX(DiemHKI!$B$68:$DD$80,2,INDEX($Z$21:$AE$34,MATCH($B43,$Z$21:$Z$34,0),AC$20)),"")</f>
        <v>0</v>
      </c>
      <c r="H43" s="975"/>
      <c r="I43" s="974">
        <f>IF(INDEX(DiemHKI!$B$68:$DD$80,2,INDEX($Z$21:$AE$34,MATCH($B43,$Z$21:$Z$34,0),AD$20))&lt;&gt;"",INDEX(DiemHKI!$B$68:$DD$80,2,INDEX($Z$21:$AE$34,MATCH($B43,$Z$21:$Z$34,0),AD$20)),"")</f>
        <v>0</v>
      </c>
      <c r="J43" s="975"/>
      <c r="K43" s="974">
        <f>IF(INDEX(DiemHKI!$B$68:$DD$80,2,INDEX($Z$21:$AE$34,MATCH($B43,$Z$21:$Z$34,0),AE$20))&lt;&gt;"",INDEX(DiemHKI!$B$68:$DD$80,2,INDEX($Z$21:$AE$34,MATCH($B43,$Z$21:$Z$34,0),AE$20)),"")</f>
        <v>0</v>
      </c>
      <c r="L43" s="975"/>
      <c r="M43" s="314" t="str">
        <f t="shared" si="1"/>
        <v/>
      </c>
    </row>
    <row r="44" spans="1:31">
      <c r="A44" s="323"/>
      <c r="B44" s="741" t="s">
        <v>32</v>
      </c>
      <c r="C44" s="974">
        <f>IF(INDEX(DiemHKI!$B$68:$DD$80,2,INDEX($Z$21:$AE$34,MATCH($B44,$Z$21:$Z$34,0),AA$20))&lt;&gt;"",INDEX(DiemHKI!$B$68:$DD$80,2,INDEX($Z$21:$AE$34,MATCH($B44,$Z$21:$Z$34,0),AA$20)),"")</f>
        <v>36</v>
      </c>
      <c r="D44" s="975"/>
      <c r="E44" s="974">
        <f>IF(INDEX(DiemHKI!$B$68:$DD$80,2,INDEX($Z$21:$AE$34,MATCH($B44,$Z$21:$Z$34,0),AB$20))&lt;&gt;"",INDEX(DiemHKI!$B$68:$DD$80,2,INDEX($Z$21:$AE$34,MATCH($B44,$Z$21:$Z$34,0),AB$20)),"")</f>
        <v>0</v>
      </c>
      <c r="F44" s="975"/>
      <c r="G44" s="974">
        <f>IF(INDEX(DiemHKI!$B$68:$DD$80,2,INDEX($Z$21:$AE$34,MATCH($B44,$Z$21:$Z$34,0),AC$20))&lt;&gt;"",INDEX(DiemHKI!$B$68:$DD$80,2,INDEX($Z$21:$AE$34,MATCH($B44,$Z$21:$Z$34,0),AC$20)),"")</f>
        <v>0</v>
      </c>
      <c r="H44" s="975"/>
      <c r="I44" s="974">
        <f>IF(INDEX(DiemHKI!$B$68:$DD$80,2,INDEX($Z$21:$AE$34,MATCH($B44,$Z$21:$Z$34,0),AD$20))&lt;&gt;"",INDEX(DiemHKI!$B$68:$DD$80,2,INDEX($Z$21:$AE$34,MATCH($B44,$Z$21:$Z$34,0),AD$20)),"")</f>
        <v>0</v>
      </c>
      <c r="J44" s="975"/>
      <c r="K44" s="974">
        <f>IF(INDEX(DiemHKI!$B$68:$DD$80,2,INDEX($Z$21:$AE$34,MATCH($B44,$Z$21:$Z$34,0),AE$20))&lt;&gt;"",INDEX(DiemHKI!$B$68:$DD$80,2,INDEX($Z$21:$AE$34,MATCH($B44,$Z$21:$Z$34,0),AE$20)),"")</f>
        <v>0</v>
      </c>
      <c r="L44" s="975"/>
      <c r="M44" s="314" t="str">
        <f t="shared" si="1"/>
        <v/>
      </c>
    </row>
    <row r="45" spans="1:31">
      <c r="A45" s="323"/>
      <c r="B45" s="741" t="s">
        <v>33</v>
      </c>
      <c r="C45" s="974">
        <f>IF(INDEX(DiemHKI!$B$68:$DD$80,2,INDEX($Z$21:$AE$34,MATCH($B45,$Z$21:$Z$34,0),AA$20))&lt;&gt;"",INDEX(DiemHKI!$B$68:$DD$80,2,INDEX($Z$21:$AE$34,MATCH($B45,$Z$21:$Z$34,0),AA$20)),"")</f>
        <v>27</v>
      </c>
      <c r="D45" s="975"/>
      <c r="E45" s="974">
        <f>IF(INDEX(DiemHKI!$B$68:$DD$80,2,INDEX($Z$21:$AE$34,MATCH($B45,$Z$21:$Z$34,0),AB$20))&lt;&gt;"",INDEX(DiemHKI!$B$68:$DD$80,2,INDEX($Z$21:$AE$34,MATCH($B45,$Z$21:$Z$34,0),AB$20)),"")</f>
        <v>6</v>
      </c>
      <c r="F45" s="975"/>
      <c r="G45" s="974">
        <f>IF(INDEX(DiemHKI!$B$68:$DD$80,2,INDEX($Z$21:$AE$34,MATCH($B45,$Z$21:$Z$34,0),AC$20))&lt;&gt;"",INDEX(DiemHKI!$B$68:$DD$80,2,INDEX($Z$21:$AE$34,MATCH($B45,$Z$21:$Z$34,0),AC$20)),"")</f>
        <v>3</v>
      </c>
      <c r="H45" s="975"/>
      <c r="I45" s="974">
        <f>IF(INDEX(DiemHKI!$B$68:$DD$80,2,INDEX($Z$21:$AE$34,MATCH($B45,$Z$21:$Z$34,0),AD$20))&lt;&gt;"",INDEX(DiemHKI!$B$68:$DD$80,2,INDEX($Z$21:$AE$34,MATCH($B45,$Z$21:$Z$34,0),AD$20)),"")</f>
        <v>0</v>
      </c>
      <c r="J45" s="975"/>
      <c r="K45" s="974">
        <f>IF(INDEX(DiemHKI!$B$68:$DD$80,2,INDEX($Z$21:$AE$34,MATCH($B45,$Z$21:$Z$34,0),AE$20))&lt;&gt;"",INDEX(DiemHKI!$B$68:$DD$80,2,INDEX($Z$21:$AE$34,MATCH($B45,$Z$21:$Z$34,0),AE$20)),"")</f>
        <v>0</v>
      </c>
      <c r="L45" s="975"/>
      <c r="M45" s="314" t="str">
        <f t="shared" si="1"/>
        <v/>
      </c>
    </row>
    <row r="46" spans="1:31">
      <c r="A46" s="323"/>
      <c r="B46" s="741" t="s">
        <v>60</v>
      </c>
      <c r="C46" s="974">
        <f>IF(INDEX(DiemHKI!$B$68:$DD$80,2,INDEX($Z$21:$AE$34,MATCH($B46,$Z$21:$Z$34,0),AA$20))&lt;&gt;"",INDEX(DiemHKI!$B$68:$DD$80,2,INDEX($Z$21:$AE$34,MATCH($B46,$Z$21:$Z$34,0),AA$20)),"")</f>
        <v>36</v>
      </c>
      <c r="D46" s="975"/>
      <c r="E46" s="974">
        <f>IF(INDEX(DiemHKI!$B$68:$DD$80,2,INDEX($Z$21:$AE$34,MATCH($B46,$Z$21:$Z$34,0),AB$20))&lt;&gt;"",INDEX(DiemHKI!$B$68:$DD$80,2,INDEX($Z$21:$AE$34,MATCH($B46,$Z$21:$Z$34,0),AB$20)),"")</f>
        <v>0</v>
      </c>
      <c r="F46" s="975"/>
      <c r="G46" s="974">
        <f>IF(INDEX(DiemHKI!$B$68:$DD$80,2,INDEX($Z$21:$AE$34,MATCH($B46,$Z$21:$Z$34,0),AC$20))&lt;&gt;"",INDEX(DiemHKI!$B$68:$DD$80,2,INDEX($Z$21:$AE$34,MATCH($B46,$Z$21:$Z$34,0),AC$20)),"")</f>
        <v>0</v>
      </c>
      <c r="H46" s="975"/>
      <c r="I46" s="974">
        <f>IF(INDEX(DiemHKI!$B$68:$DD$80,2,INDEX($Z$21:$AE$34,MATCH($B46,$Z$21:$Z$34,0),AD$20))&lt;&gt;"",INDEX(DiemHKI!$B$68:$DD$80,2,INDEX($Z$21:$AE$34,MATCH($B46,$Z$21:$Z$34,0),AD$20)),"")</f>
        <v>0</v>
      </c>
      <c r="J46" s="975"/>
      <c r="K46" s="974">
        <f>IF(INDEX(DiemHKI!$B$68:$DD$80,2,INDEX($Z$21:$AE$34,MATCH($B46,$Z$21:$Z$34,0),AE$20))&lt;&gt;"",INDEX(DiemHKI!$B$68:$DD$80,2,INDEX($Z$21:$AE$34,MATCH($B46,$Z$21:$Z$34,0),AE$20)),"")</f>
        <v>0</v>
      </c>
      <c r="L46" s="975"/>
      <c r="M46" s="314" t="str">
        <f t="shared" si="1"/>
        <v/>
      </c>
    </row>
    <row r="47" spans="1:31">
      <c r="A47" s="323"/>
      <c r="B47" s="741" t="s">
        <v>34</v>
      </c>
      <c r="C47" s="974">
        <f>IF(INDEX(DiemHKI!$B$68:$DD$80,2,INDEX($Z$21:$AE$34,MATCH($B47,$Z$21:$Z$34,0),AA$20))&lt;&gt;"",INDEX(DiemHKI!$B$68:$DD$80,2,INDEX($Z$21:$AE$34,MATCH($B47,$Z$21:$Z$34,0),AA$20)),"")</f>
        <v>36</v>
      </c>
      <c r="D47" s="975"/>
      <c r="E47" s="974">
        <f>IF(INDEX(DiemHKI!$B$68:$DD$80,2,INDEX($Z$21:$AE$34,MATCH($B47,$Z$21:$Z$34,0),AB$20))&lt;&gt;"",INDEX(DiemHKI!$B$68:$DD$80,2,INDEX($Z$21:$AE$34,MATCH($B47,$Z$21:$Z$34,0),AB$20)),"")</f>
        <v>0</v>
      </c>
      <c r="F47" s="975"/>
      <c r="G47" s="974">
        <f>IF(INDEX(DiemHKI!$B$68:$DD$80,2,INDEX($Z$21:$AE$34,MATCH($B47,$Z$21:$Z$34,0),AC$20))&lt;&gt;"",INDEX(DiemHKI!$B$68:$DD$80,2,INDEX($Z$21:$AE$34,MATCH($B47,$Z$21:$Z$34,0),AC$20)),"")</f>
        <v>0</v>
      </c>
      <c r="H47" s="975"/>
      <c r="I47" s="974">
        <f>IF(INDEX(DiemHKI!$B$68:$DD$80,2,INDEX($Z$21:$AE$34,MATCH($B47,$Z$21:$Z$34,0),AD$20))&lt;&gt;"",INDEX(DiemHKI!$B$68:$DD$80,2,INDEX($Z$21:$AE$34,MATCH($B47,$Z$21:$Z$34,0),AD$20)),"")</f>
        <v>0</v>
      </c>
      <c r="J47" s="975"/>
      <c r="K47" s="974">
        <f>IF(INDEX(DiemHKI!$B$68:$DD$80,2,INDEX($Z$21:$AE$34,MATCH($B47,$Z$21:$Z$34,0),AE$20))&lt;&gt;"",INDEX(DiemHKI!$B$68:$DD$80,2,INDEX($Z$21:$AE$34,MATCH($B47,$Z$21:$Z$34,0),AE$20)),"")</f>
        <v>0</v>
      </c>
      <c r="L47" s="975"/>
      <c r="M47" s="314" t="str">
        <f t="shared" si="1"/>
        <v/>
      </c>
    </row>
    <row r="48" spans="1:31">
      <c r="A48" s="323"/>
      <c r="B48" s="741" t="s">
        <v>121</v>
      </c>
      <c r="C48" s="974">
        <f>IF(INDEX(DiemHKI!$B$68:$DD$80,2,INDEX($Z$21:$AE$34,MATCH($B48,$Z$21:$Z$34,0),AA$20))&lt;&gt;"",INDEX(DiemHKI!$B$68:$DD$80,2,INDEX($Z$21:$AE$34,MATCH($B48,$Z$21:$Z$34,0),AA$20)),"")</f>
        <v>36</v>
      </c>
      <c r="D48" s="975"/>
      <c r="E48" s="974">
        <f>IF(INDEX(DiemHKI!$B$68:$DD$80,2,INDEX($Z$21:$AE$34,MATCH($B48,$Z$21:$Z$34,0),AB$20))&lt;&gt;"",INDEX(DiemHKI!$B$68:$DD$80,2,INDEX($Z$21:$AE$34,MATCH($B48,$Z$21:$Z$34,0),AB$20)),"")</f>
        <v>0</v>
      </c>
      <c r="F48" s="975"/>
      <c r="G48" s="974">
        <f>IF(INDEX(DiemHKI!$B$68:$DD$80,2,INDEX($Z$21:$AE$34,MATCH($B48,$Z$21:$Z$34,0),AC$20))&lt;&gt;"",INDEX(DiemHKI!$B$68:$DD$80,2,INDEX($Z$21:$AE$34,MATCH($B48,$Z$21:$Z$34,0),AC$20)),"")</f>
        <v>0</v>
      </c>
      <c r="H48" s="975"/>
      <c r="I48" s="974">
        <f>IF(INDEX(DiemHKI!$B$68:$DD$80,2,INDEX($Z$21:$AE$34,MATCH($B48,$Z$21:$Z$34,0),AD$20))&lt;&gt;"",INDEX(DiemHKI!$B$68:$DD$80,2,INDEX($Z$21:$AE$34,MATCH($B48,$Z$21:$Z$34,0),AD$20)),"")</f>
        <v>0</v>
      </c>
      <c r="J48" s="975"/>
      <c r="K48" s="974">
        <f>IF(INDEX(DiemHKI!$B$68:$DD$80,2,INDEX($Z$21:$AE$34,MATCH($B48,$Z$21:$Z$34,0),AE$20))&lt;&gt;"",INDEX(DiemHKI!$B$68:$DD$80,2,INDEX($Z$21:$AE$34,MATCH($B48,$Z$21:$Z$34,0),AE$20)),"")</f>
        <v>0</v>
      </c>
      <c r="L48" s="975"/>
      <c r="M48" s="314" t="str">
        <f t="shared" si="1"/>
        <v/>
      </c>
    </row>
    <row r="49" spans="1:20">
      <c r="A49" s="324"/>
      <c r="B49" s="741" t="s">
        <v>122</v>
      </c>
      <c r="C49" s="974">
        <f>IF(INDEX(DiemHKI!$B$68:$DD$80,2,INDEX($Z$21:$AE$34,MATCH($B49,$Z$21:$Z$34,0),AA$20))&lt;&gt;"",INDEX(DiemHKI!$B$68:$DD$80,2,INDEX($Z$21:$AE$34,MATCH($B49,$Z$21:$Z$34,0),AA$20)),"")</f>
        <v>0</v>
      </c>
      <c r="D49" s="975"/>
      <c r="E49" s="974">
        <f>IF(INDEX(DiemHKI!$B$68:$DD$80,2,INDEX($Z$21:$AE$34,MATCH($B49,$Z$21:$Z$34,0),AB$20))&lt;&gt;"",INDEX(DiemHKI!$B$68:$DD$80,2,INDEX($Z$21:$AE$34,MATCH($B49,$Z$21:$Z$34,0),AB$20)),"")</f>
        <v>0</v>
      </c>
      <c r="F49" s="975"/>
      <c r="G49" s="974">
        <f>IF(INDEX(DiemHKI!$B$68:$DD$80,2,INDEX($Z$21:$AE$34,MATCH($B49,$Z$21:$Z$34,0),AC$20))&lt;&gt;"",INDEX(DiemHKI!$B$68:$DD$80,2,INDEX($Z$21:$AE$34,MATCH($B49,$Z$21:$Z$34,0),AC$20)),"")</f>
        <v>0</v>
      </c>
      <c r="H49" s="975"/>
      <c r="I49" s="974">
        <f>IF(INDEX(DiemHKI!$B$68:$DD$80,2,INDEX($Z$21:$AE$34,MATCH($B49,$Z$21:$Z$34,0),AD$20))&lt;&gt;"",INDEX(DiemHKI!$B$68:$DD$80,2,INDEX($Z$21:$AE$34,MATCH($B49,$Z$21:$Z$34,0),AD$20)),"")</f>
        <v>0</v>
      </c>
      <c r="J49" s="975"/>
      <c r="K49" s="974">
        <f>IF(INDEX(DiemHKI!$B$68:$DD$80,2,INDEX($Z$21:$AE$34,MATCH($B49,$Z$21:$Z$34,0),AE$20))&lt;&gt;"",INDEX(DiemHKI!$B$68:$DD$80,2,INDEX($Z$21:$AE$34,MATCH($B49,$Z$21:$Z$34,0),AE$20)),"")</f>
        <v>0</v>
      </c>
      <c r="L49" s="975"/>
      <c r="M49" s="314" t="str">
        <f t="shared" si="1"/>
        <v/>
      </c>
    </row>
    <row r="50" spans="1:20" ht="29.25" customHeight="1">
      <c r="J50" s="986" t="s">
        <v>248</v>
      </c>
      <c r="K50" s="987"/>
      <c r="L50" s="987"/>
      <c r="M50" s="987"/>
      <c r="N50" s="987"/>
      <c r="O50" s="987"/>
      <c r="P50" s="987"/>
      <c r="Q50" s="987"/>
      <c r="R50" s="987"/>
      <c r="S50" s="987"/>
      <c r="T50" s="987"/>
    </row>
    <row r="51" spans="1:20">
      <c r="J51" s="988" t="s">
        <v>138</v>
      </c>
      <c r="K51" s="988"/>
      <c r="L51" s="988"/>
      <c r="M51" s="988"/>
      <c r="N51" s="988"/>
      <c r="O51" s="988"/>
      <c r="P51" s="988"/>
      <c r="Q51" s="988"/>
      <c r="R51" s="988"/>
      <c r="S51" s="988"/>
      <c r="T51" s="988"/>
    </row>
    <row r="52" spans="1:20">
      <c r="A52" s="313" t="s">
        <v>139</v>
      </c>
      <c r="J52" s="989" t="s">
        <v>140</v>
      </c>
      <c r="K52" s="989"/>
      <c r="L52" s="989"/>
      <c r="M52" s="989"/>
      <c r="N52" s="989"/>
      <c r="O52" s="989"/>
      <c r="P52" s="989"/>
      <c r="Q52" s="989"/>
      <c r="R52" s="989"/>
      <c r="S52" s="989"/>
      <c r="T52" s="989"/>
    </row>
    <row r="53" spans="1:20">
      <c r="A53" s="584" t="s">
        <v>141</v>
      </c>
      <c r="B53" s="320"/>
      <c r="C53" s="320"/>
      <c r="D53" s="320"/>
      <c r="E53" s="320"/>
      <c r="F53" s="320"/>
      <c r="G53" s="320"/>
      <c r="H53" s="320"/>
      <c r="I53" s="320"/>
      <c r="J53" s="320"/>
      <c r="K53" s="320"/>
    </row>
    <row r="54" spans="1:20">
      <c r="A54" s="320"/>
      <c r="B54" s="320" t="s">
        <v>142</v>
      </c>
      <c r="C54" s="320"/>
      <c r="D54" s="320"/>
      <c r="E54" s="320"/>
      <c r="F54" s="320"/>
      <c r="G54" s="320"/>
      <c r="H54" s="320"/>
      <c r="I54" s="320"/>
      <c r="J54" s="320"/>
      <c r="K54" s="320"/>
    </row>
    <row r="55" spans="1:20">
      <c r="A55" s="320"/>
      <c r="B55" s="320" t="s">
        <v>143</v>
      </c>
      <c r="C55" s="320"/>
      <c r="D55" s="320"/>
      <c r="E55" s="320"/>
      <c r="F55" s="320"/>
      <c r="G55" s="320"/>
      <c r="H55" s="320"/>
      <c r="I55" s="320"/>
      <c r="J55" s="320"/>
      <c r="K55" s="320"/>
    </row>
    <row r="56" spans="1:20">
      <c r="A56" s="584" t="s">
        <v>144</v>
      </c>
      <c r="B56" s="320"/>
      <c r="C56" s="320"/>
      <c r="D56" s="320"/>
      <c r="E56" s="320"/>
      <c r="F56" s="320"/>
      <c r="G56" s="320"/>
      <c r="H56" s="320"/>
      <c r="I56" s="320"/>
      <c r="J56" s="320"/>
      <c r="K56" s="320"/>
    </row>
  </sheetData>
  <sheetProtection algorithmName="SHA-512" hashValue="Xnmt82Cb3Xk/K8ymy9EYqLLv1AKi/FWgx/7Ke4y4TkvEgY5+R3zluAkbPXigc43n5daOGwHxrYN7cUgmVGgULg==" saltValue="gpt8M4IzQtw3ReqbA9+EhA==" spinCount="100000" sheet="1" objects="1" scenarios="1"/>
  <mergeCells count="175">
    <mergeCell ref="J50:T50"/>
    <mergeCell ref="J51:T51"/>
    <mergeCell ref="J52:T52"/>
    <mergeCell ref="C47:D47"/>
    <mergeCell ref="E47:F47"/>
    <mergeCell ref="G47:H47"/>
    <mergeCell ref="I47:J47"/>
    <mergeCell ref="K47:L47"/>
    <mergeCell ref="C49:D49"/>
    <mergeCell ref="E49:F49"/>
    <mergeCell ref="G49:H49"/>
    <mergeCell ref="I49:J49"/>
    <mergeCell ref="K49:L49"/>
    <mergeCell ref="C48:D48"/>
    <mergeCell ref="E48:F48"/>
    <mergeCell ref="G48:H48"/>
    <mergeCell ref="I48:J48"/>
    <mergeCell ref="K48:L48"/>
    <mergeCell ref="C45:D45"/>
    <mergeCell ref="E45:F45"/>
    <mergeCell ref="G45:H45"/>
    <mergeCell ref="I45:J45"/>
    <mergeCell ref="K45:L45"/>
    <mergeCell ref="C46:D46"/>
    <mergeCell ref="E46:F46"/>
    <mergeCell ref="G46:H46"/>
    <mergeCell ref="I46:J46"/>
    <mergeCell ref="K46:L46"/>
    <mergeCell ref="C43:D43"/>
    <mergeCell ref="E43:F43"/>
    <mergeCell ref="G43:H43"/>
    <mergeCell ref="I43:J43"/>
    <mergeCell ref="K43:L43"/>
    <mergeCell ref="C44:D44"/>
    <mergeCell ref="E44:F44"/>
    <mergeCell ref="G44:H44"/>
    <mergeCell ref="I44:J44"/>
    <mergeCell ref="K44:L44"/>
    <mergeCell ref="C41:D41"/>
    <mergeCell ref="E41:F41"/>
    <mergeCell ref="G41:H41"/>
    <mergeCell ref="I41:J41"/>
    <mergeCell ref="K41:L41"/>
    <mergeCell ref="C42:D42"/>
    <mergeCell ref="E42:F42"/>
    <mergeCell ref="G42:H42"/>
    <mergeCell ref="I42:J42"/>
    <mergeCell ref="K42:L42"/>
    <mergeCell ref="C38:D38"/>
    <mergeCell ref="E38:F38"/>
    <mergeCell ref="G38:H38"/>
    <mergeCell ref="I38:J38"/>
    <mergeCell ref="K38:L38"/>
    <mergeCell ref="K35:L36"/>
    <mergeCell ref="O35:R36"/>
    <mergeCell ref="S35:T36"/>
    <mergeCell ref="C40:D40"/>
    <mergeCell ref="E40:F40"/>
    <mergeCell ref="G40:H40"/>
    <mergeCell ref="I40:J40"/>
    <mergeCell ref="K40:L40"/>
    <mergeCell ref="C39:D39"/>
    <mergeCell ref="E39:F39"/>
    <mergeCell ref="G39:H39"/>
    <mergeCell ref="I39:J39"/>
    <mergeCell ref="K39:L39"/>
    <mergeCell ref="U35:U36"/>
    <mergeCell ref="C37:D37"/>
    <mergeCell ref="E37:F37"/>
    <mergeCell ref="G37:H37"/>
    <mergeCell ref="I37:J37"/>
    <mergeCell ref="K37:L37"/>
    <mergeCell ref="O37:R37"/>
    <mergeCell ref="A35:A36"/>
    <mergeCell ref="B35:B36"/>
    <mergeCell ref="C35:D36"/>
    <mergeCell ref="E35:F36"/>
    <mergeCell ref="G35:H36"/>
    <mergeCell ref="I35:J36"/>
    <mergeCell ref="S37:T37"/>
    <mergeCell ref="C29:D29"/>
    <mergeCell ref="E29:F29"/>
    <mergeCell ref="G29:H29"/>
    <mergeCell ref="I29:J29"/>
    <mergeCell ref="K29:L29"/>
    <mergeCell ref="C31:D31"/>
    <mergeCell ref="E31:F31"/>
    <mergeCell ref="G31:H31"/>
    <mergeCell ref="I31:J31"/>
    <mergeCell ref="K31:L31"/>
    <mergeCell ref="C30:D30"/>
    <mergeCell ref="E30:F30"/>
    <mergeCell ref="G30:H30"/>
    <mergeCell ref="I30:J30"/>
    <mergeCell ref="K30:L30"/>
    <mergeCell ref="C27:D27"/>
    <mergeCell ref="E27:F27"/>
    <mergeCell ref="G27:H27"/>
    <mergeCell ref="I27:J27"/>
    <mergeCell ref="K27:L27"/>
    <mergeCell ref="C28:D28"/>
    <mergeCell ref="E28:F28"/>
    <mergeCell ref="G28:H28"/>
    <mergeCell ref="I28:J28"/>
    <mergeCell ref="K28:L28"/>
    <mergeCell ref="C25:D25"/>
    <mergeCell ref="E25:F25"/>
    <mergeCell ref="G25:H25"/>
    <mergeCell ref="I25:J25"/>
    <mergeCell ref="K25:L25"/>
    <mergeCell ref="C26:D26"/>
    <mergeCell ref="E26:F26"/>
    <mergeCell ref="G26:H26"/>
    <mergeCell ref="I26:J26"/>
    <mergeCell ref="K26:L26"/>
    <mergeCell ref="C23:D23"/>
    <mergeCell ref="E23:F23"/>
    <mergeCell ref="G23:H23"/>
    <mergeCell ref="I23:J23"/>
    <mergeCell ref="K23:L23"/>
    <mergeCell ref="C24:D24"/>
    <mergeCell ref="E24:F24"/>
    <mergeCell ref="G24:H24"/>
    <mergeCell ref="I24:J24"/>
    <mergeCell ref="K24:L24"/>
    <mergeCell ref="C20:D20"/>
    <mergeCell ref="E20:F20"/>
    <mergeCell ref="G20:H20"/>
    <mergeCell ref="I20:J20"/>
    <mergeCell ref="K20:L20"/>
    <mergeCell ref="K17:L18"/>
    <mergeCell ref="O17:R18"/>
    <mergeCell ref="S17:T18"/>
    <mergeCell ref="C22:D22"/>
    <mergeCell ref="E22:F22"/>
    <mergeCell ref="G22:H22"/>
    <mergeCell ref="I22:J22"/>
    <mergeCell ref="K22:L22"/>
    <mergeCell ref="C21:D21"/>
    <mergeCell ref="E21:F21"/>
    <mergeCell ref="G21:H21"/>
    <mergeCell ref="I21:J21"/>
    <mergeCell ref="K21:L21"/>
    <mergeCell ref="U17:U18"/>
    <mergeCell ref="C19:D19"/>
    <mergeCell ref="E19:F19"/>
    <mergeCell ref="G19:H19"/>
    <mergeCell ref="I19:J19"/>
    <mergeCell ref="K19:L19"/>
    <mergeCell ref="O19:R19"/>
    <mergeCell ref="A17:A18"/>
    <mergeCell ref="B17:B18"/>
    <mergeCell ref="C17:D18"/>
    <mergeCell ref="E17:F18"/>
    <mergeCell ref="G17:H18"/>
    <mergeCell ref="I17:J18"/>
    <mergeCell ref="S19:T19"/>
    <mergeCell ref="B10:B12"/>
    <mergeCell ref="C10:L10"/>
    <mergeCell ref="M10:T10"/>
    <mergeCell ref="U10:U12"/>
    <mergeCell ref="C11:D11"/>
    <mergeCell ref="E11:F11"/>
    <mergeCell ref="G11:H11"/>
    <mergeCell ref="A4:G4"/>
    <mergeCell ref="A2:I2"/>
    <mergeCell ref="A3:I3"/>
    <mergeCell ref="I11:J11"/>
    <mergeCell ref="K11:L11"/>
    <mergeCell ref="M11:N11"/>
    <mergeCell ref="O11:P11"/>
    <mergeCell ref="Q11:R11"/>
    <mergeCell ref="S11:T11"/>
    <mergeCell ref="A6:U6"/>
    <mergeCell ref="A10:A12"/>
  </mergeCells>
  <pageMargins left="0.35" right="0" top="0" bottom="0" header="0.5" footer="0.5"/>
  <pageSetup paperSize="9" scale="88" orientation="portrait" r:id="rId1"/>
  <headerFooter alignWithMargins="0"/>
  <ignoredErrors>
    <ignoredError sqref="E13 G13 I13 K13 M13 O13 Q13 S13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 tint="0.59999389629810485"/>
    <pageSetUpPr fitToPage="1"/>
  </sheetPr>
  <dimension ref="A1:AC64"/>
  <sheetViews>
    <sheetView topLeftCell="A4" zoomScaleNormal="100" workbookViewId="0">
      <selection activeCell="AA15" sqref="AA15"/>
    </sheetView>
  </sheetViews>
  <sheetFormatPr defaultColWidth="9.109375" defaultRowHeight="13.8"/>
  <cols>
    <col min="1" max="1" width="5.6640625" style="248" customWidth="1"/>
    <col min="2" max="2" width="13.44140625" style="248" customWidth="1"/>
    <col min="3" max="6" width="8.109375" style="248" customWidth="1"/>
    <col min="7" max="9" width="9.5546875" style="248" customWidth="1"/>
    <col min="10" max="10" width="7.44140625" style="248" customWidth="1"/>
    <col min="11" max="11" width="9.44140625" style="248" customWidth="1"/>
    <col min="12" max="12" width="5" style="248" customWidth="1"/>
    <col min="13" max="13" width="31.5546875" style="248" customWidth="1"/>
    <col min="14" max="14" width="10.6640625" style="248" hidden="1" customWidth="1"/>
    <col min="15" max="23" width="9.109375" style="248" hidden="1" customWidth="1"/>
    <col min="24" max="24" width="22.5546875" style="248" hidden="1" customWidth="1"/>
    <col min="25" max="25" width="27.5546875" style="248" hidden="1" customWidth="1"/>
    <col min="26" max="26" width="5.33203125" style="251" customWidth="1"/>
    <col min="27" max="29" width="18.33203125" style="251" customWidth="1"/>
    <col min="30" max="16384" width="9.109375" style="248"/>
  </cols>
  <sheetData>
    <row r="1" spans="1:26" ht="12" customHeight="1"/>
    <row r="2" spans="1:26" ht="20.25" customHeight="1">
      <c r="A2" s="921" t="str">
        <f>IF('Huong dan'!E3&lt;&gt;"","SỞ GIÁO DỤC VÀ ĐÀO TẠO "&amp;UPPER('Huong dan'!E3),"")</f>
        <v>SỞ GIÁO DỤC VÀ ĐÀO TẠO TP. HỒ CHÍ MINH</v>
      </c>
      <c r="B2" s="921"/>
      <c r="C2" s="921"/>
      <c r="D2" s="921"/>
      <c r="E2" s="921"/>
      <c r="F2" s="921"/>
      <c r="G2" s="922" t="s">
        <v>19</v>
      </c>
      <c r="H2" s="922"/>
      <c r="I2" s="922"/>
      <c r="J2" s="922"/>
      <c r="K2" s="922"/>
    </row>
    <row r="3" spans="1:26" ht="18" customHeight="1">
      <c r="A3" s="992" t="str">
        <f>IF('Huong dan'!E4&lt;&gt;"","TRƯỜNG "&amp;UPPER('Huong dan'!E4),"")</f>
        <v>TRƯỜNG THCS VÀ THPT NGUYỄN KHUYẾN</v>
      </c>
      <c r="B3" s="992"/>
      <c r="C3" s="992"/>
      <c r="D3" s="992"/>
      <c r="E3" s="992"/>
      <c r="F3" s="992"/>
      <c r="G3" s="993" t="s">
        <v>179</v>
      </c>
      <c r="H3" s="993"/>
      <c r="I3" s="993"/>
      <c r="J3" s="993"/>
      <c r="K3" s="993"/>
      <c r="M3" s="325" t="s">
        <v>78</v>
      </c>
      <c r="Z3" s="998" t="s">
        <v>95</v>
      </c>
    </row>
    <row r="4" spans="1:26" ht="30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M4" s="332" t="s">
        <v>676</v>
      </c>
      <c r="Z4" s="999"/>
    </row>
    <row r="5" spans="1:26" ht="24.75" customHeight="1">
      <c r="A5" s="994" t="str">
        <f>"PHIẾU BÁO ĐIỂM HỌC KỲ I - NĂM HỌC "&amp;'Huong dan'!C5</f>
        <v>PHIẾU BÁO ĐIỂM HỌC KỲ I - NĂM HỌC 2021 - 2022</v>
      </c>
      <c r="B5" s="994"/>
      <c r="C5" s="994"/>
      <c r="D5" s="994"/>
      <c r="E5" s="994"/>
      <c r="F5" s="994"/>
      <c r="G5" s="994"/>
      <c r="H5" s="994"/>
      <c r="I5" s="994"/>
      <c r="J5" s="994"/>
      <c r="K5" s="994"/>
      <c r="M5" s="326" t="s">
        <v>173</v>
      </c>
    </row>
    <row r="6" spans="1:26" ht="15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M6" s="327" t="s">
        <v>174</v>
      </c>
    </row>
    <row r="7" spans="1:26" ht="20.25" customHeight="1">
      <c r="A7" s="4"/>
      <c r="B7" s="993" t="s">
        <v>75</v>
      </c>
      <c r="C7" s="993"/>
      <c r="D7" s="1004" t="str">
        <f>IFERROR(IF($N$7&lt;&gt;"",INDEX($W$10:$Y$64,MATCH($M$4,$Y$10:$Y$64,0),2),""),"")</f>
        <v/>
      </c>
      <c r="E7" s="1004"/>
      <c r="F7" s="1004"/>
      <c r="G7" s="1004"/>
      <c r="H7" s="466" t="s">
        <v>65</v>
      </c>
      <c r="I7" s="466" t="str">
        <f>IF('Huong dan'!C3&lt;&gt;"",UPPER('Huong dan'!C3),"")</f>
        <v>12A1</v>
      </c>
      <c r="J7" s="5"/>
      <c r="K7" s="5"/>
      <c r="M7" s="333"/>
      <c r="N7" s="328" t="e">
        <f>IF(M4&lt;&gt;"",INDEX($W$10:$Y$64,MATCH($M$4,$Y$10:$Y$64,0),1),"")</f>
        <v>#N/A</v>
      </c>
      <c r="Z7" s="392" t="s">
        <v>95</v>
      </c>
    </row>
    <row r="8" spans="1:26" ht="10.5" customHeight="1">
      <c r="A8" s="4"/>
      <c r="B8" s="5"/>
      <c r="O8" s="888" t="s">
        <v>225</v>
      </c>
      <c r="P8" s="888"/>
      <c r="Q8" s="888"/>
      <c r="R8" s="888"/>
      <c r="S8" s="468" t="s">
        <v>3</v>
      </c>
      <c r="T8" s="468" t="s">
        <v>223</v>
      </c>
      <c r="U8" s="572" t="s">
        <v>224</v>
      </c>
    </row>
    <row r="9" spans="1:26" ht="18" customHeight="1">
      <c r="A9" s="990" t="s">
        <v>0</v>
      </c>
      <c r="B9" s="990" t="s">
        <v>72</v>
      </c>
      <c r="C9" s="927" t="s">
        <v>225</v>
      </c>
      <c r="D9" s="927"/>
      <c r="E9" s="927"/>
      <c r="F9" s="927"/>
      <c r="G9" s="455" t="s">
        <v>3</v>
      </c>
      <c r="H9" s="455" t="s">
        <v>3</v>
      </c>
      <c r="I9" s="444" t="s">
        <v>224</v>
      </c>
      <c r="J9" s="1002" t="s">
        <v>74</v>
      </c>
      <c r="K9" s="995" t="s">
        <v>251</v>
      </c>
      <c r="M9" s="325" t="s">
        <v>79</v>
      </c>
      <c r="O9" s="399">
        <v>1</v>
      </c>
      <c r="P9" s="399">
        <v>2</v>
      </c>
      <c r="Q9" s="399">
        <v>3</v>
      </c>
      <c r="R9" s="399">
        <v>4</v>
      </c>
      <c r="S9" s="469" t="s">
        <v>230</v>
      </c>
      <c r="T9" s="469" t="s">
        <v>4</v>
      </c>
      <c r="U9" s="573" t="s">
        <v>4</v>
      </c>
      <c r="Z9" s="998" t="s">
        <v>95</v>
      </c>
    </row>
    <row r="10" spans="1:26" ht="15.75" customHeight="1">
      <c r="A10" s="991"/>
      <c r="B10" s="991"/>
      <c r="C10" s="574">
        <v>1</v>
      </c>
      <c r="D10" s="575">
        <v>2</v>
      </c>
      <c r="E10" s="575">
        <v>3</v>
      </c>
      <c r="F10" s="576">
        <v>4</v>
      </c>
      <c r="G10" s="577" t="s">
        <v>230</v>
      </c>
      <c r="H10" s="578" t="s">
        <v>278</v>
      </c>
      <c r="I10" s="579" t="s">
        <v>4</v>
      </c>
      <c r="J10" s="1003"/>
      <c r="K10" s="990"/>
      <c r="M10" s="334" t="s">
        <v>154</v>
      </c>
      <c r="O10" s="355">
        <v>2</v>
      </c>
      <c r="P10" s="355">
        <v>3</v>
      </c>
      <c r="Q10" s="355">
        <v>4</v>
      </c>
      <c r="R10" s="355">
        <v>5</v>
      </c>
      <c r="S10" s="355">
        <v>6</v>
      </c>
      <c r="T10" s="355">
        <v>7</v>
      </c>
      <c r="U10" s="355">
        <v>8</v>
      </c>
      <c r="W10" s="329">
        <f>IF(COUNTA(DiemHKI!C4:C58)&gt;=1,MIN(DiemHKI!B4:B58),"")</f>
        <v>1</v>
      </c>
      <c r="X10" s="329" t="str">
        <f>IF(W10="","",INDEX(DiemHKI!$D$4:$D$58,MATCH(InPD1!W10,DiemHKI!$B$4:$B$58,0),1)&amp;" "&amp;INDEX(DiemHKI!$E$4:$E$58,MATCH(InPD1!W10,DiemHKI!$B$4:$B$58,0),1))</f>
        <v>Phạm Huỳnh Hiệp An</v>
      </c>
      <c r="Y10" s="248" t="str">
        <f>IF(W10="","","STT "&amp;W10&amp;". "&amp;X10)</f>
        <v>STT 1. Phạm Huỳnh Hiệp An</v>
      </c>
      <c r="Z10" s="999"/>
    </row>
    <row r="11" spans="1:26" ht="17.25" customHeight="1">
      <c r="A11" s="358">
        <v>1</v>
      </c>
      <c r="B11" s="389" t="s">
        <v>26</v>
      </c>
      <c r="C11" s="95" t="str">
        <f>IFERROR(IF($N$7&lt;&gt;"",IF(INDEX(BDHKI,MATCH($N$7,DiemHKI!$B$4:$B$58,0),INDEX($N$11:$U$24,MATCH($B11,$N$11:$N$24,0),O$10))&lt;&gt;"",INDEX(BDHKI,MATCH($N$7,DiemHKI!$B$4:$B$58,0),INDEX($N$11:$U$24,MATCH($B11,$N$11:$N$24,0),O$10)),""),""),"")</f>
        <v/>
      </c>
      <c r="D11" s="96" t="str">
        <f>IFERROR(IF($N$7&lt;&gt;"",IF(INDEX(BDHKI,MATCH($N$7,DiemHKI!$B$4:$B$58,0),INDEX($N$11:$U$24,MATCH($B11,$N$11:$N$24,0),P$10))&lt;&gt;"",INDEX(BDHKI,MATCH($N$7,DiemHKI!$B$4:$B$58,0),INDEX($N$11:$U$24,MATCH($B11,$N$11:$N$24,0),P$10)),""),""),"")</f>
        <v/>
      </c>
      <c r="E11" s="96" t="str">
        <f>IFERROR(IF($N$7&lt;&gt;"",IF(INDEX(BDHKI,MATCH($N$7,DiemHKI!$B$4:$B$58,0),INDEX($N$11:$U$24,MATCH($B11,$N$11:$N$24,0),Q$10))&lt;&gt;"",INDEX(BDHKI,MATCH($N$7,DiemHKI!$B$4:$B$58,0),INDEX($N$11:$U$24,MATCH($B11,$N$11:$N$24,0),Q$10)),""),""),"")</f>
        <v/>
      </c>
      <c r="F11" s="97" t="str">
        <f>IFERROR(IF($N$7&lt;&gt;"",IF(INDEX(BDHKI,MATCH($N$7,DiemHKI!$B$4:$B$58,0),INDEX($N$11:$U$24,MATCH($B11,$N$11:$N$24,0),R$10))&lt;&gt;"",INDEX(BDHKI,MATCH($N$7,DiemHKI!$B$4:$B$58,0),INDEX($N$11:$U$24,MATCH($B11,$N$11:$N$24,0),R$10)),""),""),"")</f>
        <v/>
      </c>
      <c r="G11" s="365" t="str">
        <f>IFERROR(IF($N$7&lt;&gt;"",IF(INDEX(BDHKI,MATCH($N$7,DiemHKI!$B$4:$B$58,0),INDEX($N$11:$U$24,MATCH($B11,$N$11:$N$24,0),S$10))&lt;&gt;"",INDEX(BDHKI,MATCH($N$7,DiemHKI!$B$4:$B$58,0),INDEX($N$11:$U$24,MATCH($B11,$N$11:$N$24,0),S$10)),""),""),"")</f>
        <v/>
      </c>
      <c r="H11" s="366" t="str">
        <f>IFERROR(IF($N$7&lt;&gt;"",IF(INDEX(BDHKI,MATCH($N$7,DiemHKI!$B$4:$B$58,0),INDEX($N$11:$U$24,MATCH($B11,$N$11:$N$24,0),T$10))&lt;&gt;"",INDEX(BDHKI,MATCH($N$7,DiemHKI!$B$4:$B$58,0),INDEX($N$11:$U$24,MATCH($B11,$N$11:$N$24,0),T$10)),""),""),"")</f>
        <v/>
      </c>
      <c r="I11" s="446" t="str">
        <f>IFERROR(IF($N$7&lt;&gt;"",IF(INDEX(BDHKI,MATCH($N$7,DiemHKI!$B$4:$B$58,0),INDEX($N$11:$U$24,MATCH($B11,$N$11:$N$24,0),U$10))&lt;&gt;"",INDEX(BDHKI,MATCH($N$7,DiemHKI!$B$4:$B$58,0),INDEX($N$11:$U$24,MATCH($B11,$N$11:$N$24,0),U$10)),""),""),"")</f>
        <v/>
      </c>
      <c r="J11" s="358" t="str">
        <f>IFERROR(IF($N$7&lt;&gt;"",COUNT(C11:I11),""),"")</f>
        <v/>
      </c>
      <c r="K11" s="383"/>
      <c r="N11" s="248" t="s">
        <v>26</v>
      </c>
      <c r="O11" s="355">
        <v>10</v>
      </c>
      <c r="P11" s="355">
        <v>11</v>
      </c>
      <c r="Q11" s="355">
        <v>12</v>
      </c>
      <c r="R11" s="355">
        <v>13</v>
      </c>
      <c r="S11" s="355">
        <v>14</v>
      </c>
      <c r="T11" s="355">
        <v>15</v>
      </c>
      <c r="U11" s="355">
        <v>16</v>
      </c>
      <c r="W11" s="329">
        <f>IF(W10&lt;MAX(DiemHKI!$B$4:$B$58),W10+1,"")</f>
        <v>2</v>
      </c>
      <c r="X11" s="329" t="str">
        <f>IF(W11="","",INDEX(DiemHKI!$D$4:$D$58,MATCH(InPD1!W11,DiemHKI!$B$4:$B$58,0),1)&amp;" "&amp;INDEX(DiemHKI!$E$4:$E$58,MATCH(InPD1!W11,DiemHKI!$B$4:$B$58,0),1))</f>
        <v>Chử Ngọc Anh</v>
      </c>
      <c r="Y11" s="248" t="str">
        <f t="shared" ref="Y11:Y64" si="0">IF(W11="","","STT "&amp;W11&amp;". "&amp;X11)</f>
        <v>STT 2. Chử Ngọc Anh</v>
      </c>
    </row>
    <row r="12" spans="1:26" ht="17.25" customHeight="1">
      <c r="A12" s="359">
        <v>2</v>
      </c>
      <c r="B12" s="390" t="s">
        <v>27</v>
      </c>
      <c r="C12" s="101" t="str">
        <f>IFERROR(IF($N$7&lt;&gt;"",IF(INDEX(BDHKI,MATCH($N$7,DiemHKI!$B$4:$B$58,0),INDEX($N$11:$U$24,MATCH($B12,$N$11:$N$24,0),O$10))&lt;&gt;"",INDEX(BDHKI,MATCH($N$7,DiemHKI!$B$4:$B$58,0),INDEX($N$11:$U$24,MATCH($B12,$N$11:$N$24,0),O$10)),""),""),"")</f>
        <v/>
      </c>
      <c r="D12" s="102" t="str">
        <f>IFERROR(IF($N$7&lt;&gt;"",IF(INDEX(BDHKI,MATCH($N$7,DiemHKI!$B$4:$B$58,0),INDEX($N$11:$U$24,MATCH($B12,$N$11:$N$24,0),P$10))&lt;&gt;"",INDEX(BDHKI,MATCH($N$7,DiemHKI!$B$4:$B$58,0),INDEX($N$11:$U$24,MATCH($B12,$N$11:$N$24,0),P$10)),""),""),"")</f>
        <v/>
      </c>
      <c r="E12" s="102" t="str">
        <f>IFERROR(IF($N$7&lt;&gt;"",IF(INDEX(BDHKI,MATCH($N$7,DiemHKI!$B$4:$B$58,0),INDEX($N$11:$U$24,MATCH($B12,$N$11:$N$24,0),Q$10))&lt;&gt;"",INDEX(BDHKI,MATCH($N$7,DiemHKI!$B$4:$B$58,0),INDEX($N$11:$U$24,MATCH($B12,$N$11:$N$24,0),Q$10)),""),""),"")</f>
        <v/>
      </c>
      <c r="F12" s="103" t="str">
        <f>IFERROR(IF($N$7&lt;&gt;"",IF(INDEX(BDHKI,MATCH($N$7,DiemHKI!$B$4:$B$58,0),INDEX($N$11:$U$24,MATCH($B12,$N$11:$N$24,0),R$10))&lt;&gt;"",INDEX(BDHKI,MATCH($N$7,DiemHKI!$B$4:$B$58,0),INDEX($N$11:$U$24,MATCH($B12,$N$11:$N$24,0),R$10)),""),""),"")</f>
        <v/>
      </c>
      <c r="G12" s="363" t="str">
        <f>IFERROR(IF($N$7&lt;&gt;"",IF(INDEX(BDHKI,MATCH($N$7,DiemHKI!$B$4:$B$58,0),INDEX($N$11:$U$24,MATCH($B12,$N$11:$N$24,0),S$10))&lt;&gt;"",INDEX(BDHKI,MATCH($N$7,DiemHKI!$B$4:$B$58,0),INDEX($N$11:$U$24,MATCH($B12,$N$11:$N$24,0),S$10)),""),""),"")</f>
        <v/>
      </c>
      <c r="H12" s="367" t="str">
        <f>IFERROR(IF($N$7&lt;&gt;"",IF(INDEX(BDHKI,MATCH($N$7,DiemHKI!$B$4:$B$58,0),INDEX($N$11:$U$24,MATCH($B12,$N$11:$N$24,0),T$10))&lt;&gt;"",INDEX(BDHKI,MATCH($N$7,DiemHKI!$B$4:$B$58,0),INDEX($N$11:$U$24,MATCH($B12,$N$11:$N$24,0),T$10)),""),""),"")</f>
        <v/>
      </c>
      <c r="I12" s="447" t="str">
        <f>IFERROR(IF($N$7&lt;&gt;"",IF(INDEX(BDHKI,MATCH($N$7,DiemHKI!$B$4:$B$58,0),INDEX($N$11:$U$24,MATCH($B12,$N$11:$N$24,0),U$10))&lt;&gt;"",INDEX(BDHKI,MATCH($N$7,DiemHKI!$B$4:$B$58,0),INDEX($N$11:$U$24,MATCH($B12,$N$11:$N$24,0),U$10)),""),""),"")</f>
        <v/>
      </c>
      <c r="J12" s="359" t="str">
        <f t="shared" ref="J12:J21" si="1">IFERROR(IF($N$7&lt;&gt;"",COUNT(C12:I12),""),"")</f>
        <v/>
      </c>
      <c r="K12" s="384"/>
      <c r="N12" s="248" t="s">
        <v>27</v>
      </c>
      <c r="O12" s="355">
        <v>17</v>
      </c>
      <c r="P12" s="355">
        <v>18</v>
      </c>
      <c r="Q12" s="355">
        <v>19</v>
      </c>
      <c r="R12" s="355">
        <v>20</v>
      </c>
      <c r="S12" s="355">
        <v>21</v>
      </c>
      <c r="T12" s="355">
        <v>22</v>
      </c>
      <c r="U12" s="355">
        <v>23</v>
      </c>
      <c r="W12" s="329">
        <f>IF(W11&lt;MAX(DiemHKI!$B$4:$B$58),W11+1,"")</f>
        <v>3</v>
      </c>
      <c r="X12" s="329" t="str">
        <f>IF(W12="","",INDEX(DiemHKI!$D$4:$D$58,MATCH(InPD1!W12,DiemHKI!$B$4:$B$58,0),1)&amp;" "&amp;INDEX(DiemHKI!$E$4:$E$58,MATCH(InPD1!W12,DiemHKI!$B$4:$B$58,0),1))</f>
        <v>Lê Tuấn Anh</v>
      </c>
      <c r="Y12" s="248" t="str">
        <f t="shared" si="0"/>
        <v>STT 3. Lê Tuấn Anh</v>
      </c>
    </row>
    <row r="13" spans="1:26" ht="17.25" customHeight="1">
      <c r="A13" s="359">
        <v>3</v>
      </c>
      <c r="B13" s="390" t="s">
        <v>28</v>
      </c>
      <c r="C13" s="101" t="str">
        <f>IFERROR(IF($N$7&lt;&gt;"",IF(INDEX(BDHKI,MATCH($N$7,DiemHKI!$B$4:$B$58,0),INDEX($N$11:$U$24,MATCH($B13,$N$11:$N$24,0),O$10))&lt;&gt;"",INDEX(BDHKI,MATCH($N$7,DiemHKI!$B$4:$B$58,0),INDEX($N$11:$U$24,MATCH($B13,$N$11:$N$24,0),O$10)),""),""),"")</f>
        <v/>
      </c>
      <c r="D13" s="102" t="str">
        <f>IFERROR(IF($N$7&lt;&gt;"",IF(INDEX(BDHKI,MATCH($N$7,DiemHKI!$B$4:$B$58,0),INDEX($N$11:$U$24,MATCH($B13,$N$11:$N$24,0),P$10))&lt;&gt;"",INDEX(BDHKI,MATCH($N$7,DiemHKI!$B$4:$B$58,0),INDEX($N$11:$U$24,MATCH($B13,$N$11:$N$24,0),P$10)),""),""),"")</f>
        <v/>
      </c>
      <c r="E13" s="102" t="str">
        <f>IFERROR(IF($N$7&lt;&gt;"",IF(INDEX(BDHKI,MATCH($N$7,DiemHKI!$B$4:$B$58,0),INDEX($N$11:$U$24,MATCH($B13,$N$11:$N$24,0),Q$10))&lt;&gt;"",INDEX(BDHKI,MATCH($N$7,DiemHKI!$B$4:$B$58,0),INDEX($N$11:$U$24,MATCH($B13,$N$11:$N$24,0),Q$10)),""),""),"")</f>
        <v/>
      </c>
      <c r="F13" s="103" t="str">
        <f>IFERROR(IF($N$7&lt;&gt;"",IF(INDEX(BDHKI,MATCH($N$7,DiemHKI!$B$4:$B$58,0),INDEX($N$11:$U$24,MATCH($B13,$N$11:$N$24,0),R$10))&lt;&gt;"",INDEX(BDHKI,MATCH($N$7,DiemHKI!$B$4:$B$58,0),INDEX($N$11:$U$24,MATCH($B13,$N$11:$N$24,0),R$10)),""),""),"")</f>
        <v/>
      </c>
      <c r="G13" s="363" t="str">
        <f>IFERROR(IF($N$7&lt;&gt;"",IF(INDEX(BDHKI,MATCH($N$7,DiemHKI!$B$4:$B$58,0),INDEX($N$11:$U$24,MATCH($B13,$N$11:$N$24,0),S$10))&lt;&gt;"",INDEX(BDHKI,MATCH($N$7,DiemHKI!$B$4:$B$58,0),INDEX($N$11:$U$24,MATCH($B13,$N$11:$N$24,0),S$10)),""),""),"")</f>
        <v/>
      </c>
      <c r="H13" s="367" t="str">
        <f>IFERROR(IF($N$7&lt;&gt;"",IF(INDEX(BDHKI,MATCH($N$7,DiemHKI!$B$4:$B$58,0),INDEX($N$11:$U$24,MATCH($B13,$N$11:$N$24,0),T$10))&lt;&gt;"",INDEX(BDHKI,MATCH($N$7,DiemHKI!$B$4:$B$58,0),INDEX($N$11:$U$24,MATCH($B13,$N$11:$N$24,0),T$10)),""),""),"")</f>
        <v/>
      </c>
      <c r="I13" s="447" t="str">
        <f>IFERROR(IF($N$7&lt;&gt;"",IF(INDEX(BDHKI,MATCH($N$7,DiemHKI!$B$4:$B$58,0),INDEX($N$11:$U$24,MATCH($B13,$N$11:$N$24,0),U$10))&lt;&gt;"",INDEX(BDHKI,MATCH($N$7,DiemHKI!$B$4:$B$58,0),INDEX($N$11:$U$24,MATCH($B13,$N$11:$N$24,0),U$10)),""),""),"")</f>
        <v/>
      </c>
      <c r="J13" s="359" t="str">
        <f t="shared" si="1"/>
        <v/>
      </c>
      <c r="K13" s="384"/>
      <c r="M13" s="330" t="s">
        <v>101</v>
      </c>
      <c r="N13" s="248" t="s">
        <v>28</v>
      </c>
      <c r="O13" s="355">
        <v>24</v>
      </c>
      <c r="P13" s="355">
        <v>25</v>
      </c>
      <c r="Q13" s="355">
        <v>26</v>
      </c>
      <c r="R13" s="355">
        <v>27</v>
      </c>
      <c r="S13" s="355">
        <v>28</v>
      </c>
      <c r="T13" s="355">
        <v>29</v>
      </c>
      <c r="U13" s="355">
        <v>30</v>
      </c>
      <c r="W13" s="329">
        <f>IF(W12&lt;MAX(DiemHKI!$B$4:$B$58),W12+1,"")</f>
        <v>4</v>
      </c>
      <c r="X13" s="329" t="str">
        <f>IF(W13="","",INDEX(DiemHKI!$D$4:$D$58,MATCH(InPD1!W13,DiemHKI!$B$4:$B$58,0),1)&amp;" "&amp;INDEX(DiemHKI!$E$4:$E$58,MATCH(InPD1!W13,DiemHKI!$B$4:$B$58,0),1))</f>
        <v>Nguyễn Quách Mai Anh</v>
      </c>
      <c r="Y13" s="248" t="str">
        <f t="shared" si="0"/>
        <v>STT 4. Nguyễn Quách Mai Anh</v>
      </c>
    </row>
    <row r="14" spans="1:26" ht="17.25" customHeight="1">
      <c r="A14" s="359">
        <v>4</v>
      </c>
      <c r="B14" s="390" t="s">
        <v>29</v>
      </c>
      <c r="C14" s="101" t="str">
        <f>IFERROR(IF($N$7&lt;&gt;"",IF(INDEX(BDHKI,MATCH($N$7,DiemHKI!$B$4:$B$58,0),INDEX($N$11:$U$24,MATCH($B14,$N$11:$N$24,0),O$10))&lt;&gt;"",INDEX(BDHKI,MATCH($N$7,DiemHKI!$B$4:$B$58,0),INDEX($N$11:$U$24,MATCH($B14,$N$11:$N$24,0),O$10)),""),""),"")</f>
        <v/>
      </c>
      <c r="D14" s="102" t="str">
        <f>IFERROR(IF($N$7&lt;&gt;"",IF(INDEX(BDHKI,MATCH($N$7,DiemHKI!$B$4:$B$58,0),INDEX($N$11:$U$24,MATCH($B14,$N$11:$N$24,0),P$10))&lt;&gt;"",INDEX(BDHKI,MATCH($N$7,DiemHKI!$B$4:$B$58,0),INDEX($N$11:$U$24,MATCH($B14,$N$11:$N$24,0),P$10)),""),""),"")</f>
        <v/>
      </c>
      <c r="E14" s="102" t="str">
        <f>IFERROR(IF($N$7&lt;&gt;"",IF(INDEX(BDHKI,MATCH($N$7,DiemHKI!$B$4:$B$58,0),INDEX($N$11:$U$24,MATCH($B14,$N$11:$N$24,0),Q$10))&lt;&gt;"",INDEX(BDHKI,MATCH($N$7,DiemHKI!$B$4:$B$58,0),INDEX($N$11:$U$24,MATCH($B14,$N$11:$N$24,0),Q$10)),""),""),"")</f>
        <v/>
      </c>
      <c r="F14" s="103" t="str">
        <f>IFERROR(IF($N$7&lt;&gt;"",IF(INDEX(BDHKI,MATCH($N$7,DiemHKI!$B$4:$B$58,0),INDEX($N$11:$U$24,MATCH($B14,$N$11:$N$24,0),R$10))&lt;&gt;"",INDEX(BDHKI,MATCH($N$7,DiemHKI!$B$4:$B$58,0),INDEX($N$11:$U$24,MATCH($B14,$N$11:$N$24,0),R$10)),""),""),"")</f>
        <v/>
      </c>
      <c r="G14" s="363" t="str">
        <f>IFERROR(IF($N$7&lt;&gt;"",IF(INDEX(BDHKI,MATCH($N$7,DiemHKI!$B$4:$B$58,0),INDEX($N$11:$U$24,MATCH($B14,$N$11:$N$24,0),S$10))&lt;&gt;"",INDEX(BDHKI,MATCH($N$7,DiemHKI!$B$4:$B$58,0),INDEX($N$11:$U$24,MATCH($B14,$N$11:$N$24,0),S$10)),""),""),"")</f>
        <v/>
      </c>
      <c r="H14" s="367" t="str">
        <f>IFERROR(IF($N$7&lt;&gt;"",IF(INDEX(BDHKI,MATCH($N$7,DiemHKI!$B$4:$B$58,0),INDEX($N$11:$U$24,MATCH($B14,$N$11:$N$24,0),T$10))&lt;&gt;"",INDEX(BDHKI,MATCH($N$7,DiemHKI!$B$4:$B$58,0),INDEX($N$11:$U$24,MATCH($B14,$N$11:$N$24,0),T$10)),""),""),"")</f>
        <v/>
      </c>
      <c r="I14" s="447" t="str">
        <f>IFERROR(IF($N$7&lt;&gt;"",IF(INDEX(BDHKI,MATCH($N$7,DiemHKI!$B$4:$B$58,0),INDEX($N$11:$U$24,MATCH($B14,$N$11:$N$24,0),U$10))&lt;&gt;"",INDEX(BDHKI,MATCH($N$7,DiemHKI!$B$4:$B$58,0),INDEX($N$11:$U$24,MATCH($B14,$N$11:$N$24,0),U$10)),""),""),"")</f>
        <v/>
      </c>
      <c r="J14" s="359" t="str">
        <f t="shared" si="1"/>
        <v/>
      </c>
      <c r="K14" s="384"/>
      <c r="M14" s="330" t="s">
        <v>102</v>
      </c>
      <c r="N14" s="248" t="s">
        <v>29</v>
      </c>
      <c r="O14" s="355">
        <v>31</v>
      </c>
      <c r="P14" s="355">
        <v>32</v>
      </c>
      <c r="Q14" s="355">
        <v>33</v>
      </c>
      <c r="R14" s="355">
        <v>34</v>
      </c>
      <c r="S14" s="355">
        <v>35</v>
      </c>
      <c r="T14" s="355">
        <v>36</v>
      </c>
      <c r="U14" s="355">
        <v>37</v>
      </c>
      <c r="W14" s="329">
        <f>IF(W13&lt;MAX(DiemHKI!$B$4:$B$58),W13+1,"")</f>
        <v>5</v>
      </c>
      <c r="X14" s="329" t="str">
        <f>IF(W14="","",INDEX(DiemHKI!$D$4:$D$58,MATCH(InPD1!W14,DiemHKI!$B$4:$B$58,0),1)&amp;" "&amp;INDEX(DiemHKI!$E$4:$E$58,MATCH(InPD1!W14,DiemHKI!$B$4:$B$58,0),1))</f>
        <v>Vũ Song Anh</v>
      </c>
      <c r="Y14" s="248" t="str">
        <f t="shared" si="0"/>
        <v>STT 5. Vũ Song Anh</v>
      </c>
    </row>
    <row r="15" spans="1:26" ht="17.25" customHeight="1">
      <c r="A15" s="359">
        <v>5</v>
      </c>
      <c r="B15" s="390" t="s">
        <v>120</v>
      </c>
      <c r="C15" s="101" t="str">
        <f>IFERROR(IF($N$7&lt;&gt;"",IF(INDEX(BDHKI,MATCH($N$7,DiemHKI!$B$4:$B$58,0),INDEX($N$11:$U$24,MATCH($B15,$N$11:$N$24,0),O$10))&lt;&gt;"",INDEX(BDHKI,MATCH($N$7,DiemHKI!$B$4:$B$58,0),INDEX($N$11:$U$24,MATCH($B15,$N$11:$N$24,0),O$10)),""),""),"")</f>
        <v/>
      </c>
      <c r="D15" s="102" t="str">
        <f>IFERROR(IF($N$7&lt;&gt;"",IF(INDEX(BDHKI,MATCH($N$7,DiemHKI!$B$4:$B$58,0),INDEX($N$11:$U$24,MATCH($B15,$N$11:$N$24,0),P$10))&lt;&gt;"",INDEX(BDHKI,MATCH($N$7,DiemHKI!$B$4:$B$58,0),INDEX($N$11:$U$24,MATCH($B15,$N$11:$N$24,0),P$10)),""),""),"")</f>
        <v/>
      </c>
      <c r="E15" s="102" t="str">
        <f>IFERROR(IF($N$7&lt;&gt;"",IF(INDEX(BDHKI,MATCH($N$7,DiemHKI!$B$4:$B$58,0),INDEX($N$11:$U$24,MATCH($B15,$N$11:$N$24,0),Q$10))&lt;&gt;"",INDEX(BDHKI,MATCH($N$7,DiemHKI!$B$4:$B$58,0),INDEX($N$11:$U$24,MATCH($B15,$N$11:$N$24,0),Q$10)),""),""),"")</f>
        <v/>
      </c>
      <c r="F15" s="103" t="str">
        <f>IFERROR(IF($N$7&lt;&gt;"",IF(INDEX(BDHKI,MATCH($N$7,DiemHKI!$B$4:$B$58,0),INDEX($N$11:$U$24,MATCH($B15,$N$11:$N$24,0),R$10))&lt;&gt;"",INDEX(BDHKI,MATCH($N$7,DiemHKI!$B$4:$B$58,0),INDEX($N$11:$U$24,MATCH($B15,$N$11:$N$24,0),R$10)),""),""),"")</f>
        <v/>
      </c>
      <c r="G15" s="363" t="str">
        <f>IFERROR(IF($N$7&lt;&gt;"",IF(INDEX(BDHKI,MATCH($N$7,DiemHKI!$B$4:$B$58,0),INDEX($N$11:$U$24,MATCH($B15,$N$11:$N$24,0),S$10))&lt;&gt;"",INDEX(BDHKI,MATCH($N$7,DiemHKI!$B$4:$B$58,0),INDEX($N$11:$U$24,MATCH($B15,$N$11:$N$24,0),S$10)),""),""),"")</f>
        <v/>
      </c>
      <c r="H15" s="367" t="str">
        <f>IFERROR(IF($N$7&lt;&gt;"",IF(INDEX(BDHKI,MATCH($N$7,DiemHKI!$B$4:$B$58,0),INDEX($N$11:$U$24,MATCH($B15,$N$11:$N$24,0),T$10))&lt;&gt;"",INDEX(BDHKI,MATCH($N$7,DiemHKI!$B$4:$B$58,0),INDEX($N$11:$U$24,MATCH($B15,$N$11:$N$24,0),T$10)),""),""),"")</f>
        <v/>
      </c>
      <c r="I15" s="447" t="str">
        <f>IFERROR(IF($N$7&lt;&gt;"",IF(INDEX(BDHKI,MATCH($N$7,DiemHKI!$B$4:$B$58,0),INDEX($N$11:$U$24,MATCH($B15,$N$11:$N$24,0),U$10))&lt;&gt;"",INDEX(BDHKI,MATCH($N$7,DiemHKI!$B$4:$B$58,0),INDEX($N$11:$U$24,MATCH($B15,$N$11:$N$24,0),U$10)),""),""),"")</f>
        <v/>
      </c>
      <c r="J15" s="359" t="str">
        <f t="shared" si="1"/>
        <v/>
      </c>
      <c r="K15" s="384"/>
      <c r="M15" s="330" t="s">
        <v>103</v>
      </c>
      <c r="N15" s="248" t="s">
        <v>120</v>
      </c>
      <c r="O15" s="355">
        <v>38</v>
      </c>
      <c r="P15" s="355">
        <v>39</v>
      </c>
      <c r="Q15" s="355">
        <v>40</v>
      </c>
      <c r="R15" s="355">
        <v>41</v>
      </c>
      <c r="S15" s="355">
        <v>42</v>
      </c>
      <c r="T15" s="355">
        <v>43</v>
      </c>
      <c r="U15" s="355">
        <v>44</v>
      </c>
      <c r="W15" s="329">
        <f>IF(W14&lt;MAX(DiemHKI!$B$4:$B$58),W14+1,"")</f>
        <v>6</v>
      </c>
      <c r="X15" s="329" t="str">
        <f>IF(W15="","",INDEX(DiemHKI!$D$4:$D$58,MATCH(InPD1!W15,DiemHKI!$B$4:$B$58,0),1)&amp;" "&amp;INDEX(DiemHKI!$E$4:$E$58,MATCH(InPD1!W15,DiemHKI!$B$4:$B$58,0),1))</f>
        <v>Phan Gia Bảo</v>
      </c>
      <c r="Y15" s="248" t="str">
        <f t="shared" si="0"/>
        <v>STT 6. Phan Gia Bảo</v>
      </c>
    </row>
    <row r="16" spans="1:26" ht="17.25" customHeight="1">
      <c r="A16" s="359">
        <v>6</v>
      </c>
      <c r="B16" s="390" t="s">
        <v>30</v>
      </c>
      <c r="C16" s="101" t="str">
        <f>IFERROR(IF($N$7&lt;&gt;"",IF(INDEX(BDHKI,MATCH($N$7,DiemHKI!$B$4:$B$58,0),INDEX($N$11:$U$24,MATCH($B16,$N$11:$N$24,0),O$10))&lt;&gt;"",INDEX(BDHKI,MATCH($N$7,DiemHKI!$B$4:$B$58,0),INDEX($N$11:$U$24,MATCH($B16,$N$11:$N$24,0),O$10)),""),""),"")</f>
        <v/>
      </c>
      <c r="D16" s="102" t="str">
        <f>IFERROR(IF($N$7&lt;&gt;"",IF(INDEX(BDHKI,MATCH($N$7,DiemHKI!$B$4:$B$58,0),INDEX($N$11:$U$24,MATCH($B16,$N$11:$N$24,0),P$10))&lt;&gt;"",INDEX(BDHKI,MATCH($N$7,DiemHKI!$B$4:$B$58,0),INDEX($N$11:$U$24,MATCH($B16,$N$11:$N$24,0),P$10)),""),""),"")</f>
        <v/>
      </c>
      <c r="E16" s="102" t="str">
        <f>IFERROR(IF($N$7&lt;&gt;"",IF(INDEX(BDHKI,MATCH($N$7,DiemHKI!$B$4:$B$58,0),INDEX($N$11:$U$24,MATCH($B16,$N$11:$N$24,0),Q$10))&lt;&gt;"",INDEX(BDHKI,MATCH($N$7,DiemHKI!$B$4:$B$58,0),INDEX($N$11:$U$24,MATCH($B16,$N$11:$N$24,0),Q$10)),""),""),"")</f>
        <v/>
      </c>
      <c r="F16" s="103" t="str">
        <f>IFERROR(IF($N$7&lt;&gt;"",IF(INDEX(BDHKI,MATCH($N$7,DiemHKI!$B$4:$B$58,0),INDEX($N$11:$U$24,MATCH($B16,$N$11:$N$24,0),R$10))&lt;&gt;"",INDEX(BDHKI,MATCH($N$7,DiemHKI!$B$4:$B$58,0),INDEX($N$11:$U$24,MATCH($B16,$N$11:$N$24,0),R$10)),""),""),"")</f>
        <v/>
      </c>
      <c r="G16" s="363" t="str">
        <f>IFERROR(IF($N$7&lt;&gt;"",IF(INDEX(BDHKI,MATCH($N$7,DiemHKI!$B$4:$B$58,0),INDEX($N$11:$U$24,MATCH($B16,$N$11:$N$24,0),S$10))&lt;&gt;"",INDEX(BDHKI,MATCH($N$7,DiemHKI!$B$4:$B$58,0),INDEX($N$11:$U$24,MATCH($B16,$N$11:$N$24,0),S$10)),""),""),"")</f>
        <v/>
      </c>
      <c r="H16" s="367" t="str">
        <f>IFERROR(IF($N$7&lt;&gt;"",IF(INDEX(BDHKI,MATCH($N$7,DiemHKI!$B$4:$B$58,0),INDEX($N$11:$U$24,MATCH($B16,$N$11:$N$24,0),T$10))&lt;&gt;"",INDEX(BDHKI,MATCH($N$7,DiemHKI!$B$4:$B$58,0),INDEX($N$11:$U$24,MATCH($B16,$N$11:$N$24,0),T$10)),""),""),"")</f>
        <v/>
      </c>
      <c r="I16" s="447" t="str">
        <f>IFERROR(IF($N$7&lt;&gt;"",IF(INDEX(BDHKI,MATCH($N$7,DiemHKI!$B$4:$B$58,0),INDEX($N$11:$U$24,MATCH($B16,$N$11:$N$24,0),U$10))&lt;&gt;"",INDEX(BDHKI,MATCH($N$7,DiemHKI!$B$4:$B$58,0),INDEX($N$11:$U$24,MATCH($B16,$N$11:$N$24,0),U$10)),""),""),"")</f>
        <v/>
      </c>
      <c r="J16" s="359" t="str">
        <f t="shared" si="1"/>
        <v/>
      </c>
      <c r="K16" s="384"/>
      <c r="N16" s="248" t="s">
        <v>30</v>
      </c>
      <c r="O16" s="355">
        <v>45</v>
      </c>
      <c r="P16" s="355">
        <v>46</v>
      </c>
      <c r="Q16" s="355">
        <v>47</v>
      </c>
      <c r="R16" s="355">
        <v>48</v>
      </c>
      <c r="S16" s="355">
        <v>49</v>
      </c>
      <c r="T16" s="355">
        <v>50</v>
      </c>
      <c r="U16" s="355">
        <v>51</v>
      </c>
      <c r="W16" s="329">
        <f>IF(W15&lt;MAX(DiemHKI!$B$4:$B$58),W15+1,"")</f>
        <v>7</v>
      </c>
      <c r="X16" s="329" t="str">
        <f>IF(W16="","",INDEX(DiemHKI!$D$4:$D$58,MATCH(InPD1!W16,DiemHKI!$B$4:$B$58,0),1)&amp;" "&amp;INDEX(DiemHKI!$E$4:$E$58,MATCH(InPD1!W16,DiemHKI!$B$4:$B$58,0),1))</f>
        <v>Nguyễn Phúc Bình</v>
      </c>
      <c r="Y16" s="248" t="str">
        <f t="shared" si="0"/>
        <v>STT 7. Nguyễn Phúc Bình</v>
      </c>
    </row>
    <row r="17" spans="1:25" ht="17.25" customHeight="1">
      <c r="A17" s="359">
        <v>7</v>
      </c>
      <c r="B17" s="390" t="s">
        <v>31</v>
      </c>
      <c r="C17" s="101" t="str">
        <f>IFERROR(IF($N$7&lt;&gt;"",IF(INDEX(BDHKI,MATCH($N$7,DiemHKI!$B$4:$B$58,0),INDEX($N$11:$U$24,MATCH($B17,$N$11:$N$24,0),O$10))&lt;&gt;"",INDEX(BDHKI,MATCH($N$7,DiemHKI!$B$4:$B$58,0),INDEX($N$11:$U$24,MATCH($B17,$N$11:$N$24,0),O$10)),""),""),"")</f>
        <v/>
      </c>
      <c r="D17" s="102" t="str">
        <f>IFERROR(IF($N$7&lt;&gt;"",IF(INDEX(BDHKI,MATCH($N$7,DiemHKI!$B$4:$B$58,0),INDEX($N$11:$U$24,MATCH($B17,$N$11:$N$24,0),P$10))&lt;&gt;"",INDEX(BDHKI,MATCH($N$7,DiemHKI!$B$4:$B$58,0),INDEX($N$11:$U$24,MATCH($B17,$N$11:$N$24,0),P$10)),""),""),"")</f>
        <v/>
      </c>
      <c r="E17" s="102" t="str">
        <f>IFERROR(IF($N$7&lt;&gt;"",IF(INDEX(BDHKI,MATCH($N$7,DiemHKI!$B$4:$B$58,0),INDEX($N$11:$U$24,MATCH($B17,$N$11:$N$24,0),Q$10))&lt;&gt;"",INDEX(BDHKI,MATCH($N$7,DiemHKI!$B$4:$B$58,0),INDEX($N$11:$U$24,MATCH($B17,$N$11:$N$24,0),Q$10)),""),""),"")</f>
        <v/>
      </c>
      <c r="F17" s="103" t="str">
        <f>IFERROR(IF($N$7&lt;&gt;"",IF(INDEX(BDHKI,MATCH($N$7,DiemHKI!$B$4:$B$58,0),INDEX($N$11:$U$24,MATCH($B17,$N$11:$N$24,0),R$10))&lt;&gt;"",INDEX(BDHKI,MATCH($N$7,DiemHKI!$B$4:$B$58,0),INDEX($N$11:$U$24,MATCH($B17,$N$11:$N$24,0),R$10)),""),""),"")</f>
        <v/>
      </c>
      <c r="G17" s="363" t="str">
        <f>IFERROR(IF($N$7&lt;&gt;"",IF(INDEX(BDHKI,MATCH($N$7,DiemHKI!$B$4:$B$58,0),INDEX($N$11:$U$24,MATCH($B17,$N$11:$N$24,0),S$10))&lt;&gt;"",INDEX(BDHKI,MATCH($N$7,DiemHKI!$B$4:$B$58,0),INDEX($N$11:$U$24,MATCH($B17,$N$11:$N$24,0),S$10)),""),""),"")</f>
        <v/>
      </c>
      <c r="H17" s="367" t="str">
        <f>IFERROR(IF($N$7&lt;&gt;"",IF(INDEX(BDHKI,MATCH($N$7,DiemHKI!$B$4:$B$58,0),INDEX($N$11:$U$24,MATCH($B17,$N$11:$N$24,0),T$10))&lt;&gt;"",INDEX(BDHKI,MATCH($N$7,DiemHKI!$B$4:$B$58,0),INDEX($N$11:$U$24,MATCH($B17,$N$11:$N$24,0),T$10)),""),""),"")</f>
        <v/>
      </c>
      <c r="I17" s="447" t="str">
        <f>IFERROR(IF($N$7&lt;&gt;"",IF(INDEX(BDHKI,MATCH($N$7,DiemHKI!$B$4:$B$58,0),INDEX($N$11:$U$24,MATCH($B17,$N$11:$N$24,0),U$10))&lt;&gt;"",INDEX(BDHKI,MATCH($N$7,DiemHKI!$B$4:$B$58,0),INDEX($N$11:$U$24,MATCH($B17,$N$11:$N$24,0),U$10)),""),""),"")</f>
        <v/>
      </c>
      <c r="J17" s="359" t="str">
        <f t="shared" si="1"/>
        <v/>
      </c>
      <c r="K17" s="384"/>
      <c r="N17" s="248" t="s">
        <v>31</v>
      </c>
      <c r="O17" s="355">
        <v>52</v>
      </c>
      <c r="P17" s="355">
        <v>53</v>
      </c>
      <c r="Q17" s="355">
        <v>54</v>
      </c>
      <c r="R17" s="355">
        <v>55</v>
      </c>
      <c r="S17" s="355">
        <v>56</v>
      </c>
      <c r="T17" s="355">
        <v>57</v>
      </c>
      <c r="U17" s="355">
        <v>58</v>
      </c>
      <c r="W17" s="329">
        <f>IF(W16&lt;MAX(DiemHKI!$B$4:$B$58),W16+1,"")</f>
        <v>8</v>
      </c>
      <c r="X17" s="329" t="str">
        <f>IF(W17="","",INDEX(DiemHKI!$D$4:$D$58,MATCH(InPD1!W17,DiemHKI!$B$4:$B$58,0),1)&amp;" "&amp;INDEX(DiemHKI!$E$4:$E$58,MATCH(InPD1!W17,DiemHKI!$B$4:$B$58,0),1))</f>
        <v>Trần Lê Cường</v>
      </c>
      <c r="Y17" s="248" t="str">
        <f t="shared" si="0"/>
        <v>STT 8. Trần Lê Cường</v>
      </c>
    </row>
    <row r="18" spans="1:25" ht="17.25" customHeight="1">
      <c r="A18" s="359">
        <v>8</v>
      </c>
      <c r="B18" s="390" t="s">
        <v>32</v>
      </c>
      <c r="C18" s="101" t="str">
        <f>IFERROR(IF($N$7&lt;&gt;"",IF(INDEX(BDHKI,MATCH($N$7,DiemHKI!$B$4:$B$58,0),INDEX($N$11:$U$24,MATCH($B18,$N$11:$N$24,0),O$10))&lt;&gt;"",INDEX(BDHKI,MATCH($N$7,DiemHKI!$B$4:$B$58,0),INDEX($N$11:$U$24,MATCH($B18,$N$11:$N$24,0),O$10)),""),""),"")</f>
        <v/>
      </c>
      <c r="D18" s="102" t="str">
        <f>IFERROR(IF($N$7&lt;&gt;"",IF(INDEX(BDHKI,MATCH($N$7,DiemHKI!$B$4:$B$58,0),INDEX($N$11:$U$24,MATCH($B18,$N$11:$N$24,0),P$10))&lt;&gt;"",INDEX(BDHKI,MATCH($N$7,DiemHKI!$B$4:$B$58,0),INDEX($N$11:$U$24,MATCH($B18,$N$11:$N$24,0),P$10)),""),""),"")</f>
        <v/>
      </c>
      <c r="E18" s="102" t="str">
        <f>IFERROR(IF($N$7&lt;&gt;"",IF(INDEX(BDHKI,MATCH($N$7,DiemHKI!$B$4:$B$58,0),INDEX($N$11:$U$24,MATCH($B18,$N$11:$N$24,0),Q$10))&lt;&gt;"",INDEX(BDHKI,MATCH($N$7,DiemHKI!$B$4:$B$58,0),INDEX($N$11:$U$24,MATCH($B18,$N$11:$N$24,0),Q$10)),""),""),"")</f>
        <v/>
      </c>
      <c r="F18" s="103" t="str">
        <f>IFERROR(IF($N$7&lt;&gt;"",IF(INDEX(BDHKI,MATCH($N$7,DiemHKI!$B$4:$B$58,0),INDEX($N$11:$U$24,MATCH($B18,$N$11:$N$24,0),R$10))&lt;&gt;"",INDEX(BDHKI,MATCH($N$7,DiemHKI!$B$4:$B$58,0),INDEX($N$11:$U$24,MATCH($B18,$N$11:$N$24,0),R$10)),""),""),"")</f>
        <v/>
      </c>
      <c r="G18" s="363" t="str">
        <f>IFERROR(IF($N$7&lt;&gt;"",IF(INDEX(BDHKI,MATCH($N$7,DiemHKI!$B$4:$B$58,0),INDEX($N$11:$U$24,MATCH($B18,$N$11:$N$24,0),S$10))&lt;&gt;"",INDEX(BDHKI,MATCH($N$7,DiemHKI!$B$4:$B$58,0),INDEX($N$11:$U$24,MATCH($B18,$N$11:$N$24,0),S$10)),""),""),"")</f>
        <v/>
      </c>
      <c r="H18" s="367" t="str">
        <f>IFERROR(IF($N$7&lt;&gt;"",IF(INDEX(BDHKI,MATCH($N$7,DiemHKI!$B$4:$B$58,0),INDEX($N$11:$U$24,MATCH($B18,$N$11:$N$24,0),T$10))&lt;&gt;"",INDEX(BDHKI,MATCH($N$7,DiemHKI!$B$4:$B$58,0),INDEX($N$11:$U$24,MATCH($B18,$N$11:$N$24,0),T$10)),""),""),"")</f>
        <v/>
      </c>
      <c r="I18" s="447" t="str">
        <f>IFERROR(IF($N$7&lt;&gt;"",IF(INDEX(BDHKI,MATCH($N$7,DiemHKI!$B$4:$B$58,0),INDEX($N$11:$U$24,MATCH($B18,$N$11:$N$24,0),U$10))&lt;&gt;"",INDEX(BDHKI,MATCH($N$7,DiemHKI!$B$4:$B$58,0),INDEX($N$11:$U$24,MATCH($B18,$N$11:$N$24,0),U$10)),""),""),"")</f>
        <v/>
      </c>
      <c r="J18" s="359" t="str">
        <f t="shared" si="1"/>
        <v/>
      </c>
      <c r="K18" s="384"/>
      <c r="N18" s="248" t="s">
        <v>32</v>
      </c>
      <c r="O18" s="355">
        <v>59</v>
      </c>
      <c r="P18" s="355">
        <v>60</v>
      </c>
      <c r="Q18" s="355">
        <v>61</v>
      </c>
      <c r="R18" s="355">
        <v>62</v>
      </c>
      <c r="S18" s="355">
        <v>63</v>
      </c>
      <c r="T18" s="355">
        <v>64</v>
      </c>
      <c r="U18" s="355">
        <v>65</v>
      </c>
      <c r="W18" s="329">
        <f>IF(W17&lt;MAX(DiemHKI!$B$4:$B$58),W17+1,"")</f>
        <v>9</v>
      </c>
      <c r="X18" s="329" t="str">
        <f>IF(W18="","",INDEX(DiemHKI!$D$4:$D$58,MATCH(InPD1!W18,DiemHKI!$B$4:$B$58,0),1)&amp;" "&amp;INDEX(DiemHKI!$E$4:$E$58,MATCH(InPD1!W18,DiemHKI!$B$4:$B$58,0),1))</f>
        <v>Nguyễn Thanh Duyên</v>
      </c>
      <c r="Y18" s="248" t="str">
        <f t="shared" si="0"/>
        <v>STT 9. Nguyễn Thanh Duyên</v>
      </c>
    </row>
    <row r="19" spans="1:25" ht="17.25" customHeight="1">
      <c r="A19" s="359">
        <v>9</v>
      </c>
      <c r="B19" s="390" t="s">
        <v>33</v>
      </c>
      <c r="C19" s="101" t="str">
        <f>IFERROR(IF($N$7&lt;&gt;"",IF(INDEX(BDHKI,MATCH($N$7,DiemHKI!$B$4:$B$58,0),INDEX($N$11:$U$24,MATCH($B19,$N$11:$N$24,0),O$10))&lt;&gt;"",INDEX(BDHKI,MATCH($N$7,DiemHKI!$B$4:$B$58,0),INDEX($N$11:$U$24,MATCH($B19,$N$11:$N$24,0),O$10)),""),""),"")</f>
        <v/>
      </c>
      <c r="D19" s="102" t="str">
        <f>IFERROR(IF($N$7&lt;&gt;"",IF(INDEX(BDHKI,MATCH($N$7,DiemHKI!$B$4:$B$58,0),INDEX($N$11:$U$24,MATCH($B19,$N$11:$N$24,0),P$10))&lt;&gt;"",INDEX(BDHKI,MATCH($N$7,DiemHKI!$B$4:$B$58,0),INDEX($N$11:$U$24,MATCH($B19,$N$11:$N$24,0),P$10)),""),""),"")</f>
        <v/>
      </c>
      <c r="E19" s="102" t="str">
        <f>IFERROR(IF($N$7&lt;&gt;"",IF(INDEX(BDHKI,MATCH($N$7,DiemHKI!$B$4:$B$58,0),INDEX($N$11:$U$24,MATCH($B19,$N$11:$N$24,0),Q$10))&lt;&gt;"",INDEX(BDHKI,MATCH($N$7,DiemHKI!$B$4:$B$58,0),INDEX($N$11:$U$24,MATCH($B19,$N$11:$N$24,0),Q$10)),""),""),"")</f>
        <v/>
      </c>
      <c r="F19" s="103" t="str">
        <f>IFERROR(IF($N$7&lt;&gt;"",IF(INDEX(BDHKI,MATCH($N$7,DiemHKI!$B$4:$B$58,0),INDEX($N$11:$U$24,MATCH($B19,$N$11:$N$24,0),R$10))&lt;&gt;"",INDEX(BDHKI,MATCH($N$7,DiemHKI!$B$4:$B$58,0),INDEX($N$11:$U$24,MATCH($B19,$N$11:$N$24,0),R$10)),""),""),"")</f>
        <v/>
      </c>
      <c r="G19" s="363" t="str">
        <f>IFERROR(IF($N$7&lt;&gt;"",IF(INDEX(BDHKI,MATCH($N$7,DiemHKI!$B$4:$B$58,0),INDEX($N$11:$U$24,MATCH($B19,$N$11:$N$24,0),S$10))&lt;&gt;"",INDEX(BDHKI,MATCH($N$7,DiemHKI!$B$4:$B$58,0),INDEX($N$11:$U$24,MATCH($B19,$N$11:$N$24,0),S$10)),""),""),"")</f>
        <v/>
      </c>
      <c r="H19" s="367" t="str">
        <f>IFERROR(IF($N$7&lt;&gt;"",IF(INDEX(BDHKI,MATCH($N$7,DiemHKI!$B$4:$B$58,0),INDEX($N$11:$U$24,MATCH($B19,$N$11:$N$24,0),T$10))&lt;&gt;"",INDEX(BDHKI,MATCH($N$7,DiemHKI!$B$4:$B$58,0),INDEX($N$11:$U$24,MATCH($B19,$N$11:$N$24,0),T$10)),""),""),"")</f>
        <v/>
      </c>
      <c r="I19" s="447" t="str">
        <f>IFERROR(IF($N$7&lt;&gt;"",IF(INDEX(BDHKI,MATCH($N$7,DiemHKI!$B$4:$B$58,0),INDEX($N$11:$U$24,MATCH($B19,$N$11:$N$24,0),U$10))&lt;&gt;"",INDEX(BDHKI,MATCH($N$7,DiemHKI!$B$4:$B$58,0),INDEX($N$11:$U$24,MATCH($B19,$N$11:$N$24,0),U$10)),""),""),"")</f>
        <v/>
      </c>
      <c r="J19" s="359" t="str">
        <f t="shared" si="1"/>
        <v/>
      </c>
      <c r="K19" s="384"/>
      <c r="N19" s="248" t="s">
        <v>33</v>
      </c>
      <c r="O19" s="355">
        <v>66</v>
      </c>
      <c r="P19" s="355">
        <v>67</v>
      </c>
      <c r="Q19" s="355">
        <v>68</v>
      </c>
      <c r="R19" s="355">
        <v>69</v>
      </c>
      <c r="S19" s="355">
        <v>70</v>
      </c>
      <c r="T19" s="355">
        <v>71</v>
      </c>
      <c r="U19" s="355">
        <v>72</v>
      </c>
      <c r="W19" s="329">
        <f>IF(W18&lt;MAX(DiemHKI!$B$4:$B$58),W18+1,"")</f>
        <v>10</v>
      </c>
      <c r="X19" s="329" t="str">
        <f>IF(W19="","",INDEX(DiemHKI!$D$4:$D$58,MATCH(InPD1!W19,DiemHKI!$B$4:$B$58,0),1)&amp;" "&amp;INDEX(DiemHKI!$E$4:$E$58,MATCH(InPD1!W19,DiemHKI!$B$4:$B$58,0),1))</f>
        <v>Trương Đắc Điền</v>
      </c>
      <c r="Y19" s="248" t="str">
        <f t="shared" si="0"/>
        <v>STT 10. Trương Đắc Điền</v>
      </c>
    </row>
    <row r="20" spans="1:25" ht="17.25" customHeight="1">
      <c r="A20" s="359">
        <v>10</v>
      </c>
      <c r="B20" s="390" t="s">
        <v>60</v>
      </c>
      <c r="C20" s="101" t="str">
        <f>IFERROR(IF($N$7&lt;&gt;"",IF(INDEX(BDHKI,MATCH($N$7,DiemHKI!$B$4:$B$58,0),INDEX($N$11:$U$24,MATCH($B20,$N$11:$N$24,0),O$10))&lt;&gt;"",INDEX(BDHKI,MATCH($N$7,DiemHKI!$B$4:$B$58,0),INDEX($N$11:$U$24,MATCH($B20,$N$11:$N$24,0),O$10)),""),""),"")</f>
        <v/>
      </c>
      <c r="D20" s="102" t="str">
        <f>IFERROR(IF($N$7&lt;&gt;"",IF(INDEX(BDHKI,MATCH($N$7,DiemHKI!$B$4:$B$58,0),INDEX($N$11:$U$24,MATCH($B20,$N$11:$N$24,0),P$10))&lt;&gt;"",INDEX(BDHKI,MATCH($N$7,DiemHKI!$B$4:$B$58,0),INDEX($N$11:$U$24,MATCH($B20,$N$11:$N$24,0),P$10)),""),""),"")</f>
        <v/>
      </c>
      <c r="E20" s="102" t="str">
        <f>IFERROR(IF($N$7&lt;&gt;"",IF(INDEX(BDHKI,MATCH($N$7,DiemHKI!$B$4:$B$58,0),INDEX($N$11:$U$24,MATCH($B20,$N$11:$N$24,0),Q$10))&lt;&gt;"",INDEX(BDHKI,MATCH($N$7,DiemHKI!$B$4:$B$58,0),INDEX($N$11:$U$24,MATCH($B20,$N$11:$N$24,0),Q$10)),""),""),"")</f>
        <v/>
      </c>
      <c r="F20" s="103" t="str">
        <f>IFERROR(IF($N$7&lt;&gt;"",IF(INDEX(BDHKI,MATCH($N$7,DiemHKI!$B$4:$B$58,0),INDEX($N$11:$U$24,MATCH($B20,$N$11:$N$24,0),R$10))&lt;&gt;"",INDEX(BDHKI,MATCH($N$7,DiemHKI!$B$4:$B$58,0),INDEX($N$11:$U$24,MATCH($B20,$N$11:$N$24,0),R$10)),""),""),"")</f>
        <v/>
      </c>
      <c r="G20" s="363" t="str">
        <f>IFERROR(IF($N$7&lt;&gt;"",IF(INDEX(BDHKI,MATCH($N$7,DiemHKI!$B$4:$B$58,0),INDEX($N$11:$U$24,MATCH($B20,$N$11:$N$24,0),S$10))&lt;&gt;"",INDEX(BDHKI,MATCH($N$7,DiemHKI!$B$4:$B$58,0),INDEX($N$11:$U$24,MATCH($B20,$N$11:$N$24,0),S$10)),""),""),"")</f>
        <v/>
      </c>
      <c r="H20" s="367" t="str">
        <f>IFERROR(IF($N$7&lt;&gt;"",IF(INDEX(BDHKI,MATCH($N$7,DiemHKI!$B$4:$B$58,0),INDEX($N$11:$U$24,MATCH($B20,$N$11:$N$24,0),T$10))&lt;&gt;"",INDEX(BDHKI,MATCH($N$7,DiemHKI!$B$4:$B$58,0),INDEX($N$11:$U$24,MATCH($B20,$N$11:$N$24,0),T$10)),""),""),"")</f>
        <v/>
      </c>
      <c r="I20" s="447" t="str">
        <f>IFERROR(IF($N$7&lt;&gt;"",IF(INDEX(BDHKI,MATCH($N$7,DiemHKI!$B$4:$B$58,0),INDEX($N$11:$U$24,MATCH($B20,$N$11:$N$24,0),U$10))&lt;&gt;"",INDEX(BDHKI,MATCH($N$7,DiemHKI!$B$4:$B$58,0),INDEX($N$11:$U$24,MATCH($B20,$N$11:$N$24,0),U$10)),""),""),"")</f>
        <v/>
      </c>
      <c r="J20" s="359" t="str">
        <f t="shared" si="1"/>
        <v/>
      </c>
      <c r="K20" s="384"/>
      <c r="N20" s="248" t="s">
        <v>60</v>
      </c>
      <c r="O20" s="355">
        <v>73</v>
      </c>
      <c r="P20" s="355">
        <v>74</v>
      </c>
      <c r="Q20" s="355">
        <v>75</v>
      </c>
      <c r="R20" s="355">
        <v>76</v>
      </c>
      <c r="S20" s="355">
        <v>77</v>
      </c>
      <c r="T20" s="355">
        <v>78</v>
      </c>
      <c r="U20" s="355">
        <v>79</v>
      </c>
      <c r="W20" s="329">
        <f>IF(W19&lt;MAX(DiemHKI!$B$4:$B$58),W19+1,"")</f>
        <v>11</v>
      </c>
      <c r="X20" s="329" t="str">
        <f>IF(W20="","",INDEX(DiemHKI!$D$4:$D$58,MATCH(InPD1!W20,DiemHKI!$B$4:$B$58,0),1)&amp;" "&amp;INDEX(DiemHKI!$E$4:$E$58,MATCH(InPD1!W20,DiemHKI!$B$4:$B$58,0),1))</f>
        <v>Hồ Ngọc Hải</v>
      </c>
      <c r="Y20" s="248" t="str">
        <f t="shared" si="0"/>
        <v>STT 11. Hồ Ngọc Hải</v>
      </c>
    </row>
    <row r="21" spans="1:25" ht="17.25" customHeight="1">
      <c r="A21" s="359">
        <v>11</v>
      </c>
      <c r="B21" s="390" t="s">
        <v>34</v>
      </c>
      <c r="C21" s="101" t="str">
        <f>IFERROR(IF($N$7&lt;&gt;"",IF(INDEX(BDHKI,MATCH($N$7,DiemHKI!$B$4:$B$58,0),INDEX($N$11:$U$24,MATCH($B21,$N$11:$N$24,0),O$10))&lt;&gt;"",INDEX(BDHKI,MATCH($N$7,DiemHKI!$B$4:$B$58,0),INDEX($N$11:$U$24,MATCH($B21,$N$11:$N$24,0),O$10)),""),""),"")</f>
        <v/>
      </c>
      <c r="D21" s="102" t="str">
        <f>IFERROR(IF($N$7&lt;&gt;"",IF(INDEX(BDHKI,MATCH($N$7,DiemHKI!$B$4:$B$58,0),INDEX($N$11:$U$24,MATCH($B21,$N$11:$N$24,0),P$10))&lt;&gt;"",INDEX(BDHKI,MATCH($N$7,DiemHKI!$B$4:$B$58,0),INDEX($N$11:$U$24,MATCH($B21,$N$11:$N$24,0),P$10)),""),""),"")</f>
        <v/>
      </c>
      <c r="E21" s="102" t="str">
        <f>IFERROR(IF($N$7&lt;&gt;"",IF(INDEX(BDHKI,MATCH($N$7,DiemHKI!$B$4:$B$58,0),INDEX($N$11:$U$24,MATCH($B21,$N$11:$N$24,0),Q$10))&lt;&gt;"",INDEX(BDHKI,MATCH($N$7,DiemHKI!$B$4:$B$58,0),INDEX($N$11:$U$24,MATCH($B21,$N$11:$N$24,0),Q$10)),""),""),"")</f>
        <v/>
      </c>
      <c r="F21" s="103" t="str">
        <f>IFERROR(IF($N$7&lt;&gt;"",IF(INDEX(BDHKI,MATCH($N$7,DiemHKI!$B$4:$B$58,0),INDEX($N$11:$U$24,MATCH($B21,$N$11:$N$24,0),R$10))&lt;&gt;"",INDEX(BDHKI,MATCH($N$7,DiemHKI!$B$4:$B$58,0),INDEX($N$11:$U$24,MATCH($B21,$N$11:$N$24,0),R$10)),""),""),"")</f>
        <v/>
      </c>
      <c r="G21" s="363" t="str">
        <f>IFERROR(IF($N$7&lt;&gt;"",IF(INDEX(BDHKI,MATCH($N$7,DiemHKI!$B$4:$B$58,0),INDEX($N$11:$U$24,MATCH($B21,$N$11:$N$24,0),S$10))&lt;&gt;"",INDEX(BDHKI,MATCH($N$7,DiemHKI!$B$4:$B$58,0),INDEX($N$11:$U$24,MATCH($B21,$N$11:$N$24,0),S$10)),""),""),"")</f>
        <v/>
      </c>
      <c r="H21" s="367" t="str">
        <f>IFERROR(IF($N$7&lt;&gt;"",IF(INDEX(BDHKI,MATCH($N$7,DiemHKI!$B$4:$B$58,0),INDEX($N$11:$U$24,MATCH($B21,$N$11:$N$24,0),T$10))&lt;&gt;"",INDEX(BDHKI,MATCH($N$7,DiemHKI!$B$4:$B$58,0),INDEX($N$11:$U$24,MATCH($B21,$N$11:$N$24,0),T$10)),""),""),"")</f>
        <v/>
      </c>
      <c r="I21" s="447" t="str">
        <f>IFERROR(IF($N$7&lt;&gt;"",IF(INDEX(BDHKI,MATCH($N$7,DiemHKI!$B$4:$B$58,0),INDEX($N$11:$U$24,MATCH($B21,$N$11:$N$24,0),U$10))&lt;&gt;"",INDEX(BDHKI,MATCH($N$7,DiemHKI!$B$4:$B$58,0),INDEX($N$11:$U$24,MATCH($B21,$N$11:$N$24,0),U$10)),""),""),"")</f>
        <v/>
      </c>
      <c r="J21" s="359" t="str">
        <f t="shared" si="1"/>
        <v/>
      </c>
      <c r="K21" s="384"/>
      <c r="N21" s="248" t="s">
        <v>34</v>
      </c>
      <c r="O21" s="355">
        <v>80</v>
      </c>
      <c r="P21" s="355">
        <v>81</v>
      </c>
      <c r="Q21" s="355">
        <v>82</v>
      </c>
      <c r="R21" s="355">
        <v>83</v>
      </c>
      <c r="S21" s="355">
        <v>84</v>
      </c>
      <c r="T21" s="355">
        <v>85</v>
      </c>
      <c r="U21" s="355">
        <v>86</v>
      </c>
      <c r="W21" s="329">
        <f>IF(W20&lt;MAX(DiemHKI!$B$4:$B$58),W20+1,"")</f>
        <v>12</v>
      </c>
      <c r="X21" s="329" t="str">
        <f>IF(W21="","",INDEX(DiemHKI!$D$4:$D$58,MATCH(InPD1!W21,DiemHKI!$B$4:$B$58,0),1)&amp;" "&amp;INDEX(DiemHKI!$E$4:$E$58,MATCH(InPD1!W21,DiemHKI!$B$4:$B$58,0),1))</f>
        <v>Hồ Sơn Hậu</v>
      </c>
      <c r="Y21" s="248" t="str">
        <f t="shared" si="0"/>
        <v>STT 12. Hồ Sơn Hậu</v>
      </c>
    </row>
    <row r="22" spans="1:25" ht="17.25" customHeight="1">
      <c r="A22" s="359">
        <v>12</v>
      </c>
      <c r="B22" s="390" t="s">
        <v>35</v>
      </c>
      <c r="C22" s="101" t="str">
        <f>IFERROR(IF($N$7&lt;&gt;"",IF(INDEX(BDHKI,MATCH($N$7,DiemHKI!$B$4:$B$58,0),INDEX($N$11:$U$24,MATCH($B22,$N$11:$N$24,0),O$10))&lt;&gt;"",INDEX(BDHKI,MATCH($N$7,DiemHKI!$B$4:$B$58,0),INDEX($N$11:$U$24,MATCH($B22,$N$11:$N$24,0),O$10)),""),""),"")</f>
        <v/>
      </c>
      <c r="D22" s="102" t="str">
        <f>IFERROR(IF($N$7&lt;&gt;"",IF(INDEX(BDHKI,MATCH($N$7,DiemHKI!$B$4:$B$58,0),INDEX($N$11:$U$24,MATCH($B22,$N$11:$N$24,0),P$10))&lt;&gt;"",INDEX(BDHKI,MATCH($N$7,DiemHKI!$B$4:$B$58,0),INDEX($N$11:$U$24,MATCH($B22,$N$11:$N$24,0),P$10)),""),""),"")</f>
        <v/>
      </c>
      <c r="E22" s="102" t="str">
        <f>IFERROR(IF($N$7&lt;&gt;"",IF(INDEX(BDHKI,MATCH($N$7,DiemHKI!$B$4:$B$58,0),INDEX($N$11:$U$24,MATCH($B22,$N$11:$N$24,0),Q$10))&lt;&gt;"",INDEX(BDHKI,MATCH($N$7,DiemHKI!$B$4:$B$58,0),INDEX($N$11:$U$24,MATCH($B22,$N$11:$N$24,0),Q$10)),""),""),"")</f>
        <v/>
      </c>
      <c r="F22" s="103" t="str">
        <f>IFERROR(IF($N$7&lt;&gt;"",IF(INDEX(BDHKI,MATCH($N$7,DiemHKI!$B$4:$B$58,0),INDEX($N$11:$U$24,MATCH($B22,$N$11:$N$24,0),R$10))&lt;&gt;"",INDEX(BDHKI,MATCH($N$7,DiemHKI!$B$4:$B$58,0),INDEX($N$11:$U$24,MATCH($B22,$N$11:$N$24,0),R$10)),""),""),"")</f>
        <v/>
      </c>
      <c r="G22" s="363" t="str">
        <f>IFERROR(IF($N$7&lt;&gt;"",IF(INDEX(BDHKI,MATCH($N$7,DiemHKI!$B$4:$B$58,0),INDEX($N$11:$U$24,MATCH($B22,$N$11:$N$24,0),S$10))&lt;&gt;"",INDEX(BDHKI,MATCH($N$7,DiemHKI!$B$4:$B$58,0),INDEX($N$11:$U$24,MATCH($B22,$N$11:$N$24,0),S$10)),""),""),"")</f>
        <v/>
      </c>
      <c r="H22" s="367" t="str">
        <f>IFERROR(IF($N$7&lt;&gt;"",IF(INDEX(BDHKI,MATCH($N$7,DiemHKI!$B$4:$B$58,0),INDEX($N$11:$U$24,MATCH($B22,$N$11:$N$24,0),T$10))&lt;&gt;"",INDEX(BDHKI,MATCH($N$7,DiemHKI!$B$4:$B$58,0),INDEX($N$11:$U$24,MATCH($B22,$N$11:$N$24,0),T$10)),""),""),"")</f>
        <v/>
      </c>
      <c r="I22" s="447" t="str">
        <f>IFERROR(IF($N$7&lt;&gt;"",IF(INDEX(BDHKI,MATCH($N$7,DiemHKI!$B$4:$B$58,0),INDEX($N$11:$U$24,MATCH($B22,$N$11:$N$24,0),U$10))&lt;&gt;"",INDEX(BDHKI,MATCH($N$7,DiemHKI!$B$4:$B$58,0),INDEX($N$11:$U$24,MATCH($B22,$N$11:$N$24,0),U$10)),""),""),"")</f>
        <v/>
      </c>
      <c r="J22" s="359" t="str">
        <f>IFERROR(IF(N7&lt;&gt;"",COUNTIF(C22:I22,"?*"),""),"")</f>
        <v/>
      </c>
      <c r="K22" s="384"/>
      <c r="N22" s="248" t="s">
        <v>35</v>
      </c>
      <c r="O22" s="355">
        <v>87</v>
      </c>
      <c r="P22" s="355">
        <v>88</v>
      </c>
      <c r="Q22" s="355">
        <v>89</v>
      </c>
      <c r="R22" s="355">
        <v>90</v>
      </c>
      <c r="S22" s="355">
        <v>91</v>
      </c>
      <c r="T22" s="355">
        <v>92</v>
      </c>
      <c r="U22" s="355">
        <v>93</v>
      </c>
      <c r="W22" s="329">
        <f>IF(W21&lt;MAX(DiemHKI!$B$4:$B$58),W21+1,"")</f>
        <v>13</v>
      </c>
      <c r="X22" s="329" t="str">
        <f>IF(W22="","",INDEX(DiemHKI!$D$4:$D$58,MATCH(InPD1!W22,DiemHKI!$B$4:$B$58,0),1)&amp;" "&amp;INDEX(DiemHKI!$E$4:$E$58,MATCH(InPD1!W22,DiemHKI!$B$4:$B$58,0),1))</f>
        <v>Nguyễn Thị Thu  Hiền</v>
      </c>
      <c r="Y22" s="248" t="str">
        <f t="shared" si="0"/>
        <v>STT 13. Nguyễn Thị Thu  Hiền</v>
      </c>
    </row>
    <row r="23" spans="1:25" ht="17.25" customHeight="1">
      <c r="A23" s="359">
        <v>13</v>
      </c>
      <c r="B23" s="390" t="s">
        <v>121</v>
      </c>
      <c r="C23" s="101" t="str">
        <f>IFERROR(IF($N$7&lt;&gt;"",IF(INDEX(BDHKI,MATCH($N$7,DiemHKI!$B$4:$B$58,0),INDEX($N$11:$U$24,MATCH($B23,$N$11:$N$24,0),O$10))&lt;&gt;"",INDEX(BDHKI,MATCH($N$7,DiemHKI!$B$4:$B$58,0),INDEX($N$11:$U$24,MATCH($B23,$N$11:$N$24,0),O$10)),""),""),"")</f>
        <v/>
      </c>
      <c r="D23" s="102" t="str">
        <f>IFERROR(IF($N$7&lt;&gt;"",IF(INDEX(BDHKI,MATCH($N$7,DiemHKI!$B$4:$B$58,0),INDEX($N$11:$U$24,MATCH($B23,$N$11:$N$24,0),P$10))&lt;&gt;"",INDEX(BDHKI,MATCH($N$7,DiemHKI!$B$4:$B$58,0),INDEX($N$11:$U$24,MATCH($B23,$N$11:$N$24,0),P$10)),""),""),"")</f>
        <v/>
      </c>
      <c r="E23" s="102" t="str">
        <f>IFERROR(IF($N$7&lt;&gt;"",IF(INDEX(BDHKI,MATCH($N$7,DiemHKI!$B$4:$B$58,0),INDEX($N$11:$U$24,MATCH($B23,$N$11:$N$24,0),Q$10))&lt;&gt;"",INDEX(BDHKI,MATCH($N$7,DiemHKI!$B$4:$B$58,0),INDEX($N$11:$U$24,MATCH($B23,$N$11:$N$24,0),Q$10)),""),""),"")</f>
        <v/>
      </c>
      <c r="F23" s="103" t="str">
        <f>IFERROR(IF($N$7&lt;&gt;"",IF(INDEX(BDHKI,MATCH($N$7,DiemHKI!$B$4:$B$58,0),INDEX($N$11:$U$24,MATCH($B23,$N$11:$N$24,0),R$10))&lt;&gt;"",INDEX(BDHKI,MATCH($N$7,DiemHKI!$B$4:$B$58,0),INDEX($N$11:$U$24,MATCH($B23,$N$11:$N$24,0),R$10)),""),""),"")</f>
        <v/>
      </c>
      <c r="G23" s="363" t="str">
        <f>IFERROR(IF($N$7&lt;&gt;"",IF(INDEX(BDHKI,MATCH($N$7,DiemHKI!$B$4:$B$58,0),INDEX($N$11:$U$24,MATCH($B23,$N$11:$N$24,0),S$10))&lt;&gt;"",INDEX(BDHKI,MATCH($N$7,DiemHKI!$B$4:$B$58,0),INDEX($N$11:$U$24,MATCH($B23,$N$11:$N$24,0),S$10)),""),""),"")</f>
        <v/>
      </c>
      <c r="H23" s="367" t="str">
        <f>IFERROR(IF($N$7&lt;&gt;"",IF(INDEX(BDHKI,MATCH($N$7,DiemHKI!$B$4:$B$58,0),INDEX($N$11:$U$24,MATCH($B23,$N$11:$N$24,0),T$10))&lt;&gt;"",INDEX(BDHKI,MATCH($N$7,DiemHKI!$B$4:$B$58,0),INDEX($N$11:$U$24,MATCH($B23,$N$11:$N$24,0),T$10)),""),""),"")</f>
        <v/>
      </c>
      <c r="I23" s="447" t="str">
        <f>IFERROR(IF($N$7&lt;&gt;"",IF(INDEX(BDHKI,MATCH($N$7,DiemHKI!$B$4:$B$58,0),INDEX($N$11:$U$24,MATCH($B23,$N$11:$N$24,0),U$10))&lt;&gt;"",INDEX(BDHKI,MATCH($N$7,DiemHKI!$B$4:$B$58,0),INDEX($N$11:$U$24,MATCH($B23,$N$11:$N$24,0),U$10)),""),""),"")</f>
        <v/>
      </c>
      <c r="J23" s="359" t="str">
        <f t="shared" ref="J23:J24" si="2">IFERROR(IF($N$7&lt;&gt;"",COUNT(C23:I23),""),"")</f>
        <v/>
      </c>
      <c r="K23" s="384"/>
      <c r="N23" s="248" t="s">
        <v>121</v>
      </c>
      <c r="O23" s="355">
        <v>94</v>
      </c>
      <c r="P23" s="355">
        <v>95</v>
      </c>
      <c r="Q23" s="355">
        <v>96</v>
      </c>
      <c r="R23" s="355">
        <v>97</v>
      </c>
      <c r="S23" s="355">
        <v>98</v>
      </c>
      <c r="T23" s="355">
        <v>99</v>
      </c>
      <c r="U23" s="355">
        <v>100</v>
      </c>
      <c r="W23" s="329">
        <f>IF(W22&lt;MAX(DiemHKI!$B$4:$B$58),W22+1,"")</f>
        <v>14</v>
      </c>
      <c r="X23" s="329" t="str">
        <f>IF(W23="","",INDEX(DiemHKI!$D$4:$D$58,MATCH(InPD1!W23,DiemHKI!$B$4:$B$58,0),1)&amp;" "&amp;INDEX(DiemHKI!$E$4:$E$58,MATCH(InPD1!W23,DiemHKI!$B$4:$B$58,0),1))</f>
        <v>Lê Phan Ngọc Hiếu</v>
      </c>
      <c r="Y23" s="248" t="str">
        <f t="shared" si="0"/>
        <v>STT 14. Lê Phan Ngọc Hiếu</v>
      </c>
    </row>
    <row r="24" spans="1:25" ht="17.25" customHeight="1">
      <c r="A24" s="360">
        <v>14</v>
      </c>
      <c r="B24" s="391" t="s">
        <v>122</v>
      </c>
      <c r="C24" s="107" t="str">
        <f>IFERROR(IF($N$7&lt;&gt;"",IF(INDEX(BDHKI,MATCH($N$7,DiemHKI!$B$4:$B$58,0),INDEX($N$11:$U$24,MATCH($B24,$N$11:$N$24,0),O$10))&lt;&gt;"",INDEX(BDHKI,MATCH($N$7,DiemHKI!$B$4:$B$58,0),INDEX($N$11:$U$24,MATCH($B24,$N$11:$N$24,0),O$10)),""),""),"")</f>
        <v/>
      </c>
      <c r="D24" s="108" t="str">
        <f>IFERROR(IF($N$7&lt;&gt;"",IF(INDEX(BDHKI,MATCH($N$7,DiemHKI!$B$4:$B$58,0),INDEX($N$11:$U$24,MATCH($B24,$N$11:$N$24,0),P$10))&lt;&gt;"",INDEX(BDHKI,MATCH($N$7,DiemHKI!$B$4:$B$58,0),INDEX($N$11:$U$24,MATCH($B24,$N$11:$N$24,0),P$10)),""),""),"")</f>
        <v/>
      </c>
      <c r="E24" s="108" t="str">
        <f>IFERROR(IF($N$7&lt;&gt;"",IF(INDEX(BDHKI,MATCH($N$7,DiemHKI!$B$4:$B$58,0),INDEX($N$11:$U$24,MATCH($B24,$N$11:$N$24,0),Q$10))&lt;&gt;"",INDEX(BDHKI,MATCH($N$7,DiemHKI!$B$4:$B$58,0),INDEX($N$11:$U$24,MATCH($B24,$N$11:$N$24,0),Q$10)),""),""),"")</f>
        <v/>
      </c>
      <c r="F24" s="109" t="str">
        <f>IFERROR(IF($N$7&lt;&gt;"",IF(INDEX(BDHKI,MATCH($N$7,DiemHKI!$B$4:$B$58,0),INDEX($N$11:$U$24,MATCH($B24,$N$11:$N$24,0),R$10))&lt;&gt;"",INDEX(BDHKI,MATCH($N$7,DiemHKI!$B$4:$B$58,0),INDEX($N$11:$U$24,MATCH($B24,$N$11:$N$24,0),R$10)),""),""),"")</f>
        <v/>
      </c>
      <c r="G24" s="364" t="str">
        <f>IFERROR(IF($N$7&lt;&gt;"",IF(INDEX(BDHKI,MATCH($N$7,DiemHKI!$B$4:$B$58,0),INDEX($N$11:$U$24,MATCH($B24,$N$11:$N$24,0),S$10))&lt;&gt;"",INDEX(BDHKI,MATCH($N$7,DiemHKI!$B$4:$B$58,0),INDEX($N$11:$U$24,MATCH($B24,$N$11:$N$24,0),S$10)),""),""),"")</f>
        <v/>
      </c>
      <c r="H24" s="368" t="str">
        <f>IFERROR(IF($N$7&lt;&gt;"",IF(INDEX(BDHKI,MATCH($N$7,DiemHKI!$B$4:$B$58,0),INDEX($N$11:$U$24,MATCH($B24,$N$11:$N$24,0),T$10))&lt;&gt;"",INDEX(BDHKI,MATCH($N$7,DiemHKI!$B$4:$B$58,0),INDEX($N$11:$U$24,MATCH($B24,$N$11:$N$24,0),T$10)),""),""),"")</f>
        <v/>
      </c>
      <c r="I24" s="448" t="str">
        <f>IFERROR(IF($N$7&lt;&gt;"",IF(INDEX(BDHKI,MATCH($N$7,DiemHKI!$B$4:$B$58,0),INDEX($N$11:$U$24,MATCH($B24,$N$11:$N$24,0),U$10))&lt;&gt;"",INDEX(BDHKI,MATCH($N$7,DiemHKI!$B$4:$B$58,0),INDEX($N$11:$U$24,MATCH($B24,$N$11:$N$24,0),U$10)),""),""),"")</f>
        <v/>
      </c>
      <c r="J24" s="360" t="str">
        <f t="shared" si="2"/>
        <v/>
      </c>
      <c r="K24" s="385"/>
      <c r="N24" s="248" t="s">
        <v>122</v>
      </c>
      <c r="O24" s="355">
        <v>101</v>
      </c>
      <c r="P24" s="355">
        <v>102</v>
      </c>
      <c r="Q24" s="355">
        <v>103</v>
      </c>
      <c r="R24" s="355">
        <v>104</v>
      </c>
      <c r="S24" s="355">
        <v>105</v>
      </c>
      <c r="T24" s="355">
        <v>106</v>
      </c>
      <c r="U24" s="355">
        <v>107</v>
      </c>
      <c r="W24" s="329">
        <f>IF(W23&lt;MAX(DiemHKI!$B$4:$B$58),W23+1,"")</f>
        <v>15</v>
      </c>
      <c r="X24" s="329" t="str">
        <f>IF(W24="","",INDEX(DiemHKI!$D$4:$D$58,MATCH(InPD1!W24,DiemHKI!$B$4:$B$58,0),1)&amp;" "&amp;INDEX(DiemHKI!$E$4:$E$58,MATCH(InPD1!W24,DiemHKI!$B$4:$B$58,0),1))</f>
        <v>Trần Hoàng Hưng</v>
      </c>
      <c r="Y24" s="248" t="str">
        <f t="shared" si="0"/>
        <v>STT 15. Trần Hoàng Hưng</v>
      </c>
    </row>
    <row r="25" spans="1:25" ht="17.25" customHeight="1">
      <c r="A25" s="8"/>
      <c r="B25" s="467"/>
      <c r="C25" s="1000"/>
      <c r="D25" s="1005"/>
      <c r="E25" s="1005"/>
      <c r="F25" s="1001"/>
      <c r="G25" s="1000" t="s">
        <v>250</v>
      </c>
      <c r="H25" s="1001"/>
      <c r="I25" s="381" t="str">
        <f>IFERROR(IF(N7&lt;&gt;"",INDEX(THHKI!$A$8:$Y$62,MATCH(InPD1!N7,THHKI!$A$8:$A$62,0),22),""),"")</f>
        <v/>
      </c>
      <c r="J25" s="8" t="str">
        <f>IFERROR(IF(AND(N7&lt;&gt;"",I25=""),SUM(J11:J24),IF(AND(N7&lt;&gt;"",I25&lt;&gt;""),SUM(J11:J24)+1,"")),"")</f>
        <v/>
      </c>
      <c r="K25" s="382"/>
      <c r="N25" s="248" t="s">
        <v>247</v>
      </c>
      <c r="O25" s="355">
        <v>108</v>
      </c>
      <c r="P25" s="355">
        <v>109</v>
      </c>
      <c r="Q25" s="355">
        <v>110</v>
      </c>
      <c r="R25" s="355">
        <v>111</v>
      </c>
      <c r="S25" s="355"/>
      <c r="T25" s="355"/>
      <c r="U25" s="355"/>
      <c r="W25" s="329">
        <f>IF(W24&lt;MAX(DiemHKI!$B$4:$B$58),W24+1,"")</f>
        <v>16</v>
      </c>
      <c r="X25" s="329" t="str">
        <f>IF(W25="","",INDEX(DiemHKI!$D$4:$D$58,MATCH(InPD1!W25,DiemHKI!$B$4:$B$58,0),1)&amp;" "&amp;INDEX(DiemHKI!$E$4:$E$58,MATCH(InPD1!W25,DiemHKI!$B$4:$B$58,0),1))</f>
        <v>Trần Đăng Khải</v>
      </c>
      <c r="Y25" s="248" t="str">
        <f t="shared" si="0"/>
        <v>STT 16. Trần Đăng Khải</v>
      </c>
    </row>
    <row r="26" spans="1:25" ht="17.2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W26" s="329">
        <f>IF(W25&lt;MAX(DiemHKI!$B$4:$B$58),W25+1,"")</f>
        <v>17</v>
      </c>
      <c r="X26" s="329" t="str">
        <f>IF(W26="","",INDEX(DiemHKI!$D$4:$D$58,MATCH(InPD1!W26,DiemHKI!$B$4:$B$58,0),1)&amp;" "&amp;INDEX(DiemHKI!$E$4:$E$58,MATCH(InPD1!W26,DiemHKI!$B$4:$B$58,0),1))</f>
        <v>Nguyễn Huỳnh Phúc Khang</v>
      </c>
      <c r="Y26" s="248" t="str">
        <f t="shared" si="0"/>
        <v>STT 17. Nguyễn Huỳnh Phúc Khang</v>
      </c>
    </row>
    <row r="27" spans="1:25" ht="20.25" customHeight="1">
      <c r="A27" s="8">
        <v>15</v>
      </c>
      <c r="B27" s="386" t="s">
        <v>89</v>
      </c>
      <c r="C27" s="8" t="str">
        <f>IFERROR(IF($N$7&gt;=1,IF(INDEX(THHKI!$A$8:$Y$62,MATCH(InPD1!$N$7,THHKI!$A$8:$A$62,0),23)="Tb","Trung bình",INDEX(THHKI!$A$8:$Y$62,MATCH(InPD1!$N$7,THHKI!$A$8:$A$62,0),23)),""),"")</f>
        <v/>
      </c>
      <c r="D27" s="6"/>
      <c r="E27" s="6" t="s">
        <v>94</v>
      </c>
      <c r="F27" s="6"/>
      <c r="G27" s="6"/>
      <c r="I27" s="1"/>
      <c r="J27" s="1"/>
      <c r="W27" s="329">
        <f>IF(W26&lt;MAX(DiemHKI!$B$4:$B$58),W26+1,"")</f>
        <v>18</v>
      </c>
      <c r="X27" s="329" t="str">
        <f>IF(W27="","",INDEX(DiemHKI!$D$4:$D$58,MATCH(InPD1!W27,DiemHKI!$B$4:$B$58,0),1)&amp;" "&amp;INDEX(DiemHKI!$E$4:$E$58,MATCH(InPD1!W27,DiemHKI!$B$4:$B$58,0),1))</f>
        <v>Nguyễn Đăng Khoa</v>
      </c>
      <c r="Y27" s="248" t="str">
        <f t="shared" si="0"/>
        <v>STT 18. Nguyễn Đăng Khoa</v>
      </c>
    </row>
    <row r="28" spans="1:25" ht="20.25" customHeight="1">
      <c r="A28" s="8">
        <v>16</v>
      </c>
      <c r="B28" s="386" t="s">
        <v>90</v>
      </c>
      <c r="C28" s="8" t="str">
        <f>IFERROR(IF($N$7&gt;=1,INDEX(THHKI!$A$8:$Y$62,MATCH(InPD1!$N$7,THHKI!$A$8:$A$62,0),24),""),"")</f>
        <v/>
      </c>
      <c r="D28" s="6"/>
      <c r="E28" s="268" t="str">
        <f>IFERROR(IF($N$7&lt;&gt;"",IF(INDEX(BDHKI,MATCH($N$7,DiemHKI!$B$4:$B$58,0),108)&lt;&gt;"","- "&amp;INDEX(BDHKI,MATCH($N$7,DiemHKI!$B$4:$B$58,0),108),""),""),"")</f>
        <v/>
      </c>
      <c r="F28" s="6"/>
      <c r="G28" s="6"/>
      <c r="I28" s="6"/>
      <c r="J28" s="6"/>
      <c r="K28" s="7"/>
      <c r="M28" s="331" t="s">
        <v>83</v>
      </c>
      <c r="W28" s="329">
        <f>IF(W27&lt;MAX(DiemHKI!$B$4:$B$58),W27+1,"")</f>
        <v>19</v>
      </c>
      <c r="X28" s="329" t="str">
        <f>IF(W28="","",INDEX(DiemHKI!$D$4:$D$58,MATCH(InPD1!W28,DiemHKI!$B$4:$B$58,0),1)&amp;" "&amp;INDEX(DiemHKI!$E$4:$E$58,MATCH(InPD1!W28,DiemHKI!$B$4:$B$58,0),1))</f>
        <v>Lê Tiến Khôi</v>
      </c>
      <c r="Y28" s="248" t="str">
        <f t="shared" si="0"/>
        <v>STT 19. Lê Tiến Khôi</v>
      </c>
    </row>
    <row r="29" spans="1:25" ht="20.25" customHeight="1">
      <c r="A29" s="8">
        <v>17</v>
      </c>
      <c r="B29" s="386" t="s">
        <v>117</v>
      </c>
      <c r="C29" s="8" t="str">
        <f>IFERROR(IF(IF($N$7&gt;=1,INDEX(THHKI!$A$8:$Y$62,MATCH(InPD1!$N$7,THHKI!$A$8:$A$62,0),25),"")="","/",IF($N$7&gt;=1,INDEX(THHKI!$A$8:$Y$62,MATCH(InPD1!$N$7,THHKI!$A$8:$A$62,0),25))),"")</f>
        <v/>
      </c>
      <c r="D29" s="6"/>
      <c r="E29" s="268" t="str">
        <f>IFERROR(IF($N$7&lt;&gt;"",IF(INDEX(BDHKI,MATCH($N$7,DiemHKI!$B$4:$B$58,0),109)&lt;&gt;"","- "&amp;INDEX(BDHKI,MATCH($N$7,DiemHKI!$B$4:$B$58,0),109),""),""),"")</f>
        <v/>
      </c>
      <c r="F29" s="6"/>
      <c r="G29" s="6"/>
      <c r="I29" s="6"/>
      <c r="J29" s="6"/>
      <c r="K29" s="7"/>
      <c r="M29" s="331" t="s">
        <v>84</v>
      </c>
      <c r="W29" s="329">
        <f>IF(W28&lt;MAX(DiemHKI!$B$4:$B$58),W28+1,"")</f>
        <v>20</v>
      </c>
      <c r="X29" s="329" t="str">
        <f>IF(W29="","",INDEX(DiemHKI!$D$4:$D$58,MATCH(InPD1!W29,DiemHKI!$B$4:$B$58,0),1)&amp;" "&amp;INDEX(DiemHKI!$E$4:$E$58,MATCH(InPD1!W29,DiemHKI!$B$4:$B$58,0),1))</f>
        <v>Nguyễn Phúc Lâm</v>
      </c>
      <c r="Y29" s="248" t="str">
        <f t="shared" si="0"/>
        <v>STT 20. Nguyễn Phúc Lâm</v>
      </c>
    </row>
    <row r="30" spans="1:25" ht="20.25" customHeight="1">
      <c r="A30" s="8">
        <v>18</v>
      </c>
      <c r="B30" s="386" t="s">
        <v>91</v>
      </c>
      <c r="C30" s="388" t="s">
        <v>76</v>
      </c>
      <c r="D30" s="7"/>
      <c r="E30" s="7" t="str">
        <f>IFERROR(IF($N$7&lt;&gt;"",IF(INDEX(BDHKI,MATCH($N$7,DiemHKI!$B$4:$B$58,0),110)&lt;&gt;"","- "&amp;INDEX(BDHKI,MATCH($N$7,DiemHKI!$B$4:$B$58,0),110),""),""),"")</f>
        <v/>
      </c>
      <c r="F30" s="7"/>
      <c r="G30" s="7"/>
      <c r="I30" s="7"/>
      <c r="J30" s="7"/>
      <c r="K30" s="7"/>
      <c r="M30" s="331" t="s">
        <v>85</v>
      </c>
      <c r="W30" s="329">
        <f>IF(W29&lt;MAX(DiemHKI!$B$4:$B$58),W29+1,"")</f>
        <v>21</v>
      </c>
      <c r="X30" s="329" t="str">
        <f>IF(W30="","",INDEX(DiemHKI!$D$4:$D$58,MATCH(InPD1!W30,DiemHKI!$B$4:$B$58,0),1)&amp;" "&amp;INDEX(DiemHKI!$E$4:$E$58,MATCH(InPD1!W30,DiemHKI!$B$4:$B$58,0),1))</f>
        <v>Phạm Tấn Lộc</v>
      </c>
      <c r="Y30" s="248" t="str">
        <f t="shared" si="0"/>
        <v>STT 21. Phạm Tấn Lộc</v>
      </c>
    </row>
    <row r="31" spans="1:25" ht="20.25" customHeight="1">
      <c r="A31" s="8">
        <v>19</v>
      </c>
      <c r="B31" s="386" t="s">
        <v>92</v>
      </c>
      <c r="C31" s="388" t="s">
        <v>76</v>
      </c>
      <c r="D31" s="7"/>
      <c r="E31" s="7" t="str">
        <f>IFERROR(IF($N$7&lt;&gt;"",IF(INDEX(BDHKI,MATCH($N$7,DiemHKI!$B$4:$B$58,0),111)&lt;&gt;"","- "&amp;INDEX(BDHKI,MATCH($N$7,DiemHKI!$B$4:$B$58,0),111),""),""),"")</f>
        <v/>
      </c>
      <c r="F31" s="7"/>
      <c r="G31" s="7"/>
      <c r="I31" s="7"/>
      <c r="J31" s="7"/>
      <c r="K31" s="7"/>
      <c r="M31" s="331" t="s">
        <v>86</v>
      </c>
      <c r="W31" s="329">
        <f>IF(W30&lt;MAX(DiemHKI!$B$4:$B$58),W30+1,"")</f>
        <v>22</v>
      </c>
      <c r="X31" s="329" t="str">
        <f>IF(W31="","",INDEX(DiemHKI!$D$4:$D$58,MATCH(InPD1!W31,DiemHKI!$B$4:$B$58,0),1)&amp;" "&amp;INDEX(DiemHKI!$E$4:$E$58,MATCH(InPD1!W31,DiemHKI!$B$4:$B$58,0),1))</f>
        <v>Phạm Thị Khả  My</v>
      </c>
      <c r="Y31" s="248" t="str">
        <f t="shared" si="0"/>
        <v>STT 22. Phạm Thị Khả  My</v>
      </c>
    </row>
    <row r="32" spans="1:25" ht="19.5" customHeight="1">
      <c r="A32" s="8">
        <v>20</v>
      </c>
      <c r="B32" s="387" t="s">
        <v>93</v>
      </c>
      <c r="C32" s="388" t="s">
        <v>76</v>
      </c>
      <c r="D32" s="7"/>
      <c r="F32" s="7"/>
      <c r="G32" s="7"/>
      <c r="H32" s="7"/>
      <c r="I32" s="7"/>
      <c r="J32" s="7"/>
      <c r="M32" s="329"/>
      <c r="W32" s="329">
        <f>IF(W31&lt;MAX(DiemHKI!$B$4:$B$58),W31+1,"")</f>
        <v>23</v>
      </c>
      <c r="X32" s="329" t="str">
        <f>IF(W32="","",INDEX(DiemHKI!$D$4:$D$58,MATCH(InPD1!W32,DiemHKI!$B$4:$B$58,0),1)&amp;" "&amp;INDEX(DiemHKI!$E$4:$E$58,MATCH(InPD1!W32,DiemHKI!$B$4:$B$58,0),1))</f>
        <v>Lê Na</v>
      </c>
      <c r="Y32" s="248" t="str">
        <f t="shared" si="0"/>
        <v>STT 23. Lê Na</v>
      </c>
    </row>
    <row r="33" spans="1:25" ht="28.5" customHeight="1">
      <c r="A33" s="1"/>
      <c r="B33" s="1"/>
      <c r="C33" s="1"/>
      <c r="D33" s="1"/>
      <c r="E33" s="996" t="str">
        <f ca="1">'Huong dan'!E3&amp;IF(M7="",", ngày " &amp;IF(DAY(NOW())&lt;10,"0"&amp;DAY(NOW()),DAY(NOW()))&amp;"  tháng "&amp;IF(MONTH(NOW())&lt;3,"0"&amp;MONTH(NOW()),MONTH(NOW()))&amp;" năm "&amp;YEAR(NOW()),", ngày "&amp;IF(DAY(M7)&lt;10,"0"&amp;DAY(M7),DAY(M7))&amp;" tháng "&amp;IF(MONTH(M7)&lt;3,"0"&amp;MONTH(M7),MONTH(M7))&amp;" năm "&amp;YEAR(M7))</f>
        <v>TP. Hồ Chí Minh, ngày 08  tháng 10 năm 2022</v>
      </c>
      <c r="F33" s="996"/>
      <c r="G33" s="996"/>
      <c r="H33" s="996"/>
      <c r="I33" s="996"/>
      <c r="J33" s="996"/>
      <c r="W33" s="329">
        <f>IF(W32&lt;MAX(DiemHKI!$B$4:$B$58),W32+1,"")</f>
        <v>24</v>
      </c>
      <c r="X33" s="329" t="str">
        <f>IF(W33="","",INDEX(DiemHKI!$D$4:$D$58,MATCH(InPD1!W33,DiemHKI!$B$4:$B$58,0),1)&amp;" "&amp;INDEX(DiemHKI!$E$4:$E$58,MATCH(InPD1!W33,DiemHKI!$B$4:$B$58,0),1))</f>
        <v>Quách Tống Minh Nhật</v>
      </c>
      <c r="Y33" s="248" t="str">
        <f t="shared" si="0"/>
        <v>STT 24. Quách Tống Minh Nhật</v>
      </c>
    </row>
    <row r="34" spans="1:25" ht="17.25" customHeight="1">
      <c r="A34" s="1"/>
      <c r="B34" s="957" t="str">
        <f>IF(E34="Hiệu trưởng","Giáo viên Quản nhiệm","")</f>
        <v>Giáo viên Quản nhiệm</v>
      </c>
      <c r="C34" s="957"/>
      <c r="D34" s="2"/>
      <c r="E34" s="993" t="str">
        <f>IF(M10="","Vui lòng chọn người ký, ÔY10",M10)</f>
        <v>Hiệu trưởng</v>
      </c>
      <c r="F34" s="993"/>
      <c r="G34" s="993"/>
      <c r="H34" s="993"/>
      <c r="I34" s="993"/>
      <c r="J34" s="993"/>
      <c r="K34" s="1"/>
      <c r="W34" s="329">
        <f>IF(W33&lt;MAX(DiemHKI!$B$4:$B$58),W33+1,"")</f>
        <v>25</v>
      </c>
      <c r="X34" s="329" t="str">
        <f>IF(W34="","",INDEX(DiemHKI!$D$4:$D$58,MATCH(InPD1!W34,DiemHKI!$B$4:$B$58,0),1)&amp;" "&amp;INDEX(DiemHKI!$E$4:$E$58,MATCH(InPD1!W34,DiemHKI!$B$4:$B$58,0),1))</f>
        <v>Nguyễn Thục Nhi</v>
      </c>
      <c r="Y34" s="248" t="str">
        <f t="shared" si="0"/>
        <v>STT 25. Nguyễn Thục Nhi</v>
      </c>
    </row>
    <row r="35" spans="1:25">
      <c r="A35" s="1"/>
      <c r="B35" s="1"/>
      <c r="D35" s="1"/>
      <c r="E35" s="1"/>
      <c r="F35" s="1"/>
      <c r="G35" s="1"/>
      <c r="H35" s="1"/>
      <c r="I35" s="1"/>
      <c r="J35" s="1"/>
      <c r="K35" s="1"/>
      <c r="W35" s="329">
        <f>IF(W34&lt;MAX(DiemHKI!$B$4:$B$58),W34+1,"")</f>
        <v>26</v>
      </c>
      <c r="X35" s="329" t="str">
        <f>IF(W35="","",INDEX(DiemHKI!$D$4:$D$58,MATCH(InPD1!W35,DiemHKI!$B$4:$B$58,0),1)&amp;" "&amp;INDEX(DiemHKI!$E$4:$E$58,MATCH(InPD1!W35,DiemHKI!$B$4:$B$58,0),1))</f>
        <v>Trần Thị Hải Như</v>
      </c>
      <c r="Y35" s="248" t="str">
        <f t="shared" si="0"/>
        <v>STT 26. Trần Thị Hải Như</v>
      </c>
    </row>
    <row r="36" spans="1:25">
      <c r="A36" s="1"/>
      <c r="B36" s="1"/>
      <c r="D36" s="1"/>
      <c r="E36" s="1"/>
      <c r="F36" s="1"/>
      <c r="G36" s="1"/>
      <c r="H36" s="1"/>
      <c r="I36" s="1"/>
      <c r="J36" s="1"/>
      <c r="K36" s="1"/>
      <c r="W36" s="329">
        <f>IF(W35&lt;MAX(DiemHKI!$B$4:$B$58),W35+1,"")</f>
        <v>27</v>
      </c>
      <c r="X36" s="329" t="str">
        <f>IF(W36="","",INDEX(DiemHKI!$D$4:$D$58,MATCH(InPD1!W36,DiemHKI!$B$4:$B$58,0),1)&amp;" "&amp;INDEX(DiemHKI!$E$4:$E$58,MATCH(InPD1!W36,DiemHKI!$B$4:$B$58,0),1))</f>
        <v>Nguyễn Bá Nhật Quang</v>
      </c>
      <c r="Y36" s="248" t="str">
        <f t="shared" si="0"/>
        <v>STT 27. Nguyễn Bá Nhật Quang</v>
      </c>
    </row>
    <row r="37" spans="1:25">
      <c r="W37" s="329">
        <f>IF(W36&lt;MAX(DiemHKI!$B$4:$B$58),W36+1,"")</f>
        <v>28</v>
      </c>
      <c r="X37" s="329" t="str">
        <f>IF(W37="","",INDEX(DiemHKI!$D$4:$D$58,MATCH(InPD1!W37,DiemHKI!$B$4:$B$58,0),1)&amp;" "&amp;INDEX(DiemHKI!$E$4:$E$58,MATCH(InPD1!W37,DiemHKI!$B$4:$B$58,0),1))</f>
        <v>Phan Trương Kiến Quốc</v>
      </c>
      <c r="Y37" s="248" t="str">
        <f t="shared" si="0"/>
        <v>STT 28. Phan Trương Kiến Quốc</v>
      </c>
    </row>
    <row r="38" spans="1:25">
      <c r="B38" s="931" t="str">
        <f>IF(B34="Giáo Viên Quản nhiệm",PROPER('Huong dan'!C4),"")</f>
        <v/>
      </c>
      <c r="C38" s="931"/>
      <c r="D38" s="357"/>
      <c r="E38" s="997" t="str">
        <f>IFERROR(IF(E34="Giáo Viên Quản nhiệm",PROPER('Huong dan'!C4),IF(E34="Hiệu trưởng",PROPER('Huong dan'!E5),"")),"")</f>
        <v/>
      </c>
      <c r="F38" s="997"/>
      <c r="G38" s="997"/>
      <c r="H38" s="997"/>
      <c r="I38" s="997"/>
      <c r="J38" s="997"/>
      <c r="W38" s="329">
        <f>IF(W37&lt;MAX(DiemHKI!$B$4:$B$58),W37+1,"")</f>
        <v>29</v>
      </c>
      <c r="X38" s="329" t="str">
        <f>IF(W38="","",INDEX(DiemHKI!$D$4:$D$58,MATCH(InPD1!W38,DiemHKI!$B$4:$B$58,0),1)&amp;" "&amp;INDEX(DiemHKI!$E$4:$E$58,MATCH(InPD1!W38,DiemHKI!$B$4:$B$58,0),1))</f>
        <v>Trần Thị Như Quỳnh</v>
      </c>
      <c r="Y38" s="248" t="str">
        <f t="shared" si="0"/>
        <v>STT 29. Trần Thị Như Quỳnh</v>
      </c>
    </row>
    <row r="39" spans="1:25">
      <c r="W39" s="329">
        <f>IF(W38&lt;MAX(DiemHKI!$B$4:$B$58),W38+1,"")</f>
        <v>30</v>
      </c>
      <c r="X39" s="329" t="str">
        <f>IF(W39="","",INDEX(DiemHKI!$D$4:$D$58,MATCH(InPD1!W39,DiemHKI!$B$4:$B$58,0),1)&amp;" "&amp;INDEX(DiemHKI!$E$4:$E$58,MATCH(InPD1!W39,DiemHKI!$B$4:$B$58,0),1))</f>
        <v>Nguyễn Thái Sơn</v>
      </c>
      <c r="Y39" s="248" t="str">
        <f t="shared" si="0"/>
        <v>STT 30. Nguyễn Thái Sơn</v>
      </c>
    </row>
    <row r="40" spans="1:25">
      <c r="W40" s="329">
        <f>IF(W39&lt;MAX(DiemHKI!$B$4:$B$58),W39+1,"")</f>
        <v>31</v>
      </c>
      <c r="X40" s="329" t="str">
        <f>IF(W40="","",INDEX(DiemHKI!$D$4:$D$58,MATCH(InPD1!W40,DiemHKI!$B$4:$B$58,0),1)&amp;" "&amp;INDEX(DiemHKI!$E$4:$E$58,MATCH(InPD1!W40,DiemHKI!$B$4:$B$58,0),1))</f>
        <v>Đặng Hoàng Tân</v>
      </c>
      <c r="Y40" s="248" t="str">
        <f t="shared" si="0"/>
        <v>STT 31. Đặng Hoàng Tân</v>
      </c>
    </row>
    <row r="41" spans="1:25">
      <c r="W41" s="329">
        <f>IF(W40&lt;MAX(DiemHKI!$B$4:$B$58),W40+1,"")</f>
        <v>32</v>
      </c>
      <c r="X41" s="329" t="str">
        <f>IF(W41="","",INDEX(DiemHKI!$D$4:$D$58,MATCH(InPD1!W41,DiemHKI!$B$4:$B$58,0),1)&amp;" "&amp;INDEX(DiemHKI!$E$4:$E$58,MATCH(InPD1!W41,DiemHKI!$B$4:$B$58,0),1))</f>
        <v>Hồ Quang Thành</v>
      </c>
      <c r="Y41" s="248" t="str">
        <f t="shared" si="0"/>
        <v>STT 32. Hồ Quang Thành</v>
      </c>
    </row>
    <row r="42" spans="1:25">
      <c r="W42" s="329">
        <f>IF(W41&lt;MAX(DiemHKI!$B$4:$B$58),W41+1,"")</f>
        <v>33</v>
      </c>
      <c r="X42" s="329" t="str">
        <f>IF(W42="","",INDEX(DiemHKI!$D$4:$D$58,MATCH(InPD1!W42,DiemHKI!$B$4:$B$58,0),1)&amp;" "&amp;INDEX(DiemHKI!$E$4:$E$58,MATCH(InPD1!W42,DiemHKI!$B$4:$B$58,0),1))</f>
        <v>Trần Thịnh Thịnh</v>
      </c>
      <c r="Y42" s="248" t="str">
        <f t="shared" si="0"/>
        <v>STT 33. Trần Thịnh Thịnh</v>
      </c>
    </row>
    <row r="43" spans="1:25">
      <c r="W43" s="329">
        <f>IF(W42&lt;MAX(DiemHKI!$B$4:$B$58),W42+1,"")</f>
        <v>34</v>
      </c>
      <c r="X43" s="329" t="str">
        <f>IF(W43="","",INDEX(DiemHKI!$D$4:$D$58,MATCH(InPD1!W43,DiemHKI!$B$4:$B$58,0),1)&amp;" "&amp;INDEX(DiemHKI!$E$4:$E$58,MATCH(InPD1!W43,DiemHKI!$B$4:$B$58,0),1))</f>
        <v>Trần Kim Bảo Trân</v>
      </c>
      <c r="Y43" s="248" t="str">
        <f t="shared" si="0"/>
        <v>STT 34. Trần Kim Bảo Trân</v>
      </c>
    </row>
    <row r="44" spans="1:25">
      <c r="W44" s="329">
        <f>IF(W43&lt;MAX(DiemHKI!$B$4:$B$58),W43+1,"")</f>
        <v>35</v>
      </c>
      <c r="X44" s="329" t="str">
        <f>IF(W44="","",INDEX(DiemHKI!$D$4:$D$58,MATCH(InPD1!W44,DiemHKI!$B$4:$B$58,0),1)&amp;" "&amp;INDEX(DiemHKI!$E$4:$E$58,MATCH(InPD1!W44,DiemHKI!$B$4:$B$58,0),1))</f>
        <v>Phạm Đức Trung</v>
      </c>
      <c r="Y44" s="248" t="str">
        <f t="shared" si="0"/>
        <v>STT 35. Phạm Đức Trung</v>
      </c>
    </row>
    <row r="45" spans="1:25">
      <c r="W45" s="329">
        <f>IF(W44&lt;MAX(DiemHKI!$B$4:$B$58),W44+1,"")</f>
        <v>36</v>
      </c>
      <c r="X45" s="329" t="str">
        <f>IF(W45="","",INDEX(DiemHKI!$D$4:$D$58,MATCH(InPD1!W45,DiemHKI!$B$4:$B$58,0),1)&amp;" "&amp;INDEX(DiemHKI!$E$4:$E$58,MATCH(InPD1!W45,DiemHKI!$B$4:$B$58,0),1))</f>
        <v>Võ Thủy Vân</v>
      </c>
      <c r="Y45" s="248" t="str">
        <f t="shared" si="0"/>
        <v>STT 36. Võ Thủy Vân</v>
      </c>
    </row>
    <row r="46" spans="1:25">
      <c r="W46" s="329" t="str">
        <f>IF(W45&lt;MAX(DiemHKI!$B$4:$B$58),W45+1,"")</f>
        <v/>
      </c>
      <c r="X46" s="329" t="str">
        <f>IF(W46="","",INDEX(DiemHKI!$D$4:$D$58,MATCH(InPD1!W46,DiemHKI!$B$4:$B$58,0),1)&amp;" "&amp;INDEX(DiemHKI!$E$4:$E$58,MATCH(InPD1!W46,DiemHKI!$B$4:$B$58,0),1))</f>
        <v/>
      </c>
      <c r="Y46" s="248" t="str">
        <f t="shared" si="0"/>
        <v/>
      </c>
    </row>
    <row r="47" spans="1:25">
      <c r="W47" s="329" t="str">
        <f>IF(W46&lt;MAX(DiemHKI!$B$4:$B$58),W46+1,"")</f>
        <v/>
      </c>
      <c r="X47" s="329" t="str">
        <f>IF(W47="","",INDEX(DiemHKI!$D$4:$D$58,MATCH(InPD1!W47,DiemHKI!$B$4:$B$58,0),1)&amp;" "&amp;INDEX(DiemHKI!$E$4:$E$58,MATCH(InPD1!W47,DiemHKI!$B$4:$B$58,0),1))</f>
        <v/>
      </c>
      <c r="Y47" s="248" t="str">
        <f t="shared" si="0"/>
        <v/>
      </c>
    </row>
    <row r="48" spans="1:25">
      <c r="W48" s="329" t="str">
        <f>IF(W47&lt;MAX(DiemHKI!$B$4:$B$58),W47+1,"")</f>
        <v/>
      </c>
      <c r="X48" s="329" t="str">
        <f>IF(W48="","",INDEX(DiemHKI!$D$4:$D$58,MATCH(InPD1!W48,DiemHKI!$B$4:$B$58,0),1)&amp;" "&amp;INDEX(DiemHKI!$E$4:$E$58,MATCH(InPD1!W48,DiemHKI!$B$4:$B$58,0),1))</f>
        <v/>
      </c>
      <c r="Y48" s="248" t="str">
        <f t="shared" si="0"/>
        <v/>
      </c>
    </row>
    <row r="49" spans="23:25">
      <c r="W49" s="329" t="str">
        <f>IF(W48&lt;MAX(DiemHKI!$B$4:$B$58),W48+1,"")</f>
        <v/>
      </c>
      <c r="X49" s="329" t="str">
        <f>IF(W49="","",INDEX(DiemHKI!$D$4:$D$58,MATCH(InPD1!W49,DiemHKI!$B$4:$B$58,0),1)&amp;" "&amp;INDEX(DiemHKI!$E$4:$E$58,MATCH(InPD1!W49,DiemHKI!$B$4:$B$58,0),1))</f>
        <v/>
      </c>
      <c r="Y49" s="248" t="str">
        <f t="shared" si="0"/>
        <v/>
      </c>
    </row>
    <row r="50" spans="23:25">
      <c r="W50" s="329" t="str">
        <f>IF(W49&lt;MAX(DiemHKI!$B$4:$B$58),W49+1,"")</f>
        <v/>
      </c>
      <c r="X50" s="329" t="str">
        <f>IF(W50="","",INDEX(DiemHKI!$D$4:$D$58,MATCH(InPD1!W50,DiemHKI!$B$4:$B$58,0),1)&amp;" "&amp;INDEX(DiemHKI!$E$4:$E$58,MATCH(InPD1!W50,DiemHKI!$B$4:$B$58,0),1))</f>
        <v/>
      </c>
      <c r="Y50" s="248" t="str">
        <f t="shared" si="0"/>
        <v/>
      </c>
    </row>
    <row r="51" spans="23:25">
      <c r="W51" s="329" t="str">
        <f>IF(W50&lt;MAX(DiemHKI!$B$4:$B$58),W50+1,"")</f>
        <v/>
      </c>
      <c r="X51" s="329" t="str">
        <f>IF(W51="","",INDEX(DiemHKI!$D$4:$D$58,MATCH(InPD1!W51,DiemHKI!$B$4:$B$58,0),1)&amp;" "&amp;INDEX(DiemHKI!$E$4:$E$58,MATCH(InPD1!W51,DiemHKI!$B$4:$B$58,0),1))</f>
        <v/>
      </c>
      <c r="Y51" s="248" t="str">
        <f t="shared" si="0"/>
        <v/>
      </c>
    </row>
    <row r="52" spans="23:25">
      <c r="W52" s="329" t="str">
        <f>IF(W51&lt;MAX(DiemHKI!$B$4:$B$58),W51+1,"")</f>
        <v/>
      </c>
      <c r="X52" s="329" t="str">
        <f>IF(W52="","",INDEX(DiemHKI!$D$4:$D$58,MATCH(InPD1!W52,DiemHKI!$B$4:$B$58,0),1)&amp;" "&amp;INDEX(DiemHKI!$E$4:$E$58,MATCH(InPD1!W52,DiemHKI!$B$4:$B$58,0),1))</f>
        <v/>
      </c>
      <c r="Y52" s="248" t="str">
        <f t="shared" si="0"/>
        <v/>
      </c>
    </row>
    <row r="53" spans="23:25">
      <c r="W53" s="329" t="str">
        <f>IF(W52&lt;MAX(DiemHKI!$B$4:$B$58),W52+1,"")</f>
        <v/>
      </c>
      <c r="X53" s="329" t="str">
        <f>IF(W53="","",INDEX(DiemHKI!$D$4:$D$58,MATCH(InPD1!W53,DiemHKI!$B$4:$B$58,0),1)&amp;" "&amp;INDEX(DiemHKI!$E$4:$E$58,MATCH(InPD1!W53,DiemHKI!$B$4:$B$58,0),1))</f>
        <v/>
      </c>
      <c r="Y53" s="248" t="str">
        <f t="shared" si="0"/>
        <v/>
      </c>
    </row>
    <row r="54" spans="23:25">
      <c r="W54" s="329" t="str">
        <f>IF(W53&lt;MAX(DiemHKI!$B$4:$B$58),W53+1,"")</f>
        <v/>
      </c>
      <c r="X54" s="329" t="str">
        <f>IF(W54="","",INDEX(DiemHKI!$D$4:$D$58,MATCH(InPD1!W54,DiemHKI!$B$4:$B$58,0),1)&amp;" "&amp;INDEX(DiemHKI!$E$4:$E$58,MATCH(InPD1!W54,DiemHKI!$B$4:$B$58,0),1))</f>
        <v/>
      </c>
      <c r="Y54" s="248" t="str">
        <f t="shared" si="0"/>
        <v/>
      </c>
    </row>
    <row r="55" spans="23:25">
      <c r="W55" s="329" t="str">
        <f>IF(W54&lt;MAX(DiemHKI!$B$4:$B$58),W54+1,"")</f>
        <v/>
      </c>
      <c r="X55" s="329" t="str">
        <f>IF(W55="","",INDEX(DiemHKI!$D$4:$D$58,MATCH(InPD1!W55,DiemHKI!$B$4:$B$58,0),1)&amp;" "&amp;INDEX(DiemHKI!$E$4:$E$58,MATCH(InPD1!W55,DiemHKI!$B$4:$B$58,0),1))</f>
        <v/>
      </c>
      <c r="Y55" s="248" t="str">
        <f t="shared" si="0"/>
        <v/>
      </c>
    </row>
    <row r="56" spans="23:25">
      <c r="W56" s="329" t="str">
        <f>IF(W55&lt;MAX(DiemHKI!$B$4:$B$58),W55+1,"")</f>
        <v/>
      </c>
      <c r="X56" s="329" t="str">
        <f>IF(W56="","",INDEX(DiemHKI!$D$4:$D$58,MATCH(InPD1!W56,DiemHKI!$B$4:$B$58,0),1)&amp;" "&amp;INDEX(DiemHKI!$E$4:$E$58,MATCH(InPD1!W56,DiemHKI!$B$4:$B$58,0),1))</f>
        <v/>
      </c>
      <c r="Y56" s="248" t="str">
        <f t="shared" si="0"/>
        <v/>
      </c>
    </row>
    <row r="57" spans="23:25">
      <c r="W57" s="329" t="str">
        <f>IF(W56&lt;MAX(DiemHKI!$B$4:$B$58),W56+1,"")</f>
        <v/>
      </c>
      <c r="X57" s="329" t="str">
        <f>IF(W57="","",INDEX(DiemHKI!$D$4:$D$58,MATCH(InPD1!W57,DiemHKI!$B$4:$B$58,0),1)&amp;" "&amp;INDEX(DiemHKI!$E$4:$E$58,MATCH(InPD1!W57,DiemHKI!$B$4:$B$58,0),1))</f>
        <v/>
      </c>
      <c r="Y57" s="248" t="str">
        <f t="shared" si="0"/>
        <v/>
      </c>
    </row>
    <row r="58" spans="23:25">
      <c r="W58" s="329" t="str">
        <f>IF(W57&lt;MAX(DiemHKI!$B$4:$B$58),W57+1,"")</f>
        <v/>
      </c>
      <c r="X58" s="329" t="str">
        <f>IF(W58="","",INDEX(DiemHKI!$D$4:$D$58,MATCH(InPD1!W58,DiemHKI!$B$4:$B$58,0),1)&amp;" "&amp;INDEX(DiemHKI!$E$4:$E$58,MATCH(InPD1!W58,DiemHKI!$B$4:$B$58,0),1))</f>
        <v/>
      </c>
      <c r="Y58" s="248" t="str">
        <f t="shared" si="0"/>
        <v/>
      </c>
    </row>
    <row r="59" spans="23:25">
      <c r="W59" s="329" t="str">
        <f>IF(W58&lt;MAX(DiemHKI!$B$4:$B$58),W58+1,"")</f>
        <v/>
      </c>
      <c r="X59" s="329" t="str">
        <f>IF(W59="","",INDEX(DiemHKI!$D$4:$D$58,MATCH(InPD1!W59,DiemHKI!$B$4:$B$58,0),1)&amp;" "&amp;INDEX(DiemHKI!$E$4:$E$58,MATCH(InPD1!W59,DiemHKI!$B$4:$B$58,0),1))</f>
        <v/>
      </c>
      <c r="Y59" s="248" t="str">
        <f t="shared" si="0"/>
        <v/>
      </c>
    </row>
    <row r="60" spans="23:25">
      <c r="W60" s="329" t="str">
        <f>IF(W59&lt;MAX(DiemHKI!$B$4:$B$58),W59+1,"")</f>
        <v/>
      </c>
      <c r="X60" s="329" t="str">
        <f>IF(W60="","",INDEX(DiemHKI!$D$4:$D$58,MATCH(InPD1!W60,DiemHKI!$B$4:$B$58,0),1)&amp;" "&amp;INDEX(DiemHKI!$E$4:$E$58,MATCH(InPD1!W60,DiemHKI!$B$4:$B$58,0),1))</f>
        <v/>
      </c>
      <c r="Y60" s="248" t="str">
        <f t="shared" si="0"/>
        <v/>
      </c>
    </row>
    <row r="61" spans="23:25">
      <c r="W61" s="329" t="str">
        <f>IF(W60&lt;MAX(DiemHKI!$B$4:$B$58),W60+1,"")</f>
        <v/>
      </c>
      <c r="X61" s="329" t="str">
        <f>IF(W61="","",INDEX(DiemHKI!$D$4:$D$58,MATCH(InPD1!W61,DiemHKI!$B$4:$B$58,0),1)&amp;" "&amp;INDEX(DiemHKI!$E$4:$E$58,MATCH(InPD1!W61,DiemHKI!$B$4:$B$58,0),1))</f>
        <v/>
      </c>
      <c r="Y61" s="248" t="str">
        <f t="shared" si="0"/>
        <v/>
      </c>
    </row>
    <row r="62" spans="23:25">
      <c r="W62" s="329" t="str">
        <f>IF(W61&lt;MAX(DiemHKI!$B$4:$B$58),W61+1,"")</f>
        <v/>
      </c>
      <c r="X62" s="329" t="str">
        <f>IF(W62="","",INDEX(DiemHKI!$D$4:$D$58,MATCH(InPD1!W62,DiemHKI!$B$4:$B$58,0),1)&amp;" "&amp;INDEX(DiemHKI!$E$4:$E$58,MATCH(InPD1!W62,DiemHKI!$B$4:$B$58,0),1))</f>
        <v/>
      </c>
      <c r="Y62" s="248" t="str">
        <f t="shared" si="0"/>
        <v/>
      </c>
    </row>
    <row r="63" spans="23:25">
      <c r="W63" s="329" t="str">
        <f>IF(W62&lt;MAX(DiemHKI!$B$4:$B$58),W62+1,"")</f>
        <v/>
      </c>
      <c r="X63" s="329" t="str">
        <f>IF(W63="","",INDEX(DiemHKI!$D$4:$D$58,MATCH(InPD1!W63,DiemHKI!$B$4:$B$58,0),1)&amp;" "&amp;INDEX(DiemHKI!$E$4:$E$58,MATCH(InPD1!W63,DiemHKI!$B$4:$B$58,0),1))</f>
        <v/>
      </c>
      <c r="Y63" s="248" t="str">
        <f t="shared" si="0"/>
        <v/>
      </c>
    </row>
    <row r="64" spans="23:25">
      <c r="W64" s="329" t="str">
        <f>IF(W63&lt;MAX(DiemHKI!$B$4:$B$58),W63+1,"")</f>
        <v/>
      </c>
      <c r="X64" s="329" t="str">
        <f>IF(W64="","",INDEX(DiemHKI!$D$4:$D$58,MATCH(InPD1!W64,DiemHKI!$B$4:$B$58,0),1)&amp;" "&amp;INDEX(DiemHKI!$E$4:$E$58,MATCH(InPD1!W64,DiemHKI!$B$4:$B$58,0),1))</f>
        <v/>
      </c>
      <c r="Y64" s="248" t="str">
        <f t="shared" si="0"/>
        <v/>
      </c>
    </row>
  </sheetData>
  <sheetProtection algorithmName="SHA-512" hashValue="RakuHi/rReTO1Z6lTBzrVWtaaJUjtm+y5bSRz5oQuvOGXrJAc93T9o2oT35FCblNwpFtLMDjPeX9Xbv7x7Glfw==" saltValue="oQFi6gUWLg+HZkue3IMSSw==" spinCount="100000" sheet="1" objects="1" scenarios="1"/>
  <mergeCells count="22">
    <mergeCell ref="B38:C38"/>
    <mergeCell ref="E33:J33"/>
    <mergeCell ref="E34:J34"/>
    <mergeCell ref="E38:J38"/>
    <mergeCell ref="Z3:Z4"/>
    <mergeCell ref="Z9:Z10"/>
    <mergeCell ref="G25:H25"/>
    <mergeCell ref="B34:C34"/>
    <mergeCell ref="J9:J10"/>
    <mergeCell ref="O8:R8"/>
    <mergeCell ref="B7:C7"/>
    <mergeCell ref="D7:G7"/>
    <mergeCell ref="C25:F25"/>
    <mergeCell ref="A9:A10"/>
    <mergeCell ref="B9:B10"/>
    <mergeCell ref="A2:F2"/>
    <mergeCell ref="A3:F3"/>
    <mergeCell ref="G2:K2"/>
    <mergeCell ref="G3:K3"/>
    <mergeCell ref="A5:K5"/>
    <mergeCell ref="C9:F9"/>
    <mergeCell ref="K9:K10"/>
  </mergeCells>
  <dataValidations count="2">
    <dataValidation type="list" allowBlank="1" showInputMessage="1" showErrorMessage="1" sqref="M4">
      <formula1>$Y$10:$Y$64</formula1>
    </dataValidation>
    <dataValidation type="list" allowBlank="1" showInputMessage="1" showErrorMessage="1" sqref="M10">
      <formula1>"Giáo viên Quản nhiệm, Hiệu trưởng"</formula1>
    </dataValidation>
  </dataValidations>
  <pageMargins left="0.35" right="0.25" top="0.25" bottom="0.25" header="0" footer="0"/>
  <pageSetup orientation="portrait" blackAndWhite="1" r:id="rId1"/>
  <ignoredErrors>
    <ignoredError sqref="J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Ghinhanxethk11">
                <anchor moveWithCells="1" sizeWithCells="1">
                  <from>
                    <xdr:col>12</xdr:col>
                    <xdr:colOff>388620</xdr:colOff>
                    <xdr:row>31</xdr:row>
                    <xdr:rowOff>0</xdr:rowOff>
                  </from>
                  <to>
                    <xdr:col>12</xdr:col>
                    <xdr:colOff>1257300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3" tint="0.59999389629810485"/>
    <pageSetUpPr fitToPage="1"/>
  </sheetPr>
  <dimension ref="A1:K2589"/>
  <sheetViews>
    <sheetView zoomScaleNormal="100" workbookViewId="0">
      <pane ySplit="2" topLeftCell="A3" activePane="bottomLeft" state="frozen"/>
      <selection pane="bottomLeft" activeCell="G25" sqref="G25"/>
    </sheetView>
  </sheetViews>
  <sheetFormatPr defaultColWidth="9.109375" defaultRowHeight="15.6"/>
  <cols>
    <col min="1" max="1" width="16.33203125" style="57" customWidth="1"/>
    <col min="2" max="2" width="13.33203125" style="57" customWidth="1"/>
    <col min="3" max="3" width="18.33203125" style="57" customWidth="1"/>
    <col min="4" max="4" width="33.44140625" style="57" customWidth="1"/>
    <col min="5" max="5" width="18" style="57" customWidth="1"/>
    <col min="6" max="6" width="2.33203125" style="562" customWidth="1"/>
    <col min="7" max="7" width="30.5546875" style="562" customWidth="1"/>
    <col min="8" max="8" width="8.33203125" style="562" customWidth="1"/>
    <col min="9" max="9" width="9.109375" style="562" customWidth="1"/>
    <col min="10" max="11" width="9.109375" style="562" hidden="1" customWidth="1"/>
    <col min="12" max="16384" width="9.109375" style="562"/>
  </cols>
  <sheetData>
    <row r="1" spans="1:11" ht="12" customHeight="1"/>
    <row r="2" spans="1:11" ht="12" customHeight="1"/>
    <row r="3" spans="1:11" ht="5.25" customHeight="1"/>
    <row r="4" spans="1:11" s="563" customFormat="1" ht="23.25" customHeight="1">
      <c r="A4" s="931" t="str">
        <f>IF('Huong dan'!$E$3&lt;&gt;"","SỞ GIÁO DỤC VÀ ĐÀO TẠO "&amp;UPPER('Huong dan'!$E$3),"")</f>
        <v>SỞ GIÁO DỤC VÀ ĐÀO TẠO TP. HỒ CHÍ MINH</v>
      </c>
      <c r="B4" s="931"/>
      <c r="C4" s="931"/>
      <c r="D4" s="923" t="s">
        <v>19</v>
      </c>
      <c r="E4" s="923"/>
      <c r="G4" s="564" t="s">
        <v>79</v>
      </c>
      <c r="H4" s="565"/>
    </row>
    <row r="5" spans="1:11" ht="17.25" customHeight="1">
      <c r="A5" s="931" t="str">
        <f>IF('Huong dan'!$E$4&lt;&gt;"","TRƯỜNG "&amp;UPPER('Huong dan'!$E$4),"")</f>
        <v>TRƯỜNG THCS VÀ THPT NGUYỄN KHUYẾN</v>
      </c>
      <c r="B5" s="931"/>
      <c r="C5" s="931"/>
      <c r="D5" s="1012" t="s">
        <v>179</v>
      </c>
      <c r="E5" s="1012"/>
      <c r="G5" s="337" t="s">
        <v>154</v>
      </c>
      <c r="H5" s="566" t="s">
        <v>220</v>
      </c>
    </row>
    <row r="6" spans="1:11" ht="24" customHeight="1">
      <c r="A6" s="61"/>
      <c r="B6" s="61"/>
      <c r="C6" s="61"/>
    </row>
    <row r="7" spans="1:11" ht="29.25" customHeight="1">
      <c r="A7" s="1013" t="str">
        <f>"PHIẾU ĐIỂM HỌC KỲ I - NĂM HỌC "&amp;'Huong dan'!$C$5</f>
        <v>PHIẾU ĐIỂM HỌC KỲ I - NĂM HỌC 2021 - 2022</v>
      </c>
      <c r="B7" s="1013"/>
      <c r="C7" s="1013"/>
      <c r="D7" s="1013"/>
      <c r="E7" s="1013"/>
      <c r="G7" s="494" t="s">
        <v>173</v>
      </c>
    </row>
    <row r="8" spans="1:11" ht="15.75" customHeight="1">
      <c r="A8" s="680"/>
      <c r="B8" s="680"/>
      <c r="G8" s="567" t="s">
        <v>174</v>
      </c>
      <c r="H8" s="565"/>
    </row>
    <row r="9" spans="1:11" ht="21" customHeight="1">
      <c r="A9" s="1014" t="s">
        <v>145</v>
      </c>
      <c r="B9" s="1014"/>
      <c r="C9" s="1015" t="str">
        <f>IF(E48="","",INDEX(DiemHKI!$D$4:$D$58,MATCH(E48,DiemHKI!$B$4:$B$58,0),1)&amp;" "&amp;INDEX(DiemHKI!$E$4:$E$58,MATCH(E48,DiemHKI!$B$4:$B$58,0),1))</f>
        <v>Phạm Huỳnh Hiệp An</v>
      </c>
      <c r="D9" s="1015"/>
      <c r="E9" s="62" t="str">
        <f>IF('Huong dan'!$C$3="","","Lớp: "&amp;'Huong dan'!$C$3)</f>
        <v>Lớp: 12A1</v>
      </c>
      <c r="G9" s="333"/>
      <c r="H9" s="566" t="s">
        <v>220</v>
      </c>
    </row>
    <row r="10" spans="1:11" ht="23.25" customHeight="1">
      <c r="A10" s="1014" t="s">
        <v>146</v>
      </c>
      <c r="B10" s="1014"/>
      <c r="C10" s="681" t="str">
        <f>IF(E48="","",INDEX(DiemHKI!$F$4:$F$58,MATCH(PDHKI!E48,DiemHKI!$B$4:$B$58,0),1))</f>
        <v>16/10/2004</v>
      </c>
      <c r="D10" s="1016" t="str">
        <f>IF(E48="","","Nơi sinh: "&amp;INDEX(DiemHKI!$G$4:$G$58,MATCH(PDHKI!E48,DiemHKI!$B$4:$B$58,0),1))</f>
        <v>Nơi sinh: Long An</v>
      </c>
      <c r="E10" s="1016"/>
    </row>
    <row r="11" spans="1:11" ht="13.5" customHeight="1" thickBot="1">
      <c r="A11" s="681"/>
      <c r="B11" s="682"/>
      <c r="D11" s="681"/>
      <c r="E11" s="681"/>
    </row>
    <row r="12" spans="1:11" ht="24" customHeight="1" thickBot="1">
      <c r="A12" s="683" t="s">
        <v>0</v>
      </c>
      <c r="B12" s="1006" t="s">
        <v>72</v>
      </c>
      <c r="C12" s="1007"/>
      <c r="D12" s="684" t="s">
        <v>147</v>
      </c>
      <c r="E12" s="685" t="s">
        <v>148</v>
      </c>
      <c r="G12" s="568"/>
    </row>
    <row r="13" spans="1:11" ht="21" customHeight="1">
      <c r="A13" s="686">
        <v>1</v>
      </c>
      <c r="B13" s="1017" t="s">
        <v>26</v>
      </c>
      <c r="C13" s="1018"/>
      <c r="D13" s="687">
        <f>IF(E48="","",IF(INDEX(THHKI!$A$8:$Y$62,MATCH(PDHKI!E48,THHKI!$A$8:$A$62,0),INDEX($K$13:$K$27,MATCH(B13,$J$13:$J$27,0),1))&lt;1,"/",INDEX(THHKI!$A$8:$Y$62,MATCH(PDHKI!E48,THHKI!$A$8:$A$62,0),INDEX($K$13:$K$27,MATCH(B13,$J$13:$J$27,0),1))))</f>
        <v>9.4</v>
      </c>
      <c r="E13" s="688"/>
      <c r="G13" s="568"/>
      <c r="J13" s="569" t="s">
        <v>26</v>
      </c>
      <c r="K13" s="569">
        <v>7</v>
      </c>
    </row>
    <row r="14" spans="1:11" ht="21" customHeight="1">
      <c r="A14" s="689">
        <v>2</v>
      </c>
      <c r="B14" s="1008" t="s">
        <v>27</v>
      </c>
      <c r="C14" s="1009"/>
      <c r="D14" s="690">
        <f>IF(E48="","",IF(INDEX(THHKI!$A$8:$Y$62,MATCH(PDHKI!E48,THHKI!$A$8:$A$62,0),INDEX($K$13:$K$27,MATCH(B14,$J$13:$J$27,0),1))&lt;1,"/",INDEX(THHKI!$A$8:$Y$62,MATCH(PDHKI!E48,THHKI!$A$8:$A$62,0),INDEX($K$13:$K$27,MATCH(B14,$J$13:$J$27,0),1))))</f>
        <v>9.5</v>
      </c>
      <c r="E14" s="691"/>
      <c r="G14" s="568"/>
      <c r="J14" s="569" t="s">
        <v>27</v>
      </c>
      <c r="K14" s="569">
        <v>8</v>
      </c>
    </row>
    <row r="15" spans="1:11" ht="21" customHeight="1">
      <c r="A15" s="689">
        <v>3</v>
      </c>
      <c r="B15" s="1008" t="s">
        <v>28</v>
      </c>
      <c r="C15" s="1009"/>
      <c r="D15" s="690">
        <f>IF(E48="","",IF(INDEX(THHKI!$A$8:$Y$62,MATCH(PDHKI!E48,THHKI!$A$8:$A$62,0),INDEX($K$13:$K$27,MATCH(B15,$J$13:$J$27,0),1))&lt;1,"/",INDEX(THHKI!$A$8:$Y$62,MATCH(PDHKI!E48,THHKI!$A$8:$A$62,0),INDEX($K$13:$K$27,MATCH(B15,$J$13:$J$27,0),1))))</f>
        <v>9.3000000000000007</v>
      </c>
      <c r="E15" s="691"/>
      <c r="J15" s="569" t="s">
        <v>28</v>
      </c>
      <c r="K15" s="569">
        <v>9</v>
      </c>
    </row>
    <row r="16" spans="1:11" ht="21" customHeight="1">
      <c r="A16" s="689">
        <v>4</v>
      </c>
      <c r="B16" s="1008" t="s">
        <v>29</v>
      </c>
      <c r="C16" s="1009"/>
      <c r="D16" s="690">
        <f>IF(E48="","",IF(INDEX(THHKI!$A$8:$Y$62,MATCH(PDHKI!E48,THHKI!$A$8:$A$62,0),INDEX($K$13:$K$27,MATCH(B16,$J$13:$J$27,0),1))&lt;1,"/",INDEX(THHKI!$A$8:$Y$62,MATCH(PDHKI!E48,THHKI!$A$8:$A$62,0),INDEX($K$13:$K$27,MATCH(B16,$J$13:$J$27,0),1))))</f>
        <v>9</v>
      </c>
      <c r="E16" s="691"/>
      <c r="J16" s="569" t="s">
        <v>29</v>
      </c>
      <c r="K16" s="569">
        <v>10</v>
      </c>
    </row>
    <row r="17" spans="1:11" ht="21" customHeight="1">
      <c r="A17" s="689">
        <v>5</v>
      </c>
      <c r="B17" s="1008" t="s">
        <v>120</v>
      </c>
      <c r="C17" s="1009"/>
      <c r="D17" s="690">
        <f>IF(E48="","",IF(INDEX(THHKI!$A$8:$Y$62,MATCH(PDHKI!E48,THHKI!$A$8:$A$62,0),INDEX($K$13:$K$27,MATCH(B17,$J$13:$J$27,0),1))&lt;1,"/",INDEX(THHKI!$A$8:$Y$62,MATCH(PDHKI!E48,THHKI!$A$8:$A$62,0),INDEX($K$13:$K$27,MATCH(B17,$J$13:$J$27,0),1))))</f>
        <v>9.6</v>
      </c>
      <c r="E17" s="691"/>
      <c r="J17" s="569" t="s">
        <v>120</v>
      </c>
      <c r="K17" s="569">
        <v>11</v>
      </c>
    </row>
    <row r="18" spans="1:11" ht="21" customHeight="1">
      <c r="A18" s="689">
        <v>6</v>
      </c>
      <c r="B18" s="1008" t="s">
        <v>30</v>
      </c>
      <c r="C18" s="1009"/>
      <c r="D18" s="690">
        <f>IF(E48="","",IF(INDEX(THHKI!$A$8:$Y$62,MATCH(PDHKI!E48,THHKI!$A$8:$A$62,0),INDEX($K$13:$K$27,MATCH(B18,$J$13:$J$27,0),1))&lt;1,"/",INDEX(THHKI!$A$8:$Y$62,MATCH(PDHKI!E48,THHKI!$A$8:$A$62,0),INDEX($K$13:$K$27,MATCH(B18,$J$13:$J$27,0),1))))</f>
        <v>7.8</v>
      </c>
      <c r="E18" s="691"/>
      <c r="J18" s="569" t="s">
        <v>30</v>
      </c>
      <c r="K18" s="569">
        <v>12</v>
      </c>
    </row>
    <row r="19" spans="1:11" ht="21" customHeight="1">
      <c r="A19" s="689">
        <v>7</v>
      </c>
      <c r="B19" s="1008" t="s">
        <v>31</v>
      </c>
      <c r="C19" s="1009"/>
      <c r="D19" s="690">
        <f>IF(E48="","",IF(INDEX(THHKI!$A$8:$Y$62,MATCH(PDHKI!E48,THHKI!$A$8:$A$62,0),INDEX($K$13:$K$27,MATCH(B19,$J$13:$J$27,0),1))&lt;1,"/",INDEX(THHKI!$A$8:$Y$62,MATCH(PDHKI!E48,THHKI!$A$8:$A$62,0),INDEX($K$13:$K$27,MATCH(B19,$J$13:$J$27,0),1))))</f>
        <v>9.6</v>
      </c>
      <c r="E19" s="691"/>
      <c r="J19" s="569" t="s">
        <v>31</v>
      </c>
      <c r="K19" s="569">
        <v>13</v>
      </c>
    </row>
    <row r="20" spans="1:11" ht="21" customHeight="1">
      <c r="A20" s="689">
        <v>8</v>
      </c>
      <c r="B20" s="1008" t="s">
        <v>32</v>
      </c>
      <c r="C20" s="1009"/>
      <c r="D20" s="690">
        <f>IF(E48="","",IF(INDEX(THHKI!$A$8:$Y$62,MATCH(PDHKI!E48,THHKI!$A$8:$A$62,0),INDEX($K$13:$K$27,MATCH(B20,$J$13:$J$27,0),1))&lt;1,"/",INDEX(THHKI!$A$8:$Y$62,MATCH(PDHKI!E48,THHKI!$A$8:$A$62,0),INDEX($K$13:$K$27,MATCH(B20,$J$13:$J$27,0),1))))</f>
        <v>9.8000000000000007</v>
      </c>
      <c r="E20" s="691"/>
      <c r="J20" s="569" t="s">
        <v>32</v>
      </c>
      <c r="K20" s="569">
        <v>14</v>
      </c>
    </row>
    <row r="21" spans="1:11" ht="21" customHeight="1">
      <c r="A21" s="689">
        <v>9</v>
      </c>
      <c r="B21" s="1008" t="s">
        <v>33</v>
      </c>
      <c r="C21" s="1009"/>
      <c r="D21" s="690">
        <f>IF(E48="","",IF(INDEX(THHKI!$A$8:$Y$62,MATCH(PDHKI!E48,THHKI!$A$8:$A$62,0),INDEX($K$13:$K$27,MATCH(B21,$J$13:$J$27,0),1))&lt;1,"/",INDEX(THHKI!$A$8:$Y$62,MATCH(PDHKI!E48,THHKI!$A$8:$A$62,0),INDEX($K$13:$K$27,MATCH(B21,$J$13:$J$27,0),1))))</f>
        <v>9.6</v>
      </c>
      <c r="E21" s="691"/>
      <c r="J21" s="569" t="s">
        <v>33</v>
      </c>
      <c r="K21" s="569">
        <v>15</v>
      </c>
    </row>
    <row r="22" spans="1:11" ht="21" customHeight="1">
      <c r="A22" s="689">
        <v>10</v>
      </c>
      <c r="B22" s="1008" t="s">
        <v>60</v>
      </c>
      <c r="C22" s="1009"/>
      <c r="D22" s="690">
        <f>IF(E48="","",IF(INDEX(THHKI!$A$8:$Y$62,MATCH(PDHKI!E48,THHKI!$A$8:$A$62,0),INDEX($K$13:$K$27,MATCH(B22,$J$13:$J$27,0),1))&lt;1,"/",INDEX(THHKI!$A$8:$Y$62,MATCH(PDHKI!E48,THHKI!$A$8:$A$62,0),INDEX($K$13:$K$27,MATCH(B22,$J$13:$J$27,0),1))))</f>
        <v>9.1</v>
      </c>
      <c r="E22" s="691"/>
      <c r="J22" s="569" t="s">
        <v>60</v>
      </c>
      <c r="K22" s="569">
        <v>16</v>
      </c>
    </row>
    <row r="23" spans="1:11" ht="21" customHeight="1">
      <c r="A23" s="689">
        <v>11</v>
      </c>
      <c r="B23" s="1008" t="s">
        <v>34</v>
      </c>
      <c r="C23" s="1009"/>
      <c r="D23" s="690">
        <f>IF(E48="","",IF(INDEX(THHKI!$A$8:$Y$62,MATCH(PDHKI!E48,THHKI!$A$8:$A$62,0),INDEX($K$13:$K$27,MATCH(B23,$J$13:$J$27,0),1))&lt;1,"/",INDEX(THHKI!$A$8:$Y$62,MATCH(PDHKI!E48,THHKI!$A$8:$A$62,0),INDEX($K$13:$K$27,MATCH(B23,$J$13:$J$27,0),1))))</f>
        <v>9.5</v>
      </c>
      <c r="E23" s="691"/>
      <c r="J23" s="569" t="s">
        <v>34</v>
      </c>
      <c r="K23" s="569">
        <v>17</v>
      </c>
    </row>
    <row r="24" spans="1:11" ht="21" customHeight="1">
      <c r="A24" s="689">
        <v>12</v>
      </c>
      <c r="B24" s="1008" t="s">
        <v>35</v>
      </c>
      <c r="C24" s="1009"/>
      <c r="D24" s="690" t="str">
        <f>IF(E48="","",IF(INDEX(THHKI!$A$8:$Y$62,MATCH(PDHKI!E48,THHKI!$A$8:$A$62,0),INDEX($K$13:$K$27,MATCH(B24,$J$13:$J$27,0),1))&lt;1,"/",INDEX(THHKI!$A$8:$Y$62,MATCH(PDHKI!E48,THHKI!$A$8:$A$62,0),INDEX($K$13:$K$27,MATCH(B24,$J$13:$J$27,0),1))))</f>
        <v>Đ</v>
      </c>
      <c r="E24" s="691"/>
      <c r="J24" s="569" t="s">
        <v>35</v>
      </c>
      <c r="K24" s="569">
        <v>18</v>
      </c>
    </row>
    <row r="25" spans="1:11" ht="21" customHeight="1">
      <c r="A25" s="689">
        <v>13</v>
      </c>
      <c r="B25" s="1008" t="s">
        <v>121</v>
      </c>
      <c r="C25" s="1009"/>
      <c r="D25" s="690">
        <f>IF(E48="","",IF(INDEX(THHKI!$A$8:$Y$62,MATCH(PDHKI!E48,THHKI!$A$8:$A$62,0),INDEX($K$13:$K$27,MATCH(B25,$J$13:$J$27,0),1))&lt;1,"/",INDEX(THHKI!$A$8:$Y$62,MATCH(PDHKI!E48,THHKI!$A$8:$A$62,0),INDEX($K$13:$K$27,MATCH(B25,$J$13:$J$27,0),1))))</f>
        <v>9.9</v>
      </c>
      <c r="E25" s="691"/>
      <c r="J25" s="569" t="s">
        <v>22</v>
      </c>
      <c r="K25" s="569">
        <v>19</v>
      </c>
    </row>
    <row r="26" spans="1:11" ht="21" customHeight="1" thickBot="1">
      <c r="A26" s="692">
        <v>14</v>
      </c>
      <c r="B26" s="1010" t="s">
        <v>122</v>
      </c>
      <c r="C26" s="1011"/>
      <c r="D26" s="693" t="str">
        <f>IF(E48="","",IF(INDEX(THHKI!$A$8:$Y$62,MATCH(PDHKI!E48,THHKI!$A$8:$A$62,0),INDEX($K$13:$K$27,MATCH(B26,$J$13:$J$27,0),1))&lt;1,"/",INDEX(THHKI!$A$8:$Y$62,MATCH(PDHKI!E48,THHKI!$A$8:$A$62,0),INDEX($K$13:$K$27,MATCH(B26,$J$13:$J$27,0),1))))</f>
        <v/>
      </c>
      <c r="E26" s="694"/>
      <c r="J26" s="569" t="s">
        <v>121</v>
      </c>
      <c r="K26" s="569">
        <v>20</v>
      </c>
    </row>
    <row r="27" spans="1:11" ht="21" customHeight="1" thickBot="1">
      <c r="A27" s="695">
        <v>15</v>
      </c>
      <c r="B27" s="1006" t="s">
        <v>149</v>
      </c>
      <c r="C27" s="1007"/>
      <c r="D27" s="696">
        <f>IF(E48="","",IF(INDEX(THHKI!$A$8:$Y$62,MATCH(PDHKI!E48,THHKI!$A$8:$A$62,0),22)&lt;1,"/",INDEX(THHKI!$A$8:$Y$62,MATCH(PDHKI!E48,THHKI!$A$8:$A$62,0),22)))</f>
        <v>9.3000000000000007</v>
      </c>
      <c r="E27" s="697"/>
      <c r="J27" s="569" t="s">
        <v>122</v>
      </c>
      <c r="K27" s="569">
        <v>21</v>
      </c>
    </row>
    <row r="28" spans="1:11" ht="15.75" customHeight="1" thickBot="1"/>
    <row r="29" spans="1:11" s="570" customFormat="1" ht="21" customHeight="1">
      <c r="A29" s="698"/>
      <c r="B29" s="1019" t="s">
        <v>150</v>
      </c>
      <c r="C29" s="1020"/>
      <c r="D29" s="699" t="s">
        <v>10</v>
      </c>
      <c r="E29" s="700" t="s">
        <v>126</v>
      </c>
    </row>
    <row r="30" spans="1:11" ht="21" customHeight="1">
      <c r="A30" s="701">
        <v>16</v>
      </c>
      <c r="B30" s="1021" t="s">
        <v>151</v>
      </c>
      <c r="C30" s="1022"/>
      <c r="D30" s="702" t="str">
        <f>IF(E48="","",IF(INDEX(THHKI!$A$8:$Y$62,MATCH(PDHKI!E48,THHKI!$A$8:$A$62,0),23)="","/",INDEX(THHKI!$A$8:$Y$62,MATCH(PDHKI!E48,THHKI!$A$8:$A$62,0),23)))</f>
        <v>Giỏi</v>
      </c>
      <c r="E30" s="703"/>
    </row>
    <row r="31" spans="1:11" ht="21" customHeight="1">
      <c r="A31" s="701">
        <v>17</v>
      </c>
      <c r="B31" s="1021" t="s">
        <v>152</v>
      </c>
      <c r="C31" s="1022"/>
      <c r="D31" s="702" t="str">
        <f>IF(E48="","",IF(INDEX(THHKI!$A$8:$Y$62,MATCH(PDHKI!E48,THHKI!$A$8:$A$62,0),24)="","/",INDEX(THHKI!$A$8:$Y$62,MATCH(PDHKI!E48,THHKI!$A$8:$A$62,0),24)))</f>
        <v>Tốt</v>
      </c>
      <c r="E31" s="703"/>
    </row>
    <row r="32" spans="1:11" ht="21" customHeight="1" thickBot="1">
      <c r="A32" s="704">
        <v>18</v>
      </c>
      <c r="B32" s="1023" t="s">
        <v>153</v>
      </c>
      <c r="C32" s="1024"/>
      <c r="D32" s="705" t="str">
        <f>IF(E48="","",IF(INDEX(THHKI!$A$8:$Y$62,MATCH(PDHKI!E48,THHKI!$A$8:$A$62,0),25)="","/",INDEX(THHKI!$A$8:$Y$62,MATCH(PDHKI!E48,THHKI!$A$8:$A$62,0),25)))</f>
        <v>HSG</v>
      </c>
      <c r="E32" s="706"/>
    </row>
    <row r="33" spans="1:8" ht="9.75" customHeight="1"/>
    <row r="34" spans="1:8" ht="15.75" customHeight="1">
      <c r="A34" s="58" t="s">
        <v>219</v>
      </c>
    </row>
    <row r="35" spans="1:8" ht="18" customHeight="1">
      <c r="A35" s="59" t="str">
        <f>IF(E48="","",IF(INDEX(DiemHKI!$DE$4:$DH$58,MATCH(PDHKI!E48,DiemHKI!$B$4:$B$58,0),1)="","","- "&amp;INDEX(DiemHKI!$DE$4:$DH$58,MATCH(PDHKI!E48,DiemHKI!$B$4:$B$58,0),1)))</f>
        <v/>
      </c>
      <c r="H35" s="571"/>
    </row>
    <row r="36" spans="1:8" ht="18" customHeight="1">
      <c r="A36" s="59" t="str">
        <f>IF(E48="","",IF(INDEX(DiemHKI!$DE$4:$DH$58,MATCH(PDHKI!E48,DiemHKI!$B$4:$B$58,0),2)="","","- "&amp;INDEX(DiemHKI!$DE$4:$DH$58,MATCH(PDHKI!E48,DiemHKI!$B$4:$B$58,0),2)))</f>
        <v/>
      </c>
    </row>
    <row r="37" spans="1:8" ht="18" customHeight="1">
      <c r="A37" s="59" t="str">
        <f>IF(E48="","",IF(INDEX(DiemHKI!$DE$4:$DH$58,MATCH(PDHKI!E48,DiemHKI!$B$4:$B$58,0),3)="","","- "&amp;INDEX(DiemHKI!$DE$4:$DH$58,MATCH(PDHKI!E48,DiemHKI!$B$4:$B$58,0),3)))</f>
        <v/>
      </c>
    </row>
    <row r="38" spans="1:8" ht="18" customHeight="1">
      <c r="A38" s="59" t="str">
        <f>IF(E48="","",IF(INDEX(DiemHKI!$DE$4:$DH$58,MATCH(PDHKI!E48,DiemHKI!$B$4:$B$58,0),4)="","","- "&amp;INDEX(DiemHKI!$DE$4:$DH$58,MATCH(PDHKI!E48,DiemHKI!$B$4:$B$58,0),4)))</f>
        <v/>
      </c>
    </row>
    <row r="39" spans="1:8" ht="6.75" customHeight="1"/>
    <row r="40" spans="1:8" ht="16.5" customHeight="1">
      <c r="A40" s="61"/>
      <c r="C40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40" s="1026"/>
      <c r="E40" s="1026"/>
    </row>
    <row r="41" spans="1:8" ht="21.75" customHeight="1">
      <c r="A41" s="923" t="str">
        <f>IF($D$41="Hiệu trưởng","Giáo viên Quản nhiệm","")</f>
        <v>Giáo viên Quản nhiệm</v>
      </c>
      <c r="B41" s="923"/>
      <c r="C41" s="923"/>
      <c r="D41" s="707" t="str">
        <f>IF($G$5="","",$G$5)</f>
        <v>Hiệu trưởng</v>
      </c>
      <c r="E41" s="708"/>
    </row>
    <row r="42" spans="1:8" ht="15" customHeight="1">
      <c r="A42" s="61"/>
      <c r="B42" s="61"/>
      <c r="C42" s="61"/>
      <c r="D42" s="66"/>
      <c r="E42" s="66"/>
    </row>
    <row r="43" spans="1:8" ht="15" customHeight="1">
      <c r="A43" s="61"/>
      <c r="B43" s="61"/>
      <c r="C43" s="61"/>
      <c r="D43" s="66"/>
      <c r="E43" s="66"/>
    </row>
    <row r="44" spans="1:8" ht="15" customHeight="1">
      <c r="A44" s="61"/>
      <c r="B44" s="61"/>
      <c r="C44" s="61"/>
    </row>
    <row r="45" spans="1:8" ht="15" customHeight="1">
      <c r="A45" s="61"/>
      <c r="B45" s="61"/>
      <c r="C45" s="61"/>
    </row>
    <row r="46" spans="1:8" ht="16.5" customHeight="1">
      <c r="A46" s="1012" t="str">
        <f>IF($A$41="","",PROPER('Huong dan'!$C$4))</f>
        <v/>
      </c>
      <c r="B46" s="1012"/>
      <c r="C46" s="1012"/>
      <c r="D46" s="833" t="str">
        <f>IFERROR(IF($D$41="Giáo Viên Quản nhiệm",PROPER('Huong dan'!$C$4),IF($D$41="Hiệu trưởng",PROPER('Huong dan'!$E$5),"")),"")</f>
        <v/>
      </c>
      <c r="E46" s="708"/>
    </row>
    <row r="47" spans="1:8" ht="12.75" customHeight="1"/>
    <row r="48" spans="1:8" ht="12.75" customHeight="1">
      <c r="A48" s="709"/>
      <c r="B48" s="709"/>
      <c r="C48" s="709"/>
      <c r="D48" s="710"/>
      <c r="E48" s="711">
        <f>IF(MIN(DiemHKI!B4:B58)&lt;=0,"",MIN(DiemHKI!B4:B58))</f>
        <v>1</v>
      </c>
    </row>
    <row r="49" spans="1:11" ht="8.25" customHeight="1">
      <c r="A49" s="709"/>
      <c r="B49" s="709"/>
      <c r="C49" s="709"/>
      <c r="D49" s="709"/>
      <c r="E49" s="709"/>
    </row>
    <row r="50" spans="1:11" ht="5.25" customHeight="1"/>
    <row r="51" spans="1:11" s="563" customFormat="1" ht="23.25" customHeight="1">
      <c r="A51" s="931" t="str">
        <f>IF('Huong dan'!$E$3&lt;&gt;"","SỞ GIÁO DỤC VÀ ĐÀO TẠO "&amp;UPPER('Huong dan'!$E$3),"")</f>
        <v>SỞ GIÁO DỤC VÀ ĐÀO TẠO TP. HỒ CHÍ MINH</v>
      </c>
      <c r="B51" s="931"/>
      <c r="C51" s="931"/>
      <c r="D51" s="923" t="s">
        <v>19</v>
      </c>
      <c r="E51" s="923"/>
    </row>
    <row r="52" spans="1:11" ht="17.25" customHeight="1">
      <c r="A52" s="931" t="str">
        <f>IF('Huong dan'!$E$4&lt;&gt;"","TRƯỜNG "&amp;UPPER('Huong dan'!$E$4),"")</f>
        <v>TRƯỜNG THCS VÀ THPT NGUYỄN KHUYẾN</v>
      </c>
      <c r="B52" s="931"/>
      <c r="C52" s="931"/>
      <c r="D52" s="1012" t="s">
        <v>179</v>
      </c>
      <c r="E52" s="1012"/>
    </row>
    <row r="53" spans="1:11" ht="24" customHeight="1">
      <c r="A53" s="61"/>
      <c r="B53" s="61"/>
      <c r="C53" s="61"/>
    </row>
    <row r="54" spans="1:11" ht="29.25" customHeight="1">
      <c r="A54" s="1013" t="str">
        <f>"PHIẾU ĐIỂM HỌC KỲ I - NĂM HỌC "&amp;'Huong dan'!$C$5</f>
        <v>PHIẾU ĐIỂM HỌC KỲ I - NĂM HỌC 2021 - 2022</v>
      </c>
      <c r="B54" s="1013"/>
      <c r="C54" s="1013"/>
      <c r="D54" s="1013"/>
      <c r="E54" s="1013"/>
    </row>
    <row r="55" spans="1:11" ht="15.75" customHeight="1">
      <c r="A55" s="680"/>
      <c r="B55" s="680"/>
    </row>
    <row r="56" spans="1:11" ht="21" customHeight="1">
      <c r="A56" s="1014" t="s">
        <v>145</v>
      </c>
      <c r="B56" s="1014"/>
      <c r="C56" s="1015" t="str">
        <f>IF(E95="","",INDEX(DiemHKI!$D$4:$D$58,MATCH(E95,DiemHKI!$B$4:$B$58,0),1)&amp;" "&amp;INDEX(DiemHKI!$E$4:$E$58,MATCH(E95,DiemHKI!$B$4:$B$58,0),1))</f>
        <v>Chử Ngọc Anh</v>
      </c>
      <c r="D56" s="1015"/>
      <c r="E56" s="62" t="str">
        <f>IF('Huong dan'!$C$3="","","Lớp: "&amp;'Huong dan'!$C$3)</f>
        <v>Lớp: 12A1</v>
      </c>
    </row>
    <row r="57" spans="1:11" ht="23.25" customHeight="1">
      <c r="A57" s="1014" t="s">
        <v>146</v>
      </c>
      <c r="B57" s="1014"/>
      <c r="C57" s="681" t="str">
        <f>IF(E95="","",INDEX(DiemHKI!$F$4:$F$58,MATCH(PDHKI!E95,DiemHKI!$B$4:$B$58,0),1))</f>
        <v>14/04/2004</v>
      </c>
      <c r="D57" s="1016" t="str">
        <f>IF(E95="","","Nơi sinh: "&amp;INDEX(DiemHKI!$G$4:$G$58,MATCH(PDHKI!E95,DiemHKI!$B$4:$B$58,0),1))</f>
        <v>Nơi sinh: Lâm Đồng</v>
      </c>
      <c r="E57" s="1016"/>
    </row>
    <row r="58" spans="1:11" ht="13.5" customHeight="1" thickBot="1">
      <c r="A58" s="681"/>
      <c r="B58" s="682"/>
      <c r="D58" s="681"/>
      <c r="E58" s="681"/>
    </row>
    <row r="59" spans="1:11" ht="24" customHeight="1" thickBot="1">
      <c r="A59" s="683" t="s">
        <v>0</v>
      </c>
      <c r="B59" s="1006" t="s">
        <v>72</v>
      </c>
      <c r="C59" s="1007"/>
      <c r="D59" s="684" t="s">
        <v>147</v>
      </c>
      <c r="E59" s="685" t="s">
        <v>148</v>
      </c>
    </row>
    <row r="60" spans="1:11" ht="21" customHeight="1">
      <c r="A60" s="686">
        <v>1</v>
      </c>
      <c r="B60" s="1017" t="s">
        <v>26</v>
      </c>
      <c r="C60" s="1018"/>
      <c r="D60" s="687">
        <f>IF(E95="","",IF(INDEX(THHKI!$A$8:$Y$62,MATCH(PDHKI!E95,THHKI!$A$8:$A$62,0),INDEX($K$13:$K$27,MATCH(B60,$J$13:$J$27,0),1))&lt;1,"/",INDEX(THHKI!$A$8:$Y$62,MATCH(PDHKI!E95,THHKI!$A$8:$A$62,0),INDEX($K$13:$K$27,MATCH(B60,$J$13:$J$27,0),1))))</f>
        <v>9.5</v>
      </c>
      <c r="E60" s="688"/>
      <c r="J60" s="569" t="s">
        <v>26</v>
      </c>
      <c r="K60" s="569">
        <v>7</v>
      </c>
    </row>
    <row r="61" spans="1:11" ht="21" customHeight="1">
      <c r="A61" s="689">
        <v>2</v>
      </c>
      <c r="B61" s="1008" t="s">
        <v>27</v>
      </c>
      <c r="C61" s="1009"/>
      <c r="D61" s="690">
        <f>IF(E95="","",IF(INDEX(THHKI!$A$8:$Y$62,MATCH(PDHKI!E95,THHKI!$A$8:$A$62,0),INDEX($K$13:$K$27,MATCH(B61,$J$13:$J$27,0),1))&lt;1,"/",INDEX(THHKI!$A$8:$Y$62,MATCH(PDHKI!E95,THHKI!$A$8:$A$62,0),INDEX($K$13:$K$27,MATCH(B61,$J$13:$J$27,0),1))))</f>
        <v>9.6</v>
      </c>
      <c r="E61" s="691"/>
      <c r="J61" s="569" t="s">
        <v>27</v>
      </c>
      <c r="K61" s="569">
        <v>8</v>
      </c>
    </row>
    <row r="62" spans="1:11" ht="21" customHeight="1">
      <c r="A62" s="689">
        <v>3</v>
      </c>
      <c r="B62" s="1008" t="s">
        <v>28</v>
      </c>
      <c r="C62" s="1009"/>
      <c r="D62" s="690">
        <f>IF(E95="","",IF(INDEX(THHKI!$A$8:$Y$62,MATCH(PDHKI!E95,THHKI!$A$8:$A$62,0),INDEX($K$13:$K$27,MATCH(B62,$J$13:$J$27,0),1))&lt;1,"/",INDEX(THHKI!$A$8:$Y$62,MATCH(PDHKI!E95,THHKI!$A$8:$A$62,0),INDEX($K$13:$K$27,MATCH(B62,$J$13:$J$27,0),1))))</f>
        <v>9.4</v>
      </c>
      <c r="E62" s="691"/>
      <c r="J62" s="569" t="s">
        <v>28</v>
      </c>
      <c r="K62" s="569">
        <v>9</v>
      </c>
    </row>
    <row r="63" spans="1:11" ht="21" customHeight="1">
      <c r="A63" s="689">
        <v>4</v>
      </c>
      <c r="B63" s="1008" t="s">
        <v>29</v>
      </c>
      <c r="C63" s="1009"/>
      <c r="D63" s="690">
        <f>IF(E95="","",IF(INDEX(THHKI!$A$8:$Y$62,MATCH(PDHKI!E95,THHKI!$A$8:$A$62,0),INDEX($K$13:$K$27,MATCH(B63,$J$13:$J$27,0),1))&lt;1,"/",INDEX(THHKI!$A$8:$Y$62,MATCH(PDHKI!E95,THHKI!$A$8:$A$62,0),INDEX($K$13:$K$27,MATCH(B63,$J$13:$J$27,0),1))))</f>
        <v>9.6999999999999993</v>
      </c>
      <c r="E63" s="691"/>
      <c r="J63" s="569" t="s">
        <v>29</v>
      </c>
      <c r="K63" s="569">
        <v>10</v>
      </c>
    </row>
    <row r="64" spans="1:11" ht="21" customHeight="1">
      <c r="A64" s="689">
        <v>5</v>
      </c>
      <c r="B64" s="1008" t="s">
        <v>120</v>
      </c>
      <c r="C64" s="1009"/>
      <c r="D64" s="690">
        <f>IF(E95="","",IF(INDEX(THHKI!$A$8:$Y$62,MATCH(PDHKI!E95,THHKI!$A$8:$A$62,0),INDEX($K$13:$K$27,MATCH(B64,$J$13:$J$27,0),1))&lt;1,"/",INDEX(THHKI!$A$8:$Y$62,MATCH(PDHKI!E95,THHKI!$A$8:$A$62,0),INDEX($K$13:$K$27,MATCH(B64,$J$13:$J$27,0),1))))</f>
        <v>9.6</v>
      </c>
      <c r="E64" s="691"/>
      <c r="J64" s="569" t="s">
        <v>120</v>
      </c>
      <c r="K64" s="569">
        <v>11</v>
      </c>
    </row>
    <row r="65" spans="1:11" ht="21" customHeight="1">
      <c r="A65" s="689">
        <v>6</v>
      </c>
      <c r="B65" s="1008" t="s">
        <v>30</v>
      </c>
      <c r="C65" s="1009"/>
      <c r="D65" s="690">
        <f>IF(E95="","",IF(INDEX(THHKI!$A$8:$Y$62,MATCH(PDHKI!E95,THHKI!$A$8:$A$62,0),INDEX($K$13:$K$27,MATCH(B65,$J$13:$J$27,0),1))&lt;1,"/",INDEX(THHKI!$A$8:$Y$62,MATCH(PDHKI!E95,THHKI!$A$8:$A$62,0),INDEX($K$13:$K$27,MATCH(B65,$J$13:$J$27,0),1))))</f>
        <v>8.4</v>
      </c>
      <c r="E65" s="691"/>
      <c r="J65" s="569" t="s">
        <v>30</v>
      </c>
      <c r="K65" s="569">
        <v>12</v>
      </c>
    </row>
    <row r="66" spans="1:11" ht="21" customHeight="1">
      <c r="A66" s="689">
        <v>7</v>
      </c>
      <c r="B66" s="1008" t="s">
        <v>31</v>
      </c>
      <c r="C66" s="1009"/>
      <c r="D66" s="690">
        <f>IF(E95="","",IF(INDEX(THHKI!$A$8:$Y$62,MATCH(PDHKI!E95,THHKI!$A$8:$A$62,0),INDEX($K$13:$K$27,MATCH(B66,$J$13:$J$27,0),1))&lt;1,"/",INDEX(THHKI!$A$8:$Y$62,MATCH(PDHKI!E95,THHKI!$A$8:$A$62,0),INDEX($K$13:$K$27,MATCH(B66,$J$13:$J$27,0),1))))</f>
        <v>9.6</v>
      </c>
      <c r="E66" s="691"/>
      <c r="J66" s="569" t="s">
        <v>31</v>
      </c>
      <c r="K66" s="569">
        <v>13</v>
      </c>
    </row>
    <row r="67" spans="1:11" ht="21" customHeight="1">
      <c r="A67" s="689">
        <v>8</v>
      </c>
      <c r="B67" s="1008" t="s">
        <v>32</v>
      </c>
      <c r="C67" s="1009"/>
      <c r="D67" s="690">
        <f>IF(E95="","",IF(INDEX(THHKI!$A$8:$Y$62,MATCH(PDHKI!E95,THHKI!$A$8:$A$62,0),INDEX($K$13:$K$27,MATCH(B67,$J$13:$J$27,0),1))&lt;1,"/",INDEX(THHKI!$A$8:$Y$62,MATCH(PDHKI!E95,THHKI!$A$8:$A$62,0),INDEX($K$13:$K$27,MATCH(B67,$J$13:$J$27,0),1))))</f>
        <v>9.8000000000000007</v>
      </c>
      <c r="E67" s="691"/>
      <c r="J67" s="569" t="s">
        <v>32</v>
      </c>
      <c r="K67" s="569">
        <v>14</v>
      </c>
    </row>
    <row r="68" spans="1:11" ht="21" customHeight="1">
      <c r="A68" s="689">
        <v>9</v>
      </c>
      <c r="B68" s="1008" t="s">
        <v>33</v>
      </c>
      <c r="C68" s="1009"/>
      <c r="D68" s="690">
        <f>IF(E95="","",IF(INDEX(THHKI!$A$8:$Y$62,MATCH(PDHKI!E95,THHKI!$A$8:$A$62,0),INDEX($K$13:$K$27,MATCH(B68,$J$13:$J$27,0),1))&lt;1,"/",INDEX(THHKI!$A$8:$Y$62,MATCH(PDHKI!E95,THHKI!$A$8:$A$62,0),INDEX($K$13:$K$27,MATCH(B68,$J$13:$J$27,0),1))))</f>
        <v>9</v>
      </c>
      <c r="E68" s="691"/>
      <c r="J68" s="569" t="s">
        <v>33</v>
      </c>
      <c r="K68" s="569">
        <v>15</v>
      </c>
    </row>
    <row r="69" spans="1:11" ht="21" customHeight="1">
      <c r="A69" s="689">
        <v>10</v>
      </c>
      <c r="B69" s="1008" t="s">
        <v>60</v>
      </c>
      <c r="C69" s="1009"/>
      <c r="D69" s="690">
        <f>IF(E95="","",IF(INDEX(THHKI!$A$8:$Y$62,MATCH(PDHKI!E95,THHKI!$A$8:$A$62,0),INDEX($K$13:$K$27,MATCH(B69,$J$13:$J$27,0),1))&lt;1,"/",INDEX(THHKI!$A$8:$Y$62,MATCH(PDHKI!E95,THHKI!$A$8:$A$62,0),INDEX($K$13:$K$27,MATCH(B69,$J$13:$J$27,0),1))))</f>
        <v>9.1</v>
      </c>
      <c r="E69" s="691"/>
      <c r="J69" s="569" t="s">
        <v>60</v>
      </c>
      <c r="K69" s="569">
        <v>16</v>
      </c>
    </row>
    <row r="70" spans="1:11" ht="21" customHeight="1">
      <c r="A70" s="689">
        <v>11</v>
      </c>
      <c r="B70" s="1008" t="s">
        <v>34</v>
      </c>
      <c r="C70" s="1009"/>
      <c r="D70" s="690">
        <f>IF(E95="","",IF(INDEX(THHKI!$A$8:$Y$62,MATCH(PDHKI!E95,THHKI!$A$8:$A$62,0),INDEX($K$13:$K$27,MATCH(B70,$J$13:$J$27,0),1))&lt;1,"/",INDEX(THHKI!$A$8:$Y$62,MATCH(PDHKI!E95,THHKI!$A$8:$A$62,0),INDEX($K$13:$K$27,MATCH(B70,$J$13:$J$27,0),1))))</f>
        <v>9.8000000000000007</v>
      </c>
      <c r="E70" s="691"/>
      <c r="J70" s="569" t="s">
        <v>34</v>
      </c>
      <c r="K70" s="569">
        <v>17</v>
      </c>
    </row>
    <row r="71" spans="1:11" ht="21" customHeight="1">
      <c r="A71" s="689">
        <v>12</v>
      </c>
      <c r="B71" s="1008" t="s">
        <v>35</v>
      </c>
      <c r="C71" s="1009"/>
      <c r="D71" s="690" t="str">
        <f>IF(E95="","",IF(INDEX(THHKI!$A$8:$Y$62,MATCH(PDHKI!E95,THHKI!$A$8:$A$62,0),INDEX($K$13:$K$27,MATCH(B71,$J$13:$J$27,0),1))&lt;1,"/",INDEX(THHKI!$A$8:$Y$62,MATCH(PDHKI!E95,THHKI!$A$8:$A$62,0),INDEX($K$13:$K$27,MATCH(B71,$J$13:$J$27,0),1))))</f>
        <v>Đ</v>
      </c>
      <c r="E71" s="691"/>
      <c r="J71" s="569" t="s">
        <v>35</v>
      </c>
      <c r="K71" s="569">
        <v>18</v>
      </c>
    </row>
    <row r="72" spans="1:11" ht="21" customHeight="1">
      <c r="A72" s="689">
        <v>13</v>
      </c>
      <c r="B72" s="1008" t="s">
        <v>121</v>
      </c>
      <c r="C72" s="1009"/>
      <c r="D72" s="690">
        <f>IF(E95="","",IF(INDEX(THHKI!$A$8:$Y$62,MATCH(PDHKI!E95,THHKI!$A$8:$A$62,0),INDEX($K$13:$K$27,MATCH(B72,$J$13:$J$27,0),1))&lt;1,"/",INDEX(THHKI!$A$8:$Y$62,MATCH(PDHKI!E95,THHKI!$A$8:$A$62,0),INDEX($K$13:$K$27,MATCH(B72,$J$13:$J$27,0),1))))</f>
        <v>9.9</v>
      </c>
      <c r="E72" s="691"/>
      <c r="J72" s="569" t="s">
        <v>22</v>
      </c>
      <c r="K72" s="569">
        <v>19</v>
      </c>
    </row>
    <row r="73" spans="1:11" ht="21" customHeight="1" thickBot="1">
      <c r="A73" s="692">
        <v>14</v>
      </c>
      <c r="B73" s="1010" t="s">
        <v>122</v>
      </c>
      <c r="C73" s="1011"/>
      <c r="D73" s="693" t="str">
        <f>IF(E95="","",IF(INDEX(THHKI!$A$8:$Y$62,MATCH(PDHKI!E95,THHKI!$A$8:$A$62,0),INDEX($K$13:$K$27,MATCH(B73,$J$13:$J$27,0),1))&lt;1,"/",INDEX(THHKI!$A$8:$Y$62,MATCH(PDHKI!E95,THHKI!$A$8:$A$62,0),INDEX($K$13:$K$27,MATCH(B73,$J$13:$J$27,0),1))))</f>
        <v/>
      </c>
      <c r="E73" s="694"/>
      <c r="J73" s="569" t="s">
        <v>121</v>
      </c>
      <c r="K73" s="569">
        <v>20</v>
      </c>
    </row>
    <row r="74" spans="1:11" ht="21" customHeight="1" thickBot="1">
      <c r="A74" s="695">
        <v>15</v>
      </c>
      <c r="B74" s="1006" t="s">
        <v>149</v>
      </c>
      <c r="C74" s="1007"/>
      <c r="D74" s="696">
        <f>IF(E95="","",IF(INDEX(THHKI!$A$8:$Y$62,MATCH(PDHKI!E95,THHKI!$A$8:$A$62,0),22)&lt;1,"/",INDEX(THHKI!$A$8:$Y$62,MATCH(PDHKI!E95,THHKI!$A$8:$A$62,0),22)))</f>
        <v>9.5</v>
      </c>
      <c r="E74" s="697"/>
      <c r="J74" s="569" t="s">
        <v>122</v>
      </c>
      <c r="K74" s="569">
        <v>21</v>
      </c>
    </row>
    <row r="75" spans="1:11" ht="15.75" customHeight="1" thickBot="1"/>
    <row r="76" spans="1:11" s="570" customFormat="1" ht="21" customHeight="1">
      <c r="A76" s="698"/>
      <c r="B76" s="1019" t="s">
        <v>150</v>
      </c>
      <c r="C76" s="1020"/>
      <c r="D76" s="699" t="s">
        <v>10</v>
      </c>
      <c r="E76" s="700" t="s">
        <v>126</v>
      </c>
    </row>
    <row r="77" spans="1:11" ht="21" customHeight="1">
      <c r="A77" s="701">
        <v>16</v>
      </c>
      <c r="B77" s="1021" t="s">
        <v>151</v>
      </c>
      <c r="C77" s="1022"/>
      <c r="D77" s="702" t="str">
        <f>IF(E95="","",IF(INDEX(THHKI!$A$8:$Y$62,MATCH(PDHKI!E95,THHKI!$A$8:$A$62,0),23)="","/",INDEX(THHKI!$A$8:$Y$62,MATCH(PDHKI!E95,THHKI!$A$8:$A$62,0),23)))</f>
        <v>Giỏi</v>
      </c>
      <c r="E77" s="703"/>
    </row>
    <row r="78" spans="1:11" ht="21" customHeight="1">
      <c r="A78" s="701">
        <v>17</v>
      </c>
      <c r="B78" s="1021" t="s">
        <v>152</v>
      </c>
      <c r="C78" s="1022"/>
      <c r="D78" s="702" t="str">
        <f>IF(E95="","",IF(INDEX(THHKI!$A$8:$Y$62,MATCH(PDHKI!E95,THHKI!$A$8:$A$62,0),24)="","/",INDEX(THHKI!$A$8:$Y$62,MATCH(PDHKI!E95,THHKI!$A$8:$A$62,0),24)))</f>
        <v>Tốt</v>
      </c>
      <c r="E78" s="703"/>
    </row>
    <row r="79" spans="1:11" ht="21" customHeight="1" thickBot="1">
      <c r="A79" s="704">
        <v>18</v>
      </c>
      <c r="B79" s="1023" t="s">
        <v>153</v>
      </c>
      <c r="C79" s="1024"/>
      <c r="D79" s="705" t="str">
        <f>IF(E95="","",IF(INDEX(THHKI!$A$8:$Y$62,MATCH(PDHKI!E95,THHKI!$A$8:$A$62,0),25)="","/",INDEX(THHKI!$A$8:$Y$62,MATCH(PDHKI!E95,THHKI!$A$8:$A$62,0),25)))</f>
        <v>HSG</v>
      </c>
      <c r="E79" s="706"/>
    </row>
    <row r="80" spans="1:11" ht="9.75" customHeight="1"/>
    <row r="81" spans="1:8" ht="15.75" customHeight="1">
      <c r="A81" s="58" t="s">
        <v>219</v>
      </c>
    </row>
    <row r="82" spans="1:8" ht="18" customHeight="1">
      <c r="A82" s="59" t="str">
        <f>IF(E95="","",IF(INDEX(DiemHKI!$DE$4:$DH$58,MATCH(PDHKI!E95,DiemHKI!$B$4:$B$58,0),1)="","","- "&amp;INDEX(DiemHKI!$DE$4:$DH$58,MATCH(PDHKI!E95,DiemHKI!$B$4:$B$58,0),1)))</f>
        <v/>
      </c>
      <c r="H82" s="571"/>
    </row>
    <row r="83" spans="1:8" ht="18" customHeight="1">
      <c r="A83" s="59" t="str">
        <f>IF(E95="","",IF(INDEX(DiemHKI!$DE$4:$DH$58,MATCH(PDHKI!E95,DiemHKI!$B$4:$B$58,0),2)="","","- "&amp;INDEX(DiemHKI!$DE$4:$DH$58,MATCH(PDHKI!E95,DiemHKI!$B$4:$B$58,0),2)))</f>
        <v/>
      </c>
    </row>
    <row r="84" spans="1:8" ht="18" customHeight="1">
      <c r="A84" s="59" t="str">
        <f>IF(E95="","",IF(INDEX(DiemHKI!$DE$4:$DH$58,MATCH(PDHKI!E95,DiemHKI!$B$4:$B$58,0),3)="","","- "&amp;INDEX(DiemHKI!$DE$4:$DH$58,MATCH(PDHKI!E95,DiemHKI!$B$4:$B$58,0),3)))</f>
        <v/>
      </c>
    </row>
    <row r="85" spans="1:8" ht="18" customHeight="1">
      <c r="A85" s="59" t="str">
        <f>IF(E95="","",IF(INDEX(DiemHKI!$DE$4:$DH$58,MATCH(PDHKI!E95,DiemHKI!$B$4:$B$58,0),4)="","","- "&amp;INDEX(DiemHKI!$DE$4:$DH$58,MATCH(PDHKI!E95,DiemHKI!$B$4:$B$58,0),4)))</f>
        <v/>
      </c>
    </row>
    <row r="86" spans="1:8" ht="6.75" customHeight="1"/>
    <row r="87" spans="1:8" ht="16.5" customHeight="1">
      <c r="A87" s="61"/>
      <c r="C87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87" s="1026"/>
      <c r="E87" s="1026"/>
    </row>
    <row r="88" spans="1:8" ht="21.75" customHeight="1">
      <c r="A88" s="923" t="str">
        <f>IF($D$41="Hiệu trưởng","Giáo viên Quản nhiệm","")</f>
        <v>Giáo viên Quản nhiệm</v>
      </c>
      <c r="B88" s="923"/>
      <c r="C88" s="923"/>
      <c r="D88" s="707" t="str">
        <f>IF($G$5="","",$G$5)</f>
        <v>Hiệu trưởng</v>
      </c>
      <c r="E88" s="708"/>
    </row>
    <row r="89" spans="1:8" ht="15" customHeight="1">
      <c r="A89" s="61"/>
      <c r="B89" s="61"/>
      <c r="C89" s="61"/>
      <c r="D89" s="66"/>
      <c r="E89" s="66"/>
    </row>
    <row r="90" spans="1:8" ht="15" customHeight="1">
      <c r="A90" s="61"/>
      <c r="B90" s="61"/>
      <c r="C90" s="61"/>
      <c r="D90" s="66"/>
      <c r="E90" s="66"/>
    </row>
    <row r="91" spans="1:8" ht="15" customHeight="1">
      <c r="A91" s="61"/>
      <c r="B91" s="61"/>
      <c r="C91" s="61"/>
    </row>
    <row r="92" spans="1:8" ht="15" customHeight="1">
      <c r="A92" s="61"/>
      <c r="B92" s="61"/>
      <c r="C92" s="61"/>
    </row>
    <row r="93" spans="1:8" ht="16.5" customHeight="1">
      <c r="A93" s="1012" t="str">
        <f>IF($A$41="","",PROPER('Huong dan'!$C$4))</f>
        <v/>
      </c>
      <c r="B93" s="1012"/>
      <c r="C93" s="1012"/>
      <c r="D93" s="833" t="str">
        <f>IFERROR(IF($D$41="Giáo Viên Quản nhiệm",PROPER('Huong dan'!$C$4),IF($D$41="Hiệu trưởng",PROPER('Huong dan'!$E$5),"")),"")</f>
        <v/>
      </c>
      <c r="E93" s="708"/>
    </row>
    <row r="94" spans="1:8" ht="12.75" customHeight="1"/>
    <row r="95" spans="1:8" ht="12.75" customHeight="1">
      <c r="A95" s="709"/>
      <c r="B95" s="709"/>
      <c r="C95" s="709"/>
      <c r="D95" s="710"/>
      <c r="E95" s="711">
        <f>IF(E48="","",IF(E48&lt;MAX(DiemHKI!$B$4:$B$58),E48+1,""))</f>
        <v>2</v>
      </c>
    </row>
    <row r="96" spans="1:8" ht="8.25" customHeight="1">
      <c r="A96" s="709"/>
      <c r="B96" s="709"/>
      <c r="C96" s="709"/>
      <c r="D96" s="709"/>
      <c r="E96" s="709"/>
    </row>
    <row r="97" spans="1:11" ht="5.25" customHeight="1"/>
    <row r="98" spans="1:11" s="563" customFormat="1" ht="23.25" customHeight="1">
      <c r="A98" s="931" t="str">
        <f>IF('Huong dan'!$E$3&lt;&gt;"","SỞ GIÁO DỤC VÀ ĐÀO TẠO "&amp;UPPER('Huong dan'!$E$3),"")</f>
        <v>SỞ GIÁO DỤC VÀ ĐÀO TẠO TP. HỒ CHÍ MINH</v>
      </c>
      <c r="B98" s="931"/>
      <c r="C98" s="931"/>
      <c r="D98" s="923" t="s">
        <v>19</v>
      </c>
      <c r="E98" s="923"/>
    </row>
    <row r="99" spans="1:11" ht="17.25" customHeight="1">
      <c r="A99" s="931" t="str">
        <f>IF('Huong dan'!$E$4&lt;&gt;"","TRƯỜNG "&amp;UPPER('Huong dan'!$E$4),"")</f>
        <v>TRƯỜNG THCS VÀ THPT NGUYỄN KHUYẾN</v>
      </c>
      <c r="B99" s="931"/>
      <c r="C99" s="931"/>
      <c r="D99" s="1012" t="s">
        <v>179</v>
      </c>
      <c r="E99" s="1012"/>
    </row>
    <row r="100" spans="1:11" ht="24" customHeight="1">
      <c r="A100" s="61"/>
      <c r="B100" s="61"/>
      <c r="C100" s="61"/>
    </row>
    <row r="101" spans="1:11" ht="29.25" customHeight="1">
      <c r="A101" s="1013" t="str">
        <f>"PHIẾU ĐIỂM HỌC KỲ I - NĂM HỌC "&amp;'Huong dan'!$C$5</f>
        <v>PHIẾU ĐIỂM HỌC KỲ I - NĂM HỌC 2021 - 2022</v>
      </c>
      <c r="B101" s="1013"/>
      <c r="C101" s="1013"/>
      <c r="D101" s="1013"/>
      <c r="E101" s="1013"/>
    </row>
    <row r="102" spans="1:11" ht="15.75" customHeight="1">
      <c r="A102" s="680"/>
      <c r="B102" s="680"/>
    </row>
    <row r="103" spans="1:11" ht="21" customHeight="1">
      <c r="A103" s="1014" t="s">
        <v>145</v>
      </c>
      <c r="B103" s="1014"/>
      <c r="C103" s="1015" t="str">
        <f>IF(E142="","",INDEX(DiemHKI!$D$4:$D$58,MATCH(E142,DiemHKI!$B$4:$B$58,0),1)&amp;" "&amp;INDEX(DiemHKI!$E$4:$E$58,MATCH(E142,DiemHKI!$B$4:$B$58,0),1))</f>
        <v>Lê Tuấn Anh</v>
      </c>
      <c r="D103" s="1015"/>
      <c r="E103" s="62" t="str">
        <f>IF('Huong dan'!$C$3="","","Lớp: "&amp;'Huong dan'!$C$3)</f>
        <v>Lớp: 12A1</v>
      </c>
    </row>
    <row r="104" spans="1:11" ht="23.25" customHeight="1">
      <c r="A104" s="1014" t="s">
        <v>146</v>
      </c>
      <c r="B104" s="1014"/>
      <c r="C104" s="681" t="str">
        <f>IF(E142="","",INDEX(DiemHKI!$F$4:$F$58,MATCH(PDHKI!E142,DiemHKI!$B$4:$B$58,0),1))</f>
        <v>20/10/2004</v>
      </c>
      <c r="D104" s="1016" t="str">
        <f>IF(E142="","","Nơi sinh: "&amp;INDEX(DiemHKI!$G$4:$G$58,MATCH(PDHKI!E142,DiemHKI!$B$4:$B$58,0),1))</f>
        <v>Nơi sinh: Kiên Giang</v>
      </c>
      <c r="E104" s="1016"/>
    </row>
    <row r="105" spans="1:11" ht="13.5" customHeight="1" thickBot="1">
      <c r="A105" s="681"/>
      <c r="B105" s="682"/>
      <c r="D105" s="681"/>
      <c r="E105" s="681"/>
    </row>
    <row r="106" spans="1:11" ht="24" customHeight="1" thickBot="1">
      <c r="A106" s="683" t="s">
        <v>0</v>
      </c>
      <c r="B106" s="1006" t="s">
        <v>72</v>
      </c>
      <c r="C106" s="1007"/>
      <c r="D106" s="684" t="s">
        <v>147</v>
      </c>
      <c r="E106" s="685" t="s">
        <v>148</v>
      </c>
    </row>
    <row r="107" spans="1:11" ht="21" customHeight="1">
      <c r="A107" s="686">
        <v>1</v>
      </c>
      <c r="B107" s="1017" t="s">
        <v>26</v>
      </c>
      <c r="C107" s="1018"/>
      <c r="D107" s="687">
        <f>IF(E142="","",IF(INDEX(THHKI!$A$8:$Y$62,MATCH(PDHKI!E142,THHKI!$A$8:$A$62,0),INDEX($K$13:$K$27,MATCH(B107,$J$13:$J$27,0),1))&lt;1,"/",INDEX(THHKI!$A$8:$Y$62,MATCH(PDHKI!E142,THHKI!$A$8:$A$62,0),INDEX($K$13:$K$27,MATCH(B107,$J$13:$J$27,0),1))))</f>
        <v>9.6</v>
      </c>
      <c r="E107" s="688"/>
      <c r="J107" s="569" t="s">
        <v>26</v>
      </c>
      <c r="K107" s="569">
        <v>7</v>
      </c>
    </row>
    <row r="108" spans="1:11" ht="21" customHeight="1">
      <c r="A108" s="689">
        <v>2</v>
      </c>
      <c r="B108" s="1008" t="s">
        <v>27</v>
      </c>
      <c r="C108" s="1009"/>
      <c r="D108" s="690">
        <f>IF(E142="","",IF(INDEX(THHKI!$A$8:$Y$62,MATCH(PDHKI!E142,THHKI!$A$8:$A$62,0),INDEX($K$13:$K$27,MATCH(B108,$J$13:$J$27,0),1))&lt;1,"/",INDEX(THHKI!$A$8:$Y$62,MATCH(PDHKI!E142,THHKI!$A$8:$A$62,0),INDEX($K$13:$K$27,MATCH(B108,$J$13:$J$27,0),1))))</f>
        <v>9.4</v>
      </c>
      <c r="E108" s="691"/>
      <c r="J108" s="569" t="s">
        <v>27</v>
      </c>
      <c r="K108" s="569">
        <v>8</v>
      </c>
    </row>
    <row r="109" spans="1:11" ht="21" customHeight="1">
      <c r="A109" s="689">
        <v>3</v>
      </c>
      <c r="B109" s="1008" t="s">
        <v>28</v>
      </c>
      <c r="C109" s="1009"/>
      <c r="D109" s="690">
        <f>IF(E142="","",IF(INDEX(THHKI!$A$8:$Y$62,MATCH(PDHKI!E142,THHKI!$A$8:$A$62,0),INDEX($K$13:$K$27,MATCH(B109,$J$13:$J$27,0),1))&lt;1,"/",INDEX(THHKI!$A$8:$Y$62,MATCH(PDHKI!E142,THHKI!$A$8:$A$62,0),INDEX($K$13:$K$27,MATCH(B109,$J$13:$J$27,0),1))))</f>
        <v>9.4</v>
      </c>
      <c r="E109" s="691"/>
      <c r="J109" s="569" t="s">
        <v>28</v>
      </c>
      <c r="K109" s="569">
        <v>9</v>
      </c>
    </row>
    <row r="110" spans="1:11" ht="21" customHeight="1">
      <c r="A110" s="689">
        <v>4</v>
      </c>
      <c r="B110" s="1008" t="s">
        <v>29</v>
      </c>
      <c r="C110" s="1009"/>
      <c r="D110" s="690">
        <f>IF(E142="","",IF(INDEX(THHKI!$A$8:$Y$62,MATCH(PDHKI!E142,THHKI!$A$8:$A$62,0),INDEX($K$13:$K$27,MATCH(B110,$J$13:$J$27,0),1))&lt;1,"/",INDEX(THHKI!$A$8:$Y$62,MATCH(PDHKI!E142,THHKI!$A$8:$A$62,0),INDEX($K$13:$K$27,MATCH(B110,$J$13:$J$27,0),1))))</f>
        <v>8.6</v>
      </c>
      <c r="E110" s="691"/>
      <c r="J110" s="569" t="s">
        <v>29</v>
      </c>
      <c r="K110" s="569">
        <v>10</v>
      </c>
    </row>
    <row r="111" spans="1:11" ht="21" customHeight="1">
      <c r="A111" s="689">
        <v>5</v>
      </c>
      <c r="B111" s="1008" t="s">
        <v>120</v>
      </c>
      <c r="C111" s="1009"/>
      <c r="D111" s="690">
        <f>IF(E142="","",IF(INDEX(THHKI!$A$8:$Y$62,MATCH(PDHKI!E142,THHKI!$A$8:$A$62,0),INDEX($K$13:$K$27,MATCH(B111,$J$13:$J$27,0),1))&lt;1,"/",INDEX(THHKI!$A$8:$Y$62,MATCH(PDHKI!E142,THHKI!$A$8:$A$62,0),INDEX($K$13:$K$27,MATCH(B111,$J$13:$J$27,0),1))))</f>
        <v>9.8000000000000007</v>
      </c>
      <c r="E111" s="691"/>
      <c r="J111" s="569" t="s">
        <v>120</v>
      </c>
      <c r="K111" s="569">
        <v>11</v>
      </c>
    </row>
    <row r="112" spans="1:11" ht="21" customHeight="1">
      <c r="A112" s="689">
        <v>6</v>
      </c>
      <c r="B112" s="1008" t="s">
        <v>30</v>
      </c>
      <c r="C112" s="1009"/>
      <c r="D112" s="690">
        <f>IF(E142="","",IF(INDEX(THHKI!$A$8:$Y$62,MATCH(PDHKI!E142,THHKI!$A$8:$A$62,0),INDEX($K$13:$K$27,MATCH(B112,$J$13:$J$27,0),1))&lt;1,"/",INDEX(THHKI!$A$8:$Y$62,MATCH(PDHKI!E142,THHKI!$A$8:$A$62,0),INDEX($K$13:$K$27,MATCH(B112,$J$13:$J$27,0),1))))</f>
        <v>7.1</v>
      </c>
      <c r="E112" s="691"/>
      <c r="J112" s="569" t="s">
        <v>30</v>
      </c>
      <c r="K112" s="569">
        <v>12</v>
      </c>
    </row>
    <row r="113" spans="1:11" ht="21" customHeight="1">
      <c r="A113" s="689">
        <v>7</v>
      </c>
      <c r="B113" s="1008" t="s">
        <v>31</v>
      </c>
      <c r="C113" s="1009"/>
      <c r="D113" s="690">
        <f>IF(E142="","",IF(INDEX(THHKI!$A$8:$Y$62,MATCH(PDHKI!E142,THHKI!$A$8:$A$62,0),INDEX($K$13:$K$27,MATCH(B113,$J$13:$J$27,0),1))&lt;1,"/",INDEX(THHKI!$A$8:$Y$62,MATCH(PDHKI!E142,THHKI!$A$8:$A$62,0),INDEX($K$13:$K$27,MATCH(B113,$J$13:$J$27,0),1))))</f>
        <v>9.4</v>
      </c>
      <c r="E113" s="691"/>
      <c r="J113" s="569" t="s">
        <v>31</v>
      </c>
      <c r="K113" s="569">
        <v>13</v>
      </c>
    </row>
    <row r="114" spans="1:11" ht="21" customHeight="1">
      <c r="A114" s="689">
        <v>8</v>
      </c>
      <c r="B114" s="1008" t="s">
        <v>32</v>
      </c>
      <c r="C114" s="1009"/>
      <c r="D114" s="690">
        <f>IF(E142="","",IF(INDEX(THHKI!$A$8:$Y$62,MATCH(PDHKI!E142,THHKI!$A$8:$A$62,0),INDEX($K$13:$K$27,MATCH(B114,$J$13:$J$27,0),1))&lt;1,"/",INDEX(THHKI!$A$8:$Y$62,MATCH(PDHKI!E142,THHKI!$A$8:$A$62,0),INDEX($K$13:$K$27,MATCH(B114,$J$13:$J$27,0),1))))</f>
        <v>9.6</v>
      </c>
      <c r="E114" s="691"/>
      <c r="J114" s="569" t="s">
        <v>32</v>
      </c>
      <c r="K114" s="569">
        <v>14</v>
      </c>
    </row>
    <row r="115" spans="1:11" ht="21" customHeight="1">
      <c r="A115" s="689">
        <v>9</v>
      </c>
      <c r="B115" s="1008" t="s">
        <v>33</v>
      </c>
      <c r="C115" s="1009"/>
      <c r="D115" s="690">
        <f>IF(E142="","",IF(INDEX(THHKI!$A$8:$Y$62,MATCH(PDHKI!E142,THHKI!$A$8:$A$62,0),INDEX($K$13:$K$27,MATCH(B115,$J$13:$J$27,0),1))&lt;1,"/",INDEX(THHKI!$A$8:$Y$62,MATCH(PDHKI!E142,THHKI!$A$8:$A$62,0),INDEX($K$13:$K$27,MATCH(B115,$J$13:$J$27,0),1))))</f>
        <v>8.1999999999999993</v>
      </c>
      <c r="E115" s="691"/>
      <c r="J115" s="569" t="s">
        <v>33</v>
      </c>
      <c r="K115" s="569">
        <v>15</v>
      </c>
    </row>
    <row r="116" spans="1:11" ht="21" customHeight="1">
      <c r="A116" s="689">
        <v>10</v>
      </c>
      <c r="B116" s="1008" t="s">
        <v>60</v>
      </c>
      <c r="C116" s="1009"/>
      <c r="D116" s="690">
        <f>IF(E142="","",IF(INDEX(THHKI!$A$8:$Y$62,MATCH(PDHKI!E142,THHKI!$A$8:$A$62,0),INDEX($K$13:$K$27,MATCH(B116,$J$13:$J$27,0),1))&lt;1,"/",INDEX(THHKI!$A$8:$Y$62,MATCH(PDHKI!E142,THHKI!$A$8:$A$62,0),INDEX($K$13:$K$27,MATCH(B116,$J$13:$J$27,0),1))))</f>
        <v>8.8000000000000007</v>
      </c>
      <c r="E116" s="691"/>
      <c r="J116" s="569" t="s">
        <v>60</v>
      </c>
      <c r="K116" s="569">
        <v>16</v>
      </c>
    </row>
    <row r="117" spans="1:11" ht="21" customHeight="1">
      <c r="A117" s="689">
        <v>11</v>
      </c>
      <c r="B117" s="1008" t="s">
        <v>34</v>
      </c>
      <c r="C117" s="1009"/>
      <c r="D117" s="690">
        <f>IF(E142="","",IF(INDEX(THHKI!$A$8:$Y$62,MATCH(PDHKI!E142,THHKI!$A$8:$A$62,0),INDEX($K$13:$K$27,MATCH(B117,$J$13:$J$27,0),1))&lt;1,"/",INDEX(THHKI!$A$8:$Y$62,MATCH(PDHKI!E142,THHKI!$A$8:$A$62,0),INDEX($K$13:$K$27,MATCH(B117,$J$13:$J$27,0),1))))</f>
        <v>9.5</v>
      </c>
      <c r="E117" s="691"/>
      <c r="J117" s="569" t="s">
        <v>34</v>
      </c>
      <c r="K117" s="569">
        <v>17</v>
      </c>
    </row>
    <row r="118" spans="1:11" ht="21" customHeight="1">
      <c r="A118" s="689">
        <v>12</v>
      </c>
      <c r="B118" s="1008" t="s">
        <v>35</v>
      </c>
      <c r="C118" s="1009"/>
      <c r="D118" s="690" t="str">
        <f>IF(E142="","",IF(INDEX(THHKI!$A$8:$Y$62,MATCH(PDHKI!E142,THHKI!$A$8:$A$62,0),INDEX($K$13:$K$27,MATCH(B118,$J$13:$J$27,0),1))&lt;1,"/",INDEX(THHKI!$A$8:$Y$62,MATCH(PDHKI!E142,THHKI!$A$8:$A$62,0),INDEX($K$13:$K$27,MATCH(B118,$J$13:$J$27,0),1))))</f>
        <v>Đ</v>
      </c>
      <c r="E118" s="691"/>
      <c r="J118" s="569" t="s">
        <v>35</v>
      </c>
      <c r="K118" s="569">
        <v>18</v>
      </c>
    </row>
    <row r="119" spans="1:11" ht="21" customHeight="1">
      <c r="A119" s="689">
        <v>13</v>
      </c>
      <c r="B119" s="1008" t="s">
        <v>121</v>
      </c>
      <c r="C119" s="1009"/>
      <c r="D119" s="690">
        <f>IF(E142="","",IF(INDEX(THHKI!$A$8:$Y$62,MATCH(PDHKI!E142,THHKI!$A$8:$A$62,0),INDEX($K$13:$K$27,MATCH(B119,$J$13:$J$27,0),1))&lt;1,"/",INDEX(THHKI!$A$8:$Y$62,MATCH(PDHKI!E142,THHKI!$A$8:$A$62,0),INDEX($K$13:$K$27,MATCH(B119,$J$13:$J$27,0),1))))</f>
        <v>9.4</v>
      </c>
      <c r="E119" s="691"/>
      <c r="J119" s="569" t="s">
        <v>22</v>
      </c>
      <c r="K119" s="569">
        <v>19</v>
      </c>
    </row>
    <row r="120" spans="1:11" ht="21" customHeight="1" thickBot="1">
      <c r="A120" s="692">
        <v>14</v>
      </c>
      <c r="B120" s="1010" t="s">
        <v>122</v>
      </c>
      <c r="C120" s="1011"/>
      <c r="D120" s="693" t="str">
        <f>IF(E142="","",IF(INDEX(THHKI!$A$8:$Y$62,MATCH(PDHKI!E142,THHKI!$A$8:$A$62,0),INDEX($K$13:$K$27,MATCH(B120,$J$13:$J$27,0),1))&lt;1,"/",INDEX(THHKI!$A$8:$Y$62,MATCH(PDHKI!E142,THHKI!$A$8:$A$62,0),INDEX($K$13:$K$27,MATCH(B120,$J$13:$J$27,0),1))))</f>
        <v/>
      </c>
      <c r="E120" s="694"/>
      <c r="J120" s="569" t="s">
        <v>121</v>
      </c>
      <c r="K120" s="569">
        <v>20</v>
      </c>
    </row>
    <row r="121" spans="1:11" ht="21" customHeight="1" thickBot="1">
      <c r="A121" s="695">
        <v>15</v>
      </c>
      <c r="B121" s="1006" t="s">
        <v>149</v>
      </c>
      <c r="C121" s="1007"/>
      <c r="D121" s="696">
        <f>IF(E142="","",IF(INDEX(THHKI!$A$8:$Y$62,MATCH(PDHKI!E142,THHKI!$A$8:$A$62,0),22)&lt;1,"/",INDEX(THHKI!$A$8:$Y$62,MATCH(PDHKI!E142,THHKI!$A$8:$A$62,0),22)))</f>
        <v>9.1</v>
      </c>
      <c r="E121" s="697"/>
      <c r="J121" s="569" t="s">
        <v>122</v>
      </c>
      <c r="K121" s="569">
        <v>21</v>
      </c>
    </row>
    <row r="122" spans="1:11" ht="15.75" customHeight="1" thickBot="1"/>
    <row r="123" spans="1:11" s="570" customFormat="1" ht="21" customHeight="1">
      <c r="A123" s="698"/>
      <c r="B123" s="1019" t="s">
        <v>150</v>
      </c>
      <c r="C123" s="1020"/>
      <c r="D123" s="699" t="s">
        <v>10</v>
      </c>
      <c r="E123" s="700" t="s">
        <v>126</v>
      </c>
    </row>
    <row r="124" spans="1:11" ht="21" customHeight="1">
      <c r="A124" s="701">
        <v>16</v>
      </c>
      <c r="B124" s="1021" t="s">
        <v>151</v>
      </c>
      <c r="C124" s="1022"/>
      <c r="D124" s="702" t="str">
        <f>IF(E142="","",IF(INDEX(THHKI!$A$8:$Y$62,MATCH(PDHKI!E142,THHKI!$A$8:$A$62,0),23)="","/",INDEX(THHKI!$A$8:$Y$62,MATCH(PDHKI!E142,THHKI!$A$8:$A$62,0),23)))</f>
        <v>Giỏi</v>
      </c>
      <c r="E124" s="703"/>
    </row>
    <row r="125" spans="1:11" ht="21" customHeight="1">
      <c r="A125" s="701">
        <v>17</v>
      </c>
      <c r="B125" s="1021" t="s">
        <v>152</v>
      </c>
      <c r="C125" s="1022"/>
      <c r="D125" s="702" t="str">
        <f>IF(E142="","",IF(INDEX(THHKI!$A$8:$Y$62,MATCH(PDHKI!E142,THHKI!$A$8:$A$62,0),24)="","/",INDEX(THHKI!$A$8:$Y$62,MATCH(PDHKI!E142,THHKI!$A$8:$A$62,0),24)))</f>
        <v>Tốt</v>
      </c>
      <c r="E125" s="703"/>
    </row>
    <row r="126" spans="1:11" ht="21" customHeight="1" thickBot="1">
      <c r="A126" s="704">
        <v>18</v>
      </c>
      <c r="B126" s="1023" t="s">
        <v>153</v>
      </c>
      <c r="C126" s="1024"/>
      <c r="D126" s="705" t="str">
        <f>IF(E142="","",IF(INDEX(THHKI!$A$8:$Y$62,MATCH(PDHKI!E142,THHKI!$A$8:$A$62,0),25)="","/",INDEX(THHKI!$A$8:$Y$62,MATCH(PDHKI!E142,THHKI!$A$8:$A$62,0),25)))</f>
        <v>HSG</v>
      </c>
      <c r="E126" s="706"/>
    </row>
    <row r="127" spans="1:11" ht="9.75" customHeight="1"/>
    <row r="128" spans="1:11" ht="15.75" customHeight="1">
      <c r="A128" s="58" t="s">
        <v>219</v>
      </c>
    </row>
    <row r="129" spans="1:8" ht="18" customHeight="1">
      <c r="A129" s="59" t="str">
        <f>IF(E142="","",IF(INDEX(DiemHKI!$DE$4:$DH$58,MATCH(PDHKI!E142,DiemHKI!$B$4:$B$58,0),1)="","","- "&amp;INDEX(DiemHKI!$DE$4:$DH$58,MATCH(PDHKI!E142,DiemHKI!$B$4:$B$58,0),1)))</f>
        <v/>
      </c>
      <c r="H129" s="571"/>
    </row>
    <row r="130" spans="1:8" ht="18" customHeight="1">
      <c r="A130" s="59" t="str">
        <f>IF(E142="","",IF(INDEX(DiemHKI!$DE$4:$DH$58,MATCH(PDHKI!E142,DiemHKI!$B$4:$B$58,0),2)="","","- "&amp;INDEX(DiemHKI!$DE$4:$DH$58,MATCH(PDHKI!E142,DiemHKI!$B$4:$B$58,0),2)))</f>
        <v/>
      </c>
    </row>
    <row r="131" spans="1:8" ht="18" customHeight="1">
      <c r="A131" s="59" t="str">
        <f>IF(E142="","",IF(INDEX(DiemHKI!$DE$4:$DH$58,MATCH(PDHKI!E142,DiemHKI!$B$4:$B$58,0),3)="","","- "&amp;INDEX(DiemHKI!$DE$4:$DH$58,MATCH(PDHKI!E142,DiemHKI!$B$4:$B$58,0),3)))</f>
        <v/>
      </c>
    </row>
    <row r="132" spans="1:8" ht="18" customHeight="1">
      <c r="A132" s="59" t="str">
        <f>IF(E142="","",IF(INDEX(DiemHKI!$DE$4:$DH$58,MATCH(PDHKI!E142,DiemHKI!$B$4:$B$58,0),4)="","","- "&amp;INDEX(DiemHKI!$DE$4:$DH$58,MATCH(PDHKI!E142,DiemHKI!$B$4:$B$58,0),4)))</f>
        <v/>
      </c>
    </row>
    <row r="133" spans="1:8" ht="6.75" customHeight="1"/>
    <row r="134" spans="1:8" ht="16.5" customHeight="1">
      <c r="A134" s="61"/>
      <c r="C134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34" s="1026"/>
      <c r="E134" s="1026"/>
    </row>
    <row r="135" spans="1:8" ht="21.75" customHeight="1">
      <c r="A135" s="923" t="str">
        <f>IF($D$41="Hiệu trưởng","Giáo viên Quản nhiệm","")</f>
        <v>Giáo viên Quản nhiệm</v>
      </c>
      <c r="B135" s="923"/>
      <c r="C135" s="923"/>
      <c r="D135" s="707" t="str">
        <f>IF($G$5="","",$G$5)</f>
        <v>Hiệu trưởng</v>
      </c>
      <c r="E135" s="708"/>
    </row>
    <row r="136" spans="1:8" ht="15" customHeight="1">
      <c r="A136" s="61"/>
      <c r="B136" s="61"/>
      <c r="C136" s="61"/>
      <c r="D136" s="66"/>
      <c r="E136" s="66"/>
    </row>
    <row r="137" spans="1:8" ht="15" customHeight="1">
      <c r="A137" s="61"/>
      <c r="B137" s="61"/>
      <c r="C137" s="61"/>
      <c r="D137" s="66"/>
      <c r="E137" s="66"/>
    </row>
    <row r="138" spans="1:8" ht="15" customHeight="1">
      <c r="A138" s="61"/>
      <c r="B138" s="61"/>
      <c r="C138" s="61"/>
    </row>
    <row r="139" spans="1:8" ht="15" customHeight="1">
      <c r="A139" s="61"/>
      <c r="B139" s="61"/>
      <c r="C139" s="61"/>
    </row>
    <row r="140" spans="1:8" ht="16.5" customHeight="1">
      <c r="A140" s="1012" t="str">
        <f>IF($A$41="","",PROPER('Huong dan'!$C$4))</f>
        <v/>
      </c>
      <c r="B140" s="1012"/>
      <c r="C140" s="1012"/>
      <c r="D140" s="833" t="str">
        <f>IFERROR(IF($D$41="Giáo Viên Quản nhiệm",PROPER('Huong dan'!$C$4),IF($D$41="Hiệu trưởng",PROPER('Huong dan'!$E$5),"")),"")</f>
        <v/>
      </c>
      <c r="E140" s="708"/>
    </row>
    <row r="141" spans="1:8" ht="12.75" customHeight="1"/>
    <row r="142" spans="1:8" ht="12.75" customHeight="1">
      <c r="A142" s="709"/>
      <c r="B142" s="709"/>
      <c r="C142" s="709"/>
      <c r="D142" s="710"/>
      <c r="E142" s="711">
        <f>IF(E95="","",IF(E95&lt;MAX(DiemHKI!$B$4:$B$58),E95+1,""))</f>
        <v>3</v>
      </c>
    </row>
    <row r="143" spans="1:8" ht="8.25" customHeight="1">
      <c r="A143" s="709"/>
      <c r="B143" s="709"/>
      <c r="C143" s="709"/>
      <c r="D143" s="709"/>
      <c r="E143" s="709"/>
    </row>
    <row r="144" spans="1:8" ht="5.25" customHeight="1"/>
    <row r="145" spans="1:11" s="563" customFormat="1" ht="23.25" customHeight="1">
      <c r="A145" s="931" t="str">
        <f>IF('Huong dan'!$E$3&lt;&gt;"","SỞ GIÁO DỤC VÀ ĐÀO TẠO "&amp;UPPER('Huong dan'!$E$3),"")</f>
        <v>SỞ GIÁO DỤC VÀ ĐÀO TẠO TP. HỒ CHÍ MINH</v>
      </c>
      <c r="B145" s="931"/>
      <c r="C145" s="931"/>
      <c r="D145" s="923" t="s">
        <v>19</v>
      </c>
      <c r="E145" s="923"/>
    </row>
    <row r="146" spans="1:11" ht="17.25" customHeight="1">
      <c r="A146" s="931" t="str">
        <f>IF('Huong dan'!$E$4&lt;&gt;"","TRƯỜNG "&amp;UPPER('Huong dan'!$E$4),"")</f>
        <v>TRƯỜNG THCS VÀ THPT NGUYỄN KHUYẾN</v>
      </c>
      <c r="B146" s="931"/>
      <c r="C146" s="931"/>
      <c r="D146" s="1012" t="s">
        <v>179</v>
      </c>
      <c r="E146" s="1012"/>
    </row>
    <row r="147" spans="1:11" ht="24" customHeight="1">
      <c r="A147" s="61"/>
      <c r="B147" s="61"/>
      <c r="C147" s="61"/>
    </row>
    <row r="148" spans="1:11" ht="29.25" customHeight="1">
      <c r="A148" s="1013" t="str">
        <f>"PHIẾU ĐIỂM HỌC KỲ I - NĂM HỌC "&amp;'Huong dan'!$C$5</f>
        <v>PHIẾU ĐIỂM HỌC KỲ I - NĂM HỌC 2021 - 2022</v>
      </c>
      <c r="B148" s="1013"/>
      <c r="C148" s="1013"/>
      <c r="D148" s="1013"/>
      <c r="E148" s="1013"/>
    </row>
    <row r="149" spans="1:11" ht="15.75" customHeight="1">
      <c r="A149" s="680"/>
      <c r="B149" s="680"/>
    </row>
    <row r="150" spans="1:11" ht="21" customHeight="1">
      <c r="A150" s="1014" t="s">
        <v>145</v>
      </c>
      <c r="B150" s="1014"/>
      <c r="C150" s="1015" t="str">
        <f>IF(E189="","",INDEX(DiemHKI!$D$4:$D$58,MATCH(E189,DiemHKI!$B$4:$B$58,0),1)&amp;" "&amp;INDEX(DiemHKI!$E$4:$E$58,MATCH(E189,DiemHKI!$B$4:$B$58,0),1))</f>
        <v>Nguyễn Quách Mai Anh</v>
      </c>
      <c r="D150" s="1015"/>
      <c r="E150" s="62" t="str">
        <f>IF('Huong dan'!$C$3="","","Lớp: "&amp;'Huong dan'!$C$3)</f>
        <v>Lớp: 12A1</v>
      </c>
    </row>
    <row r="151" spans="1:11" ht="23.25" customHeight="1">
      <c r="A151" s="1014" t="s">
        <v>146</v>
      </c>
      <c r="B151" s="1014"/>
      <c r="C151" s="681" t="str">
        <f>IF(E189="","",INDEX(DiemHKI!$F$4:$F$58,MATCH(PDHKI!E189,DiemHKI!$B$4:$B$58,0),1))</f>
        <v>12/05/2004</v>
      </c>
      <c r="D151" s="1016" t="str">
        <f>IF(E189="","","Nơi sinh: "&amp;INDEX(DiemHKI!$G$4:$G$58,MATCH(PDHKI!E189,DiemHKI!$B$4:$B$58,0),1))</f>
        <v>Nơi sinh: TP. Hồ Chí Minh</v>
      </c>
      <c r="E151" s="1016"/>
    </row>
    <row r="152" spans="1:11" ht="13.5" customHeight="1" thickBot="1">
      <c r="A152" s="681"/>
      <c r="B152" s="682"/>
      <c r="D152" s="681"/>
      <c r="E152" s="681"/>
    </row>
    <row r="153" spans="1:11" ht="24" customHeight="1" thickBot="1">
      <c r="A153" s="683" t="s">
        <v>0</v>
      </c>
      <c r="B153" s="1006" t="s">
        <v>72</v>
      </c>
      <c r="C153" s="1007"/>
      <c r="D153" s="684" t="s">
        <v>147</v>
      </c>
      <c r="E153" s="685" t="s">
        <v>148</v>
      </c>
    </row>
    <row r="154" spans="1:11" ht="21" customHeight="1">
      <c r="A154" s="686">
        <v>1</v>
      </c>
      <c r="B154" s="1017" t="s">
        <v>26</v>
      </c>
      <c r="C154" s="1018"/>
      <c r="D154" s="687">
        <f>IF(E189="","",IF(INDEX(THHKI!$A$8:$Y$62,MATCH(PDHKI!E189,THHKI!$A$8:$A$62,0),INDEX($K$13:$K$27,MATCH(B154,$J$13:$J$27,0),1))&lt;1,"/",INDEX(THHKI!$A$8:$Y$62,MATCH(PDHKI!E189,THHKI!$A$8:$A$62,0),INDEX($K$13:$K$27,MATCH(B154,$J$13:$J$27,0),1))))</f>
        <v>9.8000000000000007</v>
      </c>
      <c r="E154" s="688"/>
      <c r="J154" s="569" t="s">
        <v>26</v>
      </c>
      <c r="K154" s="569">
        <v>7</v>
      </c>
    </row>
    <row r="155" spans="1:11" ht="21" customHeight="1">
      <c r="A155" s="689">
        <v>2</v>
      </c>
      <c r="B155" s="1008" t="s">
        <v>27</v>
      </c>
      <c r="C155" s="1009"/>
      <c r="D155" s="690">
        <f>IF(E189="","",IF(INDEX(THHKI!$A$8:$Y$62,MATCH(PDHKI!E189,THHKI!$A$8:$A$62,0),INDEX($K$13:$K$27,MATCH(B155,$J$13:$J$27,0),1))&lt;1,"/",INDEX(THHKI!$A$8:$Y$62,MATCH(PDHKI!E189,THHKI!$A$8:$A$62,0),INDEX($K$13:$K$27,MATCH(B155,$J$13:$J$27,0),1))))</f>
        <v>9.6999999999999993</v>
      </c>
      <c r="E155" s="691"/>
      <c r="J155" s="569" t="s">
        <v>27</v>
      </c>
      <c r="K155" s="569">
        <v>8</v>
      </c>
    </row>
    <row r="156" spans="1:11" ht="21" customHeight="1">
      <c r="A156" s="689">
        <v>3</v>
      </c>
      <c r="B156" s="1008" t="s">
        <v>28</v>
      </c>
      <c r="C156" s="1009"/>
      <c r="D156" s="690">
        <f>IF(E189="","",IF(INDEX(THHKI!$A$8:$Y$62,MATCH(PDHKI!E189,THHKI!$A$8:$A$62,0),INDEX($K$13:$K$27,MATCH(B156,$J$13:$J$27,0),1))&lt;1,"/",INDEX(THHKI!$A$8:$Y$62,MATCH(PDHKI!E189,THHKI!$A$8:$A$62,0),INDEX($K$13:$K$27,MATCH(B156,$J$13:$J$27,0),1))))</f>
        <v>9.3000000000000007</v>
      </c>
      <c r="E156" s="691"/>
      <c r="J156" s="569" t="s">
        <v>28</v>
      </c>
      <c r="K156" s="569">
        <v>9</v>
      </c>
    </row>
    <row r="157" spans="1:11" ht="21" customHeight="1">
      <c r="A157" s="689">
        <v>4</v>
      </c>
      <c r="B157" s="1008" t="s">
        <v>29</v>
      </c>
      <c r="C157" s="1009"/>
      <c r="D157" s="690">
        <f>IF(E189="","",IF(INDEX(THHKI!$A$8:$Y$62,MATCH(PDHKI!E189,THHKI!$A$8:$A$62,0),INDEX($K$13:$K$27,MATCH(B157,$J$13:$J$27,0),1))&lt;1,"/",INDEX(THHKI!$A$8:$Y$62,MATCH(PDHKI!E189,THHKI!$A$8:$A$62,0),INDEX($K$13:$K$27,MATCH(B157,$J$13:$J$27,0),1))))</f>
        <v>9.1999999999999993</v>
      </c>
      <c r="E157" s="691"/>
      <c r="J157" s="569" t="s">
        <v>29</v>
      </c>
      <c r="K157" s="569">
        <v>10</v>
      </c>
    </row>
    <row r="158" spans="1:11" ht="21" customHeight="1">
      <c r="A158" s="689">
        <v>5</v>
      </c>
      <c r="B158" s="1008" t="s">
        <v>120</v>
      </c>
      <c r="C158" s="1009"/>
      <c r="D158" s="690">
        <f>IF(E189="","",IF(INDEX(THHKI!$A$8:$Y$62,MATCH(PDHKI!E189,THHKI!$A$8:$A$62,0),INDEX($K$13:$K$27,MATCH(B158,$J$13:$J$27,0),1))&lt;1,"/",INDEX(THHKI!$A$8:$Y$62,MATCH(PDHKI!E189,THHKI!$A$8:$A$62,0),INDEX($K$13:$K$27,MATCH(B158,$J$13:$J$27,0),1))))</f>
        <v>9.8000000000000007</v>
      </c>
      <c r="E158" s="691"/>
      <c r="J158" s="569" t="s">
        <v>120</v>
      </c>
      <c r="K158" s="569">
        <v>11</v>
      </c>
    </row>
    <row r="159" spans="1:11" ht="21" customHeight="1">
      <c r="A159" s="689">
        <v>6</v>
      </c>
      <c r="B159" s="1008" t="s">
        <v>30</v>
      </c>
      <c r="C159" s="1009"/>
      <c r="D159" s="690">
        <f>IF(E189="","",IF(INDEX(THHKI!$A$8:$Y$62,MATCH(PDHKI!E189,THHKI!$A$8:$A$62,0),INDEX($K$13:$K$27,MATCH(B159,$J$13:$J$27,0),1))&lt;1,"/",INDEX(THHKI!$A$8:$Y$62,MATCH(PDHKI!E189,THHKI!$A$8:$A$62,0),INDEX($K$13:$K$27,MATCH(B159,$J$13:$J$27,0),1))))</f>
        <v>7.4</v>
      </c>
      <c r="E159" s="691"/>
      <c r="J159" s="569" t="s">
        <v>30</v>
      </c>
      <c r="K159" s="569">
        <v>12</v>
      </c>
    </row>
    <row r="160" spans="1:11" ht="21" customHeight="1">
      <c r="A160" s="689">
        <v>7</v>
      </c>
      <c r="B160" s="1008" t="s">
        <v>31</v>
      </c>
      <c r="C160" s="1009"/>
      <c r="D160" s="690">
        <f>IF(E189="","",IF(INDEX(THHKI!$A$8:$Y$62,MATCH(PDHKI!E189,THHKI!$A$8:$A$62,0),INDEX($K$13:$K$27,MATCH(B160,$J$13:$J$27,0),1))&lt;1,"/",INDEX(THHKI!$A$8:$Y$62,MATCH(PDHKI!E189,THHKI!$A$8:$A$62,0),INDEX($K$13:$K$27,MATCH(B160,$J$13:$J$27,0),1))))</f>
        <v>9.8000000000000007</v>
      </c>
      <c r="E160" s="691"/>
      <c r="J160" s="569" t="s">
        <v>31</v>
      </c>
      <c r="K160" s="569">
        <v>13</v>
      </c>
    </row>
    <row r="161" spans="1:11" ht="21" customHeight="1">
      <c r="A161" s="689">
        <v>8</v>
      </c>
      <c r="B161" s="1008" t="s">
        <v>32</v>
      </c>
      <c r="C161" s="1009"/>
      <c r="D161" s="690">
        <f>IF(E189="","",IF(INDEX(THHKI!$A$8:$Y$62,MATCH(PDHKI!E189,THHKI!$A$8:$A$62,0),INDEX($K$13:$K$27,MATCH(B161,$J$13:$J$27,0),1))&lt;1,"/",INDEX(THHKI!$A$8:$Y$62,MATCH(PDHKI!E189,THHKI!$A$8:$A$62,0),INDEX($K$13:$K$27,MATCH(B161,$J$13:$J$27,0),1))))</f>
        <v>9.9</v>
      </c>
      <c r="E161" s="691"/>
      <c r="J161" s="569" t="s">
        <v>32</v>
      </c>
      <c r="K161" s="569">
        <v>14</v>
      </c>
    </row>
    <row r="162" spans="1:11" ht="21" customHeight="1">
      <c r="A162" s="689">
        <v>9</v>
      </c>
      <c r="B162" s="1008" t="s">
        <v>33</v>
      </c>
      <c r="C162" s="1009"/>
      <c r="D162" s="690">
        <f>IF(E189="","",IF(INDEX(THHKI!$A$8:$Y$62,MATCH(PDHKI!E189,THHKI!$A$8:$A$62,0),INDEX($K$13:$K$27,MATCH(B162,$J$13:$J$27,0),1))&lt;1,"/",INDEX(THHKI!$A$8:$Y$62,MATCH(PDHKI!E189,THHKI!$A$8:$A$62,0),INDEX($K$13:$K$27,MATCH(B162,$J$13:$J$27,0),1))))</f>
        <v>8</v>
      </c>
      <c r="E162" s="691"/>
      <c r="J162" s="569" t="s">
        <v>33</v>
      </c>
      <c r="K162" s="569">
        <v>15</v>
      </c>
    </row>
    <row r="163" spans="1:11" ht="21" customHeight="1">
      <c r="A163" s="689">
        <v>10</v>
      </c>
      <c r="B163" s="1008" t="s">
        <v>60</v>
      </c>
      <c r="C163" s="1009"/>
      <c r="D163" s="690">
        <f>IF(E189="","",IF(INDEX(THHKI!$A$8:$Y$62,MATCH(PDHKI!E189,THHKI!$A$8:$A$62,0),INDEX($K$13:$K$27,MATCH(B163,$J$13:$J$27,0),1))&lt;1,"/",INDEX(THHKI!$A$8:$Y$62,MATCH(PDHKI!E189,THHKI!$A$8:$A$62,0),INDEX($K$13:$K$27,MATCH(B163,$J$13:$J$27,0),1))))</f>
        <v>9.5</v>
      </c>
      <c r="E163" s="691"/>
      <c r="J163" s="569" t="s">
        <v>60</v>
      </c>
      <c r="K163" s="569">
        <v>16</v>
      </c>
    </row>
    <row r="164" spans="1:11" ht="21" customHeight="1">
      <c r="A164" s="689">
        <v>11</v>
      </c>
      <c r="B164" s="1008" t="s">
        <v>34</v>
      </c>
      <c r="C164" s="1009"/>
      <c r="D164" s="690">
        <f>IF(E189="","",IF(INDEX(THHKI!$A$8:$Y$62,MATCH(PDHKI!E189,THHKI!$A$8:$A$62,0),INDEX($K$13:$K$27,MATCH(B164,$J$13:$J$27,0),1))&lt;1,"/",INDEX(THHKI!$A$8:$Y$62,MATCH(PDHKI!E189,THHKI!$A$8:$A$62,0),INDEX($K$13:$K$27,MATCH(B164,$J$13:$J$27,0),1))))</f>
        <v>9.9</v>
      </c>
      <c r="E164" s="691"/>
      <c r="J164" s="569" t="s">
        <v>34</v>
      </c>
      <c r="K164" s="569">
        <v>17</v>
      </c>
    </row>
    <row r="165" spans="1:11" ht="21" customHeight="1">
      <c r="A165" s="689">
        <v>12</v>
      </c>
      <c r="B165" s="1008" t="s">
        <v>35</v>
      </c>
      <c r="C165" s="1009"/>
      <c r="D165" s="690" t="str">
        <f>IF(E189="","",IF(INDEX(THHKI!$A$8:$Y$62,MATCH(PDHKI!E189,THHKI!$A$8:$A$62,0),INDEX($K$13:$K$27,MATCH(B165,$J$13:$J$27,0),1))&lt;1,"/",INDEX(THHKI!$A$8:$Y$62,MATCH(PDHKI!E189,THHKI!$A$8:$A$62,0),INDEX($K$13:$K$27,MATCH(B165,$J$13:$J$27,0),1))))</f>
        <v>Đ</v>
      </c>
      <c r="E165" s="691"/>
      <c r="J165" s="569" t="s">
        <v>35</v>
      </c>
      <c r="K165" s="569">
        <v>18</v>
      </c>
    </row>
    <row r="166" spans="1:11" ht="21" customHeight="1">
      <c r="A166" s="689">
        <v>13</v>
      </c>
      <c r="B166" s="1008" t="s">
        <v>121</v>
      </c>
      <c r="C166" s="1009"/>
      <c r="D166" s="690">
        <f>IF(E189="","",IF(INDEX(THHKI!$A$8:$Y$62,MATCH(PDHKI!E189,THHKI!$A$8:$A$62,0),INDEX($K$13:$K$27,MATCH(B166,$J$13:$J$27,0),1))&lt;1,"/",INDEX(THHKI!$A$8:$Y$62,MATCH(PDHKI!E189,THHKI!$A$8:$A$62,0),INDEX($K$13:$K$27,MATCH(B166,$J$13:$J$27,0),1))))</f>
        <v>9.9</v>
      </c>
      <c r="E166" s="691"/>
      <c r="J166" s="569" t="s">
        <v>22</v>
      </c>
      <c r="K166" s="569">
        <v>19</v>
      </c>
    </row>
    <row r="167" spans="1:11" ht="21" customHeight="1" thickBot="1">
      <c r="A167" s="692">
        <v>14</v>
      </c>
      <c r="B167" s="1010" t="s">
        <v>122</v>
      </c>
      <c r="C167" s="1011"/>
      <c r="D167" s="693" t="str">
        <f>IF(E189="","",IF(INDEX(THHKI!$A$8:$Y$62,MATCH(PDHKI!E189,THHKI!$A$8:$A$62,0),INDEX($K$13:$K$27,MATCH(B167,$J$13:$J$27,0),1))&lt;1,"/",INDEX(THHKI!$A$8:$Y$62,MATCH(PDHKI!E189,THHKI!$A$8:$A$62,0),INDEX($K$13:$K$27,MATCH(B167,$J$13:$J$27,0),1))))</f>
        <v/>
      </c>
      <c r="E167" s="694"/>
      <c r="J167" s="569" t="s">
        <v>121</v>
      </c>
      <c r="K167" s="569">
        <v>20</v>
      </c>
    </row>
    <row r="168" spans="1:11" ht="21" customHeight="1" thickBot="1">
      <c r="A168" s="695">
        <v>15</v>
      </c>
      <c r="B168" s="1006" t="s">
        <v>149</v>
      </c>
      <c r="C168" s="1007"/>
      <c r="D168" s="696">
        <f>IF(E189="","",IF(INDEX(THHKI!$A$8:$Y$62,MATCH(PDHKI!E189,THHKI!$A$8:$A$62,0),22)&lt;1,"/",INDEX(THHKI!$A$8:$Y$62,MATCH(PDHKI!E189,THHKI!$A$8:$A$62,0),22)))</f>
        <v>9.4</v>
      </c>
      <c r="E168" s="697"/>
      <c r="J168" s="569" t="s">
        <v>122</v>
      </c>
      <c r="K168" s="569">
        <v>21</v>
      </c>
    </row>
    <row r="169" spans="1:11" ht="15.75" customHeight="1" thickBot="1"/>
    <row r="170" spans="1:11" s="570" customFormat="1" ht="21" customHeight="1">
      <c r="A170" s="698"/>
      <c r="B170" s="1019" t="s">
        <v>150</v>
      </c>
      <c r="C170" s="1020"/>
      <c r="D170" s="699" t="s">
        <v>10</v>
      </c>
      <c r="E170" s="700" t="s">
        <v>126</v>
      </c>
    </row>
    <row r="171" spans="1:11" ht="21" customHeight="1">
      <c r="A171" s="701">
        <v>16</v>
      </c>
      <c r="B171" s="1021" t="s">
        <v>151</v>
      </c>
      <c r="C171" s="1022"/>
      <c r="D171" s="702" t="str">
        <f>IF(E189="","",IF(INDEX(THHKI!$A$8:$Y$62,MATCH(PDHKI!E189,THHKI!$A$8:$A$62,0),23)="","/",INDEX(THHKI!$A$8:$Y$62,MATCH(PDHKI!E189,THHKI!$A$8:$A$62,0),23)))</f>
        <v>Giỏi</v>
      </c>
      <c r="E171" s="703"/>
    </row>
    <row r="172" spans="1:11" ht="21" customHeight="1">
      <c r="A172" s="701">
        <v>17</v>
      </c>
      <c r="B172" s="1021" t="s">
        <v>152</v>
      </c>
      <c r="C172" s="1022"/>
      <c r="D172" s="702" t="str">
        <f>IF(E189="","",IF(INDEX(THHKI!$A$8:$Y$62,MATCH(PDHKI!E189,THHKI!$A$8:$A$62,0),24)="","/",INDEX(THHKI!$A$8:$Y$62,MATCH(PDHKI!E189,THHKI!$A$8:$A$62,0),24)))</f>
        <v>Tốt</v>
      </c>
      <c r="E172" s="703"/>
    </row>
    <row r="173" spans="1:11" ht="21" customHeight="1" thickBot="1">
      <c r="A173" s="704">
        <v>18</v>
      </c>
      <c r="B173" s="1023" t="s">
        <v>153</v>
      </c>
      <c r="C173" s="1024"/>
      <c r="D173" s="705" t="str">
        <f>IF(E189="","",IF(INDEX(THHKI!$A$8:$Y$62,MATCH(PDHKI!E189,THHKI!$A$8:$A$62,0),25)="","/",INDEX(THHKI!$A$8:$Y$62,MATCH(PDHKI!E189,THHKI!$A$8:$A$62,0),25)))</f>
        <v>HSG</v>
      </c>
      <c r="E173" s="706"/>
    </row>
    <row r="174" spans="1:11" ht="9.75" customHeight="1"/>
    <row r="175" spans="1:11" ht="15.75" customHeight="1">
      <c r="A175" s="58" t="s">
        <v>219</v>
      </c>
    </row>
    <row r="176" spans="1:11" ht="18" customHeight="1">
      <c r="A176" s="59" t="str">
        <f>IF(E189="","",IF(INDEX(DiemHKI!$DE$4:$DH$58,MATCH(PDHKI!E189,DiemHKI!$B$4:$B$58,0),1)="","","- "&amp;INDEX(DiemHKI!$DE$4:$DH$58,MATCH(PDHKI!E189,DiemHKI!$B$4:$B$58,0),1)))</f>
        <v/>
      </c>
      <c r="H176" s="571"/>
    </row>
    <row r="177" spans="1:5" ht="18" customHeight="1">
      <c r="A177" s="59" t="str">
        <f>IF(E189="","",IF(INDEX(DiemHKI!$DE$4:$DH$58,MATCH(PDHKI!E189,DiemHKI!$B$4:$B$58,0),2)="","","- "&amp;INDEX(DiemHKI!$DE$4:$DH$58,MATCH(PDHKI!E189,DiemHKI!$B$4:$B$58,0),2)))</f>
        <v/>
      </c>
    </row>
    <row r="178" spans="1:5" ht="18" customHeight="1">
      <c r="A178" s="59" t="str">
        <f>IF(E189="","",IF(INDEX(DiemHKI!$DE$4:$DH$58,MATCH(PDHKI!E189,DiemHKI!$B$4:$B$58,0),3)="","","- "&amp;INDEX(DiemHKI!$DE$4:$DH$58,MATCH(PDHKI!E189,DiemHKI!$B$4:$B$58,0),3)))</f>
        <v/>
      </c>
    </row>
    <row r="179" spans="1:5" ht="18" customHeight="1">
      <c r="A179" s="59" t="str">
        <f>IF(E189="","",IF(INDEX(DiemHKI!$DE$4:$DH$58,MATCH(PDHKI!E189,DiemHKI!$B$4:$B$58,0),4)="","","- "&amp;INDEX(DiemHKI!$DE$4:$DH$58,MATCH(PDHKI!E189,DiemHKI!$B$4:$B$58,0),4)))</f>
        <v/>
      </c>
    </row>
    <row r="180" spans="1:5" ht="6.75" customHeight="1"/>
    <row r="181" spans="1:5" ht="16.5" customHeight="1">
      <c r="A181" s="61"/>
      <c r="C181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81" s="1026"/>
      <c r="E181" s="1026"/>
    </row>
    <row r="182" spans="1:5" ht="21.75" customHeight="1">
      <c r="A182" s="923" t="str">
        <f>IF($D$41="Hiệu trưởng","Giáo viên Quản nhiệm","")</f>
        <v>Giáo viên Quản nhiệm</v>
      </c>
      <c r="B182" s="923"/>
      <c r="C182" s="923"/>
      <c r="D182" s="707" t="str">
        <f>IF($G$5="","",$G$5)</f>
        <v>Hiệu trưởng</v>
      </c>
      <c r="E182" s="708"/>
    </row>
    <row r="183" spans="1:5" ht="15" customHeight="1">
      <c r="A183" s="61"/>
      <c r="B183" s="61"/>
      <c r="C183" s="61"/>
      <c r="D183" s="66"/>
      <c r="E183" s="66"/>
    </row>
    <row r="184" spans="1:5" ht="15" customHeight="1">
      <c r="A184" s="61"/>
      <c r="B184" s="61"/>
      <c r="C184" s="61"/>
      <c r="D184" s="66"/>
      <c r="E184" s="66"/>
    </row>
    <row r="185" spans="1:5" ht="15" customHeight="1">
      <c r="A185" s="61"/>
      <c r="B185" s="61"/>
      <c r="C185" s="61"/>
    </row>
    <row r="186" spans="1:5" ht="15" customHeight="1">
      <c r="A186" s="61"/>
      <c r="B186" s="61"/>
      <c r="C186" s="61"/>
    </row>
    <row r="187" spans="1:5" ht="16.5" customHeight="1">
      <c r="A187" s="1012" t="str">
        <f>IF($A$41="","",PROPER('Huong dan'!$C$4))</f>
        <v/>
      </c>
      <c r="B187" s="1012"/>
      <c r="C187" s="1012"/>
      <c r="D187" s="833" t="str">
        <f>IFERROR(IF($D$41="Giáo Viên Quản nhiệm",PROPER('Huong dan'!$C$4),IF($D$41="Hiệu trưởng",PROPER('Huong dan'!$E$5),"")),"")</f>
        <v/>
      </c>
      <c r="E187" s="708"/>
    </row>
    <row r="188" spans="1:5" ht="12.75" customHeight="1"/>
    <row r="189" spans="1:5" ht="12.75" customHeight="1">
      <c r="A189" s="709"/>
      <c r="B189" s="709"/>
      <c r="C189" s="709"/>
      <c r="D189" s="710"/>
      <c r="E189" s="711">
        <f>IF(E142="","",IF(E142&lt;MAX(DiemHKI!$B$4:$B$58),E142+1,""))</f>
        <v>4</v>
      </c>
    </row>
    <row r="190" spans="1:5" ht="8.25" customHeight="1">
      <c r="A190" s="709"/>
      <c r="B190" s="709"/>
      <c r="C190" s="709"/>
      <c r="D190" s="709"/>
      <c r="E190" s="709"/>
    </row>
    <row r="191" spans="1:5" ht="5.25" customHeight="1"/>
    <row r="192" spans="1:5" s="563" customFormat="1" ht="23.25" customHeight="1">
      <c r="A192" s="931" t="str">
        <f>IF('Huong dan'!$E$3&lt;&gt;"","SỞ GIÁO DỤC VÀ ĐÀO TẠO "&amp;UPPER('Huong dan'!$E$3),"")</f>
        <v>SỞ GIÁO DỤC VÀ ĐÀO TẠO TP. HỒ CHÍ MINH</v>
      </c>
      <c r="B192" s="931"/>
      <c r="C192" s="931"/>
      <c r="D192" s="923" t="s">
        <v>19</v>
      </c>
      <c r="E192" s="923"/>
    </row>
    <row r="193" spans="1:11" ht="17.25" customHeight="1">
      <c r="A193" s="931" t="str">
        <f>IF('Huong dan'!$E$4&lt;&gt;"","TRƯỜNG "&amp;UPPER('Huong dan'!$E$4),"")</f>
        <v>TRƯỜNG THCS VÀ THPT NGUYỄN KHUYẾN</v>
      </c>
      <c r="B193" s="931"/>
      <c r="C193" s="931"/>
      <c r="D193" s="1012" t="s">
        <v>179</v>
      </c>
      <c r="E193" s="1012"/>
    </row>
    <row r="194" spans="1:11" ht="24" customHeight="1">
      <c r="A194" s="61"/>
      <c r="B194" s="61"/>
      <c r="C194" s="61"/>
    </row>
    <row r="195" spans="1:11" ht="29.25" customHeight="1">
      <c r="A195" s="1013" t="str">
        <f>"PHIẾU ĐIỂM HỌC KỲ I - NĂM HỌC "&amp;'Huong dan'!$C$5</f>
        <v>PHIẾU ĐIỂM HỌC KỲ I - NĂM HỌC 2021 - 2022</v>
      </c>
      <c r="B195" s="1013"/>
      <c r="C195" s="1013"/>
      <c r="D195" s="1013"/>
      <c r="E195" s="1013"/>
    </row>
    <row r="196" spans="1:11" ht="15.75" customHeight="1">
      <c r="A196" s="680"/>
      <c r="B196" s="680"/>
    </row>
    <row r="197" spans="1:11" ht="21" customHeight="1">
      <c r="A197" s="1014" t="s">
        <v>145</v>
      </c>
      <c r="B197" s="1014"/>
      <c r="C197" s="1015" t="str">
        <f>IF(E236="","",INDEX(DiemHKI!$D$4:$D$58,MATCH(E236,DiemHKI!$B$4:$B$58,0),1)&amp;" "&amp;INDEX(DiemHKI!$E$4:$E$58,MATCH(E236,DiemHKI!$B$4:$B$58,0),1))</f>
        <v>Vũ Song Anh</v>
      </c>
      <c r="D197" s="1015"/>
      <c r="E197" s="62" t="str">
        <f>IF('Huong dan'!$C$3="","","Lớp: "&amp;'Huong dan'!$C$3)</f>
        <v>Lớp: 12A1</v>
      </c>
    </row>
    <row r="198" spans="1:11" ht="23.25" customHeight="1">
      <c r="A198" s="1014" t="s">
        <v>146</v>
      </c>
      <c r="B198" s="1014"/>
      <c r="C198" s="681" t="str">
        <f>IF(E236="","",INDEX(DiemHKI!$F$4:$F$58,MATCH(PDHKI!E236,DiemHKI!$B$4:$B$58,0),1))</f>
        <v>20/04/2004</v>
      </c>
      <c r="D198" s="1016" t="str">
        <f>IF(E236="","","Nơi sinh: "&amp;INDEX(DiemHKI!$G$4:$G$58,MATCH(PDHKI!E236,DiemHKI!$B$4:$B$58,0),1))</f>
        <v>Nơi sinh: TP. Hồ Chí Minh</v>
      </c>
      <c r="E198" s="1016"/>
    </row>
    <row r="199" spans="1:11" ht="13.5" customHeight="1" thickBot="1">
      <c r="A199" s="681"/>
      <c r="B199" s="682"/>
      <c r="D199" s="681"/>
      <c r="E199" s="681"/>
    </row>
    <row r="200" spans="1:11" ht="24" customHeight="1" thickBot="1">
      <c r="A200" s="683" t="s">
        <v>0</v>
      </c>
      <c r="B200" s="1006" t="s">
        <v>72</v>
      </c>
      <c r="C200" s="1007"/>
      <c r="D200" s="684" t="s">
        <v>147</v>
      </c>
      <c r="E200" s="685" t="s">
        <v>148</v>
      </c>
    </row>
    <row r="201" spans="1:11" ht="21" customHeight="1">
      <c r="A201" s="686">
        <v>1</v>
      </c>
      <c r="B201" s="1017" t="s">
        <v>26</v>
      </c>
      <c r="C201" s="1018"/>
      <c r="D201" s="687">
        <f>IF(E236="","",IF(INDEX(THHKI!$A$8:$Y$62,MATCH(PDHKI!E236,THHKI!$A$8:$A$62,0),INDEX($K$13:$K$27,MATCH(B201,$J$13:$J$27,0),1))&lt;1,"/",INDEX(THHKI!$A$8:$Y$62,MATCH(PDHKI!E236,THHKI!$A$8:$A$62,0),INDEX($K$13:$K$27,MATCH(B201,$J$13:$J$27,0),1))))</f>
        <v>9.6</v>
      </c>
      <c r="E201" s="688"/>
      <c r="J201" s="569" t="s">
        <v>26</v>
      </c>
      <c r="K201" s="569">
        <v>7</v>
      </c>
    </row>
    <row r="202" spans="1:11" ht="21" customHeight="1">
      <c r="A202" s="689">
        <v>2</v>
      </c>
      <c r="B202" s="1008" t="s">
        <v>27</v>
      </c>
      <c r="C202" s="1009"/>
      <c r="D202" s="690">
        <f>IF(E236="","",IF(INDEX(THHKI!$A$8:$Y$62,MATCH(PDHKI!E236,THHKI!$A$8:$A$62,0),INDEX($K$13:$K$27,MATCH(B202,$J$13:$J$27,0),1))&lt;1,"/",INDEX(THHKI!$A$8:$Y$62,MATCH(PDHKI!E236,THHKI!$A$8:$A$62,0),INDEX($K$13:$K$27,MATCH(B202,$J$13:$J$27,0),1))))</f>
        <v>9.6</v>
      </c>
      <c r="E202" s="691"/>
      <c r="J202" s="569" t="s">
        <v>27</v>
      </c>
      <c r="K202" s="569">
        <v>8</v>
      </c>
    </row>
    <row r="203" spans="1:11" ht="21" customHeight="1">
      <c r="A203" s="689">
        <v>3</v>
      </c>
      <c r="B203" s="1008" t="s">
        <v>28</v>
      </c>
      <c r="C203" s="1009"/>
      <c r="D203" s="690">
        <f>IF(E236="","",IF(INDEX(THHKI!$A$8:$Y$62,MATCH(PDHKI!E236,THHKI!$A$8:$A$62,0),INDEX($K$13:$K$27,MATCH(B203,$J$13:$J$27,0),1))&lt;1,"/",INDEX(THHKI!$A$8:$Y$62,MATCH(PDHKI!E236,THHKI!$A$8:$A$62,0),INDEX($K$13:$K$27,MATCH(B203,$J$13:$J$27,0),1))))</f>
        <v>9.3000000000000007</v>
      </c>
      <c r="E203" s="691"/>
      <c r="J203" s="569" t="s">
        <v>28</v>
      </c>
      <c r="K203" s="569">
        <v>9</v>
      </c>
    </row>
    <row r="204" spans="1:11" ht="21" customHeight="1">
      <c r="A204" s="689">
        <v>4</v>
      </c>
      <c r="B204" s="1008" t="s">
        <v>29</v>
      </c>
      <c r="C204" s="1009"/>
      <c r="D204" s="690">
        <f>IF(E236="","",IF(INDEX(THHKI!$A$8:$Y$62,MATCH(PDHKI!E236,THHKI!$A$8:$A$62,0),INDEX($K$13:$K$27,MATCH(B204,$J$13:$J$27,0),1))&lt;1,"/",INDEX(THHKI!$A$8:$Y$62,MATCH(PDHKI!E236,THHKI!$A$8:$A$62,0),INDEX($K$13:$K$27,MATCH(B204,$J$13:$J$27,0),1))))</f>
        <v>9</v>
      </c>
      <c r="E204" s="691"/>
      <c r="J204" s="569" t="s">
        <v>29</v>
      </c>
      <c r="K204" s="569">
        <v>10</v>
      </c>
    </row>
    <row r="205" spans="1:11" ht="21" customHeight="1">
      <c r="A205" s="689">
        <v>5</v>
      </c>
      <c r="B205" s="1008" t="s">
        <v>120</v>
      </c>
      <c r="C205" s="1009"/>
      <c r="D205" s="690">
        <f>IF(E236="","",IF(INDEX(THHKI!$A$8:$Y$62,MATCH(PDHKI!E236,THHKI!$A$8:$A$62,0),INDEX($K$13:$K$27,MATCH(B205,$J$13:$J$27,0),1))&lt;1,"/",INDEX(THHKI!$A$8:$Y$62,MATCH(PDHKI!E236,THHKI!$A$8:$A$62,0),INDEX($K$13:$K$27,MATCH(B205,$J$13:$J$27,0),1))))</f>
        <v>9.6</v>
      </c>
      <c r="E205" s="691"/>
      <c r="J205" s="569" t="s">
        <v>120</v>
      </c>
      <c r="K205" s="569">
        <v>11</v>
      </c>
    </row>
    <row r="206" spans="1:11" ht="21" customHeight="1">
      <c r="A206" s="689">
        <v>6</v>
      </c>
      <c r="B206" s="1008" t="s">
        <v>30</v>
      </c>
      <c r="C206" s="1009"/>
      <c r="D206" s="690">
        <f>IF(E236="","",IF(INDEX(THHKI!$A$8:$Y$62,MATCH(PDHKI!E236,THHKI!$A$8:$A$62,0),INDEX($K$13:$K$27,MATCH(B206,$J$13:$J$27,0),1))&lt;1,"/",INDEX(THHKI!$A$8:$Y$62,MATCH(PDHKI!E236,THHKI!$A$8:$A$62,0),INDEX($K$13:$K$27,MATCH(B206,$J$13:$J$27,0),1))))</f>
        <v>7.2</v>
      </c>
      <c r="E206" s="691"/>
      <c r="J206" s="569" t="s">
        <v>30</v>
      </c>
      <c r="K206" s="569">
        <v>12</v>
      </c>
    </row>
    <row r="207" spans="1:11" ht="21" customHeight="1">
      <c r="A207" s="689">
        <v>7</v>
      </c>
      <c r="B207" s="1008" t="s">
        <v>31</v>
      </c>
      <c r="C207" s="1009"/>
      <c r="D207" s="690">
        <f>IF(E236="","",IF(INDEX(THHKI!$A$8:$Y$62,MATCH(PDHKI!E236,THHKI!$A$8:$A$62,0),INDEX($K$13:$K$27,MATCH(B207,$J$13:$J$27,0),1))&lt;1,"/",INDEX(THHKI!$A$8:$Y$62,MATCH(PDHKI!E236,THHKI!$A$8:$A$62,0),INDEX($K$13:$K$27,MATCH(B207,$J$13:$J$27,0),1))))</f>
        <v>9.6</v>
      </c>
      <c r="E207" s="691"/>
      <c r="J207" s="569" t="s">
        <v>31</v>
      </c>
      <c r="K207" s="569">
        <v>13</v>
      </c>
    </row>
    <row r="208" spans="1:11" ht="21" customHeight="1">
      <c r="A208" s="689">
        <v>8</v>
      </c>
      <c r="B208" s="1008" t="s">
        <v>32</v>
      </c>
      <c r="C208" s="1009"/>
      <c r="D208" s="690">
        <f>IF(E236="","",IF(INDEX(THHKI!$A$8:$Y$62,MATCH(PDHKI!E236,THHKI!$A$8:$A$62,0),INDEX($K$13:$K$27,MATCH(B208,$J$13:$J$27,0),1))&lt;1,"/",INDEX(THHKI!$A$8:$Y$62,MATCH(PDHKI!E236,THHKI!$A$8:$A$62,0),INDEX($K$13:$K$27,MATCH(B208,$J$13:$J$27,0),1))))</f>
        <v>9.9</v>
      </c>
      <c r="E208" s="691"/>
      <c r="J208" s="569" t="s">
        <v>32</v>
      </c>
      <c r="K208" s="569">
        <v>14</v>
      </c>
    </row>
    <row r="209" spans="1:11" ht="21" customHeight="1">
      <c r="A209" s="689">
        <v>9</v>
      </c>
      <c r="B209" s="1008" t="s">
        <v>33</v>
      </c>
      <c r="C209" s="1009"/>
      <c r="D209" s="690">
        <f>IF(E236="","",IF(INDEX(THHKI!$A$8:$Y$62,MATCH(PDHKI!E236,THHKI!$A$8:$A$62,0),INDEX($K$13:$K$27,MATCH(B209,$J$13:$J$27,0),1))&lt;1,"/",INDEX(THHKI!$A$8:$Y$62,MATCH(PDHKI!E236,THHKI!$A$8:$A$62,0),INDEX($K$13:$K$27,MATCH(B209,$J$13:$J$27,0),1))))</f>
        <v>8.8000000000000007</v>
      </c>
      <c r="E209" s="691"/>
      <c r="J209" s="569" t="s">
        <v>33</v>
      </c>
      <c r="K209" s="569">
        <v>15</v>
      </c>
    </row>
    <row r="210" spans="1:11" ht="21" customHeight="1">
      <c r="A210" s="689">
        <v>10</v>
      </c>
      <c r="B210" s="1008" t="s">
        <v>60</v>
      </c>
      <c r="C210" s="1009"/>
      <c r="D210" s="690">
        <f>IF(E236="","",IF(INDEX(THHKI!$A$8:$Y$62,MATCH(PDHKI!E236,THHKI!$A$8:$A$62,0),INDEX($K$13:$K$27,MATCH(B210,$J$13:$J$27,0),1))&lt;1,"/",INDEX(THHKI!$A$8:$Y$62,MATCH(PDHKI!E236,THHKI!$A$8:$A$62,0),INDEX($K$13:$K$27,MATCH(B210,$J$13:$J$27,0),1))))</f>
        <v>9.4</v>
      </c>
      <c r="E210" s="691"/>
      <c r="J210" s="569" t="s">
        <v>60</v>
      </c>
      <c r="K210" s="569">
        <v>16</v>
      </c>
    </row>
    <row r="211" spans="1:11" ht="21" customHeight="1">
      <c r="A211" s="689">
        <v>11</v>
      </c>
      <c r="B211" s="1008" t="s">
        <v>34</v>
      </c>
      <c r="C211" s="1009"/>
      <c r="D211" s="690">
        <f>IF(E236="","",IF(INDEX(THHKI!$A$8:$Y$62,MATCH(PDHKI!E236,THHKI!$A$8:$A$62,0),INDEX($K$13:$K$27,MATCH(B211,$J$13:$J$27,0),1))&lt;1,"/",INDEX(THHKI!$A$8:$Y$62,MATCH(PDHKI!E236,THHKI!$A$8:$A$62,0),INDEX($K$13:$K$27,MATCH(B211,$J$13:$J$27,0),1))))</f>
        <v>9.9</v>
      </c>
      <c r="E211" s="691"/>
      <c r="J211" s="569" t="s">
        <v>34</v>
      </c>
      <c r="K211" s="569">
        <v>17</v>
      </c>
    </row>
    <row r="212" spans="1:11" ht="21" customHeight="1">
      <c r="A212" s="689">
        <v>12</v>
      </c>
      <c r="B212" s="1008" t="s">
        <v>35</v>
      </c>
      <c r="C212" s="1009"/>
      <c r="D212" s="690" t="str">
        <f>IF(E236="","",IF(INDEX(THHKI!$A$8:$Y$62,MATCH(PDHKI!E236,THHKI!$A$8:$A$62,0),INDEX($K$13:$K$27,MATCH(B212,$J$13:$J$27,0),1))&lt;1,"/",INDEX(THHKI!$A$8:$Y$62,MATCH(PDHKI!E236,THHKI!$A$8:$A$62,0),INDEX($K$13:$K$27,MATCH(B212,$J$13:$J$27,0),1))))</f>
        <v>Đ</v>
      </c>
      <c r="E212" s="691"/>
      <c r="J212" s="569" t="s">
        <v>35</v>
      </c>
      <c r="K212" s="569">
        <v>18</v>
      </c>
    </row>
    <row r="213" spans="1:11" ht="21" customHeight="1">
      <c r="A213" s="689">
        <v>13</v>
      </c>
      <c r="B213" s="1008" t="s">
        <v>121</v>
      </c>
      <c r="C213" s="1009"/>
      <c r="D213" s="690">
        <f>IF(E236="","",IF(INDEX(THHKI!$A$8:$Y$62,MATCH(PDHKI!E236,THHKI!$A$8:$A$62,0),INDEX($K$13:$K$27,MATCH(B213,$J$13:$J$27,0),1))&lt;1,"/",INDEX(THHKI!$A$8:$Y$62,MATCH(PDHKI!E236,THHKI!$A$8:$A$62,0),INDEX($K$13:$K$27,MATCH(B213,$J$13:$J$27,0),1))))</f>
        <v>9.9</v>
      </c>
      <c r="E213" s="691"/>
      <c r="J213" s="569" t="s">
        <v>22</v>
      </c>
      <c r="K213" s="569">
        <v>19</v>
      </c>
    </row>
    <row r="214" spans="1:11" ht="21" customHeight="1" thickBot="1">
      <c r="A214" s="692">
        <v>14</v>
      </c>
      <c r="B214" s="1010" t="s">
        <v>122</v>
      </c>
      <c r="C214" s="1011"/>
      <c r="D214" s="693" t="str">
        <f>IF(E236="","",IF(INDEX(THHKI!$A$8:$Y$62,MATCH(PDHKI!E236,THHKI!$A$8:$A$62,0),INDEX($K$13:$K$27,MATCH(B214,$J$13:$J$27,0),1))&lt;1,"/",INDEX(THHKI!$A$8:$Y$62,MATCH(PDHKI!E236,THHKI!$A$8:$A$62,0),INDEX($K$13:$K$27,MATCH(B214,$J$13:$J$27,0),1))))</f>
        <v/>
      </c>
      <c r="E214" s="694"/>
      <c r="J214" s="569" t="s">
        <v>121</v>
      </c>
      <c r="K214" s="569">
        <v>20</v>
      </c>
    </row>
    <row r="215" spans="1:11" ht="21" customHeight="1" thickBot="1">
      <c r="A215" s="695">
        <v>15</v>
      </c>
      <c r="B215" s="1006" t="s">
        <v>149</v>
      </c>
      <c r="C215" s="1007"/>
      <c r="D215" s="696">
        <f>IF(E236="","",IF(INDEX(THHKI!$A$8:$Y$62,MATCH(PDHKI!E236,THHKI!$A$8:$A$62,0),22)&lt;1,"/",INDEX(THHKI!$A$8:$Y$62,MATCH(PDHKI!E236,THHKI!$A$8:$A$62,0),22)))</f>
        <v>9.3000000000000007</v>
      </c>
      <c r="E215" s="697"/>
      <c r="J215" s="569" t="s">
        <v>122</v>
      </c>
      <c r="K215" s="569">
        <v>21</v>
      </c>
    </row>
    <row r="216" spans="1:11" ht="15.75" customHeight="1" thickBot="1"/>
    <row r="217" spans="1:11" s="570" customFormat="1" ht="21" customHeight="1">
      <c r="A217" s="698"/>
      <c r="B217" s="1019" t="s">
        <v>150</v>
      </c>
      <c r="C217" s="1020"/>
      <c r="D217" s="699" t="s">
        <v>10</v>
      </c>
      <c r="E217" s="700" t="s">
        <v>126</v>
      </c>
    </row>
    <row r="218" spans="1:11" ht="21" customHeight="1">
      <c r="A218" s="701">
        <v>16</v>
      </c>
      <c r="B218" s="1021" t="s">
        <v>151</v>
      </c>
      <c r="C218" s="1022"/>
      <c r="D218" s="702" t="str">
        <f>IF(E236="","",IF(INDEX(THHKI!$A$8:$Y$62,MATCH(PDHKI!E236,THHKI!$A$8:$A$62,0),23)="","/",INDEX(THHKI!$A$8:$Y$62,MATCH(PDHKI!E236,THHKI!$A$8:$A$62,0),23)))</f>
        <v>Giỏi</v>
      </c>
      <c r="E218" s="703"/>
    </row>
    <row r="219" spans="1:11" ht="21" customHeight="1">
      <c r="A219" s="701">
        <v>17</v>
      </c>
      <c r="B219" s="1021" t="s">
        <v>152</v>
      </c>
      <c r="C219" s="1022"/>
      <c r="D219" s="702" t="str">
        <f>IF(E236="","",IF(INDEX(THHKI!$A$8:$Y$62,MATCH(PDHKI!E236,THHKI!$A$8:$A$62,0),24)="","/",INDEX(THHKI!$A$8:$Y$62,MATCH(PDHKI!E236,THHKI!$A$8:$A$62,0),24)))</f>
        <v>Tốt</v>
      </c>
      <c r="E219" s="703"/>
    </row>
    <row r="220" spans="1:11" ht="21" customHeight="1" thickBot="1">
      <c r="A220" s="704">
        <v>18</v>
      </c>
      <c r="B220" s="1023" t="s">
        <v>153</v>
      </c>
      <c r="C220" s="1024"/>
      <c r="D220" s="705" t="str">
        <f>IF(E236="","",IF(INDEX(THHKI!$A$8:$Y$62,MATCH(PDHKI!E236,THHKI!$A$8:$A$62,0),25)="","/",INDEX(THHKI!$A$8:$Y$62,MATCH(PDHKI!E236,THHKI!$A$8:$A$62,0),25)))</f>
        <v>HSG</v>
      </c>
      <c r="E220" s="706"/>
    </row>
    <row r="221" spans="1:11" ht="9.75" customHeight="1"/>
    <row r="222" spans="1:11" ht="15.75" customHeight="1">
      <c r="A222" s="58" t="s">
        <v>219</v>
      </c>
    </row>
    <row r="223" spans="1:11" ht="18" customHeight="1">
      <c r="A223" s="59" t="str">
        <f>IF(E236="","",IF(INDEX(DiemHKI!$DE$4:$DH$58,MATCH(PDHKI!E236,DiemHKI!$B$4:$B$58,0),1)="","","- "&amp;INDEX(DiemHKI!$DE$4:$DH$58,MATCH(PDHKI!E236,DiemHKI!$B$4:$B$58,0),1)))</f>
        <v/>
      </c>
      <c r="H223" s="571"/>
    </row>
    <row r="224" spans="1:11" ht="18" customHeight="1">
      <c r="A224" s="59" t="str">
        <f>IF(E236="","",IF(INDEX(DiemHKI!$DE$4:$DH$58,MATCH(PDHKI!E236,DiemHKI!$B$4:$B$58,0),2)="","","- "&amp;INDEX(DiemHKI!$DE$4:$DH$58,MATCH(PDHKI!E236,DiemHKI!$B$4:$B$58,0),2)))</f>
        <v/>
      </c>
    </row>
    <row r="225" spans="1:5" ht="18" customHeight="1">
      <c r="A225" s="59" t="str">
        <f>IF(E236="","",IF(INDEX(DiemHKI!$DE$4:$DH$58,MATCH(PDHKI!E236,DiemHKI!$B$4:$B$58,0),3)="","","- "&amp;INDEX(DiemHKI!$DE$4:$DH$58,MATCH(PDHKI!E236,DiemHKI!$B$4:$B$58,0),3)))</f>
        <v/>
      </c>
    </row>
    <row r="226" spans="1:5" ht="18" customHeight="1">
      <c r="A226" s="59" t="str">
        <f>IF(E236="","",IF(INDEX(DiemHKI!$DE$4:$DH$58,MATCH(PDHKI!E236,DiemHKI!$B$4:$B$58,0),4)="","","- "&amp;INDEX(DiemHKI!$DE$4:$DH$58,MATCH(PDHKI!E236,DiemHKI!$B$4:$B$58,0),4)))</f>
        <v/>
      </c>
    </row>
    <row r="227" spans="1:5" ht="6.75" customHeight="1"/>
    <row r="228" spans="1:5" ht="16.5" customHeight="1">
      <c r="A228" s="61"/>
      <c r="C228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28" s="1026"/>
      <c r="E228" s="1026"/>
    </row>
    <row r="229" spans="1:5" ht="21.75" customHeight="1">
      <c r="A229" s="923" t="str">
        <f>IF($D$41="Hiệu trưởng","Giáo viên Quản nhiệm","")</f>
        <v>Giáo viên Quản nhiệm</v>
      </c>
      <c r="B229" s="923"/>
      <c r="C229" s="923"/>
      <c r="D229" s="707" t="str">
        <f>IF($G$5="","",$G$5)</f>
        <v>Hiệu trưởng</v>
      </c>
      <c r="E229" s="708"/>
    </row>
    <row r="230" spans="1:5" ht="15" customHeight="1">
      <c r="A230" s="61"/>
      <c r="B230" s="61"/>
      <c r="C230" s="61"/>
      <c r="D230" s="66"/>
      <c r="E230" s="66"/>
    </row>
    <row r="231" spans="1:5" ht="15" customHeight="1">
      <c r="A231" s="61"/>
      <c r="B231" s="61"/>
      <c r="C231" s="61"/>
      <c r="D231" s="66"/>
      <c r="E231" s="66"/>
    </row>
    <row r="232" spans="1:5" ht="15" customHeight="1">
      <c r="A232" s="61"/>
      <c r="B232" s="61"/>
      <c r="C232" s="61"/>
    </row>
    <row r="233" spans="1:5" ht="15" customHeight="1">
      <c r="A233" s="61"/>
      <c r="B233" s="61"/>
      <c r="C233" s="61"/>
    </row>
    <row r="234" spans="1:5" ht="16.5" customHeight="1">
      <c r="A234" s="1012" t="str">
        <f>IF($A$41="","",PROPER('Huong dan'!$C$4))</f>
        <v/>
      </c>
      <c r="B234" s="1012"/>
      <c r="C234" s="1012"/>
      <c r="D234" s="833" t="str">
        <f>IFERROR(IF($D$41="Giáo Viên Quản nhiệm",PROPER('Huong dan'!$C$4),IF($D$41="Hiệu trưởng",PROPER('Huong dan'!$E$5),"")),"")</f>
        <v/>
      </c>
      <c r="E234" s="708"/>
    </row>
    <row r="235" spans="1:5" ht="12.75" customHeight="1"/>
    <row r="236" spans="1:5" ht="12.75" customHeight="1">
      <c r="A236" s="709"/>
      <c r="B236" s="709"/>
      <c r="C236" s="709"/>
      <c r="D236" s="710"/>
      <c r="E236" s="711">
        <f>IF(E189="","",IF(E189&lt;MAX(DiemHKI!$B$4:$B$58),E189+1,""))</f>
        <v>5</v>
      </c>
    </row>
    <row r="237" spans="1:5" ht="8.25" customHeight="1">
      <c r="A237" s="709"/>
      <c r="B237" s="709"/>
      <c r="C237" s="709"/>
      <c r="D237" s="709"/>
      <c r="E237" s="709"/>
    </row>
    <row r="238" spans="1:5" ht="5.25" customHeight="1"/>
    <row r="239" spans="1:5" s="563" customFormat="1" ht="23.25" customHeight="1">
      <c r="A239" s="931" t="str">
        <f>IF('Huong dan'!$E$3&lt;&gt;"","SỞ GIÁO DỤC VÀ ĐÀO TẠO "&amp;UPPER('Huong dan'!$E$3),"")</f>
        <v>SỞ GIÁO DỤC VÀ ĐÀO TẠO TP. HỒ CHÍ MINH</v>
      </c>
      <c r="B239" s="931"/>
      <c r="C239" s="931"/>
      <c r="D239" s="923" t="s">
        <v>19</v>
      </c>
      <c r="E239" s="923"/>
    </row>
    <row r="240" spans="1:5" ht="17.25" customHeight="1">
      <c r="A240" s="931" t="str">
        <f>IF('Huong dan'!$E$4&lt;&gt;"","TRƯỜNG "&amp;UPPER('Huong dan'!$E$4),"")</f>
        <v>TRƯỜNG THCS VÀ THPT NGUYỄN KHUYẾN</v>
      </c>
      <c r="B240" s="931"/>
      <c r="C240" s="931"/>
      <c r="D240" s="1012" t="s">
        <v>179</v>
      </c>
      <c r="E240" s="1012"/>
    </row>
    <row r="241" spans="1:11" ht="24" customHeight="1">
      <c r="A241" s="61"/>
      <c r="B241" s="61"/>
      <c r="C241" s="61"/>
    </row>
    <row r="242" spans="1:11" ht="29.25" customHeight="1">
      <c r="A242" s="1013" t="str">
        <f>"PHIẾU ĐIỂM HỌC KỲ I - NĂM HỌC "&amp;'Huong dan'!$C$5</f>
        <v>PHIẾU ĐIỂM HỌC KỲ I - NĂM HỌC 2021 - 2022</v>
      </c>
      <c r="B242" s="1013"/>
      <c r="C242" s="1013"/>
      <c r="D242" s="1013"/>
      <c r="E242" s="1013"/>
    </row>
    <row r="243" spans="1:11" ht="15.75" customHeight="1">
      <c r="A243" s="680"/>
      <c r="B243" s="680"/>
    </row>
    <row r="244" spans="1:11" ht="21" customHeight="1">
      <c r="A244" s="1014" t="s">
        <v>145</v>
      </c>
      <c r="B244" s="1014"/>
      <c r="C244" s="1015" t="str">
        <f>IF(E283="","",INDEX(DiemHKI!$D$4:$D$58,MATCH(E283,DiemHKI!$B$4:$B$58,0),1)&amp;" "&amp;INDEX(DiemHKI!$E$4:$E$58,MATCH(E283,DiemHKI!$B$4:$B$58,0),1))</f>
        <v>Phan Gia Bảo</v>
      </c>
      <c r="D244" s="1015"/>
      <c r="E244" s="62" t="str">
        <f>IF('Huong dan'!$C$3="","","Lớp: "&amp;'Huong dan'!$C$3)</f>
        <v>Lớp: 12A1</v>
      </c>
    </row>
    <row r="245" spans="1:11" ht="23.25" customHeight="1">
      <c r="A245" s="1014" t="s">
        <v>146</v>
      </c>
      <c r="B245" s="1014"/>
      <c r="C245" s="681" t="str">
        <f>IF(E283="","",INDEX(DiemHKI!$F$4:$F$58,MATCH(PDHKI!E283,DiemHKI!$B$4:$B$58,0),1))</f>
        <v>27/10/2004</v>
      </c>
      <c r="D245" s="1016" t="str">
        <f>IF(E283="","","Nơi sinh: "&amp;INDEX(DiemHKI!$G$4:$G$58,MATCH(PDHKI!E283,DiemHKI!$B$4:$B$58,0),1))</f>
        <v>Nơi sinh: TP. Hồ Chí Minh</v>
      </c>
      <c r="E245" s="1016"/>
    </row>
    <row r="246" spans="1:11" ht="13.5" customHeight="1" thickBot="1">
      <c r="A246" s="681"/>
      <c r="B246" s="682"/>
      <c r="D246" s="681"/>
      <c r="E246" s="681"/>
    </row>
    <row r="247" spans="1:11" ht="24" customHeight="1" thickBot="1">
      <c r="A247" s="683" t="s">
        <v>0</v>
      </c>
      <c r="B247" s="1006" t="s">
        <v>72</v>
      </c>
      <c r="C247" s="1007"/>
      <c r="D247" s="684" t="s">
        <v>147</v>
      </c>
      <c r="E247" s="685" t="s">
        <v>148</v>
      </c>
    </row>
    <row r="248" spans="1:11" ht="21" customHeight="1">
      <c r="A248" s="686">
        <v>1</v>
      </c>
      <c r="B248" s="1017" t="s">
        <v>26</v>
      </c>
      <c r="C248" s="1018"/>
      <c r="D248" s="687">
        <f>IF(E283="","",IF(INDEX(THHKI!$A$8:$Y$62,MATCH(PDHKI!E283,THHKI!$A$8:$A$62,0),INDEX($K$13:$K$27,MATCH(B248,$J$13:$J$27,0),1))&lt;1,"/",INDEX(THHKI!$A$8:$Y$62,MATCH(PDHKI!E283,THHKI!$A$8:$A$62,0),INDEX($K$13:$K$27,MATCH(B248,$J$13:$J$27,0),1))))</f>
        <v>9.5</v>
      </c>
      <c r="E248" s="688"/>
      <c r="J248" s="569" t="s">
        <v>26</v>
      </c>
      <c r="K248" s="569">
        <v>7</v>
      </c>
    </row>
    <row r="249" spans="1:11" ht="21" customHeight="1">
      <c r="A249" s="689">
        <v>2</v>
      </c>
      <c r="B249" s="1008" t="s">
        <v>27</v>
      </c>
      <c r="C249" s="1009"/>
      <c r="D249" s="690">
        <f>IF(E283="","",IF(INDEX(THHKI!$A$8:$Y$62,MATCH(PDHKI!E283,THHKI!$A$8:$A$62,0),INDEX($K$13:$K$27,MATCH(B249,$J$13:$J$27,0),1))&lt;1,"/",INDEX(THHKI!$A$8:$Y$62,MATCH(PDHKI!E283,THHKI!$A$8:$A$62,0),INDEX($K$13:$K$27,MATCH(B249,$J$13:$J$27,0),1))))</f>
        <v>9.4</v>
      </c>
      <c r="E249" s="691"/>
      <c r="J249" s="569" t="s">
        <v>27</v>
      </c>
      <c r="K249" s="569">
        <v>8</v>
      </c>
    </row>
    <row r="250" spans="1:11" ht="21" customHeight="1">
      <c r="A250" s="689">
        <v>3</v>
      </c>
      <c r="B250" s="1008" t="s">
        <v>28</v>
      </c>
      <c r="C250" s="1009"/>
      <c r="D250" s="690">
        <f>IF(E283="","",IF(INDEX(THHKI!$A$8:$Y$62,MATCH(PDHKI!E283,THHKI!$A$8:$A$62,0),INDEX($K$13:$K$27,MATCH(B250,$J$13:$J$27,0),1))&lt;1,"/",INDEX(THHKI!$A$8:$Y$62,MATCH(PDHKI!E283,THHKI!$A$8:$A$62,0),INDEX($K$13:$K$27,MATCH(B250,$J$13:$J$27,0),1))))</f>
        <v>9</v>
      </c>
      <c r="E250" s="691"/>
      <c r="J250" s="569" t="s">
        <v>28</v>
      </c>
      <c r="K250" s="569">
        <v>9</v>
      </c>
    </row>
    <row r="251" spans="1:11" ht="21" customHeight="1">
      <c r="A251" s="689">
        <v>4</v>
      </c>
      <c r="B251" s="1008" t="s">
        <v>29</v>
      </c>
      <c r="C251" s="1009"/>
      <c r="D251" s="690">
        <f>IF(E283="","",IF(INDEX(THHKI!$A$8:$Y$62,MATCH(PDHKI!E283,THHKI!$A$8:$A$62,0),INDEX($K$13:$K$27,MATCH(B251,$J$13:$J$27,0),1))&lt;1,"/",INDEX(THHKI!$A$8:$Y$62,MATCH(PDHKI!E283,THHKI!$A$8:$A$62,0),INDEX($K$13:$K$27,MATCH(B251,$J$13:$J$27,0),1))))</f>
        <v>8.8000000000000007</v>
      </c>
      <c r="E251" s="691"/>
      <c r="J251" s="569" t="s">
        <v>29</v>
      </c>
      <c r="K251" s="569">
        <v>10</v>
      </c>
    </row>
    <row r="252" spans="1:11" ht="21" customHeight="1">
      <c r="A252" s="689">
        <v>5</v>
      </c>
      <c r="B252" s="1008" t="s">
        <v>120</v>
      </c>
      <c r="C252" s="1009"/>
      <c r="D252" s="690">
        <f>IF(E283="","",IF(INDEX(THHKI!$A$8:$Y$62,MATCH(PDHKI!E283,THHKI!$A$8:$A$62,0),INDEX($K$13:$K$27,MATCH(B252,$J$13:$J$27,0),1))&lt;1,"/",INDEX(THHKI!$A$8:$Y$62,MATCH(PDHKI!E283,THHKI!$A$8:$A$62,0),INDEX($K$13:$K$27,MATCH(B252,$J$13:$J$27,0),1))))</f>
        <v>9.6</v>
      </c>
      <c r="E252" s="691"/>
      <c r="J252" s="569" t="s">
        <v>120</v>
      </c>
      <c r="K252" s="569">
        <v>11</v>
      </c>
    </row>
    <row r="253" spans="1:11" ht="21" customHeight="1">
      <c r="A253" s="689">
        <v>6</v>
      </c>
      <c r="B253" s="1008" t="s">
        <v>30</v>
      </c>
      <c r="C253" s="1009"/>
      <c r="D253" s="690">
        <f>IF(E283="","",IF(INDEX(THHKI!$A$8:$Y$62,MATCH(PDHKI!E283,THHKI!$A$8:$A$62,0),INDEX($K$13:$K$27,MATCH(B253,$J$13:$J$27,0),1))&lt;1,"/",INDEX(THHKI!$A$8:$Y$62,MATCH(PDHKI!E283,THHKI!$A$8:$A$62,0),INDEX($K$13:$K$27,MATCH(B253,$J$13:$J$27,0),1))))</f>
        <v>7.2</v>
      </c>
      <c r="E253" s="691"/>
      <c r="J253" s="569" t="s">
        <v>30</v>
      </c>
      <c r="K253" s="569">
        <v>12</v>
      </c>
    </row>
    <row r="254" spans="1:11" ht="21" customHeight="1">
      <c r="A254" s="689">
        <v>7</v>
      </c>
      <c r="B254" s="1008" t="s">
        <v>31</v>
      </c>
      <c r="C254" s="1009"/>
      <c r="D254" s="690">
        <f>IF(E283="","",IF(INDEX(THHKI!$A$8:$Y$62,MATCH(PDHKI!E283,THHKI!$A$8:$A$62,0),INDEX($K$13:$K$27,MATCH(B254,$J$13:$J$27,0),1))&lt;1,"/",INDEX(THHKI!$A$8:$Y$62,MATCH(PDHKI!E283,THHKI!$A$8:$A$62,0),INDEX($K$13:$K$27,MATCH(B254,$J$13:$J$27,0),1))))</f>
        <v>9.8000000000000007</v>
      </c>
      <c r="E254" s="691"/>
      <c r="J254" s="569" t="s">
        <v>31</v>
      </c>
      <c r="K254" s="569">
        <v>13</v>
      </c>
    </row>
    <row r="255" spans="1:11" ht="21" customHeight="1">
      <c r="A255" s="689">
        <v>8</v>
      </c>
      <c r="B255" s="1008" t="s">
        <v>32</v>
      </c>
      <c r="C255" s="1009"/>
      <c r="D255" s="690">
        <f>IF(E283="","",IF(INDEX(THHKI!$A$8:$Y$62,MATCH(PDHKI!E283,THHKI!$A$8:$A$62,0),INDEX($K$13:$K$27,MATCH(B255,$J$13:$J$27,0),1))&lt;1,"/",INDEX(THHKI!$A$8:$Y$62,MATCH(PDHKI!E283,THHKI!$A$8:$A$62,0),INDEX($K$13:$K$27,MATCH(B255,$J$13:$J$27,0),1))))</f>
        <v>9.9</v>
      </c>
      <c r="E255" s="691"/>
      <c r="J255" s="569" t="s">
        <v>32</v>
      </c>
      <c r="K255" s="569">
        <v>14</v>
      </c>
    </row>
    <row r="256" spans="1:11" ht="21" customHeight="1">
      <c r="A256" s="689">
        <v>9</v>
      </c>
      <c r="B256" s="1008" t="s">
        <v>33</v>
      </c>
      <c r="C256" s="1009"/>
      <c r="D256" s="690">
        <f>IF(E283="","",IF(INDEX(THHKI!$A$8:$Y$62,MATCH(PDHKI!E283,THHKI!$A$8:$A$62,0),INDEX($K$13:$K$27,MATCH(B256,$J$13:$J$27,0),1))&lt;1,"/",INDEX(THHKI!$A$8:$Y$62,MATCH(PDHKI!E283,THHKI!$A$8:$A$62,0),INDEX($K$13:$K$27,MATCH(B256,$J$13:$J$27,0),1))))</f>
        <v>9.6999999999999993</v>
      </c>
      <c r="E256" s="691"/>
      <c r="J256" s="569" t="s">
        <v>33</v>
      </c>
      <c r="K256" s="569">
        <v>15</v>
      </c>
    </row>
    <row r="257" spans="1:11" ht="21" customHeight="1">
      <c r="A257" s="689">
        <v>10</v>
      </c>
      <c r="B257" s="1008" t="s">
        <v>60</v>
      </c>
      <c r="C257" s="1009"/>
      <c r="D257" s="690">
        <f>IF(E283="","",IF(INDEX(THHKI!$A$8:$Y$62,MATCH(PDHKI!E283,THHKI!$A$8:$A$62,0),INDEX($K$13:$K$27,MATCH(B257,$J$13:$J$27,0),1))&lt;1,"/",INDEX(THHKI!$A$8:$Y$62,MATCH(PDHKI!E283,THHKI!$A$8:$A$62,0),INDEX($K$13:$K$27,MATCH(B257,$J$13:$J$27,0),1))))</f>
        <v>9.8000000000000007</v>
      </c>
      <c r="E257" s="691"/>
      <c r="J257" s="569" t="s">
        <v>60</v>
      </c>
      <c r="K257" s="569">
        <v>16</v>
      </c>
    </row>
    <row r="258" spans="1:11" ht="21" customHeight="1">
      <c r="A258" s="689">
        <v>11</v>
      </c>
      <c r="B258" s="1008" t="s">
        <v>34</v>
      </c>
      <c r="C258" s="1009"/>
      <c r="D258" s="690">
        <f>IF(E283="","",IF(INDEX(THHKI!$A$8:$Y$62,MATCH(PDHKI!E283,THHKI!$A$8:$A$62,0),INDEX($K$13:$K$27,MATCH(B258,$J$13:$J$27,0),1))&lt;1,"/",INDEX(THHKI!$A$8:$Y$62,MATCH(PDHKI!E283,THHKI!$A$8:$A$62,0),INDEX($K$13:$K$27,MATCH(B258,$J$13:$J$27,0),1))))</f>
        <v>9.9</v>
      </c>
      <c r="E258" s="691"/>
      <c r="J258" s="569" t="s">
        <v>34</v>
      </c>
      <c r="K258" s="569">
        <v>17</v>
      </c>
    </row>
    <row r="259" spans="1:11" ht="21" customHeight="1">
      <c r="A259" s="689">
        <v>12</v>
      </c>
      <c r="B259" s="1008" t="s">
        <v>35</v>
      </c>
      <c r="C259" s="1009"/>
      <c r="D259" s="690" t="str">
        <f>IF(E283="","",IF(INDEX(THHKI!$A$8:$Y$62,MATCH(PDHKI!E283,THHKI!$A$8:$A$62,0),INDEX($K$13:$K$27,MATCH(B259,$J$13:$J$27,0),1))&lt;1,"/",INDEX(THHKI!$A$8:$Y$62,MATCH(PDHKI!E283,THHKI!$A$8:$A$62,0),INDEX($K$13:$K$27,MATCH(B259,$J$13:$J$27,0),1))))</f>
        <v>Đ</v>
      </c>
      <c r="E259" s="691"/>
      <c r="J259" s="569" t="s">
        <v>35</v>
      </c>
      <c r="K259" s="569">
        <v>18</v>
      </c>
    </row>
    <row r="260" spans="1:11" ht="21" customHeight="1">
      <c r="A260" s="689">
        <v>13</v>
      </c>
      <c r="B260" s="1008" t="s">
        <v>121</v>
      </c>
      <c r="C260" s="1009"/>
      <c r="D260" s="690">
        <f>IF(E283="","",IF(INDEX(THHKI!$A$8:$Y$62,MATCH(PDHKI!E283,THHKI!$A$8:$A$62,0),INDEX($K$13:$K$27,MATCH(B260,$J$13:$J$27,0),1))&lt;1,"/",INDEX(THHKI!$A$8:$Y$62,MATCH(PDHKI!E283,THHKI!$A$8:$A$62,0),INDEX($K$13:$K$27,MATCH(B260,$J$13:$J$27,0),1))))</f>
        <v>9.9</v>
      </c>
      <c r="E260" s="691"/>
      <c r="J260" s="569" t="s">
        <v>22</v>
      </c>
      <c r="K260" s="569">
        <v>19</v>
      </c>
    </row>
    <row r="261" spans="1:11" ht="21" customHeight="1" thickBot="1">
      <c r="A261" s="692">
        <v>14</v>
      </c>
      <c r="B261" s="1010" t="s">
        <v>122</v>
      </c>
      <c r="C261" s="1011"/>
      <c r="D261" s="693" t="str">
        <f>IF(E283="","",IF(INDEX(THHKI!$A$8:$Y$62,MATCH(PDHKI!E283,THHKI!$A$8:$A$62,0),INDEX($K$13:$K$27,MATCH(B261,$J$13:$J$27,0),1))&lt;1,"/",INDEX(THHKI!$A$8:$Y$62,MATCH(PDHKI!E283,THHKI!$A$8:$A$62,0),INDEX($K$13:$K$27,MATCH(B261,$J$13:$J$27,0),1))))</f>
        <v/>
      </c>
      <c r="E261" s="694"/>
      <c r="J261" s="569" t="s">
        <v>121</v>
      </c>
      <c r="K261" s="569">
        <v>20</v>
      </c>
    </row>
    <row r="262" spans="1:11" ht="21" customHeight="1" thickBot="1">
      <c r="A262" s="695">
        <v>15</v>
      </c>
      <c r="B262" s="1006" t="s">
        <v>149</v>
      </c>
      <c r="C262" s="1007"/>
      <c r="D262" s="696">
        <f>IF(E283="","",IF(INDEX(THHKI!$A$8:$Y$62,MATCH(PDHKI!E283,THHKI!$A$8:$A$62,0),22)&lt;1,"/",INDEX(THHKI!$A$8:$Y$62,MATCH(PDHKI!E283,THHKI!$A$8:$A$62,0),22)))</f>
        <v>9.4</v>
      </c>
      <c r="E262" s="697"/>
      <c r="J262" s="569" t="s">
        <v>122</v>
      </c>
      <c r="K262" s="569">
        <v>21</v>
      </c>
    </row>
    <row r="263" spans="1:11" ht="15.75" customHeight="1" thickBot="1"/>
    <row r="264" spans="1:11" s="570" customFormat="1" ht="21" customHeight="1">
      <c r="A264" s="698"/>
      <c r="B264" s="1019" t="s">
        <v>150</v>
      </c>
      <c r="C264" s="1020"/>
      <c r="D264" s="699" t="s">
        <v>10</v>
      </c>
      <c r="E264" s="700" t="s">
        <v>126</v>
      </c>
    </row>
    <row r="265" spans="1:11" ht="21" customHeight="1">
      <c r="A265" s="701">
        <v>16</v>
      </c>
      <c r="B265" s="1021" t="s">
        <v>151</v>
      </c>
      <c r="C265" s="1022"/>
      <c r="D265" s="702" t="str">
        <f>IF(E283="","",IF(INDEX(THHKI!$A$8:$Y$62,MATCH(PDHKI!E283,THHKI!$A$8:$A$62,0),23)="","/",INDEX(THHKI!$A$8:$Y$62,MATCH(PDHKI!E283,THHKI!$A$8:$A$62,0),23)))</f>
        <v>Giỏi</v>
      </c>
      <c r="E265" s="703"/>
    </row>
    <row r="266" spans="1:11" ht="21" customHeight="1">
      <c r="A266" s="701">
        <v>17</v>
      </c>
      <c r="B266" s="1021" t="s">
        <v>152</v>
      </c>
      <c r="C266" s="1022"/>
      <c r="D266" s="702" t="str">
        <f>IF(E283="","",IF(INDEX(THHKI!$A$8:$Y$62,MATCH(PDHKI!E283,THHKI!$A$8:$A$62,0),24)="","/",INDEX(THHKI!$A$8:$Y$62,MATCH(PDHKI!E283,THHKI!$A$8:$A$62,0),24)))</f>
        <v>Tốt</v>
      </c>
      <c r="E266" s="703"/>
    </row>
    <row r="267" spans="1:11" ht="21" customHeight="1" thickBot="1">
      <c r="A267" s="704">
        <v>18</v>
      </c>
      <c r="B267" s="1023" t="s">
        <v>153</v>
      </c>
      <c r="C267" s="1024"/>
      <c r="D267" s="705" t="str">
        <f>IF(E283="","",IF(INDEX(THHKI!$A$8:$Y$62,MATCH(PDHKI!E283,THHKI!$A$8:$A$62,0),25)="","/",INDEX(THHKI!$A$8:$Y$62,MATCH(PDHKI!E283,THHKI!$A$8:$A$62,0),25)))</f>
        <v>HSG</v>
      </c>
      <c r="E267" s="706"/>
    </row>
    <row r="268" spans="1:11" ht="9.75" customHeight="1"/>
    <row r="269" spans="1:11" ht="15.75" customHeight="1">
      <c r="A269" s="58" t="s">
        <v>219</v>
      </c>
    </row>
    <row r="270" spans="1:11" ht="18" customHeight="1">
      <c r="A270" s="59" t="str">
        <f>IF(E283="","",IF(INDEX(DiemHKI!$DE$4:$DH$58,MATCH(PDHKI!E283,DiemHKI!$B$4:$B$58,0),1)="","","- "&amp;INDEX(DiemHKI!$DE$4:$DH$58,MATCH(PDHKI!E283,DiemHKI!$B$4:$B$58,0),1)))</f>
        <v/>
      </c>
      <c r="H270" s="571"/>
    </row>
    <row r="271" spans="1:11" ht="18" customHeight="1">
      <c r="A271" s="59" t="str">
        <f>IF(E283="","",IF(INDEX(DiemHKI!$DE$4:$DH$58,MATCH(PDHKI!E283,DiemHKI!$B$4:$B$58,0),2)="","","- "&amp;INDEX(DiemHKI!$DE$4:$DH$58,MATCH(PDHKI!E283,DiemHKI!$B$4:$B$58,0),2)))</f>
        <v/>
      </c>
    </row>
    <row r="272" spans="1:11" ht="18" customHeight="1">
      <c r="A272" s="59" t="str">
        <f>IF(E283="","",IF(INDEX(DiemHKI!$DE$4:$DH$58,MATCH(PDHKI!E283,DiemHKI!$B$4:$B$58,0),3)="","","- "&amp;INDEX(DiemHKI!$DE$4:$DH$58,MATCH(PDHKI!E283,DiemHKI!$B$4:$B$58,0),3)))</f>
        <v/>
      </c>
    </row>
    <row r="273" spans="1:5" ht="18" customHeight="1">
      <c r="A273" s="59" t="str">
        <f>IF(E283="","",IF(INDEX(DiemHKI!$DE$4:$DH$58,MATCH(PDHKI!E283,DiemHKI!$B$4:$B$58,0),4)="","","- "&amp;INDEX(DiemHKI!$DE$4:$DH$58,MATCH(PDHKI!E283,DiemHKI!$B$4:$B$58,0),4)))</f>
        <v/>
      </c>
    </row>
    <row r="274" spans="1:5" ht="6.75" customHeight="1"/>
    <row r="275" spans="1:5" ht="16.5" customHeight="1">
      <c r="A275" s="61"/>
      <c r="C275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75" s="1026"/>
      <c r="E275" s="1026"/>
    </row>
    <row r="276" spans="1:5" ht="21.75" customHeight="1">
      <c r="A276" s="923" t="str">
        <f>IF($D$41="Hiệu trưởng","Giáo viên Quản nhiệm","")</f>
        <v>Giáo viên Quản nhiệm</v>
      </c>
      <c r="B276" s="923"/>
      <c r="C276" s="923"/>
      <c r="D276" s="707" t="str">
        <f>IF($G$5="","",$G$5)</f>
        <v>Hiệu trưởng</v>
      </c>
      <c r="E276" s="708"/>
    </row>
    <row r="277" spans="1:5" ht="15" customHeight="1">
      <c r="A277" s="61"/>
      <c r="B277" s="61"/>
      <c r="C277" s="61"/>
      <c r="D277" s="66"/>
      <c r="E277" s="66"/>
    </row>
    <row r="278" spans="1:5" ht="15" customHeight="1">
      <c r="A278" s="61"/>
      <c r="B278" s="61"/>
      <c r="C278" s="61"/>
      <c r="D278" s="66"/>
      <c r="E278" s="66"/>
    </row>
    <row r="279" spans="1:5" ht="15" customHeight="1">
      <c r="A279" s="61"/>
      <c r="B279" s="61"/>
      <c r="C279" s="61"/>
    </row>
    <row r="280" spans="1:5" ht="15" customHeight="1">
      <c r="A280" s="61"/>
      <c r="B280" s="61"/>
      <c r="C280" s="61"/>
    </row>
    <row r="281" spans="1:5" ht="16.5" customHeight="1">
      <c r="A281" s="1012" t="str">
        <f>IF($A$41="","",PROPER('Huong dan'!$C$4))</f>
        <v/>
      </c>
      <c r="B281" s="1012"/>
      <c r="C281" s="1012"/>
      <c r="D281" s="833" t="str">
        <f>IFERROR(IF($D$41="Giáo Viên Quản nhiệm",PROPER('Huong dan'!$C$4),IF($D$41="Hiệu trưởng",PROPER('Huong dan'!$E$5),"")),"")</f>
        <v/>
      </c>
      <c r="E281" s="708"/>
    </row>
    <row r="282" spans="1:5" ht="12.75" customHeight="1"/>
    <row r="283" spans="1:5" ht="12.75" customHeight="1">
      <c r="A283" s="709"/>
      <c r="B283" s="709"/>
      <c r="C283" s="709"/>
      <c r="D283" s="710"/>
      <c r="E283" s="711">
        <f>IF(E236="","",IF(E236&lt;MAX(DiemHKI!$B$4:$B$58),E236+1,""))</f>
        <v>6</v>
      </c>
    </row>
    <row r="284" spans="1:5" ht="8.25" customHeight="1">
      <c r="A284" s="709"/>
      <c r="B284" s="709"/>
      <c r="C284" s="709"/>
      <c r="D284" s="709"/>
      <c r="E284" s="709"/>
    </row>
    <row r="285" spans="1:5" ht="5.25" customHeight="1"/>
    <row r="286" spans="1:5" s="563" customFormat="1" ht="23.25" customHeight="1">
      <c r="A286" s="931" t="str">
        <f>IF('Huong dan'!$E$3&lt;&gt;"","SỞ GIÁO DỤC VÀ ĐÀO TẠO "&amp;UPPER('Huong dan'!$E$3),"")</f>
        <v>SỞ GIÁO DỤC VÀ ĐÀO TẠO TP. HỒ CHÍ MINH</v>
      </c>
      <c r="B286" s="931"/>
      <c r="C286" s="931"/>
      <c r="D286" s="923" t="s">
        <v>19</v>
      </c>
      <c r="E286" s="923"/>
    </row>
    <row r="287" spans="1:5" ht="17.25" customHeight="1">
      <c r="A287" s="931" t="str">
        <f>IF('Huong dan'!$E$4&lt;&gt;"","TRƯỜNG "&amp;UPPER('Huong dan'!$E$4),"")</f>
        <v>TRƯỜNG THCS VÀ THPT NGUYỄN KHUYẾN</v>
      </c>
      <c r="B287" s="931"/>
      <c r="C287" s="931"/>
      <c r="D287" s="1012" t="s">
        <v>179</v>
      </c>
      <c r="E287" s="1012"/>
    </row>
    <row r="288" spans="1:5" ht="24" customHeight="1">
      <c r="A288" s="61"/>
      <c r="B288" s="61"/>
      <c r="C288" s="61"/>
    </row>
    <row r="289" spans="1:11" ht="29.25" customHeight="1">
      <c r="A289" s="1013" t="str">
        <f>"PHIẾU ĐIỂM HỌC KỲ I - NĂM HỌC "&amp;'Huong dan'!$C$5</f>
        <v>PHIẾU ĐIỂM HỌC KỲ I - NĂM HỌC 2021 - 2022</v>
      </c>
      <c r="B289" s="1013"/>
      <c r="C289" s="1013"/>
      <c r="D289" s="1013"/>
      <c r="E289" s="1013"/>
    </row>
    <row r="290" spans="1:11" ht="15.75" customHeight="1">
      <c r="A290" s="680"/>
      <c r="B290" s="680"/>
    </row>
    <row r="291" spans="1:11" ht="21" customHeight="1">
      <c r="A291" s="1014" t="s">
        <v>145</v>
      </c>
      <c r="B291" s="1014"/>
      <c r="C291" s="1015" t="str">
        <f>IF(E330="","",INDEX(DiemHKI!$D$4:$D$58,MATCH(E330,DiemHKI!$B$4:$B$58,0),1)&amp;" "&amp;INDEX(DiemHKI!$E$4:$E$58,MATCH(E330,DiemHKI!$B$4:$B$58,0),1))</f>
        <v>Nguyễn Phúc Bình</v>
      </c>
      <c r="D291" s="1015"/>
      <c r="E291" s="62" t="str">
        <f>IF('Huong dan'!$C$3="","","Lớp: "&amp;'Huong dan'!$C$3)</f>
        <v>Lớp: 12A1</v>
      </c>
    </row>
    <row r="292" spans="1:11" ht="23.25" customHeight="1">
      <c r="A292" s="1014" t="s">
        <v>146</v>
      </c>
      <c r="B292" s="1014"/>
      <c r="C292" s="681" t="str">
        <f>IF(E330="","",INDEX(DiemHKI!$F$4:$F$58,MATCH(PDHKI!E330,DiemHKI!$B$4:$B$58,0),1))</f>
        <v>20/06/2004</v>
      </c>
      <c r="D292" s="1016" t="str">
        <f>IF(E330="","","Nơi sinh: "&amp;INDEX(DiemHKI!$G$4:$G$58,MATCH(PDHKI!E330,DiemHKI!$B$4:$B$58,0),1))</f>
        <v>Nơi sinh: Tiền Giang</v>
      </c>
      <c r="E292" s="1016"/>
    </row>
    <row r="293" spans="1:11" ht="13.5" customHeight="1" thickBot="1">
      <c r="A293" s="681"/>
      <c r="B293" s="682"/>
      <c r="D293" s="681"/>
      <c r="E293" s="681"/>
    </row>
    <row r="294" spans="1:11" ht="24" customHeight="1" thickBot="1">
      <c r="A294" s="683" t="s">
        <v>0</v>
      </c>
      <c r="B294" s="1006" t="s">
        <v>72</v>
      </c>
      <c r="C294" s="1007"/>
      <c r="D294" s="684" t="s">
        <v>147</v>
      </c>
      <c r="E294" s="685" t="s">
        <v>148</v>
      </c>
    </row>
    <row r="295" spans="1:11" ht="21" customHeight="1">
      <c r="A295" s="686">
        <v>1</v>
      </c>
      <c r="B295" s="1017" t="s">
        <v>26</v>
      </c>
      <c r="C295" s="1018"/>
      <c r="D295" s="687">
        <f>IF(E330="","",IF(INDEX(THHKI!$A$8:$Y$62,MATCH(PDHKI!E330,THHKI!$A$8:$A$62,0),INDEX($K$13:$K$27,MATCH(B295,$J$13:$J$27,0),1))&lt;1,"/",INDEX(THHKI!$A$8:$Y$62,MATCH(PDHKI!E330,THHKI!$A$8:$A$62,0),INDEX($K$13:$K$27,MATCH(B295,$J$13:$J$27,0),1))))</f>
        <v>9.8000000000000007</v>
      </c>
      <c r="E295" s="688"/>
      <c r="J295" s="569" t="s">
        <v>26</v>
      </c>
      <c r="K295" s="569">
        <v>7</v>
      </c>
    </row>
    <row r="296" spans="1:11" ht="21" customHeight="1">
      <c r="A296" s="689">
        <v>2</v>
      </c>
      <c r="B296" s="1008" t="s">
        <v>27</v>
      </c>
      <c r="C296" s="1009"/>
      <c r="D296" s="690">
        <f>IF(E330="","",IF(INDEX(THHKI!$A$8:$Y$62,MATCH(PDHKI!E330,THHKI!$A$8:$A$62,0),INDEX($K$13:$K$27,MATCH(B296,$J$13:$J$27,0),1))&lt;1,"/",INDEX(THHKI!$A$8:$Y$62,MATCH(PDHKI!E330,THHKI!$A$8:$A$62,0),INDEX($K$13:$K$27,MATCH(B296,$J$13:$J$27,0),1))))</f>
        <v>9.9</v>
      </c>
      <c r="E296" s="691"/>
      <c r="J296" s="569" t="s">
        <v>27</v>
      </c>
      <c r="K296" s="569">
        <v>8</v>
      </c>
    </row>
    <row r="297" spans="1:11" ht="21" customHeight="1">
      <c r="A297" s="689">
        <v>3</v>
      </c>
      <c r="B297" s="1008" t="s">
        <v>28</v>
      </c>
      <c r="C297" s="1009"/>
      <c r="D297" s="690">
        <f>IF(E330="","",IF(INDEX(THHKI!$A$8:$Y$62,MATCH(PDHKI!E330,THHKI!$A$8:$A$62,0),INDEX($K$13:$K$27,MATCH(B297,$J$13:$J$27,0),1))&lt;1,"/",INDEX(THHKI!$A$8:$Y$62,MATCH(PDHKI!E330,THHKI!$A$8:$A$62,0),INDEX($K$13:$K$27,MATCH(B297,$J$13:$J$27,0),1))))</f>
        <v>9.6</v>
      </c>
      <c r="E297" s="691"/>
      <c r="J297" s="569" t="s">
        <v>28</v>
      </c>
      <c r="K297" s="569">
        <v>9</v>
      </c>
    </row>
    <row r="298" spans="1:11" ht="21" customHeight="1">
      <c r="A298" s="689">
        <v>4</v>
      </c>
      <c r="B298" s="1008" t="s">
        <v>29</v>
      </c>
      <c r="C298" s="1009"/>
      <c r="D298" s="690">
        <f>IF(E330="","",IF(INDEX(THHKI!$A$8:$Y$62,MATCH(PDHKI!E330,THHKI!$A$8:$A$62,0),INDEX($K$13:$K$27,MATCH(B298,$J$13:$J$27,0),1))&lt;1,"/",INDEX(THHKI!$A$8:$Y$62,MATCH(PDHKI!E330,THHKI!$A$8:$A$62,0),INDEX($K$13:$K$27,MATCH(B298,$J$13:$J$27,0),1))))</f>
        <v>9.6</v>
      </c>
      <c r="E298" s="691"/>
      <c r="J298" s="569" t="s">
        <v>29</v>
      </c>
      <c r="K298" s="569">
        <v>10</v>
      </c>
    </row>
    <row r="299" spans="1:11" ht="21" customHeight="1">
      <c r="A299" s="689">
        <v>5</v>
      </c>
      <c r="B299" s="1008" t="s">
        <v>120</v>
      </c>
      <c r="C299" s="1009"/>
      <c r="D299" s="690">
        <f>IF(E330="","",IF(INDEX(THHKI!$A$8:$Y$62,MATCH(PDHKI!E330,THHKI!$A$8:$A$62,0),INDEX($K$13:$K$27,MATCH(B299,$J$13:$J$27,0),1))&lt;1,"/",INDEX(THHKI!$A$8:$Y$62,MATCH(PDHKI!E330,THHKI!$A$8:$A$62,0),INDEX($K$13:$K$27,MATCH(B299,$J$13:$J$27,0),1))))</f>
        <v>9.8000000000000007</v>
      </c>
      <c r="E299" s="691"/>
      <c r="J299" s="569" t="s">
        <v>120</v>
      </c>
      <c r="K299" s="569">
        <v>11</v>
      </c>
    </row>
    <row r="300" spans="1:11" ht="21" customHeight="1">
      <c r="A300" s="689">
        <v>6</v>
      </c>
      <c r="B300" s="1008" t="s">
        <v>30</v>
      </c>
      <c r="C300" s="1009"/>
      <c r="D300" s="690">
        <f>IF(E330="","",IF(INDEX(THHKI!$A$8:$Y$62,MATCH(PDHKI!E330,THHKI!$A$8:$A$62,0),INDEX($K$13:$K$27,MATCH(B300,$J$13:$J$27,0),1))&lt;1,"/",INDEX(THHKI!$A$8:$Y$62,MATCH(PDHKI!E330,THHKI!$A$8:$A$62,0),INDEX($K$13:$K$27,MATCH(B300,$J$13:$J$27,0),1))))</f>
        <v>8</v>
      </c>
      <c r="E300" s="691"/>
      <c r="J300" s="569" t="s">
        <v>30</v>
      </c>
      <c r="K300" s="569">
        <v>12</v>
      </c>
    </row>
    <row r="301" spans="1:11" ht="21" customHeight="1">
      <c r="A301" s="689">
        <v>7</v>
      </c>
      <c r="B301" s="1008" t="s">
        <v>31</v>
      </c>
      <c r="C301" s="1009"/>
      <c r="D301" s="690">
        <f>IF(E330="","",IF(INDEX(THHKI!$A$8:$Y$62,MATCH(PDHKI!E330,THHKI!$A$8:$A$62,0),INDEX($K$13:$K$27,MATCH(B301,$J$13:$J$27,0),1))&lt;1,"/",INDEX(THHKI!$A$8:$Y$62,MATCH(PDHKI!E330,THHKI!$A$8:$A$62,0),INDEX($K$13:$K$27,MATCH(B301,$J$13:$J$27,0),1))))</f>
        <v>9.6999999999999993</v>
      </c>
      <c r="E301" s="691"/>
      <c r="J301" s="569" t="s">
        <v>31</v>
      </c>
      <c r="K301" s="569">
        <v>13</v>
      </c>
    </row>
    <row r="302" spans="1:11" ht="21" customHeight="1">
      <c r="A302" s="689">
        <v>8</v>
      </c>
      <c r="B302" s="1008" t="s">
        <v>32</v>
      </c>
      <c r="C302" s="1009"/>
      <c r="D302" s="690">
        <f>IF(E330="","",IF(INDEX(THHKI!$A$8:$Y$62,MATCH(PDHKI!E330,THHKI!$A$8:$A$62,0),INDEX($K$13:$K$27,MATCH(B302,$J$13:$J$27,0),1))&lt;1,"/",INDEX(THHKI!$A$8:$Y$62,MATCH(PDHKI!E330,THHKI!$A$8:$A$62,0),INDEX($K$13:$K$27,MATCH(B302,$J$13:$J$27,0),1))))</f>
        <v>9.6</v>
      </c>
      <c r="E302" s="691"/>
      <c r="J302" s="569" t="s">
        <v>32</v>
      </c>
      <c r="K302" s="569">
        <v>14</v>
      </c>
    </row>
    <row r="303" spans="1:11" ht="21" customHeight="1">
      <c r="A303" s="689">
        <v>9</v>
      </c>
      <c r="B303" s="1008" t="s">
        <v>33</v>
      </c>
      <c r="C303" s="1009"/>
      <c r="D303" s="690">
        <f>IF(E330="","",IF(INDEX(THHKI!$A$8:$Y$62,MATCH(PDHKI!E330,THHKI!$A$8:$A$62,0),INDEX($K$13:$K$27,MATCH(B303,$J$13:$J$27,0),1))&lt;1,"/",INDEX(THHKI!$A$8:$Y$62,MATCH(PDHKI!E330,THHKI!$A$8:$A$62,0),INDEX($K$13:$K$27,MATCH(B303,$J$13:$J$27,0),1))))</f>
        <v>9.6</v>
      </c>
      <c r="E303" s="691"/>
      <c r="J303" s="569" t="s">
        <v>33</v>
      </c>
      <c r="K303" s="569">
        <v>15</v>
      </c>
    </row>
    <row r="304" spans="1:11" ht="21" customHeight="1">
      <c r="A304" s="689">
        <v>10</v>
      </c>
      <c r="B304" s="1008" t="s">
        <v>60</v>
      </c>
      <c r="C304" s="1009"/>
      <c r="D304" s="690">
        <f>IF(E330="","",IF(INDEX(THHKI!$A$8:$Y$62,MATCH(PDHKI!E330,THHKI!$A$8:$A$62,0),INDEX($K$13:$K$27,MATCH(B304,$J$13:$J$27,0),1))&lt;1,"/",INDEX(THHKI!$A$8:$Y$62,MATCH(PDHKI!E330,THHKI!$A$8:$A$62,0),INDEX($K$13:$K$27,MATCH(B304,$J$13:$J$27,0),1))))</f>
        <v>9.4</v>
      </c>
      <c r="E304" s="691"/>
      <c r="J304" s="569" t="s">
        <v>60</v>
      </c>
      <c r="K304" s="569">
        <v>16</v>
      </c>
    </row>
    <row r="305" spans="1:11" ht="21" customHeight="1">
      <c r="A305" s="689">
        <v>11</v>
      </c>
      <c r="B305" s="1008" t="s">
        <v>34</v>
      </c>
      <c r="C305" s="1009"/>
      <c r="D305" s="690">
        <f>IF(E330="","",IF(INDEX(THHKI!$A$8:$Y$62,MATCH(PDHKI!E330,THHKI!$A$8:$A$62,0),INDEX($K$13:$K$27,MATCH(B305,$J$13:$J$27,0),1))&lt;1,"/",INDEX(THHKI!$A$8:$Y$62,MATCH(PDHKI!E330,THHKI!$A$8:$A$62,0),INDEX($K$13:$K$27,MATCH(B305,$J$13:$J$27,0),1))))</f>
        <v>9.5</v>
      </c>
      <c r="E305" s="691"/>
      <c r="J305" s="569" t="s">
        <v>34</v>
      </c>
      <c r="K305" s="569">
        <v>17</v>
      </c>
    </row>
    <row r="306" spans="1:11" ht="21" customHeight="1">
      <c r="A306" s="689">
        <v>12</v>
      </c>
      <c r="B306" s="1008" t="s">
        <v>35</v>
      </c>
      <c r="C306" s="1009"/>
      <c r="D306" s="690" t="str">
        <f>IF(E330="","",IF(INDEX(THHKI!$A$8:$Y$62,MATCH(PDHKI!E330,THHKI!$A$8:$A$62,0),INDEX($K$13:$K$27,MATCH(B306,$J$13:$J$27,0),1))&lt;1,"/",INDEX(THHKI!$A$8:$Y$62,MATCH(PDHKI!E330,THHKI!$A$8:$A$62,0),INDEX($K$13:$K$27,MATCH(B306,$J$13:$J$27,0),1))))</f>
        <v>Đ</v>
      </c>
      <c r="E306" s="691"/>
      <c r="J306" s="569" t="s">
        <v>35</v>
      </c>
      <c r="K306" s="569">
        <v>18</v>
      </c>
    </row>
    <row r="307" spans="1:11" ht="21" customHeight="1">
      <c r="A307" s="689">
        <v>13</v>
      </c>
      <c r="B307" s="1008" t="s">
        <v>121</v>
      </c>
      <c r="C307" s="1009"/>
      <c r="D307" s="690">
        <f>IF(E330="","",IF(INDEX(THHKI!$A$8:$Y$62,MATCH(PDHKI!E330,THHKI!$A$8:$A$62,0),INDEX($K$13:$K$27,MATCH(B307,$J$13:$J$27,0),1))&lt;1,"/",INDEX(THHKI!$A$8:$Y$62,MATCH(PDHKI!E330,THHKI!$A$8:$A$62,0),INDEX($K$13:$K$27,MATCH(B307,$J$13:$J$27,0),1))))</f>
        <v>9.9</v>
      </c>
      <c r="E307" s="691"/>
      <c r="J307" s="569" t="s">
        <v>22</v>
      </c>
      <c r="K307" s="569">
        <v>19</v>
      </c>
    </row>
    <row r="308" spans="1:11" ht="21" customHeight="1" thickBot="1">
      <c r="A308" s="692">
        <v>14</v>
      </c>
      <c r="B308" s="1010" t="s">
        <v>122</v>
      </c>
      <c r="C308" s="1011"/>
      <c r="D308" s="693" t="str">
        <f>IF(E330="","",IF(INDEX(THHKI!$A$8:$Y$62,MATCH(PDHKI!E330,THHKI!$A$8:$A$62,0),INDEX($K$13:$K$27,MATCH(B308,$J$13:$J$27,0),1))&lt;1,"/",INDEX(THHKI!$A$8:$Y$62,MATCH(PDHKI!E330,THHKI!$A$8:$A$62,0),INDEX($K$13:$K$27,MATCH(B308,$J$13:$J$27,0),1))))</f>
        <v/>
      </c>
      <c r="E308" s="694"/>
      <c r="J308" s="569" t="s">
        <v>121</v>
      </c>
      <c r="K308" s="569">
        <v>20</v>
      </c>
    </row>
    <row r="309" spans="1:11" ht="21" customHeight="1" thickBot="1">
      <c r="A309" s="695">
        <v>15</v>
      </c>
      <c r="B309" s="1006" t="s">
        <v>149</v>
      </c>
      <c r="C309" s="1007"/>
      <c r="D309" s="696">
        <f>IF(E330="","",IF(INDEX(THHKI!$A$8:$Y$62,MATCH(PDHKI!E330,THHKI!$A$8:$A$62,0),22)&lt;1,"/",INDEX(THHKI!$A$8:$Y$62,MATCH(PDHKI!E330,THHKI!$A$8:$A$62,0),22)))</f>
        <v>9.5</v>
      </c>
      <c r="E309" s="697"/>
      <c r="J309" s="569" t="s">
        <v>122</v>
      </c>
      <c r="K309" s="569">
        <v>21</v>
      </c>
    </row>
    <row r="310" spans="1:11" ht="15.75" customHeight="1" thickBot="1"/>
    <row r="311" spans="1:11" s="570" customFormat="1" ht="21" customHeight="1">
      <c r="A311" s="698"/>
      <c r="B311" s="1019" t="s">
        <v>150</v>
      </c>
      <c r="C311" s="1020"/>
      <c r="D311" s="699" t="s">
        <v>10</v>
      </c>
      <c r="E311" s="700" t="s">
        <v>126</v>
      </c>
    </row>
    <row r="312" spans="1:11" ht="21" customHeight="1">
      <c r="A312" s="701">
        <v>16</v>
      </c>
      <c r="B312" s="1021" t="s">
        <v>151</v>
      </c>
      <c r="C312" s="1022"/>
      <c r="D312" s="702" t="str">
        <f>IF(E330="","",IF(INDEX(THHKI!$A$8:$Y$62,MATCH(PDHKI!E330,THHKI!$A$8:$A$62,0),23)="","/",INDEX(THHKI!$A$8:$Y$62,MATCH(PDHKI!E330,THHKI!$A$8:$A$62,0),23)))</f>
        <v>Giỏi</v>
      </c>
      <c r="E312" s="703"/>
    </row>
    <row r="313" spans="1:11" ht="21" customHeight="1">
      <c r="A313" s="701">
        <v>17</v>
      </c>
      <c r="B313" s="1021" t="s">
        <v>152</v>
      </c>
      <c r="C313" s="1022"/>
      <c r="D313" s="702" t="str">
        <f>IF(E330="","",IF(INDEX(THHKI!$A$8:$Y$62,MATCH(PDHKI!E330,THHKI!$A$8:$A$62,0),24)="","/",INDEX(THHKI!$A$8:$Y$62,MATCH(PDHKI!E330,THHKI!$A$8:$A$62,0),24)))</f>
        <v>Tốt</v>
      </c>
      <c r="E313" s="703"/>
    </row>
    <row r="314" spans="1:11" ht="21" customHeight="1" thickBot="1">
      <c r="A314" s="704">
        <v>18</v>
      </c>
      <c r="B314" s="1023" t="s">
        <v>153</v>
      </c>
      <c r="C314" s="1024"/>
      <c r="D314" s="705" t="str">
        <f>IF(E330="","",IF(INDEX(THHKI!$A$8:$Y$62,MATCH(PDHKI!E330,THHKI!$A$8:$A$62,0),25)="","/",INDEX(THHKI!$A$8:$Y$62,MATCH(PDHKI!E330,THHKI!$A$8:$A$62,0),25)))</f>
        <v>HSG</v>
      </c>
      <c r="E314" s="706"/>
    </row>
    <row r="315" spans="1:11" ht="9.75" customHeight="1"/>
    <row r="316" spans="1:11" ht="15.75" customHeight="1">
      <c r="A316" s="58" t="s">
        <v>219</v>
      </c>
    </row>
    <row r="317" spans="1:11" ht="18" customHeight="1">
      <c r="A317" s="59" t="str">
        <f>IF(E330="","",IF(INDEX(DiemHKI!$DE$4:$DH$58,MATCH(PDHKI!E330,DiemHKI!$B$4:$B$58,0),1)="","","- "&amp;INDEX(DiemHKI!$DE$4:$DH$58,MATCH(PDHKI!E330,DiemHKI!$B$4:$B$58,0),1)))</f>
        <v/>
      </c>
      <c r="H317" s="571"/>
    </row>
    <row r="318" spans="1:11" ht="18" customHeight="1">
      <c r="A318" s="59" t="str">
        <f>IF(E330="","",IF(INDEX(DiemHKI!$DE$4:$DH$58,MATCH(PDHKI!E330,DiemHKI!$B$4:$B$58,0),2)="","","- "&amp;INDEX(DiemHKI!$DE$4:$DH$58,MATCH(PDHKI!E330,DiemHKI!$B$4:$B$58,0),2)))</f>
        <v/>
      </c>
    </row>
    <row r="319" spans="1:11" ht="18" customHeight="1">
      <c r="A319" s="59" t="str">
        <f>IF(E330="","",IF(INDEX(DiemHKI!$DE$4:$DH$58,MATCH(PDHKI!E330,DiemHKI!$B$4:$B$58,0),3)="","","- "&amp;INDEX(DiemHKI!$DE$4:$DH$58,MATCH(PDHKI!E330,DiemHKI!$B$4:$B$58,0),3)))</f>
        <v/>
      </c>
    </row>
    <row r="320" spans="1:11" ht="18" customHeight="1">
      <c r="A320" s="59" t="str">
        <f>IF(E330="","",IF(INDEX(DiemHKI!$DE$4:$DH$58,MATCH(PDHKI!E330,DiemHKI!$B$4:$B$58,0),4)="","","- "&amp;INDEX(DiemHKI!$DE$4:$DH$58,MATCH(PDHKI!E330,DiemHKI!$B$4:$B$58,0),4)))</f>
        <v/>
      </c>
    </row>
    <row r="321" spans="1:5" ht="6.75" customHeight="1"/>
    <row r="322" spans="1:5" ht="16.5" customHeight="1">
      <c r="A322" s="61"/>
      <c r="C322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322" s="1026"/>
      <c r="E322" s="1026"/>
    </row>
    <row r="323" spans="1:5" ht="21.75" customHeight="1">
      <c r="A323" s="923" t="str">
        <f>IF($D$41="Hiệu trưởng","Giáo viên Quản nhiệm","")</f>
        <v>Giáo viên Quản nhiệm</v>
      </c>
      <c r="B323" s="923"/>
      <c r="C323" s="923"/>
      <c r="D323" s="707" t="str">
        <f>IF($G$5="","",$G$5)</f>
        <v>Hiệu trưởng</v>
      </c>
      <c r="E323" s="708"/>
    </row>
    <row r="324" spans="1:5" ht="15" customHeight="1">
      <c r="A324" s="61"/>
      <c r="B324" s="61"/>
      <c r="C324" s="61"/>
      <c r="D324" s="66"/>
      <c r="E324" s="66"/>
    </row>
    <row r="325" spans="1:5" ht="15" customHeight="1">
      <c r="A325" s="61"/>
      <c r="B325" s="61"/>
      <c r="C325" s="61"/>
      <c r="D325" s="66"/>
      <c r="E325" s="66"/>
    </row>
    <row r="326" spans="1:5" ht="15" customHeight="1">
      <c r="A326" s="61"/>
      <c r="B326" s="61"/>
      <c r="C326" s="61"/>
    </row>
    <row r="327" spans="1:5" ht="15" customHeight="1">
      <c r="A327" s="61"/>
      <c r="B327" s="61"/>
      <c r="C327" s="61"/>
    </row>
    <row r="328" spans="1:5" ht="16.5" customHeight="1">
      <c r="A328" s="1012" t="str">
        <f>IF($A$41="","",PROPER('Huong dan'!$C$4))</f>
        <v/>
      </c>
      <c r="B328" s="1012"/>
      <c r="C328" s="1012"/>
      <c r="D328" s="833" t="str">
        <f>IFERROR(IF($D$41="Giáo Viên Quản nhiệm",PROPER('Huong dan'!$C$4),IF($D$41="Hiệu trưởng",PROPER('Huong dan'!$E$5),"")),"")</f>
        <v/>
      </c>
      <c r="E328" s="708"/>
    </row>
    <row r="329" spans="1:5" ht="12.75" customHeight="1"/>
    <row r="330" spans="1:5" ht="12.75" customHeight="1">
      <c r="A330" s="709"/>
      <c r="B330" s="709"/>
      <c r="C330" s="709"/>
      <c r="D330" s="710"/>
      <c r="E330" s="711">
        <f>IF(E283="","",IF(E283&lt;MAX(DiemHKI!$B$4:$B$58),E283+1,""))</f>
        <v>7</v>
      </c>
    </row>
    <row r="331" spans="1:5" ht="8.25" customHeight="1">
      <c r="A331" s="709"/>
      <c r="B331" s="709"/>
      <c r="C331" s="709"/>
      <c r="D331" s="709"/>
      <c r="E331" s="709"/>
    </row>
    <row r="332" spans="1:5" ht="5.25" customHeight="1"/>
    <row r="333" spans="1:5" s="563" customFormat="1" ht="23.25" customHeight="1">
      <c r="A333" s="931" t="str">
        <f>IF('Huong dan'!$E$3&lt;&gt;"","SỞ GIÁO DỤC VÀ ĐÀO TẠO "&amp;UPPER('Huong dan'!$E$3),"")</f>
        <v>SỞ GIÁO DỤC VÀ ĐÀO TẠO TP. HỒ CHÍ MINH</v>
      </c>
      <c r="B333" s="931"/>
      <c r="C333" s="931"/>
      <c r="D333" s="923" t="s">
        <v>19</v>
      </c>
      <c r="E333" s="923"/>
    </row>
    <row r="334" spans="1:5" ht="17.25" customHeight="1">
      <c r="A334" s="931" t="str">
        <f>IF('Huong dan'!$E$4&lt;&gt;"","TRƯỜNG "&amp;UPPER('Huong dan'!$E$4),"")</f>
        <v>TRƯỜNG THCS VÀ THPT NGUYỄN KHUYẾN</v>
      </c>
      <c r="B334" s="931"/>
      <c r="C334" s="931"/>
      <c r="D334" s="1012" t="s">
        <v>179</v>
      </c>
      <c r="E334" s="1012"/>
    </row>
    <row r="335" spans="1:5" ht="24" customHeight="1">
      <c r="A335" s="61"/>
      <c r="B335" s="61"/>
      <c r="C335" s="61"/>
    </row>
    <row r="336" spans="1:5" ht="29.25" customHeight="1">
      <c r="A336" s="1013" t="str">
        <f>"PHIẾU ĐIỂM HỌC KỲ I - NĂM HỌC "&amp;'Huong dan'!$C$5</f>
        <v>PHIẾU ĐIỂM HỌC KỲ I - NĂM HỌC 2021 - 2022</v>
      </c>
      <c r="B336" s="1013"/>
      <c r="C336" s="1013"/>
      <c r="D336" s="1013"/>
      <c r="E336" s="1013"/>
    </row>
    <row r="337" spans="1:11" ht="15.75" customHeight="1">
      <c r="A337" s="680"/>
      <c r="B337" s="680"/>
    </row>
    <row r="338" spans="1:11" ht="21" customHeight="1">
      <c r="A338" s="1014" t="s">
        <v>145</v>
      </c>
      <c r="B338" s="1014"/>
      <c r="C338" s="1015" t="str">
        <f>IF(E377="","",INDEX(DiemHKI!$D$4:$D$58,MATCH(E377,DiemHKI!$B$4:$B$58,0),1)&amp;" "&amp;INDEX(DiemHKI!$E$4:$E$58,MATCH(E377,DiemHKI!$B$4:$B$58,0),1))</f>
        <v>Trần Lê Cường</v>
      </c>
      <c r="D338" s="1015"/>
      <c r="E338" s="62" t="str">
        <f>IF('Huong dan'!$C$3="","","Lớp: "&amp;'Huong dan'!$C$3)</f>
        <v>Lớp: 12A1</v>
      </c>
    </row>
    <row r="339" spans="1:11" ht="23.25" customHeight="1">
      <c r="A339" s="1014" t="s">
        <v>146</v>
      </c>
      <c r="B339" s="1014"/>
      <c r="C339" s="681" t="str">
        <f>IF(E377="","",INDEX(DiemHKI!$F$4:$F$58,MATCH(PDHKI!E377,DiemHKI!$B$4:$B$58,0),1))</f>
        <v>08/04/2004</v>
      </c>
      <c r="D339" s="1016" t="str">
        <f>IF(E377="","","Nơi sinh: "&amp;INDEX(DiemHKI!$G$4:$G$58,MATCH(PDHKI!E377,DiemHKI!$B$4:$B$58,0),1))</f>
        <v>Nơi sinh: Đồng Nai</v>
      </c>
      <c r="E339" s="1016"/>
    </row>
    <row r="340" spans="1:11" ht="13.5" customHeight="1" thickBot="1">
      <c r="A340" s="681"/>
      <c r="B340" s="682"/>
      <c r="D340" s="681"/>
      <c r="E340" s="681"/>
    </row>
    <row r="341" spans="1:11" ht="24" customHeight="1" thickBot="1">
      <c r="A341" s="683" t="s">
        <v>0</v>
      </c>
      <c r="B341" s="1006" t="s">
        <v>72</v>
      </c>
      <c r="C341" s="1007"/>
      <c r="D341" s="684" t="s">
        <v>147</v>
      </c>
      <c r="E341" s="685" t="s">
        <v>148</v>
      </c>
    </row>
    <row r="342" spans="1:11" ht="21" customHeight="1">
      <c r="A342" s="686">
        <v>1</v>
      </c>
      <c r="B342" s="1017" t="s">
        <v>26</v>
      </c>
      <c r="C342" s="1018"/>
      <c r="D342" s="687">
        <f>IF(E377="","",IF(INDEX(THHKI!$A$8:$Y$62,MATCH(PDHKI!E377,THHKI!$A$8:$A$62,0),INDEX($K$13:$K$27,MATCH(B342,$J$13:$J$27,0),1))&lt;1,"/",INDEX(THHKI!$A$8:$Y$62,MATCH(PDHKI!E377,THHKI!$A$8:$A$62,0),INDEX($K$13:$K$27,MATCH(B342,$J$13:$J$27,0),1))))</f>
        <v>9.6</v>
      </c>
      <c r="E342" s="688"/>
      <c r="J342" s="569" t="s">
        <v>26</v>
      </c>
      <c r="K342" s="569">
        <v>7</v>
      </c>
    </row>
    <row r="343" spans="1:11" ht="21" customHeight="1">
      <c r="A343" s="689">
        <v>2</v>
      </c>
      <c r="B343" s="1008" t="s">
        <v>27</v>
      </c>
      <c r="C343" s="1009"/>
      <c r="D343" s="690">
        <f>IF(E377="","",IF(INDEX(THHKI!$A$8:$Y$62,MATCH(PDHKI!E377,THHKI!$A$8:$A$62,0),INDEX($K$13:$K$27,MATCH(B343,$J$13:$J$27,0),1))&lt;1,"/",INDEX(THHKI!$A$8:$Y$62,MATCH(PDHKI!E377,THHKI!$A$8:$A$62,0),INDEX($K$13:$K$27,MATCH(B343,$J$13:$J$27,0),1))))</f>
        <v>9.6</v>
      </c>
      <c r="E343" s="691"/>
      <c r="J343" s="569" t="s">
        <v>27</v>
      </c>
      <c r="K343" s="569">
        <v>8</v>
      </c>
    </row>
    <row r="344" spans="1:11" ht="21" customHeight="1">
      <c r="A344" s="689">
        <v>3</v>
      </c>
      <c r="B344" s="1008" t="s">
        <v>28</v>
      </c>
      <c r="C344" s="1009"/>
      <c r="D344" s="690">
        <f>IF(E377="","",IF(INDEX(THHKI!$A$8:$Y$62,MATCH(PDHKI!E377,THHKI!$A$8:$A$62,0),INDEX($K$13:$K$27,MATCH(B344,$J$13:$J$27,0),1))&lt;1,"/",INDEX(THHKI!$A$8:$Y$62,MATCH(PDHKI!E377,THHKI!$A$8:$A$62,0),INDEX($K$13:$K$27,MATCH(B344,$J$13:$J$27,0),1))))</f>
        <v>9.1999999999999993</v>
      </c>
      <c r="E344" s="691"/>
      <c r="J344" s="569" t="s">
        <v>28</v>
      </c>
      <c r="K344" s="569">
        <v>9</v>
      </c>
    </row>
    <row r="345" spans="1:11" ht="21" customHeight="1">
      <c r="A345" s="689">
        <v>4</v>
      </c>
      <c r="B345" s="1008" t="s">
        <v>29</v>
      </c>
      <c r="C345" s="1009"/>
      <c r="D345" s="690">
        <f>IF(E377="","",IF(INDEX(THHKI!$A$8:$Y$62,MATCH(PDHKI!E377,THHKI!$A$8:$A$62,0),INDEX($K$13:$K$27,MATCH(B345,$J$13:$J$27,0),1))&lt;1,"/",INDEX(THHKI!$A$8:$Y$62,MATCH(PDHKI!E377,THHKI!$A$8:$A$62,0),INDEX($K$13:$K$27,MATCH(B345,$J$13:$J$27,0),1))))</f>
        <v>8.6</v>
      </c>
      <c r="E345" s="691"/>
      <c r="J345" s="569" t="s">
        <v>29</v>
      </c>
      <c r="K345" s="569">
        <v>10</v>
      </c>
    </row>
    <row r="346" spans="1:11" ht="21" customHeight="1">
      <c r="A346" s="689">
        <v>5</v>
      </c>
      <c r="B346" s="1008" t="s">
        <v>120</v>
      </c>
      <c r="C346" s="1009"/>
      <c r="D346" s="690">
        <f>IF(E377="","",IF(INDEX(THHKI!$A$8:$Y$62,MATCH(PDHKI!E377,THHKI!$A$8:$A$62,0),INDEX($K$13:$K$27,MATCH(B346,$J$13:$J$27,0),1))&lt;1,"/",INDEX(THHKI!$A$8:$Y$62,MATCH(PDHKI!E377,THHKI!$A$8:$A$62,0),INDEX($K$13:$K$27,MATCH(B346,$J$13:$J$27,0),1))))</f>
        <v>9.6</v>
      </c>
      <c r="E346" s="691"/>
      <c r="J346" s="569" t="s">
        <v>120</v>
      </c>
      <c r="K346" s="569">
        <v>11</v>
      </c>
    </row>
    <row r="347" spans="1:11" ht="21" customHeight="1">
      <c r="A347" s="689">
        <v>6</v>
      </c>
      <c r="B347" s="1008" t="s">
        <v>30</v>
      </c>
      <c r="C347" s="1009"/>
      <c r="D347" s="690">
        <f>IF(E377="","",IF(INDEX(THHKI!$A$8:$Y$62,MATCH(PDHKI!E377,THHKI!$A$8:$A$62,0),INDEX($K$13:$K$27,MATCH(B347,$J$13:$J$27,0),1))&lt;1,"/",INDEX(THHKI!$A$8:$Y$62,MATCH(PDHKI!E377,THHKI!$A$8:$A$62,0),INDEX($K$13:$K$27,MATCH(B347,$J$13:$J$27,0),1))))</f>
        <v>7.3</v>
      </c>
      <c r="E347" s="691"/>
      <c r="J347" s="569" t="s">
        <v>30</v>
      </c>
      <c r="K347" s="569">
        <v>12</v>
      </c>
    </row>
    <row r="348" spans="1:11" ht="21" customHeight="1">
      <c r="A348" s="689">
        <v>7</v>
      </c>
      <c r="B348" s="1008" t="s">
        <v>31</v>
      </c>
      <c r="C348" s="1009"/>
      <c r="D348" s="690">
        <f>IF(E377="","",IF(INDEX(THHKI!$A$8:$Y$62,MATCH(PDHKI!E377,THHKI!$A$8:$A$62,0),INDEX($K$13:$K$27,MATCH(B348,$J$13:$J$27,0),1))&lt;1,"/",INDEX(THHKI!$A$8:$Y$62,MATCH(PDHKI!E377,THHKI!$A$8:$A$62,0),INDEX($K$13:$K$27,MATCH(B348,$J$13:$J$27,0),1))))</f>
        <v>9.6</v>
      </c>
      <c r="E348" s="691"/>
      <c r="J348" s="569" t="s">
        <v>31</v>
      </c>
      <c r="K348" s="569">
        <v>13</v>
      </c>
    </row>
    <row r="349" spans="1:11" ht="21" customHeight="1">
      <c r="A349" s="689">
        <v>8</v>
      </c>
      <c r="B349" s="1008" t="s">
        <v>32</v>
      </c>
      <c r="C349" s="1009"/>
      <c r="D349" s="690">
        <f>IF(E377="","",IF(INDEX(THHKI!$A$8:$Y$62,MATCH(PDHKI!E377,THHKI!$A$8:$A$62,0),INDEX($K$13:$K$27,MATCH(B349,$J$13:$J$27,0),1))&lt;1,"/",INDEX(THHKI!$A$8:$Y$62,MATCH(PDHKI!E377,THHKI!$A$8:$A$62,0),INDEX($K$13:$K$27,MATCH(B349,$J$13:$J$27,0),1))))</f>
        <v>9.8000000000000007</v>
      </c>
      <c r="E349" s="691"/>
      <c r="J349" s="569" t="s">
        <v>32</v>
      </c>
      <c r="K349" s="569">
        <v>14</v>
      </c>
    </row>
    <row r="350" spans="1:11" ht="21" customHeight="1">
      <c r="A350" s="689">
        <v>9</v>
      </c>
      <c r="B350" s="1008" t="s">
        <v>33</v>
      </c>
      <c r="C350" s="1009"/>
      <c r="D350" s="690">
        <f>IF(E377="","",IF(INDEX(THHKI!$A$8:$Y$62,MATCH(PDHKI!E377,THHKI!$A$8:$A$62,0),INDEX($K$13:$K$27,MATCH(B350,$J$13:$J$27,0),1))&lt;1,"/",INDEX(THHKI!$A$8:$Y$62,MATCH(PDHKI!E377,THHKI!$A$8:$A$62,0),INDEX($K$13:$K$27,MATCH(B350,$J$13:$J$27,0),1))))</f>
        <v>9.4</v>
      </c>
      <c r="E350" s="691"/>
      <c r="J350" s="569" t="s">
        <v>33</v>
      </c>
      <c r="K350" s="569">
        <v>15</v>
      </c>
    </row>
    <row r="351" spans="1:11" ht="21" customHeight="1">
      <c r="A351" s="689">
        <v>10</v>
      </c>
      <c r="B351" s="1008" t="s">
        <v>60</v>
      </c>
      <c r="C351" s="1009"/>
      <c r="D351" s="690">
        <f>IF(E377="","",IF(INDEX(THHKI!$A$8:$Y$62,MATCH(PDHKI!E377,THHKI!$A$8:$A$62,0),INDEX($K$13:$K$27,MATCH(B351,$J$13:$J$27,0),1))&lt;1,"/",INDEX(THHKI!$A$8:$Y$62,MATCH(PDHKI!E377,THHKI!$A$8:$A$62,0),INDEX($K$13:$K$27,MATCH(B351,$J$13:$J$27,0),1))))</f>
        <v>9.1</v>
      </c>
      <c r="E351" s="691"/>
      <c r="J351" s="569" t="s">
        <v>60</v>
      </c>
      <c r="K351" s="569">
        <v>16</v>
      </c>
    </row>
    <row r="352" spans="1:11" ht="21" customHeight="1">
      <c r="A352" s="689">
        <v>11</v>
      </c>
      <c r="B352" s="1008" t="s">
        <v>34</v>
      </c>
      <c r="C352" s="1009"/>
      <c r="D352" s="690">
        <f>IF(E377="","",IF(INDEX(THHKI!$A$8:$Y$62,MATCH(PDHKI!E377,THHKI!$A$8:$A$62,0),INDEX($K$13:$K$27,MATCH(B352,$J$13:$J$27,0),1))&lt;1,"/",INDEX(THHKI!$A$8:$Y$62,MATCH(PDHKI!E377,THHKI!$A$8:$A$62,0),INDEX($K$13:$K$27,MATCH(B352,$J$13:$J$27,0),1))))</f>
        <v>9.9</v>
      </c>
      <c r="E352" s="691"/>
      <c r="J352" s="569" t="s">
        <v>34</v>
      </c>
      <c r="K352" s="569">
        <v>17</v>
      </c>
    </row>
    <row r="353" spans="1:11" ht="21" customHeight="1">
      <c r="A353" s="689">
        <v>12</v>
      </c>
      <c r="B353" s="1008" t="s">
        <v>35</v>
      </c>
      <c r="C353" s="1009"/>
      <c r="D353" s="690" t="str">
        <f>IF(E377="","",IF(INDEX(THHKI!$A$8:$Y$62,MATCH(PDHKI!E377,THHKI!$A$8:$A$62,0),INDEX($K$13:$K$27,MATCH(B353,$J$13:$J$27,0),1))&lt;1,"/",INDEX(THHKI!$A$8:$Y$62,MATCH(PDHKI!E377,THHKI!$A$8:$A$62,0),INDEX($K$13:$K$27,MATCH(B353,$J$13:$J$27,0),1))))</f>
        <v>Đ</v>
      </c>
      <c r="E353" s="691"/>
      <c r="J353" s="569" t="s">
        <v>35</v>
      </c>
      <c r="K353" s="569">
        <v>18</v>
      </c>
    </row>
    <row r="354" spans="1:11" ht="21" customHeight="1">
      <c r="A354" s="689">
        <v>13</v>
      </c>
      <c r="B354" s="1008" t="s">
        <v>121</v>
      </c>
      <c r="C354" s="1009"/>
      <c r="D354" s="690">
        <f>IF(E377="","",IF(INDEX(THHKI!$A$8:$Y$62,MATCH(PDHKI!E377,THHKI!$A$8:$A$62,0),INDEX($K$13:$K$27,MATCH(B354,$J$13:$J$27,0),1))&lt;1,"/",INDEX(THHKI!$A$8:$Y$62,MATCH(PDHKI!E377,THHKI!$A$8:$A$62,0),INDEX($K$13:$K$27,MATCH(B354,$J$13:$J$27,0),1))))</f>
        <v>9.9</v>
      </c>
      <c r="E354" s="691"/>
      <c r="J354" s="569" t="s">
        <v>22</v>
      </c>
      <c r="K354" s="569">
        <v>19</v>
      </c>
    </row>
    <row r="355" spans="1:11" ht="21" customHeight="1" thickBot="1">
      <c r="A355" s="692">
        <v>14</v>
      </c>
      <c r="B355" s="1010" t="s">
        <v>122</v>
      </c>
      <c r="C355" s="1011"/>
      <c r="D355" s="693" t="str">
        <f>IF(E377="","",IF(INDEX(THHKI!$A$8:$Y$62,MATCH(PDHKI!E377,THHKI!$A$8:$A$62,0),INDEX($K$13:$K$27,MATCH(B355,$J$13:$J$27,0),1))&lt;1,"/",INDEX(THHKI!$A$8:$Y$62,MATCH(PDHKI!E377,THHKI!$A$8:$A$62,0),INDEX($K$13:$K$27,MATCH(B355,$J$13:$J$27,0),1))))</f>
        <v/>
      </c>
      <c r="E355" s="694"/>
      <c r="J355" s="569" t="s">
        <v>121</v>
      </c>
      <c r="K355" s="569">
        <v>20</v>
      </c>
    </row>
    <row r="356" spans="1:11" ht="21" customHeight="1" thickBot="1">
      <c r="A356" s="695">
        <v>15</v>
      </c>
      <c r="B356" s="1006" t="s">
        <v>149</v>
      </c>
      <c r="C356" s="1007"/>
      <c r="D356" s="696">
        <f>IF(E377="","",IF(INDEX(THHKI!$A$8:$Y$62,MATCH(PDHKI!E377,THHKI!$A$8:$A$62,0),22)&lt;1,"/",INDEX(THHKI!$A$8:$Y$62,MATCH(PDHKI!E377,THHKI!$A$8:$A$62,0),22)))</f>
        <v>9.3000000000000007</v>
      </c>
      <c r="E356" s="697"/>
      <c r="J356" s="569" t="s">
        <v>122</v>
      </c>
      <c r="K356" s="569">
        <v>21</v>
      </c>
    </row>
    <row r="357" spans="1:11" ht="15.75" customHeight="1" thickBot="1"/>
    <row r="358" spans="1:11" s="570" customFormat="1" ht="21" customHeight="1">
      <c r="A358" s="698"/>
      <c r="B358" s="1019" t="s">
        <v>150</v>
      </c>
      <c r="C358" s="1020"/>
      <c r="D358" s="699" t="s">
        <v>10</v>
      </c>
      <c r="E358" s="700" t="s">
        <v>126</v>
      </c>
    </row>
    <row r="359" spans="1:11" ht="21" customHeight="1">
      <c r="A359" s="701">
        <v>16</v>
      </c>
      <c r="B359" s="1021" t="s">
        <v>151</v>
      </c>
      <c r="C359" s="1022"/>
      <c r="D359" s="702" t="str">
        <f>IF(E377="","",IF(INDEX(THHKI!$A$8:$Y$62,MATCH(PDHKI!E377,THHKI!$A$8:$A$62,0),23)="","/",INDEX(THHKI!$A$8:$Y$62,MATCH(PDHKI!E377,THHKI!$A$8:$A$62,0),23)))</f>
        <v>Giỏi</v>
      </c>
      <c r="E359" s="703"/>
    </row>
    <row r="360" spans="1:11" ht="21" customHeight="1">
      <c r="A360" s="701">
        <v>17</v>
      </c>
      <c r="B360" s="1021" t="s">
        <v>152</v>
      </c>
      <c r="C360" s="1022"/>
      <c r="D360" s="702" t="str">
        <f>IF(E377="","",IF(INDEX(THHKI!$A$8:$Y$62,MATCH(PDHKI!E377,THHKI!$A$8:$A$62,0),24)="","/",INDEX(THHKI!$A$8:$Y$62,MATCH(PDHKI!E377,THHKI!$A$8:$A$62,0),24)))</f>
        <v>Tốt</v>
      </c>
      <c r="E360" s="703"/>
    </row>
    <row r="361" spans="1:11" ht="21" customHeight="1" thickBot="1">
      <c r="A361" s="704">
        <v>18</v>
      </c>
      <c r="B361" s="1023" t="s">
        <v>153</v>
      </c>
      <c r="C361" s="1024"/>
      <c r="D361" s="705" t="str">
        <f>IF(E377="","",IF(INDEX(THHKI!$A$8:$Y$62,MATCH(PDHKI!E377,THHKI!$A$8:$A$62,0),25)="","/",INDEX(THHKI!$A$8:$Y$62,MATCH(PDHKI!E377,THHKI!$A$8:$A$62,0),25)))</f>
        <v>HSG</v>
      </c>
      <c r="E361" s="706"/>
    </row>
    <row r="362" spans="1:11" ht="9.75" customHeight="1"/>
    <row r="363" spans="1:11" ht="15.75" customHeight="1">
      <c r="A363" s="58" t="s">
        <v>219</v>
      </c>
    </row>
    <row r="364" spans="1:11" ht="18" customHeight="1">
      <c r="A364" s="59" t="str">
        <f>IF(E377="","",IF(INDEX(DiemHKI!$DE$4:$DH$58,MATCH(PDHKI!E377,DiemHKI!$B$4:$B$58,0),1)="","","- "&amp;INDEX(DiemHKI!$DE$4:$DH$58,MATCH(PDHKI!E377,DiemHKI!$B$4:$B$58,0),1)))</f>
        <v/>
      </c>
      <c r="H364" s="571"/>
    </row>
    <row r="365" spans="1:11" ht="18" customHeight="1">
      <c r="A365" s="59" t="str">
        <f>IF(E377="","",IF(INDEX(DiemHKI!$DE$4:$DH$58,MATCH(PDHKI!E377,DiemHKI!$B$4:$B$58,0),2)="","","- "&amp;INDEX(DiemHKI!$DE$4:$DH$58,MATCH(PDHKI!E377,DiemHKI!$B$4:$B$58,0),2)))</f>
        <v/>
      </c>
    </row>
    <row r="366" spans="1:11" ht="18" customHeight="1">
      <c r="A366" s="59" t="str">
        <f>IF(E377="","",IF(INDEX(DiemHKI!$DE$4:$DH$58,MATCH(PDHKI!E377,DiemHKI!$B$4:$B$58,0),3)="","","- "&amp;INDEX(DiemHKI!$DE$4:$DH$58,MATCH(PDHKI!E377,DiemHKI!$B$4:$B$58,0),3)))</f>
        <v/>
      </c>
    </row>
    <row r="367" spans="1:11" ht="18" customHeight="1">
      <c r="A367" s="59" t="str">
        <f>IF(E377="","",IF(INDEX(DiemHKI!$DE$4:$DH$58,MATCH(PDHKI!E377,DiemHKI!$B$4:$B$58,0),4)="","","- "&amp;INDEX(DiemHKI!$DE$4:$DH$58,MATCH(PDHKI!E377,DiemHKI!$B$4:$B$58,0),4)))</f>
        <v/>
      </c>
    </row>
    <row r="368" spans="1:11" ht="6.75" customHeight="1"/>
    <row r="369" spans="1:5" ht="16.5" customHeight="1">
      <c r="A369" s="61"/>
      <c r="C369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369" s="1026"/>
      <c r="E369" s="1026"/>
    </row>
    <row r="370" spans="1:5" ht="21.75" customHeight="1">
      <c r="A370" s="923" t="str">
        <f>IF($D$41="Hiệu trưởng","Giáo viên Quản nhiệm","")</f>
        <v>Giáo viên Quản nhiệm</v>
      </c>
      <c r="B370" s="923"/>
      <c r="C370" s="923"/>
      <c r="D370" s="707" t="str">
        <f>IF($G$5="","",$G$5)</f>
        <v>Hiệu trưởng</v>
      </c>
      <c r="E370" s="708"/>
    </row>
    <row r="371" spans="1:5" ht="15" customHeight="1">
      <c r="A371" s="61"/>
      <c r="B371" s="61"/>
      <c r="C371" s="61"/>
      <c r="D371" s="66"/>
      <c r="E371" s="66"/>
    </row>
    <row r="372" spans="1:5" ht="15" customHeight="1">
      <c r="A372" s="61"/>
      <c r="B372" s="61"/>
      <c r="C372" s="61"/>
      <c r="D372" s="66"/>
      <c r="E372" s="66"/>
    </row>
    <row r="373" spans="1:5" ht="15" customHeight="1">
      <c r="A373" s="61"/>
      <c r="B373" s="61"/>
      <c r="C373" s="61"/>
    </row>
    <row r="374" spans="1:5" ht="15" customHeight="1">
      <c r="A374" s="61"/>
      <c r="B374" s="61"/>
      <c r="C374" s="61"/>
    </row>
    <row r="375" spans="1:5" ht="16.5" customHeight="1">
      <c r="A375" s="1012" t="str">
        <f>IF($A$41="","",PROPER('Huong dan'!$C$4))</f>
        <v/>
      </c>
      <c r="B375" s="1012"/>
      <c r="C375" s="1012"/>
      <c r="D375" s="833" t="str">
        <f>IFERROR(IF($D$41="Giáo Viên Quản nhiệm",PROPER('Huong dan'!$C$4),IF($D$41="Hiệu trưởng",PROPER('Huong dan'!$E$5),"")),"")</f>
        <v/>
      </c>
      <c r="E375" s="708"/>
    </row>
    <row r="376" spans="1:5" ht="12.75" customHeight="1"/>
    <row r="377" spans="1:5" ht="12.75" customHeight="1">
      <c r="A377" s="709"/>
      <c r="B377" s="709"/>
      <c r="C377" s="709"/>
      <c r="D377" s="710"/>
      <c r="E377" s="711">
        <f>IF(E330="","",IF(E330&lt;MAX(DiemHKI!$B$4:$B$58),E330+1,""))</f>
        <v>8</v>
      </c>
    </row>
    <row r="378" spans="1:5" ht="8.25" customHeight="1">
      <c r="A378" s="709"/>
      <c r="B378" s="709"/>
      <c r="C378" s="709"/>
      <c r="D378" s="709"/>
      <c r="E378" s="709"/>
    </row>
    <row r="379" spans="1:5" ht="5.25" customHeight="1"/>
    <row r="380" spans="1:5" s="563" customFormat="1" ht="23.25" customHeight="1">
      <c r="A380" s="931" t="str">
        <f>IF('Huong dan'!$E$3&lt;&gt;"","SỞ GIÁO DỤC VÀ ĐÀO TẠO "&amp;UPPER('Huong dan'!$E$3),"")</f>
        <v>SỞ GIÁO DỤC VÀ ĐÀO TẠO TP. HỒ CHÍ MINH</v>
      </c>
      <c r="B380" s="931"/>
      <c r="C380" s="931"/>
      <c r="D380" s="923" t="s">
        <v>19</v>
      </c>
      <c r="E380" s="923"/>
    </row>
    <row r="381" spans="1:5" ht="17.25" customHeight="1">
      <c r="A381" s="931" t="str">
        <f>IF('Huong dan'!$E$4&lt;&gt;"","TRƯỜNG "&amp;UPPER('Huong dan'!$E$4),"")</f>
        <v>TRƯỜNG THCS VÀ THPT NGUYỄN KHUYẾN</v>
      </c>
      <c r="B381" s="931"/>
      <c r="C381" s="931"/>
      <c r="D381" s="1012" t="s">
        <v>179</v>
      </c>
      <c r="E381" s="1012"/>
    </row>
    <row r="382" spans="1:5" ht="24" customHeight="1">
      <c r="A382" s="61"/>
      <c r="B382" s="61"/>
      <c r="C382" s="61"/>
    </row>
    <row r="383" spans="1:5" ht="29.25" customHeight="1">
      <c r="A383" s="1013" t="str">
        <f>"PHIẾU ĐIỂM HỌC KỲ I - NĂM HỌC "&amp;'Huong dan'!$C$5</f>
        <v>PHIẾU ĐIỂM HỌC KỲ I - NĂM HỌC 2021 - 2022</v>
      </c>
      <c r="B383" s="1013"/>
      <c r="C383" s="1013"/>
      <c r="D383" s="1013"/>
      <c r="E383" s="1013"/>
    </row>
    <row r="384" spans="1:5" ht="15.75" customHeight="1">
      <c r="A384" s="680"/>
      <c r="B384" s="680"/>
    </row>
    <row r="385" spans="1:11" ht="21" customHeight="1">
      <c r="A385" s="1014" t="s">
        <v>145</v>
      </c>
      <c r="B385" s="1014"/>
      <c r="C385" s="1015" t="str">
        <f>IF(E424="","",INDEX(DiemHKI!$D$4:$D$58,MATCH(E424,DiemHKI!$B$4:$B$58,0),1)&amp;" "&amp;INDEX(DiemHKI!$E$4:$E$58,MATCH(E424,DiemHKI!$B$4:$B$58,0),1))</f>
        <v>Nguyễn Thanh Duyên</v>
      </c>
      <c r="D385" s="1015"/>
      <c r="E385" s="62" t="str">
        <f>IF('Huong dan'!$C$3="","","Lớp: "&amp;'Huong dan'!$C$3)</f>
        <v>Lớp: 12A1</v>
      </c>
    </row>
    <row r="386" spans="1:11" ht="23.25" customHeight="1">
      <c r="A386" s="1014" t="s">
        <v>146</v>
      </c>
      <c r="B386" s="1014"/>
      <c r="C386" s="681" t="str">
        <f>IF(E424="","",INDEX(DiemHKI!$F$4:$F$58,MATCH(PDHKI!E424,DiemHKI!$B$4:$B$58,0),1))</f>
        <v>16/11/2004</v>
      </c>
      <c r="D386" s="1016" t="str">
        <f>IF(E424="","","Nơi sinh: "&amp;INDEX(DiemHKI!$G$4:$G$58,MATCH(PDHKI!E424,DiemHKI!$B$4:$B$58,0),1))</f>
        <v>Nơi sinh: TP. Hồ Chí Minh</v>
      </c>
      <c r="E386" s="1016"/>
    </row>
    <row r="387" spans="1:11" ht="13.5" customHeight="1" thickBot="1">
      <c r="A387" s="681"/>
      <c r="B387" s="682"/>
      <c r="D387" s="681"/>
      <c r="E387" s="681"/>
    </row>
    <row r="388" spans="1:11" ht="24" customHeight="1" thickBot="1">
      <c r="A388" s="683" t="s">
        <v>0</v>
      </c>
      <c r="B388" s="1006" t="s">
        <v>72</v>
      </c>
      <c r="C388" s="1007"/>
      <c r="D388" s="684" t="s">
        <v>147</v>
      </c>
      <c r="E388" s="685" t="s">
        <v>148</v>
      </c>
    </row>
    <row r="389" spans="1:11" ht="21" customHeight="1">
      <c r="A389" s="686">
        <v>1</v>
      </c>
      <c r="B389" s="1017" t="s">
        <v>26</v>
      </c>
      <c r="C389" s="1018"/>
      <c r="D389" s="687">
        <f>IF(E424="","",IF(INDEX(THHKI!$A$8:$Y$62,MATCH(PDHKI!E424,THHKI!$A$8:$A$62,0),INDEX($K$13:$K$27,MATCH(B389,$J$13:$J$27,0),1))&lt;1,"/",INDEX(THHKI!$A$8:$Y$62,MATCH(PDHKI!E424,THHKI!$A$8:$A$62,0),INDEX($K$13:$K$27,MATCH(B389,$J$13:$J$27,0),1))))</f>
        <v>9.4</v>
      </c>
      <c r="E389" s="688"/>
      <c r="J389" s="569" t="s">
        <v>26</v>
      </c>
      <c r="K389" s="569">
        <v>7</v>
      </c>
    </row>
    <row r="390" spans="1:11" ht="21" customHeight="1">
      <c r="A390" s="689">
        <v>2</v>
      </c>
      <c r="B390" s="1008" t="s">
        <v>27</v>
      </c>
      <c r="C390" s="1009"/>
      <c r="D390" s="690">
        <f>IF(E424="","",IF(INDEX(THHKI!$A$8:$Y$62,MATCH(PDHKI!E424,THHKI!$A$8:$A$62,0),INDEX($K$13:$K$27,MATCH(B390,$J$13:$J$27,0),1))&lt;1,"/",INDEX(THHKI!$A$8:$Y$62,MATCH(PDHKI!E424,THHKI!$A$8:$A$62,0),INDEX($K$13:$K$27,MATCH(B390,$J$13:$J$27,0),1))))</f>
        <v>9.8000000000000007</v>
      </c>
      <c r="E390" s="691"/>
      <c r="J390" s="569" t="s">
        <v>27</v>
      </c>
      <c r="K390" s="569">
        <v>8</v>
      </c>
    </row>
    <row r="391" spans="1:11" ht="21" customHeight="1">
      <c r="A391" s="689">
        <v>3</v>
      </c>
      <c r="B391" s="1008" t="s">
        <v>28</v>
      </c>
      <c r="C391" s="1009"/>
      <c r="D391" s="690">
        <f>IF(E424="","",IF(INDEX(THHKI!$A$8:$Y$62,MATCH(PDHKI!E424,THHKI!$A$8:$A$62,0),INDEX($K$13:$K$27,MATCH(B391,$J$13:$J$27,0),1))&lt;1,"/",INDEX(THHKI!$A$8:$Y$62,MATCH(PDHKI!E424,THHKI!$A$8:$A$62,0),INDEX($K$13:$K$27,MATCH(B391,$J$13:$J$27,0),1))))</f>
        <v>9.5</v>
      </c>
      <c r="E391" s="691"/>
      <c r="J391" s="569" t="s">
        <v>28</v>
      </c>
      <c r="K391" s="569">
        <v>9</v>
      </c>
    </row>
    <row r="392" spans="1:11" ht="21" customHeight="1">
      <c r="A392" s="689">
        <v>4</v>
      </c>
      <c r="B392" s="1008" t="s">
        <v>29</v>
      </c>
      <c r="C392" s="1009"/>
      <c r="D392" s="690">
        <f>IF(E424="","",IF(INDEX(THHKI!$A$8:$Y$62,MATCH(PDHKI!E424,THHKI!$A$8:$A$62,0),INDEX($K$13:$K$27,MATCH(B392,$J$13:$J$27,0),1))&lt;1,"/",INDEX(THHKI!$A$8:$Y$62,MATCH(PDHKI!E424,THHKI!$A$8:$A$62,0),INDEX($K$13:$K$27,MATCH(B392,$J$13:$J$27,0),1))))</f>
        <v>9.5</v>
      </c>
      <c r="E392" s="691"/>
      <c r="J392" s="569" t="s">
        <v>29</v>
      </c>
      <c r="K392" s="569">
        <v>10</v>
      </c>
    </row>
    <row r="393" spans="1:11" ht="21" customHeight="1">
      <c r="A393" s="689">
        <v>5</v>
      </c>
      <c r="B393" s="1008" t="s">
        <v>120</v>
      </c>
      <c r="C393" s="1009"/>
      <c r="D393" s="690">
        <f>IF(E424="","",IF(INDEX(THHKI!$A$8:$Y$62,MATCH(PDHKI!E424,THHKI!$A$8:$A$62,0),INDEX($K$13:$K$27,MATCH(B393,$J$13:$J$27,0),1))&lt;1,"/",INDEX(THHKI!$A$8:$Y$62,MATCH(PDHKI!E424,THHKI!$A$8:$A$62,0),INDEX($K$13:$K$27,MATCH(B393,$J$13:$J$27,0),1))))</f>
        <v>9.8000000000000007</v>
      </c>
      <c r="E393" s="691"/>
      <c r="J393" s="569" t="s">
        <v>120</v>
      </c>
      <c r="K393" s="569">
        <v>11</v>
      </c>
    </row>
    <row r="394" spans="1:11" ht="21" customHeight="1">
      <c r="A394" s="689">
        <v>6</v>
      </c>
      <c r="B394" s="1008" t="s">
        <v>30</v>
      </c>
      <c r="C394" s="1009"/>
      <c r="D394" s="690">
        <f>IF(E424="","",IF(INDEX(THHKI!$A$8:$Y$62,MATCH(PDHKI!E424,THHKI!$A$8:$A$62,0),INDEX($K$13:$K$27,MATCH(B394,$J$13:$J$27,0),1))&lt;1,"/",INDEX(THHKI!$A$8:$Y$62,MATCH(PDHKI!E424,THHKI!$A$8:$A$62,0),INDEX($K$13:$K$27,MATCH(B394,$J$13:$J$27,0),1))))</f>
        <v>7.6</v>
      </c>
      <c r="E394" s="691"/>
      <c r="J394" s="569" t="s">
        <v>30</v>
      </c>
      <c r="K394" s="569">
        <v>12</v>
      </c>
    </row>
    <row r="395" spans="1:11" ht="21" customHeight="1">
      <c r="A395" s="689">
        <v>7</v>
      </c>
      <c r="B395" s="1008" t="s">
        <v>31</v>
      </c>
      <c r="C395" s="1009"/>
      <c r="D395" s="690">
        <f>IF(E424="","",IF(INDEX(THHKI!$A$8:$Y$62,MATCH(PDHKI!E424,THHKI!$A$8:$A$62,0),INDEX($K$13:$K$27,MATCH(B395,$J$13:$J$27,0),1))&lt;1,"/",INDEX(THHKI!$A$8:$Y$62,MATCH(PDHKI!E424,THHKI!$A$8:$A$62,0),INDEX($K$13:$K$27,MATCH(B395,$J$13:$J$27,0),1))))</f>
        <v>9.6</v>
      </c>
      <c r="E395" s="691"/>
      <c r="J395" s="569" t="s">
        <v>31</v>
      </c>
      <c r="K395" s="569">
        <v>13</v>
      </c>
    </row>
    <row r="396" spans="1:11" ht="21" customHeight="1">
      <c r="A396" s="689">
        <v>8</v>
      </c>
      <c r="B396" s="1008" t="s">
        <v>32</v>
      </c>
      <c r="C396" s="1009"/>
      <c r="D396" s="690">
        <f>IF(E424="","",IF(INDEX(THHKI!$A$8:$Y$62,MATCH(PDHKI!E424,THHKI!$A$8:$A$62,0),INDEX($K$13:$K$27,MATCH(B396,$J$13:$J$27,0),1))&lt;1,"/",INDEX(THHKI!$A$8:$Y$62,MATCH(PDHKI!E424,THHKI!$A$8:$A$62,0),INDEX($K$13:$K$27,MATCH(B396,$J$13:$J$27,0),1))))</f>
        <v>9.6</v>
      </c>
      <c r="E396" s="691"/>
      <c r="J396" s="569" t="s">
        <v>32</v>
      </c>
      <c r="K396" s="569">
        <v>14</v>
      </c>
    </row>
    <row r="397" spans="1:11" ht="21" customHeight="1">
      <c r="A397" s="689">
        <v>9</v>
      </c>
      <c r="B397" s="1008" t="s">
        <v>33</v>
      </c>
      <c r="C397" s="1009"/>
      <c r="D397" s="690">
        <f>IF(E424="","",IF(INDEX(THHKI!$A$8:$Y$62,MATCH(PDHKI!E424,THHKI!$A$8:$A$62,0),INDEX($K$13:$K$27,MATCH(B397,$J$13:$J$27,0),1))&lt;1,"/",INDEX(THHKI!$A$8:$Y$62,MATCH(PDHKI!E424,THHKI!$A$8:$A$62,0),INDEX($K$13:$K$27,MATCH(B397,$J$13:$J$27,0),1))))</f>
        <v>9.8000000000000007</v>
      </c>
      <c r="E397" s="691"/>
      <c r="J397" s="569" t="s">
        <v>33</v>
      </c>
      <c r="K397" s="569">
        <v>15</v>
      </c>
    </row>
    <row r="398" spans="1:11" ht="21" customHeight="1">
      <c r="A398" s="689">
        <v>10</v>
      </c>
      <c r="B398" s="1008" t="s">
        <v>60</v>
      </c>
      <c r="C398" s="1009"/>
      <c r="D398" s="690">
        <f>IF(E424="","",IF(INDEX(THHKI!$A$8:$Y$62,MATCH(PDHKI!E424,THHKI!$A$8:$A$62,0),INDEX($K$13:$K$27,MATCH(B398,$J$13:$J$27,0),1))&lt;1,"/",INDEX(THHKI!$A$8:$Y$62,MATCH(PDHKI!E424,THHKI!$A$8:$A$62,0),INDEX($K$13:$K$27,MATCH(B398,$J$13:$J$27,0),1))))</f>
        <v>9.1</v>
      </c>
      <c r="E398" s="691"/>
      <c r="J398" s="569" t="s">
        <v>60</v>
      </c>
      <c r="K398" s="569">
        <v>16</v>
      </c>
    </row>
    <row r="399" spans="1:11" ht="21" customHeight="1">
      <c r="A399" s="689">
        <v>11</v>
      </c>
      <c r="B399" s="1008" t="s">
        <v>34</v>
      </c>
      <c r="C399" s="1009"/>
      <c r="D399" s="690">
        <f>IF(E424="","",IF(INDEX(THHKI!$A$8:$Y$62,MATCH(PDHKI!E424,THHKI!$A$8:$A$62,0),INDEX($K$13:$K$27,MATCH(B399,$J$13:$J$27,0),1))&lt;1,"/",INDEX(THHKI!$A$8:$Y$62,MATCH(PDHKI!E424,THHKI!$A$8:$A$62,0),INDEX($K$13:$K$27,MATCH(B399,$J$13:$J$27,0),1))))</f>
        <v>9.9</v>
      </c>
      <c r="E399" s="691"/>
      <c r="J399" s="569" t="s">
        <v>34</v>
      </c>
      <c r="K399" s="569">
        <v>17</v>
      </c>
    </row>
    <row r="400" spans="1:11" ht="21" customHeight="1">
      <c r="A400" s="689">
        <v>12</v>
      </c>
      <c r="B400" s="1008" t="s">
        <v>35</v>
      </c>
      <c r="C400" s="1009"/>
      <c r="D400" s="690" t="str">
        <f>IF(E424="","",IF(INDEX(THHKI!$A$8:$Y$62,MATCH(PDHKI!E424,THHKI!$A$8:$A$62,0),INDEX($K$13:$K$27,MATCH(B400,$J$13:$J$27,0),1))&lt;1,"/",INDEX(THHKI!$A$8:$Y$62,MATCH(PDHKI!E424,THHKI!$A$8:$A$62,0),INDEX($K$13:$K$27,MATCH(B400,$J$13:$J$27,0),1))))</f>
        <v>Đ</v>
      </c>
      <c r="E400" s="691"/>
      <c r="J400" s="569" t="s">
        <v>35</v>
      </c>
      <c r="K400" s="569">
        <v>18</v>
      </c>
    </row>
    <row r="401" spans="1:11" ht="21" customHeight="1">
      <c r="A401" s="689">
        <v>13</v>
      </c>
      <c r="B401" s="1008" t="s">
        <v>121</v>
      </c>
      <c r="C401" s="1009"/>
      <c r="D401" s="690">
        <f>IF(E424="","",IF(INDEX(THHKI!$A$8:$Y$62,MATCH(PDHKI!E424,THHKI!$A$8:$A$62,0),INDEX($K$13:$K$27,MATCH(B401,$J$13:$J$27,0),1))&lt;1,"/",INDEX(THHKI!$A$8:$Y$62,MATCH(PDHKI!E424,THHKI!$A$8:$A$62,0),INDEX($K$13:$K$27,MATCH(B401,$J$13:$J$27,0),1))))</f>
        <v>9.9</v>
      </c>
      <c r="E401" s="691"/>
      <c r="J401" s="569" t="s">
        <v>22</v>
      </c>
      <c r="K401" s="569">
        <v>19</v>
      </c>
    </row>
    <row r="402" spans="1:11" ht="21" customHeight="1" thickBot="1">
      <c r="A402" s="692">
        <v>14</v>
      </c>
      <c r="B402" s="1010" t="s">
        <v>122</v>
      </c>
      <c r="C402" s="1011"/>
      <c r="D402" s="693" t="str">
        <f>IF(E424="","",IF(INDEX(THHKI!$A$8:$Y$62,MATCH(PDHKI!E424,THHKI!$A$8:$A$62,0),INDEX($K$13:$K$27,MATCH(B402,$J$13:$J$27,0),1))&lt;1,"/",INDEX(THHKI!$A$8:$Y$62,MATCH(PDHKI!E424,THHKI!$A$8:$A$62,0),INDEX($K$13:$K$27,MATCH(B402,$J$13:$J$27,0),1))))</f>
        <v/>
      </c>
      <c r="E402" s="694"/>
      <c r="J402" s="569" t="s">
        <v>121</v>
      </c>
      <c r="K402" s="569">
        <v>20</v>
      </c>
    </row>
    <row r="403" spans="1:11" ht="21" customHeight="1" thickBot="1">
      <c r="A403" s="695">
        <v>15</v>
      </c>
      <c r="B403" s="1006" t="s">
        <v>149</v>
      </c>
      <c r="C403" s="1007"/>
      <c r="D403" s="696">
        <f>IF(E424="","",IF(INDEX(THHKI!$A$8:$Y$62,MATCH(PDHKI!E424,THHKI!$A$8:$A$62,0),22)&lt;1,"/",INDEX(THHKI!$A$8:$Y$62,MATCH(PDHKI!E424,THHKI!$A$8:$A$62,0),22)))</f>
        <v>9.5</v>
      </c>
      <c r="E403" s="697"/>
      <c r="J403" s="569" t="s">
        <v>122</v>
      </c>
      <c r="K403" s="569">
        <v>21</v>
      </c>
    </row>
    <row r="404" spans="1:11" ht="15.75" customHeight="1" thickBot="1"/>
    <row r="405" spans="1:11" s="570" customFormat="1" ht="21" customHeight="1">
      <c r="A405" s="698"/>
      <c r="B405" s="1019" t="s">
        <v>150</v>
      </c>
      <c r="C405" s="1020"/>
      <c r="D405" s="699" t="s">
        <v>10</v>
      </c>
      <c r="E405" s="700" t="s">
        <v>126</v>
      </c>
    </row>
    <row r="406" spans="1:11" ht="21" customHeight="1">
      <c r="A406" s="701">
        <v>16</v>
      </c>
      <c r="B406" s="1021" t="s">
        <v>151</v>
      </c>
      <c r="C406" s="1022"/>
      <c r="D406" s="702" t="str">
        <f>IF(E424="","",IF(INDEX(THHKI!$A$8:$Y$62,MATCH(PDHKI!E424,THHKI!$A$8:$A$62,0),23)="","/",INDEX(THHKI!$A$8:$Y$62,MATCH(PDHKI!E424,THHKI!$A$8:$A$62,0),23)))</f>
        <v>Giỏi</v>
      </c>
      <c r="E406" s="703"/>
    </row>
    <row r="407" spans="1:11" ht="21" customHeight="1">
      <c r="A407" s="701">
        <v>17</v>
      </c>
      <c r="B407" s="1021" t="s">
        <v>152</v>
      </c>
      <c r="C407" s="1022"/>
      <c r="D407" s="702" t="str">
        <f>IF(E424="","",IF(INDEX(THHKI!$A$8:$Y$62,MATCH(PDHKI!E424,THHKI!$A$8:$A$62,0),24)="","/",INDEX(THHKI!$A$8:$Y$62,MATCH(PDHKI!E424,THHKI!$A$8:$A$62,0),24)))</f>
        <v>Tốt</v>
      </c>
      <c r="E407" s="703"/>
    </row>
    <row r="408" spans="1:11" ht="21" customHeight="1" thickBot="1">
      <c r="A408" s="704">
        <v>18</v>
      </c>
      <c r="B408" s="1023" t="s">
        <v>153</v>
      </c>
      <c r="C408" s="1024"/>
      <c r="D408" s="705" t="str">
        <f>IF(E424="","",IF(INDEX(THHKI!$A$8:$Y$62,MATCH(PDHKI!E424,THHKI!$A$8:$A$62,0),25)="","/",INDEX(THHKI!$A$8:$Y$62,MATCH(PDHKI!E424,THHKI!$A$8:$A$62,0),25)))</f>
        <v>HSG</v>
      </c>
      <c r="E408" s="706"/>
    </row>
    <row r="409" spans="1:11" ht="9.75" customHeight="1"/>
    <row r="410" spans="1:11" ht="15.75" customHeight="1">
      <c r="A410" s="58" t="s">
        <v>219</v>
      </c>
    </row>
    <row r="411" spans="1:11" ht="18" customHeight="1">
      <c r="A411" s="59" t="str">
        <f>IF(E424="","",IF(INDEX(DiemHKI!$DE$4:$DH$58,MATCH(PDHKI!E424,DiemHKI!$B$4:$B$58,0),1)="","","- "&amp;INDEX(DiemHKI!$DE$4:$DH$58,MATCH(PDHKI!E424,DiemHKI!$B$4:$B$58,0),1)))</f>
        <v/>
      </c>
      <c r="H411" s="571"/>
    </row>
    <row r="412" spans="1:11" ht="18" customHeight="1">
      <c r="A412" s="59" t="str">
        <f>IF(E424="","",IF(INDEX(DiemHKI!$DE$4:$DH$58,MATCH(PDHKI!E424,DiemHKI!$B$4:$B$58,0),2)="","","- "&amp;INDEX(DiemHKI!$DE$4:$DH$58,MATCH(PDHKI!E424,DiemHKI!$B$4:$B$58,0),2)))</f>
        <v/>
      </c>
    </row>
    <row r="413" spans="1:11" ht="18" customHeight="1">
      <c r="A413" s="59" t="str">
        <f>IF(E424="","",IF(INDEX(DiemHKI!$DE$4:$DH$58,MATCH(PDHKI!E424,DiemHKI!$B$4:$B$58,0),3)="","","- "&amp;INDEX(DiemHKI!$DE$4:$DH$58,MATCH(PDHKI!E424,DiemHKI!$B$4:$B$58,0),3)))</f>
        <v/>
      </c>
    </row>
    <row r="414" spans="1:11" ht="18" customHeight="1">
      <c r="A414" s="59" t="str">
        <f>IF(E424="","",IF(INDEX(DiemHKI!$DE$4:$DH$58,MATCH(PDHKI!E424,DiemHKI!$B$4:$B$58,0),4)="","","- "&amp;INDEX(DiemHKI!$DE$4:$DH$58,MATCH(PDHKI!E424,DiemHKI!$B$4:$B$58,0),4)))</f>
        <v/>
      </c>
    </row>
    <row r="415" spans="1:11" ht="6.75" customHeight="1"/>
    <row r="416" spans="1:11" ht="16.5" customHeight="1">
      <c r="A416" s="61"/>
      <c r="C416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416" s="1026"/>
      <c r="E416" s="1026"/>
    </row>
    <row r="417" spans="1:5" ht="21.75" customHeight="1">
      <c r="A417" s="923" t="str">
        <f>IF($D$41="Hiệu trưởng","Giáo viên Quản nhiệm","")</f>
        <v>Giáo viên Quản nhiệm</v>
      </c>
      <c r="B417" s="923"/>
      <c r="C417" s="923"/>
      <c r="D417" s="707" t="str">
        <f>IF($G$5="","",$G$5)</f>
        <v>Hiệu trưởng</v>
      </c>
      <c r="E417" s="708"/>
    </row>
    <row r="418" spans="1:5" ht="15" customHeight="1">
      <c r="A418" s="61"/>
      <c r="B418" s="61"/>
      <c r="C418" s="61"/>
      <c r="D418" s="66"/>
      <c r="E418" s="66"/>
    </row>
    <row r="419" spans="1:5" ht="15" customHeight="1">
      <c r="A419" s="61"/>
      <c r="B419" s="61"/>
      <c r="C419" s="61"/>
      <c r="D419" s="66"/>
      <c r="E419" s="66"/>
    </row>
    <row r="420" spans="1:5" ht="15" customHeight="1">
      <c r="A420" s="61"/>
      <c r="B420" s="61"/>
      <c r="C420" s="61"/>
    </row>
    <row r="421" spans="1:5" ht="15" customHeight="1">
      <c r="A421" s="61"/>
      <c r="B421" s="61"/>
      <c r="C421" s="61"/>
    </row>
    <row r="422" spans="1:5" ht="16.5" customHeight="1">
      <c r="A422" s="1012" t="str">
        <f>IF($A$41="","",PROPER('Huong dan'!$C$4))</f>
        <v/>
      </c>
      <c r="B422" s="1012"/>
      <c r="C422" s="1012"/>
      <c r="D422" s="833" t="str">
        <f>IFERROR(IF($D$41="Giáo Viên Quản nhiệm",PROPER('Huong dan'!$C$4),IF($D$41="Hiệu trưởng",PROPER('Huong dan'!$E$5),"")),"")</f>
        <v/>
      </c>
      <c r="E422" s="708"/>
    </row>
    <row r="423" spans="1:5" ht="12.75" customHeight="1"/>
    <row r="424" spans="1:5" ht="12.75" customHeight="1">
      <c r="A424" s="709"/>
      <c r="B424" s="709"/>
      <c r="C424" s="709"/>
      <c r="D424" s="710"/>
      <c r="E424" s="711">
        <f>IF(E377="","",IF(E377&lt;MAX(DiemHKI!$B$4:$B$58),E377+1,""))</f>
        <v>9</v>
      </c>
    </row>
    <row r="425" spans="1:5" ht="8.25" customHeight="1">
      <c r="A425" s="709"/>
      <c r="B425" s="709"/>
      <c r="C425" s="709"/>
      <c r="D425" s="709"/>
      <c r="E425" s="709"/>
    </row>
    <row r="426" spans="1:5" ht="5.25" customHeight="1"/>
    <row r="427" spans="1:5" s="563" customFormat="1" ht="23.25" customHeight="1">
      <c r="A427" s="931" t="str">
        <f>IF('Huong dan'!$E$3&lt;&gt;"","SỞ GIÁO DỤC VÀ ĐÀO TẠO "&amp;UPPER('Huong dan'!$E$3),"")</f>
        <v>SỞ GIÁO DỤC VÀ ĐÀO TẠO TP. HỒ CHÍ MINH</v>
      </c>
      <c r="B427" s="931"/>
      <c r="C427" s="931"/>
      <c r="D427" s="923" t="s">
        <v>19</v>
      </c>
      <c r="E427" s="923"/>
    </row>
    <row r="428" spans="1:5" ht="17.25" customHeight="1">
      <c r="A428" s="931" t="str">
        <f>IF('Huong dan'!$E$4&lt;&gt;"","TRƯỜNG "&amp;UPPER('Huong dan'!$E$4),"")</f>
        <v>TRƯỜNG THCS VÀ THPT NGUYỄN KHUYẾN</v>
      </c>
      <c r="B428" s="931"/>
      <c r="C428" s="931"/>
      <c r="D428" s="1012" t="s">
        <v>179</v>
      </c>
      <c r="E428" s="1012"/>
    </row>
    <row r="429" spans="1:5" ht="24" customHeight="1">
      <c r="A429" s="61"/>
      <c r="B429" s="61"/>
      <c r="C429" s="61"/>
    </row>
    <row r="430" spans="1:5" ht="29.25" customHeight="1">
      <c r="A430" s="1013" t="str">
        <f>"PHIẾU ĐIỂM HỌC KỲ I - NĂM HỌC "&amp;'Huong dan'!$C$5</f>
        <v>PHIẾU ĐIỂM HỌC KỲ I - NĂM HỌC 2021 - 2022</v>
      </c>
      <c r="B430" s="1013"/>
      <c r="C430" s="1013"/>
      <c r="D430" s="1013"/>
      <c r="E430" s="1013"/>
    </row>
    <row r="431" spans="1:5" ht="15.75" customHeight="1">
      <c r="A431" s="680"/>
      <c r="B431" s="680"/>
    </row>
    <row r="432" spans="1:5" ht="21" customHeight="1">
      <c r="A432" s="1014" t="s">
        <v>145</v>
      </c>
      <c r="B432" s="1014"/>
      <c r="C432" s="1015" t="str">
        <f>IF(E471="","",INDEX(DiemHKI!$D$4:$D$58,MATCH(E471,DiemHKI!$B$4:$B$58,0),1)&amp;" "&amp;INDEX(DiemHKI!$E$4:$E$58,MATCH(E471,DiemHKI!$B$4:$B$58,0),1))</f>
        <v>Trương Đắc Điền</v>
      </c>
      <c r="D432" s="1015"/>
      <c r="E432" s="62" t="str">
        <f>IF('Huong dan'!$C$3="","","Lớp: "&amp;'Huong dan'!$C$3)</f>
        <v>Lớp: 12A1</v>
      </c>
    </row>
    <row r="433" spans="1:11" ht="23.25" customHeight="1">
      <c r="A433" s="1014" t="s">
        <v>146</v>
      </c>
      <c r="B433" s="1014"/>
      <c r="C433" s="681" t="str">
        <f>IF(E471="","",INDEX(DiemHKI!$F$4:$F$58,MATCH(PDHKI!E471,DiemHKI!$B$4:$B$58,0),1))</f>
        <v>08/05/2004</v>
      </c>
      <c r="D433" s="1016" t="str">
        <f>IF(E471="","","Nơi sinh: "&amp;INDEX(DiemHKI!$G$4:$G$58,MATCH(PDHKI!E471,DiemHKI!$B$4:$B$58,0),1))</f>
        <v>Nơi sinh: Đồng Nai</v>
      </c>
      <c r="E433" s="1016"/>
    </row>
    <row r="434" spans="1:11" ht="13.5" customHeight="1" thickBot="1">
      <c r="A434" s="681"/>
      <c r="B434" s="682"/>
      <c r="D434" s="681"/>
      <c r="E434" s="681"/>
    </row>
    <row r="435" spans="1:11" ht="24" customHeight="1" thickBot="1">
      <c r="A435" s="683" t="s">
        <v>0</v>
      </c>
      <c r="B435" s="1006" t="s">
        <v>72</v>
      </c>
      <c r="C435" s="1007"/>
      <c r="D435" s="684" t="s">
        <v>147</v>
      </c>
      <c r="E435" s="685" t="s">
        <v>148</v>
      </c>
    </row>
    <row r="436" spans="1:11" ht="21" customHeight="1">
      <c r="A436" s="686">
        <v>1</v>
      </c>
      <c r="B436" s="1017" t="s">
        <v>26</v>
      </c>
      <c r="C436" s="1018"/>
      <c r="D436" s="687">
        <f>IF(E471="","",IF(INDEX(THHKI!$A$8:$Y$62,MATCH(PDHKI!E471,THHKI!$A$8:$A$62,0),INDEX($K$13:$K$27,MATCH(B436,$J$13:$J$27,0),1))&lt;1,"/",INDEX(THHKI!$A$8:$Y$62,MATCH(PDHKI!E471,THHKI!$A$8:$A$62,0),INDEX($K$13:$K$27,MATCH(B436,$J$13:$J$27,0),1))))</f>
        <v>9.4</v>
      </c>
      <c r="E436" s="688"/>
      <c r="J436" s="569" t="s">
        <v>26</v>
      </c>
      <c r="K436" s="569">
        <v>7</v>
      </c>
    </row>
    <row r="437" spans="1:11" ht="21" customHeight="1">
      <c r="A437" s="689">
        <v>2</v>
      </c>
      <c r="B437" s="1008" t="s">
        <v>27</v>
      </c>
      <c r="C437" s="1009"/>
      <c r="D437" s="690">
        <f>IF(E471="","",IF(INDEX(THHKI!$A$8:$Y$62,MATCH(PDHKI!E471,THHKI!$A$8:$A$62,0),INDEX($K$13:$K$27,MATCH(B437,$J$13:$J$27,0),1))&lt;1,"/",INDEX(THHKI!$A$8:$Y$62,MATCH(PDHKI!E471,THHKI!$A$8:$A$62,0),INDEX($K$13:$K$27,MATCH(B437,$J$13:$J$27,0),1))))</f>
        <v>9.5</v>
      </c>
      <c r="E437" s="691"/>
      <c r="J437" s="569" t="s">
        <v>27</v>
      </c>
      <c r="K437" s="569">
        <v>8</v>
      </c>
    </row>
    <row r="438" spans="1:11" ht="21" customHeight="1">
      <c r="A438" s="689">
        <v>3</v>
      </c>
      <c r="B438" s="1008" t="s">
        <v>28</v>
      </c>
      <c r="C438" s="1009"/>
      <c r="D438" s="690">
        <f>IF(E471="","",IF(INDEX(THHKI!$A$8:$Y$62,MATCH(PDHKI!E471,THHKI!$A$8:$A$62,0),INDEX($K$13:$K$27,MATCH(B438,$J$13:$J$27,0),1))&lt;1,"/",INDEX(THHKI!$A$8:$Y$62,MATCH(PDHKI!E471,THHKI!$A$8:$A$62,0),INDEX($K$13:$K$27,MATCH(B438,$J$13:$J$27,0),1))))</f>
        <v>9.6</v>
      </c>
      <c r="E438" s="691"/>
      <c r="J438" s="569" t="s">
        <v>28</v>
      </c>
      <c r="K438" s="569">
        <v>9</v>
      </c>
    </row>
    <row r="439" spans="1:11" ht="21" customHeight="1">
      <c r="A439" s="689">
        <v>4</v>
      </c>
      <c r="B439" s="1008" t="s">
        <v>29</v>
      </c>
      <c r="C439" s="1009"/>
      <c r="D439" s="690">
        <f>IF(E471="","",IF(INDEX(THHKI!$A$8:$Y$62,MATCH(PDHKI!E471,THHKI!$A$8:$A$62,0),INDEX($K$13:$K$27,MATCH(B439,$J$13:$J$27,0),1))&lt;1,"/",INDEX(THHKI!$A$8:$Y$62,MATCH(PDHKI!E471,THHKI!$A$8:$A$62,0),INDEX($K$13:$K$27,MATCH(B439,$J$13:$J$27,0),1))))</f>
        <v>9.1</v>
      </c>
      <c r="E439" s="691"/>
      <c r="J439" s="569" t="s">
        <v>29</v>
      </c>
      <c r="K439" s="569">
        <v>10</v>
      </c>
    </row>
    <row r="440" spans="1:11" ht="21" customHeight="1">
      <c r="A440" s="689">
        <v>5</v>
      </c>
      <c r="B440" s="1008" t="s">
        <v>120</v>
      </c>
      <c r="C440" s="1009"/>
      <c r="D440" s="690">
        <f>IF(E471="","",IF(INDEX(THHKI!$A$8:$Y$62,MATCH(PDHKI!E471,THHKI!$A$8:$A$62,0),INDEX($K$13:$K$27,MATCH(B440,$J$13:$J$27,0),1))&lt;1,"/",INDEX(THHKI!$A$8:$Y$62,MATCH(PDHKI!E471,THHKI!$A$8:$A$62,0),INDEX($K$13:$K$27,MATCH(B440,$J$13:$J$27,0),1))))</f>
        <v>9.6</v>
      </c>
      <c r="E440" s="691"/>
      <c r="J440" s="569" t="s">
        <v>120</v>
      </c>
      <c r="K440" s="569">
        <v>11</v>
      </c>
    </row>
    <row r="441" spans="1:11" ht="21" customHeight="1">
      <c r="A441" s="689">
        <v>6</v>
      </c>
      <c r="B441" s="1008" t="s">
        <v>30</v>
      </c>
      <c r="C441" s="1009"/>
      <c r="D441" s="690">
        <f>IF(E471="","",IF(INDEX(THHKI!$A$8:$Y$62,MATCH(PDHKI!E471,THHKI!$A$8:$A$62,0),INDEX($K$13:$K$27,MATCH(B441,$J$13:$J$27,0),1))&lt;1,"/",INDEX(THHKI!$A$8:$Y$62,MATCH(PDHKI!E471,THHKI!$A$8:$A$62,0),INDEX($K$13:$K$27,MATCH(B441,$J$13:$J$27,0),1))))</f>
        <v>7.8</v>
      </c>
      <c r="E441" s="691"/>
      <c r="J441" s="569" t="s">
        <v>30</v>
      </c>
      <c r="K441" s="569">
        <v>12</v>
      </c>
    </row>
    <row r="442" spans="1:11" ht="21" customHeight="1">
      <c r="A442" s="689">
        <v>7</v>
      </c>
      <c r="B442" s="1008" t="s">
        <v>31</v>
      </c>
      <c r="C442" s="1009"/>
      <c r="D442" s="690">
        <f>IF(E471="","",IF(INDEX(THHKI!$A$8:$Y$62,MATCH(PDHKI!E471,THHKI!$A$8:$A$62,0),INDEX($K$13:$K$27,MATCH(B442,$J$13:$J$27,0),1))&lt;1,"/",INDEX(THHKI!$A$8:$Y$62,MATCH(PDHKI!E471,THHKI!$A$8:$A$62,0),INDEX($K$13:$K$27,MATCH(B442,$J$13:$J$27,0),1))))</f>
        <v>9.8000000000000007</v>
      </c>
      <c r="E442" s="691"/>
      <c r="J442" s="569" t="s">
        <v>31</v>
      </c>
      <c r="K442" s="569">
        <v>13</v>
      </c>
    </row>
    <row r="443" spans="1:11" ht="21" customHeight="1">
      <c r="A443" s="689">
        <v>8</v>
      </c>
      <c r="B443" s="1008" t="s">
        <v>32</v>
      </c>
      <c r="C443" s="1009"/>
      <c r="D443" s="690">
        <f>IF(E471="","",IF(INDEX(THHKI!$A$8:$Y$62,MATCH(PDHKI!E471,THHKI!$A$8:$A$62,0),INDEX($K$13:$K$27,MATCH(B443,$J$13:$J$27,0),1))&lt;1,"/",INDEX(THHKI!$A$8:$Y$62,MATCH(PDHKI!E471,THHKI!$A$8:$A$62,0),INDEX($K$13:$K$27,MATCH(B443,$J$13:$J$27,0),1))))</f>
        <v>9.9</v>
      </c>
      <c r="E443" s="691"/>
      <c r="J443" s="569" t="s">
        <v>32</v>
      </c>
      <c r="K443" s="569">
        <v>14</v>
      </c>
    </row>
    <row r="444" spans="1:11" ht="21" customHeight="1">
      <c r="A444" s="689">
        <v>9</v>
      </c>
      <c r="B444" s="1008" t="s">
        <v>33</v>
      </c>
      <c r="C444" s="1009"/>
      <c r="D444" s="690">
        <f>IF(E471="","",IF(INDEX(THHKI!$A$8:$Y$62,MATCH(PDHKI!E471,THHKI!$A$8:$A$62,0),INDEX($K$13:$K$27,MATCH(B444,$J$13:$J$27,0),1))&lt;1,"/",INDEX(THHKI!$A$8:$Y$62,MATCH(PDHKI!E471,THHKI!$A$8:$A$62,0),INDEX($K$13:$K$27,MATCH(B444,$J$13:$J$27,0),1))))</f>
        <v>9.3000000000000007</v>
      </c>
      <c r="E444" s="691"/>
      <c r="J444" s="569" t="s">
        <v>33</v>
      </c>
      <c r="K444" s="569">
        <v>15</v>
      </c>
    </row>
    <row r="445" spans="1:11" ht="21" customHeight="1">
      <c r="A445" s="689">
        <v>10</v>
      </c>
      <c r="B445" s="1008" t="s">
        <v>60</v>
      </c>
      <c r="C445" s="1009"/>
      <c r="D445" s="690">
        <f>IF(E471="","",IF(INDEX(THHKI!$A$8:$Y$62,MATCH(PDHKI!E471,THHKI!$A$8:$A$62,0),INDEX($K$13:$K$27,MATCH(B445,$J$13:$J$27,0),1))&lt;1,"/",INDEX(THHKI!$A$8:$Y$62,MATCH(PDHKI!E471,THHKI!$A$8:$A$62,0),INDEX($K$13:$K$27,MATCH(B445,$J$13:$J$27,0),1))))</f>
        <v>9.5</v>
      </c>
      <c r="E445" s="691"/>
      <c r="J445" s="569" t="s">
        <v>60</v>
      </c>
      <c r="K445" s="569">
        <v>16</v>
      </c>
    </row>
    <row r="446" spans="1:11" ht="21" customHeight="1">
      <c r="A446" s="689">
        <v>11</v>
      </c>
      <c r="B446" s="1008" t="s">
        <v>34</v>
      </c>
      <c r="C446" s="1009"/>
      <c r="D446" s="690">
        <f>IF(E471="","",IF(INDEX(THHKI!$A$8:$Y$62,MATCH(PDHKI!E471,THHKI!$A$8:$A$62,0),INDEX($K$13:$K$27,MATCH(B446,$J$13:$J$27,0),1))&lt;1,"/",INDEX(THHKI!$A$8:$Y$62,MATCH(PDHKI!E471,THHKI!$A$8:$A$62,0),INDEX($K$13:$K$27,MATCH(B446,$J$13:$J$27,0),1))))</f>
        <v>9.6</v>
      </c>
      <c r="E446" s="691"/>
      <c r="J446" s="569" t="s">
        <v>34</v>
      </c>
      <c r="K446" s="569">
        <v>17</v>
      </c>
    </row>
    <row r="447" spans="1:11" ht="21" customHeight="1">
      <c r="A447" s="689">
        <v>12</v>
      </c>
      <c r="B447" s="1008" t="s">
        <v>35</v>
      </c>
      <c r="C447" s="1009"/>
      <c r="D447" s="690" t="str">
        <f>IF(E471="","",IF(INDEX(THHKI!$A$8:$Y$62,MATCH(PDHKI!E471,THHKI!$A$8:$A$62,0),INDEX($K$13:$K$27,MATCH(B447,$J$13:$J$27,0),1))&lt;1,"/",INDEX(THHKI!$A$8:$Y$62,MATCH(PDHKI!E471,THHKI!$A$8:$A$62,0),INDEX($K$13:$K$27,MATCH(B447,$J$13:$J$27,0),1))))</f>
        <v>Đ</v>
      </c>
      <c r="E447" s="691"/>
      <c r="J447" s="569" t="s">
        <v>35</v>
      </c>
      <c r="K447" s="569">
        <v>18</v>
      </c>
    </row>
    <row r="448" spans="1:11" ht="21" customHeight="1">
      <c r="A448" s="689">
        <v>13</v>
      </c>
      <c r="B448" s="1008" t="s">
        <v>121</v>
      </c>
      <c r="C448" s="1009"/>
      <c r="D448" s="690">
        <f>IF(E471="","",IF(INDEX(THHKI!$A$8:$Y$62,MATCH(PDHKI!E471,THHKI!$A$8:$A$62,0),INDEX($K$13:$K$27,MATCH(B448,$J$13:$J$27,0),1))&lt;1,"/",INDEX(THHKI!$A$8:$Y$62,MATCH(PDHKI!E471,THHKI!$A$8:$A$62,0),INDEX($K$13:$K$27,MATCH(B448,$J$13:$J$27,0),1))))</f>
        <v>9.9</v>
      </c>
      <c r="E448" s="691"/>
      <c r="J448" s="569" t="s">
        <v>22</v>
      </c>
      <c r="K448" s="569">
        <v>19</v>
      </c>
    </row>
    <row r="449" spans="1:11" ht="21" customHeight="1" thickBot="1">
      <c r="A449" s="692">
        <v>14</v>
      </c>
      <c r="B449" s="1010" t="s">
        <v>122</v>
      </c>
      <c r="C449" s="1011"/>
      <c r="D449" s="693" t="str">
        <f>IF(E471="","",IF(INDEX(THHKI!$A$8:$Y$62,MATCH(PDHKI!E471,THHKI!$A$8:$A$62,0),INDEX($K$13:$K$27,MATCH(B449,$J$13:$J$27,0),1))&lt;1,"/",INDEX(THHKI!$A$8:$Y$62,MATCH(PDHKI!E471,THHKI!$A$8:$A$62,0),INDEX($K$13:$K$27,MATCH(B449,$J$13:$J$27,0),1))))</f>
        <v/>
      </c>
      <c r="E449" s="694"/>
      <c r="J449" s="569" t="s">
        <v>121</v>
      </c>
      <c r="K449" s="569">
        <v>20</v>
      </c>
    </row>
    <row r="450" spans="1:11" ht="21" customHeight="1" thickBot="1">
      <c r="A450" s="695">
        <v>15</v>
      </c>
      <c r="B450" s="1006" t="s">
        <v>149</v>
      </c>
      <c r="C450" s="1007"/>
      <c r="D450" s="696">
        <f>IF(E471="","",IF(INDEX(THHKI!$A$8:$Y$62,MATCH(PDHKI!E471,THHKI!$A$8:$A$62,0),22)&lt;1,"/",INDEX(THHKI!$A$8:$Y$62,MATCH(PDHKI!E471,THHKI!$A$8:$A$62,0),22)))</f>
        <v>9.4</v>
      </c>
      <c r="E450" s="697"/>
      <c r="J450" s="569" t="s">
        <v>122</v>
      </c>
      <c r="K450" s="569">
        <v>21</v>
      </c>
    </row>
    <row r="451" spans="1:11" ht="15.75" customHeight="1" thickBot="1"/>
    <row r="452" spans="1:11" s="570" customFormat="1" ht="21" customHeight="1">
      <c r="A452" s="698"/>
      <c r="B452" s="1019" t="s">
        <v>150</v>
      </c>
      <c r="C452" s="1020"/>
      <c r="D452" s="699" t="s">
        <v>10</v>
      </c>
      <c r="E452" s="700" t="s">
        <v>126</v>
      </c>
    </row>
    <row r="453" spans="1:11" ht="21" customHeight="1">
      <c r="A453" s="701">
        <v>16</v>
      </c>
      <c r="B453" s="1021" t="s">
        <v>151</v>
      </c>
      <c r="C453" s="1022"/>
      <c r="D453" s="702" t="str">
        <f>IF(E471="","",IF(INDEX(THHKI!$A$8:$Y$62,MATCH(PDHKI!E471,THHKI!$A$8:$A$62,0),23)="","/",INDEX(THHKI!$A$8:$Y$62,MATCH(PDHKI!E471,THHKI!$A$8:$A$62,0),23)))</f>
        <v>Giỏi</v>
      </c>
      <c r="E453" s="703"/>
    </row>
    <row r="454" spans="1:11" ht="21" customHeight="1">
      <c r="A454" s="701">
        <v>17</v>
      </c>
      <c r="B454" s="1021" t="s">
        <v>152</v>
      </c>
      <c r="C454" s="1022"/>
      <c r="D454" s="702" t="str">
        <f>IF(E471="","",IF(INDEX(THHKI!$A$8:$Y$62,MATCH(PDHKI!E471,THHKI!$A$8:$A$62,0),24)="","/",INDEX(THHKI!$A$8:$Y$62,MATCH(PDHKI!E471,THHKI!$A$8:$A$62,0),24)))</f>
        <v>Tốt</v>
      </c>
      <c r="E454" s="703"/>
    </row>
    <row r="455" spans="1:11" ht="21" customHeight="1" thickBot="1">
      <c r="A455" s="704">
        <v>18</v>
      </c>
      <c r="B455" s="1023" t="s">
        <v>153</v>
      </c>
      <c r="C455" s="1024"/>
      <c r="D455" s="705" t="str">
        <f>IF(E471="","",IF(INDEX(THHKI!$A$8:$Y$62,MATCH(PDHKI!E471,THHKI!$A$8:$A$62,0),25)="","/",INDEX(THHKI!$A$8:$Y$62,MATCH(PDHKI!E471,THHKI!$A$8:$A$62,0),25)))</f>
        <v>HSG</v>
      </c>
      <c r="E455" s="706"/>
    </row>
    <row r="456" spans="1:11" ht="9.75" customHeight="1"/>
    <row r="457" spans="1:11" ht="15.75" customHeight="1">
      <c r="A457" s="58" t="s">
        <v>219</v>
      </c>
    </row>
    <row r="458" spans="1:11" ht="18" customHeight="1">
      <c r="A458" s="59" t="str">
        <f>IF(E471="","",IF(INDEX(DiemHKI!$DE$4:$DH$58,MATCH(PDHKI!E471,DiemHKI!$B$4:$B$58,0),1)="","","- "&amp;INDEX(DiemHKI!$DE$4:$DH$58,MATCH(PDHKI!E471,DiemHKI!$B$4:$B$58,0),1)))</f>
        <v/>
      </c>
      <c r="H458" s="571"/>
    </row>
    <row r="459" spans="1:11" ht="18" customHeight="1">
      <c r="A459" s="59" t="str">
        <f>IF(E471="","",IF(INDEX(DiemHKI!$DE$4:$DH$58,MATCH(PDHKI!E471,DiemHKI!$B$4:$B$58,0),2)="","","- "&amp;INDEX(DiemHKI!$DE$4:$DH$58,MATCH(PDHKI!E471,DiemHKI!$B$4:$B$58,0),2)))</f>
        <v/>
      </c>
    </row>
    <row r="460" spans="1:11" ht="18" customHeight="1">
      <c r="A460" s="59" t="str">
        <f>IF(E471="","",IF(INDEX(DiemHKI!$DE$4:$DH$58,MATCH(PDHKI!E471,DiemHKI!$B$4:$B$58,0),3)="","","- "&amp;INDEX(DiemHKI!$DE$4:$DH$58,MATCH(PDHKI!E471,DiemHKI!$B$4:$B$58,0),3)))</f>
        <v/>
      </c>
    </row>
    <row r="461" spans="1:11" ht="18" customHeight="1">
      <c r="A461" s="59" t="str">
        <f>IF(E471="","",IF(INDEX(DiemHKI!$DE$4:$DH$58,MATCH(PDHKI!E471,DiemHKI!$B$4:$B$58,0),4)="","","- "&amp;INDEX(DiemHKI!$DE$4:$DH$58,MATCH(PDHKI!E471,DiemHKI!$B$4:$B$58,0),4)))</f>
        <v/>
      </c>
    </row>
    <row r="462" spans="1:11" ht="6.75" customHeight="1"/>
    <row r="463" spans="1:11" ht="16.5" customHeight="1">
      <c r="A463" s="61"/>
      <c r="C463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463" s="1026"/>
      <c r="E463" s="1026"/>
    </row>
    <row r="464" spans="1:11" ht="21.75" customHeight="1">
      <c r="A464" s="923" t="str">
        <f>IF($D$41="Hiệu trưởng","Giáo viên Quản nhiệm","")</f>
        <v>Giáo viên Quản nhiệm</v>
      </c>
      <c r="B464" s="923"/>
      <c r="C464" s="923"/>
      <c r="D464" s="707" t="str">
        <f>IF($G$5="","",$G$5)</f>
        <v>Hiệu trưởng</v>
      </c>
      <c r="E464" s="708"/>
    </row>
    <row r="465" spans="1:5" ht="15" customHeight="1">
      <c r="A465" s="61"/>
      <c r="B465" s="61"/>
      <c r="C465" s="61"/>
      <c r="D465" s="66"/>
      <c r="E465" s="66"/>
    </row>
    <row r="466" spans="1:5" ht="15" customHeight="1">
      <c r="A466" s="61"/>
      <c r="B466" s="61"/>
      <c r="C466" s="61"/>
      <c r="D466" s="66"/>
      <c r="E466" s="66"/>
    </row>
    <row r="467" spans="1:5" ht="15" customHeight="1">
      <c r="A467" s="61"/>
      <c r="B467" s="61"/>
      <c r="C467" s="61"/>
    </row>
    <row r="468" spans="1:5" ht="15" customHeight="1">
      <c r="A468" s="61"/>
      <c r="B468" s="61"/>
      <c r="C468" s="61"/>
    </row>
    <row r="469" spans="1:5" ht="16.5" customHeight="1">
      <c r="A469" s="1012" t="str">
        <f>IF($A$41="","",PROPER('Huong dan'!$C$4))</f>
        <v/>
      </c>
      <c r="B469" s="1012"/>
      <c r="C469" s="1012"/>
      <c r="D469" s="833" t="str">
        <f>IFERROR(IF($D$41="Giáo Viên Quản nhiệm",PROPER('Huong dan'!$C$4),IF($D$41="Hiệu trưởng",PROPER('Huong dan'!$E$5),"")),"")</f>
        <v/>
      </c>
      <c r="E469" s="708"/>
    </row>
    <row r="470" spans="1:5" ht="12.75" customHeight="1"/>
    <row r="471" spans="1:5" ht="12.75" customHeight="1">
      <c r="A471" s="709"/>
      <c r="B471" s="709"/>
      <c r="C471" s="709"/>
      <c r="D471" s="710"/>
      <c r="E471" s="711">
        <f>IF(E424="","",IF(E424&lt;MAX(DiemHKI!$B$4:$B$58),E424+1,""))</f>
        <v>10</v>
      </c>
    </row>
    <row r="472" spans="1:5" ht="8.25" customHeight="1">
      <c r="A472" s="709"/>
      <c r="B472" s="709"/>
      <c r="C472" s="709"/>
      <c r="D472" s="709"/>
      <c r="E472" s="709"/>
    </row>
    <row r="473" spans="1:5" ht="5.25" customHeight="1"/>
    <row r="474" spans="1:5" s="563" customFormat="1" ht="23.25" customHeight="1">
      <c r="A474" s="931" t="str">
        <f>IF('Huong dan'!$E$3&lt;&gt;"","SỞ GIÁO DỤC VÀ ĐÀO TẠO "&amp;UPPER('Huong dan'!$E$3),"")</f>
        <v>SỞ GIÁO DỤC VÀ ĐÀO TẠO TP. HỒ CHÍ MINH</v>
      </c>
      <c r="B474" s="931"/>
      <c r="C474" s="931"/>
      <c r="D474" s="923" t="s">
        <v>19</v>
      </c>
      <c r="E474" s="923"/>
    </row>
    <row r="475" spans="1:5" ht="17.25" customHeight="1">
      <c r="A475" s="931" t="str">
        <f>IF('Huong dan'!$E$4&lt;&gt;"","TRƯỜNG "&amp;UPPER('Huong dan'!$E$4),"")</f>
        <v>TRƯỜNG THCS VÀ THPT NGUYỄN KHUYẾN</v>
      </c>
      <c r="B475" s="931"/>
      <c r="C475" s="931"/>
      <c r="D475" s="1012" t="s">
        <v>179</v>
      </c>
      <c r="E475" s="1012"/>
    </row>
    <row r="476" spans="1:5" ht="24" customHeight="1">
      <c r="A476" s="61"/>
      <c r="B476" s="61"/>
      <c r="C476" s="61"/>
    </row>
    <row r="477" spans="1:5" ht="29.25" customHeight="1">
      <c r="A477" s="1013" t="str">
        <f>"PHIẾU ĐIỂM HỌC KỲ I - NĂM HỌC "&amp;'Huong dan'!$C$5</f>
        <v>PHIẾU ĐIỂM HỌC KỲ I - NĂM HỌC 2021 - 2022</v>
      </c>
      <c r="B477" s="1013"/>
      <c r="C477" s="1013"/>
      <c r="D477" s="1013"/>
      <c r="E477" s="1013"/>
    </row>
    <row r="478" spans="1:5" ht="15.75" customHeight="1">
      <c r="A478" s="680"/>
      <c r="B478" s="680"/>
    </row>
    <row r="479" spans="1:5" ht="21" customHeight="1">
      <c r="A479" s="1014" t="s">
        <v>145</v>
      </c>
      <c r="B479" s="1014"/>
      <c r="C479" s="1015" t="str">
        <f>IF(E518="","",INDEX(DiemHKI!$D$4:$D$58,MATCH(E518,DiemHKI!$B$4:$B$58,0),1)&amp;" "&amp;INDEX(DiemHKI!$E$4:$E$58,MATCH(E518,DiemHKI!$B$4:$B$58,0),1))</f>
        <v>Hồ Ngọc Hải</v>
      </c>
      <c r="D479" s="1015"/>
      <c r="E479" s="62" t="str">
        <f>IF('Huong dan'!$C$3="","","Lớp: "&amp;'Huong dan'!$C$3)</f>
        <v>Lớp: 12A1</v>
      </c>
    </row>
    <row r="480" spans="1:5" ht="23.25" customHeight="1">
      <c r="A480" s="1014" t="s">
        <v>146</v>
      </c>
      <c r="B480" s="1014"/>
      <c r="C480" s="681" t="str">
        <f>IF(E518="","",INDEX(DiemHKI!$F$4:$F$58,MATCH(PDHKI!E518,DiemHKI!$B$4:$B$58,0),1))</f>
        <v>25/10/2004</v>
      </c>
      <c r="D480" s="1016" t="str">
        <f>IF(E518="","","Nơi sinh: "&amp;INDEX(DiemHKI!$G$4:$G$58,MATCH(PDHKI!E518,DiemHKI!$B$4:$B$58,0),1))</f>
        <v>Nơi sinh: Quảng Ngãi</v>
      </c>
      <c r="E480" s="1016"/>
    </row>
    <row r="481" spans="1:11" ht="13.5" customHeight="1" thickBot="1">
      <c r="A481" s="681"/>
      <c r="B481" s="682"/>
      <c r="D481" s="681"/>
      <c r="E481" s="681"/>
    </row>
    <row r="482" spans="1:11" ht="24" customHeight="1" thickBot="1">
      <c r="A482" s="683" t="s">
        <v>0</v>
      </c>
      <c r="B482" s="1006" t="s">
        <v>72</v>
      </c>
      <c r="C482" s="1007"/>
      <c r="D482" s="684" t="s">
        <v>147</v>
      </c>
      <c r="E482" s="685" t="s">
        <v>148</v>
      </c>
    </row>
    <row r="483" spans="1:11" ht="21" customHeight="1">
      <c r="A483" s="686">
        <v>1</v>
      </c>
      <c r="B483" s="1017" t="s">
        <v>26</v>
      </c>
      <c r="C483" s="1018"/>
      <c r="D483" s="687">
        <f>IF(E518="","",IF(INDEX(THHKI!$A$8:$Y$62,MATCH(PDHKI!E518,THHKI!$A$8:$A$62,0),INDEX($K$13:$K$27,MATCH(B483,$J$13:$J$27,0),1))&lt;1,"/",INDEX(THHKI!$A$8:$Y$62,MATCH(PDHKI!E518,THHKI!$A$8:$A$62,0),INDEX($K$13:$K$27,MATCH(B483,$J$13:$J$27,0),1))))</f>
        <v>9.6</v>
      </c>
      <c r="E483" s="688"/>
      <c r="J483" s="569" t="s">
        <v>26</v>
      </c>
      <c r="K483" s="569">
        <v>7</v>
      </c>
    </row>
    <row r="484" spans="1:11" ht="21" customHeight="1">
      <c r="A484" s="689">
        <v>2</v>
      </c>
      <c r="B484" s="1008" t="s">
        <v>27</v>
      </c>
      <c r="C484" s="1009"/>
      <c r="D484" s="690">
        <f>IF(E518="","",IF(INDEX(THHKI!$A$8:$Y$62,MATCH(PDHKI!E518,THHKI!$A$8:$A$62,0),INDEX($K$13:$K$27,MATCH(B484,$J$13:$J$27,0),1))&lt;1,"/",INDEX(THHKI!$A$8:$Y$62,MATCH(PDHKI!E518,THHKI!$A$8:$A$62,0),INDEX($K$13:$K$27,MATCH(B484,$J$13:$J$27,0),1))))</f>
        <v>9.3000000000000007</v>
      </c>
      <c r="E484" s="691"/>
      <c r="J484" s="569" t="s">
        <v>27</v>
      </c>
      <c r="K484" s="569">
        <v>8</v>
      </c>
    </row>
    <row r="485" spans="1:11" ht="21" customHeight="1">
      <c r="A485" s="689">
        <v>3</v>
      </c>
      <c r="B485" s="1008" t="s">
        <v>28</v>
      </c>
      <c r="C485" s="1009"/>
      <c r="D485" s="690">
        <f>IF(E518="","",IF(INDEX(THHKI!$A$8:$Y$62,MATCH(PDHKI!E518,THHKI!$A$8:$A$62,0),INDEX($K$13:$K$27,MATCH(B485,$J$13:$J$27,0),1))&lt;1,"/",INDEX(THHKI!$A$8:$Y$62,MATCH(PDHKI!E518,THHKI!$A$8:$A$62,0),INDEX($K$13:$K$27,MATCH(B485,$J$13:$J$27,0),1))))</f>
        <v>8.9</v>
      </c>
      <c r="E485" s="691"/>
      <c r="J485" s="569" t="s">
        <v>28</v>
      </c>
      <c r="K485" s="569">
        <v>9</v>
      </c>
    </row>
    <row r="486" spans="1:11" ht="21" customHeight="1">
      <c r="A486" s="689">
        <v>4</v>
      </c>
      <c r="B486" s="1008" t="s">
        <v>29</v>
      </c>
      <c r="C486" s="1009"/>
      <c r="D486" s="690">
        <f>IF(E518="","",IF(INDEX(THHKI!$A$8:$Y$62,MATCH(PDHKI!E518,THHKI!$A$8:$A$62,0),INDEX($K$13:$K$27,MATCH(B486,$J$13:$J$27,0),1))&lt;1,"/",INDEX(THHKI!$A$8:$Y$62,MATCH(PDHKI!E518,THHKI!$A$8:$A$62,0),INDEX($K$13:$K$27,MATCH(B486,$J$13:$J$27,0),1))))</f>
        <v>9.4</v>
      </c>
      <c r="E486" s="691"/>
      <c r="J486" s="569" t="s">
        <v>29</v>
      </c>
      <c r="K486" s="569">
        <v>10</v>
      </c>
    </row>
    <row r="487" spans="1:11" ht="21" customHeight="1">
      <c r="A487" s="689">
        <v>5</v>
      </c>
      <c r="B487" s="1008" t="s">
        <v>120</v>
      </c>
      <c r="C487" s="1009"/>
      <c r="D487" s="690">
        <f>IF(E518="","",IF(INDEX(THHKI!$A$8:$Y$62,MATCH(PDHKI!E518,THHKI!$A$8:$A$62,0),INDEX($K$13:$K$27,MATCH(B487,$J$13:$J$27,0),1))&lt;1,"/",INDEX(THHKI!$A$8:$Y$62,MATCH(PDHKI!E518,THHKI!$A$8:$A$62,0),INDEX($K$13:$K$27,MATCH(B487,$J$13:$J$27,0),1))))</f>
        <v>9.6</v>
      </c>
      <c r="E487" s="691"/>
      <c r="J487" s="569" t="s">
        <v>120</v>
      </c>
      <c r="K487" s="569">
        <v>11</v>
      </c>
    </row>
    <row r="488" spans="1:11" ht="21" customHeight="1">
      <c r="A488" s="689">
        <v>6</v>
      </c>
      <c r="B488" s="1008" t="s">
        <v>30</v>
      </c>
      <c r="C488" s="1009"/>
      <c r="D488" s="690">
        <f>IF(E518="","",IF(INDEX(THHKI!$A$8:$Y$62,MATCH(PDHKI!E518,THHKI!$A$8:$A$62,0),INDEX($K$13:$K$27,MATCH(B488,$J$13:$J$27,0),1))&lt;1,"/",INDEX(THHKI!$A$8:$Y$62,MATCH(PDHKI!E518,THHKI!$A$8:$A$62,0),INDEX($K$13:$K$27,MATCH(B488,$J$13:$J$27,0),1))))</f>
        <v>7.1</v>
      </c>
      <c r="E488" s="691"/>
      <c r="J488" s="569" t="s">
        <v>30</v>
      </c>
      <c r="K488" s="569">
        <v>12</v>
      </c>
    </row>
    <row r="489" spans="1:11" ht="21" customHeight="1">
      <c r="A489" s="689">
        <v>7</v>
      </c>
      <c r="B489" s="1008" t="s">
        <v>31</v>
      </c>
      <c r="C489" s="1009"/>
      <c r="D489" s="690">
        <f>IF(E518="","",IF(INDEX(THHKI!$A$8:$Y$62,MATCH(PDHKI!E518,THHKI!$A$8:$A$62,0),INDEX($K$13:$K$27,MATCH(B489,$J$13:$J$27,0),1))&lt;1,"/",INDEX(THHKI!$A$8:$Y$62,MATCH(PDHKI!E518,THHKI!$A$8:$A$62,0),INDEX($K$13:$K$27,MATCH(B489,$J$13:$J$27,0),1))))</f>
        <v>9.6</v>
      </c>
      <c r="E489" s="691"/>
      <c r="J489" s="569" t="s">
        <v>31</v>
      </c>
      <c r="K489" s="569">
        <v>13</v>
      </c>
    </row>
    <row r="490" spans="1:11" ht="21" customHeight="1">
      <c r="A490" s="689">
        <v>8</v>
      </c>
      <c r="B490" s="1008" t="s">
        <v>32</v>
      </c>
      <c r="C490" s="1009"/>
      <c r="D490" s="690">
        <f>IF(E518="","",IF(INDEX(THHKI!$A$8:$Y$62,MATCH(PDHKI!E518,THHKI!$A$8:$A$62,0),INDEX($K$13:$K$27,MATCH(B490,$J$13:$J$27,0),1))&lt;1,"/",INDEX(THHKI!$A$8:$Y$62,MATCH(PDHKI!E518,THHKI!$A$8:$A$62,0),INDEX($K$13:$K$27,MATCH(B490,$J$13:$J$27,0),1))))</f>
        <v>9.3000000000000007</v>
      </c>
      <c r="E490" s="691"/>
      <c r="J490" s="569" t="s">
        <v>32</v>
      </c>
      <c r="K490" s="569">
        <v>14</v>
      </c>
    </row>
    <row r="491" spans="1:11" ht="21" customHeight="1">
      <c r="A491" s="689">
        <v>9</v>
      </c>
      <c r="B491" s="1008" t="s">
        <v>33</v>
      </c>
      <c r="C491" s="1009"/>
      <c r="D491" s="690">
        <f>IF(E518="","",IF(INDEX(THHKI!$A$8:$Y$62,MATCH(PDHKI!E518,THHKI!$A$8:$A$62,0),INDEX($K$13:$K$27,MATCH(B491,$J$13:$J$27,0),1))&lt;1,"/",INDEX(THHKI!$A$8:$Y$62,MATCH(PDHKI!E518,THHKI!$A$8:$A$62,0),INDEX($K$13:$K$27,MATCH(B491,$J$13:$J$27,0),1))))</f>
        <v>9.3000000000000007</v>
      </c>
      <c r="E491" s="691"/>
      <c r="J491" s="569" t="s">
        <v>33</v>
      </c>
      <c r="K491" s="569">
        <v>15</v>
      </c>
    </row>
    <row r="492" spans="1:11" ht="21" customHeight="1">
      <c r="A492" s="689">
        <v>10</v>
      </c>
      <c r="B492" s="1008" t="s">
        <v>60</v>
      </c>
      <c r="C492" s="1009"/>
      <c r="D492" s="690">
        <f>IF(E518="","",IF(INDEX(THHKI!$A$8:$Y$62,MATCH(PDHKI!E518,THHKI!$A$8:$A$62,0),INDEX($K$13:$K$27,MATCH(B492,$J$13:$J$27,0),1))&lt;1,"/",INDEX(THHKI!$A$8:$Y$62,MATCH(PDHKI!E518,THHKI!$A$8:$A$62,0),INDEX($K$13:$K$27,MATCH(B492,$J$13:$J$27,0),1))))</f>
        <v>9.1</v>
      </c>
      <c r="E492" s="691"/>
      <c r="J492" s="569" t="s">
        <v>60</v>
      </c>
      <c r="K492" s="569">
        <v>16</v>
      </c>
    </row>
    <row r="493" spans="1:11" ht="21" customHeight="1">
      <c r="A493" s="689">
        <v>11</v>
      </c>
      <c r="B493" s="1008" t="s">
        <v>34</v>
      </c>
      <c r="C493" s="1009"/>
      <c r="D493" s="690">
        <f>IF(E518="","",IF(INDEX(THHKI!$A$8:$Y$62,MATCH(PDHKI!E518,THHKI!$A$8:$A$62,0),INDEX($K$13:$K$27,MATCH(B493,$J$13:$J$27,0),1))&lt;1,"/",INDEX(THHKI!$A$8:$Y$62,MATCH(PDHKI!E518,THHKI!$A$8:$A$62,0),INDEX($K$13:$K$27,MATCH(B493,$J$13:$J$27,0),1))))</f>
        <v>9.9</v>
      </c>
      <c r="E493" s="691"/>
      <c r="J493" s="569" t="s">
        <v>34</v>
      </c>
      <c r="K493" s="569">
        <v>17</v>
      </c>
    </row>
    <row r="494" spans="1:11" ht="21" customHeight="1">
      <c r="A494" s="689">
        <v>12</v>
      </c>
      <c r="B494" s="1008" t="s">
        <v>35</v>
      </c>
      <c r="C494" s="1009"/>
      <c r="D494" s="690" t="str">
        <f>IF(E518="","",IF(INDEX(THHKI!$A$8:$Y$62,MATCH(PDHKI!E518,THHKI!$A$8:$A$62,0),INDEX($K$13:$K$27,MATCH(B494,$J$13:$J$27,0),1))&lt;1,"/",INDEX(THHKI!$A$8:$Y$62,MATCH(PDHKI!E518,THHKI!$A$8:$A$62,0),INDEX($K$13:$K$27,MATCH(B494,$J$13:$J$27,0),1))))</f>
        <v>Đ</v>
      </c>
      <c r="E494" s="691"/>
      <c r="J494" s="569" t="s">
        <v>35</v>
      </c>
      <c r="K494" s="569">
        <v>18</v>
      </c>
    </row>
    <row r="495" spans="1:11" ht="21" customHeight="1">
      <c r="A495" s="689">
        <v>13</v>
      </c>
      <c r="B495" s="1008" t="s">
        <v>121</v>
      </c>
      <c r="C495" s="1009"/>
      <c r="D495" s="690">
        <f>IF(E518="","",IF(INDEX(THHKI!$A$8:$Y$62,MATCH(PDHKI!E518,THHKI!$A$8:$A$62,0),INDEX($K$13:$K$27,MATCH(B495,$J$13:$J$27,0),1))&lt;1,"/",INDEX(THHKI!$A$8:$Y$62,MATCH(PDHKI!E518,THHKI!$A$8:$A$62,0),INDEX($K$13:$K$27,MATCH(B495,$J$13:$J$27,0),1))))</f>
        <v>9.4</v>
      </c>
      <c r="E495" s="691"/>
      <c r="J495" s="569" t="s">
        <v>22</v>
      </c>
      <c r="K495" s="569">
        <v>19</v>
      </c>
    </row>
    <row r="496" spans="1:11" ht="21" customHeight="1" thickBot="1">
      <c r="A496" s="692">
        <v>14</v>
      </c>
      <c r="B496" s="1010" t="s">
        <v>122</v>
      </c>
      <c r="C496" s="1011"/>
      <c r="D496" s="693" t="str">
        <f>IF(E518="","",IF(INDEX(THHKI!$A$8:$Y$62,MATCH(PDHKI!E518,THHKI!$A$8:$A$62,0),INDEX($K$13:$K$27,MATCH(B496,$J$13:$J$27,0),1))&lt;1,"/",INDEX(THHKI!$A$8:$Y$62,MATCH(PDHKI!E518,THHKI!$A$8:$A$62,0),INDEX($K$13:$K$27,MATCH(B496,$J$13:$J$27,0),1))))</f>
        <v/>
      </c>
      <c r="E496" s="694"/>
      <c r="J496" s="569" t="s">
        <v>121</v>
      </c>
      <c r="K496" s="569">
        <v>20</v>
      </c>
    </row>
    <row r="497" spans="1:11" ht="21" customHeight="1" thickBot="1">
      <c r="A497" s="695">
        <v>15</v>
      </c>
      <c r="B497" s="1006" t="s">
        <v>149</v>
      </c>
      <c r="C497" s="1007"/>
      <c r="D497" s="696">
        <f>IF(E518="","",IF(INDEX(THHKI!$A$8:$Y$62,MATCH(PDHKI!E518,THHKI!$A$8:$A$62,0),22)&lt;1,"/",INDEX(THHKI!$A$8:$Y$62,MATCH(PDHKI!E518,THHKI!$A$8:$A$62,0),22)))</f>
        <v>9.1999999999999993</v>
      </c>
      <c r="E497" s="697"/>
      <c r="J497" s="569" t="s">
        <v>122</v>
      </c>
      <c r="K497" s="569">
        <v>21</v>
      </c>
    </row>
    <row r="498" spans="1:11" ht="15.75" customHeight="1" thickBot="1"/>
    <row r="499" spans="1:11" s="570" customFormat="1" ht="21" customHeight="1">
      <c r="A499" s="698"/>
      <c r="B499" s="1019" t="s">
        <v>150</v>
      </c>
      <c r="C499" s="1020"/>
      <c r="D499" s="699" t="s">
        <v>10</v>
      </c>
      <c r="E499" s="700" t="s">
        <v>126</v>
      </c>
    </row>
    <row r="500" spans="1:11" ht="21" customHeight="1">
      <c r="A500" s="701">
        <v>16</v>
      </c>
      <c r="B500" s="1021" t="s">
        <v>151</v>
      </c>
      <c r="C500" s="1022"/>
      <c r="D500" s="702" t="str">
        <f>IF(E518="","",IF(INDEX(THHKI!$A$8:$Y$62,MATCH(PDHKI!E518,THHKI!$A$8:$A$62,0),23)="","/",INDEX(THHKI!$A$8:$Y$62,MATCH(PDHKI!E518,THHKI!$A$8:$A$62,0),23)))</f>
        <v>Giỏi</v>
      </c>
      <c r="E500" s="703"/>
    </row>
    <row r="501" spans="1:11" ht="21" customHeight="1">
      <c r="A501" s="701">
        <v>17</v>
      </c>
      <c r="B501" s="1021" t="s">
        <v>152</v>
      </c>
      <c r="C501" s="1022"/>
      <c r="D501" s="702" t="str">
        <f>IF(E518="","",IF(INDEX(THHKI!$A$8:$Y$62,MATCH(PDHKI!E518,THHKI!$A$8:$A$62,0),24)="","/",INDEX(THHKI!$A$8:$Y$62,MATCH(PDHKI!E518,THHKI!$A$8:$A$62,0),24)))</f>
        <v>Tốt</v>
      </c>
      <c r="E501" s="703"/>
    </row>
    <row r="502" spans="1:11" ht="21" customHeight="1" thickBot="1">
      <c r="A502" s="704">
        <v>18</v>
      </c>
      <c r="B502" s="1023" t="s">
        <v>153</v>
      </c>
      <c r="C502" s="1024"/>
      <c r="D502" s="705" t="str">
        <f>IF(E518="","",IF(INDEX(THHKI!$A$8:$Y$62,MATCH(PDHKI!E518,THHKI!$A$8:$A$62,0),25)="","/",INDEX(THHKI!$A$8:$Y$62,MATCH(PDHKI!E518,THHKI!$A$8:$A$62,0),25)))</f>
        <v>HSG</v>
      </c>
      <c r="E502" s="706"/>
    </row>
    <row r="503" spans="1:11" ht="9.75" customHeight="1"/>
    <row r="504" spans="1:11" ht="15.75" customHeight="1">
      <c r="A504" s="58" t="s">
        <v>219</v>
      </c>
    </row>
    <row r="505" spans="1:11" ht="18" customHeight="1">
      <c r="A505" s="59" t="str">
        <f>IF(E518="","",IF(INDEX(DiemHKI!$DE$4:$DH$58,MATCH(PDHKI!E518,DiemHKI!$B$4:$B$58,0),1)="","","- "&amp;INDEX(DiemHKI!$DE$4:$DH$58,MATCH(PDHKI!E518,DiemHKI!$B$4:$B$58,0),1)))</f>
        <v/>
      </c>
      <c r="H505" s="571"/>
    </row>
    <row r="506" spans="1:11" ht="18" customHeight="1">
      <c r="A506" s="59" t="str">
        <f>IF(E518="","",IF(INDEX(DiemHKI!$DE$4:$DH$58,MATCH(PDHKI!E518,DiemHKI!$B$4:$B$58,0),2)="","","- "&amp;INDEX(DiemHKI!$DE$4:$DH$58,MATCH(PDHKI!E518,DiemHKI!$B$4:$B$58,0),2)))</f>
        <v/>
      </c>
    </row>
    <row r="507" spans="1:11" ht="18" customHeight="1">
      <c r="A507" s="59" t="str">
        <f>IF(E518="","",IF(INDEX(DiemHKI!$DE$4:$DH$58,MATCH(PDHKI!E518,DiemHKI!$B$4:$B$58,0),3)="","","- "&amp;INDEX(DiemHKI!$DE$4:$DH$58,MATCH(PDHKI!E518,DiemHKI!$B$4:$B$58,0),3)))</f>
        <v/>
      </c>
    </row>
    <row r="508" spans="1:11" ht="18" customHeight="1">
      <c r="A508" s="59" t="str">
        <f>IF(E518="","",IF(INDEX(DiemHKI!$DE$4:$DH$58,MATCH(PDHKI!E518,DiemHKI!$B$4:$B$58,0),4)="","","- "&amp;INDEX(DiemHKI!$DE$4:$DH$58,MATCH(PDHKI!E518,DiemHKI!$B$4:$B$58,0),4)))</f>
        <v/>
      </c>
    </row>
    <row r="509" spans="1:11" ht="6.75" customHeight="1"/>
    <row r="510" spans="1:11" ht="16.5" customHeight="1">
      <c r="A510" s="61"/>
      <c r="C510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510" s="1026"/>
      <c r="E510" s="1026"/>
    </row>
    <row r="511" spans="1:11" ht="21.75" customHeight="1">
      <c r="A511" s="923" t="str">
        <f>IF($D$41="Hiệu trưởng","Giáo viên Quản nhiệm","")</f>
        <v>Giáo viên Quản nhiệm</v>
      </c>
      <c r="B511" s="923"/>
      <c r="C511" s="923"/>
      <c r="D511" s="707" t="str">
        <f>IF($G$5="","",$G$5)</f>
        <v>Hiệu trưởng</v>
      </c>
      <c r="E511" s="708"/>
    </row>
    <row r="512" spans="1:11" ht="15" customHeight="1">
      <c r="A512" s="61"/>
      <c r="B512" s="61"/>
      <c r="C512" s="61"/>
      <c r="D512" s="66"/>
      <c r="E512" s="66"/>
    </row>
    <row r="513" spans="1:5" ht="15" customHeight="1">
      <c r="A513" s="61"/>
      <c r="B513" s="61"/>
      <c r="C513" s="61"/>
      <c r="D513" s="66"/>
      <c r="E513" s="66"/>
    </row>
    <row r="514" spans="1:5" ht="15" customHeight="1">
      <c r="A514" s="61"/>
      <c r="B514" s="61"/>
      <c r="C514" s="61"/>
    </row>
    <row r="515" spans="1:5" ht="15" customHeight="1">
      <c r="A515" s="61"/>
      <c r="B515" s="61"/>
      <c r="C515" s="61"/>
    </row>
    <row r="516" spans="1:5" ht="16.5" customHeight="1">
      <c r="A516" s="1012" t="str">
        <f>IF($A$41="","",PROPER('Huong dan'!$C$4))</f>
        <v/>
      </c>
      <c r="B516" s="1012"/>
      <c r="C516" s="1012"/>
      <c r="D516" s="833" t="str">
        <f>IFERROR(IF($D$41="Giáo Viên Quản nhiệm",PROPER('Huong dan'!$C$4),IF($D$41="Hiệu trưởng",PROPER('Huong dan'!$E$5),"")),"")</f>
        <v/>
      </c>
      <c r="E516" s="708"/>
    </row>
    <row r="517" spans="1:5" ht="12.75" customHeight="1"/>
    <row r="518" spans="1:5" ht="12.75" customHeight="1">
      <c r="A518" s="709"/>
      <c r="B518" s="709"/>
      <c r="C518" s="709"/>
      <c r="D518" s="710"/>
      <c r="E518" s="711">
        <f>IF(E471="","",IF(E471&lt;MAX(DiemHKI!$B$4:$B$58),E471+1,""))</f>
        <v>11</v>
      </c>
    </row>
    <row r="519" spans="1:5" ht="8.25" customHeight="1">
      <c r="A519" s="709"/>
      <c r="B519" s="709"/>
      <c r="C519" s="709"/>
      <c r="D519" s="709"/>
      <c r="E519" s="709"/>
    </row>
    <row r="520" spans="1:5" ht="5.25" customHeight="1"/>
    <row r="521" spans="1:5" s="563" customFormat="1" ht="23.25" customHeight="1">
      <c r="A521" s="931" t="str">
        <f>IF('Huong dan'!$E$3&lt;&gt;"","SỞ GIÁO DỤC VÀ ĐÀO TẠO "&amp;UPPER('Huong dan'!$E$3),"")</f>
        <v>SỞ GIÁO DỤC VÀ ĐÀO TẠO TP. HỒ CHÍ MINH</v>
      </c>
      <c r="B521" s="931"/>
      <c r="C521" s="931"/>
      <c r="D521" s="923" t="s">
        <v>19</v>
      </c>
      <c r="E521" s="923"/>
    </row>
    <row r="522" spans="1:5" ht="17.25" customHeight="1">
      <c r="A522" s="931" t="str">
        <f>IF('Huong dan'!$E$4&lt;&gt;"","TRƯỜNG "&amp;UPPER('Huong dan'!$E$4),"")</f>
        <v>TRƯỜNG THCS VÀ THPT NGUYỄN KHUYẾN</v>
      </c>
      <c r="B522" s="931"/>
      <c r="C522" s="931"/>
      <c r="D522" s="1012" t="s">
        <v>179</v>
      </c>
      <c r="E522" s="1012"/>
    </row>
    <row r="523" spans="1:5" ht="24" customHeight="1">
      <c r="A523" s="61"/>
      <c r="B523" s="61"/>
      <c r="C523" s="61"/>
    </row>
    <row r="524" spans="1:5" ht="29.25" customHeight="1">
      <c r="A524" s="1013" t="str">
        <f>"PHIẾU ĐIỂM HỌC KỲ I - NĂM HỌC "&amp;'Huong dan'!$C$5</f>
        <v>PHIẾU ĐIỂM HỌC KỲ I - NĂM HỌC 2021 - 2022</v>
      </c>
      <c r="B524" s="1013"/>
      <c r="C524" s="1013"/>
      <c r="D524" s="1013"/>
      <c r="E524" s="1013"/>
    </row>
    <row r="525" spans="1:5" ht="15.75" customHeight="1">
      <c r="A525" s="680"/>
      <c r="B525" s="680"/>
    </row>
    <row r="526" spans="1:5" ht="21" customHeight="1">
      <c r="A526" s="1014" t="s">
        <v>145</v>
      </c>
      <c r="B526" s="1014"/>
      <c r="C526" s="1015" t="str">
        <f>IF(E565="","",INDEX(DiemHKI!$D$4:$D$58,MATCH(E565,DiemHKI!$B$4:$B$58,0),1)&amp;" "&amp;INDEX(DiemHKI!$E$4:$E$58,MATCH(E565,DiemHKI!$B$4:$B$58,0),1))</f>
        <v>Hồ Sơn Hậu</v>
      </c>
      <c r="D526" s="1015"/>
      <c r="E526" s="62" t="str">
        <f>IF('Huong dan'!$C$3="","","Lớp: "&amp;'Huong dan'!$C$3)</f>
        <v>Lớp: 12A1</v>
      </c>
    </row>
    <row r="527" spans="1:5" ht="23.25" customHeight="1">
      <c r="A527" s="1014" t="s">
        <v>146</v>
      </c>
      <c r="B527" s="1014"/>
      <c r="C527" s="681" t="str">
        <f>IF(E565="","",INDEX(DiemHKI!$F$4:$F$58,MATCH(PDHKI!E565,DiemHKI!$B$4:$B$58,0),1))</f>
        <v>08/01/2004</v>
      </c>
      <c r="D527" s="1016" t="str">
        <f>IF(E565="","","Nơi sinh: "&amp;INDEX(DiemHKI!$G$4:$G$58,MATCH(PDHKI!E565,DiemHKI!$B$4:$B$58,0),1))</f>
        <v>Nơi sinh: Bến Tre</v>
      </c>
      <c r="E527" s="1016"/>
    </row>
    <row r="528" spans="1:5" ht="13.5" customHeight="1" thickBot="1">
      <c r="A528" s="681"/>
      <c r="B528" s="682"/>
      <c r="D528" s="681"/>
      <c r="E528" s="681"/>
    </row>
    <row r="529" spans="1:11" ht="24" customHeight="1" thickBot="1">
      <c r="A529" s="683" t="s">
        <v>0</v>
      </c>
      <c r="B529" s="1006" t="s">
        <v>72</v>
      </c>
      <c r="C529" s="1007"/>
      <c r="D529" s="684" t="s">
        <v>147</v>
      </c>
      <c r="E529" s="685" t="s">
        <v>148</v>
      </c>
    </row>
    <row r="530" spans="1:11" ht="21" customHeight="1">
      <c r="A530" s="686">
        <v>1</v>
      </c>
      <c r="B530" s="1017" t="s">
        <v>26</v>
      </c>
      <c r="C530" s="1018"/>
      <c r="D530" s="687">
        <f>IF(E565="","",IF(INDEX(THHKI!$A$8:$Y$62,MATCH(PDHKI!E565,THHKI!$A$8:$A$62,0),INDEX($K$13:$K$27,MATCH(B530,$J$13:$J$27,0),1))&lt;1,"/",INDEX(THHKI!$A$8:$Y$62,MATCH(PDHKI!E565,THHKI!$A$8:$A$62,0),INDEX($K$13:$K$27,MATCH(B530,$J$13:$J$27,0),1))))</f>
        <v>9.4</v>
      </c>
      <c r="E530" s="688"/>
      <c r="J530" s="569" t="s">
        <v>26</v>
      </c>
      <c r="K530" s="569">
        <v>7</v>
      </c>
    </row>
    <row r="531" spans="1:11" ht="21" customHeight="1">
      <c r="A531" s="689">
        <v>2</v>
      </c>
      <c r="B531" s="1008" t="s">
        <v>27</v>
      </c>
      <c r="C531" s="1009"/>
      <c r="D531" s="690">
        <f>IF(E565="","",IF(INDEX(THHKI!$A$8:$Y$62,MATCH(PDHKI!E565,THHKI!$A$8:$A$62,0),INDEX($K$13:$K$27,MATCH(B531,$J$13:$J$27,0),1))&lt;1,"/",INDEX(THHKI!$A$8:$Y$62,MATCH(PDHKI!E565,THHKI!$A$8:$A$62,0),INDEX($K$13:$K$27,MATCH(B531,$J$13:$J$27,0),1))))</f>
        <v>9.6</v>
      </c>
      <c r="E531" s="691"/>
      <c r="J531" s="569" t="s">
        <v>27</v>
      </c>
      <c r="K531" s="569">
        <v>8</v>
      </c>
    </row>
    <row r="532" spans="1:11" ht="21" customHeight="1">
      <c r="A532" s="689">
        <v>3</v>
      </c>
      <c r="B532" s="1008" t="s">
        <v>28</v>
      </c>
      <c r="C532" s="1009"/>
      <c r="D532" s="690">
        <f>IF(E565="","",IF(INDEX(THHKI!$A$8:$Y$62,MATCH(PDHKI!E565,THHKI!$A$8:$A$62,0),INDEX($K$13:$K$27,MATCH(B532,$J$13:$J$27,0),1))&lt;1,"/",INDEX(THHKI!$A$8:$Y$62,MATCH(PDHKI!E565,THHKI!$A$8:$A$62,0),INDEX($K$13:$K$27,MATCH(B532,$J$13:$J$27,0),1))))</f>
        <v>9.1</v>
      </c>
      <c r="E532" s="691"/>
      <c r="J532" s="569" t="s">
        <v>28</v>
      </c>
      <c r="K532" s="569">
        <v>9</v>
      </c>
    </row>
    <row r="533" spans="1:11" ht="21" customHeight="1">
      <c r="A533" s="689">
        <v>4</v>
      </c>
      <c r="B533" s="1008" t="s">
        <v>29</v>
      </c>
      <c r="C533" s="1009"/>
      <c r="D533" s="690">
        <f>IF(E565="","",IF(INDEX(THHKI!$A$8:$Y$62,MATCH(PDHKI!E565,THHKI!$A$8:$A$62,0),INDEX($K$13:$K$27,MATCH(B533,$J$13:$J$27,0),1))&lt;1,"/",INDEX(THHKI!$A$8:$Y$62,MATCH(PDHKI!E565,THHKI!$A$8:$A$62,0),INDEX($K$13:$K$27,MATCH(B533,$J$13:$J$27,0),1))))</f>
        <v>9.1</v>
      </c>
      <c r="E533" s="691"/>
      <c r="J533" s="569" t="s">
        <v>29</v>
      </c>
      <c r="K533" s="569">
        <v>10</v>
      </c>
    </row>
    <row r="534" spans="1:11" ht="21" customHeight="1">
      <c r="A534" s="689">
        <v>5</v>
      </c>
      <c r="B534" s="1008" t="s">
        <v>120</v>
      </c>
      <c r="C534" s="1009"/>
      <c r="D534" s="690">
        <f>IF(E565="","",IF(INDEX(THHKI!$A$8:$Y$62,MATCH(PDHKI!E565,THHKI!$A$8:$A$62,0),INDEX($K$13:$K$27,MATCH(B534,$J$13:$J$27,0),1))&lt;1,"/",INDEX(THHKI!$A$8:$Y$62,MATCH(PDHKI!E565,THHKI!$A$8:$A$62,0),INDEX($K$13:$K$27,MATCH(B534,$J$13:$J$27,0),1))))</f>
        <v>9.6</v>
      </c>
      <c r="E534" s="691"/>
      <c r="J534" s="569" t="s">
        <v>120</v>
      </c>
      <c r="K534" s="569">
        <v>11</v>
      </c>
    </row>
    <row r="535" spans="1:11" ht="21" customHeight="1">
      <c r="A535" s="689">
        <v>6</v>
      </c>
      <c r="B535" s="1008" t="s">
        <v>30</v>
      </c>
      <c r="C535" s="1009"/>
      <c r="D535" s="690">
        <f>IF(E565="","",IF(INDEX(THHKI!$A$8:$Y$62,MATCH(PDHKI!E565,THHKI!$A$8:$A$62,0),INDEX($K$13:$K$27,MATCH(B535,$J$13:$J$27,0),1))&lt;1,"/",INDEX(THHKI!$A$8:$Y$62,MATCH(PDHKI!E565,THHKI!$A$8:$A$62,0),INDEX($K$13:$K$27,MATCH(B535,$J$13:$J$27,0),1))))</f>
        <v>7.4</v>
      </c>
      <c r="E535" s="691"/>
      <c r="J535" s="569" t="s">
        <v>30</v>
      </c>
      <c r="K535" s="569">
        <v>12</v>
      </c>
    </row>
    <row r="536" spans="1:11" ht="21" customHeight="1">
      <c r="A536" s="689">
        <v>7</v>
      </c>
      <c r="B536" s="1008" t="s">
        <v>31</v>
      </c>
      <c r="C536" s="1009"/>
      <c r="D536" s="690">
        <f>IF(E565="","",IF(INDEX(THHKI!$A$8:$Y$62,MATCH(PDHKI!E565,THHKI!$A$8:$A$62,0),INDEX($K$13:$K$27,MATCH(B536,$J$13:$J$27,0),1))&lt;1,"/",INDEX(THHKI!$A$8:$Y$62,MATCH(PDHKI!E565,THHKI!$A$8:$A$62,0),INDEX($K$13:$K$27,MATCH(B536,$J$13:$J$27,0),1))))</f>
        <v>9.8000000000000007</v>
      </c>
      <c r="E536" s="691"/>
      <c r="J536" s="569" t="s">
        <v>31</v>
      </c>
      <c r="K536" s="569">
        <v>13</v>
      </c>
    </row>
    <row r="537" spans="1:11" ht="21" customHeight="1">
      <c r="A537" s="689">
        <v>8</v>
      </c>
      <c r="B537" s="1008" t="s">
        <v>32</v>
      </c>
      <c r="C537" s="1009"/>
      <c r="D537" s="690">
        <f>IF(E565="","",IF(INDEX(THHKI!$A$8:$Y$62,MATCH(PDHKI!E565,THHKI!$A$8:$A$62,0),INDEX($K$13:$K$27,MATCH(B537,$J$13:$J$27,0),1))&lt;1,"/",INDEX(THHKI!$A$8:$Y$62,MATCH(PDHKI!E565,THHKI!$A$8:$A$62,0),INDEX($K$13:$K$27,MATCH(B537,$J$13:$J$27,0),1))))</f>
        <v>9.9</v>
      </c>
      <c r="E537" s="691"/>
      <c r="J537" s="569" t="s">
        <v>32</v>
      </c>
      <c r="K537" s="569">
        <v>14</v>
      </c>
    </row>
    <row r="538" spans="1:11" ht="21" customHeight="1">
      <c r="A538" s="689">
        <v>9</v>
      </c>
      <c r="B538" s="1008" t="s">
        <v>33</v>
      </c>
      <c r="C538" s="1009"/>
      <c r="D538" s="690">
        <f>IF(E565="","",IF(INDEX(THHKI!$A$8:$Y$62,MATCH(PDHKI!E565,THHKI!$A$8:$A$62,0),INDEX($K$13:$K$27,MATCH(B538,$J$13:$J$27,0),1))&lt;1,"/",INDEX(THHKI!$A$8:$Y$62,MATCH(PDHKI!E565,THHKI!$A$8:$A$62,0),INDEX($K$13:$K$27,MATCH(B538,$J$13:$J$27,0),1))))</f>
        <v>7.6</v>
      </c>
      <c r="E538" s="691"/>
      <c r="J538" s="569" t="s">
        <v>33</v>
      </c>
      <c r="K538" s="569">
        <v>15</v>
      </c>
    </row>
    <row r="539" spans="1:11" ht="21" customHeight="1">
      <c r="A539" s="689">
        <v>10</v>
      </c>
      <c r="B539" s="1008" t="s">
        <v>60</v>
      </c>
      <c r="C539" s="1009"/>
      <c r="D539" s="690">
        <f>IF(E565="","",IF(INDEX(THHKI!$A$8:$Y$62,MATCH(PDHKI!E565,THHKI!$A$8:$A$62,0),INDEX($K$13:$K$27,MATCH(B539,$J$13:$J$27,0),1))&lt;1,"/",INDEX(THHKI!$A$8:$Y$62,MATCH(PDHKI!E565,THHKI!$A$8:$A$62,0),INDEX($K$13:$K$27,MATCH(B539,$J$13:$J$27,0),1))))</f>
        <v>9.1</v>
      </c>
      <c r="E539" s="691"/>
      <c r="J539" s="569" t="s">
        <v>60</v>
      </c>
      <c r="K539" s="569">
        <v>16</v>
      </c>
    </row>
    <row r="540" spans="1:11" ht="21" customHeight="1">
      <c r="A540" s="689">
        <v>11</v>
      </c>
      <c r="B540" s="1008" t="s">
        <v>34</v>
      </c>
      <c r="C540" s="1009"/>
      <c r="D540" s="690">
        <f>IF(E565="","",IF(INDEX(THHKI!$A$8:$Y$62,MATCH(PDHKI!E565,THHKI!$A$8:$A$62,0),INDEX($K$13:$K$27,MATCH(B540,$J$13:$J$27,0),1))&lt;1,"/",INDEX(THHKI!$A$8:$Y$62,MATCH(PDHKI!E565,THHKI!$A$8:$A$62,0),INDEX($K$13:$K$27,MATCH(B540,$J$13:$J$27,0),1))))</f>
        <v>9.9</v>
      </c>
      <c r="E540" s="691"/>
      <c r="J540" s="569" t="s">
        <v>34</v>
      </c>
      <c r="K540" s="569">
        <v>17</v>
      </c>
    </row>
    <row r="541" spans="1:11" ht="21" customHeight="1">
      <c r="A541" s="689">
        <v>12</v>
      </c>
      <c r="B541" s="1008" t="s">
        <v>35</v>
      </c>
      <c r="C541" s="1009"/>
      <c r="D541" s="690" t="str">
        <f>IF(E565="","",IF(INDEX(THHKI!$A$8:$Y$62,MATCH(PDHKI!E565,THHKI!$A$8:$A$62,0),INDEX($K$13:$K$27,MATCH(B541,$J$13:$J$27,0),1))&lt;1,"/",INDEX(THHKI!$A$8:$Y$62,MATCH(PDHKI!E565,THHKI!$A$8:$A$62,0),INDEX($K$13:$K$27,MATCH(B541,$J$13:$J$27,0),1))))</f>
        <v>Đ</v>
      </c>
      <c r="E541" s="691"/>
      <c r="J541" s="569" t="s">
        <v>35</v>
      </c>
      <c r="K541" s="569">
        <v>18</v>
      </c>
    </row>
    <row r="542" spans="1:11" ht="21" customHeight="1">
      <c r="A542" s="689">
        <v>13</v>
      </c>
      <c r="B542" s="1008" t="s">
        <v>121</v>
      </c>
      <c r="C542" s="1009"/>
      <c r="D542" s="690">
        <f>IF(E565="","",IF(INDEX(THHKI!$A$8:$Y$62,MATCH(PDHKI!E565,THHKI!$A$8:$A$62,0),INDEX($K$13:$K$27,MATCH(B542,$J$13:$J$27,0),1))&lt;1,"/",INDEX(THHKI!$A$8:$Y$62,MATCH(PDHKI!E565,THHKI!$A$8:$A$62,0),INDEX($K$13:$K$27,MATCH(B542,$J$13:$J$27,0),1))))</f>
        <v>9.9</v>
      </c>
      <c r="E542" s="691"/>
      <c r="J542" s="569" t="s">
        <v>22</v>
      </c>
      <c r="K542" s="569">
        <v>19</v>
      </c>
    </row>
    <row r="543" spans="1:11" ht="21" customHeight="1" thickBot="1">
      <c r="A543" s="692">
        <v>14</v>
      </c>
      <c r="B543" s="1010" t="s">
        <v>122</v>
      </c>
      <c r="C543" s="1011"/>
      <c r="D543" s="693" t="str">
        <f>IF(E565="","",IF(INDEX(THHKI!$A$8:$Y$62,MATCH(PDHKI!E565,THHKI!$A$8:$A$62,0),INDEX($K$13:$K$27,MATCH(B543,$J$13:$J$27,0),1))&lt;1,"/",INDEX(THHKI!$A$8:$Y$62,MATCH(PDHKI!E565,THHKI!$A$8:$A$62,0),INDEX($K$13:$K$27,MATCH(B543,$J$13:$J$27,0),1))))</f>
        <v/>
      </c>
      <c r="E543" s="694"/>
      <c r="J543" s="569" t="s">
        <v>121</v>
      </c>
      <c r="K543" s="569">
        <v>20</v>
      </c>
    </row>
    <row r="544" spans="1:11" ht="21" customHeight="1" thickBot="1">
      <c r="A544" s="695">
        <v>15</v>
      </c>
      <c r="B544" s="1006" t="s">
        <v>149</v>
      </c>
      <c r="C544" s="1007"/>
      <c r="D544" s="696">
        <f>IF(E565="","",IF(INDEX(THHKI!$A$8:$Y$62,MATCH(PDHKI!E565,THHKI!$A$8:$A$62,0),22)&lt;1,"/",INDEX(THHKI!$A$8:$Y$62,MATCH(PDHKI!E565,THHKI!$A$8:$A$62,0),22)))</f>
        <v>9.1999999999999993</v>
      </c>
      <c r="E544" s="697"/>
      <c r="J544" s="569" t="s">
        <v>122</v>
      </c>
      <c r="K544" s="569">
        <v>21</v>
      </c>
    </row>
    <row r="545" spans="1:8" ht="15.75" customHeight="1" thickBot="1"/>
    <row r="546" spans="1:8" s="570" customFormat="1" ht="21" customHeight="1">
      <c r="A546" s="698"/>
      <c r="B546" s="1019" t="s">
        <v>150</v>
      </c>
      <c r="C546" s="1020"/>
      <c r="D546" s="699" t="s">
        <v>10</v>
      </c>
      <c r="E546" s="700" t="s">
        <v>126</v>
      </c>
    </row>
    <row r="547" spans="1:8" ht="21" customHeight="1">
      <c r="A547" s="701">
        <v>16</v>
      </c>
      <c r="B547" s="1021" t="s">
        <v>151</v>
      </c>
      <c r="C547" s="1022"/>
      <c r="D547" s="702" t="str">
        <f>IF(E565="","",IF(INDEX(THHKI!$A$8:$Y$62,MATCH(PDHKI!E565,THHKI!$A$8:$A$62,0),23)="","/",INDEX(THHKI!$A$8:$Y$62,MATCH(PDHKI!E565,THHKI!$A$8:$A$62,0),23)))</f>
        <v>Giỏi</v>
      </c>
      <c r="E547" s="703"/>
    </row>
    <row r="548" spans="1:8" ht="21" customHeight="1">
      <c r="A548" s="701">
        <v>17</v>
      </c>
      <c r="B548" s="1021" t="s">
        <v>152</v>
      </c>
      <c r="C548" s="1022"/>
      <c r="D548" s="702" t="str">
        <f>IF(E565="","",IF(INDEX(THHKI!$A$8:$Y$62,MATCH(PDHKI!E565,THHKI!$A$8:$A$62,0),24)="","/",INDEX(THHKI!$A$8:$Y$62,MATCH(PDHKI!E565,THHKI!$A$8:$A$62,0),24)))</f>
        <v>Tốt</v>
      </c>
      <c r="E548" s="703"/>
    </row>
    <row r="549" spans="1:8" ht="21" customHeight="1" thickBot="1">
      <c r="A549" s="704">
        <v>18</v>
      </c>
      <c r="B549" s="1023" t="s">
        <v>153</v>
      </c>
      <c r="C549" s="1024"/>
      <c r="D549" s="705" t="str">
        <f>IF(E565="","",IF(INDEX(THHKI!$A$8:$Y$62,MATCH(PDHKI!E565,THHKI!$A$8:$A$62,0),25)="","/",INDEX(THHKI!$A$8:$Y$62,MATCH(PDHKI!E565,THHKI!$A$8:$A$62,0),25)))</f>
        <v>HSG</v>
      </c>
      <c r="E549" s="706"/>
    </row>
    <row r="550" spans="1:8" ht="9.75" customHeight="1"/>
    <row r="551" spans="1:8" ht="15.75" customHeight="1">
      <c r="A551" s="58" t="s">
        <v>219</v>
      </c>
    </row>
    <row r="552" spans="1:8" ht="18" customHeight="1">
      <c r="A552" s="59" t="str">
        <f>IF(E565="","",IF(INDEX(DiemHKI!$DE$4:$DH$58,MATCH(PDHKI!E565,DiemHKI!$B$4:$B$58,0),1)="","","- "&amp;INDEX(DiemHKI!$DE$4:$DH$58,MATCH(PDHKI!E565,DiemHKI!$B$4:$B$58,0),1)))</f>
        <v/>
      </c>
      <c r="H552" s="571"/>
    </row>
    <row r="553" spans="1:8" ht="18" customHeight="1">
      <c r="A553" s="59" t="str">
        <f>IF(E565="","",IF(INDEX(DiemHKI!$DE$4:$DH$58,MATCH(PDHKI!E565,DiemHKI!$B$4:$B$58,0),2)="","","- "&amp;INDEX(DiemHKI!$DE$4:$DH$58,MATCH(PDHKI!E565,DiemHKI!$B$4:$B$58,0),2)))</f>
        <v/>
      </c>
    </row>
    <row r="554" spans="1:8" ht="18" customHeight="1">
      <c r="A554" s="59" t="str">
        <f>IF(E565="","",IF(INDEX(DiemHKI!$DE$4:$DH$58,MATCH(PDHKI!E565,DiemHKI!$B$4:$B$58,0),3)="","","- "&amp;INDEX(DiemHKI!$DE$4:$DH$58,MATCH(PDHKI!E565,DiemHKI!$B$4:$B$58,0),3)))</f>
        <v/>
      </c>
    </row>
    <row r="555" spans="1:8" ht="18" customHeight="1">
      <c r="A555" s="59" t="str">
        <f>IF(E565="","",IF(INDEX(DiemHKI!$DE$4:$DH$58,MATCH(PDHKI!E565,DiemHKI!$B$4:$B$58,0),4)="","","- "&amp;INDEX(DiemHKI!$DE$4:$DH$58,MATCH(PDHKI!E565,DiemHKI!$B$4:$B$58,0),4)))</f>
        <v/>
      </c>
    </row>
    <row r="556" spans="1:8" ht="6.75" customHeight="1"/>
    <row r="557" spans="1:8" ht="16.5" customHeight="1">
      <c r="A557" s="61"/>
      <c r="C557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557" s="1026"/>
      <c r="E557" s="1026"/>
    </row>
    <row r="558" spans="1:8" ht="21.75" customHeight="1">
      <c r="A558" s="923" t="str">
        <f>IF($D$41="Hiệu trưởng","Giáo viên Quản nhiệm","")</f>
        <v>Giáo viên Quản nhiệm</v>
      </c>
      <c r="B558" s="923"/>
      <c r="C558" s="923"/>
      <c r="D558" s="707" t="str">
        <f>IF($G$5="","",$G$5)</f>
        <v>Hiệu trưởng</v>
      </c>
      <c r="E558" s="708"/>
    </row>
    <row r="559" spans="1:8" ht="15" customHeight="1">
      <c r="A559" s="61"/>
      <c r="B559" s="61"/>
      <c r="C559" s="61"/>
      <c r="D559" s="66"/>
      <c r="E559" s="66"/>
    </row>
    <row r="560" spans="1:8" ht="15" customHeight="1">
      <c r="A560" s="61"/>
      <c r="B560" s="61"/>
      <c r="C560" s="61"/>
      <c r="D560" s="66"/>
      <c r="E560" s="66"/>
    </row>
    <row r="561" spans="1:5" ht="15" customHeight="1">
      <c r="A561" s="61"/>
      <c r="B561" s="61"/>
      <c r="C561" s="61"/>
    </row>
    <row r="562" spans="1:5" ht="15" customHeight="1">
      <c r="A562" s="61"/>
      <c r="B562" s="61"/>
      <c r="C562" s="61"/>
    </row>
    <row r="563" spans="1:5" ht="16.5" customHeight="1">
      <c r="A563" s="1012" t="str">
        <f>IF($A$41="","",PROPER('Huong dan'!$C$4))</f>
        <v/>
      </c>
      <c r="B563" s="1012"/>
      <c r="C563" s="1012"/>
      <c r="D563" s="833" t="str">
        <f>IFERROR(IF($D$41="Giáo Viên Quản nhiệm",PROPER('Huong dan'!$C$4),IF($D$41="Hiệu trưởng",PROPER('Huong dan'!$E$5),"")),"")</f>
        <v/>
      </c>
      <c r="E563" s="708"/>
    </row>
    <row r="564" spans="1:5" ht="12.75" customHeight="1"/>
    <row r="565" spans="1:5" ht="12.75" customHeight="1">
      <c r="A565" s="709"/>
      <c r="B565" s="709"/>
      <c r="C565" s="709"/>
      <c r="D565" s="710"/>
      <c r="E565" s="711">
        <f>IF(E518="","",IF(E518&lt;MAX(DiemHKI!$B$4:$B$58),E518+1,""))</f>
        <v>12</v>
      </c>
    </row>
    <row r="566" spans="1:5" ht="8.25" customHeight="1">
      <c r="A566" s="709"/>
      <c r="B566" s="709"/>
      <c r="C566" s="709"/>
      <c r="D566" s="709"/>
      <c r="E566" s="709"/>
    </row>
    <row r="567" spans="1:5" ht="5.25" customHeight="1"/>
    <row r="568" spans="1:5" s="563" customFormat="1" ht="23.25" customHeight="1">
      <c r="A568" s="931" t="str">
        <f>IF('Huong dan'!$E$3&lt;&gt;"","SỞ GIÁO DỤC VÀ ĐÀO TẠO "&amp;UPPER('Huong dan'!$E$3),"")</f>
        <v>SỞ GIÁO DỤC VÀ ĐÀO TẠO TP. HỒ CHÍ MINH</v>
      </c>
      <c r="B568" s="931"/>
      <c r="C568" s="931"/>
      <c r="D568" s="923" t="s">
        <v>19</v>
      </c>
      <c r="E568" s="923"/>
    </row>
    <row r="569" spans="1:5" ht="17.25" customHeight="1">
      <c r="A569" s="931" t="str">
        <f>IF('Huong dan'!$E$4&lt;&gt;"","TRƯỜNG "&amp;UPPER('Huong dan'!$E$4),"")</f>
        <v>TRƯỜNG THCS VÀ THPT NGUYỄN KHUYẾN</v>
      </c>
      <c r="B569" s="931"/>
      <c r="C569" s="931"/>
      <c r="D569" s="1012" t="s">
        <v>179</v>
      </c>
      <c r="E569" s="1012"/>
    </row>
    <row r="570" spans="1:5" ht="24" customHeight="1">
      <c r="A570" s="61"/>
      <c r="B570" s="61"/>
      <c r="C570" s="61"/>
    </row>
    <row r="571" spans="1:5" ht="29.25" customHeight="1">
      <c r="A571" s="1013" t="str">
        <f>"PHIẾU ĐIỂM HỌC KỲ I - NĂM HỌC "&amp;'Huong dan'!$C$5</f>
        <v>PHIẾU ĐIỂM HỌC KỲ I - NĂM HỌC 2021 - 2022</v>
      </c>
      <c r="B571" s="1013"/>
      <c r="C571" s="1013"/>
      <c r="D571" s="1013"/>
      <c r="E571" s="1013"/>
    </row>
    <row r="572" spans="1:5" ht="15.75" customHeight="1">
      <c r="A572" s="680"/>
      <c r="B572" s="680"/>
    </row>
    <row r="573" spans="1:5" ht="21" customHeight="1">
      <c r="A573" s="1014" t="s">
        <v>145</v>
      </c>
      <c r="B573" s="1014"/>
      <c r="C573" s="1015" t="str">
        <f>IF(E612="","",INDEX(DiemHKI!$D$4:$D$58,MATCH(E612,DiemHKI!$B$4:$B$58,0),1)&amp;" "&amp;INDEX(DiemHKI!$E$4:$E$58,MATCH(E612,DiemHKI!$B$4:$B$58,0),1))</f>
        <v>Nguyễn Thị Thu  Hiền</v>
      </c>
      <c r="D573" s="1015"/>
      <c r="E573" s="62" t="str">
        <f>IF('Huong dan'!$C$3="","","Lớp: "&amp;'Huong dan'!$C$3)</f>
        <v>Lớp: 12A1</v>
      </c>
    </row>
    <row r="574" spans="1:5" ht="23.25" customHeight="1">
      <c r="A574" s="1014" t="s">
        <v>146</v>
      </c>
      <c r="B574" s="1014"/>
      <c r="C574" s="681" t="str">
        <f>IF(E612="","",INDEX(DiemHKI!$F$4:$F$58,MATCH(PDHKI!E612,DiemHKI!$B$4:$B$58,0),1))</f>
        <v>20/05/2004</v>
      </c>
      <c r="D574" s="1016" t="str">
        <f>IF(E612="","","Nơi sinh: "&amp;INDEX(DiemHKI!$G$4:$G$58,MATCH(PDHKI!E612,DiemHKI!$B$4:$B$58,0),1))</f>
        <v>Nơi sinh: Thái Bình</v>
      </c>
      <c r="E574" s="1016"/>
    </row>
    <row r="575" spans="1:5" ht="13.5" customHeight="1" thickBot="1">
      <c r="A575" s="681"/>
      <c r="B575" s="682"/>
      <c r="D575" s="681"/>
      <c r="E575" s="681"/>
    </row>
    <row r="576" spans="1:5" ht="24" customHeight="1" thickBot="1">
      <c r="A576" s="683" t="s">
        <v>0</v>
      </c>
      <c r="B576" s="1006" t="s">
        <v>72</v>
      </c>
      <c r="C576" s="1007"/>
      <c r="D576" s="684" t="s">
        <v>147</v>
      </c>
      <c r="E576" s="685" t="s">
        <v>148</v>
      </c>
    </row>
    <row r="577" spans="1:11" ht="21" customHeight="1">
      <c r="A577" s="686">
        <v>1</v>
      </c>
      <c r="B577" s="1017" t="s">
        <v>26</v>
      </c>
      <c r="C577" s="1018"/>
      <c r="D577" s="687">
        <f>IF(E612="","",IF(INDEX(THHKI!$A$8:$Y$62,MATCH(PDHKI!E612,THHKI!$A$8:$A$62,0),INDEX($K$13:$K$27,MATCH(B577,$J$13:$J$27,0),1))&lt;1,"/",INDEX(THHKI!$A$8:$Y$62,MATCH(PDHKI!E612,THHKI!$A$8:$A$62,0),INDEX($K$13:$K$27,MATCH(B577,$J$13:$J$27,0),1))))</f>
        <v>9.8000000000000007</v>
      </c>
      <c r="E577" s="688"/>
      <c r="J577" s="569" t="s">
        <v>26</v>
      </c>
      <c r="K577" s="569">
        <v>7</v>
      </c>
    </row>
    <row r="578" spans="1:11" ht="21" customHeight="1">
      <c r="A578" s="689">
        <v>2</v>
      </c>
      <c r="B578" s="1008" t="s">
        <v>27</v>
      </c>
      <c r="C578" s="1009"/>
      <c r="D578" s="690">
        <f>IF(E612="","",IF(INDEX(THHKI!$A$8:$Y$62,MATCH(PDHKI!E612,THHKI!$A$8:$A$62,0),INDEX($K$13:$K$27,MATCH(B578,$J$13:$J$27,0),1))&lt;1,"/",INDEX(THHKI!$A$8:$Y$62,MATCH(PDHKI!E612,THHKI!$A$8:$A$62,0),INDEX($K$13:$K$27,MATCH(B578,$J$13:$J$27,0),1))))</f>
        <v>9.9</v>
      </c>
      <c r="E578" s="691"/>
      <c r="J578" s="569" t="s">
        <v>27</v>
      </c>
      <c r="K578" s="569">
        <v>8</v>
      </c>
    </row>
    <row r="579" spans="1:11" ht="21" customHeight="1">
      <c r="A579" s="689">
        <v>3</v>
      </c>
      <c r="B579" s="1008" t="s">
        <v>28</v>
      </c>
      <c r="C579" s="1009"/>
      <c r="D579" s="690">
        <f>IF(E612="","",IF(INDEX(THHKI!$A$8:$Y$62,MATCH(PDHKI!E612,THHKI!$A$8:$A$62,0),INDEX($K$13:$K$27,MATCH(B579,$J$13:$J$27,0),1))&lt;1,"/",INDEX(THHKI!$A$8:$Y$62,MATCH(PDHKI!E612,THHKI!$A$8:$A$62,0),INDEX($K$13:$K$27,MATCH(B579,$J$13:$J$27,0),1))))</f>
        <v>9.6</v>
      </c>
      <c r="E579" s="691"/>
      <c r="J579" s="569" t="s">
        <v>28</v>
      </c>
      <c r="K579" s="569">
        <v>9</v>
      </c>
    </row>
    <row r="580" spans="1:11" ht="21" customHeight="1">
      <c r="A580" s="689">
        <v>4</v>
      </c>
      <c r="B580" s="1008" t="s">
        <v>29</v>
      </c>
      <c r="C580" s="1009"/>
      <c r="D580" s="690">
        <f>IF(E612="","",IF(INDEX(THHKI!$A$8:$Y$62,MATCH(PDHKI!E612,THHKI!$A$8:$A$62,0),INDEX($K$13:$K$27,MATCH(B580,$J$13:$J$27,0),1))&lt;1,"/",INDEX(THHKI!$A$8:$Y$62,MATCH(PDHKI!E612,THHKI!$A$8:$A$62,0),INDEX($K$13:$K$27,MATCH(B580,$J$13:$J$27,0),1))))</f>
        <v>9.3000000000000007</v>
      </c>
      <c r="E580" s="691"/>
      <c r="J580" s="569" t="s">
        <v>29</v>
      </c>
      <c r="K580" s="569">
        <v>10</v>
      </c>
    </row>
    <row r="581" spans="1:11" ht="21" customHeight="1">
      <c r="A581" s="689">
        <v>5</v>
      </c>
      <c r="B581" s="1008" t="s">
        <v>120</v>
      </c>
      <c r="C581" s="1009"/>
      <c r="D581" s="690">
        <f>IF(E612="","",IF(INDEX(THHKI!$A$8:$Y$62,MATCH(PDHKI!E612,THHKI!$A$8:$A$62,0),INDEX($K$13:$K$27,MATCH(B581,$J$13:$J$27,0),1))&lt;1,"/",INDEX(THHKI!$A$8:$Y$62,MATCH(PDHKI!E612,THHKI!$A$8:$A$62,0),INDEX($K$13:$K$27,MATCH(B581,$J$13:$J$27,0),1))))</f>
        <v>9.6</v>
      </c>
      <c r="E581" s="691"/>
      <c r="J581" s="569" t="s">
        <v>120</v>
      </c>
      <c r="K581" s="569">
        <v>11</v>
      </c>
    </row>
    <row r="582" spans="1:11" ht="21" customHeight="1">
      <c r="A582" s="689">
        <v>6</v>
      </c>
      <c r="B582" s="1008" t="s">
        <v>30</v>
      </c>
      <c r="C582" s="1009"/>
      <c r="D582" s="690">
        <f>IF(E612="","",IF(INDEX(THHKI!$A$8:$Y$62,MATCH(PDHKI!E612,THHKI!$A$8:$A$62,0),INDEX($K$13:$K$27,MATCH(B582,$J$13:$J$27,0),1))&lt;1,"/",INDEX(THHKI!$A$8:$Y$62,MATCH(PDHKI!E612,THHKI!$A$8:$A$62,0),INDEX($K$13:$K$27,MATCH(B582,$J$13:$J$27,0),1))))</f>
        <v>8.3000000000000007</v>
      </c>
      <c r="E582" s="691"/>
      <c r="J582" s="569" t="s">
        <v>30</v>
      </c>
      <c r="K582" s="569">
        <v>12</v>
      </c>
    </row>
    <row r="583" spans="1:11" ht="21" customHeight="1">
      <c r="A583" s="689">
        <v>7</v>
      </c>
      <c r="B583" s="1008" t="s">
        <v>31</v>
      </c>
      <c r="C583" s="1009"/>
      <c r="D583" s="690">
        <f>IF(E612="","",IF(INDEX(THHKI!$A$8:$Y$62,MATCH(PDHKI!E612,THHKI!$A$8:$A$62,0),INDEX($K$13:$K$27,MATCH(B583,$J$13:$J$27,0),1))&lt;1,"/",INDEX(THHKI!$A$8:$Y$62,MATCH(PDHKI!E612,THHKI!$A$8:$A$62,0),INDEX($K$13:$K$27,MATCH(B583,$J$13:$J$27,0),1))))</f>
        <v>9.9</v>
      </c>
      <c r="E583" s="691"/>
      <c r="J583" s="569" t="s">
        <v>31</v>
      </c>
      <c r="K583" s="569">
        <v>13</v>
      </c>
    </row>
    <row r="584" spans="1:11" ht="21" customHeight="1">
      <c r="A584" s="689">
        <v>8</v>
      </c>
      <c r="B584" s="1008" t="s">
        <v>32</v>
      </c>
      <c r="C584" s="1009"/>
      <c r="D584" s="690">
        <f>IF(E612="","",IF(INDEX(THHKI!$A$8:$Y$62,MATCH(PDHKI!E612,THHKI!$A$8:$A$62,0),INDEX($K$13:$K$27,MATCH(B584,$J$13:$J$27,0),1))&lt;1,"/",INDEX(THHKI!$A$8:$Y$62,MATCH(PDHKI!E612,THHKI!$A$8:$A$62,0),INDEX($K$13:$K$27,MATCH(B584,$J$13:$J$27,0),1))))</f>
        <v>9.9</v>
      </c>
      <c r="E584" s="691"/>
      <c r="J584" s="569" t="s">
        <v>32</v>
      </c>
      <c r="K584" s="569">
        <v>14</v>
      </c>
    </row>
    <row r="585" spans="1:11" ht="21" customHeight="1">
      <c r="A585" s="689">
        <v>9</v>
      </c>
      <c r="B585" s="1008" t="s">
        <v>33</v>
      </c>
      <c r="C585" s="1009"/>
      <c r="D585" s="690">
        <f>IF(E612="","",IF(INDEX(THHKI!$A$8:$Y$62,MATCH(PDHKI!E612,THHKI!$A$8:$A$62,0),INDEX($K$13:$K$27,MATCH(B585,$J$13:$J$27,0),1))&lt;1,"/",INDEX(THHKI!$A$8:$Y$62,MATCH(PDHKI!E612,THHKI!$A$8:$A$62,0),INDEX($K$13:$K$27,MATCH(B585,$J$13:$J$27,0),1))))</f>
        <v>9.4</v>
      </c>
      <c r="E585" s="691"/>
      <c r="J585" s="569" t="s">
        <v>33</v>
      </c>
      <c r="K585" s="569">
        <v>15</v>
      </c>
    </row>
    <row r="586" spans="1:11" ht="21" customHeight="1">
      <c r="A586" s="689">
        <v>10</v>
      </c>
      <c r="B586" s="1008" t="s">
        <v>60</v>
      </c>
      <c r="C586" s="1009"/>
      <c r="D586" s="690">
        <f>IF(E612="","",IF(INDEX(THHKI!$A$8:$Y$62,MATCH(PDHKI!E612,THHKI!$A$8:$A$62,0),INDEX($K$13:$K$27,MATCH(B586,$J$13:$J$27,0),1))&lt;1,"/",INDEX(THHKI!$A$8:$Y$62,MATCH(PDHKI!E612,THHKI!$A$8:$A$62,0),INDEX($K$13:$K$27,MATCH(B586,$J$13:$J$27,0),1))))</f>
        <v>9.4</v>
      </c>
      <c r="E586" s="691"/>
      <c r="J586" s="569" t="s">
        <v>60</v>
      </c>
      <c r="K586" s="569">
        <v>16</v>
      </c>
    </row>
    <row r="587" spans="1:11" ht="21" customHeight="1">
      <c r="A587" s="689">
        <v>11</v>
      </c>
      <c r="B587" s="1008" t="s">
        <v>34</v>
      </c>
      <c r="C587" s="1009"/>
      <c r="D587" s="690">
        <f>IF(E612="","",IF(INDEX(THHKI!$A$8:$Y$62,MATCH(PDHKI!E612,THHKI!$A$8:$A$62,0),INDEX($K$13:$K$27,MATCH(B587,$J$13:$J$27,0),1))&lt;1,"/",INDEX(THHKI!$A$8:$Y$62,MATCH(PDHKI!E612,THHKI!$A$8:$A$62,0),INDEX($K$13:$K$27,MATCH(B587,$J$13:$J$27,0),1))))</f>
        <v>9.9</v>
      </c>
      <c r="E587" s="691"/>
      <c r="J587" s="569" t="s">
        <v>34</v>
      </c>
      <c r="K587" s="569">
        <v>17</v>
      </c>
    </row>
    <row r="588" spans="1:11" ht="21" customHeight="1">
      <c r="A588" s="689">
        <v>12</v>
      </c>
      <c r="B588" s="1008" t="s">
        <v>35</v>
      </c>
      <c r="C588" s="1009"/>
      <c r="D588" s="690" t="str">
        <f>IF(E612="","",IF(INDEX(THHKI!$A$8:$Y$62,MATCH(PDHKI!E612,THHKI!$A$8:$A$62,0),INDEX($K$13:$K$27,MATCH(B588,$J$13:$J$27,0),1))&lt;1,"/",INDEX(THHKI!$A$8:$Y$62,MATCH(PDHKI!E612,THHKI!$A$8:$A$62,0),INDEX($K$13:$K$27,MATCH(B588,$J$13:$J$27,0),1))))</f>
        <v>Đ</v>
      </c>
      <c r="E588" s="691"/>
      <c r="J588" s="569" t="s">
        <v>35</v>
      </c>
      <c r="K588" s="569">
        <v>18</v>
      </c>
    </row>
    <row r="589" spans="1:11" ht="21" customHeight="1">
      <c r="A589" s="689">
        <v>13</v>
      </c>
      <c r="B589" s="1008" t="s">
        <v>121</v>
      </c>
      <c r="C589" s="1009"/>
      <c r="D589" s="690">
        <f>IF(E612="","",IF(INDEX(THHKI!$A$8:$Y$62,MATCH(PDHKI!E612,THHKI!$A$8:$A$62,0),INDEX($K$13:$K$27,MATCH(B589,$J$13:$J$27,0),1))&lt;1,"/",INDEX(THHKI!$A$8:$Y$62,MATCH(PDHKI!E612,THHKI!$A$8:$A$62,0),INDEX($K$13:$K$27,MATCH(B589,$J$13:$J$27,0),1))))</f>
        <v>9.4</v>
      </c>
      <c r="E589" s="691"/>
      <c r="J589" s="569" t="s">
        <v>22</v>
      </c>
      <c r="K589" s="569">
        <v>19</v>
      </c>
    </row>
    <row r="590" spans="1:11" ht="21" customHeight="1" thickBot="1">
      <c r="A590" s="692">
        <v>14</v>
      </c>
      <c r="B590" s="1010" t="s">
        <v>122</v>
      </c>
      <c r="C590" s="1011"/>
      <c r="D590" s="693" t="str">
        <f>IF(E612="","",IF(INDEX(THHKI!$A$8:$Y$62,MATCH(PDHKI!E612,THHKI!$A$8:$A$62,0),INDEX($K$13:$K$27,MATCH(B590,$J$13:$J$27,0),1))&lt;1,"/",INDEX(THHKI!$A$8:$Y$62,MATCH(PDHKI!E612,THHKI!$A$8:$A$62,0),INDEX($K$13:$K$27,MATCH(B590,$J$13:$J$27,0),1))))</f>
        <v/>
      </c>
      <c r="E590" s="694"/>
      <c r="J590" s="569" t="s">
        <v>121</v>
      </c>
      <c r="K590" s="569">
        <v>20</v>
      </c>
    </row>
    <row r="591" spans="1:11" ht="21" customHeight="1" thickBot="1">
      <c r="A591" s="695">
        <v>15</v>
      </c>
      <c r="B591" s="1006" t="s">
        <v>149</v>
      </c>
      <c r="C591" s="1007"/>
      <c r="D591" s="696">
        <f>IF(E612="","",IF(INDEX(THHKI!$A$8:$Y$62,MATCH(PDHKI!E612,THHKI!$A$8:$A$62,0),22)&lt;1,"/",INDEX(THHKI!$A$8:$Y$62,MATCH(PDHKI!E612,THHKI!$A$8:$A$62,0),22)))</f>
        <v>9.5</v>
      </c>
      <c r="E591" s="697"/>
      <c r="J591" s="569" t="s">
        <v>122</v>
      </c>
      <c r="K591" s="569">
        <v>21</v>
      </c>
    </row>
    <row r="592" spans="1:11" ht="15.75" customHeight="1" thickBot="1"/>
    <row r="593" spans="1:8" s="570" customFormat="1" ht="21" customHeight="1">
      <c r="A593" s="698"/>
      <c r="B593" s="1019" t="s">
        <v>150</v>
      </c>
      <c r="C593" s="1020"/>
      <c r="D593" s="699" t="s">
        <v>10</v>
      </c>
      <c r="E593" s="700" t="s">
        <v>126</v>
      </c>
    </row>
    <row r="594" spans="1:8" ht="21" customHeight="1">
      <c r="A594" s="701">
        <v>16</v>
      </c>
      <c r="B594" s="1021" t="s">
        <v>151</v>
      </c>
      <c r="C594" s="1022"/>
      <c r="D594" s="702" t="str">
        <f>IF(E612="","",IF(INDEX(THHKI!$A$8:$Y$62,MATCH(PDHKI!E612,THHKI!$A$8:$A$62,0),23)="","/",INDEX(THHKI!$A$8:$Y$62,MATCH(PDHKI!E612,THHKI!$A$8:$A$62,0),23)))</f>
        <v>Giỏi</v>
      </c>
      <c r="E594" s="703"/>
    </row>
    <row r="595" spans="1:8" ht="21" customHeight="1">
      <c r="A595" s="701">
        <v>17</v>
      </c>
      <c r="B595" s="1021" t="s">
        <v>152</v>
      </c>
      <c r="C595" s="1022"/>
      <c r="D595" s="702" t="str">
        <f>IF(E612="","",IF(INDEX(THHKI!$A$8:$Y$62,MATCH(PDHKI!E612,THHKI!$A$8:$A$62,0),24)="","/",INDEX(THHKI!$A$8:$Y$62,MATCH(PDHKI!E612,THHKI!$A$8:$A$62,0),24)))</f>
        <v>Tốt</v>
      </c>
      <c r="E595" s="703"/>
    </row>
    <row r="596" spans="1:8" ht="21" customHeight="1" thickBot="1">
      <c r="A596" s="704">
        <v>18</v>
      </c>
      <c r="B596" s="1023" t="s">
        <v>153</v>
      </c>
      <c r="C596" s="1024"/>
      <c r="D596" s="705" t="str">
        <f>IF(E612="","",IF(INDEX(THHKI!$A$8:$Y$62,MATCH(PDHKI!E612,THHKI!$A$8:$A$62,0),25)="","/",INDEX(THHKI!$A$8:$Y$62,MATCH(PDHKI!E612,THHKI!$A$8:$A$62,0),25)))</f>
        <v>HSG</v>
      </c>
      <c r="E596" s="706"/>
    </row>
    <row r="597" spans="1:8" ht="9.75" customHeight="1"/>
    <row r="598" spans="1:8" ht="15.75" customHeight="1">
      <c r="A598" s="58" t="s">
        <v>219</v>
      </c>
    </row>
    <row r="599" spans="1:8" ht="18" customHeight="1">
      <c r="A599" s="59" t="str">
        <f>IF(E612="","",IF(INDEX(DiemHKI!$DE$4:$DH$58,MATCH(PDHKI!E612,DiemHKI!$B$4:$B$58,0),1)="","","- "&amp;INDEX(DiemHKI!$DE$4:$DH$58,MATCH(PDHKI!E612,DiemHKI!$B$4:$B$58,0),1)))</f>
        <v/>
      </c>
      <c r="H599" s="571"/>
    </row>
    <row r="600" spans="1:8" ht="18" customHeight="1">
      <c r="A600" s="59" t="str">
        <f>IF(E612="","",IF(INDEX(DiemHKI!$DE$4:$DH$58,MATCH(PDHKI!E612,DiemHKI!$B$4:$B$58,0),2)="","","- "&amp;INDEX(DiemHKI!$DE$4:$DH$58,MATCH(PDHKI!E612,DiemHKI!$B$4:$B$58,0),2)))</f>
        <v/>
      </c>
    </row>
    <row r="601" spans="1:8" ht="18" customHeight="1">
      <c r="A601" s="59" t="str">
        <f>IF(E612="","",IF(INDEX(DiemHKI!$DE$4:$DH$58,MATCH(PDHKI!E612,DiemHKI!$B$4:$B$58,0),3)="","","- "&amp;INDEX(DiemHKI!$DE$4:$DH$58,MATCH(PDHKI!E612,DiemHKI!$B$4:$B$58,0),3)))</f>
        <v/>
      </c>
    </row>
    <row r="602" spans="1:8" ht="18" customHeight="1">
      <c r="A602" s="59" t="str">
        <f>IF(E612="","",IF(INDEX(DiemHKI!$DE$4:$DH$58,MATCH(PDHKI!E612,DiemHKI!$B$4:$B$58,0),4)="","","- "&amp;INDEX(DiemHKI!$DE$4:$DH$58,MATCH(PDHKI!E612,DiemHKI!$B$4:$B$58,0),4)))</f>
        <v/>
      </c>
    </row>
    <row r="603" spans="1:8" ht="6.75" customHeight="1"/>
    <row r="604" spans="1:8" ht="16.5" customHeight="1">
      <c r="A604" s="61"/>
      <c r="C604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604" s="1026"/>
      <c r="E604" s="1026"/>
    </row>
    <row r="605" spans="1:8" ht="21.75" customHeight="1">
      <c r="A605" s="923" t="str">
        <f>IF($D$41="Hiệu trưởng","Giáo viên Quản nhiệm","")</f>
        <v>Giáo viên Quản nhiệm</v>
      </c>
      <c r="B605" s="923"/>
      <c r="C605" s="923"/>
      <c r="D605" s="707" t="str">
        <f>IF($G$5="","",$G$5)</f>
        <v>Hiệu trưởng</v>
      </c>
      <c r="E605" s="708"/>
    </row>
    <row r="606" spans="1:8" ht="15" customHeight="1">
      <c r="A606" s="61"/>
      <c r="B606" s="61"/>
      <c r="C606" s="61"/>
      <c r="D606" s="66"/>
      <c r="E606" s="66"/>
    </row>
    <row r="607" spans="1:8" ht="15" customHeight="1">
      <c r="A607" s="61"/>
      <c r="B607" s="61"/>
      <c r="C607" s="61"/>
      <c r="D607" s="66"/>
      <c r="E607" s="66"/>
    </row>
    <row r="608" spans="1:8" ht="15" customHeight="1">
      <c r="A608" s="61"/>
      <c r="B608" s="61"/>
      <c r="C608" s="61"/>
    </row>
    <row r="609" spans="1:11" ht="15" customHeight="1">
      <c r="A609" s="61"/>
      <c r="B609" s="61"/>
      <c r="C609" s="61"/>
    </row>
    <row r="610" spans="1:11" ht="16.5" customHeight="1">
      <c r="A610" s="1012" t="str">
        <f>IF($A$41="","",PROPER('Huong dan'!$C$4))</f>
        <v/>
      </c>
      <c r="B610" s="1012"/>
      <c r="C610" s="1012"/>
      <c r="D610" s="833" t="str">
        <f>IFERROR(IF($D$41="Giáo Viên Quản nhiệm",PROPER('Huong dan'!$C$4),IF($D$41="Hiệu trưởng",PROPER('Huong dan'!$E$5),"")),"")</f>
        <v/>
      </c>
      <c r="E610" s="708"/>
    </row>
    <row r="611" spans="1:11" ht="12.75" customHeight="1"/>
    <row r="612" spans="1:11" ht="12.75" customHeight="1">
      <c r="A612" s="709"/>
      <c r="B612" s="709"/>
      <c r="C612" s="709"/>
      <c r="D612" s="710"/>
      <c r="E612" s="711">
        <f>IF(E565="","",IF(E565&lt;MAX(DiemHKI!$B$4:$B$58),E565+1,""))</f>
        <v>13</v>
      </c>
    </row>
    <row r="613" spans="1:11" ht="8.25" customHeight="1">
      <c r="A613" s="709"/>
      <c r="B613" s="709"/>
      <c r="C613" s="709"/>
      <c r="D613" s="709"/>
      <c r="E613" s="709"/>
    </row>
    <row r="614" spans="1:11" ht="5.25" customHeight="1"/>
    <row r="615" spans="1:11" s="563" customFormat="1" ht="23.25" customHeight="1">
      <c r="A615" s="931" t="str">
        <f>IF('Huong dan'!$E$3&lt;&gt;"","SỞ GIÁO DỤC VÀ ĐÀO TẠO "&amp;UPPER('Huong dan'!$E$3),"")</f>
        <v>SỞ GIÁO DỤC VÀ ĐÀO TẠO TP. HỒ CHÍ MINH</v>
      </c>
      <c r="B615" s="931"/>
      <c r="C615" s="931"/>
      <c r="D615" s="923" t="s">
        <v>19</v>
      </c>
      <c r="E615" s="923"/>
    </row>
    <row r="616" spans="1:11" ht="17.25" customHeight="1">
      <c r="A616" s="931" t="str">
        <f>IF('Huong dan'!$E$4&lt;&gt;"","TRƯỜNG "&amp;UPPER('Huong dan'!$E$4),"")</f>
        <v>TRƯỜNG THCS VÀ THPT NGUYỄN KHUYẾN</v>
      </c>
      <c r="B616" s="931"/>
      <c r="C616" s="931"/>
      <c r="D616" s="1012" t="s">
        <v>179</v>
      </c>
      <c r="E616" s="1012"/>
    </row>
    <row r="617" spans="1:11" ht="24" customHeight="1">
      <c r="A617" s="61"/>
      <c r="B617" s="61"/>
      <c r="C617" s="61"/>
    </row>
    <row r="618" spans="1:11" ht="29.25" customHeight="1">
      <c r="A618" s="1013" t="str">
        <f>"PHIẾU ĐIỂM HỌC KỲ I - NĂM HỌC "&amp;'Huong dan'!$C$5</f>
        <v>PHIẾU ĐIỂM HỌC KỲ I - NĂM HỌC 2021 - 2022</v>
      </c>
      <c r="B618" s="1013"/>
      <c r="C618" s="1013"/>
      <c r="D618" s="1013"/>
      <c r="E618" s="1013"/>
    </row>
    <row r="619" spans="1:11" ht="15.75" customHeight="1">
      <c r="A619" s="680"/>
      <c r="B619" s="680"/>
    </row>
    <row r="620" spans="1:11" ht="21" customHeight="1">
      <c r="A620" s="1014" t="s">
        <v>145</v>
      </c>
      <c r="B620" s="1014"/>
      <c r="C620" s="1015" t="str">
        <f>IF(E659="","",INDEX(DiemHKI!$D$4:$D$58,MATCH(E659,DiemHKI!$B$4:$B$58,0),1)&amp;" "&amp;INDEX(DiemHKI!$E$4:$E$58,MATCH(E659,DiemHKI!$B$4:$B$58,0),1))</f>
        <v>Lê Phan Ngọc Hiếu</v>
      </c>
      <c r="D620" s="1015"/>
      <c r="E620" s="62" t="str">
        <f>IF('Huong dan'!$C$3="","","Lớp: "&amp;'Huong dan'!$C$3)</f>
        <v>Lớp: 12A1</v>
      </c>
    </row>
    <row r="621" spans="1:11" ht="23.25" customHeight="1">
      <c r="A621" s="1014" t="s">
        <v>146</v>
      </c>
      <c r="B621" s="1014"/>
      <c r="C621" s="681" t="str">
        <f>IF(E659="","",INDEX(DiemHKI!$F$4:$F$58,MATCH(PDHKI!E659,DiemHKI!$B$4:$B$58,0),1))</f>
        <v>01/02/2004</v>
      </c>
      <c r="D621" s="1016" t="str">
        <f>IF(E659="","","Nơi sinh: "&amp;INDEX(DiemHKI!$G$4:$G$58,MATCH(PDHKI!E659,DiemHKI!$B$4:$B$58,0),1))</f>
        <v>Nơi sinh: TP. Hồ Chí Minh</v>
      </c>
      <c r="E621" s="1016"/>
    </row>
    <row r="622" spans="1:11" ht="13.5" customHeight="1" thickBot="1">
      <c r="A622" s="681"/>
      <c r="B622" s="682"/>
      <c r="D622" s="681"/>
      <c r="E622" s="681"/>
    </row>
    <row r="623" spans="1:11" ht="24" customHeight="1" thickBot="1">
      <c r="A623" s="683" t="s">
        <v>0</v>
      </c>
      <c r="B623" s="1006" t="s">
        <v>72</v>
      </c>
      <c r="C623" s="1007"/>
      <c r="D623" s="684" t="s">
        <v>147</v>
      </c>
      <c r="E623" s="685" t="s">
        <v>148</v>
      </c>
    </row>
    <row r="624" spans="1:11" ht="21" customHeight="1">
      <c r="A624" s="686">
        <v>1</v>
      </c>
      <c r="B624" s="1017" t="s">
        <v>26</v>
      </c>
      <c r="C624" s="1018"/>
      <c r="D624" s="687">
        <f>IF(E659="","",IF(INDEX(THHKI!$A$8:$Y$62,MATCH(PDHKI!E659,THHKI!$A$8:$A$62,0),INDEX($K$13:$K$27,MATCH(B624,$J$13:$J$27,0),1))&lt;1,"/",INDEX(THHKI!$A$8:$Y$62,MATCH(PDHKI!E659,THHKI!$A$8:$A$62,0),INDEX($K$13:$K$27,MATCH(B624,$J$13:$J$27,0),1))))</f>
        <v>9.9</v>
      </c>
      <c r="E624" s="688"/>
      <c r="J624" s="569" t="s">
        <v>26</v>
      </c>
      <c r="K624" s="569">
        <v>7</v>
      </c>
    </row>
    <row r="625" spans="1:11" ht="21" customHeight="1">
      <c r="A625" s="689">
        <v>2</v>
      </c>
      <c r="B625" s="1008" t="s">
        <v>27</v>
      </c>
      <c r="C625" s="1009"/>
      <c r="D625" s="690">
        <f>IF(E659="","",IF(INDEX(THHKI!$A$8:$Y$62,MATCH(PDHKI!E659,THHKI!$A$8:$A$62,0),INDEX($K$13:$K$27,MATCH(B625,$J$13:$J$27,0),1))&lt;1,"/",INDEX(THHKI!$A$8:$Y$62,MATCH(PDHKI!E659,THHKI!$A$8:$A$62,0),INDEX($K$13:$K$27,MATCH(B625,$J$13:$J$27,0),1))))</f>
        <v>9.9</v>
      </c>
      <c r="E625" s="691"/>
      <c r="J625" s="569" t="s">
        <v>27</v>
      </c>
      <c r="K625" s="569">
        <v>8</v>
      </c>
    </row>
    <row r="626" spans="1:11" ht="21" customHeight="1">
      <c r="A626" s="689">
        <v>3</v>
      </c>
      <c r="B626" s="1008" t="s">
        <v>28</v>
      </c>
      <c r="C626" s="1009"/>
      <c r="D626" s="690">
        <f>IF(E659="","",IF(INDEX(THHKI!$A$8:$Y$62,MATCH(PDHKI!E659,THHKI!$A$8:$A$62,0),INDEX($K$13:$K$27,MATCH(B626,$J$13:$J$27,0),1))&lt;1,"/",INDEX(THHKI!$A$8:$Y$62,MATCH(PDHKI!E659,THHKI!$A$8:$A$62,0),INDEX($K$13:$K$27,MATCH(B626,$J$13:$J$27,0),1))))</f>
        <v>9.1999999999999993</v>
      </c>
      <c r="E626" s="691"/>
      <c r="J626" s="569" t="s">
        <v>28</v>
      </c>
      <c r="K626" s="569">
        <v>9</v>
      </c>
    </row>
    <row r="627" spans="1:11" ht="21" customHeight="1">
      <c r="A627" s="689">
        <v>4</v>
      </c>
      <c r="B627" s="1008" t="s">
        <v>29</v>
      </c>
      <c r="C627" s="1009"/>
      <c r="D627" s="690">
        <f>IF(E659="","",IF(INDEX(THHKI!$A$8:$Y$62,MATCH(PDHKI!E659,THHKI!$A$8:$A$62,0),INDEX($K$13:$K$27,MATCH(B627,$J$13:$J$27,0),1))&lt;1,"/",INDEX(THHKI!$A$8:$Y$62,MATCH(PDHKI!E659,THHKI!$A$8:$A$62,0),INDEX($K$13:$K$27,MATCH(B627,$J$13:$J$27,0),1))))</f>
        <v>9</v>
      </c>
      <c r="E627" s="691"/>
      <c r="J627" s="569" t="s">
        <v>29</v>
      </c>
      <c r="K627" s="569">
        <v>10</v>
      </c>
    </row>
    <row r="628" spans="1:11" ht="21" customHeight="1">
      <c r="A628" s="689">
        <v>5</v>
      </c>
      <c r="B628" s="1008" t="s">
        <v>120</v>
      </c>
      <c r="C628" s="1009"/>
      <c r="D628" s="690">
        <f>IF(E659="","",IF(INDEX(THHKI!$A$8:$Y$62,MATCH(PDHKI!E659,THHKI!$A$8:$A$62,0),INDEX($K$13:$K$27,MATCH(B628,$J$13:$J$27,0),1))&lt;1,"/",INDEX(THHKI!$A$8:$Y$62,MATCH(PDHKI!E659,THHKI!$A$8:$A$62,0),INDEX($K$13:$K$27,MATCH(B628,$J$13:$J$27,0),1))))</f>
        <v>9.6</v>
      </c>
      <c r="E628" s="691"/>
      <c r="J628" s="569" t="s">
        <v>120</v>
      </c>
      <c r="K628" s="569">
        <v>11</v>
      </c>
    </row>
    <row r="629" spans="1:11" ht="21" customHeight="1">
      <c r="A629" s="689">
        <v>6</v>
      </c>
      <c r="B629" s="1008" t="s">
        <v>30</v>
      </c>
      <c r="C629" s="1009"/>
      <c r="D629" s="690">
        <f>IF(E659="","",IF(INDEX(THHKI!$A$8:$Y$62,MATCH(PDHKI!E659,THHKI!$A$8:$A$62,0),INDEX($K$13:$K$27,MATCH(B629,$J$13:$J$27,0),1))&lt;1,"/",INDEX(THHKI!$A$8:$Y$62,MATCH(PDHKI!E659,THHKI!$A$8:$A$62,0),INDEX($K$13:$K$27,MATCH(B629,$J$13:$J$27,0),1))))</f>
        <v>7.2</v>
      </c>
      <c r="E629" s="691"/>
      <c r="J629" s="569" t="s">
        <v>30</v>
      </c>
      <c r="K629" s="569">
        <v>12</v>
      </c>
    </row>
    <row r="630" spans="1:11" ht="21" customHeight="1">
      <c r="A630" s="689">
        <v>7</v>
      </c>
      <c r="B630" s="1008" t="s">
        <v>31</v>
      </c>
      <c r="C630" s="1009"/>
      <c r="D630" s="690">
        <f>IF(E659="","",IF(INDEX(THHKI!$A$8:$Y$62,MATCH(PDHKI!E659,THHKI!$A$8:$A$62,0),INDEX($K$13:$K$27,MATCH(B630,$J$13:$J$27,0),1))&lt;1,"/",INDEX(THHKI!$A$8:$Y$62,MATCH(PDHKI!E659,THHKI!$A$8:$A$62,0),INDEX($K$13:$K$27,MATCH(B630,$J$13:$J$27,0),1))))</f>
        <v>9.4</v>
      </c>
      <c r="E630" s="691"/>
      <c r="J630" s="569" t="s">
        <v>31</v>
      </c>
      <c r="K630" s="569">
        <v>13</v>
      </c>
    </row>
    <row r="631" spans="1:11" ht="21" customHeight="1">
      <c r="A631" s="689">
        <v>8</v>
      </c>
      <c r="B631" s="1008" t="s">
        <v>32</v>
      </c>
      <c r="C631" s="1009"/>
      <c r="D631" s="690">
        <f>IF(E659="","",IF(INDEX(THHKI!$A$8:$Y$62,MATCH(PDHKI!E659,THHKI!$A$8:$A$62,0),INDEX($K$13:$K$27,MATCH(B631,$J$13:$J$27,0),1))&lt;1,"/",INDEX(THHKI!$A$8:$Y$62,MATCH(PDHKI!E659,THHKI!$A$8:$A$62,0),INDEX($K$13:$K$27,MATCH(B631,$J$13:$J$27,0),1))))</f>
        <v>9.3000000000000007</v>
      </c>
      <c r="E631" s="691"/>
      <c r="J631" s="569" t="s">
        <v>32</v>
      </c>
      <c r="K631" s="569">
        <v>14</v>
      </c>
    </row>
    <row r="632" spans="1:11" ht="21" customHeight="1">
      <c r="A632" s="689">
        <v>9</v>
      </c>
      <c r="B632" s="1008" t="s">
        <v>33</v>
      </c>
      <c r="C632" s="1009"/>
      <c r="D632" s="690">
        <f>IF(E659="","",IF(INDEX(THHKI!$A$8:$Y$62,MATCH(PDHKI!E659,THHKI!$A$8:$A$62,0),INDEX($K$13:$K$27,MATCH(B632,$J$13:$J$27,0),1))&lt;1,"/",INDEX(THHKI!$A$8:$Y$62,MATCH(PDHKI!E659,THHKI!$A$8:$A$62,0),INDEX($K$13:$K$27,MATCH(B632,$J$13:$J$27,0),1))))</f>
        <v>8.1999999999999993</v>
      </c>
      <c r="E632" s="691"/>
      <c r="J632" s="569" t="s">
        <v>33</v>
      </c>
      <c r="K632" s="569">
        <v>15</v>
      </c>
    </row>
    <row r="633" spans="1:11" ht="21" customHeight="1">
      <c r="A633" s="689">
        <v>10</v>
      </c>
      <c r="B633" s="1008" t="s">
        <v>60</v>
      </c>
      <c r="C633" s="1009"/>
      <c r="D633" s="690">
        <f>IF(E659="","",IF(INDEX(THHKI!$A$8:$Y$62,MATCH(PDHKI!E659,THHKI!$A$8:$A$62,0),INDEX($K$13:$K$27,MATCH(B633,$J$13:$J$27,0),1))&lt;1,"/",INDEX(THHKI!$A$8:$Y$62,MATCH(PDHKI!E659,THHKI!$A$8:$A$62,0),INDEX($K$13:$K$27,MATCH(B633,$J$13:$J$27,0),1))))</f>
        <v>9.4</v>
      </c>
      <c r="E633" s="691"/>
      <c r="J633" s="569" t="s">
        <v>60</v>
      </c>
      <c r="K633" s="569">
        <v>16</v>
      </c>
    </row>
    <row r="634" spans="1:11" ht="21" customHeight="1">
      <c r="A634" s="689">
        <v>11</v>
      </c>
      <c r="B634" s="1008" t="s">
        <v>34</v>
      </c>
      <c r="C634" s="1009"/>
      <c r="D634" s="690">
        <f>IF(E659="","",IF(INDEX(THHKI!$A$8:$Y$62,MATCH(PDHKI!E659,THHKI!$A$8:$A$62,0),INDEX($K$13:$K$27,MATCH(B634,$J$13:$J$27,0),1))&lt;1,"/",INDEX(THHKI!$A$8:$Y$62,MATCH(PDHKI!E659,THHKI!$A$8:$A$62,0),INDEX($K$13:$K$27,MATCH(B634,$J$13:$J$27,0),1))))</f>
        <v>9.9</v>
      </c>
      <c r="E634" s="691"/>
      <c r="J634" s="569" t="s">
        <v>34</v>
      </c>
      <c r="K634" s="569">
        <v>17</v>
      </c>
    </row>
    <row r="635" spans="1:11" ht="21" customHeight="1">
      <c r="A635" s="689">
        <v>12</v>
      </c>
      <c r="B635" s="1008" t="s">
        <v>35</v>
      </c>
      <c r="C635" s="1009"/>
      <c r="D635" s="690" t="str">
        <f>IF(E659="","",IF(INDEX(THHKI!$A$8:$Y$62,MATCH(PDHKI!E659,THHKI!$A$8:$A$62,0),INDEX($K$13:$K$27,MATCH(B635,$J$13:$J$27,0),1))&lt;1,"/",INDEX(THHKI!$A$8:$Y$62,MATCH(PDHKI!E659,THHKI!$A$8:$A$62,0),INDEX($K$13:$K$27,MATCH(B635,$J$13:$J$27,0),1))))</f>
        <v>Đ</v>
      </c>
      <c r="E635" s="691"/>
      <c r="J635" s="569" t="s">
        <v>35</v>
      </c>
      <c r="K635" s="569">
        <v>18</v>
      </c>
    </row>
    <row r="636" spans="1:11" ht="21" customHeight="1">
      <c r="A636" s="689">
        <v>13</v>
      </c>
      <c r="B636" s="1008" t="s">
        <v>121</v>
      </c>
      <c r="C636" s="1009"/>
      <c r="D636" s="690">
        <f>IF(E659="","",IF(INDEX(THHKI!$A$8:$Y$62,MATCH(PDHKI!E659,THHKI!$A$8:$A$62,0),INDEX($K$13:$K$27,MATCH(B636,$J$13:$J$27,0),1))&lt;1,"/",INDEX(THHKI!$A$8:$Y$62,MATCH(PDHKI!E659,THHKI!$A$8:$A$62,0),INDEX($K$13:$K$27,MATCH(B636,$J$13:$J$27,0),1))))</f>
        <v>9.9</v>
      </c>
      <c r="E636" s="691"/>
      <c r="J636" s="569" t="s">
        <v>22</v>
      </c>
      <c r="K636" s="569">
        <v>19</v>
      </c>
    </row>
    <row r="637" spans="1:11" ht="21" customHeight="1" thickBot="1">
      <c r="A637" s="692">
        <v>14</v>
      </c>
      <c r="B637" s="1010" t="s">
        <v>122</v>
      </c>
      <c r="C637" s="1011"/>
      <c r="D637" s="693" t="str">
        <f>IF(E659="","",IF(INDEX(THHKI!$A$8:$Y$62,MATCH(PDHKI!E659,THHKI!$A$8:$A$62,0),INDEX($K$13:$K$27,MATCH(B637,$J$13:$J$27,0),1))&lt;1,"/",INDEX(THHKI!$A$8:$Y$62,MATCH(PDHKI!E659,THHKI!$A$8:$A$62,0),INDEX($K$13:$K$27,MATCH(B637,$J$13:$J$27,0),1))))</f>
        <v/>
      </c>
      <c r="E637" s="694"/>
      <c r="J637" s="569" t="s">
        <v>121</v>
      </c>
      <c r="K637" s="569">
        <v>20</v>
      </c>
    </row>
    <row r="638" spans="1:11" ht="21" customHeight="1" thickBot="1">
      <c r="A638" s="695">
        <v>15</v>
      </c>
      <c r="B638" s="1006" t="s">
        <v>149</v>
      </c>
      <c r="C638" s="1007"/>
      <c r="D638" s="696">
        <f>IF(E659="","",IF(INDEX(THHKI!$A$8:$Y$62,MATCH(PDHKI!E659,THHKI!$A$8:$A$62,0),22)&lt;1,"/",INDEX(THHKI!$A$8:$Y$62,MATCH(PDHKI!E659,THHKI!$A$8:$A$62,0),22)))</f>
        <v>9.1999999999999993</v>
      </c>
      <c r="E638" s="697"/>
      <c r="J638" s="569" t="s">
        <v>122</v>
      </c>
      <c r="K638" s="569">
        <v>21</v>
      </c>
    </row>
    <row r="639" spans="1:11" ht="15.75" customHeight="1" thickBot="1"/>
    <row r="640" spans="1:11" s="570" customFormat="1" ht="21" customHeight="1">
      <c r="A640" s="698"/>
      <c r="B640" s="1019" t="s">
        <v>150</v>
      </c>
      <c r="C640" s="1020"/>
      <c r="D640" s="699" t="s">
        <v>10</v>
      </c>
      <c r="E640" s="700" t="s">
        <v>126</v>
      </c>
    </row>
    <row r="641" spans="1:8" ht="21" customHeight="1">
      <c r="A641" s="701">
        <v>16</v>
      </c>
      <c r="B641" s="1021" t="s">
        <v>151</v>
      </c>
      <c r="C641" s="1022"/>
      <c r="D641" s="702" t="str">
        <f>IF(E659="","",IF(INDEX(THHKI!$A$8:$Y$62,MATCH(PDHKI!E659,THHKI!$A$8:$A$62,0),23)="","/",INDEX(THHKI!$A$8:$Y$62,MATCH(PDHKI!E659,THHKI!$A$8:$A$62,0),23)))</f>
        <v>Giỏi</v>
      </c>
      <c r="E641" s="703"/>
    </row>
    <row r="642" spans="1:8" ht="21" customHeight="1">
      <c r="A642" s="701">
        <v>17</v>
      </c>
      <c r="B642" s="1021" t="s">
        <v>152</v>
      </c>
      <c r="C642" s="1022"/>
      <c r="D642" s="702" t="str">
        <f>IF(E659="","",IF(INDEX(THHKI!$A$8:$Y$62,MATCH(PDHKI!E659,THHKI!$A$8:$A$62,0),24)="","/",INDEX(THHKI!$A$8:$Y$62,MATCH(PDHKI!E659,THHKI!$A$8:$A$62,0),24)))</f>
        <v>Tốt</v>
      </c>
      <c r="E642" s="703"/>
    </row>
    <row r="643" spans="1:8" ht="21" customHeight="1" thickBot="1">
      <c r="A643" s="704">
        <v>18</v>
      </c>
      <c r="B643" s="1023" t="s">
        <v>153</v>
      </c>
      <c r="C643" s="1024"/>
      <c r="D643" s="705" t="str">
        <f>IF(E659="","",IF(INDEX(THHKI!$A$8:$Y$62,MATCH(PDHKI!E659,THHKI!$A$8:$A$62,0),25)="","/",INDEX(THHKI!$A$8:$Y$62,MATCH(PDHKI!E659,THHKI!$A$8:$A$62,0),25)))</f>
        <v>HSG</v>
      </c>
      <c r="E643" s="706"/>
    </row>
    <row r="644" spans="1:8" ht="9.75" customHeight="1"/>
    <row r="645" spans="1:8" ht="15.75" customHeight="1">
      <c r="A645" s="58" t="s">
        <v>219</v>
      </c>
    </row>
    <row r="646" spans="1:8" ht="18" customHeight="1">
      <c r="A646" s="59" t="str">
        <f>IF(E659="","",IF(INDEX(DiemHKI!$DE$4:$DH$58,MATCH(PDHKI!E659,DiemHKI!$B$4:$B$58,0),1)="","","- "&amp;INDEX(DiemHKI!$DE$4:$DH$58,MATCH(PDHKI!E659,DiemHKI!$B$4:$B$58,0),1)))</f>
        <v/>
      </c>
      <c r="H646" s="571"/>
    </row>
    <row r="647" spans="1:8" ht="18" customHeight="1">
      <c r="A647" s="59" t="str">
        <f>IF(E659="","",IF(INDEX(DiemHKI!$DE$4:$DH$58,MATCH(PDHKI!E659,DiemHKI!$B$4:$B$58,0),2)="","","- "&amp;INDEX(DiemHKI!$DE$4:$DH$58,MATCH(PDHKI!E659,DiemHKI!$B$4:$B$58,0),2)))</f>
        <v/>
      </c>
    </row>
    <row r="648" spans="1:8" ht="18" customHeight="1">
      <c r="A648" s="59" t="str">
        <f>IF(E659="","",IF(INDEX(DiemHKI!$DE$4:$DH$58,MATCH(PDHKI!E659,DiemHKI!$B$4:$B$58,0),3)="","","- "&amp;INDEX(DiemHKI!$DE$4:$DH$58,MATCH(PDHKI!E659,DiemHKI!$B$4:$B$58,0),3)))</f>
        <v/>
      </c>
    </row>
    <row r="649" spans="1:8" ht="18" customHeight="1">
      <c r="A649" s="59" t="str">
        <f>IF(E659="","",IF(INDEX(DiemHKI!$DE$4:$DH$58,MATCH(PDHKI!E659,DiemHKI!$B$4:$B$58,0),4)="","","- "&amp;INDEX(DiemHKI!$DE$4:$DH$58,MATCH(PDHKI!E659,DiemHKI!$B$4:$B$58,0),4)))</f>
        <v/>
      </c>
    </row>
    <row r="650" spans="1:8" ht="6.75" customHeight="1"/>
    <row r="651" spans="1:8" ht="16.5" customHeight="1">
      <c r="A651" s="61"/>
      <c r="C651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651" s="1026"/>
      <c r="E651" s="1026"/>
    </row>
    <row r="652" spans="1:8" ht="21.75" customHeight="1">
      <c r="A652" s="923" t="str">
        <f>IF($D$41="Hiệu trưởng","Giáo viên Quản nhiệm","")</f>
        <v>Giáo viên Quản nhiệm</v>
      </c>
      <c r="B652" s="923"/>
      <c r="C652" s="923"/>
      <c r="D652" s="707" t="str">
        <f>IF($G$5="","",$G$5)</f>
        <v>Hiệu trưởng</v>
      </c>
      <c r="E652" s="708"/>
    </row>
    <row r="653" spans="1:8" ht="15" customHeight="1">
      <c r="A653" s="61"/>
      <c r="B653" s="61"/>
      <c r="C653" s="61"/>
      <c r="D653" s="66"/>
      <c r="E653" s="66"/>
    </row>
    <row r="654" spans="1:8" ht="15" customHeight="1">
      <c r="A654" s="61"/>
      <c r="B654" s="61"/>
      <c r="C654" s="61"/>
      <c r="D654" s="66"/>
      <c r="E654" s="66"/>
    </row>
    <row r="655" spans="1:8" ht="15" customHeight="1">
      <c r="A655" s="61"/>
      <c r="B655" s="61"/>
      <c r="C655" s="61"/>
    </row>
    <row r="656" spans="1:8" ht="15" customHeight="1">
      <c r="A656" s="61"/>
      <c r="B656" s="61"/>
      <c r="C656" s="61"/>
    </row>
    <row r="657" spans="1:11" ht="16.5" customHeight="1">
      <c r="A657" s="1012" t="str">
        <f>IF($A$41="","",PROPER('Huong dan'!$C$4))</f>
        <v/>
      </c>
      <c r="B657" s="1012"/>
      <c r="C657" s="1012"/>
      <c r="D657" s="833" t="str">
        <f>IFERROR(IF($D$41="Giáo Viên Quản nhiệm",PROPER('Huong dan'!$C$4),IF($D$41="Hiệu trưởng",PROPER('Huong dan'!$E$5),"")),"")</f>
        <v/>
      </c>
      <c r="E657" s="708"/>
    </row>
    <row r="658" spans="1:11" ht="12.75" customHeight="1"/>
    <row r="659" spans="1:11" ht="12.75" customHeight="1">
      <c r="A659" s="709"/>
      <c r="B659" s="709"/>
      <c r="C659" s="709"/>
      <c r="D659" s="710"/>
      <c r="E659" s="711">
        <f>IF(E612="","",IF(E612&lt;MAX(DiemHKI!$B$4:$B$58),E612+1,""))</f>
        <v>14</v>
      </c>
    </row>
    <row r="660" spans="1:11" ht="8.25" customHeight="1">
      <c r="A660" s="709"/>
      <c r="B660" s="709"/>
      <c r="C660" s="709"/>
      <c r="D660" s="709"/>
      <c r="E660" s="709"/>
    </row>
    <row r="661" spans="1:11" ht="5.25" customHeight="1"/>
    <row r="662" spans="1:11" s="563" customFormat="1" ht="23.25" customHeight="1">
      <c r="A662" s="931" t="str">
        <f>IF('Huong dan'!$E$3&lt;&gt;"","SỞ GIÁO DỤC VÀ ĐÀO TẠO "&amp;UPPER('Huong dan'!$E$3),"")</f>
        <v>SỞ GIÁO DỤC VÀ ĐÀO TẠO TP. HỒ CHÍ MINH</v>
      </c>
      <c r="B662" s="931"/>
      <c r="C662" s="931"/>
      <c r="D662" s="923" t="s">
        <v>19</v>
      </c>
      <c r="E662" s="923"/>
    </row>
    <row r="663" spans="1:11" ht="17.25" customHeight="1">
      <c r="A663" s="931" t="str">
        <f>IF('Huong dan'!$E$4&lt;&gt;"","TRƯỜNG "&amp;UPPER('Huong dan'!$E$4),"")</f>
        <v>TRƯỜNG THCS VÀ THPT NGUYỄN KHUYẾN</v>
      </c>
      <c r="B663" s="931"/>
      <c r="C663" s="931"/>
      <c r="D663" s="1012" t="s">
        <v>179</v>
      </c>
      <c r="E663" s="1012"/>
    </row>
    <row r="664" spans="1:11" ht="24" customHeight="1">
      <c r="A664" s="61"/>
      <c r="B664" s="61"/>
      <c r="C664" s="61"/>
    </row>
    <row r="665" spans="1:11" ht="29.25" customHeight="1">
      <c r="A665" s="1013" t="str">
        <f>"PHIẾU ĐIỂM HỌC KỲ I - NĂM HỌC "&amp;'Huong dan'!$C$5</f>
        <v>PHIẾU ĐIỂM HỌC KỲ I - NĂM HỌC 2021 - 2022</v>
      </c>
      <c r="B665" s="1013"/>
      <c r="C665" s="1013"/>
      <c r="D665" s="1013"/>
      <c r="E665" s="1013"/>
    </row>
    <row r="666" spans="1:11" ht="15.75" customHeight="1">
      <c r="A666" s="680"/>
      <c r="B666" s="680"/>
    </row>
    <row r="667" spans="1:11" ht="21" customHeight="1">
      <c r="A667" s="1014" t="s">
        <v>145</v>
      </c>
      <c r="B667" s="1014"/>
      <c r="C667" s="1015" t="str">
        <f>IF(E706="","",INDEX(DiemHKI!$D$4:$D$58,MATCH(E706,DiemHKI!$B$4:$B$58,0),1)&amp;" "&amp;INDEX(DiemHKI!$E$4:$E$58,MATCH(E706,DiemHKI!$B$4:$B$58,0),1))</f>
        <v>Trần Hoàng Hưng</v>
      </c>
      <c r="D667" s="1015"/>
      <c r="E667" s="62" t="str">
        <f>IF('Huong dan'!$C$3="","","Lớp: "&amp;'Huong dan'!$C$3)</f>
        <v>Lớp: 12A1</v>
      </c>
    </row>
    <row r="668" spans="1:11" ht="23.25" customHeight="1">
      <c r="A668" s="1014" t="s">
        <v>146</v>
      </c>
      <c r="B668" s="1014"/>
      <c r="C668" s="681" t="str">
        <f>IF(E706="","",INDEX(DiemHKI!$F$4:$F$58,MATCH(PDHKI!E706,DiemHKI!$B$4:$B$58,0),1))</f>
        <v>11/06/2004</v>
      </c>
      <c r="D668" s="1016" t="str">
        <f>IF(E706="","","Nơi sinh: "&amp;INDEX(DiemHKI!$G$4:$G$58,MATCH(PDHKI!E706,DiemHKI!$B$4:$B$58,0),1))</f>
        <v>Nơi sinh: Bình Dương</v>
      </c>
      <c r="E668" s="1016"/>
    </row>
    <row r="669" spans="1:11" ht="13.5" customHeight="1" thickBot="1">
      <c r="A669" s="681"/>
      <c r="B669" s="682"/>
      <c r="D669" s="681"/>
      <c r="E669" s="681"/>
    </row>
    <row r="670" spans="1:11" ht="24" customHeight="1" thickBot="1">
      <c r="A670" s="683" t="s">
        <v>0</v>
      </c>
      <c r="B670" s="1006" t="s">
        <v>72</v>
      </c>
      <c r="C670" s="1007"/>
      <c r="D670" s="684" t="s">
        <v>147</v>
      </c>
      <c r="E670" s="685" t="s">
        <v>148</v>
      </c>
    </row>
    <row r="671" spans="1:11" ht="21" customHeight="1">
      <c r="A671" s="686">
        <v>1</v>
      </c>
      <c r="B671" s="1017" t="s">
        <v>26</v>
      </c>
      <c r="C671" s="1018"/>
      <c r="D671" s="687">
        <f>IF(E706="","",IF(INDEX(THHKI!$A$8:$Y$62,MATCH(PDHKI!E706,THHKI!$A$8:$A$62,0),INDEX($K$13:$K$27,MATCH(B671,$J$13:$J$27,0),1))&lt;1,"/",INDEX(THHKI!$A$8:$Y$62,MATCH(PDHKI!E706,THHKI!$A$8:$A$62,0),INDEX($K$13:$K$27,MATCH(B671,$J$13:$J$27,0),1))))</f>
        <v>9.6999999999999993</v>
      </c>
      <c r="E671" s="688"/>
      <c r="J671" s="569" t="s">
        <v>26</v>
      </c>
      <c r="K671" s="569">
        <v>7</v>
      </c>
    </row>
    <row r="672" spans="1:11" ht="21" customHeight="1">
      <c r="A672" s="689">
        <v>2</v>
      </c>
      <c r="B672" s="1008" t="s">
        <v>27</v>
      </c>
      <c r="C672" s="1009"/>
      <c r="D672" s="690">
        <f>IF(E706="","",IF(INDEX(THHKI!$A$8:$Y$62,MATCH(PDHKI!E706,THHKI!$A$8:$A$62,0),INDEX($K$13:$K$27,MATCH(B672,$J$13:$J$27,0),1))&lt;1,"/",INDEX(THHKI!$A$8:$Y$62,MATCH(PDHKI!E706,THHKI!$A$8:$A$62,0),INDEX($K$13:$K$27,MATCH(B672,$J$13:$J$27,0),1))))</f>
        <v>9.8000000000000007</v>
      </c>
      <c r="E672" s="691"/>
      <c r="J672" s="569" t="s">
        <v>27</v>
      </c>
      <c r="K672" s="569">
        <v>8</v>
      </c>
    </row>
    <row r="673" spans="1:11" ht="21" customHeight="1">
      <c r="A673" s="689">
        <v>3</v>
      </c>
      <c r="B673" s="1008" t="s">
        <v>28</v>
      </c>
      <c r="C673" s="1009"/>
      <c r="D673" s="690">
        <f>IF(E706="","",IF(INDEX(THHKI!$A$8:$Y$62,MATCH(PDHKI!E706,THHKI!$A$8:$A$62,0),INDEX($K$13:$K$27,MATCH(B673,$J$13:$J$27,0),1))&lt;1,"/",INDEX(THHKI!$A$8:$Y$62,MATCH(PDHKI!E706,THHKI!$A$8:$A$62,0),INDEX($K$13:$K$27,MATCH(B673,$J$13:$J$27,0),1))))</f>
        <v>9</v>
      </c>
      <c r="E673" s="691"/>
      <c r="J673" s="569" t="s">
        <v>28</v>
      </c>
      <c r="K673" s="569">
        <v>9</v>
      </c>
    </row>
    <row r="674" spans="1:11" ht="21" customHeight="1">
      <c r="A674" s="689">
        <v>4</v>
      </c>
      <c r="B674" s="1008" t="s">
        <v>29</v>
      </c>
      <c r="C674" s="1009"/>
      <c r="D674" s="690">
        <f>IF(E706="","",IF(INDEX(THHKI!$A$8:$Y$62,MATCH(PDHKI!E706,THHKI!$A$8:$A$62,0),INDEX($K$13:$K$27,MATCH(B674,$J$13:$J$27,0),1))&lt;1,"/",INDEX(THHKI!$A$8:$Y$62,MATCH(PDHKI!E706,THHKI!$A$8:$A$62,0),INDEX($K$13:$K$27,MATCH(B674,$J$13:$J$27,0),1))))</f>
        <v>8.8000000000000007</v>
      </c>
      <c r="E674" s="691"/>
      <c r="J674" s="569" t="s">
        <v>29</v>
      </c>
      <c r="K674" s="569">
        <v>10</v>
      </c>
    </row>
    <row r="675" spans="1:11" ht="21" customHeight="1">
      <c r="A675" s="689">
        <v>5</v>
      </c>
      <c r="B675" s="1008" t="s">
        <v>120</v>
      </c>
      <c r="C675" s="1009"/>
      <c r="D675" s="690">
        <f>IF(E706="","",IF(INDEX(THHKI!$A$8:$Y$62,MATCH(PDHKI!E706,THHKI!$A$8:$A$62,0),INDEX($K$13:$K$27,MATCH(B675,$J$13:$J$27,0),1))&lt;1,"/",INDEX(THHKI!$A$8:$Y$62,MATCH(PDHKI!E706,THHKI!$A$8:$A$62,0),INDEX($K$13:$K$27,MATCH(B675,$J$13:$J$27,0),1))))</f>
        <v>9.8000000000000007</v>
      </c>
      <c r="E675" s="691"/>
      <c r="J675" s="569" t="s">
        <v>120</v>
      </c>
      <c r="K675" s="569">
        <v>11</v>
      </c>
    </row>
    <row r="676" spans="1:11" ht="21" customHeight="1">
      <c r="A676" s="689">
        <v>6</v>
      </c>
      <c r="B676" s="1008" t="s">
        <v>30</v>
      </c>
      <c r="C676" s="1009"/>
      <c r="D676" s="690">
        <f>IF(E706="","",IF(INDEX(THHKI!$A$8:$Y$62,MATCH(PDHKI!E706,THHKI!$A$8:$A$62,0),INDEX($K$13:$K$27,MATCH(B676,$J$13:$J$27,0),1))&lt;1,"/",INDEX(THHKI!$A$8:$Y$62,MATCH(PDHKI!E706,THHKI!$A$8:$A$62,0),INDEX($K$13:$K$27,MATCH(B676,$J$13:$J$27,0),1))))</f>
        <v>7.5</v>
      </c>
      <c r="E676" s="691"/>
      <c r="J676" s="569" t="s">
        <v>30</v>
      </c>
      <c r="K676" s="569">
        <v>12</v>
      </c>
    </row>
    <row r="677" spans="1:11" ht="21" customHeight="1">
      <c r="A677" s="689">
        <v>7</v>
      </c>
      <c r="B677" s="1008" t="s">
        <v>31</v>
      </c>
      <c r="C677" s="1009"/>
      <c r="D677" s="690">
        <f>IF(E706="","",IF(INDEX(THHKI!$A$8:$Y$62,MATCH(PDHKI!E706,THHKI!$A$8:$A$62,0),INDEX($K$13:$K$27,MATCH(B677,$J$13:$J$27,0),1))&lt;1,"/",INDEX(THHKI!$A$8:$Y$62,MATCH(PDHKI!E706,THHKI!$A$8:$A$62,0),INDEX($K$13:$K$27,MATCH(B677,$J$13:$J$27,0),1))))</f>
        <v>9.8000000000000007</v>
      </c>
      <c r="E677" s="691"/>
      <c r="J677" s="569" t="s">
        <v>31</v>
      </c>
      <c r="K677" s="569">
        <v>13</v>
      </c>
    </row>
    <row r="678" spans="1:11" ht="21" customHeight="1">
      <c r="A678" s="689">
        <v>8</v>
      </c>
      <c r="B678" s="1008" t="s">
        <v>32</v>
      </c>
      <c r="C678" s="1009"/>
      <c r="D678" s="690">
        <f>IF(E706="","",IF(INDEX(THHKI!$A$8:$Y$62,MATCH(PDHKI!E706,THHKI!$A$8:$A$62,0),INDEX($K$13:$K$27,MATCH(B678,$J$13:$J$27,0),1))&lt;1,"/",INDEX(THHKI!$A$8:$Y$62,MATCH(PDHKI!E706,THHKI!$A$8:$A$62,0),INDEX($K$13:$K$27,MATCH(B678,$J$13:$J$27,0),1))))</f>
        <v>9.1</v>
      </c>
      <c r="E678" s="691"/>
      <c r="J678" s="569" t="s">
        <v>32</v>
      </c>
      <c r="K678" s="569">
        <v>14</v>
      </c>
    </row>
    <row r="679" spans="1:11" ht="21" customHeight="1">
      <c r="A679" s="689">
        <v>9</v>
      </c>
      <c r="B679" s="1008" t="s">
        <v>33</v>
      </c>
      <c r="C679" s="1009"/>
      <c r="D679" s="690">
        <f>IF(E706="","",IF(INDEX(THHKI!$A$8:$Y$62,MATCH(PDHKI!E706,THHKI!$A$8:$A$62,0),INDEX($K$13:$K$27,MATCH(B679,$J$13:$J$27,0),1))&lt;1,"/",INDEX(THHKI!$A$8:$Y$62,MATCH(PDHKI!E706,THHKI!$A$8:$A$62,0),INDEX($K$13:$K$27,MATCH(B679,$J$13:$J$27,0),1))))</f>
        <v>9.5</v>
      </c>
      <c r="E679" s="691"/>
      <c r="J679" s="569" t="s">
        <v>33</v>
      </c>
      <c r="K679" s="569">
        <v>15</v>
      </c>
    </row>
    <row r="680" spans="1:11" ht="21" customHeight="1">
      <c r="A680" s="689">
        <v>10</v>
      </c>
      <c r="B680" s="1008" t="s">
        <v>60</v>
      </c>
      <c r="C680" s="1009"/>
      <c r="D680" s="690">
        <f>IF(E706="","",IF(INDEX(THHKI!$A$8:$Y$62,MATCH(PDHKI!E706,THHKI!$A$8:$A$62,0),INDEX($K$13:$K$27,MATCH(B680,$J$13:$J$27,0),1))&lt;1,"/",INDEX(THHKI!$A$8:$Y$62,MATCH(PDHKI!E706,THHKI!$A$8:$A$62,0),INDEX($K$13:$K$27,MATCH(B680,$J$13:$J$27,0),1))))</f>
        <v>9.1</v>
      </c>
      <c r="E680" s="691"/>
      <c r="J680" s="569" t="s">
        <v>60</v>
      </c>
      <c r="K680" s="569">
        <v>16</v>
      </c>
    </row>
    <row r="681" spans="1:11" ht="21" customHeight="1">
      <c r="A681" s="689">
        <v>11</v>
      </c>
      <c r="B681" s="1008" t="s">
        <v>34</v>
      </c>
      <c r="C681" s="1009"/>
      <c r="D681" s="690">
        <f>IF(E706="","",IF(INDEX(THHKI!$A$8:$Y$62,MATCH(PDHKI!E706,THHKI!$A$8:$A$62,0),INDEX($K$13:$K$27,MATCH(B681,$J$13:$J$27,0),1))&lt;1,"/",INDEX(THHKI!$A$8:$Y$62,MATCH(PDHKI!E706,THHKI!$A$8:$A$62,0),INDEX($K$13:$K$27,MATCH(B681,$J$13:$J$27,0),1))))</f>
        <v>9.9</v>
      </c>
      <c r="E681" s="691"/>
      <c r="J681" s="569" t="s">
        <v>34</v>
      </c>
      <c r="K681" s="569">
        <v>17</v>
      </c>
    </row>
    <row r="682" spans="1:11" ht="21" customHeight="1">
      <c r="A682" s="689">
        <v>12</v>
      </c>
      <c r="B682" s="1008" t="s">
        <v>35</v>
      </c>
      <c r="C682" s="1009"/>
      <c r="D682" s="690" t="str">
        <f>IF(E706="","",IF(INDEX(THHKI!$A$8:$Y$62,MATCH(PDHKI!E706,THHKI!$A$8:$A$62,0),INDEX($K$13:$K$27,MATCH(B682,$J$13:$J$27,0),1))&lt;1,"/",INDEX(THHKI!$A$8:$Y$62,MATCH(PDHKI!E706,THHKI!$A$8:$A$62,0),INDEX($K$13:$K$27,MATCH(B682,$J$13:$J$27,0),1))))</f>
        <v>Đ</v>
      </c>
      <c r="E682" s="691"/>
      <c r="J682" s="569" t="s">
        <v>35</v>
      </c>
      <c r="K682" s="569">
        <v>18</v>
      </c>
    </row>
    <row r="683" spans="1:11" ht="21" customHeight="1">
      <c r="A683" s="689">
        <v>13</v>
      </c>
      <c r="B683" s="1008" t="s">
        <v>121</v>
      </c>
      <c r="C683" s="1009"/>
      <c r="D683" s="690">
        <f>IF(E706="","",IF(INDEX(THHKI!$A$8:$Y$62,MATCH(PDHKI!E706,THHKI!$A$8:$A$62,0),INDEX($K$13:$K$27,MATCH(B683,$J$13:$J$27,0),1))&lt;1,"/",INDEX(THHKI!$A$8:$Y$62,MATCH(PDHKI!E706,THHKI!$A$8:$A$62,0),INDEX($K$13:$K$27,MATCH(B683,$J$13:$J$27,0),1))))</f>
        <v>9.9</v>
      </c>
      <c r="E683" s="691"/>
      <c r="J683" s="569" t="s">
        <v>22</v>
      </c>
      <c r="K683" s="569">
        <v>19</v>
      </c>
    </row>
    <row r="684" spans="1:11" ht="21" customHeight="1" thickBot="1">
      <c r="A684" s="692">
        <v>14</v>
      </c>
      <c r="B684" s="1010" t="s">
        <v>122</v>
      </c>
      <c r="C684" s="1011"/>
      <c r="D684" s="693" t="str">
        <f>IF(E706="","",IF(INDEX(THHKI!$A$8:$Y$62,MATCH(PDHKI!E706,THHKI!$A$8:$A$62,0),INDEX($K$13:$K$27,MATCH(B684,$J$13:$J$27,0),1))&lt;1,"/",INDEX(THHKI!$A$8:$Y$62,MATCH(PDHKI!E706,THHKI!$A$8:$A$62,0),INDEX($K$13:$K$27,MATCH(B684,$J$13:$J$27,0),1))))</f>
        <v/>
      </c>
      <c r="E684" s="694"/>
      <c r="J684" s="569" t="s">
        <v>121</v>
      </c>
      <c r="K684" s="569">
        <v>20</v>
      </c>
    </row>
    <row r="685" spans="1:11" ht="21" customHeight="1" thickBot="1">
      <c r="A685" s="695">
        <v>15</v>
      </c>
      <c r="B685" s="1006" t="s">
        <v>149</v>
      </c>
      <c r="C685" s="1007"/>
      <c r="D685" s="696">
        <f>IF(E706="","",IF(INDEX(THHKI!$A$8:$Y$62,MATCH(PDHKI!E706,THHKI!$A$8:$A$62,0),22)&lt;1,"/",INDEX(THHKI!$A$8:$Y$62,MATCH(PDHKI!E706,THHKI!$A$8:$A$62,0),22)))</f>
        <v>9.3000000000000007</v>
      </c>
      <c r="E685" s="697"/>
      <c r="J685" s="569" t="s">
        <v>122</v>
      </c>
      <c r="K685" s="569">
        <v>21</v>
      </c>
    </row>
    <row r="686" spans="1:11" ht="15.75" customHeight="1" thickBot="1"/>
    <row r="687" spans="1:11" s="570" customFormat="1" ht="21" customHeight="1">
      <c r="A687" s="698"/>
      <c r="B687" s="1019" t="s">
        <v>150</v>
      </c>
      <c r="C687" s="1020"/>
      <c r="D687" s="699" t="s">
        <v>10</v>
      </c>
      <c r="E687" s="700" t="s">
        <v>126</v>
      </c>
    </row>
    <row r="688" spans="1:11" ht="21" customHeight="1">
      <c r="A688" s="701">
        <v>16</v>
      </c>
      <c r="B688" s="1021" t="s">
        <v>151</v>
      </c>
      <c r="C688" s="1022"/>
      <c r="D688" s="702" t="str">
        <f>IF(E706="","",IF(INDEX(THHKI!$A$8:$Y$62,MATCH(PDHKI!E706,THHKI!$A$8:$A$62,0),23)="","/",INDEX(THHKI!$A$8:$Y$62,MATCH(PDHKI!E706,THHKI!$A$8:$A$62,0),23)))</f>
        <v>Giỏi</v>
      </c>
      <c r="E688" s="703"/>
    </row>
    <row r="689" spans="1:8" ht="21" customHeight="1">
      <c r="A689" s="701">
        <v>17</v>
      </c>
      <c r="B689" s="1021" t="s">
        <v>152</v>
      </c>
      <c r="C689" s="1022"/>
      <c r="D689" s="702" t="str">
        <f>IF(E706="","",IF(INDEX(THHKI!$A$8:$Y$62,MATCH(PDHKI!E706,THHKI!$A$8:$A$62,0),24)="","/",INDEX(THHKI!$A$8:$Y$62,MATCH(PDHKI!E706,THHKI!$A$8:$A$62,0),24)))</f>
        <v>Tốt</v>
      </c>
      <c r="E689" s="703"/>
    </row>
    <row r="690" spans="1:8" ht="21" customHeight="1" thickBot="1">
      <c r="A690" s="704">
        <v>18</v>
      </c>
      <c r="B690" s="1023" t="s">
        <v>153</v>
      </c>
      <c r="C690" s="1024"/>
      <c r="D690" s="705" t="str">
        <f>IF(E706="","",IF(INDEX(THHKI!$A$8:$Y$62,MATCH(PDHKI!E706,THHKI!$A$8:$A$62,0),25)="","/",INDEX(THHKI!$A$8:$Y$62,MATCH(PDHKI!E706,THHKI!$A$8:$A$62,0),25)))</f>
        <v>HSG</v>
      </c>
      <c r="E690" s="706"/>
    </row>
    <row r="691" spans="1:8" ht="9.75" customHeight="1"/>
    <row r="692" spans="1:8" ht="15.75" customHeight="1">
      <c r="A692" s="58" t="s">
        <v>219</v>
      </c>
    </row>
    <row r="693" spans="1:8" ht="18" customHeight="1">
      <c r="A693" s="59" t="str">
        <f>IF(E706="","",IF(INDEX(DiemHKI!$DE$4:$DH$58,MATCH(PDHKI!E706,DiemHKI!$B$4:$B$58,0),1)="","","- "&amp;INDEX(DiemHKI!$DE$4:$DH$58,MATCH(PDHKI!E706,DiemHKI!$B$4:$B$58,0),1)))</f>
        <v/>
      </c>
      <c r="H693" s="571"/>
    </row>
    <row r="694" spans="1:8" ht="18" customHeight="1">
      <c r="A694" s="59" t="str">
        <f>IF(E706="","",IF(INDEX(DiemHKI!$DE$4:$DH$58,MATCH(PDHKI!E706,DiemHKI!$B$4:$B$58,0),2)="","","- "&amp;INDEX(DiemHKI!$DE$4:$DH$58,MATCH(PDHKI!E706,DiemHKI!$B$4:$B$58,0),2)))</f>
        <v/>
      </c>
    </row>
    <row r="695" spans="1:8" ht="18" customHeight="1">
      <c r="A695" s="59" t="str">
        <f>IF(E706="","",IF(INDEX(DiemHKI!$DE$4:$DH$58,MATCH(PDHKI!E706,DiemHKI!$B$4:$B$58,0),3)="","","- "&amp;INDEX(DiemHKI!$DE$4:$DH$58,MATCH(PDHKI!E706,DiemHKI!$B$4:$B$58,0),3)))</f>
        <v/>
      </c>
    </row>
    <row r="696" spans="1:8" ht="18" customHeight="1">
      <c r="A696" s="59" t="str">
        <f>IF(E706="","",IF(INDEX(DiemHKI!$DE$4:$DH$58,MATCH(PDHKI!E706,DiemHKI!$B$4:$B$58,0),4)="","","- "&amp;INDEX(DiemHKI!$DE$4:$DH$58,MATCH(PDHKI!E706,DiemHKI!$B$4:$B$58,0),4)))</f>
        <v/>
      </c>
    </row>
    <row r="697" spans="1:8" ht="6.75" customHeight="1"/>
    <row r="698" spans="1:8" ht="16.5" customHeight="1">
      <c r="A698" s="61"/>
      <c r="C698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698" s="1026"/>
      <c r="E698" s="1026"/>
    </row>
    <row r="699" spans="1:8" ht="21.75" customHeight="1">
      <c r="A699" s="923" t="str">
        <f>IF($D$41="Hiệu trưởng","Giáo viên Quản nhiệm","")</f>
        <v>Giáo viên Quản nhiệm</v>
      </c>
      <c r="B699" s="923"/>
      <c r="C699" s="923"/>
      <c r="D699" s="707" t="str">
        <f>IF($G$5="","",$G$5)</f>
        <v>Hiệu trưởng</v>
      </c>
      <c r="E699" s="708"/>
    </row>
    <row r="700" spans="1:8" ht="15" customHeight="1">
      <c r="A700" s="61"/>
      <c r="B700" s="61"/>
      <c r="C700" s="61"/>
      <c r="D700" s="66"/>
      <c r="E700" s="66"/>
    </row>
    <row r="701" spans="1:8" ht="15" customHeight="1">
      <c r="A701" s="61"/>
      <c r="B701" s="61"/>
      <c r="C701" s="61"/>
      <c r="D701" s="66"/>
      <c r="E701" s="66"/>
    </row>
    <row r="702" spans="1:8" ht="15" customHeight="1">
      <c r="A702" s="61"/>
      <c r="B702" s="61"/>
      <c r="C702" s="61"/>
    </row>
    <row r="703" spans="1:8" ht="15" customHeight="1">
      <c r="A703" s="61"/>
      <c r="B703" s="61"/>
      <c r="C703" s="61"/>
    </row>
    <row r="704" spans="1:8" ht="16.5" customHeight="1">
      <c r="A704" s="1012" t="str">
        <f>IF($A$41="","",PROPER('Huong dan'!$C$4))</f>
        <v/>
      </c>
      <c r="B704" s="1012"/>
      <c r="C704" s="1012"/>
      <c r="D704" s="833" t="str">
        <f>IFERROR(IF($D$41="Giáo Viên Quản nhiệm",PROPER('Huong dan'!$C$4),IF($D$41="Hiệu trưởng",PROPER('Huong dan'!$E$5),"")),"")</f>
        <v/>
      </c>
      <c r="E704" s="708"/>
    </row>
    <row r="705" spans="1:11" ht="12.75" customHeight="1"/>
    <row r="706" spans="1:11" ht="12.75" customHeight="1">
      <c r="A706" s="709"/>
      <c r="B706" s="709"/>
      <c r="C706" s="709"/>
      <c r="D706" s="710"/>
      <c r="E706" s="711">
        <f>IF(E659="","",IF(E659&lt;MAX(DiemHKI!$B$4:$B$58),E659+1,""))</f>
        <v>15</v>
      </c>
    </row>
    <row r="707" spans="1:11" ht="8.25" customHeight="1">
      <c r="A707" s="709"/>
      <c r="B707" s="709"/>
      <c r="C707" s="709"/>
      <c r="D707" s="709"/>
      <c r="E707" s="709"/>
    </row>
    <row r="708" spans="1:11" ht="5.25" customHeight="1"/>
    <row r="709" spans="1:11" s="563" customFormat="1" ht="23.25" customHeight="1">
      <c r="A709" s="931" t="str">
        <f>IF('Huong dan'!$E$3&lt;&gt;"","SỞ GIÁO DỤC VÀ ĐÀO TẠO "&amp;UPPER('Huong dan'!$E$3),"")</f>
        <v>SỞ GIÁO DỤC VÀ ĐÀO TẠO TP. HỒ CHÍ MINH</v>
      </c>
      <c r="B709" s="931"/>
      <c r="C709" s="931"/>
      <c r="D709" s="923" t="s">
        <v>19</v>
      </c>
      <c r="E709" s="923"/>
    </row>
    <row r="710" spans="1:11" ht="17.25" customHeight="1">
      <c r="A710" s="931" t="str">
        <f>IF('Huong dan'!$E$4&lt;&gt;"","TRƯỜNG "&amp;UPPER('Huong dan'!$E$4),"")</f>
        <v>TRƯỜNG THCS VÀ THPT NGUYỄN KHUYẾN</v>
      </c>
      <c r="B710" s="931"/>
      <c r="C710" s="931"/>
      <c r="D710" s="1012" t="s">
        <v>179</v>
      </c>
      <c r="E710" s="1012"/>
    </row>
    <row r="711" spans="1:11" ht="24" customHeight="1">
      <c r="A711" s="61"/>
      <c r="B711" s="61"/>
      <c r="C711" s="61"/>
    </row>
    <row r="712" spans="1:11" ht="29.25" customHeight="1">
      <c r="A712" s="1013" t="str">
        <f>"PHIẾU ĐIỂM HỌC KỲ I - NĂM HỌC "&amp;'Huong dan'!$C$5</f>
        <v>PHIẾU ĐIỂM HỌC KỲ I - NĂM HỌC 2021 - 2022</v>
      </c>
      <c r="B712" s="1013"/>
      <c r="C712" s="1013"/>
      <c r="D712" s="1013"/>
      <c r="E712" s="1013"/>
    </row>
    <row r="713" spans="1:11" ht="15.75" customHeight="1">
      <c r="A713" s="680"/>
      <c r="B713" s="680"/>
    </row>
    <row r="714" spans="1:11" ht="21" customHeight="1">
      <c r="A714" s="1014" t="s">
        <v>145</v>
      </c>
      <c r="B714" s="1014"/>
      <c r="C714" s="1015" t="str">
        <f>IF(E753="","",INDEX(DiemHKI!$D$4:$D$58,MATCH(E753,DiemHKI!$B$4:$B$58,0),1)&amp;" "&amp;INDEX(DiemHKI!$E$4:$E$58,MATCH(E753,DiemHKI!$B$4:$B$58,0),1))</f>
        <v>Trần Đăng Khải</v>
      </c>
      <c r="D714" s="1015"/>
      <c r="E714" s="62" t="str">
        <f>IF('Huong dan'!$C$3="","","Lớp: "&amp;'Huong dan'!$C$3)</f>
        <v>Lớp: 12A1</v>
      </c>
    </row>
    <row r="715" spans="1:11" ht="23.25" customHeight="1">
      <c r="A715" s="1014" t="s">
        <v>146</v>
      </c>
      <c r="B715" s="1014"/>
      <c r="C715" s="681" t="str">
        <f>IF(E753="","",INDEX(DiemHKI!$F$4:$F$58,MATCH(PDHKI!E753,DiemHKI!$B$4:$B$58,0),1))</f>
        <v>22/04/2004</v>
      </c>
      <c r="D715" s="1016" t="str">
        <f>IF(E753="","","Nơi sinh: "&amp;INDEX(DiemHKI!$G$4:$G$58,MATCH(PDHKI!E753,DiemHKI!$B$4:$B$58,0),1))</f>
        <v>Nơi sinh: Đồng Nai</v>
      </c>
      <c r="E715" s="1016"/>
    </row>
    <row r="716" spans="1:11" ht="13.5" customHeight="1" thickBot="1">
      <c r="A716" s="681"/>
      <c r="B716" s="682"/>
      <c r="D716" s="681"/>
      <c r="E716" s="681"/>
    </row>
    <row r="717" spans="1:11" ht="24" customHeight="1" thickBot="1">
      <c r="A717" s="683" t="s">
        <v>0</v>
      </c>
      <c r="B717" s="1006" t="s">
        <v>72</v>
      </c>
      <c r="C717" s="1007"/>
      <c r="D717" s="684" t="s">
        <v>147</v>
      </c>
      <c r="E717" s="685" t="s">
        <v>148</v>
      </c>
    </row>
    <row r="718" spans="1:11" ht="21" customHeight="1">
      <c r="A718" s="686">
        <v>1</v>
      </c>
      <c r="B718" s="1017" t="s">
        <v>26</v>
      </c>
      <c r="C718" s="1018"/>
      <c r="D718" s="687">
        <f>IF(E753="","",IF(INDEX(THHKI!$A$8:$Y$62,MATCH(PDHKI!E753,THHKI!$A$8:$A$62,0),INDEX($K$13:$K$27,MATCH(B718,$J$13:$J$27,0),1))&lt;1,"/",INDEX(THHKI!$A$8:$Y$62,MATCH(PDHKI!E753,THHKI!$A$8:$A$62,0),INDEX($K$13:$K$27,MATCH(B718,$J$13:$J$27,0),1))))</f>
        <v>9.6</v>
      </c>
      <c r="E718" s="688"/>
      <c r="J718" s="569" t="s">
        <v>26</v>
      </c>
      <c r="K718" s="569">
        <v>7</v>
      </c>
    </row>
    <row r="719" spans="1:11" ht="21" customHeight="1">
      <c r="A719" s="689">
        <v>2</v>
      </c>
      <c r="B719" s="1008" t="s">
        <v>27</v>
      </c>
      <c r="C719" s="1009"/>
      <c r="D719" s="690">
        <f>IF(E753="","",IF(INDEX(THHKI!$A$8:$Y$62,MATCH(PDHKI!E753,THHKI!$A$8:$A$62,0),INDEX($K$13:$K$27,MATCH(B719,$J$13:$J$27,0),1))&lt;1,"/",INDEX(THHKI!$A$8:$Y$62,MATCH(PDHKI!E753,THHKI!$A$8:$A$62,0),INDEX($K$13:$K$27,MATCH(B719,$J$13:$J$27,0),1))))</f>
        <v>9.4</v>
      </c>
      <c r="E719" s="691"/>
      <c r="J719" s="569" t="s">
        <v>27</v>
      </c>
      <c r="K719" s="569">
        <v>8</v>
      </c>
    </row>
    <row r="720" spans="1:11" ht="21" customHeight="1">
      <c r="A720" s="689">
        <v>3</v>
      </c>
      <c r="B720" s="1008" t="s">
        <v>28</v>
      </c>
      <c r="C720" s="1009"/>
      <c r="D720" s="690">
        <f>IF(E753="","",IF(INDEX(THHKI!$A$8:$Y$62,MATCH(PDHKI!E753,THHKI!$A$8:$A$62,0),INDEX($K$13:$K$27,MATCH(B720,$J$13:$J$27,0),1))&lt;1,"/",INDEX(THHKI!$A$8:$Y$62,MATCH(PDHKI!E753,THHKI!$A$8:$A$62,0),INDEX($K$13:$K$27,MATCH(B720,$J$13:$J$27,0),1))))</f>
        <v>9.6</v>
      </c>
      <c r="E720" s="691"/>
      <c r="J720" s="569" t="s">
        <v>28</v>
      </c>
      <c r="K720" s="569">
        <v>9</v>
      </c>
    </row>
    <row r="721" spans="1:11" ht="21" customHeight="1">
      <c r="A721" s="689">
        <v>4</v>
      </c>
      <c r="B721" s="1008" t="s">
        <v>29</v>
      </c>
      <c r="C721" s="1009"/>
      <c r="D721" s="690">
        <f>IF(E753="","",IF(INDEX(THHKI!$A$8:$Y$62,MATCH(PDHKI!E753,THHKI!$A$8:$A$62,0),INDEX($K$13:$K$27,MATCH(B721,$J$13:$J$27,0),1))&lt;1,"/",INDEX(THHKI!$A$8:$Y$62,MATCH(PDHKI!E753,THHKI!$A$8:$A$62,0),INDEX($K$13:$K$27,MATCH(B721,$J$13:$J$27,0),1))))</f>
        <v>9</v>
      </c>
      <c r="E721" s="691"/>
      <c r="J721" s="569" t="s">
        <v>29</v>
      </c>
      <c r="K721" s="569">
        <v>10</v>
      </c>
    </row>
    <row r="722" spans="1:11" ht="21" customHeight="1">
      <c r="A722" s="689">
        <v>5</v>
      </c>
      <c r="B722" s="1008" t="s">
        <v>120</v>
      </c>
      <c r="C722" s="1009"/>
      <c r="D722" s="690">
        <f>IF(E753="","",IF(INDEX(THHKI!$A$8:$Y$62,MATCH(PDHKI!E753,THHKI!$A$8:$A$62,0),INDEX($K$13:$K$27,MATCH(B722,$J$13:$J$27,0),1))&lt;1,"/",INDEX(THHKI!$A$8:$Y$62,MATCH(PDHKI!E753,THHKI!$A$8:$A$62,0),INDEX($K$13:$K$27,MATCH(B722,$J$13:$J$27,0),1))))</f>
        <v>9.8000000000000007</v>
      </c>
      <c r="E722" s="691"/>
      <c r="J722" s="569" t="s">
        <v>120</v>
      </c>
      <c r="K722" s="569">
        <v>11</v>
      </c>
    </row>
    <row r="723" spans="1:11" ht="21" customHeight="1">
      <c r="A723" s="689">
        <v>6</v>
      </c>
      <c r="B723" s="1008" t="s">
        <v>30</v>
      </c>
      <c r="C723" s="1009"/>
      <c r="D723" s="690">
        <f>IF(E753="","",IF(INDEX(THHKI!$A$8:$Y$62,MATCH(PDHKI!E753,THHKI!$A$8:$A$62,0),INDEX($K$13:$K$27,MATCH(B723,$J$13:$J$27,0),1))&lt;1,"/",INDEX(THHKI!$A$8:$Y$62,MATCH(PDHKI!E753,THHKI!$A$8:$A$62,0),INDEX($K$13:$K$27,MATCH(B723,$J$13:$J$27,0),1))))</f>
        <v>7.3</v>
      </c>
      <c r="E723" s="691"/>
      <c r="J723" s="569" t="s">
        <v>30</v>
      </c>
      <c r="K723" s="569">
        <v>12</v>
      </c>
    </row>
    <row r="724" spans="1:11" ht="21" customHeight="1">
      <c r="A724" s="689">
        <v>7</v>
      </c>
      <c r="B724" s="1008" t="s">
        <v>31</v>
      </c>
      <c r="C724" s="1009"/>
      <c r="D724" s="690">
        <f>IF(E753="","",IF(INDEX(THHKI!$A$8:$Y$62,MATCH(PDHKI!E753,THHKI!$A$8:$A$62,0),INDEX($K$13:$K$27,MATCH(B724,$J$13:$J$27,0),1))&lt;1,"/",INDEX(THHKI!$A$8:$Y$62,MATCH(PDHKI!E753,THHKI!$A$8:$A$62,0),INDEX($K$13:$K$27,MATCH(B724,$J$13:$J$27,0),1))))</f>
        <v>9.9</v>
      </c>
      <c r="E724" s="691"/>
      <c r="J724" s="569" t="s">
        <v>31</v>
      </c>
      <c r="K724" s="569">
        <v>13</v>
      </c>
    </row>
    <row r="725" spans="1:11" ht="21" customHeight="1">
      <c r="A725" s="689">
        <v>8</v>
      </c>
      <c r="B725" s="1008" t="s">
        <v>32</v>
      </c>
      <c r="C725" s="1009"/>
      <c r="D725" s="690">
        <f>IF(E753="","",IF(INDEX(THHKI!$A$8:$Y$62,MATCH(PDHKI!E753,THHKI!$A$8:$A$62,0),INDEX($K$13:$K$27,MATCH(B725,$J$13:$J$27,0),1))&lt;1,"/",INDEX(THHKI!$A$8:$Y$62,MATCH(PDHKI!E753,THHKI!$A$8:$A$62,0),INDEX($K$13:$K$27,MATCH(B725,$J$13:$J$27,0),1))))</f>
        <v>9.9</v>
      </c>
      <c r="E725" s="691"/>
      <c r="J725" s="569" t="s">
        <v>32</v>
      </c>
      <c r="K725" s="569">
        <v>14</v>
      </c>
    </row>
    <row r="726" spans="1:11" ht="21" customHeight="1">
      <c r="A726" s="689">
        <v>9</v>
      </c>
      <c r="B726" s="1008" t="s">
        <v>33</v>
      </c>
      <c r="C726" s="1009"/>
      <c r="D726" s="690">
        <f>IF(E753="","",IF(INDEX(THHKI!$A$8:$Y$62,MATCH(PDHKI!E753,THHKI!$A$8:$A$62,0),INDEX($K$13:$K$27,MATCH(B726,$J$13:$J$27,0),1))&lt;1,"/",INDEX(THHKI!$A$8:$Y$62,MATCH(PDHKI!E753,THHKI!$A$8:$A$62,0),INDEX($K$13:$K$27,MATCH(B726,$J$13:$J$27,0),1))))</f>
        <v>9.6999999999999993</v>
      </c>
      <c r="E726" s="691"/>
      <c r="J726" s="569" t="s">
        <v>33</v>
      </c>
      <c r="K726" s="569">
        <v>15</v>
      </c>
    </row>
    <row r="727" spans="1:11" ht="21" customHeight="1">
      <c r="A727" s="689">
        <v>10</v>
      </c>
      <c r="B727" s="1008" t="s">
        <v>60</v>
      </c>
      <c r="C727" s="1009"/>
      <c r="D727" s="690">
        <f>IF(E753="","",IF(INDEX(THHKI!$A$8:$Y$62,MATCH(PDHKI!E753,THHKI!$A$8:$A$62,0),INDEX($K$13:$K$27,MATCH(B727,$J$13:$J$27,0),1))&lt;1,"/",INDEX(THHKI!$A$8:$Y$62,MATCH(PDHKI!E753,THHKI!$A$8:$A$62,0),INDEX($K$13:$K$27,MATCH(B727,$J$13:$J$27,0),1))))</f>
        <v>9.1</v>
      </c>
      <c r="E727" s="691"/>
      <c r="J727" s="569" t="s">
        <v>60</v>
      </c>
      <c r="K727" s="569">
        <v>16</v>
      </c>
    </row>
    <row r="728" spans="1:11" ht="21" customHeight="1">
      <c r="A728" s="689">
        <v>11</v>
      </c>
      <c r="B728" s="1008" t="s">
        <v>34</v>
      </c>
      <c r="C728" s="1009"/>
      <c r="D728" s="690">
        <f>IF(E753="","",IF(INDEX(THHKI!$A$8:$Y$62,MATCH(PDHKI!E753,THHKI!$A$8:$A$62,0),INDEX($K$13:$K$27,MATCH(B728,$J$13:$J$27,0),1))&lt;1,"/",INDEX(THHKI!$A$8:$Y$62,MATCH(PDHKI!E753,THHKI!$A$8:$A$62,0),INDEX($K$13:$K$27,MATCH(B728,$J$13:$J$27,0),1))))</f>
        <v>9.9</v>
      </c>
      <c r="E728" s="691"/>
      <c r="J728" s="569" t="s">
        <v>34</v>
      </c>
      <c r="K728" s="569">
        <v>17</v>
      </c>
    </row>
    <row r="729" spans="1:11" ht="21" customHeight="1">
      <c r="A729" s="689">
        <v>12</v>
      </c>
      <c r="B729" s="1008" t="s">
        <v>35</v>
      </c>
      <c r="C729" s="1009"/>
      <c r="D729" s="690" t="str">
        <f>IF(E753="","",IF(INDEX(THHKI!$A$8:$Y$62,MATCH(PDHKI!E753,THHKI!$A$8:$A$62,0),INDEX($K$13:$K$27,MATCH(B729,$J$13:$J$27,0),1))&lt;1,"/",INDEX(THHKI!$A$8:$Y$62,MATCH(PDHKI!E753,THHKI!$A$8:$A$62,0),INDEX($K$13:$K$27,MATCH(B729,$J$13:$J$27,0),1))))</f>
        <v>Đ</v>
      </c>
      <c r="E729" s="691"/>
      <c r="J729" s="569" t="s">
        <v>35</v>
      </c>
      <c r="K729" s="569">
        <v>18</v>
      </c>
    </row>
    <row r="730" spans="1:11" ht="21" customHeight="1">
      <c r="A730" s="689">
        <v>13</v>
      </c>
      <c r="B730" s="1008" t="s">
        <v>121</v>
      </c>
      <c r="C730" s="1009"/>
      <c r="D730" s="690">
        <f>IF(E753="","",IF(INDEX(THHKI!$A$8:$Y$62,MATCH(PDHKI!E753,THHKI!$A$8:$A$62,0),INDEX($K$13:$K$27,MATCH(B730,$J$13:$J$27,0),1))&lt;1,"/",INDEX(THHKI!$A$8:$Y$62,MATCH(PDHKI!E753,THHKI!$A$8:$A$62,0),INDEX($K$13:$K$27,MATCH(B730,$J$13:$J$27,0),1))))</f>
        <v>9.9</v>
      </c>
      <c r="E730" s="691"/>
      <c r="J730" s="569" t="s">
        <v>22</v>
      </c>
      <c r="K730" s="569">
        <v>19</v>
      </c>
    </row>
    <row r="731" spans="1:11" ht="21" customHeight="1" thickBot="1">
      <c r="A731" s="692">
        <v>14</v>
      </c>
      <c r="B731" s="1010" t="s">
        <v>122</v>
      </c>
      <c r="C731" s="1011"/>
      <c r="D731" s="693" t="str">
        <f>IF(E753="","",IF(INDEX(THHKI!$A$8:$Y$62,MATCH(PDHKI!E753,THHKI!$A$8:$A$62,0),INDEX($K$13:$K$27,MATCH(B731,$J$13:$J$27,0),1))&lt;1,"/",INDEX(THHKI!$A$8:$Y$62,MATCH(PDHKI!E753,THHKI!$A$8:$A$62,0),INDEX($K$13:$K$27,MATCH(B731,$J$13:$J$27,0),1))))</f>
        <v/>
      </c>
      <c r="E731" s="694"/>
      <c r="J731" s="569" t="s">
        <v>121</v>
      </c>
      <c r="K731" s="569">
        <v>20</v>
      </c>
    </row>
    <row r="732" spans="1:11" ht="21" customHeight="1" thickBot="1">
      <c r="A732" s="695">
        <v>15</v>
      </c>
      <c r="B732" s="1006" t="s">
        <v>149</v>
      </c>
      <c r="C732" s="1007"/>
      <c r="D732" s="696">
        <f>IF(E753="","",IF(INDEX(THHKI!$A$8:$Y$62,MATCH(PDHKI!E753,THHKI!$A$8:$A$62,0),22)&lt;1,"/",INDEX(THHKI!$A$8:$Y$62,MATCH(PDHKI!E753,THHKI!$A$8:$A$62,0),22)))</f>
        <v>9.4</v>
      </c>
      <c r="E732" s="697"/>
      <c r="J732" s="569" t="s">
        <v>122</v>
      </c>
      <c r="K732" s="569">
        <v>21</v>
      </c>
    </row>
    <row r="733" spans="1:11" ht="15.75" customHeight="1" thickBot="1"/>
    <row r="734" spans="1:11" s="570" customFormat="1" ht="21" customHeight="1">
      <c r="A734" s="698"/>
      <c r="B734" s="1019" t="s">
        <v>150</v>
      </c>
      <c r="C734" s="1020"/>
      <c r="D734" s="699" t="s">
        <v>10</v>
      </c>
      <c r="E734" s="700" t="s">
        <v>126</v>
      </c>
    </row>
    <row r="735" spans="1:11" ht="21" customHeight="1">
      <c r="A735" s="701">
        <v>16</v>
      </c>
      <c r="B735" s="1021" t="s">
        <v>151</v>
      </c>
      <c r="C735" s="1022"/>
      <c r="D735" s="702" t="str">
        <f>IF(E753="","",IF(INDEX(THHKI!$A$8:$Y$62,MATCH(PDHKI!E753,THHKI!$A$8:$A$62,0),23)="","/",INDEX(THHKI!$A$8:$Y$62,MATCH(PDHKI!E753,THHKI!$A$8:$A$62,0),23)))</f>
        <v>Giỏi</v>
      </c>
      <c r="E735" s="703"/>
    </row>
    <row r="736" spans="1:11" ht="21" customHeight="1">
      <c r="A736" s="701">
        <v>17</v>
      </c>
      <c r="B736" s="1021" t="s">
        <v>152</v>
      </c>
      <c r="C736" s="1022"/>
      <c r="D736" s="702" t="str">
        <f>IF(E753="","",IF(INDEX(THHKI!$A$8:$Y$62,MATCH(PDHKI!E753,THHKI!$A$8:$A$62,0),24)="","/",INDEX(THHKI!$A$8:$Y$62,MATCH(PDHKI!E753,THHKI!$A$8:$A$62,0),24)))</f>
        <v>Tốt</v>
      </c>
      <c r="E736" s="703"/>
    </row>
    <row r="737" spans="1:8" ht="21" customHeight="1" thickBot="1">
      <c r="A737" s="704">
        <v>18</v>
      </c>
      <c r="B737" s="1023" t="s">
        <v>153</v>
      </c>
      <c r="C737" s="1024"/>
      <c r="D737" s="705" t="str">
        <f>IF(E753="","",IF(INDEX(THHKI!$A$8:$Y$62,MATCH(PDHKI!E753,THHKI!$A$8:$A$62,0),25)="","/",INDEX(THHKI!$A$8:$Y$62,MATCH(PDHKI!E753,THHKI!$A$8:$A$62,0),25)))</f>
        <v>HSG</v>
      </c>
      <c r="E737" s="706"/>
    </row>
    <row r="738" spans="1:8" ht="9.75" customHeight="1"/>
    <row r="739" spans="1:8" ht="15.75" customHeight="1">
      <c r="A739" s="58" t="s">
        <v>219</v>
      </c>
    </row>
    <row r="740" spans="1:8" ht="18" customHeight="1">
      <c r="A740" s="59" t="str">
        <f>IF(E753="","",IF(INDEX(DiemHKI!$DE$4:$DH$58,MATCH(PDHKI!E753,DiemHKI!$B$4:$B$58,0),1)="","","- "&amp;INDEX(DiemHKI!$DE$4:$DH$58,MATCH(PDHKI!E753,DiemHKI!$B$4:$B$58,0),1)))</f>
        <v/>
      </c>
      <c r="H740" s="571"/>
    </row>
    <row r="741" spans="1:8" ht="18" customHeight="1">
      <c r="A741" s="59" t="str">
        <f>IF(E753="","",IF(INDEX(DiemHKI!$DE$4:$DH$58,MATCH(PDHKI!E753,DiemHKI!$B$4:$B$58,0),2)="","","- "&amp;INDEX(DiemHKI!$DE$4:$DH$58,MATCH(PDHKI!E753,DiemHKI!$B$4:$B$58,0),2)))</f>
        <v/>
      </c>
    </row>
    <row r="742" spans="1:8" ht="18" customHeight="1">
      <c r="A742" s="59" t="str">
        <f>IF(E753="","",IF(INDEX(DiemHKI!$DE$4:$DH$58,MATCH(PDHKI!E753,DiemHKI!$B$4:$B$58,0),3)="","","- "&amp;INDEX(DiemHKI!$DE$4:$DH$58,MATCH(PDHKI!E753,DiemHKI!$B$4:$B$58,0),3)))</f>
        <v/>
      </c>
    </row>
    <row r="743" spans="1:8" ht="18" customHeight="1">
      <c r="A743" s="59" t="str">
        <f>IF(E753="","",IF(INDEX(DiemHKI!$DE$4:$DH$58,MATCH(PDHKI!E753,DiemHKI!$B$4:$B$58,0),4)="","","- "&amp;INDEX(DiemHKI!$DE$4:$DH$58,MATCH(PDHKI!E753,DiemHKI!$B$4:$B$58,0),4)))</f>
        <v/>
      </c>
    </row>
    <row r="744" spans="1:8" ht="6.75" customHeight="1"/>
    <row r="745" spans="1:8" ht="16.5" customHeight="1">
      <c r="A745" s="61"/>
      <c r="C745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745" s="1026"/>
      <c r="E745" s="1026"/>
    </row>
    <row r="746" spans="1:8" ht="21.75" customHeight="1">
      <c r="A746" s="923" t="str">
        <f>IF($D$41="Hiệu trưởng","Giáo viên Quản nhiệm","")</f>
        <v>Giáo viên Quản nhiệm</v>
      </c>
      <c r="B746" s="923"/>
      <c r="C746" s="923"/>
      <c r="D746" s="707" t="str">
        <f>IF($G$5="","",$G$5)</f>
        <v>Hiệu trưởng</v>
      </c>
      <c r="E746" s="708"/>
    </row>
    <row r="747" spans="1:8" ht="15" customHeight="1">
      <c r="A747" s="61"/>
      <c r="B747" s="61"/>
      <c r="C747" s="61"/>
      <c r="D747" s="66"/>
      <c r="E747" s="66"/>
    </row>
    <row r="748" spans="1:8" ht="15" customHeight="1">
      <c r="A748" s="61"/>
      <c r="B748" s="61"/>
      <c r="C748" s="61"/>
      <c r="D748" s="66"/>
      <c r="E748" s="66"/>
    </row>
    <row r="749" spans="1:8" ht="15" customHeight="1">
      <c r="A749" s="61"/>
      <c r="B749" s="61"/>
      <c r="C749" s="61"/>
    </row>
    <row r="750" spans="1:8" ht="15" customHeight="1">
      <c r="A750" s="61"/>
      <c r="B750" s="61"/>
      <c r="C750" s="61"/>
    </row>
    <row r="751" spans="1:8" ht="16.5" customHeight="1">
      <c r="A751" s="1012" t="str">
        <f>IF($A$41="","",PROPER('Huong dan'!$C$4))</f>
        <v/>
      </c>
      <c r="B751" s="1012"/>
      <c r="C751" s="1012"/>
      <c r="D751" s="833" t="str">
        <f>IFERROR(IF($D$41="Giáo Viên Quản nhiệm",PROPER('Huong dan'!$C$4),IF($D$41="Hiệu trưởng",PROPER('Huong dan'!$E$5),"")),"")</f>
        <v/>
      </c>
      <c r="E751" s="708"/>
    </row>
    <row r="752" spans="1:8" ht="12.75" customHeight="1"/>
    <row r="753" spans="1:11" ht="12.75" customHeight="1">
      <c r="A753" s="709"/>
      <c r="B753" s="709"/>
      <c r="C753" s="709"/>
      <c r="D753" s="710"/>
      <c r="E753" s="711">
        <f>IF(E706="","",IF(E706&lt;MAX(DiemHKI!$B$4:$B$58),E706+1,""))</f>
        <v>16</v>
      </c>
    </row>
    <row r="754" spans="1:11" ht="8.25" customHeight="1">
      <c r="A754" s="709"/>
      <c r="B754" s="709"/>
      <c r="C754" s="709"/>
      <c r="D754" s="709"/>
      <c r="E754" s="709"/>
    </row>
    <row r="755" spans="1:11" ht="5.25" customHeight="1"/>
    <row r="756" spans="1:11" s="563" customFormat="1" ht="23.25" customHeight="1">
      <c r="A756" s="931" t="str">
        <f>IF('Huong dan'!$E$3&lt;&gt;"","SỞ GIÁO DỤC VÀ ĐÀO TẠO "&amp;UPPER('Huong dan'!$E$3),"")</f>
        <v>SỞ GIÁO DỤC VÀ ĐÀO TẠO TP. HỒ CHÍ MINH</v>
      </c>
      <c r="B756" s="931"/>
      <c r="C756" s="931"/>
      <c r="D756" s="923" t="s">
        <v>19</v>
      </c>
      <c r="E756" s="923"/>
    </row>
    <row r="757" spans="1:11" ht="17.25" customHeight="1">
      <c r="A757" s="931" t="str">
        <f>IF('Huong dan'!$E$4&lt;&gt;"","TRƯỜNG "&amp;UPPER('Huong dan'!$E$4),"")</f>
        <v>TRƯỜNG THCS VÀ THPT NGUYỄN KHUYẾN</v>
      </c>
      <c r="B757" s="931"/>
      <c r="C757" s="931"/>
      <c r="D757" s="1012" t="s">
        <v>179</v>
      </c>
      <c r="E757" s="1012"/>
    </row>
    <row r="758" spans="1:11" ht="24" customHeight="1">
      <c r="A758" s="61"/>
      <c r="B758" s="61"/>
      <c r="C758" s="61"/>
    </row>
    <row r="759" spans="1:11" ht="29.25" customHeight="1">
      <c r="A759" s="1013" t="str">
        <f>"PHIẾU ĐIỂM HỌC KỲ I - NĂM HỌC "&amp;'Huong dan'!$C$5</f>
        <v>PHIẾU ĐIỂM HỌC KỲ I - NĂM HỌC 2021 - 2022</v>
      </c>
      <c r="B759" s="1013"/>
      <c r="C759" s="1013"/>
      <c r="D759" s="1013"/>
      <c r="E759" s="1013"/>
    </row>
    <row r="760" spans="1:11" ht="15.75" customHeight="1">
      <c r="A760" s="680"/>
      <c r="B760" s="680"/>
    </row>
    <row r="761" spans="1:11" ht="21" customHeight="1">
      <c r="A761" s="1014" t="s">
        <v>145</v>
      </c>
      <c r="B761" s="1014"/>
      <c r="C761" s="1015" t="str">
        <f>IF(E800="","",INDEX(DiemHKI!$D$4:$D$58,MATCH(E800,DiemHKI!$B$4:$B$58,0),1)&amp;" "&amp;INDEX(DiemHKI!$E$4:$E$58,MATCH(E800,DiemHKI!$B$4:$B$58,0),1))</f>
        <v>Nguyễn Huỳnh Phúc Khang</v>
      </c>
      <c r="D761" s="1015"/>
      <c r="E761" s="62" t="str">
        <f>IF('Huong dan'!$C$3="","","Lớp: "&amp;'Huong dan'!$C$3)</f>
        <v>Lớp: 12A1</v>
      </c>
    </row>
    <row r="762" spans="1:11" ht="23.25" customHeight="1">
      <c r="A762" s="1014" t="s">
        <v>146</v>
      </c>
      <c r="B762" s="1014"/>
      <c r="C762" s="681" t="str">
        <f>IF(E800="","",INDEX(DiemHKI!$F$4:$F$58,MATCH(PDHKI!E800,DiemHKI!$B$4:$B$58,0),1))</f>
        <v>14/12/2004</v>
      </c>
      <c r="D762" s="1016" t="str">
        <f>IF(E800="","","Nơi sinh: "&amp;INDEX(DiemHKI!$G$4:$G$58,MATCH(PDHKI!E800,DiemHKI!$B$4:$B$58,0),1))</f>
        <v>Nơi sinh: TP. Hồ Chí Minh</v>
      </c>
      <c r="E762" s="1016"/>
    </row>
    <row r="763" spans="1:11" ht="13.5" customHeight="1" thickBot="1">
      <c r="A763" s="681"/>
      <c r="B763" s="682"/>
      <c r="D763" s="681"/>
      <c r="E763" s="681"/>
    </row>
    <row r="764" spans="1:11" ht="24" customHeight="1" thickBot="1">
      <c r="A764" s="683" t="s">
        <v>0</v>
      </c>
      <c r="B764" s="1006" t="s">
        <v>72</v>
      </c>
      <c r="C764" s="1007"/>
      <c r="D764" s="684" t="s">
        <v>147</v>
      </c>
      <c r="E764" s="685" t="s">
        <v>148</v>
      </c>
    </row>
    <row r="765" spans="1:11" ht="21" customHeight="1">
      <c r="A765" s="686">
        <v>1</v>
      </c>
      <c r="B765" s="1017" t="s">
        <v>26</v>
      </c>
      <c r="C765" s="1018"/>
      <c r="D765" s="687">
        <f>IF(E800="","",IF(INDEX(THHKI!$A$8:$Y$62,MATCH(PDHKI!E800,THHKI!$A$8:$A$62,0),INDEX($K$13:$K$27,MATCH(B765,$J$13:$J$27,0),1))&lt;1,"/",INDEX(THHKI!$A$8:$Y$62,MATCH(PDHKI!E800,THHKI!$A$8:$A$62,0),INDEX($K$13:$K$27,MATCH(B765,$J$13:$J$27,0),1))))</f>
        <v>9</v>
      </c>
      <c r="E765" s="688"/>
      <c r="J765" s="569" t="s">
        <v>26</v>
      </c>
      <c r="K765" s="569">
        <v>7</v>
      </c>
    </row>
    <row r="766" spans="1:11" ht="21" customHeight="1">
      <c r="A766" s="689">
        <v>2</v>
      </c>
      <c r="B766" s="1008" t="s">
        <v>27</v>
      </c>
      <c r="C766" s="1009"/>
      <c r="D766" s="690">
        <f>IF(E800="","",IF(INDEX(THHKI!$A$8:$Y$62,MATCH(PDHKI!E800,THHKI!$A$8:$A$62,0),INDEX($K$13:$K$27,MATCH(B766,$J$13:$J$27,0),1))&lt;1,"/",INDEX(THHKI!$A$8:$Y$62,MATCH(PDHKI!E800,THHKI!$A$8:$A$62,0),INDEX($K$13:$K$27,MATCH(B766,$J$13:$J$27,0),1))))</f>
        <v>9.3000000000000007</v>
      </c>
      <c r="E766" s="691"/>
      <c r="J766" s="569" t="s">
        <v>27</v>
      </c>
      <c r="K766" s="569">
        <v>8</v>
      </c>
    </row>
    <row r="767" spans="1:11" ht="21" customHeight="1">
      <c r="A767" s="689">
        <v>3</v>
      </c>
      <c r="B767" s="1008" t="s">
        <v>28</v>
      </c>
      <c r="C767" s="1009"/>
      <c r="D767" s="690">
        <f>IF(E800="","",IF(INDEX(THHKI!$A$8:$Y$62,MATCH(PDHKI!E800,THHKI!$A$8:$A$62,0),INDEX($K$13:$K$27,MATCH(B767,$J$13:$J$27,0),1))&lt;1,"/",INDEX(THHKI!$A$8:$Y$62,MATCH(PDHKI!E800,THHKI!$A$8:$A$62,0),INDEX($K$13:$K$27,MATCH(B767,$J$13:$J$27,0),1))))</f>
        <v>8.3000000000000007</v>
      </c>
      <c r="E767" s="691"/>
      <c r="J767" s="569" t="s">
        <v>28</v>
      </c>
      <c r="K767" s="569">
        <v>9</v>
      </c>
    </row>
    <row r="768" spans="1:11" ht="21" customHeight="1">
      <c r="A768" s="689">
        <v>4</v>
      </c>
      <c r="B768" s="1008" t="s">
        <v>29</v>
      </c>
      <c r="C768" s="1009"/>
      <c r="D768" s="690">
        <f>IF(E800="","",IF(INDEX(THHKI!$A$8:$Y$62,MATCH(PDHKI!E800,THHKI!$A$8:$A$62,0),INDEX($K$13:$K$27,MATCH(B768,$J$13:$J$27,0),1))&lt;1,"/",INDEX(THHKI!$A$8:$Y$62,MATCH(PDHKI!E800,THHKI!$A$8:$A$62,0),INDEX($K$13:$K$27,MATCH(B768,$J$13:$J$27,0),1))))</f>
        <v>9.1999999999999993</v>
      </c>
      <c r="E768" s="691"/>
      <c r="J768" s="569" t="s">
        <v>29</v>
      </c>
      <c r="K768" s="569">
        <v>10</v>
      </c>
    </row>
    <row r="769" spans="1:11" ht="21" customHeight="1">
      <c r="A769" s="689">
        <v>5</v>
      </c>
      <c r="B769" s="1008" t="s">
        <v>120</v>
      </c>
      <c r="C769" s="1009"/>
      <c r="D769" s="690">
        <f>IF(E800="","",IF(INDEX(THHKI!$A$8:$Y$62,MATCH(PDHKI!E800,THHKI!$A$8:$A$62,0),INDEX($K$13:$K$27,MATCH(B769,$J$13:$J$27,0),1))&lt;1,"/",INDEX(THHKI!$A$8:$Y$62,MATCH(PDHKI!E800,THHKI!$A$8:$A$62,0),INDEX($K$13:$K$27,MATCH(B769,$J$13:$J$27,0),1))))</f>
        <v>9.6</v>
      </c>
      <c r="E769" s="691"/>
      <c r="J769" s="569" t="s">
        <v>120</v>
      </c>
      <c r="K769" s="569">
        <v>11</v>
      </c>
    </row>
    <row r="770" spans="1:11" ht="21" customHeight="1">
      <c r="A770" s="689">
        <v>6</v>
      </c>
      <c r="B770" s="1008" t="s">
        <v>30</v>
      </c>
      <c r="C770" s="1009"/>
      <c r="D770" s="690">
        <f>IF(E800="","",IF(INDEX(THHKI!$A$8:$Y$62,MATCH(PDHKI!E800,THHKI!$A$8:$A$62,0),INDEX($K$13:$K$27,MATCH(B770,$J$13:$J$27,0),1))&lt;1,"/",INDEX(THHKI!$A$8:$Y$62,MATCH(PDHKI!E800,THHKI!$A$8:$A$62,0),INDEX($K$13:$K$27,MATCH(B770,$J$13:$J$27,0),1))))</f>
        <v>7.9</v>
      </c>
      <c r="E770" s="691"/>
      <c r="J770" s="569" t="s">
        <v>30</v>
      </c>
      <c r="K770" s="569">
        <v>12</v>
      </c>
    </row>
    <row r="771" spans="1:11" ht="21" customHeight="1">
      <c r="A771" s="689">
        <v>7</v>
      </c>
      <c r="B771" s="1008" t="s">
        <v>31</v>
      </c>
      <c r="C771" s="1009"/>
      <c r="D771" s="690">
        <f>IF(E800="","",IF(INDEX(THHKI!$A$8:$Y$62,MATCH(PDHKI!E800,THHKI!$A$8:$A$62,0),INDEX($K$13:$K$27,MATCH(B771,$J$13:$J$27,0),1))&lt;1,"/",INDEX(THHKI!$A$8:$Y$62,MATCH(PDHKI!E800,THHKI!$A$8:$A$62,0),INDEX($K$13:$K$27,MATCH(B771,$J$13:$J$27,0),1))))</f>
        <v>9.6</v>
      </c>
      <c r="E771" s="691"/>
      <c r="J771" s="569" t="s">
        <v>31</v>
      </c>
      <c r="K771" s="569">
        <v>13</v>
      </c>
    </row>
    <row r="772" spans="1:11" ht="21" customHeight="1">
      <c r="A772" s="689">
        <v>8</v>
      </c>
      <c r="B772" s="1008" t="s">
        <v>32</v>
      </c>
      <c r="C772" s="1009"/>
      <c r="D772" s="690">
        <f>IF(E800="","",IF(INDEX(THHKI!$A$8:$Y$62,MATCH(PDHKI!E800,THHKI!$A$8:$A$62,0),INDEX($K$13:$K$27,MATCH(B772,$J$13:$J$27,0),1))&lt;1,"/",INDEX(THHKI!$A$8:$Y$62,MATCH(PDHKI!E800,THHKI!$A$8:$A$62,0),INDEX($K$13:$K$27,MATCH(B772,$J$13:$J$27,0),1))))</f>
        <v>9.9</v>
      </c>
      <c r="E772" s="691"/>
      <c r="J772" s="569" t="s">
        <v>32</v>
      </c>
      <c r="K772" s="569">
        <v>14</v>
      </c>
    </row>
    <row r="773" spans="1:11" ht="21" customHeight="1">
      <c r="A773" s="689">
        <v>9</v>
      </c>
      <c r="B773" s="1008" t="s">
        <v>33</v>
      </c>
      <c r="C773" s="1009"/>
      <c r="D773" s="690">
        <f>IF(E800="","",IF(INDEX(THHKI!$A$8:$Y$62,MATCH(PDHKI!E800,THHKI!$A$8:$A$62,0),INDEX($K$13:$K$27,MATCH(B773,$J$13:$J$27,0),1))&lt;1,"/",INDEX(THHKI!$A$8:$Y$62,MATCH(PDHKI!E800,THHKI!$A$8:$A$62,0),INDEX($K$13:$K$27,MATCH(B773,$J$13:$J$27,0),1))))</f>
        <v>9.1999999999999993</v>
      </c>
      <c r="E773" s="691"/>
      <c r="J773" s="569" t="s">
        <v>33</v>
      </c>
      <c r="K773" s="569">
        <v>15</v>
      </c>
    </row>
    <row r="774" spans="1:11" ht="21" customHeight="1">
      <c r="A774" s="689">
        <v>10</v>
      </c>
      <c r="B774" s="1008" t="s">
        <v>60</v>
      </c>
      <c r="C774" s="1009"/>
      <c r="D774" s="690">
        <f>IF(E800="","",IF(INDEX(THHKI!$A$8:$Y$62,MATCH(PDHKI!E800,THHKI!$A$8:$A$62,0),INDEX($K$13:$K$27,MATCH(B774,$J$13:$J$27,0),1))&lt;1,"/",INDEX(THHKI!$A$8:$Y$62,MATCH(PDHKI!E800,THHKI!$A$8:$A$62,0),INDEX($K$13:$K$27,MATCH(B774,$J$13:$J$27,0),1))))</f>
        <v>9.5</v>
      </c>
      <c r="E774" s="691"/>
      <c r="J774" s="569" t="s">
        <v>60</v>
      </c>
      <c r="K774" s="569">
        <v>16</v>
      </c>
    </row>
    <row r="775" spans="1:11" ht="21" customHeight="1">
      <c r="A775" s="689">
        <v>11</v>
      </c>
      <c r="B775" s="1008" t="s">
        <v>34</v>
      </c>
      <c r="C775" s="1009"/>
      <c r="D775" s="690">
        <f>IF(E800="","",IF(INDEX(THHKI!$A$8:$Y$62,MATCH(PDHKI!E800,THHKI!$A$8:$A$62,0),INDEX($K$13:$K$27,MATCH(B775,$J$13:$J$27,0),1))&lt;1,"/",INDEX(THHKI!$A$8:$Y$62,MATCH(PDHKI!E800,THHKI!$A$8:$A$62,0),INDEX($K$13:$K$27,MATCH(B775,$J$13:$J$27,0),1))))</f>
        <v>9.8000000000000007</v>
      </c>
      <c r="E775" s="691"/>
      <c r="J775" s="569" t="s">
        <v>34</v>
      </c>
      <c r="K775" s="569">
        <v>17</v>
      </c>
    </row>
    <row r="776" spans="1:11" ht="21" customHeight="1">
      <c r="A776" s="689">
        <v>12</v>
      </c>
      <c r="B776" s="1008" t="s">
        <v>35</v>
      </c>
      <c r="C776" s="1009"/>
      <c r="D776" s="690" t="str">
        <f>IF(E800="","",IF(INDEX(THHKI!$A$8:$Y$62,MATCH(PDHKI!E800,THHKI!$A$8:$A$62,0),INDEX($K$13:$K$27,MATCH(B776,$J$13:$J$27,0),1))&lt;1,"/",INDEX(THHKI!$A$8:$Y$62,MATCH(PDHKI!E800,THHKI!$A$8:$A$62,0),INDEX($K$13:$K$27,MATCH(B776,$J$13:$J$27,0),1))))</f>
        <v>Đ</v>
      </c>
      <c r="E776" s="691"/>
      <c r="J776" s="569" t="s">
        <v>35</v>
      </c>
      <c r="K776" s="569">
        <v>18</v>
      </c>
    </row>
    <row r="777" spans="1:11" ht="21" customHeight="1">
      <c r="A777" s="689">
        <v>13</v>
      </c>
      <c r="B777" s="1008" t="s">
        <v>121</v>
      </c>
      <c r="C777" s="1009"/>
      <c r="D777" s="690">
        <f>IF(E800="","",IF(INDEX(THHKI!$A$8:$Y$62,MATCH(PDHKI!E800,THHKI!$A$8:$A$62,0),INDEX($K$13:$K$27,MATCH(B777,$J$13:$J$27,0),1))&lt;1,"/",INDEX(THHKI!$A$8:$Y$62,MATCH(PDHKI!E800,THHKI!$A$8:$A$62,0),INDEX($K$13:$K$27,MATCH(B777,$J$13:$J$27,0),1))))</f>
        <v>9.9</v>
      </c>
      <c r="E777" s="691"/>
      <c r="J777" s="569" t="s">
        <v>22</v>
      </c>
      <c r="K777" s="569">
        <v>19</v>
      </c>
    </row>
    <row r="778" spans="1:11" ht="21" customHeight="1" thickBot="1">
      <c r="A778" s="692">
        <v>14</v>
      </c>
      <c r="B778" s="1010" t="s">
        <v>122</v>
      </c>
      <c r="C778" s="1011"/>
      <c r="D778" s="693" t="str">
        <f>IF(E800="","",IF(INDEX(THHKI!$A$8:$Y$62,MATCH(PDHKI!E800,THHKI!$A$8:$A$62,0),INDEX($K$13:$K$27,MATCH(B778,$J$13:$J$27,0),1))&lt;1,"/",INDEX(THHKI!$A$8:$Y$62,MATCH(PDHKI!E800,THHKI!$A$8:$A$62,0),INDEX($K$13:$K$27,MATCH(B778,$J$13:$J$27,0),1))))</f>
        <v/>
      </c>
      <c r="E778" s="694"/>
      <c r="J778" s="569" t="s">
        <v>121</v>
      </c>
      <c r="K778" s="569">
        <v>20</v>
      </c>
    </row>
    <row r="779" spans="1:11" ht="21" customHeight="1" thickBot="1">
      <c r="A779" s="695">
        <v>15</v>
      </c>
      <c r="B779" s="1006" t="s">
        <v>149</v>
      </c>
      <c r="C779" s="1007"/>
      <c r="D779" s="696">
        <f>IF(E800="","",IF(INDEX(THHKI!$A$8:$Y$62,MATCH(PDHKI!E800,THHKI!$A$8:$A$62,0),22)&lt;1,"/",INDEX(THHKI!$A$8:$Y$62,MATCH(PDHKI!E800,THHKI!$A$8:$A$62,0),22)))</f>
        <v>9.3000000000000007</v>
      </c>
      <c r="E779" s="697"/>
      <c r="J779" s="569" t="s">
        <v>122</v>
      </c>
      <c r="K779" s="569">
        <v>21</v>
      </c>
    </row>
    <row r="780" spans="1:11" ht="15.75" customHeight="1" thickBot="1"/>
    <row r="781" spans="1:11" s="570" customFormat="1" ht="21" customHeight="1">
      <c r="A781" s="698"/>
      <c r="B781" s="1019" t="s">
        <v>150</v>
      </c>
      <c r="C781" s="1020"/>
      <c r="D781" s="699" t="s">
        <v>10</v>
      </c>
      <c r="E781" s="700" t="s">
        <v>126</v>
      </c>
    </row>
    <row r="782" spans="1:11" ht="21" customHeight="1">
      <c r="A782" s="701">
        <v>16</v>
      </c>
      <c r="B782" s="1021" t="s">
        <v>151</v>
      </c>
      <c r="C782" s="1022"/>
      <c r="D782" s="702" t="str">
        <f>IF(E800="","",IF(INDEX(THHKI!$A$8:$Y$62,MATCH(PDHKI!E800,THHKI!$A$8:$A$62,0),23)="","/",INDEX(THHKI!$A$8:$Y$62,MATCH(PDHKI!E800,THHKI!$A$8:$A$62,0),23)))</f>
        <v>Giỏi</v>
      </c>
      <c r="E782" s="703"/>
    </row>
    <row r="783" spans="1:11" ht="21" customHeight="1">
      <c r="A783" s="701">
        <v>17</v>
      </c>
      <c r="B783" s="1021" t="s">
        <v>152</v>
      </c>
      <c r="C783" s="1022"/>
      <c r="D783" s="702" t="str">
        <f>IF(E800="","",IF(INDEX(THHKI!$A$8:$Y$62,MATCH(PDHKI!E800,THHKI!$A$8:$A$62,0),24)="","/",INDEX(THHKI!$A$8:$Y$62,MATCH(PDHKI!E800,THHKI!$A$8:$A$62,0),24)))</f>
        <v>Tốt</v>
      </c>
      <c r="E783" s="703"/>
    </row>
    <row r="784" spans="1:11" ht="21" customHeight="1" thickBot="1">
      <c r="A784" s="704">
        <v>18</v>
      </c>
      <c r="B784" s="1023" t="s">
        <v>153</v>
      </c>
      <c r="C784" s="1024"/>
      <c r="D784" s="705" t="str">
        <f>IF(E800="","",IF(INDEX(THHKI!$A$8:$Y$62,MATCH(PDHKI!E800,THHKI!$A$8:$A$62,0),25)="","/",INDEX(THHKI!$A$8:$Y$62,MATCH(PDHKI!E800,THHKI!$A$8:$A$62,0),25)))</f>
        <v>HSG</v>
      </c>
      <c r="E784" s="706"/>
    </row>
    <row r="785" spans="1:8" ht="9.75" customHeight="1"/>
    <row r="786" spans="1:8" ht="15.75" customHeight="1">
      <c r="A786" s="58" t="s">
        <v>219</v>
      </c>
    </row>
    <row r="787" spans="1:8" ht="18" customHeight="1">
      <c r="A787" s="59" t="str">
        <f>IF(E800="","",IF(INDEX(DiemHKI!$DE$4:$DH$58,MATCH(PDHKI!E800,DiemHKI!$B$4:$B$58,0),1)="","","- "&amp;INDEX(DiemHKI!$DE$4:$DH$58,MATCH(PDHKI!E800,DiemHKI!$B$4:$B$58,0),1)))</f>
        <v/>
      </c>
      <c r="H787" s="571"/>
    </row>
    <row r="788" spans="1:8" ht="18" customHeight="1">
      <c r="A788" s="59" t="str">
        <f>IF(E800="","",IF(INDEX(DiemHKI!$DE$4:$DH$58,MATCH(PDHKI!E800,DiemHKI!$B$4:$B$58,0),2)="","","- "&amp;INDEX(DiemHKI!$DE$4:$DH$58,MATCH(PDHKI!E800,DiemHKI!$B$4:$B$58,0),2)))</f>
        <v/>
      </c>
    </row>
    <row r="789" spans="1:8" ht="18" customHeight="1">
      <c r="A789" s="59" t="str">
        <f>IF(E800="","",IF(INDEX(DiemHKI!$DE$4:$DH$58,MATCH(PDHKI!E800,DiemHKI!$B$4:$B$58,0),3)="","","- "&amp;INDEX(DiemHKI!$DE$4:$DH$58,MATCH(PDHKI!E800,DiemHKI!$B$4:$B$58,0),3)))</f>
        <v/>
      </c>
    </row>
    <row r="790" spans="1:8" ht="18" customHeight="1">
      <c r="A790" s="59" t="str">
        <f>IF(E800="","",IF(INDEX(DiemHKI!$DE$4:$DH$58,MATCH(PDHKI!E800,DiemHKI!$B$4:$B$58,0),4)="","","- "&amp;INDEX(DiemHKI!$DE$4:$DH$58,MATCH(PDHKI!E800,DiemHKI!$B$4:$B$58,0),4)))</f>
        <v/>
      </c>
    </row>
    <row r="791" spans="1:8" ht="6.75" customHeight="1"/>
    <row r="792" spans="1:8" ht="16.5" customHeight="1">
      <c r="A792" s="61"/>
      <c r="C792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792" s="1026"/>
      <c r="E792" s="1026"/>
    </row>
    <row r="793" spans="1:8" ht="21.75" customHeight="1">
      <c r="A793" s="923" t="str">
        <f>IF($D$41="Hiệu trưởng","Giáo viên Quản nhiệm","")</f>
        <v>Giáo viên Quản nhiệm</v>
      </c>
      <c r="B793" s="923"/>
      <c r="C793" s="923"/>
      <c r="D793" s="707" t="str">
        <f>IF($G$5="","",$G$5)</f>
        <v>Hiệu trưởng</v>
      </c>
      <c r="E793" s="708"/>
    </row>
    <row r="794" spans="1:8" ht="15" customHeight="1">
      <c r="A794" s="61"/>
      <c r="B794" s="61"/>
      <c r="C794" s="61"/>
      <c r="D794" s="66"/>
      <c r="E794" s="66"/>
    </row>
    <row r="795" spans="1:8" ht="15" customHeight="1">
      <c r="A795" s="61"/>
      <c r="B795" s="61"/>
      <c r="C795" s="61"/>
      <c r="D795" s="66"/>
      <c r="E795" s="66"/>
    </row>
    <row r="796" spans="1:8" ht="15" customHeight="1">
      <c r="A796" s="61"/>
      <c r="B796" s="61"/>
      <c r="C796" s="61"/>
    </row>
    <row r="797" spans="1:8" ht="15" customHeight="1">
      <c r="A797" s="61"/>
      <c r="B797" s="61"/>
      <c r="C797" s="61"/>
    </row>
    <row r="798" spans="1:8" ht="16.5" customHeight="1">
      <c r="A798" s="1012" t="str">
        <f>IF($A$41="","",PROPER('Huong dan'!$C$4))</f>
        <v/>
      </c>
      <c r="B798" s="1012"/>
      <c r="C798" s="1012"/>
      <c r="D798" s="833" t="str">
        <f>IFERROR(IF($D$41="Giáo Viên Quản nhiệm",PROPER('Huong dan'!$C$4),IF($D$41="Hiệu trưởng",PROPER('Huong dan'!$E$5),"")),"")</f>
        <v/>
      </c>
      <c r="E798" s="708"/>
    </row>
    <row r="799" spans="1:8" ht="12.75" customHeight="1"/>
    <row r="800" spans="1:8" ht="12.75" customHeight="1">
      <c r="A800" s="709"/>
      <c r="B800" s="709"/>
      <c r="C800" s="709"/>
      <c r="D800" s="710"/>
      <c r="E800" s="711">
        <f>IF(E753="","",IF(E753&lt;MAX(DiemHKI!$B$4:$B$58),E753+1,""))</f>
        <v>17</v>
      </c>
    </row>
    <row r="801" spans="1:11" ht="8.25" customHeight="1">
      <c r="A801" s="709"/>
      <c r="B801" s="709"/>
      <c r="C801" s="709"/>
      <c r="D801" s="709"/>
      <c r="E801" s="709"/>
    </row>
    <row r="802" spans="1:11" ht="5.25" customHeight="1"/>
    <row r="803" spans="1:11" s="563" customFormat="1" ht="23.25" customHeight="1">
      <c r="A803" s="931" t="str">
        <f>IF('Huong dan'!$E$3&lt;&gt;"","SỞ GIÁO DỤC VÀ ĐÀO TẠO "&amp;UPPER('Huong dan'!$E$3),"")</f>
        <v>SỞ GIÁO DỤC VÀ ĐÀO TẠO TP. HỒ CHÍ MINH</v>
      </c>
      <c r="B803" s="931"/>
      <c r="C803" s="931"/>
      <c r="D803" s="923" t="s">
        <v>19</v>
      </c>
      <c r="E803" s="923"/>
    </row>
    <row r="804" spans="1:11" ht="17.25" customHeight="1">
      <c r="A804" s="931" t="str">
        <f>IF('Huong dan'!$E$4&lt;&gt;"","TRƯỜNG "&amp;UPPER('Huong dan'!$E$4),"")</f>
        <v>TRƯỜNG THCS VÀ THPT NGUYỄN KHUYẾN</v>
      </c>
      <c r="B804" s="931"/>
      <c r="C804" s="931"/>
      <c r="D804" s="1012" t="s">
        <v>179</v>
      </c>
      <c r="E804" s="1012"/>
    </row>
    <row r="805" spans="1:11" ht="24" customHeight="1">
      <c r="A805" s="61"/>
      <c r="B805" s="61"/>
      <c r="C805" s="61"/>
    </row>
    <row r="806" spans="1:11" ht="29.25" customHeight="1">
      <c r="A806" s="1013" t="str">
        <f>"PHIẾU ĐIỂM HỌC KỲ I - NĂM HỌC "&amp;'Huong dan'!$C$5</f>
        <v>PHIẾU ĐIỂM HỌC KỲ I - NĂM HỌC 2021 - 2022</v>
      </c>
      <c r="B806" s="1013"/>
      <c r="C806" s="1013"/>
      <c r="D806" s="1013"/>
      <c r="E806" s="1013"/>
    </row>
    <row r="807" spans="1:11" ht="15.75" customHeight="1">
      <c r="A807" s="680"/>
      <c r="B807" s="680"/>
    </row>
    <row r="808" spans="1:11" ht="21" customHeight="1">
      <c r="A808" s="1014" t="s">
        <v>145</v>
      </c>
      <c r="B808" s="1014"/>
      <c r="C808" s="1015" t="str">
        <f>IF(E847="","",INDEX(DiemHKI!$D$4:$D$58,MATCH(E847,DiemHKI!$B$4:$B$58,0),1)&amp;" "&amp;INDEX(DiemHKI!$E$4:$E$58,MATCH(E847,DiemHKI!$B$4:$B$58,0),1))</f>
        <v>Nguyễn Đăng Khoa</v>
      </c>
      <c r="D808" s="1015"/>
      <c r="E808" s="62" t="str">
        <f>IF('Huong dan'!$C$3="","","Lớp: "&amp;'Huong dan'!$C$3)</f>
        <v>Lớp: 12A1</v>
      </c>
    </row>
    <row r="809" spans="1:11" ht="23.25" customHeight="1">
      <c r="A809" s="1014" t="s">
        <v>146</v>
      </c>
      <c r="B809" s="1014"/>
      <c r="C809" s="681" t="str">
        <f>IF(E847="","",INDEX(DiemHKI!$F$4:$F$58,MATCH(PDHKI!E847,DiemHKI!$B$4:$B$58,0),1))</f>
        <v>07/11/2004</v>
      </c>
      <c r="D809" s="1016" t="str">
        <f>IF(E847="","","Nơi sinh: "&amp;INDEX(DiemHKI!$G$4:$G$58,MATCH(PDHKI!E847,DiemHKI!$B$4:$B$58,0),1))</f>
        <v>Nơi sinh: TP. Hồ Chí Minh</v>
      </c>
      <c r="E809" s="1016"/>
    </row>
    <row r="810" spans="1:11" ht="13.5" customHeight="1" thickBot="1">
      <c r="A810" s="681"/>
      <c r="B810" s="682"/>
      <c r="D810" s="681"/>
      <c r="E810" s="681"/>
    </row>
    <row r="811" spans="1:11" ht="24" customHeight="1" thickBot="1">
      <c r="A811" s="683" t="s">
        <v>0</v>
      </c>
      <c r="B811" s="1006" t="s">
        <v>72</v>
      </c>
      <c r="C811" s="1007"/>
      <c r="D811" s="684" t="s">
        <v>147</v>
      </c>
      <c r="E811" s="685" t="s">
        <v>148</v>
      </c>
    </row>
    <row r="812" spans="1:11" ht="21" customHeight="1">
      <c r="A812" s="686">
        <v>1</v>
      </c>
      <c r="B812" s="1017" t="s">
        <v>26</v>
      </c>
      <c r="C812" s="1018"/>
      <c r="D812" s="687">
        <f>IF(E847="","",IF(INDEX(THHKI!$A$8:$Y$62,MATCH(PDHKI!E847,THHKI!$A$8:$A$62,0),INDEX($K$13:$K$27,MATCH(B812,$J$13:$J$27,0),1))&lt;1,"/",INDEX(THHKI!$A$8:$Y$62,MATCH(PDHKI!E847,THHKI!$A$8:$A$62,0),INDEX($K$13:$K$27,MATCH(B812,$J$13:$J$27,0),1))))</f>
        <v>9.9</v>
      </c>
      <c r="E812" s="688"/>
      <c r="J812" s="569" t="s">
        <v>26</v>
      </c>
      <c r="K812" s="569">
        <v>7</v>
      </c>
    </row>
    <row r="813" spans="1:11" ht="21" customHeight="1">
      <c r="A813" s="689">
        <v>2</v>
      </c>
      <c r="B813" s="1008" t="s">
        <v>27</v>
      </c>
      <c r="C813" s="1009"/>
      <c r="D813" s="690">
        <f>IF(E847="","",IF(INDEX(THHKI!$A$8:$Y$62,MATCH(PDHKI!E847,THHKI!$A$8:$A$62,0),INDEX($K$13:$K$27,MATCH(B813,$J$13:$J$27,0),1))&lt;1,"/",INDEX(THHKI!$A$8:$Y$62,MATCH(PDHKI!E847,THHKI!$A$8:$A$62,0),INDEX($K$13:$K$27,MATCH(B813,$J$13:$J$27,0),1))))</f>
        <v>10</v>
      </c>
      <c r="E813" s="691"/>
      <c r="J813" s="569" t="s">
        <v>27</v>
      </c>
      <c r="K813" s="569">
        <v>8</v>
      </c>
    </row>
    <row r="814" spans="1:11" ht="21" customHeight="1">
      <c r="A814" s="689">
        <v>3</v>
      </c>
      <c r="B814" s="1008" t="s">
        <v>28</v>
      </c>
      <c r="C814" s="1009"/>
      <c r="D814" s="690">
        <f>IF(E847="","",IF(INDEX(THHKI!$A$8:$Y$62,MATCH(PDHKI!E847,THHKI!$A$8:$A$62,0),INDEX($K$13:$K$27,MATCH(B814,$J$13:$J$27,0),1))&lt;1,"/",INDEX(THHKI!$A$8:$Y$62,MATCH(PDHKI!E847,THHKI!$A$8:$A$62,0),INDEX($K$13:$K$27,MATCH(B814,$J$13:$J$27,0),1))))</f>
        <v>9.9</v>
      </c>
      <c r="E814" s="691"/>
      <c r="J814" s="569" t="s">
        <v>28</v>
      </c>
      <c r="K814" s="569">
        <v>9</v>
      </c>
    </row>
    <row r="815" spans="1:11" ht="21" customHeight="1">
      <c r="A815" s="689">
        <v>4</v>
      </c>
      <c r="B815" s="1008" t="s">
        <v>29</v>
      </c>
      <c r="C815" s="1009"/>
      <c r="D815" s="690">
        <f>IF(E847="","",IF(INDEX(THHKI!$A$8:$Y$62,MATCH(PDHKI!E847,THHKI!$A$8:$A$62,0),INDEX($K$13:$K$27,MATCH(B815,$J$13:$J$27,0),1))&lt;1,"/",INDEX(THHKI!$A$8:$Y$62,MATCH(PDHKI!E847,THHKI!$A$8:$A$62,0),INDEX($K$13:$K$27,MATCH(B815,$J$13:$J$27,0),1))))</f>
        <v>9.5</v>
      </c>
      <c r="E815" s="691"/>
      <c r="J815" s="569" t="s">
        <v>29</v>
      </c>
      <c r="K815" s="569">
        <v>10</v>
      </c>
    </row>
    <row r="816" spans="1:11" ht="21" customHeight="1">
      <c r="A816" s="689">
        <v>5</v>
      </c>
      <c r="B816" s="1008" t="s">
        <v>120</v>
      </c>
      <c r="C816" s="1009"/>
      <c r="D816" s="690">
        <f>IF(E847="","",IF(INDEX(THHKI!$A$8:$Y$62,MATCH(PDHKI!E847,THHKI!$A$8:$A$62,0),INDEX($K$13:$K$27,MATCH(B816,$J$13:$J$27,0),1))&lt;1,"/",INDEX(THHKI!$A$8:$Y$62,MATCH(PDHKI!E847,THHKI!$A$8:$A$62,0),INDEX($K$13:$K$27,MATCH(B816,$J$13:$J$27,0),1))))</f>
        <v>9.8000000000000007</v>
      </c>
      <c r="E816" s="691"/>
      <c r="J816" s="569" t="s">
        <v>120</v>
      </c>
      <c r="K816" s="569">
        <v>11</v>
      </c>
    </row>
    <row r="817" spans="1:11" ht="21" customHeight="1">
      <c r="A817" s="689">
        <v>6</v>
      </c>
      <c r="B817" s="1008" t="s">
        <v>30</v>
      </c>
      <c r="C817" s="1009"/>
      <c r="D817" s="690">
        <f>IF(E847="","",IF(INDEX(THHKI!$A$8:$Y$62,MATCH(PDHKI!E847,THHKI!$A$8:$A$62,0),INDEX($K$13:$K$27,MATCH(B817,$J$13:$J$27,0),1))&lt;1,"/",INDEX(THHKI!$A$8:$Y$62,MATCH(PDHKI!E847,THHKI!$A$8:$A$62,0),INDEX($K$13:$K$27,MATCH(B817,$J$13:$J$27,0),1))))</f>
        <v>8.1</v>
      </c>
      <c r="E817" s="691"/>
      <c r="J817" s="569" t="s">
        <v>30</v>
      </c>
      <c r="K817" s="569">
        <v>12</v>
      </c>
    </row>
    <row r="818" spans="1:11" ht="21" customHeight="1">
      <c r="A818" s="689">
        <v>7</v>
      </c>
      <c r="B818" s="1008" t="s">
        <v>31</v>
      </c>
      <c r="C818" s="1009"/>
      <c r="D818" s="690">
        <f>IF(E847="","",IF(INDEX(THHKI!$A$8:$Y$62,MATCH(PDHKI!E847,THHKI!$A$8:$A$62,0),INDEX($K$13:$K$27,MATCH(B818,$J$13:$J$27,0),1))&lt;1,"/",INDEX(THHKI!$A$8:$Y$62,MATCH(PDHKI!E847,THHKI!$A$8:$A$62,0),INDEX($K$13:$K$27,MATCH(B818,$J$13:$J$27,0),1))))</f>
        <v>9.8000000000000007</v>
      </c>
      <c r="E818" s="691"/>
      <c r="J818" s="569" t="s">
        <v>31</v>
      </c>
      <c r="K818" s="569">
        <v>13</v>
      </c>
    </row>
    <row r="819" spans="1:11" ht="21" customHeight="1">
      <c r="A819" s="689">
        <v>8</v>
      </c>
      <c r="B819" s="1008" t="s">
        <v>32</v>
      </c>
      <c r="C819" s="1009"/>
      <c r="D819" s="690">
        <f>IF(E847="","",IF(INDEX(THHKI!$A$8:$Y$62,MATCH(PDHKI!E847,THHKI!$A$8:$A$62,0),INDEX($K$13:$K$27,MATCH(B819,$J$13:$J$27,0),1))&lt;1,"/",INDEX(THHKI!$A$8:$Y$62,MATCH(PDHKI!E847,THHKI!$A$8:$A$62,0),INDEX($K$13:$K$27,MATCH(B819,$J$13:$J$27,0),1))))</f>
        <v>9.9</v>
      </c>
      <c r="E819" s="691"/>
      <c r="J819" s="569" t="s">
        <v>32</v>
      </c>
      <c r="K819" s="569">
        <v>14</v>
      </c>
    </row>
    <row r="820" spans="1:11" ht="21" customHeight="1">
      <c r="A820" s="689">
        <v>9</v>
      </c>
      <c r="B820" s="1008" t="s">
        <v>33</v>
      </c>
      <c r="C820" s="1009"/>
      <c r="D820" s="690">
        <f>IF(E847="","",IF(INDEX(THHKI!$A$8:$Y$62,MATCH(PDHKI!E847,THHKI!$A$8:$A$62,0),INDEX($K$13:$K$27,MATCH(B820,$J$13:$J$27,0),1))&lt;1,"/",INDEX(THHKI!$A$8:$Y$62,MATCH(PDHKI!E847,THHKI!$A$8:$A$62,0),INDEX($K$13:$K$27,MATCH(B820,$J$13:$J$27,0),1))))</f>
        <v>9.3000000000000007</v>
      </c>
      <c r="E820" s="691"/>
      <c r="J820" s="569" t="s">
        <v>33</v>
      </c>
      <c r="K820" s="569">
        <v>15</v>
      </c>
    </row>
    <row r="821" spans="1:11" ht="21" customHeight="1">
      <c r="A821" s="689">
        <v>10</v>
      </c>
      <c r="B821" s="1008" t="s">
        <v>60</v>
      </c>
      <c r="C821" s="1009"/>
      <c r="D821" s="690">
        <f>IF(E847="","",IF(INDEX(THHKI!$A$8:$Y$62,MATCH(PDHKI!E847,THHKI!$A$8:$A$62,0),INDEX($K$13:$K$27,MATCH(B821,$J$13:$J$27,0),1))&lt;1,"/",INDEX(THHKI!$A$8:$Y$62,MATCH(PDHKI!E847,THHKI!$A$8:$A$62,0),INDEX($K$13:$K$27,MATCH(B821,$J$13:$J$27,0),1))))</f>
        <v>9.3000000000000007</v>
      </c>
      <c r="E821" s="691"/>
      <c r="J821" s="569" t="s">
        <v>60</v>
      </c>
      <c r="K821" s="569">
        <v>16</v>
      </c>
    </row>
    <row r="822" spans="1:11" ht="21" customHeight="1">
      <c r="A822" s="689">
        <v>11</v>
      </c>
      <c r="B822" s="1008" t="s">
        <v>34</v>
      </c>
      <c r="C822" s="1009"/>
      <c r="D822" s="690">
        <f>IF(E847="","",IF(INDEX(THHKI!$A$8:$Y$62,MATCH(PDHKI!E847,THHKI!$A$8:$A$62,0),INDEX($K$13:$K$27,MATCH(B822,$J$13:$J$27,0),1))&lt;1,"/",INDEX(THHKI!$A$8:$Y$62,MATCH(PDHKI!E847,THHKI!$A$8:$A$62,0),INDEX($K$13:$K$27,MATCH(B822,$J$13:$J$27,0),1))))</f>
        <v>9.8000000000000007</v>
      </c>
      <c r="E822" s="691"/>
      <c r="J822" s="569" t="s">
        <v>34</v>
      </c>
      <c r="K822" s="569">
        <v>17</v>
      </c>
    </row>
    <row r="823" spans="1:11" ht="21" customHeight="1">
      <c r="A823" s="689">
        <v>12</v>
      </c>
      <c r="B823" s="1008" t="s">
        <v>35</v>
      </c>
      <c r="C823" s="1009"/>
      <c r="D823" s="690" t="str">
        <f>IF(E847="","",IF(INDEX(THHKI!$A$8:$Y$62,MATCH(PDHKI!E847,THHKI!$A$8:$A$62,0),INDEX($K$13:$K$27,MATCH(B823,$J$13:$J$27,0),1))&lt;1,"/",INDEX(THHKI!$A$8:$Y$62,MATCH(PDHKI!E847,THHKI!$A$8:$A$62,0),INDEX($K$13:$K$27,MATCH(B823,$J$13:$J$27,0),1))))</f>
        <v>Đ</v>
      </c>
      <c r="E823" s="691"/>
      <c r="J823" s="569" t="s">
        <v>35</v>
      </c>
      <c r="K823" s="569">
        <v>18</v>
      </c>
    </row>
    <row r="824" spans="1:11" ht="21" customHeight="1">
      <c r="A824" s="689">
        <v>13</v>
      </c>
      <c r="B824" s="1008" t="s">
        <v>121</v>
      </c>
      <c r="C824" s="1009"/>
      <c r="D824" s="690">
        <f>IF(E847="","",IF(INDEX(THHKI!$A$8:$Y$62,MATCH(PDHKI!E847,THHKI!$A$8:$A$62,0),INDEX($K$13:$K$27,MATCH(B824,$J$13:$J$27,0),1))&lt;1,"/",INDEX(THHKI!$A$8:$Y$62,MATCH(PDHKI!E847,THHKI!$A$8:$A$62,0),INDEX($K$13:$K$27,MATCH(B824,$J$13:$J$27,0),1))))</f>
        <v>9.9</v>
      </c>
      <c r="E824" s="691"/>
      <c r="J824" s="569" t="s">
        <v>22</v>
      </c>
      <c r="K824" s="569">
        <v>19</v>
      </c>
    </row>
    <row r="825" spans="1:11" ht="21" customHeight="1" thickBot="1">
      <c r="A825" s="692">
        <v>14</v>
      </c>
      <c r="B825" s="1010" t="s">
        <v>122</v>
      </c>
      <c r="C825" s="1011"/>
      <c r="D825" s="693" t="str">
        <f>IF(E847="","",IF(INDEX(THHKI!$A$8:$Y$62,MATCH(PDHKI!E847,THHKI!$A$8:$A$62,0),INDEX($K$13:$K$27,MATCH(B825,$J$13:$J$27,0),1))&lt;1,"/",INDEX(THHKI!$A$8:$Y$62,MATCH(PDHKI!E847,THHKI!$A$8:$A$62,0),INDEX($K$13:$K$27,MATCH(B825,$J$13:$J$27,0),1))))</f>
        <v/>
      </c>
      <c r="E825" s="694"/>
      <c r="J825" s="569" t="s">
        <v>121</v>
      </c>
      <c r="K825" s="569">
        <v>20</v>
      </c>
    </row>
    <row r="826" spans="1:11" ht="21" customHeight="1" thickBot="1">
      <c r="A826" s="695">
        <v>15</v>
      </c>
      <c r="B826" s="1006" t="s">
        <v>149</v>
      </c>
      <c r="C826" s="1007"/>
      <c r="D826" s="696">
        <f>IF(E847="","",IF(INDEX(THHKI!$A$8:$Y$62,MATCH(PDHKI!E847,THHKI!$A$8:$A$62,0),22)&lt;1,"/",INDEX(THHKI!$A$8:$Y$62,MATCH(PDHKI!E847,THHKI!$A$8:$A$62,0),22)))</f>
        <v>9.6</v>
      </c>
      <c r="E826" s="697"/>
      <c r="J826" s="569" t="s">
        <v>122</v>
      </c>
      <c r="K826" s="569">
        <v>21</v>
      </c>
    </row>
    <row r="827" spans="1:11" ht="15.75" customHeight="1" thickBot="1"/>
    <row r="828" spans="1:11" s="570" customFormat="1" ht="21" customHeight="1">
      <c r="A828" s="698"/>
      <c r="B828" s="1019" t="s">
        <v>150</v>
      </c>
      <c r="C828" s="1020"/>
      <c r="D828" s="699" t="s">
        <v>10</v>
      </c>
      <c r="E828" s="700" t="s">
        <v>126</v>
      </c>
    </row>
    <row r="829" spans="1:11" ht="21" customHeight="1">
      <c r="A829" s="701">
        <v>16</v>
      </c>
      <c r="B829" s="1021" t="s">
        <v>151</v>
      </c>
      <c r="C829" s="1022"/>
      <c r="D829" s="702" t="str">
        <f>IF(E847="","",IF(INDEX(THHKI!$A$8:$Y$62,MATCH(PDHKI!E847,THHKI!$A$8:$A$62,0),23)="","/",INDEX(THHKI!$A$8:$Y$62,MATCH(PDHKI!E847,THHKI!$A$8:$A$62,0),23)))</f>
        <v>Giỏi</v>
      </c>
      <c r="E829" s="703"/>
    </row>
    <row r="830" spans="1:11" ht="21" customHeight="1">
      <c r="A830" s="701">
        <v>17</v>
      </c>
      <c r="B830" s="1021" t="s">
        <v>152</v>
      </c>
      <c r="C830" s="1022"/>
      <c r="D830" s="702" t="str">
        <f>IF(E847="","",IF(INDEX(THHKI!$A$8:$Y$62,MATCH(PDHKI!E847,THHKI!$A$8:$A$62,0),24)="","/",INDEX(THHKI!$A$8:$Y$62,MATCH(PDHKI!E847,THHKI!$A$8:$A$62,0),24)))</f>
        <v>Tốt</v>
      </c>
      <c r="E830" s="703"/>
    </row>
    <row r="831" spans="1:11" ht="21" customHeight="1" thickBot="1">
      <c r="A831" s="704">
        <v>18</v>
      </c>
      <c r="B831" s="1023" t="s">
        <v>153</v>
      </c>
      <c r="C831" s="1024"/>
      <c r="D831" s="705" t="str">
        <f>IF(E847="","",IF(INDEX(THHKI!$A$8:$Y$62,MATCH(PDHKI!E847,THHKI!$A$8:$A$62,0),25)="","/",INDEX(THHKI!$A$8:$Y$62,MATCH(PDHKI!E847,THHKI!$A$8:$A$62,0),25)))</f>
        <v>HSG</v>
      </c>
      <c r="E831" s="706"/>
    </row>
    <row r="832" spans="1:11" ht="9.75" customHeight="1"/>
    <row r="833" spans="1:8" ht="15.75" customHeight="1">
      <c r="A833" s="58" t="s">
        <v>219</v>
      </c>
    </row>
    <row r="834" spans="1:8" ht="18" customHeight="1">
      <c r="A834" s="59" t="str">
        <f>IF(E847="","",IF(INDEX(DiemHKI!$DE$4:$DH$58,MATCH(PDHKI!E847,DiemHKI!$B$4:$B$58,0),1)="","","- "&amp;INDEX(DiemHKI!$DE$4:$DH$58,MATCH(PDHKI!E847,DiemHKI!$B$4:$B$58,0),1)))</f>
        <v/>
      </c>
      <c r="H834" s="571"/>
    </row>
    <row r="835" spans="1:8" ht="18" customHeight="1">
      <c r="A835" s="59" t="str">
        <f>IF(E847="","",IF(INDEX(DiemHKI!$DE$4:$DH$58,MATCH(PDHKI!E847,DiemHKI!$B$4:$B$58,0),2)="","","- "&amp;INDEX(DiemHKI!$DE$4:$DH$58,MATCH(PDHKI!E847,DiemHKI!$B$4:$B$58,0),2)))</f>
        <v/>
      </c>
    </row>
    <row r="836" spans="1:8" ht="18" customHeight="1">
      <c r="A836" s="59" t="str">
        <f>IF(E847="","",IF(INDEX(DiemHKI!$DE$4:$DH$58,MATCH(PDHKI!E847,DiemHKI!$B$4:$B$58,0),3)="","","- "&amp;INDEX(DiemHKI!$DE$4:$DH$58,MATCH(PDHKI!E847,DiemHKI!$B$4:$B$58,0),3)))</f>
        <v/>
      </c>
    </row>
    <row r="837" spans="1:8" ht="18" customHeight="1">
      <c r="A837" s="59" t="str">
        <f>IF(E847="","",IF(INDEX(DiemHKI!$DE$4:$DH$58,MATCH(PDHKI!E847,DiemHKI!$B$4:$B$58,0),4)="","","- "&amp;INDEX(DiemHKI!$DE$4:$DH$58,MATCH(PDHKI!E847,DiemHKI!$B$4:$B$58,0),4)))</f>
        <v/>
      </c>
    </row>
    <row r="838" spans="1:8" ht="6.75" customHeight="1"/>
    <row r="839" spans="1:8" ht="16.5" customHeight="1">
      <c r="A839" s="61"/>
      <c r="C839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839" s="1026"/>
      <c r="E839" s="1026"/>
    </row>
    <row r="840" spans="1:8" ht="21.75" customHeight="1">
      <c r="A840" s="923" t="str">
        <f>IF($D$41="Hiệu trưởng","Giáo viên Quản nhiệm","")</f>
        <v>Giáo viên Quản nhiệm</v>
      </c>
      <c r="B840" s="923"/>
      <c r="C840" s="923"/>
      <c r="D840" s="707" t="str">
        <f>IF($G$5="","",$G$5)</f>
        <v>Hiệu trưởng</v>
      </c>
      <c r="E840" s="708"/>
    </row>
    <row r="841" spans="1:8" ht="15" customHeight="1">
      <c r="A841" s="61"/>
      <c r="B841" s="61"/>
      <c r="C841" s="61"/>
      <c r="D841" s="66"/>
      <c r="E841" s="66"/>
    </row>
    <row r="842" spans="1:8" ht="15" customHeight="1">
      <c r="A842" s="61"/>
      <c r="B842" s="61"/>
      <c r="C842" s="61"/>
      <c r="D842" s="66"/>
      <c r="E842" s="66"/>
    </row>
    <row r="843" spans="1:8" ht="15" customHeight="1">
      <c r="A843" s="61"/>
      <c r="B843" s="61"/>
      <c r="C843" s="61"/>
    </row>
    <row r="844" spans="1:8" ht="15" customHeight="1">
      <c r="A844" s="61"/>
      <c r="B844" s="61"/>
      <c r="C844" s="61"/>
    </row>
    <row r="845" spans="1:8" ht="16.5" customHeight="1">
      <c r="A845" s="1012" t="str">
        <f>IF($A$41="","",PROPER('Huong dan'!$C$4))</f>
        <v/>
      </c>
      <c r="B845" s="1012"/>
      <c r="C845" s="1012"/>
      <c r="D845" s="833" t="str">
        <f>IFERROR(IF($D$41="Giáo Viên Quản nhiệm",PROPER('Huong dan'!$C$4),IF($D$41="Hiệu trưởng",PROPER('Huong dan'!$E$5),"")),"")</f>
        <v/>
      </c>
      <c r="E845" s="708"/>
    </row>
    <row r="846" spans="1:8" ht="12.75" customHeight="1"/>
    <row r="847" spans="1:8" ht="12.75" customHeight="1">
      <c r="A847" s="709"/>
      <c r="B847" s="709"/>
      <c r="C847" s="709"/>
      <c r="D847" s="710"/>
      <c r="E847" s="711">
        <f>IF(E800="","",IF(E800&lt;MAX(DiemHKI!$B$4:$B$58),E800+1,""))</f>
        <v>18</v>
      </c>
    </row>
    <row r="848" spans="1:8" ht="8.25" customHeight="1">
      <c r="A848" s="709"/>
      <c r="B848" s="709"/>
      <c r="C848" s="709"/>
      <c r="D848" s="709"/>
      <c r="E848" s="709"/>
    </row>
    <row r="849" spans="1:11" ht="5.25" customHeight="1"/>
    <row r="850" spans="1:11" s="563" customFormat="1" ht="23.25" customHeight="1">
      <c r="A850" s="931" t="str">
        <f>IF('Huong dan'!$E$3&lt;&gt;"","SỞ GIÁO DỤC VÀ ĐÀO TẠO "&amp;UPPER('Huong dan'!$E$3),"")</f>
        <v>SỞ GIÁO DỤC VÀ ĐÀO TẠO TP. HỒ CHÍ MINH</v>
      </c>
      <c r="B850" s="931"/>
      <c r="C850" s="931"/>
      <c r="D850" s="923" t="s">
        <v>19</v>
      </c>
      <c r="E850" s="923"/>
    </row>
    <row r="851" spans="1:11" ht="17.25" customHeight="1">
      <c r="A851" s="931" t="str">
        <f>IF('Huong dan'!$E$4&lt;&gt;"","TRƯỜNG "&amp;UPPER('Huong dan'!$E$4),"")</f>
        <v>TRƯỜNG THCS VÀ THPT NGUYỄN KHUYẾN</v>
      </c>
      <c r="B851" s="931"/>
      <c r="C851" s="931"/>
      <c r="D851" s="1012" t="s">
        <v>179</v>
      </c>
      <c r="E851" s="1012"/>
    </row>
    <row r="852" spans="1:11" ht="24" customHeight="1">
      <c r="A852" s="61"/>
      <c r="B852" s="61"/>
      <c r="C852" s="61"/>
    </row>
    <row r="853" spans="1:11" ht="29.25" customHeight="1">
      <c r="A853" s="1013" t="str">
        <f>"PHIẾU ĐIỂM HỌC KỲ I - NĂM HỌC "&amp;'Huong dan'!$C$5</f>
        <v>PHIẾU ĐIỂM HỌC KỲ I - NĂM HỌC 2021 - 2022</v>
      </c>
      <c r="B853" s="1013"/>
      <c r="C853" s="1013"/>
      <c r="D853" s="1013"/>
      <c r="E853" s="1013"/>
    </row>
    <row r="854" spans="1:11" ht="15.75" customHeight="1">
      <c r="A854" s="680"/>
      <c r="B854" s="680"/>
    </row>
    <row r="855" spans="1:11" ht="21" customHeight="1">
      <c r="A855" s="1014" t="s">
        <v>145</v>
      </c>
      <c r="B855" s="1014"/>
      <c r="C855" s="1015" t="str">
        <f>IF(E894="","",INDEX(DiemHKI!$D$4:$D$58,MATCH(E894,DiemHKI!$B$4:$B$58,0),1)&amp;" "&amp;INDEX(DiemHKI!$E$4:$E$58,MATCH(E894,DiemHKI!$B$4:$B$58,0),1))</f>
        <v>Lê Tiến Khôi</v>
      </c>
      <c r="D855" s="1015"/>
      <c r="E855" s="62" t="str">
        <f>IF('Huong dan'!$C$3="","","Lớp: "&amp;'Huong dan'!$C$3)</f>
        <v>Lớp: 12A1</v>
      </c>
    </row>
    <row r="856" spans="1:11" ht="23.25" customHeight="1">
      <c r="A856" s="1014" t="s">
        <v>146</v>
      </c>
      <c r="B856" s="1014"/>
      <c r="C856" s="681" t="str">
        <f>IF(E894="","",INDEX(DiemHKI!$F$4:$F$58,MATCH(PDHKI!E894,DiemHKI!$B$4:$B$58,0),1))</f>
        <v>14/10/2004</v>
      </c>
      <c r="D856" s="1016" t="str">
        <f>IF(E894="","","Nơi sinh: "&amp;INDEX(DiemHKI!$G$4:$G$58,MATCH(PDHKI!E894,DiemHKI!$B$4:$B$58,0),1))</f>
        <v>Nơi sinh: Thái Bình</v>
      </c>
      <c r="E856" s="1016"/>
    </row>
    <row r="857" spans="1:11" ht="13.5" customHeight="1" thickBot="1">
      <c r="A857" s="681"/>
      <c r="B857" s="682"/>
      <c r="D857" s="681"/>
      <c r="E857" s="681"/>
    </row>
    <row r="858" spans="1:11" ht="24" customHeight="1" thickBot="1">
      <c r="A858" s="683" t="s">
        <v>0</v>
      </c>
      <c r="B858" s="1006" t="s">
        <v>72</v>
      </c>
      <c r="C858" s="1007"/>
      <c r="D858" s="684" t="s">
        <v>147</v>
      </c>
      <c r="E858" s="685" t="s">
        <v>148</v>
      </c>
    </row>
    <row r="859" spans="1:11" ht="21" customHeight="1">
      <c r="A859" s="686">
        <v>1</v>
      </c>
      <c r="B859" s="1017" t="s">
        <v>26</v>
      </c>
      <c r="C859" s="1018"/>
      <c r="D859" s="687">
        <f>IF(E894="","",IF(INDEX(THHKI!$A$8:$Y$62,MATCH(PDHKI!E894,THHKI!$A$8:$A$62,0),INDEX($K$13:$K$27,MATCH(B859,$J$13:$J$27,0),1))&lt;1,"/",INDEX(THHKI!$A$8:$Y$62,MATCH(PDHKI!E894,THHKI!$A$8:$A$62,0),INDEX($K$13:$K$27,MATCH(B859,$J$13:$J$27,0),1))))</f>
        <v>10</v>
      </c>
      <c r="E859" s="688"/>
      <c r="J859" s="569" t="s">
        <v>26</v>
      </c>
      <c r="K859" s="569">
        <v>7</v>
      </c>
    </row>
    <row r="860" spans="1:11" ht="21" customHeight="1">
      <c r="A860" s="689">
        <v>2</v>
      </c>
      <c r="B860" s="1008" t="s">
        <v>27</v>
      </c>
      <c r="C860" s="1009"/>
      <c r="D860" s="690">
        <f>IF(E894="","",IF(INDEX(THHKI!$A$8:$Y$62,MATCH(PDHKI!E894,THHKI!$A$8:$A$62,0),INDEX($K$13:$K$27,MATCH(B860,$J$13:$J$27,0),1))&lt;1,"/",INDEX(THHKI!$A$8:$Y$62,MATCH(PDHKI!E894,THHKI!$A$8:$A$62,0),INDEX($K$13:$K$27,MATCH(B860,$J$13:$J$27,0),1))))</f>
        <v>10</v>
      </c>
      <c r="E860" s="691"/>
      <c r="J860" s="569" t="s">
        <v>27</v>
      </c>
      <c r="K860" s="569">
        <v>8</v>
      </c>
    </row>
    <row r="861" spans="1:11" ht="21" customHeight="1">
      <c r="A861" s="689">
        <v>3</v>
      </c>
      <c r="B861" s="1008" t="s">
        <v>28</v>
      </c>
      <c r="C861" s="1009"/>
      <c r="D861" s="690">
        <f>IF(E894="","",IF(INDEX(THHKI!$A$8:$Y$62,MATCH(PDHKI!E894,THHKI!$A$8:$A$62,0),INDEX($K$13:$K$27,MATCH(B861,$J$13:$J$27,0),1))&lt;1,"/",INDEX(THHKI!$A$8:$Y$62,MATCH(PDHKI!E894,THHKI!$A$8:$A$62,0),INDEX($K$13:$K$27,MATCH(B861,$J$13:$J$27,0),1))))</f>
        <v>9.9</v>
      </c>
      <c r="E861" s="691"/>
      <c r="J861" s="569" t="s">
        <v>28</v>
      </c>
      <c r="K861" s="569">
        <v>9</v>
      </c>
    </row>
    <row r="862" spans="1:11" ht="21" customHeight="1">
      <c r="A862" s="689">
        <v>4</v>
      </c>
      <c r="B862" s="1008" t="s">
        <v>29</v>
      </c>
      <c r="C862" s="1009"/>
      <c r="D862" s="690">
        <f>IF(E894="","",IF(INDEX(THHKI!$A$8:$Y$62,MATCH(PDHKI!E894,THHKI!$A$8:$A$62,0),INDEX($K$13:$K$27,MATCH(B862,$J$13:$J$27,0),1))&lt;1,"/",INDEX(THHKI!$A$8:$Y$62,MATCH(PDHKI!E894,THHKI!$A$8:$A$62,0),INDEX($K$13:$K$27,MATCH(B862,$J$13:$J$27,0),1))))</f>
        <v>9.4</v>
      </c>
      <c r="E862" s="691"/>
      <c r="J862" s="569" t="s">
        <v>29</v>
      </c>
      <c r="K862" s="569">
        <v>10</v>
      </c>
    </row>
    <row r="863" spans="1:11" ht="21" customHeight="1">
      <c r="A863" s="689">
        <v>5</v>
      </c>
      <c r="B863" s="1008" t="s">
        <v>120</v>
      </c>
      <c r="C863" s="1009"/>
      <c r="D863" s="690">
        <f>IF(E894="","",IF(INDEX(THHKI!$A$8:$Y$62,MATCH(PDHKI!E894,THHKI!$A$8:$A$62,0),INDEX($K$13:$K$27,MATCH(B863,$J$13:$J$27,0),1))&lt;1,"/",INDEX(THHKI!$A$8:$Y$62,MATCH(PDHKI!E894,THHKI!$A$8:$A$62,0),INDEX($K$13:$K$27,MATCH(B863,$J$13:$J$27,0),1))))</f>
        <v>9.8000000000000007</v>
      </c>
      <c r="E863" s="691"/>
      <c r="J863" s="569" t="s">
        <v>120</v>
      </c>
      <c r="K863" s="569">
        <v>11</v>
      </c>
    </row>
    <row r="864" spans="1:11" ht="21" customHeight="1">
      <c r="A864" s="689">
        <v>6</v>
      </c>
      <c r="B864" s="1008" t="s">
        <v>30</v>
      </c>
      <c r="C864" s="1009"/>
      <c r="D864" s="690">
        <f>IF(E894="","",IF(INDEX(THHKI!$A$8:$Y$62,MATCH(PDHKI!E894,THHKI!$A$8:$A$62,0),INDEX($K$13:$K$27,MATCH(B864,$J$13:$J$27,0),1))&lt;1,"/",INDEX(THHKI!$A$8:$Y$62,MATCH(PDHKI!E894,THHKI!$A$8:$A$62,0),INDEX($K$13:$K$27,MATCH(B864,$J$13:$J$27,0),1))))</f>
        <v>7.5</v>
      </c>
      <c r="E864" s="691"/>
      <c r="J864" s="569" t="s">
        <v>30</v>
      </c>
      <c r="K864" s="569">
        <v>12</v>
      </c>
    </row>
    <row r="865" spans="1:11" ht="21" customHeight="1">
      <c r="A865" s="689">
        <v>7</v>
      </c>
      <c r="B865" s="1008" t="s">
        <v>31</v>
      </c>
      <c r="C865" s="1009"/>
      <c r="D865" s="690">
        <f>IF(E894="","",IF(INDEX(THHKI!$A$8:$Y$62,MATCH(PDHKI!E894,THHKI!$A$8:$A$62,0),INDEX($K$13:$K$27,MATCH(B865,$J$13:$J$27,0),1))&lt;1,"/",INDEX(THHKI!$A$8:$Y$62,MATCH(PDHKI!E894,THHKI!$A$8:$A$62,0),INDEX($K$13:$K$27,MATCH(B865,$J$13:$J$27,0),1))))</f>
        <v>9.4</v>
      </c>
      <c r="E865" s="691"/>
      <c r="J865" s="569" t="s">
        <v>31</v>
      </c>
      <c r="K865" s="569">
        <v>13</v>
      </c>
    </row>
    <row r="866" spans="1:11" ht="21" customHeight="1">
      <c r="A866" s="689">
        <v>8</v>
      </c>
      <c r="B866" s="1008" t="s">
        <v>32</v>
      </c>
      <c r="C866" s="1009"/>
      <c r="D866" s="690">
        <f>IF(E894="","",IF(INDEX(THHKI!$A$8:$Y$62,MATCH(PDHKI!E894,THHKI!$A$8:$A$62,0),INDEX($K$13:$K$27,MATCH(B866,$J$13:$J$27,0),1))&lt;1,"/",INDEX(THHKI!$A$8:$Y$62,MATCH(PDHKI!E894,THHKI!$A$8:$A$62,0),INDEX($K$13:$K$27,MATCH(B866,$J$13:$J$27,0),1))))</f>
        <v>9.6</v>
      </c>
      <c r="E866" s="691"/>
      <c r="J866" s="569" t="s">
        <v>32</v>
      </c>
      <c r="K866" s="569">
        <v>14</v>
      </c>
    </row>
    <row r="867" spans="1:11" ht="21" customHeight="1">
      <c r="A867" s="689">
        <v>9</v>
      </c>
      <c r="B867" s="1008" t="s">
        <v>33</v>
      </c>
      <c r="C867" s="1009"/>
      <c r="D867" s="690">
        <f>IF(E894="","",IF(INDEX(THHKI!$A$8:$Y$62,MATCH(PDHKI!E894,THHKI!$A$8:$A$62,0),INDEX($K$13:$K$27,MATCH(B867,$J$13:$J$27,0),1))&lt;1,"/",INDEX(THHKI!$A$8:$Y$62,MATCH(PDHKI!E894,THHKI!$A$8:$A$62,0),INDEX($K$13:$K$27,MATCH(B867,$J$13:$J$27,0),1))))</f>
        <v>9.4</v>
      </c>
      <c r="E867" s="691"/>
      <c r="J867" s="569" t="s">
        <v>33</v>
      </c>
      <c r="K867" s="569">
        <v>15</v>
      </c>
    </row>
    <row r="868" spans="1:11" ht="21" customHeight="1">
      <c r="A868" s="689">
        <v>10</v>
      </c>
      <c r="B868" s="1008" t="s">
        <v>60</v>
      </c>
      <c r="C868" s="1009"/>
      <c r="D868" s="690">
        <f>IF(E894="","",IF(INDEX(THHKI!$A$8:$Y$62,MATCH(PDHKI!E894,THHKI!$A$8:$A$62,0),INDEX($K$13:$K$27,MATCH(B868,$J$13:$J$27,0),1))&lt;1,"/",INDEX(THHKI!$A$8:$Y$62,MATCH(PDHKI!E894,THHKI!$A$8:$A$62,0),INDEX($K$13:$K$27,MATCH(B868,$J$13:$J$27,0),1))))</f>
        <v>9.6</v>
      </c>
      <c r="E868" s="691"/>
      <c r="J868" s="569" t="s">
        <v>60</v>
      </c>
      <c r="K868" s="569">
        <v>16</v>
      </c>
    </row>
    <row r="869" spans="1:11" ht="21" customHeight="1">
      <c r="A869" s="689">
        <v>11</v>
      </c>
      <c r="B869" s="1008" t="s">
        <v>34</v>
      </c>
      <c r="C869" s="1009"/>
      <c r="D869" s="690">
        <f>IF(E894="","",IF(INDEX(THHKI!$A$8:$Y$62,MATCH(PDHKI!E894,THHKI!$A$8:$A$62,0),INDEX($K$13:$K$27,MATCH(B869,$J$13:$J$27,0),1))&lt;1,"/",INDEX(THHKI!$A$8:$Y$62,MATCH(PDHKI!E894,THHKI!$A$8:$A$62,0),INDEX($K$13:$K$27,MATCH(B869,$J$13:$J$27,0),1))))</f>
        <v>9.8000000000000007</v>
      </c>
      <c r="E869" s="691"/>
      <c r="J869" s="569" t="s">
        <v>34</v>
      </c>
      <c r="K869" s="569">
        <v>17</v>
      </c>
    </row>
    <row r="870" spans="1:11" ht="21" customHeight="1">
      <c r="A870" s="689">
        <v>12</v>
      </c>
      <c r="B870" s="1008" t="s">
        <v>35</v>
      </c>
      <c r="C870" s="1009"/>
      <c r="D870" s="690" t="str">
        <f>IF(E894="","",IF(INDEX(THHKI!$A$8:$Y$62,MATCH(PDHKI!E894,THHKI!$A$8:$A$62,0),INDEX($K$13:$K$27,MATCH(B870,$J$13:$J$27,0),1))&lt;1,"/",INDEX(THHKI!$A$8:$Y$62,MATCH(PDHKI!E894,THHKI!$A$8:$A$62,0),INDEX($K$13:$K$27,MATCH(B870,$J$13:$J$27,0),1))))</f>
        <v>Đ</v>
      </c>
      <c r="E870" s="691"/>
      <c r="J870" s="569" t="s">
        <v>35</v>
      </c>
      <c r="K870" s="569">
        <v>18</v>
      </c>
    </row>
    <row r="871" spans="1:11" ht="21" customHeight="1">
      <c r="A871" s="689">
        <v>13</v>
      </c>
      <c r="B871" s="1008" t="s">
        <v>121</v>
      </c>
      <c r="C871" s="1009"/>
      <c r="D871" s="690">
        <f>IF(E894="","",IF(INDEX(THHKI!$A$8:$Y$62,MATCH(PDHKI!E894,THHKI!$A$8:$A$62,0),INDEX($K$13:$K$27,MATCH(B871,$J$13:$J$27,0),1))&lt;1,"/",INDEX(THHKI!$A$8:$Y$62,MATCH(PDHKI!E894,THHKI!$A$8:$A$62,0),INDEX($K$13:$K$27,MATCH(B871,$J$13:$J$27,0),1))))</f>
        <v>9.9</v>
      </c>
      <c r="E871" s="691"/>
      <c r="J871" s="569" t="s">
        <v>22</v>
      </c>
      <c r="K871" s="569">
        <v>19</v>
      </c>
    </row>
    <row r="872" spans="1:11" ht="21" customHeight="1" thickBot="1">
      <c r="A872" s="692">
        <v>14</v>
      </c>
      <c r="B872" s="1010" t="s">
        <v>122</v>
      </c>
      <c r="C872" s="1011"/>
      <c r="D872" s="693" t="str">
        <f>IF(E894="","",IF(INDEX(THHKI!$A$8:$Y$62,MATCH(PDHKI!E894,THHKI!$A$8:$A$62,0),INDEX($K$13:$K$27,MATCH(B872,$J$13:$J$27,0),1))&lt;1,"/",INDEX(THHKI!$A$8:$Y$62,MATCH(PDHKI!E894,THHKI!$A$8:$A$62,0),INDEX($K$13:$K$27,MATCH(B872,$J$13:$J$27,0),1))))</f>
        <v/>
      </c>
      <c r="E872" s="694"/>
      <c r="J872" s="569" t="s">
        <v>121</v>
      </c>
      <c r="K872" s="569">
        <v>20</v>
      </c>
    </row>
    <row r="873" spans="1:11" ht="21" customHeight="1" thickBot="1">
      <c r="A873" s="695">
        <v>15</v>
      </c>
      <c r="B873" s="1006" t="s">
        <v>149</v>
      </c>
      <c r="C873" s="1007"/>
      <c r="D873" s="696">
        <f>IF(E894="","",IF(INDEX(THHKI!$A$8:$Y$62,MATCH(PDHKI!E894,THHKI!$A$8:$A$62,0),22)&lt;1,"/",INDEX(THHKI!$A$8:$Y$62,MATCH(PDHKI!E894,THHKI!$A$8:$A$62,0),22)))</f>
        <v>9.5</v>
      </c>
      <c r="E873" s="697"/>
      <c r="J873" s="569" t="s">
        <v>122</v>
      </c>
      <c r="K873" s="569">
        <v>21</v>
      </c>
    </row>
    <row r="874" spans="1:11" ht="15.75" customHeight="1" thickBot="1"/>
    <row r="875" spans="1:11" s="570" customFormat="1" ht="21" customHeight="1">
      <c r="A875" s="698"/>
      <c r="B875" s="1019" t="s">
        <v>150</v>
      </c>
      <c r="C875" s="1020"/>
      <c r="D875" s="699" t="s">
        <v>10</v>
      </c>
      <c r="E875" s="700" t="s">
        <v>126</v>
      </c>
    </row>
    <row r="876" spans="1:11" ht="21" customHeight="1">
      <c r="A876" s="701">
        <v>16</v>
      </c>
      <c r="B876" s="1021" t="s">
        <v>151</v>
      </c>
      <c r="C876" s="1022"/>
      <c r="D876" s="702" t="str">
        <f>IF(E894="","",IF(INDEX(THHKI!$A$8:$Y$62,MATCH(PDHKI!E894,THHKI!$A$8:$A$62,0),23)="","/",INDEX(THHKI!$A$8:$Y$62,MATCH(PDHKI!E894,THHKI!$A$8:$A$62,0),23)))</f>
        <v>Giỏi</v>
      </c>
      <c r="E876" s="703"/>
    </row>
    <row r="877" spans="1:11" ht="21" customHeight="1">
      <c r="A877" s="701">
        <v>17</v>
      </c>
      <c r="B877" s="1021" t="s">
        <v>152</v>
      </c>
      <c r="C877" s="1022"/>
      <c r="D877" s="702" t="str">
        <f>IF(E894="","",IF(INDEX(THHKI!$A$8:$Y$62,MATCH(PDHKI!E894,THHKI!$A$8:$A$62,0),24)="","/",INDEX(THHKI!$A$8:$Y$62,MATCH(PDHKI!E894,THHKI!$A$8:$A$62,0),24)))</f>
        <v>Tốt</v>
      </c>
      <c r="E877" s="703"/>
    </row>
    <row r="878" spans="1:11" ht="21" customHeight="1" thickBot="1">
      <c r="A878" s="704">
        <v>18</v>
      </c>
      <c r="B878" s="1023" t="s">
        <v>153</v>
      </c>
      <c r="C878" s="1024"/>
      <c r="D878" s="705" t="str">
        <f>IF(E894="","",IF(INDEX(THHKI!$A$8:$Y$62,MATCH(PDHKI!E894,THHKI!$A$8:$A$62,0),25)="","/",INDEX(THHKI!$A$8:$Y$62,MATCH(PDHKI!E894,THHKI!$A$8:$A$62,0),25)))</f>
        <v>HSG</v>
      </c>
      <c r="E878" s="706"/>
    </row>
    <row r="879" spans="1:11" ht="9.75" customHeight="1"/>
    <row r="880" spans="1:11" ht="15.75" customHeight="1">
      <c r="A880" s="58" t="s">
        <v>219</v>
      </c>
    </row>
    <row r="881" spans="1:8" ht="18" customHeight="1">
      <c r="A881" s="59" t="str">
        <f>IF(E894="","",IF(INDEX(DiemHKI!$DE$4:$DH$58,MATCH(PDHKI!E894,DiemHKI!$B$4:$B$58,0),1)="","","- "&amp;INDEX(DiemHKI!$DE$4:$DH$58,MATCH(PDHKI!E894,DiemHKI!$B$4:$B$58,0),1)))</f>
        <v/>
      </c>
      <c r="H881" s="571"/>
    </row>
    <row r="882" spans="1:8" ht="18" customHeight="1">
      <c r="A882" s="59" t="str">
        <f>IF(E894="","",IF(INDEX(DiemHKI!$DE$4:$DH$58,MATCH(PDHKI!E894,DiemHKI!$B$4:$B$58,0),2)="","","- "&amp;INDEX(DiemHKI!$DE$4:$DH$58,MATCH(PDHKI!E894,DiemHKI!$B$4:$B$58,0),2)))</f>
        <v/>
      </c>
    </row>
    <row r="883" spans="1:8" ht="18" customHeight="1">
      <c r="A883" s="59" t="str">
        <f>IF(E894="","",IF(INDEX(DiemHKI!$DE$4:$DH$58,MATCH(PDHKI!E894,DiemHKI!$B$4:$B$58,0),3)="","","- "&amp;INDEX(DiemHKI!$DE$4:$DH$58,MATCH(PDHKI!E894,DiemHKI!$B$4:$B$58,0),3)))</f>
        <v/>
      </c>
    </row>
    <row r="884" spans="1:8" ht="18" customHeight="1">
      <c r="A884" s="59" t="str">
        <f>IF(E894="","",IF(INDEX(DiemHKI!$DE$4:$DH$58,MATCH(PDHKI!E894,DiemHKI!$B$4:$B$58,0),4)="","","- "&amp;INDEX(DiemHKI!$DE$4:$DH$58,MATCH(PDHKI!E894,DiemHKI!$B$4:$B$58,0),4)))</f>
        <v/>
      </c>
    </row>
    <row r="885" spans="1:8" ht="6.75" customHeight="1"/>
    <row r="886" spans="1:8" ht="16.5" customHeight="1">
      <c r="A886" s="61"/>
      <c r="C886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886" s="1026"/>
      <c r="E886" s="1026"/>
    </row>
    <row r="887" spans="1:8" ht="21.75" customHeight="1">
      <c r="A887" s="923" t="str">
        <f>IF($D$41="Hiệu trưởng","Giáo viên Quản nhiệm","")</f>
        <v>Giáo viên Quản nhiệm</v>
      </c>
      <c r="B887" s="923"/>
      <c r="C887" s="923"/>
      <c r="D887" s="707" t="str">
        <f>IF($G$5="","",$G$5)</f>
        <v>Hiệu trưởng</v>
      </c>
      <c r="E887" s="708"/>
    </row>
    <row r="888" spans="1:8" ht="15" customHeight="1">
      <c r="A888" s="61"/>
      <c r="B888" s="61"/>
      <c r="C888" s="61"/>
      <c r="D888" s="66"/>
      <c r="E888" s="66"/>
    </row>
    <row r="889" spans="1:8" ht="15" customHeight="1">
      <c r="A889" s="61"/>
      <c r="B889" s="61"/>
      <c r="C889" s="61"/>
      <c r="D889" s="66"/>
      <c r="E889" s="66"/>
    </row>
    <row r="890" spans="1:8" ht="15" customHeight="1">
      <c r="A890" s="61"/>
      <c r="B890" s="61"/>
      <c r="C890" s="61"/>
    </row>
    <row r="891" spans="1:8" ht="15" customHeight="1">
      <c r="A891" s="61"/>
      <c r="B891" s="61"/>
      <c r="C891" s="61"/>
    </row>
    <row r="892" spans="1:8" ht="16.5" customHeight="1">
      <c r="A892" s="1012" t="str">
        <f>IF($A$41="","",PROPER('Huong dan'!$C$4))</f>
        <v/>
      </c>
      <c r="B892" s="1012"/>
      <c r="C892" s="1012"/>
      <c r="D892" s="833" t="str">
        <f>IFERROR(IF($D$41="Giáo Viên Quản nhiệm",PROPER('Huong dan'!$C$4),IF($D$41="Hiệu trưởng",PROPER('Huong dan'!$E$5),"")),"")</f>
        <v/>
      </c>
      <c r="E892" s="708"/>
    </row>
    <row r="893" spans="1:8" ht="12.75" customHeight="1"/>
    <row r="894" spans="1:8" ht="12.75" customHeight="1">
      <c r="A894" s="709"/>
      <c r="B894" s="709"/>
      <c r="C894" s="709"/>
      <c r="D894" s="710"/>
      <c r="E894" s="711">
        <f>IF(E847="","",IF(E847&lt;MAX(DiemHKI!$B$4:$B$58),E847+1,""))</f>
        <v>19</v>
      </c>
    </row>
    <row r="895" spans="1:8" ht="8.25" customHeight="1">
      <c r="A895" s="709"/>
      <c r="B895" s="709"/>
      <c r="C895" s="709"/>
      <c r="D895" s="709"/>
      <c r="E895" s="709"/>
    </row>
    <row r="896" spans="1:8" ht="5.25" customHeight="1"/>
    <row r="897" spans="1:11" s="563" customFormat="1" ht="23.25" customHeight="1">
      <c r="A897" s="931" t="str">
        <f>IF('Huong dan'!$E$3&lt;&gt;"","SỞ GIÁO DỤC VÀ ĐÀO TẠO "&amp;UPPER('Huong dan'!$E$3),"")</f>
        <v>SỞ GIÁO DỤC VÀ ĐÀO TẠO TP. HỒ CHÍ MINH</v>
      </c>
      <c r="B897" s="931"/>
      <c r="C897" s="931"/>
      <c r="D897" s="923" t="s">
        <v>19</v>
      </c>
      <c r="E897" s="923"/>
    </row>
    <row r="898" spans="1:11" ht="17.25" customHeight="1">
      <c r="A898" s="931" t="str">
        <f>IF('Huong dan'!$E$4&lt;&gt;"","TRƯỜNG "&amp;UPPER('Huong dan'!$E$4),"")</f>
        <v>TRƯỜNG THCS VÀ THPT NGUYỄN KHUYẾN</v>
      </c>
      <c r="B898" s="931"/>
      <c r="C898" s="931"/>
      <c r="D898" s="1012" t="s">
        <v>179</v>
      </c>
      <c r="E898" s="1012"/>
    </row>
    <row r="899" spans="1:11" ht="24" customHeight="1">
      <c r="A899" s="61"/>
      <c r="B899" s="61"/>
      <c r="C899" s="61"/>
    </row>
    <row r="900" spans="1:11" ht="29.25" customHeight="1">
      <c r="A900" s="1013" t="str">
        <f>"PHIẾU ĐIỂM HỌC KỲ I - NĂM HỌC "&amp;'Huong dan'!$C$5</f>
        <v>PHIẾU ĐIỂM HỌC KỲ I - NĂM HỌC 2021 - 2022</v>
      </c>
      <c r="B900" s="1013"/>
      <c r="C900" s="1013"/>
      <c r="D900" s="1013"/>
      <c r="E900" s="1013"/>
    </row>
    <row r="901" spans="1:11" ht="15.75" customHeight="1">
      <c r="A901" s="680"/>
      <c r="B901" s="680"/>
    </row>
    <row r="902" spans="1:11" ht="21" customHeight="1">
      <c r="A902" s="1014" t="s">
        <v>145</v>
      </c>
      <c r="B902" s="1014"/>
      <c r="C902" s="1015" t="str">
        <f>IF(E941="","",INDEX(DiemHKI!$D$4:$D$58,MATCH(E941,DiemHKI!$B$4:$B$58,0),1)&amp;" "&amp;INDEX(DiemHKI!$E$4:$E$58,MATCH(E941,DiemHKI!$B$4:$B$58,0),1))</f>
        <v>Nguyễn Phúc Lâm</v>
      </c>
      <c r="D902" s="1015"/>
      <c r="E902" s="62" t="str">
        <f>IF('Huong dan'!$C$3="","","Lớp: "&amp;'Huong dan'!$C$3)</f>
        <v>Lớp: 12A1</v>
      </c>
    </row>
    <row r="903" spans="1:11" ht="23.25" customHeight="1">
      <c r="A903" s="1014" t="s">
        <v>146</v>
      </c>
      <c r="B903" s="1014"/>
      <c r="C903" s="681" t="str">
        <f>IF(E941="","",INDEX(DiemHKI!$F$4:$F$58,MATCH(PDHKI!E941,DiemHKI!$B$4:$B$58,0),1))</f>
        <v>02/04/2004</v>
      </c>
      <c r="D903" s="1016" t="str">
        <f>IF(E941="","","Nơi sinh: "&amp;INDEX(DiemHKI!$G$4:$G$58,MATCH(PDHKI!E941,DiemHKI!$B$4:$B$58,0),1))</f>
        <v>Nơi sinh: Bình Thuận</v>
      </c>
      <c r="E903" s="1016"/>
    </row>
    <row r="904" spans="1:11" ht="13.5" customHeight="1" thickBot="1">
      <c r="A904" s="681"/>
      <c r="B904" s="682"/>
      <c r="D904" s="681"/>
      <c r="E904" s="681"/>
    </row>
    <row r="905" spans="1:11" ht="24" customHeight="1" thickBot="1">
      <c r="A905" s="683" t="s">
        <v>0</v>
      </c>
      <c r="B905" s="1006" t="s">
        <v>72</v>
      </c>
      <c r="C905" s="1007"/>
      <c r="D905" s="684" t="s">
        <v>147</v>
      </c>
      <c r="E905" s="685" t="s">
        <v>148</v>
      </c>
    </row>
    <row r="906" spans="1:11" ht="21" customHeight="1">
      <c r="A906" s="686">
        <v>1</v>
      </c>
      <c r="B906" s="1017" t="s">
        <v>26</v>
      </c>
      <c r="C906" s="1018"/>
      <c r="D906" s="687">
        <f>IF(E941="","",IF(INDEX(THHKI!$A$8:$Y$62,MATCH(PDHKI!E941,THHKI!$A$8:$A$62,0),INDEX($K$13:$K$27,MATCH(B906,$J$13:$J$27,0),1))&lt;1,"/",INDEX(THHKI!$A$8:$Y$62,MATCH(PDHKI!E941,THHKI!$A$8:$A$62,0),INDEX($K$13:$K$27,MATCH(B906,$J$13:$J$27,0),1))))</f>
        <v>9.3000000000000007</v>
      </c>
      <c r="E906" s="688"/>
      <c r="J906" s="569" t="s">
        <v>26</v>
      </c>
      <c r="K906" s="569">
        <v>7</v>
      </c>
    </row>
    <row r="907" spans="1:11" ht="21" customHeight="1">
      <c r="A907" s="689">
        <v>2</v>
      </c>
      <c r="B907" s="1008" t="s">
        <v>27</v>
      </c>
      <c r="C907" s="1009"/>
      <c r="D907" s="690">
        <f>IF(E941="","",IF(INDEX(THHKI!$A$8:$Y$62,MATCH(PDHKI!E941,THHKI!$A$8:$A$62,0),INDEX($K$13:$K$27,MATCH(B907,$J$13:$J$27,0),1))&lt;1,"/",INDEX(THHKI!$A$8:$Y$62,MATCH(PDHKI!E941,THHKI!$A$8:$A$62,0),INDEX($K$13:$K$27,MATCH(B907,$J$13:$J$27,0),1))))</f>
        <v>8.9</v>
      </c>
      <c r="E907" s="691"/>
      <c r="J907" s="569" t="s">
        <v>27</v>
      </c>
      <c r="K907" s="569">
        <v>8</v>
      </c>
    </row>
    <row r="908" spans="1:11" ht="21" customHeight="1">
      <c r="A908" s="689">
        <v>3</v>
      </c>
      <c r="B908" s="1008" t="s">
        <v>28</v>
      </c>
      <c r="C908" s="1009"/>
      <c r="D908" s="690">
        <f>IF(E941="","",IF(INDEX(THHKI!$A$8:$Y$62,MATCH(PDHKI!E941,THHKI!$A$8:$A$62,0),INDEX($K$13:$K$27,MATCH(B908,$J$13:$J$27,0),1))&lt;1,"/",INDEX(THHKI!$A$8:$Y$62,MATCH(PDHKI!E941,THHKI!$A$8:$A$62,0),INDEX($K$13:$K$27,MATCH(B908,$J$13:$J$27,0),1))))</f>
        <v>9.3000000000000007</v>
      </c>
      <c r="E908" s="691"/>
      <c r="J908" s="569" t="s">
        <v>28</v>
      </c>
      <c r="K908" s="569">
        <v>9</v>
      </c>
    </row>
    <row r="909" spans="1:11" ht="21" customHeight="1">
      <c r="A909" s="689">
        <v>4</v>
      </c>
      <c r="B909" s="1008" t="s">
        <v>29</v>
      </c>
      <c r="C909" s="1009"/>
      <c r="D909" s="690">
        <f>IF(E941="","",IF(INDEX(THHKI!$A$8:$Y$62,MATCH(PDHKI!E941,THHKI!$A$8:$A$62,0),INDEX($K$13:$K$27,MATCH(B909,$J$13:$J$27,0),1))&lt;1,"/",INDEX(THHKI!$A$8:$Y$62,MATCH(PDHKI!E941,THHKI!$A$8:$A$62,0),INDEX($K$13:$K$27,MATCH(B909,$J$13:$J$27,0),1))))</f>
        <v>8.6</v>
      </c>
      <c r="E909" s="691"/>
      <c r="J909" s="569" t="s">
        <v>29</v>
      </c>
      <c r="K909" s="569">
        <v>10</v>
      </c>
    </row>
    <row r="910" spans="1:11" ht="21" customHeight="1">
      <c r="A910" s="689">
        <v>5</v>
      </c>
      <c r="B910" s="1008" t="s">
        <v>120</v>
      </c>
      <c r="C910" s="1009"/>
      <c r="D910" s="690">
        <f>IF(E941="","",IF(INDEX(THHKI!$A$8:$Y$62,MATCH(PDHKI!E941,THHKI!$A$8:$A$62,0),INDEX($K$13:$K$27,MATCH(B910,$J$13:$J$27,0),1))&lt;1,"/",INDEX(THHKI!$A$8:$Y$62,MATCH(PDHKI!E941,THHKI!$A$8:$A$62,0),INDEX($K$13:$K$27,MATCH(B910,$J$13:$J$27,0),1))))</f>
        <v>9.8000000000000007</v>
      </c>
      <c r="E910" s="691"/>
      <c r="J910" s="569" t="s">
        <v>120</v>
      </c>
      <c r="K910" s="569">
        <v>11</v>
      </c>
    </row>
    <row r="911" spans="1:11" ht="21" customHeight="1">
      <c r="A911" s="689">
        <v>6</v>
      </c>
      <c r="B911" s="1008" t="s">
        <v>30</v>
      </c>
      <c r="C911" s="1009"/>
      <c r="D911" s="690">
        <f>IF(E941="","",IF(INDEX(THHKI!$A$8:$Y$62,MATCH(PDHKI!E941,THHKI!$A$8:$A$62,0),INDEX($K$13:$K$27,MATCH(B911,$J$13:$J$27,0),1))&lt;1,"/",INDEX(THHKI!$A$8:$Y$62,MATCH(PDHKI!E941,THHKI!$A$8:$A$62,0),INDEX($K$13:$K$27,MATCH(B911,$J$13:$J$27,0),1))))</f>
        <v>7.4</v>
      </c>
      <c r="E911" s="691"/>
      <c r="J911" s="569" t="s">
        <v>30</v>
      </c>
      <c r="K911" s="569">
        <v>12</v>
      </c>
    </row>
    <row r="912" spans="1:11" ht="21" customHeight="1">
      <c r="A912" s="689">
        <v>7</v>
      </c>
      <c r="B912" s="1008" t="s">
        <v>31</v>
      </c>
      <c r="C912" s="1009"/>
      <c r="D912" s="690">
        <f>IF(E941="","",IF(INDEX(THHKI!$A$8:$Y$62,MATCH(PDHKI!E941,THHKI!$A$8:$A$62,0),INDEX($K$13:$K$27,MATCH(B912,$J$13:$J$27,0),1))&lt;1,"/",INDEX(THHKI!$A$8:$Y$62,MATCH(PDHKI!E941,THHKI!$A$8:$A$62,0),INDEX($K$13:$K$27,MATCH(B912,$J$13:$J$27,0),1))))</f>
        <v>9.6</v>
      </c>
      <c r="E912" s="691"/>
      <c r="J912" s="569" t="s">
        <v>31</v>
      </c>
      <c r="K912" s="569">
        <v>13</v>
      </c>
    </row>
    <row r="913" spans="1:11" ht="21" customHeight="1">
      <c r="A913" s="689">
        <v>8</v>
      </c>
      <c r="B913" s="1008" t="s">
        <v>32</v>
      </c>
      <c r="C913" s="1009"/>
      <c r="D913" s="690">
        <f>IF(E941="","",IF(INDEX(THHKI!$A$8:$Y$62,MATCH(PDHKI!E941,THHKI!$A$8:$A$62,0),INDEX($K$13:$K$27,MATCH(B913,$J$13:$J$27,0),1))&lt;1,"/",INDEX(THHKI!$A$8:$Y$62,MATCH(PDHKI!E941,THHKI!$A$8:$A$62,0),INDEX($K$13:$K$27,MATCH(B913,$J$13:$J$27,0),1))))</f>
        <v>9.1</v>
      </c>
      <c r="E913" s="691"/>
      <c r="J913" s="569" t="s">
        <v>32</v>
      </c>
      <c r="K913" s="569">
        <v>14</v>
      </c>
    </row>
    <row r="914" spans="1:11" ht="21" customHeight="1">
      <c r="A914" s="689">
        <v>9</v>
      </c>
      <c r="B914" s="1008" t="s">
        <v>33</v>
      </c>
      <c r="C914" s="1009"/>
      <c r="D914" s="690">
        <f>IF(E941="","",IF(INDEX(THHKI!$A$8:$Y$62,MATCH(PDHKI!E941,THHKI!$A$8:$A$62,0),INDEX($K$13:$K$27,MATCH(B914,$J$13:$J$27,0),1))&lt;1,"/",INDEX(THHKI!$A$8:$Y$62,MATCH(PDHKI!E941,THHKI!$A$8:$A$62,0),INDEX($K$13:$K$27,MATCH(B914,$J$13:$J$27,0),1))))</f>
        <v>7.4</v>
      </c>
      <c r="E914" s="691"/>
      <c r="J914" s="569" t="s">
        <v>33</v>
      </c>
      <c r="K914" s="569">
        <v>15</v>
      </c>
    </row>
    <row r="915" spans="1:11" ht="21" customHeight="1">
      <c r="A915" s="689">
        <v>10</v>
      </c>
      <c r="B915" s="1008" t="s">
        <v>60</v>
      </c>
      <c r="C915" s="1009"/>
      <c r="D915" s="690">
        <f>IF(E941="","",IF(INDEX(THHKI!$A$8:$Y$62,MATCH(PDHKI!E941,THHKI!$A$8:$A$62,0),INDEX($K$13:$K$27,MATCH(B915,$J$13:$J$27,0),1))&lt;1,"/",INDEX(THHKI!$A$8:$Y$62,MATCH(PDHKI!E941,THHKI!$A$8:$A$62,0),INDEX($K$13:$K$27,MATCH(B915,$J$13:$J$27,0),1))))</f>
        <v>9.1</v>
      </c>
      <c r="E915" s="691"/>
      <c r="J915" s="569" t="s">
        <v>60</v>
      </c>
      <c r="K915" s="569">
        <v>16</v>
      </c>
    </row>
    <row r="916" spans="1:11" ht="21" customHeight="1">
      <c r="A916" s="689">
        <v>11</v>
      </c>
      <c r="B916" s="1008" t="s">
        <v>34</v>
      </c>
      <c r="C916" s="1009"/>
      <c r="D916" s="690">
        <f>IF(E941="","",IF(INDEX(THHKI!$A$8:$Y$62,MATCH(PDHKI!E941,THHKI!$A$8:$A$62,0),INDEX($K$13:$K$27,MATCH(B916,$J$13:$J$27,0),1))&lt;1,"/",INDEX(THHKI!$A$8:$Y$62,MATCH(PDHKI!E941,THHKI!$A$8:$A$62,0),INDEX($K$13:$K$27,MATCH(B916,$J$13:$J$27,0),1))))</f>
        <v>9.9</v>
      </c>
      <c r="E916" s="691"/>
      <c r="J916" s="569" t="s">
        <v>34</v>
      </c>
      <c r="K916" s="569">
        <v>17</v>
      </c>
    </row>
    <row r="917" spans="1:11" ht="21" customHeight="1">
      <c r="A917" s="689">
        <v>12</v>
      </c>
      <c r="B917" s="1008" t="s">
        <v>35</v>
      </c>
      <c r="C917" s="1009"/>
      <c r="D917" s="690" t="str">
        <f>IF(E941="","",IF(INDEX(THHKI!$A$8:$Y$62,MATCH(PDHKI!E941,THHKI!$A$8:$A$62,0),INDEX($K$13:$K$27,MATCH(B917,$J$13:$J$27,0),1))&lt;1,"/",INDEX(THHKI!$A$8:$Y$62,MATCH(PDHKI!E941,THHKI!$A$8:$A$62,0),INDEX($K$13:$K$27,MATCH(B917,$J$13:$J$27,0),1))))</f>
        <v>Đ</v>
      </c>
      <c r="E917" s="691"/>
      <c r="J917" s="569" t="s">
        <v>35</v>
      </c>
      <c r="K917" s="569">
        <v>18</v>
      </c>
    </row>
    <row r="918" spans="1:11" ht="21" customHeight="1">
      <c r="A918" s="689">
        <v>13</v>
      </c>
      <c r="B918" s="1008" t="s">
        <v>121</v>
      </c>
      <c r="C918" s="1009"/>
      <c r="D918" s="690">
        <f>IF(E941="","",IF(INDEX(THHKI!$A$8:$Y$62,MATCH(PDHKI!E941,THHKI!$A$8:$A$62,0),INDEX($K$13:$K$27,MATCH(B918,$J$13:$J$27,0),1))&lt;1,"/",INDEX(THHKI!$A$8:$Y$62,MATCH(PDHKI!E941,THHKI!$A$8:$A$62,0),INDEX($K$13:$K$27,MATCH(B918,$J$13:$J$27,0),1))))</f>
        <v>9.9</v>
      </c>
      <c r="E918" s="691"/>
      <c r="J918" s="569" t="s">
        <v>22</v>
      </c>
      <c r="K918" s="569">
        <v>19</v>
      </c>
    </row>
    <row r="919" spans="1:11" ht="21" customHeight="1" thickBot="1">
      <c r="A919" s="692">
        <v>14</v>
      </c>
      <c r="B919" s="1010" t="s">
        <v>122</v>
      </c>
      <c r="C919" s="1011"/>
      <c r="D919" s="693" t="str">
        <f>IF(E941="","",IF(INDEX(THHKI!$A$8:$Y$62,MATCH(PDHKI!E941,THHKI!$A$8:$A$62,0),INDEX($K$13:$K$27,MATCH(B919,$J$13:$J$27,0),1))&lt;1,"/",INDEX(THHKI!$A$8:$Y$62,MATCH(PDHKI!E941,THHKI!$A$8:$A$62,0),INDEX($K$13:$K$27,MATCH(B919,$J$13:$J$27,0),1))))</f>
        <v/>
      </c>
      <c r="E919" s="694"/>
      <c r="J919" s="569" t="s">
        <v>121</v>
      </c>
      <c r="K919" s="569">
        <v>20</v>
      </c>
    </row>
    <row r="920" spans="1:11" ht="21" customHeight="1" thickBot="1">
      <c r="A920" s="695">
        <v>15</v>
      </c>
      <c r="B920" s="1006" t="s">
        <v>149</v>
      </c>
      <c r="C920" s="1007"/>
      <c r="D920" s="696">
        <f>IF(E941="","",IF(INDEX(THHKI!$A$8:$Y$62,MATCH(PDHKI!E941,THHKI!$A$8:$A$62,0),22)&lt;1,"/",INDEX(THHKI!$A$8:$Y$62,MATCH(PDHKI!E941,THHKI!$A$8:$A$62,0),22)))</f>
        <v>9</v>
      </c>
      <c r="E920" s="697"/>
      <c r="J920" s="569" t="s">
        <v>122</v>
      </c>
      <c r="K920" s="569">
        <v>21</v>
      </c>
    </row>
    <row r="921" spans="1:11" ht="15.75" customHeight="1" thickBot="1"/>
    <row r="922" spans="1:11" s="570" customFormat="1" ht="21" customHeight="1">
      <c r="A922" s="698"/>
      <c r="B922" s="1019" t="s">
        <v>150</v>
      </c>
      <c r="C922" s="1020"/>
      <c r="D922" s="699" t="s">
        <v>10</v>
      </c>
      <c r="E922" s="700" t="s">
        <v>126</v>
      </c>
    </row>
    <row r="923" spans="1:11" ht="21" customHeight="1">
      <c r="A923" s="701">
        <v>16</v>
      </c>
      <c r="B923" s="1021" t="s">
        <v>151</v>
      </c>
      <c r="C923" s="1022"/>
      <c r="D923" s="702" t="str">
        <f>IF(E941="","",IF(INDEX(THHKI!$A$8:$Y$62,MATCH(PDHKI!E941,THHKI!$A$8:$A$62,0),23)="","/",INDEX(THHKI!$A$8:$Y$62,MATCH(PDHKI!E941,THHKI!$A$8:$A$62,0),23)))</f>
        <v>Giỏi</v>
      </c>
      <c r="E923" s="703"/>
    </row>
    <row r="924" spans="1:11" ht="21" customHeight="1">
      <c r="A924" s="701">
        <v>17</v>
      </c>
      <c r="B924" s="1021" t="s">
        <v>152</v>
      </c>
      <c r="C924" s="1022"/>
      <c r="D924" s="702" t="str">
        <f>IF(E941="","",IF(INDEX(THHKI!$A$8:$Y$62,MATCH(PDHKI!E941,THHKI!$A$8:$A$62,0),24)="","/",INDEX(THHKI!$A$8:$Y$62,MATCH(PDHKI!E941,THHKI!$A$8:$A$62,0),24)))</f>
        <v>Tốt</v>
      </c>
      <c r="E924" s="703"/>
    </row>
    <row r="925" spans="1:11" ht="21" customHeight="1" thickBot="1">
      <c r="A925" s="704">
        <v>18</v>
      </c>
      <c r="B925" s="1023" t="s">
        <v>153</v>
      </c>
      <c r="C925" s="1024"/>
      <c r="D925" s="705" t="str">
        <f>IF(E941="","",IF(INDEX(THHKI!$A$8:$Y$62,MATCH(PDHKI!E941,THHKI!$A$8:$A$62,0),25)="","/",INDEX(THHKI!$A$8:$Y$62,MATCH(PDHKI!E941,THHKI!$A$8:$A$62,0),25)))</f>
        <v>HSG</v>
      </c>
      <c r="E925" s="706"/>
    </row>
    <row r="926" spans="1:11" ht="9.75" customHeight="1"/>
    <row r="927" spans="1:11" ht="15.75" customHeight="1">
      <c r="A927" s="58" t="s">
        <v>219</v>
      </c>
    </row>
    <row r="928" spans="1:11" ht="18" customHeight="1">
      <c r="A928" s="59" t="str">
        <f>IF(E941="","",IF(INDEX(DiemHKI!$DE$4:$DH$58,MATCH(PDHKI!E941,DiemHKI!$B$4:$B$58,0),1)="","","- "&amp;INDEX(DiemHKI!$DE$4:$DH$58,MATCH(PDHKI!E941,DiemHKI!$B$4:$B$58,0),1)))</f>
        <v/>
      </c>
      <c r="H928" s="571"/>
    </row>
    <row r="929" spans="1:5" ht="18" customHeight="1">
      <c r="A929" s="59" t="str">
        <f>IF(E941="","",IF(INDEX(DiemHKI!$DE$4:$DH$58,MATCH(PDHKI!E941,DiemHKI!$B$4:$B$58,0),2)="","","- "&amp;INDEX(DiemHKI!$DE$4:$DH$58,MATCH(PDHKI!E941,DiemHKI!$B$4:$B$58,0),2)))</f>
        <v/>
      </c>
    </row>
    <row r="930" spans="1:5" ht="18" customHeight="1">
      <c r="A930" s="59" t="str">
        <f>IF(E941="","",IF(INDEX(DiemHKI!$DE$4:$DH$58,MATCH(PDHKI!E941,DiemHKI!$B$4:$B$58,0),3)="","","- "&amp;INDEX(DiemHKI!$DE$4:$DH$58,MATCH(PDHKI!E941,DiemHKI!$B$4:$B$58,0),3)))</f>
        <v/>
      </c>
    </row>
    <row r="931" spans="1:5" ht="18" customHeight="1">
      <c r="A931" s="59" t="str">
        <f>IF(E941="","",IF(INDEX(DiemHKI!$DE$4:$DH$58,MATCH(PDHKI!E941,DiemHKI!$B$4:$B$58,0),4)="","","- "&amp;INDEX(DiemHKI!$DE$4:$DH$58,MATCH(PDHKI!E941,DiemHKI!$B$4:$B$58,0),4)))</f>
        <v/>
      </c>
    </row>
    <row r="932" spans="1:5" ht="6.75" customHeight="1"/>
    <row r="933" spans="1:5" ht="16.5" customHeight="1">
      <c r="A933" s="61"/>
      <c r="C933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933" s="1026"/>
      <c r="E933" s="1026"/>
    </row>
    <row r="934" spans="1:5" ht="21.75" customHeight="1">
      <c r="A934" s="923" t="str">
        <f>IF($D$41="Hiệu trưởng","Giáo viên Quản nhiệm","")</f>
        <v>Giáo viên Quản nhiệm</v>
      </c>
      <c r="B934" s="923"/>
      <c r="C934" s="923"/>
      <c r="D934" s="707" t="str">
        <f>IF($G$5="","",$G$5)</f>
        <v>Hiệu trưởng</v>
      </c>
      <c r="E934" s="708"/>
    </row>
    <row r="935" spans="1:5" ht="15" customHeight="1">
      <c r="A935" s="61"/>
      <c r="B935" s="61"/>
      <c r="C935" s="61"/>
      <c r="D935" s="66"/>
      <c r="E935" s="66"/>
    </row>
    <row r="936" spans="1:5" ht="15" customHeight="1">
      <c r="A936" s="61"/>
      <c r="B936" s="61"/>
      <c r="C936" s="61"/>
      <c r="D936" s="66"/>
      <c r="E936" s="66"/>
    </row>
    <row r="937" spans="1:5" ht="15" customHeight="1">
      <c r="A937" s="61"/>
      <c r="B937" s="61"/>
      <c r="C937" s="61"/>
    </row>
    <row r="938" spans="1:5" ht="15" customHeight="1">
      <c r="A938" s="61"/>
      <c r="B938" s="61"/>
      <c r="C938" s="61"/>
    </row>
    <row r="939" spans="1:5" ht="16.5" customHeight="1">
      <c r="A939" s="1012" t="str">
        <f>IF($A$41="","",PROPER('Huong dan'!$C$4))</f>
        <v/>
      </c>
      <c r="B939" s="1012"/>
      <c r="C939" s="1012"/>
      <c r="D939" s="833" t="str">
        <f>IFERROR(IF($D$41="Giáo Viên Quản nhiệm",PROPER('Huong dan'!$C$4),IF($D$41="Hiệu trưởng",PROPER('Huong dan'!$E$5),"")),"")</f>
        <v/>
      </c>
      <c r="E939" s="708"/>
    </row>
    <row r="940" spans="1:5" ht="12.75" customHeight="1"/>
    <row r="941" spans="1:5" ht="12.75" customHeight="1">
      <c r="A941" s="709"/>
      <c r="B941" s="709"/>
      <c r="C941" s="709"/>
      <c r="D941" s="710"/>
      <c r="E941" s="711">
        <f>IF(E894="","",IF(E894&lt;MAX(DiemHKI!$B$4:$B$58),E894+1,""))</f>
        <v>20</v>
      </c>
    </row>
    <row r="942" spans="1:5" ht="8.25" customHeight="1">
      <c r="A942" s="709"/>
      <c r="B942" s="709"/>
      <c r="C942" s="709"/>
      <c r="D942" s="709"/>
      <c r="E942" s="709"/>
    </row>
    <row r="943" spans="1:5" ht="5.25" customHeight="1"/>
    <row r="944" spans="1:5" s="563" customFormat="1" ht="23.25" customHeight="1">
      <c r="A944" s="931" t="str">
        <f>IF('Huong dan'!$E$3&lt;&gt;"","SỞ GIÁO DỤC VÀ ĐÀO TẠO "&amp;UPPER('Huong dan'!$E$3),"")</f>
        <v>SỞ GIÁO DỤC VÀ ĐÀO TẠO TP. HỒ CHÍ MINH</v>
      </c>
      <c r="B944" s="931"/>
      <c r="C944" s="931"/>
      <c r="D944" s="923" t="s">
        <v>19</v>
      </c>
      <c r="E944" s="923"/>
    </row>
    <row r="945" spans="1:11" ht="17.25" customHeight="1">
      <c r="A945" s="931" t="str">
        <f>IF('Huong dan'!$E$4&lt;&gt;"","TRƯỜNG "&amp;UPPER('Huong dan'!$E$4),"")</f>
        <v>TRƯỜNG THCS VÀ THPT NGUYỄN KHUYẾN</v>
      </c>
      <c r="B945" s="931"/>
      <c r="C945" s="931"/>
      <c r="D945" s="1012" t="s">
        <v>179</v>
      </c>
      <c r="E945" s="1012"/>
    </row>
    <row r="946" spans="1:11" ht="24" customHeight="1">
      <c r="A946" s="61"/>
      <c r="B946" s="61"/>
      <c r="C946" s="61"/>
    </row>
    <row r="947" spans="1:11" ht="29.25" customHeight="1">
      <c r="A947" s="1013" t="str">
        <f>"PHIẾU ĐIỂM HỌC KỲ I - NĂM HỌC "&amp;'Huong dan'!$C$5</f>
        <v>PHIẾU ĐIỂM HỌC KỲ I - NĂM HỌC 2021 - 2022</v>
      </c>
      <c r="B947" s="1013"/>
      <c r="C947" s="1013"/>
      <c r="D947" s="1013"/>
      <c r="E947" s="1013"/>
    </row>
    <row r="948" spans="1:11" ht="15.75" customHeight="1">
      <c r="A948" s="680"/>
      <c r="B948" s="680"/>
    </row>
    <row r="949" spans="1:11" ht="21" customHeight="1">
      <c r="A949" s="1014" t="s">
        <v>145</v>
      </c>
      <c r="B949" s="1014"/>
      <c r="C949" s="1015" t="str">
        <f>IF(E988="","",INDEX(DiemHKI!$D$4:$D$58,MATCH(E988,DiemHKI!$B$4:$B$58,0),1)&amp;" "&amp;INDEX(DiemHKI!$E$4:$E$58,MATCH(E988,DiemHKI!$B$4:$B$58,0),1))</f>
        <v>Phạm Tấn Lộc</v>
      </c>
      <c r="D949" s="1015"/>
      <c r="E949" s="62" t="str">
        <f>IF('Huong dan'!$C$3="","","Lớp: "&amp;'Huong dan'!$C$3)</f>
        <v>Lớp: 12A1</v>
      </c>
    </row>
    <row r="950" spans="1:11" ht="23.25" customHeight="1">
      <c r="A950" s="1014" t="s">
        <v>146</v>
      </c>
      <c r="B950" s="1014"/>
      <c r="C950" s="681" t="str">
        <f>IF(E988="","",INDEX(DiemHKI!$F$4:$F$58,MATCH(PDHKI!E988,DiemHKI!$B$4:$B$58,0),1))</f>
        <v>05/07/2004</v>
      </c>
      <c r="D950" s="1016" t="str">
        <f>IF(E988="","","Nơi sinh: "&amp;INDEX(DiemHKI!$G$4:$G$58,MATCH(PDHKI!E988,DiemHKI!$B$4:$B$58,0),1))</f>
        <v>Nơi sinh: Khánh Hòa</v>
      </c>
      <c r="E950" s="1016"/>
    </row>
    <row r="951" spans="1:11" ht="13.5" customHeight="1" thickBot="1">
      <c r="A951" s="681"/>
      <c r="B951" s="682"/>
      <c r="D951" s="681"/>
      <c r="E951" s="681"/>
    </row>
    <row r="952" spans="1:11" ht="24" customHeight="1" thickBot="1">
      <c r="A952" s="683" t="s">
        <v>0</v>
      </c>
      <c r="B952" s="1006" t="s">
        <v>72</v>
      </c>
      <c r="C952" s="1007"/>
      <c r="D952" s="684" t="s">
        <v>147</v>
      </c>
      <c r="E952" s="685" t="s">
        <v>148</v>
      </c>
    </row>
    <row r="953" spans="1:11" ht="21" customHeight="1">
      <c r="A953" s="686">
        <v>1</v>
      </c>
      <c r="B953" s="1017" t="s">
        <v>26</v>
      </c>
      <c r="C953" s="1018"/>
      <c r="D953" s="687">
        <f>IF(E988="","",IF(INDEX(THHKI!$A$8:$Y$62,MATCH(PDHKI!E988,THHKI!$A$8:$A$62,0),INDEX($K$13:$K$27,MATCH(B953,$J$13:$J$27,0),1))&lt;1,"/",INDEX(THHKI!$A$8:$Y$62,MATCH(PDHKI!E988,THHKI!$A$8:$A$62,0),INDEX($K$13:$K$27,MATCH(B953,$J$13:$J$27,0),1))))</f>
        <v>9.5</v>
      </c>
      <c r="E953" s="688"/>
      <c r="J953" s="569" t="s">
        <v>26</v>
      </c>
      <c r="K953" s="569">
        <v>7</v>
      </c>
    </row>
    <row r="954" spans="1:11" ht="21" customHeight="1">
      <c r="A954" s="689">
        <v>2</v>
      </c>
      <c r="B954" s="1008" t="s">
        <v>27</v>
      </c>
      <c r="C954" s="1009"/>
      <c r="D954" s="690">
        <f>IF(E988="","",IF(INDEX(THHKI!$A$8:$Y$62,MATCH(PDHKI!E988,THHKI!$A$8:$A$62,0),INDEX($K$13:$K$27,MATCH(B954,$J$13:$J$27,0),1))&lt;1,"/",INDEX(THHKI!$A$8:$Y$62,MATCH(PDHKI!E988,THHKI!$A$8:$A$62,0),INDEX($K$13:$K$27,MATCH(B954,$J$13:$J$27,0),1))))</f>
        <v>9.4</v>
      </c>
      <c r="E954" s="691"/>
      <c r="J954" s="569" t="s">
        <v>27</v>
      </c>
      <c r="K954" s="569">
        <v>8</v>
      </c>
    </row>
    <row r="955" spans="1:11" ht="21" customHeight="1">
      <c r="A955" s="689">
        <v>3</v>
      </c>
      <c r="B955" s="1008" t="s">
        <v>28</v>
      </c>
      <c r="C955" s="1009"/>
      <c r="D955" s="690">
        <f>IF(E988="","",IF(INDEX(THHKI!$A$8:$Y$62,MATCH(PDHKI!E988,THHKI!$A$8:$A$62,0),INDEX($K$13:$K$27,MATCH(B955,$J$13:$J$27,0),1))&lt;1,"/",INDEX(THHKI!$A$8:$Y$62,MATCH(PDHKI!E988,THHKI!$A$8:$A$62,0),INDEX($K$13:$K$27,MATCH(B955,$J$13:$J$27,0),1))))</f>
        <v>9.1</v>
      </c>
      <c r="E955" s="691"/>
      <c r="J955" s="569" t="s">
        <v>28</v>
      </c>
      <c r="K955" s="569">
        <v>9</v>
      </c>
    </row>
    <row r="956" spans="1:11" ht="21" customHeight="1">
      <c r="A956" s="689">
        <v>4</v>
      </c>
      <c r="B956" s="1008" t="s">
        <v>29</v>
      </c>
      <c r="C956" s="1009"/>
      <c r="D956" s="690">
        <f>IF(E988="","",IF(INDEX(THHKI!$A$8:$Y$62,MATCH(PDHKI!E988,THHKI!$A$8:$A$62,0),INDEX($K$13:$K$27,MATCH(B956,$J$13:$J$27,0),1))&lt;1,"/",INDEX(THHKI!$A$8:$Y$62,MATCH(PDHKI!E988,THHKI!$A$8:$A$62,0),INDEX($K$13:$K$27,MATCH(B956,$J$13:$J$27,0),1))))</f>
        <v>8.8000000000000007</v>
      </c>
      <c r="E956" s="691"/>
      <c r="J956" s="569" t="s">
        <v>29</v>
      </c>
      <c r="K956" s="569">
        <v>10</v>
      </c>
    </row>
    <row r="957" spans="1:11" ht="21" customHeight="1">
      <c r="A957" s="689">
        <v>5</v>
      </c>
      <c r="B957" s="1008" t="s">
        <v>120</v>
      </c>
      <c r="C957" s="1009"/>
      <c r="D957" s="690">
        <f>IF(E988="","",IF(INDEX(THHKI!$A$8:$Y$62,MATCH(PDHKI!E988,THHKI!$A$8:$A$62,0),INDEX($K$13:$K$27,MATCH(B957,$J$13:$J$27,0),1))&lt;1,"/",INDEX(THHKI!$A$8:$Y$62,MATCH(PDHKI!E988,THHKI!$A$8:$A$62,0),INDEX($K$13:$K$27,MATCH(B957,$J$13:$J$27,0),1))))</f>
        <v>9.8000000000000007</v>
      </c>
      <c r="E957" s="691"/>
      <c r="J957" s="569" t="s">
        <v>120</v>
      </c>
      <c r="K957" s="569">
        <v>11</v>
      </c>
    </row>
    <row r="958" spans="1:11" ht="21" customHeight="1">
      <c r="A958" s="689">
        <v>6</v>
      </c>
      <c r="B958" s="1008" t="s">
        <v>30</v>
      </c>
      <c r="C958" s="1009"/>
      <c r="D958" s="690">
        <f>IF(E988="","",IF(INDEX(THHKI!$A$8:$Y$62,MATCH(PDHKI!E988,THHKI!$A$8:$A$62,0),INDEX($K$13:$K$27,MATCH(B958,$J$13:$J$27,0),1))&lt;1,"/",INDEX(THHKI!$A$8:$Y$62,MATCH(PDHKI!E988,THHKI!$A$8:$A$62,0),INDEX($K$13:$K$27,MATCH(B958,$J$13:$J$27,0),1))))</f>
        <v>7.3</v>
      </c>
      <c r="E958" s="691"/>
      <c r="J958" s="569" t="s">
        <v>30</v>
      </c>
      <c r="K958" s="569">
        <v>12</v>
      </c>
    </row>
    <row r="959" spans="1:11" ht="21" customHeight="1">
      <c r="A959" s="689">
        <v>7</v>
      </c>
      <c r="B959" s="1008" t="s">
        <v>31</v>
      </c>
      <c r="C959" s="1009"/>
      <c r="D959" s="690">
        <f>IF(E988="","",IF(INDEX(THHKI!$A$8:$Y$62,MATCH(PDHKI!E988,THHKI!$A$8:$A$62,0),INDEX($K$13:$K$27,MATCH(B959,$J$13:$J$27,0),1))&lt;1,"/",INDEX(THHKI!$A$8:$Y$62,MATCH(PDHKI!E988,THHKI!$A$8:$A$62,0),INDEX($K$13:$K$27,MATCH(B959,$J$13:$J$27,0),1))))</f>
        <v>9.8000000000000007</v>
      </c>
      <c r="E959" s="691"/>
      <c r="J959" s="569" t="s">
        <v>31</v>
      </c>
      <c r="K959" s="569">
        <v>13</v>
      </c>
    </row>
    <row r="960" spans="1:11" ht="21" customHeight="1">
      <c r="A960" s="689">
        <v>8</v>
      </c>
      <c r="B960" s="1008" t="s">
        <v>32</v>
      </c>
      <c r="C960" s="1009"/>
      <c r="D960" s="690">
        <f>IF(E988="","",IF(INDEX(THHKI!$A$8:$Y$62,MATCH(PDHKI!E988,THHKI!$A$8:$A$62,0),INDEX($K$13:$K$27,MATCH(B960,$J$13:$J$27,0),1))&lt;1,"/",INDEX(THHKI!$A$8:$Y$62,MATCH(PDHKI!E988,THHKI!$A$8:$A$62,0),INDEX($K$13:$K$27,MATCH(B960,$J$13:$J$27,0),1))))</f>
        <v>9.9</v>
      </c>
      <c r="E960" s="691"/>
      <c r="J960" s="569" t="s">
        <v>32</v>
      </c>
      <c r="K960" s="569">
        <v>14</v>
      </c>
    </row>
    <row r="961" spans="1:11" ht="21" customHeight="1">
      <c r="A961" s="689">
        <v>9</v>
      </c>
      <c r="B961" s="1008" t="s">
        <v>33</v>
      </c>
      <c r="C961" s="1009"/>
      <c r="D961" s="690">
        <f>IF(E988="","",IF(INDEX(THHKI!$A$8:$Y$62,MATCH(PDHKI!E988,THHKI!$A$8:$A$62,0),INDEX($K$13:$K$27,MATCH(B961,$J$13:$J$27,0),1))&lt;1,"/",INDEX(THHKI!$A$8:$Y$62,MATCH(PDHKI!E988,THHKI!$A$8:$A$62,0),INDEX($K$13:$K$27,MATCH(B961,$J$13:$J$27,0),1))))</f>
        <v>8.8000000000000007</v>
      </c>
      <c r="E961" s="691"/>
      <c r="J961" s="569" t="s">
        <v>33</v>
      </c>
      <c r="K961" s="569">
        <v>15</v>
      </c>
    </row>
    <row r="962" spans="1:11" ht="21" customHeight="1">
      <c r="A962" s="689">
        <v>10</v>
      </c>
      <c r="B962" s="1008" t="s">
        <v>60</v>
      </c>
      <c r="C962" s="1009"/>
      <c r="D962" s="690">
        <f>IF(E988="","",IF(INDEX(THHKI!$A$8:$Y$62,MATCH(PDHKI!E988,THHKI!$A$8:$A$62,0),INDEX($K$13:$K$27,MATCH(B962,$J$13:$J$27,0),1))&lt;1,"/",INDEX(THHKI!$A$8:$Y$62,MATCH(PDHKI!E988,THHKI!$A$8:$A$62,0),INDEX($K$13:$K$27,MATCH(B962,$J$13:$J$27,0),1))))</f>
        <v>8.8000000000000007</v>
      </c>
      <c r="E962" s="691"/>
      <c r="J962" s="569" t="s">
        <v>60</v>
      </c>
      <c r="K962" s="569">
        <v>16</v>
      </c>
    </row>
    <row r="963" spans="1:11" ht="21" customHeight="1">
      <c r="A963" s="689">
        <v>11</v>
      </c>
      <c r="B963" s="1008" t="s">
        <v>34</v>
      </c>
      <c r="C963" s="1009"/>
      <c r="D963" s="690">
        <f>IF(E988="","",IF(INDEX(THHKI!$A$8:$Y$62,MATCH(PDHKI!E988,THHKI!$A$8:$A$62,0),INDEX($K$13:$K$27,MATCH(B963,$J$13:$J$27,0),1))&lt;1,"/",INDEX(THHKI!$A$8:$Y$62,MATCH(PDHKI!E988,THHKI!$A$8:$A$62,0),INDEX($K$13:$K$27,MATCH(B963,$J$13:$J$27,0),1))))</f>
        <v>9.8000000000000007</v>
      </c>
      <c r="E963" s="691"/>
      <c r="J963" s="569" t="s">
        <v>34</v>
      </c>
      <c r="K963" s="569">
        <v>17</v>
      </c>
    </row>
    <row r="964" spans="1:11" ht="21" customHeight="1">
      <c r="A964" s="689">
        <v>12</v>
      </c>
      <c r="B964" s="1008" t="s">
        <v>35</v>
      </c>
      <c r="C964" s="1009"/>
      <c r="D964" s="690" t="str">
        <f>IF(E988="","",IF(INDEX(THHKI!$A$8:$Y$62,MATCH(PDHKI!E988,THHKI!$A$8:$A$62,0),INDEX($K$13:$K$27,MATCH(B964,$J$13:$J$27,0),1))&lt;1,"/",INDEX(THHKI!$A$8:$Y$62,MATCH(PDHKI!E988,THHKI!$A$8:$A$62,0),INDEX($K$13:$K$27,MATCH(B964,$J$13:$J$27,0),1))))</f>
        <v>Đ</v>
      </c>
      <c r="E964" s="691"/>
      <c r="J964" s="569" t="s">
        <v>35</v>
      </c>
      <c r="K964" s="569">
        <v>18</v>
      </c>
    </row>
    <row r="965" spans="1:11" ht="21" customHeight="1">
      <c r="A965" s="689">
        <v>13</v>
      </c>
      <c r="B965" s="1008" t="s">
        <v>121</v>
      </c>
      <c r="C965" s="1009"/>
      <c r="D965" s="690">
        <f>IF(E988="","",IF(INDEX(THHKI!$A$8:$Y$62,MATCH(PDHKI!E988,THHKI!$A$8:$A$62,0),INDEX($K$13:$K$27,MATCH(B965,$J$13:$J$27,0),1))&lt;1,"/",INDEX(THHKI!$A$8:$Y$62,MATCH(PDHKI!E988,THHKI!$A$8:$A$62,0),INDEX($K$13:$K$27,MATCH(B965,$J$13:$J$27,0),1))))</f>
        <v>9.9</v>
      </c>
      <c r="E965" s="691"/>
      <c r="J965" s="569" t="s">
        <v>22</v>
      </c>
      <c r="K965" s="569">
        <v>19</v>
      </c>
    </row>
    <row r="966" spans="1:11" ht="21" customHeight="1" thickBot="1">
      <c r="A966" s="692">
        <v>14</v>
      </c>
      <c r="B966" s="1010" t="s">
        <v>122</v>
      </c>
      <c r="C966" s="1011"/>
      <c r="D966" s="693" t="str">
        <f>IF(E988="","",IF(INDEX(THHKI!$A$8:$Y$62,MATCH(PDHKI!E988,THHKI!$A$8:$A$62,0),INDEX($K$13:$K$27,MATCH(B966,$J$13:$J$27,0),1))&lt;1,"/",INDEX(THHKI!$A$8:$Y$62,MATCH(PDHKI!E988,THHKI!$A$8:$A$62,0),INDEX($K$13:$K$27,MATCH(B966,$J$13:$J$27,0),1))))</f>
        <v/>
      </c>
      <c r="E966" s="694"/>
      <c r="J966" s="569" t="s">
        <v>121</v>
      </c>
      <c r="K966" s="569">
        <v>20</v>
      </c>
    </row>
    <row r="967" spans="1:11" ht="21" customHeight="1" thickBot="1">
      <c r="A967" s="695">
        <v>15</v>
      </c>
      <c r="B967" s="1006" t="s">
        <v>149</v>
      </c>
      <c r="C967" s="1007"/>
      <c r="D967" s="696">
        <f>IF(E988="","",IF(INDEX(THHKI!$A$8:$Y$62,MATCH(PDHKI!E988,THHKI!$A$8:$A$62,0),22)&lt;1,"/",INDEX(THHKI!$A$8:$Y$62,MATCH(PDHKI!E988,THHKI!$A$8:$A$62,0),22)))</f>
        <v>9.1999999999999993</v>
      </c>
      <c r="E967" s="697"/>
      <c r="J967" s="569" t="s">
        <v>122</v>
      </c>
      <c r="K967" s="569">
        <v>21</v>
      </c>
    </row>
    <row r="968" spans="1:11" ht="15.75" customHeight="1" thickBot="1"/>
    <row r="969" spans="1:11" s="570" customFormat="1" ht="21" customHeight="1">
      <c r="A969" s="698"/>
      <c r="B969" s="1019" t="s">
        <v>150</v>
      </c>
      <c r="C969" s="1020"/>
      <c r="D969" s="699" t="s">
        <v>10</v>
      </c>
      <c r="E969" s="700" t="s">
        <v>126</v>
      </c>
    </row>
    <row r="970" spans="1:11" ht="21" customHeight="1">
      <c r="A970" s="701">
        <v>16</v>
      </c>
      <c r="B970" s="1021" t="s">
        <v>151</v>
      </c>
      <c r="C970" s="1022"/>
      <c r="D970" s="702" t="str">
        <f>IF(E988="","",IF(INDEX(THHKI!$A$8:$Y$62,MATCH(PDHKI!E988,THHKI!$A$8:$A$62,0),23)="","/",INDEX(THHKI!$A$8:$Y$62,MATCH(PDHKI!E988,THHKI!$A$8:$A$62,0),23)))</f>
        <v>Giỏi</v>
      </c>
      <c r="E970" s="703"/>
    </row>
    <row r="971" spans="1:11" ht="21" customHeight="1">
      <c r="A971" s="701">
        <v>17</v>
      </c>
      <c r="B971" s="1021" t="s">
        <v>152</v>
      </c>
      <c r="C971" s="1022"/>
      <c r="D971" s="702" t="str">
        <f>IF(E988="","",IF(INDEX(THHKI!$A$8:$Y$62,MATCH(PDHKI!E988,THHKI!$A$8:$A$62,0),24)="","/",INDEX(THHKI!$A$8:$Y$62,MATCH(PDHKI!E988,THHKI!$A$8:$A$62,0),24)))</f>
        <v>Tốt</v>
      </c>
      <c r="E971" s="703"/>
    </row>
    <row r="972" spans="1:11" ht="21" customHeight="1" thickBot="1">
      <c r="A972" s="704">
        <v>18</v>
      </c>
      <c r="B972" s="1023" t="s">
        <v>153</v>
      </c>
      <c r="C972" s="1024"/>
      <c r="D972" s="705" t="str">
        <f>IF(E988="","",IF(INDEX(THHKI!$A$8:$Y$62,MATCH(PDHKI!E988,THHKI!$A$8:$A$62,0),25)="","/",INDEX(THHKI!$A$8:$Y$62,MATCH(PDHKI!E988,THHKI!$A$8:$A$62,0),25)))</f>
        <v>HSG</v>
      </c>
      <c r="E972" s="706"/>
    </row>
    <row r="973" spans="1:11" ht="9.75" customHeight="1"/>
    <row r="974" spans="1:11" ht="15.75" customHeight="1">
      <c r="A974" s="58" t="s">
        <v>219</v>
      </c>
    </row>
    <row r="975" spans="1:11" ht="18" customHeight="1">
      <c r="A975" s="59" t="str">
        <f>IF(E988="","",IF(INDEX(DiemHKI!$DE$4:$DH$58,MATCH(PDHKI!E988,DiemHKI!$B$4:$B$58,0),1)="","","- "&amp;INDEX(DiemHKI!$DE$4:$DH$58,MATCH(PDHKI!E988,DiemHKI!$B$4:$B$58,0),1)))</f>
        <v/>
      </c>
      <c r="H975" s="571"/>
    </row>
    <row r="976" spans="1:11" ht="18" customHeight="1">
      <c r="A976" s="59" t="str">
        <f>IF(E988="","",IF(INDEX(DiemHKI!$DE$4:$DH$58,MATCH(PDHKI!E988,DiemHKI!$B$4:$B$58,0),2)="","","- "&amp;INDEX(DiemHKI!$DE$4:$DH$58,MATCH(PDHKI!E988,DiemHKI!$B$4:$B$58,0),2)))</f>
        <v/>
      </c>
    </row>
    <row r="977" spans="1:5" ht="18" customHeight="1">
      <c r="A977" s="59" t="str">
        <f>IF(E988="","",IF(INDEX(DiemHKI!$DE$4:$DH$58,MATCH(PDHKI!E988,DiemHKI!$B$4:$B$58,0),3)="","","- "&amp;INDEX(DiemHKI!$DE$4:$DH$58,MATCH(PDHKI!E988,DiemHKI!$B$4:$B$58,0),3)))</f>
        <v/>
      </c>
    </row>
    <row r="978" spans="1:5" ht="18" customHeight="1">
      <c r="A978" s="59" t="str">
        <f>IF(E988="","",IF(INDEX(DiemHKI!$DE$4:$DH$58,MATCH(PDHKI!E988,DiemHKI!$B$4:$B$58,0),4)="","","- "&amp;INDEX(DiemHKI!$DE$4:$DH$58,MATCH(PDHKI!E988,DiemHKI!$B$4:$B$58,0),4)))</f>
        <v/>
      </c>
    </row>
    <row r="979" spans="1:5" ht="6.75" customHeight="1"/>
    <row r="980" spans="1:5" ht="16.5" customHeight="1">
      <c r="A980" s="61"/>
      <c r="C980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980" s="1026"/>
      <c r="E980" s="1026"/>
    </row>
    <row r="981" spans="1:5" ht="21.75" customHeight="1">
      <c r="A981" s="923" t="str">
        <f>IF($D$41="Hiệu trưởng","Giáo viên Quản nhiệm","")</f>
        <v>Giáo viên Quản nhiệm</v>
      </c>
      <c r="B981" s="923"/>
      <c r="C981" s="923"/>
      <c r="D981" s="707" t="str">
        <f>IF($G$5="","",$G$5)</f>
        <v>Hiệu trưởng</v>
      </c>
      <c r="E981" s="708"/>
    </row>
    <row r="982" spans="1:5" ht="15" customHeight="1">
      <c r="A982" s="61"/>
      <c r="B982" s="61"/>
      <c r="C982" s="61"/>
      <c r="D982" s="66"/>
      <c r="E982" s="66"/>
    </row>
    <row r="983" spans="1:5" ht="15" customHeight="1">
      <c r="A983" s="61"/>
      <c r="B983" s="61"/>
      <c r="C983" s="61"/>
      <c r="D983" s="66"/>
      <c r="E983" s="66"/>
    </row>
    <row r="984" spans="1:5" ht="15" customHeight="1">
      <c r="A984" s="61"/>
      <c r="B984" s="61"/>
      <c r="C984" s="61"/>
    </row>
    <row r="985" spans="1:5" ht="15" customHeight="1">
      <c r="A985" s="61"/>
      <c r="B985" s="61"/>
      <c r="C985" s="61"/>
    </row>
    <row r="986" spans="1:5" ht="16.5" customHeight="1">
      <c r="A986" s="1012" t="str">
        <f>IF($A$41="","",PROPER('Huong dan'!$C$4))</f>
        <v/>
      </c>
      <c r="B986" s="1012"/>
      <c r="C986" s="1012"/>
      <c r="D986" s="833" t="str">
        <f>IFERROR(IF($D$41="Giáo Viên Quản nhiệm",PROPER('Huong dan'!$C$4),IF($D$41="Hiệu trưởng",PROPER('Huong dan'!$E$5),"")),"")</f>
        <v/>
      </c>
      <c r="E986" s="708"/>
    </row>
    <row r="987" spans="1:5" ht="12.75" customHeight="1"/>
    <row r="988" spans="1:5" ht="12.75" customHeight="1">
      <c r="A988" s="709"/>
      <c r="B988" s="709"/>
      <c r="C988" s="709"/>
      <c r="D988" s="710"/>
      <c r="E988" s="711">
        <f>IF(E941="","",IF(E941&lt;MAX(DiemHKI!$B$4:$B$58),E941+1,""))</f>
        <v>21</v>
      </c>
    </row>
    <row r="989" spans="1:5" ht="8.25" customHeight="1">
      <c r="A989" s="709"/>
      <c r="B989" s="709"/>
      <c r="C989" s="709"/>
      <c r="D989" s="709"/>
      <c r="E989" s="709"/>
    </row>
    <row r="990" spans="1:5" ht="5.25" customHeight="1"/>
    <row r="991" spans="1:5" s="563" customFormat="1" ht="23.25" customHeight="1">
      <c r="A991" s="931" t="str">
        <f>IF('Huong dan'!$E$3&lt;&gt;"","SỞ GIÁO DỤC VÀ ĐÀO TẠO "&amp;UPPER('Huong dan'!$E$3),"")</f>
        <v>SỞ GIÁO DỤC VÀ ĐÀO TẠO TP. HỒ CHÍ MINH</v>
      </c>
      <c r="B991" s="931"/>
      <c r="C991" s="931"/>
      <c r="D991" s="923" t="s">
        <v>19</v>
      </c>
      <c r="E991" s="923"/>
    </row>
    <row r="992" spans="1:5" ht="17.25" customHeight="1">
      <c r="A992" s="931" t="str">
        <f>IF('Huong dan'!$E$4&lt;&gt;"","TRƯỜNG "&amp;UPPER('Huong dan'!$E$4),"")</f>
        <v>TRƯỜNG THCS VÀ THPT NGUYỄN KHUYẾN</v>
      </c>
      <c r="B992" s="931"/>
      <c r="C992" s="931"/>
      <c r="D992" s="1012" t="s">
        <v>179</v>
      </c>
      <c r="E992" s="1012"/>
    </row>
    <row r="993" spans="1:11" ht="24" customHeight="1">
      <c r="A993" s="61"/>
      <c r="B993" s="61"/>
      <c r="C993" s="61"/>
    </row>
    <row r="994" spans="1:11" ht="29.25" customHeight="1">
      <c r="A994" s="1013" t="str">
        <f>"PHIẾU ĐIỂM HỌC KỲ I - NĂM HỌC "&amp;'Huong dan'!$C$5</f>
        <v>PHIẾU ĐIỂM HỌC KỲ I - NĂM HỌC 2021 - 2022</v>
      </c>
      <c r="B994" s="1013"/>
      <c r="C994" s="1013"/>
      <c r="D994" s="1013"/>
      <c r="E994" s="1013"/>
    </row>
    <row r="995" spans="1:11" ht="15.75" customHeight="1">
      <c r="A995" s="680"/>
      <c r="B995" s="680"/>
    </row>
    <row r="996" spans="1:11" ht="21" customHeight="1">
      <c r="A996" s="1014" t="s">
        <v>145</v>
      </c>
      <c r="B996" s="1014"/>
      <c r="C996" s="1015" t="str">
        <f>IF(E1035="","",INDEX(DiemHKI!$D$4:$D$58,MATCH(E1035,DiemHKI!$B$4:$B$58,0),1)&amp;" "&amp;INDEX(DiemHKI!$E$4:$E$58,MATCH(E1035,DiemHKI!$B$4:$B$58,0),1))</f>
        <v>Phạm Thị Khả  My</v>
      </c>
      <c r="D996" s="1015"/>
      <c r="E996" s="62" t="str">
        <f>IF('Huong dan'!$C$3="","","Lớp: "&amp;'Huong dan'!$C$3)</f>
        <v>Lớp: 12A1</v>
      </c>
    </row>
    <row r="997" spans="1:11" ht="23.25" customHeight="1">
      <c r="A997" s="1014" t="s">
        <v>146</v>
      </c>
      <c r="B997" s="1014"/>
      <c r="C997" s="681" t="str">
        <f>IF(E1035="","",INDEX(DiemHKI!$F$4:$F$58,MATCH(PDHKI!E1035,DiemHKI!$B$4:$B$58,0),1))</f>
        <v>28/02/2004</v>
      </c>
      <c r="D997" s="1016" t="str">
        <f>IF(E1035="","","Nơi sinh: "&amp;INDEX(DiemHKI!$G$4:$G$58,MATCH(PDHKI!E1035,DiemHKI!$B$4:$B$58,0),1))</f>
        <v>Nơi sinh: Lâm Đồng</v>
      </c>
      <c r="E997" s="1016"/>
    </row>
    <row r="998" spans="1:11" ht="13.5" customHeight="1" thickBot="1">
      <c r="A998" s="681"/>
      <c r="B998" s="682"/>
      <c r="D998" s="681"/>
      <c r="E998" s="681"/>
    </row>
    <row r="999" spans="1:11" ht="24" customHeight="1" thickBot="1">
      <c r="A999" s="683" t="s">
        <v>0</v>
      </c>
      <c r="B999" s="1006" t="s">
        <v>72</v>
      </c>
      <c r="C999" s="1007"/>
      <c r="D999" s="684" t="s">
        <v>147</v>
      </c>
      <c r="E999" s="685" t="s">
        <v>148</v>
      </c>
    </row>
    <row r="1000" spans="1:11" ht="21" customHeight="1">
      <c r="A1000" s="686">
        <v>1</v>
      </c>
      <c r="B1000" s="1017" t="s">
        <v>26</v>
      </c>
      <c r="C1000" s="1018"/>
      <c r="D1000" s="687">
        <f>IF(E1035="","",IF(INDEX(THHKI!$A$8:$Y$62,MATCH(PDHKI!E1035,THHKI!$A$8:$A$62,0),INDEX($K$13:$K$27,MATCH(B1000,$J$13:$J$27,0),1))&lt;1,"/",INDEX(THHKI!$A$8:$Y$62,MATCH(PDHKI!E1035,THHKI!$A$8:$A$62,0),INDEX($K$13:$K$27,MATCH(B1000,$J$13:$J$27,0),1))))</f>
        <v>9.5</v>
      </c>
      <c r="E1000" s="688"/>
      <c r="J1000" s="569" t="s">
        <v>26</v>
      </c>
      <c r="K1000" s="569">
        <v>7</v>
      </c>
    </row>
    <row r="1001" spans="1:11" ht="21" customHeight="1">
      <c r="A1001" s="689">
        <v>2</v>
      </c>
      <c r="B1001" s="1008" t="s">
        <v>27</v>
      </c>
      <c r="C1001" s="1009"/>
      <c r="D1001" s="690">
        <f>IF(E1035="","",IF(INDEX(THHKI!$A$8:$Y$62,MATCH(PDHKI!E1035,THHKI!$A$8:$A$62,0),INDEX($K$13:$K$27,MATCH(B1001,$J$13:$J$27,0),1))&lt;1,"/",INDEX(THHKI!$A$8:$Y$62,MATCH(PDHKI!E1035,THHKI!$A$8:$A$62,0),INDEX($K$13:$K$27,MATCH(B1001,$J$13:$J$27,0),1))))</f>
        <v>9.5</v>
      </c>
      <c r="E1001" s="691"/>
      <c r="J1001" s="569" t="s">
        <v>27</v>
      </c>
      <c r="K1001" s="569">
        <v>8</v>
      </c>
    </row>
    <row r="1002" spans="1:11" ht="21" customHeight="1">
      <c r="A1002" s="689">
        <v>3</v>
      </c>
      <c r="B1002" s="1008" t="s">
        <v>28</v>
      </c>
      <c r="C1002" s="1009"/>
      <c r="D1002" s="690">
        <f>IF(E1035="","",IF(INDEX(THHKI!$A$8:$Y$62,MATCH(PDHKI!E1035,THHKI!$A$8:$A$62,0),INDEX($K$13:$K$27,MATCH(B1002,$J$13:$J$27,0),1))&lt;1,"/",INDEX(THHKI!$A$8:$Y$62,MATCH(PDHKI!E1035,THHKI!$A$8:$A$62,0),INDEX($K$13:$K$27,MATCH(B1002,$J$13:$J$27,0),1))))</f>
        <v>9.4</v>
      </c>
      <c r="E1002" s="691"/>
      <c r="J1002" s="569" t="s">
        <v>28</v>
      </c>
      <c r="K1002" s="569">
        <v>9</v>
      </c>
    </row>
    <row r="1003" spans="1:11" ht="21" customHeight="1">
      <c r="A1003" s="689">
        <v>4</v>
      </c>
      <c r="B1003" s="1008" t="s">
        <v>29</v>
      </c>
      <c r="C1003" s="1009"/>
      <c r="D1003" s="690">
        <f>IF(E1035="","",IF(INDEX(THHKI!$A$8:$Y$62,MATCH(PDHKI!E1035,THHKI!$A$8:$A$62,0),INDEX($K$13:$K$27,MATCH(B1003,$J$13:$J$27,0),1))&lt;1,"/",INDEX(THHKI!$A$8:$Y$62,MATCH(PDHKI!E1035,THHKI!$A$8:$A$62,0),INDEX($K$13:$K$27,MATCH(B1003,$J$13:$J$27,0),1))))</f>
        <v>9.5</v>
      </c>
      <c r="E1003" s="691"/>
      <c r="J1003" s="569" t="s">
        <v>29</v>
      </c>
      <c r="K1003" s="569">
        <v>10</v>
      </c>
    </row>
    <row r="1004" spans="1:11" ht="21" customHeight="1">
      <c r="A1004" s="689">
        <v>5</v>
      </c>
      <c r="B1004" s="1008" t="s">
        <v>120</v>
      </c>
      <c r="C1004" s="1009"/>
      <c r="D1004" s="690">
        <f>IF(E1035="","",IF(INDEX(THHKI!$A$8:$Y$62,MATCH(PDHKI!E1035,THHKI!$A$8:$A$62,0),INDEX($K$13:$K$27,MATCH(B1004,$J$13:$J$27,0),1))&lt;1,"/",INDEX(THHKI!$A$8:$Y$62,MATCH(PDHKI!E1035,THHKI!$A$8:$A$62,0),INDEX($K$13:$K$27,MATCH(B1004,$J$13:$J$27,0),1))))</f>
        <v>9.8000000000000007</v>
      </c>
      <c r="E1004" s="691"/>
      <c r="J1004" s="569" t="s">
        <v>120</v>
      </c>
      <c r="K1004" s="569">
        <v>11</v>
      </c>
    </row>
    <row r="1005" spans="1:11" ht="21" customHeight="1">
      <c r="A1005" s="689">
        <v>6</v>
      </c>
      <c r="B1005" s="1008" t="s">
        <v>30</v>
      </c>
      <c r="C1005" s="1009"/>
      <c r="D1005" s="690">
        <f>IF(E1035="","",IF(INDEX(THHKI!$A$8:$Y$62,MATCH(PDHKI!E1035,THHKI!$A$8:$A$62,0),INDEX($K$13:$K$27,MATCH(B1005,$J$13:$J$27,0),1))&lt;1,"/",INDEX(THHKI!$A$8:$Y$62,MATCH(PDHKI!E1035,THHKI!$A$8:$A$62,0),INDEX($K$13:$K$27,MATCH(B1005,$J$13:$J$27,0),1))))</f>
        <v>7.4</v>
      </c>
      <c r="E1005" s="691"/>
      <c r="J1005" s="569" t="s">
        <v>30</v>
      </c>
      <c r="K1005" s="569">
        <v>12</v>
      </c>
    </row>
    <row r="1006" spans="1:11" ht="21" customHeight="1">
      <c r="A1006" s="689">
        <v>7</v>
      </c>
      <c r="B1006" s="1008" t="s">
        <v>31</v>
      </c>
      <c r="C1006" s="1009"/>
      <c r="D1006" s="690">
        <f>IF(E1035="","",IF(INDEX(THHKI!$A$8:$Y$62,MATCH(PDHKI!E1035,THHKI!$A$8:$A$62,0),INDEX($K$13:$K$27,MATCH(B1006,$J$13:$J$27,0),1))&lt;1,"/",INDEX(THHKI!$A$8:$Y$62,MATCH(PDHKI!E1035,THHKI!$A$8:$A$62,0),INDEX($K$13:$K$27,MATCH(B1006,$J$13:$J$27,0),1))))</f>
        <v>9.6</v>
      </c>
      <c r="E1006" s="691"/>
      <c r="J1006" s="569" t="s">
        <v>31</v>
      </c>
      <c r="K1006" s="569">
        <v>13</v>
      </c>
    </row>
    <row r="1007" spans="1:11" ht="21" customHeight="1">
      <c r="A1007" s="689">
        <v>8</v>
      </c>
      <c r="B1007" s="1008" t="s">
        <v>32</v>
      </c>
      <c r="C1007" s="1009"/>
      <c r="D1007" s="690">
        <f>IF(E1035="","",IF(INDEX(THHKI!$A$8:$Y$62,MATCH(PDHKI!E1035,THHKI!$A$8:$A$62,0),INDEX($K$13:$K$27,MATCH(B1007,$J$13:$J$27,0),1))&lt;1,"/",INDEX(THHKI!$A$8:$Y$62,MATCH(PDHKI!E1035,THHKI!$A$8:$A$62,0),INDEX($K$13:$K$27,MATCH(B1007,$J$13:$J$27,0),1))))</f>
        <v>9.8000000000000007</v>
      </c>
      <c r="E1007" s="691"/>
      <c r="J1007" s="569" t="s">
        <v>32</v>
      </c>
      <c r="K1007" s="569">
        <v>14</v>
      </c>
    </row>
    <row r="1008" spans="1:11" ht="21" customHeight="1">
      <c r="A1008" s="689">
        <v>9</v>
      </c>
      <c r="B1008" s="1008" t="s">
        <v>33</v>
      </c>
      <c r="C1008" s="1009"/>
      <c r="D1008" s="690">
        <f>IF(E1035="","",IF(INDEX(THHKI!$A$8:$Y$62,MATCH(PDHKI!E1035,THHKI!$A$8:$A$62,0),INDEX($K$13:$K$27,MATCH(B1008,$J$13:$J$27,0),1))&lt;1,"/",INDEX(THHKI!$A$8:$Y$62,MATCH(PDHKI!E1035,THHKI!$A$8:$A$62,0),INDEX($K$13:$K$27,MATCH(B1008,$J$13:$J$27,0),1))))</f>
        <v>9.1999999999999993</v>
      </c>
      <c r="E1008" s="691"/>
      <c r="J1008" s="569" t="s">
        <v>33</v>
      </c>
      <c r="K1008" s="569">
        <v>15</v>
      </c>
    </row>
    <row r="1009" spans="1:11" ht="21" customHeight="1">
      <c r="A1009" s="689">
        <v>10</v>
      </c>
      <c r="B1009" s="1008" t="s">
        <v>60</v>
      </c>
      <c r="C1009" s="1009"/>
      <c r="D1009" s="690">
        <f>IF(E1035="","",IF(INDEX(THHKI!$A$8:$Y$62,MATCH(PDHKI!E1035,THHKI!$A$8:$A$62,0),INDEX($K$13:$K$27,MATCH(B1009,$J$13:$J$27,0),1))&lt;1,"/",INDEX(THHKI!$A$8:$Y$62,MATCH(PDHKI!E1035,THHKI!$A$8:$A$62,0),INDEX($K$13:$K$27,MATCH(B1009,$J$13:$J$27,0),1))))</f>
        <v>9.8000000000000007</v>
      </c>
      <c r="E1009" s="691"/>
      <c r="J1009" s="569" t="s">
        <v>60</v>
      </c>
      <c r="K1009" s="569">
        <v>16</v>
      </c>
    </row>
    <row r="1010" spans="1:11" ht="21" customHeight="1">
      <c r="A1010" s="689">
        <v>11</v>
      </c>
      <c r="B1010" s="1008" t="s">
        <v>34</v>
      </c>
      <c r="C1010" s="1009"/>
      <c r="D1010" s="690">
        <f>IF(E1035="","",IF(INDEX(THHKI!$A$8:$Y$62,MATCH(PDHKI!E1035,THHKI!$A$8:$A$62,0),INDEX($K$13:$K$27,MATCH(B1010,$J$13:$J$27,0),1))&lt;1,"/",INDEX(THHKI!$A$8:$Y$62,MATCH(PDHKI!E1035,THHKI!$A$8:$A$62,0),INDEX($K$13:$K$27,MATCH(B1010,$J$13:$J$27,0),1))))</f>
        <v>9.8000000000000007</v>
      </c>
      <c r="E1010" s="691"/>
      <c r="J1010" s="569" t="s">
        <v>34</v>
      </c>
      <c r="K1010" s="569">
        <v>17</v>
      </c>
    </row>
    <row r="1011" spans="1:11" ht="21" customHeight="1">
      <c r="A1011" s="689">
        <v>12</v>
      </c>
      <c r="B1011" s="1008" t="s">
        <v>35</v>
      </c>
      <c r="C1011" s="1009"/>
      <c r="D1011" s="690" t="str">
        <f>IF(E1035="","",IF(INDEX(THHKI!$A$8:$Y$62,MATCH(PDHKI!E1035,THHKI!$A$8:$A$62,0),INDEX($K$13:$K$27,MATCH(B1011,$J$13:$J$27,0),1))&lt;1,"/",INDEX(THHKI!$A$8:$Y$62,MATCH(PDHKI!E1035,THHKI!$A$8:$A$62,0),INDEX($K$13:$K$27,MATCH(B1011,$J$13:$J$27,0),1))))</f>
        <v>Đ</v>
      </c>
      <c r="E1011" s="691"/>
      <c r="J1011" s="569" t="s">
        <v>35</v>
      </c>
      <c r="K1011" s="569">
        <v>18</v>
      </c>
    </row>
    <row r="1012" spans="1:11" ht="21" customHeight="1">
      <c r="A1012" s="689">
        <v>13</v>
      </c>
      <c r="B1012" s="1008" t="s">
        <v>121</v>
      </c>
      <c r="C1012" s="1009"/>
      <c r="D1012" s="690">
        <f>IF(E1035="","",IF(INDEX(THHKI!$A$8:$Y$62,MATCH(PDHKI!E1035,THHKI!$A$8:$A$62,0),INDEX($K$13:$K$27,MATCH(B1012,$J$13:$J$27,0),1))&lt;1,"/",INDEX(THHKI!$A$8:$Y$62,MATCH(PDHKI!E1035,THHKI!$A$8:$A$62,0),INDEX($K$13:$K$27,MATCH(B1012,$J$13:$J$27,0),1))))</f>
        <v>9.9</v>
      </c>
      <c r="E1012" s="691"/>
      <c r="J1012" s="569" t="s">
        <v>22</v>
      </c>
      <c r="K1012" s="569">
        <v>19</v>
      </c>
    </row>
    <row r="1013" spans="1:11" ht="21" customHeight="1" thickBot="1">
      <c r="A1013" s="692">
        <v>14</v>
      </c>
      <c r="B1013" s="1010" t="s">
        <v>122</v>
      </c>
      <c r="C1013" s="1011"/>
      <c r="D1013" s="693" t="str">
        <f>IF(E1035="","",IF(INDEX(THHKI!$A$8:$Y$62,MATCH(PDHKI!E1035,THHKI!$A$8:$A$62,0),INDEX($K$13:$K$27,MATCH(B1013,$J$13:$J$27,0),1))&lt;1,"/",INDEX(THHKI!$A$8:$Y$62,MATCH(PDHKI!E1035,THHKI!$A$8:$A$62,0),INDEX($K$13:$K$27,MATCH(B1013,$J$13:$J$27,0),1))))</f>
        <v/>
      </c>
      <c r="E1013" s="694"/>
      <c r="J1013" s="569" t="s">
        <v>121</v>
      </c>
      <c r="K1013" s="569">
        <v>20</v>
      </c>
    </row>
    <row r="1014" spans="1:11" ht="21" customHeight="1" thickBot="1">
      <c r="A1014" s="695">
        <v>15</v>
      </c>
      <c r="B1014" s="1006" t="s">
        <v>149</v>
      </c>
      <c r="C1014" s="1007"/>
      <c r="D1014" s="696">
        <f>IF(E1035="","",IF(INDEX(THHKI!$A$8:$Y$62,MATCH(PDHKI!E1035,THHKI!$A$8:$A$62,0),22)&lt;1,"/",INDEX(THHKI!$A$8:$Y$62,MATCH(PDHKI!E1035,THHKI!$A$8:$A$62,0),22)))</f>
        <v>9.4</v>
      </c>
      <c r="E1014" s="697"/>
      <c r="J1014" s="569" t="s">
        <v>122</v>
      </c>
      <c r="K1014" s="569">
        <v>21</v>
      </c>
    </row>
    <row r="1015" spans="1:11" ht="15.75" customHeight="1" thickBot="1"/>
    <row r="1016" spans="1:11" s="570" customFormat="1" ht="21" customHeight="1">
      <c r="A1016" s="698"/>
      <c r="B1016" s="1019" t="s">
        <v>150</v>
      </c>
      <c r="C1016" s="1020"/>
      <c r="D1016" s="699" t="s">
        <v>10</v>
      </c>
      <c r="E1016" s="700" t="s">
        <v>126</v>
      </c>
    </row>
    <row r="1017" spans="1:11" ht="21" customHeight="1">
      <c r="A1017" s="701">
        <v>16</v>
      </c>
      <c r="B1017" s="1021" t="s">
        <v>151</v>
      </c>
      <c r="C1017" s="1022"/>
      <c r="D1017" s="702" t="str">
        <f>IF(E1035="","",IF(INDEX(THHKI!$A$8:$Y$62,MATCH(PDHKI!E1035,THHKI!$A$8:$A$62,0),23)="","/",INDEX(THHKI!$A$8:$Y$62,MATCH(PDHKI!E1035,THHKI!$A$8:$A$62,0),23)))</f>
        <v>Giỏi</v>
      </c>
      <c r="E1017" s="703"/>
    </row>
    <row r="1018" spans="1:11" ht="21" customHeight="1">
      <c r="A1018" s="701">
        <v>17</v>
      </c>
      <c r="B1018" s="1021" t="s">
        <v>152</v>
      </c>
      <c r="C1018" s="1022"/>
      <c r="D1018" s="702" t="str">
        <f>IF(E1035="","",IF(INDEX(THHKI!$A$8:$Y$62,MATCH(PDHKI!E1035,THHKI!$A$8:$A$62,0),24)="","/",INDEX(THHKI!$A$8:$Y$62,MATCH(PDHKI!E1035,THHKI!$A$8:$A$62,0),24)))</f>
        <v>Tốt</v>
      </c>
      <c r="E1018" s="703"/>
    </row>
    <row r="1019" spans="1:11" ht="21" customHeight="1" thickBot="1">
      <c r="A1019" s="704">
        <v>18</v>
      </c>
      <c r="B1019" s="1023" t="s">
        <v>153</v>
      </c>
      <c r="C1019" s="1024"/>
      <c r="D1019" s="705" t="str">
        <f>IF(E1035="","",IF(INDEX(THHKI!$A$8:$Y$62,MATCH(PDHKI!E1035,THHKI!$A$8:$A$62,0),25)="","/",INDEX(THHKI!$A$8:$Y$62,MATCH(PDHKI!E1035,THHKI!$A$8:$A$62,0),25)))</f>
        <v>HSG</v>
      </c>
      <c r="E1019" s="706"/>
    </row>
    <row r="1020" spans="1:11" ht="9.75" customHeight="1"/>
    <row r="1021" spans="1:11" ht="15.75" customHeight="1">
      <c r="A1021" s="58" t="s">
        <v>219</v>
      </c>
    </row>
    <row r="1022" spans="1:11" ht="18" customHeight="1">
      <c r="A1022" s="59" t="str">
        <f>IF(E1035="","",IF(INDEX(DiemHKI!$DE$4:$DH$58,MATCH(PDHKI!E1035,DiemHKI!$B$4:$B$58,0),1)="","","- "&amp;INDEX(DiemHKI!$DE$4:$DH$58,MATCH(PDHKI!E1035,DiemHKI!$B$4:$B$58,0),1)))</f>
        <v/>
      </c>
      <c r="H1022" s="571"/>
    </row>
    <row r="1023" spans="1:11" ht="18" customHeight="1">
      <c r="A1023" s="59" t="str">
        <f>IF(E1035="","",IF(INDEX(DiemHKI!$DE$4:$DH$58,MATCH(PDHKI!E1035,DiemHKI!$B$4:$B$58,0),2)="","","- "&amp;INDEX(DiemHKI!$DE$4:$DH$58,MATCH(PDHKI!E1035,DiemHKI!$B$4:$B$58,0),2)))</f>
        <v/>
      </c>
    </row>
    <row r="1024" spans="1:11" ht="18" customHeight="1">
      <c r="A1024" s="59" t="str">
        <f>IF(E1035="","",IF(INDEX(DiemHKI!$DE$4:$DH$58,MATCH(PDHKI!E1035,DiemHKI!$B$4:$B$58,0),3)="","","- "&amp;INDEX(DiemHKI!$DE$4:$DH$58,MATCH(PDHKI!E1035,DiemHKI!$B$4:$B$58,0),3)))</f>
        <v/>
      </c>
    </row>
    <row r="1025" spans="1:5" ht="18" customHeight="1">
      <c r="A1025" s="59" t="str">
        <f>IF(E1035="","",IF(INDEX(DiemHKI!$DE$4:$DH$58,MATCH(PDHKI!E1035,DiemHKI!$B$4:$B$58,0),4)="","","- "&amp;INDEX(DiemHKI!$DE$4:$DH$58,MATCH(PDHKI!E1035,DiemHKI!$B$4:$B$58,0),4)))</f>
        <v/>
      </c>
    </row>
    <row r="1026" spans="1:5" ht="6.75" customHeight="1"/>
    <row r="1027" spans="1:5" ht="16.5" customHeight="1">
      <c r="A1027" s="61"/>
      <c r="C1027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027" s="1026"/>
      <c r="E1027" s="1026"/>
    </row>
    <row r="1028" spans="1:5" ht="21.75" customHeight="1">
      <c r="A1028" s="923" t="str">
        <f>IF($D$41="Hiệu trưởng","Giáo viên Quản nhiệm","")</f>
        <v>Giáo viên Quản nhiệm</v>
      </c>
      <c r="B1028" s="923"/>
      <c r="C1028" s="923"/>
      <c r="D1028" s="707" t="str">
        <f>IF($G$5="","",$G$5)</f>
        <v>Hiệu trưởng</v>
      </c>
      <c r="E1028" s="708"/>
    </row>
    <row r="1029" spans="1:5" ht="15" customHeight="1">
      <c r="A1029" s="61"/>
      <c r="B1029" s="61"/>
      <c r="C1029" s="61"/>
      <c r="D1029" s="66"/>
      <c r="E1029" s="66"/>
    </row>
    <row r="1030" spans="1:5" ht="15" customHeight="1">
      <c r="A1030" s="61"/>
      <c r="B1030" s="61"/>
      <c r="C1030" s="61"/>
      <c r="D1030" s="66"/>
      <c r="E1030" s="66"/>
    </row>
    <row r="1031" spans="1:5" ht="15" customHeight="1">
      <c r="A1031" s="61"/>
      <c r="B1031" s="61"/>
      <c r="C1031" s="61"/>
    </row>
    <row r="1032" spans="1:5" ht="15" customHeight="1">
      <c r="A1032" s="61"/>
      <c r="B1032" s="61"/>
      <c r="C1032" s="61"/>
    </row>
    <row r="1033" spans="1:5" ht="16.5" customHeight="1">
      <c r="A1033" s="1012" t="str">
        <f>IF($A$41="","",PROPER('Huong dan'!$C$4))</f>
        <v/>
      </c>
      <c r="B1033" s="1012"/>
      <c r="C1033" s="1012"/>
      <c r="D1033" s="833" t="str">
        <f>IFERROR(IF($D$41="Giáo Viên Quản nhiệm",PROPER('Huong dan'!$C$4),IF($D$41="Hiệu trưởng",PROPER('Huong dan'!$E$5),"")),"")</f>
        <v/>
      </c>
      <c r="E1033" s="708"/>
    </row>
    <row r="1034" spans="1:5" ht="12.75" customHeight="1"/>
    <row r="1035" spans="1:5" ht="12.75" customHeight="1">
      <c r="A1035" s="709"/>
      <c r="B1035" s="709"/>
      <c r="C1035" s="709"/>
      <c r="D1035" s="710"/>
      <c r="E1035" s="711">
        <f>IF(E988="","",IF(E988&lt;MAX(DiemHKI!$B$4:$B$58),E988+1,""))</f>
        <v>22</v>
      </c>
    </row>
    <row r="1036" spans="1:5" ht="8.25" customHeight="1">
      <c r="A1036" s="709"/>
      <c r="B1036" s="709"/>
      <c r="C1036" s="709"/>
      <c r="D1036" s="709"/>
      <c r="E1036" s="709"/>
    </row>
    <row r="1037" spans="1:5" ht="5.25" customHeight="1"/>
    <row r="1038" spans="1:5" s="563" customFormat="1" ht="23.25" customHeight="1">
      <c r="A1038" s="931" t="str">
        <f>IF('Huong dan'!$E$3&lt;&gt;"","SỞ GIÁO DỤC VÀ ĐÀO TẠO "&amp;UPPER('Huong dan'!$E$3),"")</f>
        <v>SỞ GIÁO DỤC VÀ ĐÀO TẠO TP. HỒ CHÍ MINH</v>
      </c>
      <c r="B1038" s="931"/>
      <c r="C1038" s="931"/>
      <c r="D1038" s="923" t="s">
        <v>19</v>
      </c>
      <c r="E1038" s="923"/>
    </row>
    <row r="1039" spans="1:5" ht="17.25" customHeight="1">
      <c r="A1039" s="931" t="str">
        <f>IF('Huong dan'!$E$4&lt;&gt;"","TRƯỜNG "&amp;UPPER('Huong dan'!$E$4),"")</f>
        <v>TRƯỜNG THCS VÀ THPT NGUYỄN KHUYẾN</v>
      </c>
      <c r="B1039" s="931"/>
      <c r="C1039" s="931"/>
      <c r="D1039" s="1012" t="s">
        <v>179</v>
      </c>
      <c r="E1039" s="1012"/>
    </row>
    <row r="1040" spans="1:5" ht="24" customHeight="1">
      <c r="A1040" s="61"/>
      <c r="B1040" s="61"/>
      <c r="C1040" s="61"/>
    </row>
    <row r="1041" spans="1:11" ht="29.25" customHeight="1">
      <c r="A1041" s="1013" t="str">
        <f>"PHIẾU ĐIỂM HỌC KỲ I - NĂM HỌC "&amp;'Huong dan'!$C$5</f>
        <v>PHIẾU ĐIỂM HỌC KỲ I - NĂM HỌC 2021 - 2022</v>
      </c>
      <c r="B1041" s="1013"/>
      <c r="C1041" s="1013"/>
      <c r="D1041" s="1013"/>
      <c r="E1041" s="1013"/>
    </row>
    <row r="1042" spans="1:11" ht="15.75" customHeight="1">
      <c r="A1042" s="680"/>
      <c r="B1042" s="680"/>
    </row>
    <row r="1043" spans="1:11" ht="21" customHeight="1">
      <c r="A1043" s="1014" t="s">
        <v>145</v>
      </c>
      <c r="B1043" s="1014"/>
      <c r="C1043" s="1015" t="str">
        <f>IF(E1082="","",INDEX(DiemHKI!$D$4:$D$58,MATCH(E1082,DiemHKI!$B$4:$B$58,0),1)&amp;" "&amp;INDEX(DiemHKI!$E$4:$E$58,MATCH(E1082,DiemHKI!$B$4:$B$58,0),1))</f>
        <v>Lê Na</v>
      </c>
      <c r="D1043" s="1015"/>
      <c r="E1043" s="62" t="str">
        <f>IF('Huong dan'!$C$3="","","Lớp: "&amp;'Huong dan'!$C$3)</f>
        <v>Lớp: 12A1</v>
      </c>
    </row>
    <row r="1044" spans="1:11" ht="23.25" customHeight="1">
      <c r="A1044" s="1014" t="s">
        <v>146</v>
      </c>
      <c r="B1044" s="1014"/>
      <c r="C1044" s="681" t="str">
        <f>IF(E1082="","",INDEX(DiemHKI!$F$4:$F$58,MATCH(PDHKI!E1082,DiemHKI!$B$4:$B$58,0),1))</f>
        <v>29/02/2004</v>
      </c>
      <c r="D1044" s="1016" t="str">
        <f>IF(E1082="","","Nơi sinh: "&amp;INDEX(DiemHKI!$G$4:$G$58,MATCH(PDHKI!E1082,DiemHKI!$B$4:$B$58,0),1))</f>
        <v>Nơi sinh: Bình Định</v>
      </c>
      <c r="E1044" s="1016"/>
    </row>
    <row r="1045" spans="1:11" ht="13.5" customHeight="1" thickBot="1">
      <c r="A1045" s="681"/>
      <c r="B1045" s="682"/>
      <c r="D1045" s="681"/>
      <c r="E1045" s="681"/>
    </row>
    <row r="1046" spans="1:11" ht="24" customHeight="1" thickBot="1">
      <c r="A1046" s="683" t="s">
        <v>0</v>
      </c>
      <c r="B1046" s="1006" t="s">
        <v>72</v>
      </c>
      <c r="C1046" s="1007"/>
      <c r="D1046" s="684" t="s">
        <v>147</v>
      </c>
      <c r="E1046" s="685" t="s">
        <v>148</v>
      </c>
    </row>
    <row r="1047" spans="1:11" ht="21" customHeight="1">
      <c r="A1047" s="686">
        <v>1</v>
      </c>
      <c r="B1047" s="1017" t="s">
        <v>26</v>
      </c>
      <c r="C1047" s="1018"/>
      <c r="D1047" s="687">
        <f>IF(E1082="","",IF(INDEX(THHKI!$A$8:$Y$62,MATCH(PDHKI!E1082,THHKI!$A$8:$A$62,0),INDEX($K$13:$K$27,MATCH(B1047,$J$13:$J$27,0),1))&lt;1,"/",INDEX(THHKI!$A$8:$Y$62,MATCH(PDHKI!E1082,THHKI!$A$8:$A$62,0),INDEX($K$13:$K$27,MATCH(B1047,$J$13:$J$27,0),1))))</f>
        <v>9.4</v>
      </c>
      <c r="E1047" s="688"/>
      <c r="J1047" s="569" t="s">
        <v>26</v>
      </c>
      <c r="K1047" s="569">
        <v>7</v>
      </c>
    </row>
    <row r="1048" spans="1:11" ht="21" customHeight="1">
      <c r="A1048" s="689">
        <v>2</v>
      </c>
      <c r="B1048" s="1008" t="s">
        <v>27</v>
      </c>
      <c r="C1048" s="1009"/>
      <c r="D1048" s="690">
        <f>IF(E1082="","",IF(INDEX(THHKI!$A$8:$Y$62,MATCH(PDHKI!E1082,THHKI!$A$8:$A$62,0),INDEX($K$13:$K$27,MATCH(B1048,$J$13:$J$27,0),1))&lt;1,"/",INDEX(THHKI!$A$8:$Y$62,MATCH(PDHKI!E1082,THHKI!$A$8:$A$62,0),INDEX($K$13:$K$27,MATCH(B1048,$J$13:$J$27,0),1))))</f>
        <v>9.6999999999999993</v>
      </c>
      <c r="E1048" s="691"/>
      <c r="J1048" s="569" t="s">
        <v>27</v>
      </c>
      <c r="K1048" s="569">
        <v>8</v>
      </c>
    </row>
    <row r="1049" spans="1:11" ht="21" customHeight="1">
      <c r="A1049" s="689">
        <v>3</v>
      </c>
      <c r="B1049" s="1008" t="s">
        <v>28</v>
      </c>
      <c r="C1049" s="1009"/>
      <c r="D1049" s="690">
        <f>IF(E1082="","",IF(INDEX(THHKI!$A$8:$Y$62,MATCH(PDHKI!E1082,THHKI!$A$8:$A$62,0),INDEX($K$13:$K$27,MATCH(B1049,$J$13:$J$27,0),1))&lt;1,"/",INDEX(THHKI!$A$8:$Y$62,MATCH(PDHKI!E1082,THHKI!$A$8:$A$62,0),INDEX($K$13:$K$27,MATCH(B1049,$J$13:$J$27,0),1))))</f>
        <v>9</v>
      </c>
      <c r="E1049" s="691"/>
      <c r="J1049" s="569" t="s">
        <v>28</v>
      </c>
      <c r="K1049" s="569">
        <v>9</v>
      </c>
    </row>
    <row r="1050" spans="1:11" ht="21" customHeight="1">
      <c r="A1050" s="689">
        <v>4</v>
      </c>
      <c r="B1050" s="1008" t="s">
        <v>29</v>
      </c>
      <c r="C1050" s="1009"/>
      <c r="D1050" s="690">
        <f>IF(E1082="","",IF(INDEX(THHKI!$A$8:$Y$62,MATCH(PDHKI!E1082,THHKI!$A$8:$A$62,0),INDEX($K$13:$K$27,MATCH(B1050,$J$13:$J$27,0),1))&lt;1,"/",INDEX(THHKI!$A$8:$Y$62,MATCH(PDHKI!E1082,THHKI!$A$8:$A$62,0),INDEX($K$13:$K$27,MATCH(B1050,$J$13:$J$27,0),1))))</f>
        <v>9.1</v>
      </c>
      <c r="E1050" s="691"/>
      <c r="J1050" s="569" t="s">
        <v>29</v>
      </c>
      <c r="K1050" s="569">
        <v>10</v>
      </c>
    </row>
    <row r="1051" spans="1:11" ht="21" customHeight="1">
      <c r="A1051" s="689">
        <v>5</v>
      </c>
      <c r="B1051" s="1008" t="s">
        <v>120</v>
      </c>
      <c r="C1051" s="1009"/>
      <c r="D1051" s="690">
        <f>IF(E1082="","",IF(INDEX(THHKI!$A$8:$Y$62,MATCH(PDHKI!E1082,THHKI!$A$8:$A$62,0),INDEX($K$13:$K$27,MATCH(B1051,$J$13:$J$27,0),1))&lt;1,"/",INDEX(THHKI!$A$8:$Y$62,MATCH(PDHKI!E1082,THHKI!$A$8:$A$62,0),INDEX($K$13:$K$27,MATCH(B1051,$J$13:$J$27,0),1))))</f>
        <v>9.6</v>
      </c>
      <c r="E1051" s="691"/>
      <c r="J1051" s="569" t="s">
        <v>120</v>
      </c>
      <c r="K1051" s="569">
        <v>11</v>
      </c>
    </row>
    <row r="1052" spans="1:11" ht="21" customHeight="1">
      <c r="A1052" s="689">
        <v>6</v>
      </c>
      <c r="B1052" s="1008" t="s">
        <v>30</v>
      </c>
      <c r="C1052" s="1009"/>
      <c r="D1052" s="690">
        <f>IF(E1082="","",IF(INDEX(THHKI!$A$8:$Y$62,MATCH(PDHKI!E1082,THHKI!$A$8:$A$62,0),INDEX($K$13:$K$27,MATCH(B1052,$J$13:$J$27,0),1))&lt;1,"/",INDEX(THHKI!$A$8:$Y$62,MATCH(PDHKI!E1082,THHKI!$A$8:$A$62,0),INDEX($K$13:$K$27,MATCH(B1052,$J$13:$J$27,0),1))))</f>
        <v>7.7</v>
      </c>
      <c r="E1052" s="691"/>
      <c r="J1052" s="569" t="s">
        <v>30</v>
      </c>
      <c r="K1052" s="569">
        <v>12</v>
      </c>
    </row>
    <row r="1053" spans="1:11" ht="21" customHeight="1">
      <c r="A1053" s="689">
        <v>7</v>
      </c>
      <c r="B1053" s="1008" t="s">
        <v>31</v>
      </c>
      <c r="C1053" s="1009"/>
      <c r="D1053" s="690">
        <f>IF(E1082="","",IF(INDEX(THHKI!$A$8:$Y$62,MATCH(PDHKI!E1082,THHKI!$A$8:$A$62,0),INDEX($K$13:$K$27,MATCH(B1053,$J$13:$J$27,0),1))&lt;1,"/",INDEX(THHKI!$A$8:$Y$62,MATCH(PDHKI!E1082,THHKI!$A$8:$A$62,0),INDEX($K$13:$K$27,MATCH(B1053,$J$13:$J$27,0),1))))</f>
        <v>9.8000000000000007</v>
      </c>
      <c r="E1053" s="691"/>
      <c r="J1053" s="569" t="s">
        <v>31</v>
      </c>
      <c r="K1053" s="569">
        <v>13</v>
      </c>
    </row>
    <row r="1054" spans="1:11" ht="21" customHeight="1">
      <c r="A1054" s="689">
        <v>8</v>
      </c>
      <c r="B1054" s="1008" t="s">
        <v>32</v>
      </c>
      <c r="C1054" s="1009"/>
      <c r="D1054" s="690">
        <f>IF(E1082="","",IF(INDEX(THHKI!$A$8:$Y$62,MATCH(PDHKI!E1082,THHKI!$A$8:$A$62,0),INDEX($K$13:$K$27,MATCH(B1054,$J$13:$J$27,0),1))&lt;1,"/",INDEX(THHKI!$A$8:$Y$62,MATCH(PDHKI!E1082,THHKI!$A$8:$A$62,0),INDEX($K$13:$K$27,MATCH(B1054,$J$13:$J$27,0),1))))</f>
        <v>9.9</v>
      </c>
      <c r="E1054" s="691"/>
      <c r="J1054" s="569" t="s">
        <v>32</v>
      </c>
      <c r="K1054" s="569">
        <v>14</v>
      </c>
    </row>
    <row r="1055" spans="1:11" ht="21" customHeight="1">
      <c r="A1055" s="689">
        <v>9</v>
      </c>
      <c r="B1055" s="1008" t="s">
        <v>33</v>
      </c>
      <c r="C1055" s="1009"/>
      <c r="D1055" s="690">
        <f>IF(E1082="","",IF(INDEX(THHKI!$A$8:$Y$62,MATCH(PDHKI!E1082,THHKI!$A$8:$A$62,0),INDEX($K$13:$K$27,MATCH(B1055,$J$13:$J$27,0),1))&lt;1,"/",INDEX(THHKI!$A$8:$Y$62,MATCH(PDHKI!E1082,THHKI!$A$8:$A$62,0),INDEX($K$13:$K$27,MATCH(B1055,$J$13:$J$27,0),1))))</f>
        <v>8.6</v>
      </c>
      <c r="E1055" s="691"/>
      <c r="J1055" s="569" t="s">
        <v>33</v>
      </c>
      <c r="K1055" s="569">
        <v>15</v>
      </c>
    </row>
    <row r="1056" spans="1:11" ht="21" customHeight="1">
      <c r="A1056" s="689">
        <v>10</v>
      </c>
      <c r="B1056" s="1008" t="s">
        <v>60</v>
      </c>
      <c r="C1056" s="1009"/>
      <c r="D1056" s="690">
        <f>IF(E1082="","",IF(INDEX(THHKI!$A$8:$Y$62,MATCH(PDHKI!E1082,THHKI!$A$8:$A$62,0),INDEX($K$13:$K$27,MATCH(B1056,$J$13:$J$27,0),1))&lt;1,"/",INDEX(THHKI!$A$8:$Y$62,MATCH(PDHKI!E1082,THHKI!$A$8:$A$62,0),INDEX($K$13:$K$27,MATCH(B1056,$J$13:$J$27,0),1))))</f>
        <v>9.4</v>
      </c>
      <c r="E1056" s="691"/>
      <c r="J1056" s="569" t="s">
        <v>60</v>
      </c>
      <c r="K1056" s="569">
        <v>16</v>
      </c>
    </row>
    <row r="1057" spans="1:11" ht="21" customHeight="1">
      <c r="A1057" s="689">
        <v>11</v>
      </c>
      <c r="B1057" s="1008" t="s">
        <v>34</v>
      </c>
      <c r="C1057" s="1009"/>
      <c r="D1057" s="690">
        <f>IF(E1082="","",IF(INDEX(THHKI!$A$8:$Y$62,MATCH(PDHKI!E1082,THHKI!$A$8:$A$62,0),INDEX($K$13:$K$27,MATCH(B1057,$J$13:$J$27,0),1))&lt;1,"/",INDEX(THHKI!$A$8:$Y$62,MATCH(PDHKI!E1082,THHKI!$A$8:$A$62,0),INDEX($K$13:$K$27,MATCH(B1057,$J$13:$J$27,0),1))))</f>
        <v>9.9</v>
      </c>
      <c r="E1057" s="691"/>
      <c r="J1057" s="569" t="s">
        <v>34</v>
      </c>
      <c r="K1057" s="569">
        <v>17</v>
      </c>
    </row>
    <row r="1058" spans="1:11" ht="21" customHeight="1">
      <c r="A1058" s="689">
        <v>12</v>
      </c>
      <c r="B1058" s="1008" t="s">
        <v>35</v>
      </c>
      <c r="C1058" s="1009"/>
      <c r="D1058" s="690" t="str">
        <f>IF(E1082="","",IF(INDEX(THHKI!$A$8:$Y$62,MATCH(PDHKI!E1082,THHKI!$A$8:$A$62,0),INDEX($K$13:$K$27,MATCH(B1058,$J$13:$J$27,0),1))&lt;1,"/",INDEX(THHKI!$A$8:$Y$62,MATCH(PDHKI!E1082,THHKI!$A$8:$A$62,0),INDEX($K$13:$K$27,MATCH(B1058,$J$13:$J$27,0),1))))</f>
        <v>Đ</v>
      </c>
      <c r="E1058" s="691"/>
      <c r="J1058" s="569" t="s">
        <v>35</v>
      </c>
      <c r="K1058" s="569">
        <v>18</v>
      </c>
    </row>
    <row r="1059" spans="1:11" ht="21" customHeight="1">
      <c r="A1059" s="689">
        <v>13</v>
      </c>
      <c r="B1059" s="1008" t="s">
        <v>121</v>
      </c>
      <c r="C1059" s="1009"/>
      <c r="D1059" s="690">
        <f>IF(E1082="","",IF(INDEX(THHKI!$A$8:$Y$62,MATCH(PDHKI!E1082,THHKI!$A$8:$A$62,0),INDEX($K$13:$K$27,MATCH(B1059,$J$13:$J$27,0),1))&lt;1,"/",INDEX(THHKI!$A$8:$Y$62,MATCH(PDHKI!E1082,THHKI!$A$8:$A$62,0),INDEX($K$13:$K$27,MATCH(B1059,$J$13:$J$27,0),1))))</f>
        <v>9.4</v>
      </c>
      <c r="E1059" s="691"/>
      <c r="J1059" s="569" t="s">
        <v>22</v>
      </c>
      <c r="K1059" s="569">
        <v>19</v>
      </c>
    </row>
    <row r="1060" spans="1:11" ht="21" customHeight="1" thickBot="1">
      <c r="A1060" s="692">
        <v>14</v>
      </c>
      <c r="B1060" s="1010" t="s">
        <v>122</v>
      </c>
      <c r="C1060" s="1011"/>
      <c r="D1060" s="693" t="str">
        <f>IF(E1082="","",IF(INDEX(THHKI!$A$8:$Y$62,MATCH(PDHKI!E1082,THHKI!$A$8:$A$62,0),INDEX($K$13:$K$27,MATCH(B1060,$J$13:$J$27,0),1))&lt;1,"/",INDEX(THHKI!$A$8:$Y$62,MATCH(PDHKI!E1082,THHKI!$A$8:$A$62,0),INDEX($K$13:$K$27,MATCH(B1060,$J$13:$J$27,0),1))))</f>
        <v/>
      </c>
      <c r="E1060" s="694"/>
      <c r="J1060" s="569" t="s">
        <v>121</v>
      </c>
      <c r="K1060" s="569">
        <v>20</v>
      </c>
    </row>
    <row r="1061" spans="1:11" ht="21" customHeight="1" thickBot="1">
      <c r="A1061" s="695">
        <v>15</v>
      </c>
      <c r="B1061" s="1006" t="s">
        <v>149</v>
      </c>
      <c r="C1061" s="1007"/>
      <c r="D1061" s="696">
        <f>IF(E1082="","",IF(INDEX(THHKI!$A$8:$Y$62,MATCH(PDHKI!E1082,THHKI!$A$8:$A$62,0),22)&lt;1,"/",INDEX(THHKI!$A$8:$Y$62,MATCH(PDHKI!E1082,THHKI!$A$8:$A$62,0),22)))</f>
        <v>9.3000000000000007</v>
      </c>
      <c r="E1061" s="697"/>
      <c r="J1061" s="569" t="s">
        <v>122</v>
      </c>
      <c r="K1061" s="569">
        <v>21</v>
      </c>
    </row>
    <row r="1062" spans="1:11" ht="15.75" customHeight="1" thickBot="1"/>
    <row r="1063" spans="1:11" s="570" customFormat="1" ht="21" customHeight="1">
      <c r="A1063" s="698"/>
      <c r="B1063" s="1019" t="s">
        <v>150</v>
      </c>
      <c r="C1063" s="1020"/>
      <c r="D1063" s="699" t="s">
        <v>10</v>
      </c>
      <c r="E1063" s="700" t="s">
        <v>126</v>
      </c>
    </row>
    <row r="1064" spans="1:11" ht="21" customHeight="1">
      <c r="A1064" s="701">
        <v>16</v>
      </c>
      <c r="B1064" s="1021" t="s">
        <v>151</v>
      </c>
      <c r="C1064" s="1022"/>
      <c r="D1064" s="702" t="str">
        <f>IF(E1082="","",IF(INDEX(THHKI!$A$8:$Y$62,MATCH(PDHKI!E1082,THHKI!$A$8:$A$62,0),23)="","/",INDEX(THHKI!$A$8:$Y$62,MATCH(PDHKI!E1082,THHKI!$A$8:$A$62,0),23)))</f>
        <v>Giỏi</v>
      </c>
      <c r="E1064" s="703"/>
    </row>
    <row r="1065" spans="1:11" ht="21" customHeight="1">
      <c r="A1065" s="701">
        <v>17</v>
      </c>
      <c r="B1065" s="1021" t="s">
        <v>152</v>
      </c>
      <c r="C1065" s="1022"/>
      <c r="D1065" s="702" t="str">
        <f>IF(E1082="","",IF(INDEX(THHKI!$A$8:$Y$62,MATCH(PDHKI!E1082,THHKI!$A$8:$A$62,0),24)="","/",INDEX(THHKI!$A$8:$Y$62,MATCH(PDHKI!E1082,THHKI!$A$8:$A$62,0),24)))</f>
        <v>Tốt</v>
      </c>
      <c r="E1065" s="703"/>
    </row>
    <row r="1066" spans="1:11" ht="21" customHeight="1" thickBot="1">
      <c r="A1066" s="704">
        <v>18</v>
      </c>
      <c r="B1066" s="1023" t="s">
        <v>153</v>
      </c>
      <c r="C1066" s="1024"/>
      <c r="D1066" s="705" t="str">
        <f>IF(E1082="","",IF(INDEX(THHKI!$A$8:$Y$62,MATCH(PDHKI!E1082,THHKI!$A$8:$A$62,0),25)="","/",INDEX(THHKI!$A$8:$Y$62,MATCH(PDHKI!E1082,THHKI!$A$8:$A$62,0),25)))</f>
        <v>HSG</v>
      </c>
      <c r="E1066" s="706"/>
    </row>
    <row r="1067" spans="1:11" ht="9.75" customHeight="1"/>
    <row r="1068" spans="1:11" ht="15.75" customHeight="1">
      <c r="A1068" s="58" t="s">
        <v>219</v>
      </c>
    </row>
    <row r="1069" spans="1:11" ht="18" customHeight="1">
      <c r="A1069" s="59" t="str">
        <f>IF(E1082="","",IF(INDEX(DiemHKI!$DE$4:$DH$58,MATCH(PDHKI!E1082,DiemHKI!$B$4:$B$58,0),1)="","","- "&amp;INDEX(DiemHKI!$DE$4:$DH$58,MATCH(PDHKI!E1082,DiemHKI!$B$4:$B$58,0),1)))</f>
        <v/>
      </c>
      <c r="H1069" s="571"/>
    </row>
    <row r="1070" spans="1:11" ht="18" customHeight="1">
      <c r="A1070" s="59" t="str">
        <f>IF(E1082="","",IF(INDEX(DiemHKI!$DE$4:$DH$58,MATCH(PDHKI!E1082,DiemHKI!$B$4:$B$58,0),2)="","","- "&amp;INDEX(DiemHKI!$DE$4:$DH$58,MATCH(PDHKI!E1082,DiemHKI!$B$4:$B$58,0),2)))</f>
        <v/>
      </c>
    </row>
    <row r="1071" spans="1:11" ht="18" customHeight="1">
      <c r="A1071" s="59" t="str">
        <f>IF(E1082="","",IF(INDEX(DiemHKI!$DE$4:$DH$58,MATCH(PDHKI!E1082,DiemHKI!$B$4:$B$58,0),3)="","","- "&amp;INDEX(DiemHKI!$DE$4:$DH$58,MATCH(PDHKI!E1082,DiemHKI!$B$4:$B$58,0),3)))</f>
        <v/>
      </c>
    </row>
    <row r="1072" spans="1:11" ht="18" customHeight="1">
      <c r="A1072" s="59" t="str">
        <f>IF(E1082="","",IF(INDEX(DiemHKI!$DE$4:$DH$58,MATCH(PDHKI!E1082,DiemHKI!$B$4:$B$58,0),4)="","","- "&amp;INDEX(DiemHKI!$DE$4:$DH$58,MATCH(PDHKI!E1082,DiemHKI!$B$4:$B$58,0),4)))</f>
        <v/>
      </c>
    </row>
    <row r="1073" spans="1:5" ht="6.75" customHeight="1"/>
    <row r="1074" spans="1:5" ht="16.5" customHeight="1">
      <c r="A1074" s="61"/>
      <c r="C1074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074" s="1026"/>
      <c r="E1074" s="1026"/>
    </row>
    <row r="1075" spans="1:5" ht="21.75" customHeight="1">
      <c r="A1075" s="923" t="str">
        <f>IF($D$41="Hiệu trưởng","Giáo viên Quản nhiệm","")</f>
        <v>Giáo viên Quản nhiệm</v>
      </c>
      <c r="B1075" s="923"/>
      <c r="C1075" s="923"/>
      <c r="D1075" s="707" t="str">
        <f>IF($G$5="","",$G$5)</f>
        <v>Hiệu trưởng</v>
      </c>
      <c r="E1075" s="708"/>
    </row>
    <row r="1076" spans="1:5" ht="15" customHeight="1">
      <c r="A1076" s="61"/>
      <c r="B1076" s="61"/>
      <c r="C1076" s="61"/>
      <c r="D1076" s="66"/>
      <c r="E1076" s="66"/>
    </row>
    <row r="1077" spans="1:5" ht="15" customHeight="1">
      <c r="A1077" s="61"/>
      <c r="B1077" s="61"/>
      <c r="C1077" s="61"/>
      <c r="D1077" s="66"/>
      <c r="E1077" s="66"/>
    </row>
    <row r="1078" spans="1:5" ht="15" customHeight="1">
      <c r="A1078" s="61"/>
      <c r="B1078" s="61"/>
      <c r="C1078" s="61"/>
    </row>
    <row r="1079" spans="1:5" ht="15" customHeight="1">
      <c r="A1079" s="61"/>
      <c r="B1079" s="61"/>
      <c r="C1079" s="61"/>
    </row>
    <row r="1080" spans="1:5" ht="16.5" customHeight="1">
      <c r="A1080" s="1012" t="str">
        <f>IF($A$41="","",PROPER('Huong dan'!$C$4))</f>
        <v/>
      </c>
      <c r="B1080" s="1012"/>
      <c r="C1080" s="1012"/>
      <c r="D1080" s="833" t="str">
        <f>IFERROR(IF($D$41="Giáo Viên Quản nhiệm",PROPER('Huong dan'!$C$4),IF($D$41="Hiệu trưởng",PROPER('Huong dan'!$E$5),"")),"")</f>
        <v/>
      </c>
      <c r="E1080" s="708"/>
    </row>
    <row r="1081" spans="1:5" ht="12.75" customHeight="1"/>
    <row r="1082" spans="1:5" ht="12.75" customHeight="1">
      <c r="A1082" s="709"/>
      <c r="B1082" s="709"/>
      <c r="C1082" s="709"/>
      <c r="D1082" s="710"/>
      <c r="E1082" s="711">
        <f>IF(E1035="","",IF(E1035&lt;MAX(DiemHKI!$B$4:$B$58),E1035+1,""))</f>
        <v>23</v>
      </c>
    </row>
    <row r="1083" spans="1:5" ht="8.25" customHeight="1">
      <c r="A1083" s="709"/>
      <c r="B1083" s="709"/>
      <c r="C1083" s="709"/>
      <c r="D1083" s="709"/>
      <c r="E1083" s="709"/>
    </row>
    <row r="1084" spans="1:5" ht="5.25" customHeight="1"/>
    <row r="1085" spans="1:5" s="563" customFormat="1" ht="23.25" customHeight="1">
      <c r="A1085" s="931" t="str">
        <f>IF('Huong dan'!$E$3&lt;&gt;"","SỞ GIÁO DỤC VÀ ĐÀO TẠO "&amp;UPPER('Huong dan'!$E$3),"")</f>
        <v>SỞ GIÁO DỤC VÀ ĐÀO TẠO TP. HỒ CHÍ MINH</v>
      </c>
      <c r="B1085" s="931"/>
      <c r="C1085" s="931"/>
      <c r="D1085" s="923" t="s">
        <v>19</v>
      </c>
      <c r="E1085" s="923"/>
    </row>
    <row r="1086" spans="1:5" ht="17.25" customHeight="1">
      <c r="A1086" s="931" t="str">
        <f>IF('Huong dan'!$E$4&lt;&gt;"","TRƯỜNG "&amp;UPPER('Huong dan'!$E$4),"")</f>
        <v>TRƯỜNG THCS VÀ THPT NGUYỄN KHUYẾN</v>
      </c>
      <c r="B1086" s="931"/>
      <c r="C1086" s="931"/>
      <c r="D1086" s="1012" t="s">
        <v>179</v>
      </c>
      <c r="E1086" s="1012"/>
    </row>
    <row r="1087" spans="1:5" ht="24" customHeight="1">
      <c r="A1087" s="61"/>
      <c r="B1087" s="61"/>
      <c r="C1087" s="61"/>
    </row>
    <row r="1088" spans="1:5" ht="29.25" customHeight="1">
      <c r="A1088" s="1013" t="str">
        <f>"PHIẾU ĐIỂM HỌC KỲ I - NĂM HỌC "&amp;'Huong dan'!$C$5</f>
        <v>PHIẾU ĐIỂM HỌC KỲ I - NĂM HỌC 2021 - 2022</v>
      </c>
      <c r="B1088" s="1013"/>
      <c r="C1088" s="1013"/>
      <c r="D1088" s="1013"/>
      <c r="E1088" s="1013"/>
    </row>
    <row r="1089" spans="1:11" ht="15.75" customHeight="1">
      <c r="A1089" s="680"/>
      <c r="B1089" s="680"/>
    </row>
    <row r="1090" spans="1:11" ht="21" customHeight="1">
      <c r="A1090" s="1014" t="s">
        <v>145</v>
      </c>
      <c r="B1090" s="1014"/>
      <c r="C1090" s="1015" t="str">
        <f>IF(E1129="","",INDEX(DiemHKI!$D$4:$D$58,MATCH(E1129,DiemHKI!$B$4:$B$58,0),1)&amp;" "&amp;INDEX(DiemHKI!$E$4:$E$58,MATCH(E1129,DiemHKI!$B$4:$B$58,0),1))</f>
        <v>Quách Tống Minh Nhật</v>
      </c>
      <c r="D1090" s="1015"/>
      <c r="E1090" s="62" t="str">
        <f>IF('Huong dan'!$C$3="","","Lớp: "&amp;'Huong dan'!$C$3)</f>
        <v>Lớp: 12A1</v>
      </c>
    </row>
    <row r="1091" spans="1:11" ht="23.25" customHeight="1">
      <c r="A1091" s="1014" t="s">
        <v>146</v>
      </c>
      <c r="B1091" s="1014"/>
      <c r="C1091" s="681" t="str">
        <f>IF(E1129="","",INDEX(DiemHKI!$F$4:$F$58,MATCH(PDHKI!E1129,DiemHKI!$B$4:$B$58,0),1))</f>
        <v>01/12/2004</v>
      </c>
      <c r="D1091" s="1016" t="str">
        <f>IF(E1129="","","Nơi sinh: "&amp;INDEX(DiemHKI!$G$4:$G$58,MATCH(PDHKI!E1129,DiemHKI!$B$4:$B$58,0),1))</f>
        <v>Nơi sinh: Bình Định</v>
      </c>
      <c r="E1091" s="1016"/>
    </row>
    <row r="1092" spans="1:11" ht="13.5" customHeight="1" thickBot="1">
      <c r="A1092" s="681"/>
      <c r="B1092" s="682"/>
      <c r="D1092" s="681"/>
      <c r="E1092" s="681"/>
    </row>
    <row r="1093" spans="1:11" ht="24" customHeight="1" thickBot="1">
      <c r="A1093" s="683" t="s">
        <v>0</v>
      </c>
      <c r="B1093" s="1006" t="s">
        <v>72</v>
      </c>
      <c r="C1093" s="1007"/>
      <c r="D1093" s="684" t="s">
        <v>147</v>
      </c>
      <c r="E1093" s="685" t="s">
        <v>148</v>
      </c>
    </row>
    <row r="1094" spans="1:11" ht="21" customHeight="1">
      <c r="A1094" s="686">
        <v>1</v>
      </c>
      <c r="B1094" s="1017" t="s">
        <v>26</v>
      </c>
      <c r="C1094" s="1018"/>
      <c r="D1094" s="687">
        <f>IF(E1129="","",IF(INDEX(THHKI!$A$8:$Y$62,MATCH(PDHKI!E1129,THHKI!$A$8:$A$62,0),INDEX($K$13:$K$27,MATCH(B1094,$J$13:$J$27,0),1))&lt;1,"/",INDEX(THHKI!$A$8:$Y$62,MATCH(PDHKI!E1129,THHKI!$A$8:$A$62,0),INDEX($K$13:$K$27,MATCH(B1094,$J$13:$J$27,0),1))))</f>
        <v>9.3000000000000007</v>
      </c>
      <c r="E1094" s="688"/>
      <c r="J1094" s="569" t="s">
        <v>26</v>
      </c>
      <c r="K1094" s="569">
        <v>7</v>
      </c>
    </row>
    <row r="1095" spans="1:11" ht="21" customHeight="1">
      <c r="A1095" s="689">
        <v>2</v>
      </c>
      <c r="B1095" s="1008" t="s">
        <v>27</v>
      </c>
      <c r="C1095" s="1009"/>
      <c r="D1095" s="690">
        <f>IF(E1129="","",IF(INDEX(THHKI!$A$8:$Y$62,MATCH(PDHKI!E1129,THHKI!$A$8:$A$62,0),INDEX($K$13:$K$27,MATCH(B1095,$J$13:$J$27,0),1))&lt;1,"/",INDEX(THHKI!$A$8:$Y$62,MATCH(PDHKI!E1129,THHKI!$A$8:$A$62,0),INDEX($K$13:$K$27,MATCH(B1095,$J$13:$J$27,0),1))))</f>
        <v>9.1999999999999993</v>
      </c>
      <c r="E1095" s="691"/>
      <c r="J1095" s="569" t="s">
        <v>27</v>
      </c>
      <c r="K1095" s="569">
        <v>8</v>
      </c>
    </row>
    <row r="1096" spans="1:11" ht="21" customHeight="1">
      <c r="A1096" s="689">
        <v>3</v>
      </c>
      <c r="B1096" s="1008" t="s">
        <v>28</v>
      </c>
      <c r="C1096" s="1009"/>
      <c r="D1096" s="690">
        <f>IF(E1129="","",IF(INDEX(THHKI!$A$8:$Y$62,MATCH(PDHKI!E1129,THHKI!$A$8:$A$62,0),INDEX($K$13:$K$27,MATCH(B1096,$J$13:$J$27,0),1))&lt;1,"/",INDEX(THHKI!$A$8:$Y$62,MATCH(PDHKI!E1129,THHKI!$A$8:$A$62,0),INDEX($K$13:$K$27,MATCH(B1096,$J$13:$J$27,0),1))))</f>
        <v>8.9</v>
      </c>
      <c r="E1096" s="691"/>
      <c r="J1096" s="569" t="s">
        <v>28</v>
      </c>
      <c r="K1096" s="569">
        <v>9</v>
      </c>
    </row>
    <row r="1097" spans="1:11" ht="21" customHeight="1">
      <c r="A1097" s="689">
        <v>4</v>
      </c>
      <c r="B1097" s="1008" t="s">
        <v>29</v>
      </c>
      <c r="C1097" s="1009"/>
      <c r="D1097" s="690">
        <f>IF(E1129="","",IF(INDEX(THHKI!$A$8:$Y$62,MATCH(PDHKI!E1129,THHKI!$A$8:$A$62,0),INDEX($K$13:$K$27,MATCH(B1097,$J$13:$J$27,0),1))&lt;1,"/",INDEX(THHKI!$A$8:$Y$62,MATCH(PDHKI!E1129,THHKI!$A$8:$A$62,0),INDEX($K$13:$K$27,MATCH(B1097,$J$13:$J$27,0),1))))</f>
        <v>8.4</v>
      </c>
      <c r="E1097" s="691"/>
      <c r="J1097" s="569" t="s">
        <v>29</v>
      </c>
      <c r="K1097" s="569">
        <v>10</v>
      </c>
    </row>
    <row r="1098" spans="1:11" ht="21" customHeight="1">
      <c r="A1098" s="689">
        <v>5</v>
      </c>
      <c r="B1098" s="1008" t="s">
        <v>120</v>
      </c>
      <c r="C1098" s="1009"/>
      <c r="D1098" s="690">
        <f>IF(E1129="","",IF(INDEX(THHKI!$A$8:$Y$62,MATCH(PDHKI!E1129,THHKI!$A$8:$A$62,0),INDEX($K$13:$K$27,MATCH(B1098,$J$13:$J$27,0),1))&lt;1,"/",INDEX(THHKI!$A$8:$Y$62,MATCH(PDHKI!E1129,THHKI!$A$8:$A$62,0),INDEX($K$13:$K$27,MATCH(B1098,$J$13:$J$27,0),1))))</f>
        <v>9.8000000000000007</v>
      </c>
      <c r="E1098" s="691"/>
      <c r="J1098" s="569" t="s">
        <v>120</v>
      </c>
      <c r="K1098" s="569">
        <v>11</v>
      </c>
    </row>
    <row r="1099" spans="1:11" ht="21" customHeight="1">
      <c r="A1099" s="689">
        <v>6</v>
      </c>
      <c r="B1099" s="1008" t="s">
        <v>30</v>
      </c>
      <c r="C1099" s="1009"/>
      <c r="D1099" s="690">
        <f>IF(E1129="","",IF(INDEX(THHKI!$A$8:$Y$62,MATCH(PDHKI!E1129,THHKI!$A$8:$A$62,0),INDEX($K$13:$K$27,MATCH(B1099,$J$13:$J$27,0),1))&lt;1,"/",INDEX(THHKI!$A$8:$Y$62,MATCH(PDHKI!E1129,THHKI!$A$8:$A$62,0),INDEX($K$13:$K$27,MATCH(B1099,$J$13:$J$27,0),1))))</f>
        <v>6.9</v>
      </c>
      <c r="E1099" s="691"/>
      <c r="J1099" s="569" t="s">
        <v>30</v>
      </c>
      <c r="K1099" s="569">
        <v>12</v>
      </c>
    </row>
    <row r="1100" spans="1:11" ht="21" customHeight="1">
      <c r="A1100" s="689">
        <v>7</v>
      </c>
      <c r="B1100" s="1008" t="s">
        <v>31</v>
      </c>
      <c r="C1100" s="1009"/>
      <c r="D1100" s="690">
        <f>IF(E1129="","",IF(INDEX(THHKI!$A$8:$Y$62,MATCH(PDHKI!E1129,THHKI!$A$8:$A$62,0),INDEX($K$13:$K$27,MATCH(B1100,$J$13:$J$27,0),1))&lt;1,"/",INDEX(THHKI!$A$8:$Y$62,MATCH(PDHKI!E1129,THHKI!$A$8:$A$62,0),INDEX($K$13:$K$27,MATCH(B1100,$J$13:$J$27,0),1))))</f>
        <v>9.8000000000000007</v>
      </c>
      <c r="E1100" s="691"/>
      <c r="J1100" s="569" t="s">
        <v>31</v>
      </c>
      <c r="K1100" s="569">
        <v>13</v>
      </c>
    </row>
    <row r="1101" spans="1:11" ht="21" customHeight="1">
      <c r="A1101" s="689">
        <v>8</v>
      </c>
      <c r="B1101" s="1008" t="s">
        <v>32</v>
      </c>
      <c r="C1101" s="1009"/>
      <c r="D1101" s="690">
        <f>IF(E1129="","",IF(INDEX(THHKI!$A$8:$Y$62,MATCH(PDHKI!E1129,THHKI!$A$8:$A$62,0),INDEX($K$13:$K$27,MATCH(B1101,$J$13:$J$27,0),1))&lt;1,"/",INDEX(THHKI!$A$8:$Y$62,MATCH(PDHKI!E1129,THHKI!$A$8:$A$62,0),INDEX($K$13:$K$27,MATCH(B1101,$J$13:$J$27,0),1))))</f>
        <v>9.6</v>
      </c>
      <c r="E1101" s="691"/>
      <c r="J1101" s="569" t="s">
        <v>32</v>
      </c>
      <c r="K1101" s="569">
        <v>14</v>
      </c>
    </row>
    <row r="1102" spans="1:11" ht="21" customHeight="1">
      <c r="A1102" s="689">
        <v>9</v>
      </c>
      <c r="B1102" s="1008" t="s">
        <v>33</v>
      </c>
      <c r="C1102" s="1009"/>
      <c r="D1102" s="690">
        <f>IF(E1129="","",IF(INDEX(THHKI!$A$8:$Y$62,MATCH(PDHKI!E1129,THHKI!$A$8:$A$62,0),INDEX($K$13:$K$27,MATCH(B1102,$J$13:$J$27,0),1))&lt;1,"/",INDEX(THHKI!$A$8:$Y$62,MATCH(PDHKI!E1129,THHKI!$A$8:$A$62,0),INDEX($K$13:$K$27,MATCH(B1102,$J$13:$J$27,0),1))))</f>
        <v>9.4</v>
      </c>
      <c r="E1102" s="691"/>
      <c r="J1102" s="569" t="s">
        <v>33</v>
      </c>
      <c r="K1102" s="569">
        <v>15</v>
      </c>
    </row>
    <row r="1103" spans="1:11" ht="21" customHeight="1">
      <c r="A1103" s="689">
        <v>10</v>
      </c>
      <c r="B1103" s="1008" t="s">
        <v>60</v>
      </c>
      <c r="C1103" s="1009"/>
      <c r="D1103" s="690">
        <f>IF(E1129="","",IF(INDEX(THHKI!$A$8:$Y$62,MATCH(PDHKI!E1129,THHKI!$A$8:$A$62,0),INDEX($K$13:$K$27,MATCH(B1103,$J$13:$J$27,0),1))&lt;1,"/",INDEX(THHKI!$A$8:$Y$62,MATCH(PDHKI!E1129,THHKI!$A$8:$A$62,0),INDEX($K$13:$K$27,MATCH(B1103,$J$13:$J$27,0),1))))</f>
        <v>9.4</v>
      </c>
      <c r="E1103" s="691"/>
      <c r="J1103" s="569" t="s">
        <v>60</v>
      </c>
      <c r="K1103" s="569">
        <v>16</v>
      </c>
    </row>
    <row r="1104" spans="1:11" ht="21" customHeight="1">
      <c r="A1104" s="689">
        <v>11</v>
      </c>
      <c r="B1104" s="1008" t="s">
        <v>34</v>
      </c>
      <c r="C1104" s="1009"/>
      <c r="D1104" s="690">
        <f>IF(E1129="","",IF(INDEX(THHKI!$A$8:$Y$62,MATCH(PDHKI!E1129,THHKI!$A$8:$A$62,0),INDEX($K$13:$K$27,MATCH(B1104,$J$13:$J$27,0),1))&lt;1,"/",INDEX(THHKI!$A$8:$Y$62,MATCH(PDHKI!E1129,THHKI!$A$8:$A$62,0),INDEX($K$13:$K$27,MATCH(B1104,$J$13:$J$27,0),1))))</f>
        <v>9.8000000000000007</v>
      </c>
      <c r="E1104" s="691"/>
      <c r="J1104" s="569" t="s">
        <v>34</v>
      </c>
      <c r="K1104" s="569">
        <v>17</v>
      </c>
    </row>
    <row r="1105" spans="1:11" ht="21" customHeight="1">
      <c r="A1105" s="689">
        <v>12</v>
      </c>
      <c r="B1105" s="1008" t="s">
        <v>35</v>
      </c>
      <c r="C1105" s="1009"/>
      <c r="D1105" s="690" t="str">
        <f>IF(E1129="","",IF(INDEX(THHKI!$A$8:$Y$62,MATCH(PDHKI!E1129,THHKI!$A$8:$A$62,0),INDEX($K$13:$K$27,MATCH(B1105,$J$13:$J$27,0),1))&lt;1,"/",INDEX(THHKI!$A$8:$Y$62,MATCH(PDHKI!E1129,THHKI!$A$8:$A$62,0),INDEX($K$13:$K$27,MATCH(B1105,$J$13:$J$27,0),1))))</f>
        <v>Đ</v>
      </c>
      <c r="E1105" s="691"/>
      <c r="J1105" s="569" t="s">
        <v>35</v>
      </c>
      <c r="K1105" s="569">
        <v>18</v>
      </c>
    </row>
    <row r="1106" spans="1:11" ht="21" customHeight="1">
      <c r="A1106" s="689">
        <v>13</v>
      </c>
      <c r="B1106" s="1008" t="s">
        <v>121</v>
      </c>
      <c r="C1106" s="1009"/>
      <c r="D1106" s="690">
        <f>IF(E1129="","",IF(INDEX(THHKI!$A$8:$Y$62,MATCH(PDHKI!E1129,THHKI!$A$8:$A$62,0),INDEX($K$13:$K$27,MATCH(B1106,$J$13:$J$27,0),1))&lt;1,"/",INDEX(THHKI!$A$8:$Y$62,MATCH(PDHKI!E1129,THHKI!$A$8:$A$62,0),INDEX($K$13:$K$27,MATCH(B1106,$J$13:$J$27,0),1))))</f>
        <v>9.9</v>
      </c>
      <c r="E1106" s="691"/>
      <c r="J1106" s="569" t="s">
        <v>22</v>
      </c>
      <c r="K1106" s="569">
        <v>19</v>
      </c>
    </row>
    <row r="1107" spans="1:11" ht="21" customHeight="1" thickBot="1">
      <c r="A1107" s="692">
        <v>14</v>
      </c>
      <c r="B1107" s="1010" t="s">
        <v>122</v>
      </c>
      <c r="C1107" s="1011"/>
      <c r="D1107" s="693" t="str">
        <f>IF(E1129="","",IF(INDEX(THHKI!$A$8:$Y$62,MATCH(PDHKI!E1129,THHKI!$A$8:$A$62,0),INDEX($K$13:$K$27,MATCH(B1107,$J$13:$J$27,0),1))&lt;1,"/",INDEX(THHKI!$A$8:$Y$62,MATCH(PDHKI!E1129,THHKI!$A$8:$A$62,0),INDEX($K$13:$K$27,MATCH(B1107,$J$13:$J$27,0),1))))</f>
        <v/>
      </c>
      <c r="E1107" s="694"/>
      <c r="J1107" s="569" t="s">
        <v>121</v>
      </c>
      <c r="K1107" s="569">
        <v>20</v>
      </c>
    </row>
    <row r="1108" spans="1:11" ht="21" customHeight="1" thickBot="1">
      <c r="A1108" s="695">
        <v>15</v>
      </c>
      <c r="B1108" s="1006" t="s">
        <v>149</v>
      </c>
      <c r="C1108" s="1007"/>
      <c r="D1108" s="696">
        <f>IF(E1129="","",IF(INDEX(THHKI!$A$8:$Y$62,MATCH(PDHKI!E1129,THHKI!$A$8:$A$62,0),22)&lt;1,"/",INDEX(THHKI!$A$8:$Y$62,MATCH(PDHKI!E1129,THHKI!$A$8:$A$62,0),22)))</f>
        <v>9.1999999999999993</v>
      </c>
      <c r="E1108" s="697"/>
      <c r="J1108" s="569" t="s">
        <v>122</v>
      </c>
      <c r="K1108" s="569">
        <v>21</v>
      </c>
    </row>
    <row r="1109" spans="1:11" ht="15.75" customHeight="1" thickBot="1"/>
    <row r="1110" spans="1:11" s="570" customFormat="1" ht="21" customHeight="1">
      <c r="A1110" s="698"/>
      <c r="B1110" s="1019" t="s">
        <v>150</v>
      </c>
      <c r="C1110" s="1020"/>
      <c r="D1110" s="699" t="s">
        <v>10</v>
      </c>
      <c r="E1110" s="700" t="s">
        <v>126</v>
      </c>
    </row>
    <row r="1111" spans="1:11" ht="21" customHeight="1">
      <c r="A1111" s="701">
        <v>16</v>
      </c>
      <c r="B1111" s="1021" t="s">
        <v>151</v>
      </c>
      <c r="C1111" s="1022"/>
      <c r="D1111" s="702" t="str">
        <f>IF(E1129="","",IF(INDEX(THHKI!$A$8:$Y$62,MATCH(PDHKI!E1129,THHKI!$A$8:$A$62,0),23)="","/",INDEX(THHKI!$A$8:$Y$62,MATCH(PDHKI!E1129,THHKI!$A$8:$A$62,0),23)))</f>
        <v>Giỏi</v>
      </c>
      <c r="E1111" s="703"/>
    </row>
    <row r="1112" spans="1:11" ht="21" customHeight="1">
      <c r="A1112" s="701">
        <v>17</v>
      </c>
      <c r="B1112" s="1021" t="s">
        <v>152</v>
      </c>
      <c r="C1112" s="1022"/>
      <c r="D1112" s="702" t="str">
        <f>IF(E1129="","",IF(INDEX(THHKI!$A$8:$Y$62,MATCH(PDHKI!E1129,THHKI!$A$8:$A$62,0),24)="","/",INDEX(THHKI!$A$8:$Y$62,MATCH(PDHKI!E1129,THHKI!$A$8:$A$62,0),24)))</f>
        <v>Tốt</v>
      </c>
      <c r="E1112" s="703"/>
    </row>
    <row r="1113" spans="1:11" ht="21" customHeight="1" thickBot="1">
      <c r="A1113" s="704">
        <v>18</v>
      </c>
      <c r="B1113" s="1023" t="s">
        <v>153</v>
      </c>
      <c r="C1113" s="1024"/>
      <c r="D1113" s="705" t="str">
        <f>IF(E1129="","",IF(INDEX(THHKI!$A$8:$Y$62,MATCH(PDHKI!E1129,THHKI!$A$8:$A$62,0),25)="","/",INDEX(THHKI!$A$8:$Y$62,MATCH(PDHKI!E1129,THHKI!$A$8:$A$62,0),25)))</f>
        <v>HSG</v>
      </c>
      <c r="E1113" s="706"/>
    </row>
    <row r="1114" spans="1:11" ht="9.75" customHeight="1"/>
    <row r="1115" spans="1:11" ht="15.75" customHeight="1">
      <c r="A1115" s="58" t="s">
        <v>219</v>
      </c>
    </row>
    <row r="1116" spans="1:11" ht="18" customHeight="1">
      <c r="A1116" s="59" t="str">
        <f>IF(E1129="","",IF(INDEX(DiemHKI!$DE$4:$DH$58,MATCH(PDHKI!E1129,DiemHKI!$B$4:$B$58,0),1)="","","- "&amp;INDEX(DiemHKI!$DE$4:$DH$58,MATCH(PDHKI!E1129,DiemHKI!$B$4:$B$58,0),1)))</f>
        <v/>
      </c>
      <c r="H1116" s="571"/>
    </row>
    <row r="1117" spans="1:11" ht="18" customHeight="1">
      <c r="A1117" s="59" t="str">
        <f>IF(E1129="","",IF(INDEX(DiemHKI!$DE$4:$DH$58,MATCH(PDHKI!E1129,DiemHKI!$B$4:$B$58,0),2)="","","- "&amp;INDEX(DiemHKI!$DE$4:$DH$58,MATCH(PDHKI!E1129,DiemHKI!$B$4:$B$58,0),2)))</f>
        <v/>
      </c>
    </row>
    <row r="1118" spans="1:11" ht="18" customHeight="1">
      <c r="A1118" s="59" t="str">
        <f>IF(E1129="","",IF(INDEX(DiemHKI!$DE$4:$DH$58,MATCH(PDHKI!E1129,DiemHKI!$B$4:$B$58,0),3)="","","- "&amp;INDEX(DiemHKI!$DE$4:$DH$58,MATCH(PDHKI!E1129,DiemHKI!$B$4:$B$58,0),3)))</f>
        <v/>
      </c>
    </row>
    <row r="1119" spans="1:11" ht="18" customHeight="1">
      <c r="A1119" s="59" t="str">
        <f>IF(E1129="","",IF(INDEX(DiemHKI!$DE$4:$DH$58,MATCH(PDHKI!E1129,DiemHKI!$B$4:$B$58,0),4)="","","- "&amp;INDEX(DiemHKI!$DE$4:$DH$58,MATCH(PDHKI!E1129,DiemHKI!$B$4:$B$58,0),4)))</f>
        <v/>
      </c>
    </row>
    <row r="1120" spans="1:11" ht="6.75" customHeight="1"/>
    <row r="1121" spans="1:5" ht="16.5" customHeight="1">
      <c r="A1121" s="61"/>
      <c r="C1121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121" s="1026"/>
      <c r="E1121" s="1026"/>
    </row>
    <row r="1122" spans="1:5" ht="21.75" customHeight="1">
      <c r="A1122" s="923" t="str">
        <f>IF($D$41="Hiệu trưởng","Giáo viên Quản nhiệm","")</f>
        <v>Giáo viên Quản nhiệm</v>
      </c>
      <c r="B1122" s="923"/>
      <c r="C1122" s="923"/>
      <c r="D1122" s="707" t="str">
        <f>IF($G$5="","",$G$5)</f>
        <v>Hiệu trưởng</v>
      </c>
      <c r="E1122" s="708"/>
    </row>
    <row r="1123" spans="1:5" ht="15" customHeight="1">
      <c r="A1123" s="61"/>
      <c r="B1123" s="61"/>
      <c r="C1123" s="61"/>
      <c r="D1123" s="66"/>
      <c r="E1123" s="66"/>
    </row>
    <row r="1124" spans="1:5" ht="15" customHeight="1">
      <c r="A1124" s="61"/>
      <c r="B1124" s="61"/>
      <c r="C1124" s="61"/>
      <c r="D1124" s="66"/>
      <c r="E1124" s="66"/>
    </row>
    <row r="1125" spans="1:5" ht="15" customHeight="1">
      <c r="A1125" s="61"/>
      <c r="B1125" s="61"/>
      <c r="C1125" s="61"/>
    </row>
    <row r="1126" spans="1:5" ht="15" customHeight="1">
      <c r="A1126" s="61"/>
      <c r="B1126" s="61"/>
      <c r="C1126" s="61"/>
    </row>
    <row r="1127" spans="1:5" ht="16.5" customHeight="1">
      <c r="A1127" s="1012" t="str">
        <f>IF($A$41="","",PROPER('Huong dan'!$C$4))</f>
        <v/>
      </c>
      <c r="B1127" s="1012"/>
      <c r="C1127" s="1012"/>
      <c r="D1127" s="833" t="str">
        <f>IFERROR(IF($D$41="Giáo Viên Quản nhiệm",PROPER('Huong dan'!$C$4),IF($D$41="Hiệu trưởng",PROPER('Huong dan'!$E$5),"")),"")</f>
        <v/>
      </c>
      <c r="E1127" s="708"/>
    </row>
    <row r="1128" spans="1:5" ht="12.75" customHeight="1"/>
    <row r="1129" spans="1:5" ht="12.75" customHeight="1">
      <c r="A1129" s="709"/>
      <c r="B1129" s="709"/>
      <c r="C1129" s="709"/>
      <c r="D1129" s="710"/>
      <c r="E1129" s="711">
        <f>IF(E1082="","",IF(E1082&lt;MAX(DiemHKI!$B$4:$B$58),E1082+1,""))</f>
        <v>24</v>
      </c>
    </row>
    <row r="1130" spans="1:5" ht="8.25" customHeight="1">
      <c r="A1130" s="709"/>
      <c r="B1130" s="709"/>
      <c r="C1130" s="709"/>
      <c r="D1130" s="709"/>
      <c r="E1130" s="709"/>
    </row>
    <row r="1131" spans="1:5" ht="5.25" customHeight="1"/>
    <row r="1132" spans="1:5" s="563" customFormat="1" ht="23.25" customHeight="1">
      <c r="A1132" s="931" t="str">
        <f>IF('Huong dan'!$E$3&lt;&gt;"","SỞ GIÁO DỤC VÀ ĐÀO TẠO "&amp;UPPER('Huong dan'!$E$3),"")</f>
        <v>SỞ GIÁO DỤC VÀ ĐÀO TẠO TP. HỒ CHÍ MINH</v>
      </c>
      <c r="B1132" s="931"/>
      <c r="C1132" s="931"/>
      <c r="D1132" s="923" t="s">
        <v>19</v>
      </c>
      <c r="E1132" s="923"/>
    </row>
    <row r="1133" spans="1:5" ht="17.25" customHeight="1">
      <c r="A1133" s="931" t="str">
        <f>IF('Huong dan'!$E$4&lt;&gt;"","TRƯỜNG "&amp;UPPER('Huong dan'!$E$4),"")</f>
        <v>TRƯỜNG THCS VÀ THPT NGUYỄN KHUYẾN</v>
      </c>
      <c r="B1133" s="931"/>
      <c r="C1133" s="931"/>
      <c r="D1133" s="1012" t="s">
        <v>179</v>
      </c>
      <c r="E1133" s="1012"/>
    </row>
    <row r="1134" spans="1:5" ht="24" customHeight="1">
      <c r="A1134" s="61"/>
      <c r="B1134" s="61"/>
      <c r="C1134" s="61"/>
    </row>
    <row r="1135" spans="1:5" ht="29.25" customHeight="1">
      <c r="A1135" s="1013" t="str">
        <f>"PHIẾU ĐIỂM HỌC KỲ I - NĂM HỌC "&amp;'Huong dan'!$C$5</f>
        <v>PHIẾU ĐIỂM HỌC KỲ I - NĂM HỌC 2021 - 2022</v>
      </c>
      <c r="B1135" s="1013"/>
      <c r="C1135" s="1013"/>
      <c r="D1135" s="1013"/>
      <c r="E1135" s="1013"/>
    </row>
    <row r="1136" spans="1:5" ht="15.75" customHeight="1">
      <c r="A1136" s="680"/>
      <c r="B1136" s="680"/>
    </row>
    <row r="1137" spans="1:11" ht="21" customHeight="1">
      <c r="A1137" s="1014" t="s">
        <v>145</v>
      </c>
      <c r="B1137" s="1014"/>
      <c r="C1137" s="1015" t="str">
        <f>IF(E1176="","",INDEX(DiemHKI!$D$4:$D$58,MATCH(E1176,DiemHKI!$B$4:$B$58,0),1)&amp;" "&amp;INDEX(DiemHKI!$E$4:$E$58,MATCH(E1176,DiemHKI!$B$4:$B$58,0),1))</f>
        <v>Nguyễn Thục Nhi</v>
      </c>
      <c r="D1137" s="1015"/>
      <c r="E1137" s="62" t="str">
        <f>IF('Huong dan'!$C$3="","","Lớp: "&amp;'Huong dan'!$C$3)</f>
        <v>Lớp: 12A1</v>
      </c>
    </row>
    <row r="1138" spans="1:11" ht="23.25" customHeight="1">
      <c r="A1138" s="1014" t="s">
        <v>146</v>
      </c>
      <c r="B1138" s="1014"/>
      <c r="C1138" s="681" t="str">
        <f>IF(E1176="","",INDEX(DiemHKI!$F$4:$F$58,MATCH(PDHKI!E1176,DiemHKI!$B$4:$B$58,0),1))</f>
        <v>04/10/2004</v>
      </c>
      <c r="D1138" s="1016" t="str">
        <f>IF(E1176="","","Nơi sinh: "&amp;INDEX(DiemHKI!$G$4:$G$58,MATCH(PDHKI!E1176,DiemHKI!$B$4:$B$58,0),1))</f>
        <v>Nơi sinh: TP. Hồ Chí Minh</v>
      </c>
      <c r="E1138" s="1016"/>
    </row>
    <row r="1139" spans="1:11" ht="13.5" customHeight="1" thickBot="1">
      <c r="A1139" s="681"/>
      <c r="B1139" s="682"/>
      <c r="D1139" s="681"/>
      <c r="E1139" s="681"/>
    </row>
    <row r="1140" spans="1:11" ht="24" customHeight="1" thickBot="1">
      <c r="A1140" s="683" t="s">
        <v>0</v>
      </c>
      <c r="B1140" s="1006" t="s">
        <v>72</v>
      </c>
      <c r="C1140" s="1007"/>
      <c r="D1140" s="684" t="s">
        <v>147</v>
      </c>
      <c r="E1140" s="685" t="s">
        <v>148</v>
      </c>
    </row>
    <row r="1141" spans="1:11" ht="21" customHeight="1">
      <c r="A1141" s="686">
        <v>1</v>
      </c>
      <c r="B1141" s="1017" t="s">
        <v>26</v>
      </c>
      <c r="C1141" s="1018"/>
      <c r="D1141" s="687">
        <f>IF(E1176="","",IF(INDEX(THHKI!$A$8:$Y$62,MATCH(PDHKI!E1176,THHKI!$A$8:$A$62,0),INDEX($K$13:$K$27,MATCH(B1141,$J$13:$J$27,0),1))&lt;1,"/",INDEX(THHKI!$A$8:$Y$62,MATCH(PDHKI!E1176,THHKI!$A$8:$A$62,0),INDEX($K$13:$K$27,MATCH(B1141,$J$13:$J$27,0),1))))</f>
        <v>9.8000000000000007</v>
      </c>
      <c r="E1141" s="688"/>
      <c r="J1141" s="569" t="s">
        <v>26</v>
      </c>
      <c r="K1141" s="569">
        <v>7</v>
      </c>
    </row>
    <row r="1142" spans="1:11" ht="21" customHeight="1">
      <c r="A1142" s="689">
        <v>2</v>
      </c>
      <c r="B1142" s="1008" t="s">
        <v>27</v>
      </c>
      <c r="C1142" s="1009"/>
      <c r="D1142" s="690">
        <f>IF(E1176="","",IF(INDEX(THHKI!$A$8:$Y$62,MATCH(PDHKI!E1176,THHKI!$A$8:$A$62,0),INDEX($K$13:$K$27,MATCH(B1142,$J$13:$J$27,0),1))&lt;1,"/",INDEX(THHKI!$A$8:$Y$62,MATCH(PDHKI!E1176,THHKI!$A$8:$A$62,0),INDEX($K$13:$K$27,MATCH(B1142,$J$13:$J$27,0),1))))</f>
        <v>9.6999999999999993</v>
      </c>
      <c r="E1142" s="691"/>
      <c r="J1142" s="569" t="s">
        <v>27</v>
      </c>
      <c r="K1142" s="569">
        <v>8</v>
      </c>
    </row>
    <row r="1143" spans="1:11" ht="21" customHeight="1">
      <c r="A1143" s="689">
        <v>3</v>
      </c>
      <c r="B1143" s="1008" t="s">
        <v>28</v>
      </c>
      <c r="C1143" s="1009"/>
      <c r="D1143" s="690">
        <f>IF(E1176="","",IF(INDEX(THHKI!$A$8:$Y$62,MATCH(PDHKI!E1176,THHKI!$A$8:$A$62,0),INDEX($K$13:$K$27,MATCH(B1143,$J$13:$J$27,0),1))&lt;1,"/",INDEX(THHKI!$A$8:$Y$62,MATCH(PDHKI!E1176,THHKI!$A$8:$A$62,0),INDEX($K$13:$K$27,MATCH(B1143,$J$13:$J$27,0),1))))</f>
        <v>9.8000000000000007</v>
      </c>
      <c r="E1143" s="691"/>
      <c r="J1143" s="569" t="s">
        <v>28</v>
      </c>
      <c r="K1143" s="569">
        <v>9</v>
      </c>
    </row>
    <row r="1144" spans="1:11" ht="21" customHeight="1">
      <c r="A1144" s="689">
        <v>4</v>
      </c>
      <c r="B1144" s="1008" t="s">
        <v>29</v>
      </c>
      <c r="C1144" s="1009"/>
      <c r="D1144" s="690">
        <f>IF(E1176="","",IF(INDEX(THHKI!$A$8:$Y$62,MATCH(PDHKI!E1176,THHKI!$A$8:$A$62,0),INDEX($K$13:$K$27,MATCH(B1144,$J$13:$J$27,0),1))&lt;1,"/",INDEX(THHKI!$A$8:$Y$62,MATCH(PDHKI!E1176,THHKI!$A$8:$A$62,0),INDEX($K$13:$K$27,MATCH(B1144,$J$13:$J$27,0),1))))</f>
        <v>8.9</v>
      </c>
      <c r="E1144" s="691"/>
      <c r="J1144" s="569" t="s">
        <v>29</v>
      </c>
      <c r="K1144" s="569">
        <v>10</v>
      </c>
    </row>
    <row r="1145" spans="1:11" ht="21" customHeight="1">
      <c r="A1145" s="689">
        <v>5</v>
      </c>
      <c r="B1145" s="1008" t="s">
        <v>120</v>
      </c>
      <c r="C1145" s="1009"/>
      <c r="D1145" s="690">
        <f>IF(E1176="","",IF(INDEX(THHKI!$A$8:$Y$62,MATCH(PDHKI!E1176,THHKI!$A$8:$A$62,0),INDEX($K$13:$K$27,MATCH(B1145,$J$13:$J$27,0),1))&lt;1,"/",INDEX(THHKI!$A$8:$Y$62,MATCH(PDHKI!E1176,THHKI!$A$8:$A$62,0),INDEX($K$13:$K$27,MATCH(B1145,$J$13:$J$27,0),1))))</f>
        <v>9.8000000000000007</v>
      </c>
      <c r="E1145" s="691"/>
      <c r="J1145" s="569" t="s">
        <v>120</v>
      </c>
      <c r="K1145" s="569">
        <v>11</v>
      </c>
    </row>
    <row r="1146" spans="1:11" ht="21" customHeight="1">
      <c r="A1146" s="689">
        <v>6</v>
      </c>
      <c r="B1146" s="1008" t="s">
        <v>30</v>
      </c>
      <c r="C1146" s="1009"/>
      <c r="D1146" s="690">
        <f>IF(E1176="","",IF(INDEX(THHKI!$A$8:$Y$62,MATCH(PDHKI!E1176,THHKI!$A$8:$A$62,0),INDEX($K$13:$K$27,MATCH(B1146,$J$13:$J$27,0),1))&lt;1,"/",INDEX(THHKI!$A$8:$Y$62,MATCH(PDHKI!E1176,THHKI!$A$8:$A$62,0),INDEX($K$13:$K$27,MATCH(B1146,$J$13:$J$27,0),1))))</f>
        <v>7.9</v>
      </c>
      <c r="E1146" s="691"/>
      <c r="J1146" s="569" t="s">
        <v>30</v>
      </c>
      <c r="K1146" s="569">
        <v>12</v>
      </c>
    </row>
    <row r="1147" spans="1:11" ht="21" customHeight="1">
      <c r="A1147" s="689">
        <v>7</v>
      </c>
      <c r="B1147" s="1008" t="s">
        <v>31</v>
      </c>
      <c r="C1147" s="1009"/>
      <c r="D1147" s="690">
        <f>IF(E1176="","",IF(INDEX(THHKI!$A$8:$Y$62,MATCH(PDHKI!E1176,THHKI!$A$8:$A$62,0),INDEX($K$13:$K$27,MATCH(B1147,$J$13:$J$27,0),1))&lt;1,"/",INDEX(THHKI!$A$8:$Y$62,MATCH(PDHKI!E1176,THHKI!$A$8:$A$62,0),INDEX($K$13:$K$27,MATCH(B1147,$J$13:$J$27,0),1))))</f>
        <v>9.8000000000000007</v>
      </c>
      <c r="E1147" s="691"/>
      <c r="J1147" s="569" t="s">
        <v>31</v>
      </c>
      <c r="K1147" s="569">
        <v>13</v>
      </c>
    </row>
    <row r="1148" spans="1:11" ht="21" customHeight="1">
      <c r="A1148" s="689">
        <v>8</v>
      </c>
      <c r="B1148" s="1008" t="s">
        <v>32</v>
      </c>
      <c r="C1148" s="1009"/>
      <c r="D1148" s="690">
        <f>IF(E1176="","",IF(INDEX(THHKI!$A$8:$Y$62,MATCH(PDHKI!E1176,THHKI!$A$8:$A$62,0),INDEX($K$13:$K$27,MATCH(B1148,$J$13:$J$27,0),1))&lt;1,"/",INDEX(THHKI!$A$8:$Y$62,MATCH(PDHKI!E1176,THHKI!$A$8:$A$62,0),INDEX($K$13:$K$27,MATCH(B1148,$J$13:$J$27,0),1))))</f>
        <v>9.8000000000000007</v>
      </c>
      <c r="E1148" s="691"/>
      <c r="J1148" s="569" t="s">
        <v>32</v>
      </c>
      <c r="K1148" s="569">
        <v>14</v>
      </c>
    </row>
    <row r="1149" spans="1:11" ht="21" customHeight="1">
      <c r="A1149" s="689">
        <v>9</v>
      </c>
      <c r="B1149" s="1008" t="s">
        <v>33</v>
      </c>
      <c r="C1149" s="1009"/>
      <c r="D1149" s="690">
        <f>IF(E1176="","",IF(INDEX(THHKI!$A$8:$Y$62,MATCH(PDHKI!E1176,THHKI!$A$8:$A$62,0),INDEX($K$13:$K$27,MATCH(B1149,$J$13:$J$27,0),1))&lt;1,"/",INDEX(THHKI!$A$8:$Y$62,MATCH(PDHKI!E1176,THHKI!$A$8:$A$62,0),INDEX($K$13:$K$27,MATCH(B1149,$J$13:$J$27,0),1))))</f>
        <v>9.6</v>
      </c>
      <c r="E1149" s="691"/>
      <c r="J1149" s="569" t="s">
        <v>33</v>
      </c>
      <c r="K1149" s="569">
        <v>15</v>
      </c>
    </row>
    <row r="1150" spans="1:11" ht="21" customHeight="1">
      <c r="A1150" s="689">
        <v>10</v>
      </c>
      <c r="B1150" s="1008" t="s">
        <v>60</v>
      </c>
      <c r="C1150" s="1009"/>
      <c r="D1150" s="690">
        <f>IF(E1176="","",IF(INDEX(THHKI!$A$8:$Y$62,MATCH(PDHKI!E1176,THHKI!$A$8:$A$62,0),INDEX($K$13:$K$27,MATCH(B1150,$J$13:$J$27,0),1))&lt;1,"/",INDEX(THHKI!$A$8:$Y$62,MATCH(PDHKI!E1176,THHKI!$A$8:$A$62,0),INDEX($K$13:$K$27,MATCH(B1150,$J$13:$J$27,0),1))))</f>
        <v>9.1</v>
      </c>
      <c r="E1150" s="691"/>
      <c r="J1150" s="569" t="s">
        <v>60</v>
      </c>
      <c r="K1150" s="569">
        <v>16</v>
      </c>
    </row>
    <row r="1151" spans="1:11" ht="21" customHeight="1">
      <c r="A1151" s="689">
        <v>11</v>
      </c>
      <c r="B1151" s="1008" t="s">
        <v>34</v>
      </c>
      <c r="C1151" s="1009"/>
      <c r="D1151" s="690">
        <f>IF(E1176="","",IF(INDEX(THHKI!$A$8:$Y$62,MATCH(PDHKI!E1176,THHKI!$A$8:$A$62,0),INDEX($K$13:$K$27,MATCH(B1151,$J$13:$J$27,0),1))&lt;1,"/",INDEX(THHKI!$A$8:$Y$62,MATCH(PDHKI!E1176,THHKI!$A$8:$A$62,0),INDEX($K$13:$K$27,MATCH(B1151,$J$13:$J$27,0),1))))</f>
        <v>9.5</v>
      </c>
      <c r="E1151" s="691"/>
      <c r="J1151" s="569" t="s">
        <v>34</v>
      </c>
      <c r="K1151" s="569">
        <v>17</v>
      </c>
    </row>
    <row r="1152" spans="1:11" ht="21" customHeight="1">
      <c r="A1152" s="689">
        <v>12</v>
      </c>
      <c r="B1152" s="1008" t="s">
        <v>35</v>
      </c>
      <c r="C1152" s="1009"/>
      <c r="D1152" s="690" t="str">
        <f>IF(E1176="","",IF(INDEX(THHKI!$A$8:$Y$62,MATCH(PDHKI!E1176,THHKI!$A$8:$A$62,0),INDEX($K$13:$K$27,MATCH(B1152,$J$13:$J$27,0),1))&lt;1,"/",INDEX(THHKI!$A$8:$Y$62,MATCH(PDHKI!E1176,THHKI!$A$8:$A$62,0),INDEX($K$13:$K$27,MATCH(B1152,$J$13:$J$27,0),1))))</f>
        <v>Đ</v>
      </c>
      <c r="E1152" s="691"/>
      <c r="J1152" s="569" t="s">
        <v>35</v>
      </c>
      <c r="K1152" s="569">
        <v>18</v>
      </c>
    </row>
    <row r="1153" spans="1:11" ht="21" customHeight="1">
      <c r="A1153" s="689">
        <v>13</v>
      </c>
      <c r="B1153" s="1008" t="s">
        <v>121</v>
      </c>
      <c r="C1153" s="1009"/>
      <c r="D1153" s="690">
        <f>IF(E1176="","",IF(INDEX(THHKI!$A$8:$Y$62,MATCH(PDHKI!E1176,THHKI!$A$8:$A$62,0),INDEX($K$13:$K$27,MATCH(B1153,$J$13:$J$27,0),1))&lt;1,"/",INDEX(THHKI!$A$8:$Y$62,MATCH(PDHKI!E1176,THHKI!$A$8:$A$62,0),INDEX($K$13:$K$27,MATCH(B1153,$J$13:$J$27,0),1))))</f>
        <v>9.9</v>
      </c>
      <c r="E1153" s="691"/>
      <c r="J1153" s="569" t="s">
        <v>22</v>
      </c>
      <c r="K1153" s="569">
        <v>19</v>
      </c>
    </row>
    <row r="1154" spans="1:11" ht="21" customHeight="1" thickBot="1">
      <c r="A1154" s="692">
        <v>14</v>
      </c>
      <c r="B1154" s="1010" t="s">
        <v>122</v>
      </c>
      <c r="C1154" s="1011"/>
      <c r="D1154" s="693" t="str">
        <f>IF(E1176="","",IF(INDEX(THHKI!$A$8:$Y$62,MATCH(PDHKI!E1176,THHKI!$A$8:$A$62,0),INDEX($K$13:$K$27,MATCH(B1154,$J$13:$J$27,0),1))&lt;1,"/",INDEX(THHKI!$A$8:$Y$62,MATCH(PDHKI!E1176,THHKI!$A$8:$A$62,0),INDEX($K$13:$K$27,MATCH(B1154,$J$13:$J$27,0),1))))</f>
        <v/>
      </c>
      <c r="E1154" s="694"/>
      <c r="J1154" s="569" t="s">
        <v>121</v>
      </c>
      <c r="K1154" s="569">
        <v>20</v>
      </c>
    </row>
    <row r="1155" spans="1:11" ht="21" customHeight="1" thickBot="1">
      <c r="A1155" s="695">
        <v>15</v>
      </c>
      <c r="B1155" s="1006" t="s">
        <v>149</v>
      </c>
      <c r="C1155" s="1007"/>
      <c r="D1155" s="696">
        <f>IF(E1176="","",IF(INDEX(THHKI!$A$8:$Y$62,MATCH(PDHKI!E1176,THHKI!$A$8:$A$62,0),22)&lt;1,"/",INDEX(THHKI!$A$8:$Y$62,MATCH(PDHKI!E1176,THHKI!$A$8:$A$62,0),22)))</f>
        <v>9.5</v>
      </c>
      <c r="E1155" s="697"/>
      <c r="J1155" s="569" t="s">
        <v>122</v>
      </c>
      <c r="K1155" s="569">
        <v>21</v>
      </c>
    </row>
    <row r="1156" spans="1:11" ht="15.75" customHeight="1" thickBot="1"/>
    <row r="1157" spans="1:11" s="570" customFormat="1" ht="21" customHeight="1">
      <c r="A1157" s="698"/>
      <c r="B1157" s="1019" t="s">
        <v>150</v>
      </c>
      <c r="C1157" s="1020"/>
      <c r="D1157" s="699" t="s">
        <v>10</v>
      </c>
      <c r="E1157" s="700" t="s">
        <v>126</v>
      </c>
    </row>
    <row r="1158" spans="1:11" ht="21" customHeight="1">
      <c r="A1158" s="701">
        <v>16</v>
      </c>
      <c r="B1158" s="1021" t="s">
        <v>151</v>
      </c>
      <c r="C1158" s="1022"/>
      <c r="D1158" s="702" t="str">
        <f>IF(E1176="","",IF(INDEX(THHKI!$A$8:$Y$62,MATCH(PDHKI!E1176,THHKI!$A$8:$A$62,0),23)="","/",INDEX(THHKI!$A$8:$Y$62,MATCH(PDHKI!E1176,THHKI!$A$8:$A$62,0),23)))</f>
        <v>Giỏi</v>
      </c>
      <c r="E1158" s="703"/>
    </row>
    <row r="1159" spans="1:11" ht="21" customHeight="1">
      <c r="A1159" s="701">
        <v>17</v>
      </c>
      <c r="B1159" s="1021" t="s">
        <v>152</v>
      </c>
      <c r="C1159" s="1022"/>
      <c r="D1159" s="702" t="str">
        <f>IF(E1176="","",IF(INDEX(THHKI!$A$8:$Y$62,MATCH(PDHKI!E1176,THHKI!$A$8:$A$62,0),24)="","/",INDEX(THHKI!$A$8:$Y$62,MATCH(PDHKI!E1176,THHKI!$A$8:$A$62,0),24)))</f>
        <v>Tốt</v>
      </c>
      <c r="E1159" s="703"/>
    </row>
    <row r="1160" spans="1:11" ht="21" customHeight="1" thickBot="1">
      <c r="A1160" s="704">
        <v>18</v>
      </c>
      <c r="B1160" s="1023" t="s">
        <v>153</v>
      </c>
      <c r="C1160" s="1024"/>
      <c r="D1160" s="705" t="str">
        <f>IF(E1176="","",IF(INDEX(THHKI!$A$8:$Y$62,MATCH(PDHKI!E1176,THHKI!$A$8:$A$62,0),25)="","/",INDEX(THHKI!$A$8:$Y$62,MATCH(PDHKI!E1176,THHKI!$A$8:$A$62,0),25)))</f>
        <v>HSG</v>
      </c>
      <c r="E1160" s="706"/>
    </row>
    <row r="1161" spans="1:11" ht="9.75" customHeight="1"/>
    <row r="1162" spans="1:11" ht="15.75" customHeight="1">
      <c r="A1162" s="58" t="s">
        <v>219</v>
      </c>
    </row>
    <row r="1163" spans="1:11" ht="18" customHeight="1">
      <c r="A1163" s="59" t="str">
        <f>IF(E1176="","",IF(INDEX(DiemHKI!$DE$4:$DH$58,MATCH(PDHKI!E1176,DiemHKI!$B$4:$B$58,0),1)="","","- "&amp;INDEX(DiemHKI!$DE$4:$DH$58,MATCH(PDHKI!E1176,DiemHKI!$B$4:$B$58,0),1)))</f>
        <v/>
      </c>
      <c r="H1163" s="571"/>
    </row>
    <row r="1164" spans="1:11" ht="18" customHeight="1">
      <c r="A1164" s="59" t="str">
        <f>IF(E1176="","",IF(INDEX(DiemHKI!$DE$4:$DH$58,MATCH(PDHKI!E1176,DiemHKI!$B$4:$B$58,0),2)="","","- "&amp;INDEX(DiemHKI!$DE$4:$DH$58,MATCH(PDHKI!E1176,DiemHKI!$B$4:$B$58,0),2)))</f>
        <v/>
      </c>
    </row>
    <row r="1165" spans="1:11" ht="18" customHeight="1">
      <c r="A1165" s="59" t="str">
        <f>IF(E1176="","",IF(INDEX(DiemHKI!$DE$4:$DH$58,MATCH(PDHKI!E1176,DiemHKI!$B$4:$B$58,0),3)="","","- "&amp;INDEX(DiemHKI!$DE$4:$DH$58,MATCH(PDHKI!E1176,DiemHKI!$B$4:$B$58,0),3)))</f>
        <v/>
      </c>
    </row>
    <row r="1166" spans="1:11" ht="18" customHeight="1">
      <c r="A1166" s="59" t="str">
        <f>IF(E1176="","",IF(INDEX(DiemHKI!$DE$4:$DH$58,MATCH(PDHKI!E1176,DiemHKI!$B$4:$B$58,0),4)="","","- "&amp;INDEX(DiemHKI!$DE$4:$DH$58,MATCH(PDHKI!E1176,DiemHKI!$B$4:$B$58,0),4)))</f>
        <v/>
      </c>
    </row>
    <row r="1167" spans="1:11" ht="6.75" customHeight="1"/>
    <row r="1168" spans="1:11" ht="16.5" customHeight="1">
      <c r="A1168" s="61"/>
      <c r="C1168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168" s="1026"/>
      <c r="E1168" s="1026"/>
    </row>
    <row r="1169" spans="1:5" ht="21.75" customHeight="1">
      <c r="A1169" s="923" t="str">
        <f>IF($D$41="Hiệu trưởng","Giáo viên Quản nhiệm","")</f>
        <v>Giáo viên Quản nhiệm</v>
      </c>
      <c r="B1169" s="923"/>
      <c r="C1169" s="923"/>
      <c r="D1169" s="707" t="str">
        <f>IF($G$5="","",$G$5)</f>
        <v>Hiệu trưởng</v>
      </c>
      <c r="E1169" s="708"/>
    </row>
    <row r="1170" spans="1:5" ht="15" customHeight="1">
      <c r="A1170" s="61"/>
      <c r="B1170" s="61"/>
      <c r="C1170" s="61"/>
      <c r="D1170" s="66"/>
      <c r="E1170" s="66"/>
    </row>
    <row r="1171" spans="1:5" ht="15" customHeight="1">
      <c r="A1171" s="61"/>
      <c r="B1171" s="61"/>
      <c r="C1171" s="61"/>
      <c r="D1171" s="66"/>
      <c r="E1171" s="66"/>
    </row>
    <row r="1172" spans="1:5" ht="15" customHeight="1">
      <c r="A1172" s="61"/>
      <c r="B1172" s="61"/>
      <c r="C1172" s="61"/>
    </row>
    <row r="1173" spans="1:5" ht="15" customHeight="1">
      <c r="A1173" s="61"/>
      <c r="B1173" s="61"/>
      <c r="C1173" s="61"/>
    </row>
    <row r="1174" spans="1:5" ht="16.5" customHeight="1">
      <c r="A1174" s="1012" t="str">
        <f>IF($A$41="","",PROPER('Huong dan'!$C$4))</f>
        <v/>
      </c>
      <c r="B1174" s="1012"/>
      <c r="C1174" s="1012"/>
      <c r="D1174" s="833" t="str">
        <f>IFERROR(IF($D$41="Giáo Viên Quản nhiệm",PROPER('Huong dan'!$C$4),IF($D$41="Hiệu trưởng",PROPER('Huong dan'!$E$5),"")),"")</f>
        <v/>
      </c>
      <c r="E1174" s="708"/>
    </row>
    <row r="1175" spans="1:5" ht="12.75" customHeight="1"/>
    <row r="1176" spans="1:5" ht="12.75" customHeight="1">
      <c r="A1176" s="709"/>
      <c r="B1176" s="709"/>
      <c r="C1176" s="709"/>
      <c r="D1176" s="710"/>
      <c r="E1176" s="711">
        <f>IF(E1129="","",IF(E1129&lt;MAX(DiemHKI!$B$4:$B$58),E1129+1,""))</f>
        <v>25</v>
      </c>
    </row>
    <row r="1177" spans="1:5" ht="8.25" customHeight="1">
      <c r="A1177" s="709"/>
      <c r="B1177" s="709"/>
      <c r="C1177" s="709"/>
      <c r="D1177" s="709"/>
      <c r="E1177" s="709"/>
    </row>
    <row r="1178" spans="1:5" ht="5.25" customHeight="1"/>
    <row r="1179" spans="1:5" s="563" customFormat="1" ht="23.25" customHeight="1">
      <c r="A1179" s="931" t="str">
        <f>IF('Huong dan'!$E$3&lt;&gt;"","SỞ GIÁO DỤC VÀ ĐÀO TẠO "&amp;UPPER('Huong dan'!$E$3),"")</f>
        <v>SỞ GIÁO DỤC VÀ ĐÀO TẠO TP. HỒ CHÍ MINH</v>
      </c>
      <c r="B1179" s="931"/>
      <c r="C1179" s="931"/>
      <c r="D1179" s="923" t="s">
        <v>19</v>
      </c>
      <c r="E1179" s="923"/>
    </row>
    <row r="1180" spans="1:5" ht="17.25" customHeight="1">
      <c r="A1180" s="931" t="str">
        <f>IF('Huong dan'!$E$4&lt;&gt;"","TRƯỜNG "&amp;UPPER('Huong dan'!$E$4),"")</f>
        <v>TRƯỜNG THCS VÀ THPT NGUYỄN KHUYẾN</v>
      </c>
      <c r="B1180" s="931"/>
      <c r="C1180" s="931"/>
      <c r="D1180" s="1012" t="s">
        <v>179</v>
      </c>
      <c r="E1180" s="1012"/>
    </row>
    <row r="1181" spans="1:5" ht="24" customHeight="1">
      <c r="A1181" s="61"/>
      <c r="B1181" s="61"/>
      <c r="C1181" s="61"/>
    </row>
    <row r="1182" spans="1:5" ht="29.25" customHeight="1">
      <c r="A1182" s="1013" t="str">
        <f>"PHIẾU ĐIỂM HỌC KỲ I - NĂM HỌC "&amp;'Huong dan'!$C$5</f>
        <v>PHIẾU ĐIỂM HỌC KỲ I - NĂM HỌC 2021 - 2022</v>
      </c>
      <c r="B1182" s="1013"/>
      <c r="C1182" s="1013"/>
      <c r="D1182" s="1013"/>
      <c r="E1182" s="1013"/>
    </row>
    <row r="1183" spans="1:5" ht="15.75" customHeight="1">
      <c r="A1183" s="680"/>
      <c r="B1183" s="680"/>
    </row>
    <row r="1184" spans="1:5" ht="21" customHeight="1">
      <c r="A1184" s="1014" t="s">
        <v>145</v>
      </c>
      <c r="B1184" s="1014"/>
      <c r="C1184" s="1015" t="str">
        <f>IF(E1223="","",INDEX(DiemHKI!$D$4:$D$58,MATCH(E1223,DiemHKI!$B$4:$B$58,0),1)&amp;" "&amp;INDEX(DiemHKI!$E$4:$E$58,MATCH(E1223,DiemHKI!$B$4:$B$58,0),1))</f>
        <v>Trần Thị Hải Như</v>
      </c>
      <c r="D1184" s="1015"/>
      <c r="E1184" s="62" t="str">
        <f>IF('Huong dan'!$C$3="","","Lớp: "&amp;'Huong dan'!$C$3)</f>
        <v>Lớp: 12A1</v>
      </c>
    </row>
    <row r="1185" spans="1:11" ht="23.25" customHeight="1">
      <c r="A1185" s="1014" t="s">
        <v>146</v>
      </c>
      <c r="B1185" s="1014"/>
      <c r="C1185" s="681" t="str">
        <f>IF(E1223="","",INDEX(DiemHKI!$F$4:$F$58,MATCH(PDHKI!E1223,DiemHKI!$B$4:$B$58,0),1))</f>
        <v>17/08/2004</v>
      </c>
      <c r="D1185" s="1016" t="str">
        <f>IF(E1223="","","Nơi sinh: "&amp;INDEX(DiemHKI!$G$4:$G$58,MATCH(PDHKI!E1223,DiemHKI!$B$4:$B$58,0),1))</f>
        <v>Nơi sinh: TP. Hồ Chí Minh</v>
      </c>
      <c r="E1185" s="1016"/>
    </row>
    <row r="1186" spans="1:11" ht="13.5" customHeight="1" thickBot="1">
      <c r="A1186" s="681"/>
      <c r="B1186" s="682"/>
      <c r="D1186" s="681"/>
      <c r="E1186" s="681"/>
    </row>
    <row r="1187" spans="1:11" ht="24" customHeight="1" thickBot="1">
      <c r="A1187" s="683" t="s">
        <v>0</v>
      </c>
      <c r="B1187" s="1006" t="s">
        <v>72</v>
      </c>
      <c r="C1187" s="1007"/>
      <c r="D1187" s="684" t="s">
        <v>147</v>
      </c>
      <c r="E1187" s="685" t="s">
        <v>148</v>
      </c>
    </row>
    <row r="1188" spans="1:11" ht="21" customHeight="1">
      <c r="A1188" s="686">
        <v>1</v>
      </c>
      <c r="B1188" s="1017" t="s">
        <v>26</v>
      </c>
      <c r="C1188" s="1018"/>
      <c r="D1188" s="687">
        <f>IF(E1223="","",IF(INDEX(THHKI!$A$8:$Y$62,MATCH(PDHKI!E1223,THHKI!$A$8:$A$62,0),INDEX($K$13:$K$27,MATCH(B1188,$J$13:$J$27,0),1))&lt;1,"/",INDEX(THHKI!$A$8:$Y$62,MATCH(PDHKI!E1223,THHKI!$A$8:$A$62,0),INDEX($K$13:$K$27,MATCH(B1188,$J$13:$J$27,0),1))))</f>
        <v>9.3000000000000007</v>
      </c>
      <c r="E1188" s="688"/>
      <c r="J1188" s="569" t="s">
        <v>26</v>
      </c>
      <c r="K1188" s="569">
        <v>7</v>
      </c>
    </row>
    <row r="1189" spans="1:11" ht="21" customHeight="1">
      <c r="A1189" s="689">
        <v>2</v>
      </c>
      <c r="B1189" s="1008" t="s">
        <v>27</v>
      </c>
      <c r="C1189" s="1009"/>
      <c r="D1189" s="690">
        <f>IF(E1223="","",IF(INDEX(THHKI!$A$8:$Y$62,MATCH(PDHKI!E1223,THHKI!$A$8:$A$62,0),INDEX($K$13:$K$27,MATCH(B1189,$J$13:$J$27,0),1))&lt;1,"/",INDEX(THHKI!$A$8:$Y$62,MATCH(PDHKI!E1223,THHKI!$A$8:$A$62,0),INDEX($K$13:$K$27,MATCH(B1189,$J$13:$J$27,0),1))))</f>
        <v>9.6999999999999993</v>
      </c>
      <c r="E1189" s="691"/>
      <c r="J1189" s="569" t="s">
        <v>27</v>
      </c>
      <c r="K1189" s="569">
        <v>8</v>
      </c>
    </row>
    <row r="1190" spans="1:11" ht="21" customHeight="1">
      <c r="A1190" s="689">
        <v>3</v>
      </c>
      <c r="B1190" s="1008" t="s">
        <v>28</v>
      </c>
      <c r="C1190" s="1009"/>
      <c r="D1190" s="690">
        <f>IF(E1223="","",IF(INDEX(THHKI!$A$8:$Y$62,MATCH(PDHKI!E1223,THHKI!$A$8:$A$62,0),INDEX($K$13:$K$27,MATCH(B1190,$J$13:$J$27,0),1))&lt;1,"/",INDEX(THHKI!$A$8:$Y$62,MATCH(PDHKI!E1223,THHKI!$A$8:$A$62,0),INDEX($K$13:$K$27,MATCH(B1190,$J$13:$J$27,0),1))))</f>
        <v>9.5</v>
      </c>
      <c r="E1190" s="691"/>
      <c r="J1190" s="569" t="s">
        <v>28</v>
      </c>
      <c r="K1190" s="569">
        <v>9</v>
      </c>
    </row>
    <row r="1191" spans="1:11" ht="21" customHeight="1">
      <c r="A1191" s="689">
        <v>4</v>
      </c>
      <c r="B1191" s="1008" t="s">
        <v>29</v>
      </c>
      <c r="C1191" s="1009"/>
      <c r="D1191" s="690">
        <f>IF(E1223="","",IF(INDEX(THHKI!$A$8:$Y$62,MATCH(PDHKI!E1223,THHKI!$A$8:$A$62,0),INDEX($K$13:$K$27,MATCH(B1191,$J$13:$J$27,0),1))&lt;1,"/",INDEX(THHKI!$A$8:$Y$62,MATCH(PDHKI!E1223,THHKI!$A$8:$A$62,0),INDEX($K$13:$K$27,MATCH(B1191,$J$13:$J$27,0),1))))</f>
        <v>9</v>
      </c>
      <c r="E1191" s="691"/>
      <c r="J1191" s="569" t="s">
        <v>29</v>
      </c>
      <c r="K1191" s="569">
        <v>10</v>
      </c>
    </row>
    <row r="1192" spans="1:11" ht="21" customHeight="1">
      <c r="A1192" s="689">
        <v>5</v>
      </c>
      <c r="B1192" s="1008" t="s">
        <v>120</v>
      </c>
      <c r="C1192" s="1009"/>
      <c r="D1192" s="690">
        <f>IF(E1223="","",IF(INDEX(THHKI!$A$8:$Y$62,MATCH(PDHKI!E1223,THHKI!$A$8:$A$62,0),INDEX($K$13:$K$27,MATCH(B1192,$J$13:$J$27,0),1))&lt;1,"/",INDEX(THHKI!$A$8:$Y$62,MATCH(PDHKI!E1223,THHKI!$A$8:$A$62,0),INDEX($K$13:$K$27,MATCH(B1192,$J$13:$J$27,0),1))))</f>
        <v>9.6</v>
      </c>
      <c r="E1192" s="691"/>
      <c r="J1192" s="569" t="s">
        <v>120</v>
      </c>
      <c r="K1192" s="569">
        <v>11</v>
      </c>
    </row>
    <row r="1193" spans="1:11" ht="21" customHeight="1">
      <c r="A1193" s="689">
        <v>6</v>
      </c>
      <c r="B1193" s="1008" t="s">
        <v>30</v>
      </c>
      <c r="C1193" s="1009"/>
      <c r="D1193" s="690">
        <f>IF(E1223="","",IF(INDEX(THHKI!$A$8:$Y$62,MATCH(PDHKI!E1223,THHKI!$A$8:$A$62,0),INDEX($K$13:$K$27,MATCH(B1193,$J$13:$J$27,0),1))&lt;1,"/",INDEX(THHKI!$A$8:$Y$62,MATCH(PDHKI!E1223,THHKI!$A$8:$A$62,0),INDEX($K$13:$K$27,MATCH(B1193,$J$13:$J$27,0),1))))</f>
        <v>7.3</v>
      </c>
      <c r="E1193" s="691"/>
      <c r="J1193" s="569" t="s">
        <v>30</v>
      </c>
      <c r="K1193" s="569">
        <v>12</v>
      </c>
    </row>
    <row r="1194" spans="1:11" ht="21" customHeight="1">
      <c r="A1194" s="689">
        <v>7</v>
      </c>
      <c r="B1194" s="1008" t="s">
        <v>31</v>
      </c>
      <c r="C1194" s="1009"/>
      <c r="D1194" s="690">
        <f>IF(E1223="","",IF(INDEX(THHKI!$A$8:$Y$62,MATCH(PDHKI!E1223,THHKI!$A$8:$A$62,0),INDEX($K$13:$K$27,MATCH(B1194,$J$13:$J$27,0),1))&lt;1,"/",INDEX(THHKI!$A$8:$Y$62,MATCH(PDHKI!E1223,THHKI!$A$8:$A$62,0),INDEX($K$13:$K$27,MATCH(B1194,$J$13:$J$27,0),1))))</f>
        <v>9.4</v>
      </c>
      <c r="E1194" s="691"/>
      <c r="J1194" s="569" t="s">
        <v>31</v>
      </c>
      <c r="K1194" s="569">
        <v>13</v>
      </c>
    </row>
    <row r="1195" spans="1:11" ht="21" customHeight="1">
      <c r="A1195" s="689">
        <v>8</v>
      </c>
      <c r="B1195" s="1008" t="s">
        <v>32</v>
      </c>
      <c r="C1195" s="1009"/>
      <c r="D1195" s="690">
        <f>IF(E1223="","",IF(INDEX(THHKI!$A$8:$Y$62,MATCH(PDHKI!E1223,THHKI!$A$8:$A$62,0),INDEX($K$13:$K$27,MATCH(B1195,$J$13:$J$27,0),1))&lt;1,"/",INDEX(THHKI!$A$8:$Y$62,MATCH(PDHKI!E1223,THHKI!$A$8:$A$62,0),INDEX($K$13:$K$27,MATCH(B1195,$J$13:$J$27,0),1))))</f>
        <v>9.8000000000000007</v>
      </c>
      <c r="E1195" s="691"/>
      <c r="J1195" s="569" t="s">
        <v>32</v>
      </c>
      <c r="K1195" s="569">
        <v>14</v>
      </c>
    </row>
    <row r="1196" spans="1:11" ht="21" customHeight="1">
      <c r="A1196" s="689">
        <v>9</v>
      </c>
      <c r="B1196" s="1008" t="s">
        <v>33</v>
      </c>
      <c r="C1196" s="1009"/>
      <c r="D1196" s="690">
        <f>IF(E1223="","",IF(INDEX(THHKI!$A$8:$Y$62,MATCH(PDHKI!E1223,THHKI!$A$8:$A$62,0),INDEX($K$13:$K$27,MATCH(B1196,$J$13:$J$27,0),1))&lt;1,"/",INDEX(THHKI!$A$8:$Y$62,MATCH(PDHKI!E1223,THHKI!$A$8:$A$62,0),INDEX($K$13:$K$27,MATCH(B1196,$J$13:$J$27,0),1))))</f>
        <v>9.3000000000000007</v>
      </c>
      <c r="E1196" s="691"/>
      <c r="J1196" s="569" t="s">
        <v>33</v>
      </c>
      <c r="K1196" s="569">
        <v>15</v>
      </c>
    </row>
    <row r="1197" spans="1:11" ht="21" customHeight="1">
      <c r="A1197" s="689">
        <v>10</v>
      </c>
      <c r="B1197" s="1008" t="s">
        <v>60</v>
      </c>
      <c r="C1197" s="1009"/>
      <c r="D1197" s="690">
        <f>IF(E1223="","",IF(INDEX(THHKI!$A$8:$Y$62,MATCH(PDHKI!E1223,THHKI!$A$8:$A$62,0),INDEX($K$13:$K$27,MATCH(B1197,$J$13:$J$27,0),1))&lt;1,"/",INDEX(THHKI!$A$8:$Y$62,MATCH(PDHKI!E1223,THHKI!$A$8:$A$62,0),INDEX($K$13:$K$27,MATCH(B1197,$J$13:$J$27,0),1))))</f>
        <v>8.8000000000000007</v>
      </c>
      <c r="E1197" s="691"/>
      <c r="J1197" s="569" t="s">
        <v>60</v>
      </c>
      <c r="K1197" s="569">
        <v>16</v>
      </c>
    </row>
    <row r="1198" spans="1:11" ht="21" customHeight="1">
      <c r="A1198" s="689">
        <v>11</v>
      </c>
      <c r="B1198" s="1008" t="s">
        <v>34</v>
      </c>
      <c r="C1198" s="1009"/>
      <c r="D1198" s="690">
        <f>IF(E1223="","",IF(INDEX(THHKI!$A$8:$Y$62,MATCH(PDHKI!E1223,THHKI!$A$8:$A$62,0),INDEX($K$13:$K$27,MATCH(B1198,$J$13:$J$27,0),1))&lt;1,"/",INDEX(THHKI!$A$8:$Y$62,MATCH(PDHKI!E1223,THHKI!$A$8:$A$62,0),INDEX($K$13:$K$27,MATCH(B1198,$J$13:$J$27,0),1))))</f>
        <v>9.4</v>
      </c>
      <c r="E1198" s="691"/>
      <c r="J1198" s="569" t="s">
        <v>34</v>
      </c>
      <c r="K1198" s="569">
        <v>17</v>
      </c>
    </row>
    <row r="1199" spans="1:11" ht="21" customHeight="1">
      <c r="A1199" s="689">
        <v>12</v>
      </c>
      <c r="B1199" s="1008" t="s">
        <v>35</v>
      </c>
      <c r="C1199" s="1009"/>
      <c r="D1199" s="690" t="str">
        <f>IF(E1223="","",IF(INDEX(THHKI!$A$8:$Y$62,MATCH(PDHKI!E1223,THHKI!$A$8:$A$62,0),INDEX($K$13:$K$27,MATCH(B1199,$J$13:$J$27,0),1))&lt;1,"/",INDEX(THHKI!$A$8:$Y$62,MATCH(PDHKI!E1223,THHKI!$A$8:$A$62,0),INDEX($K$13:$K$27,MATCH(B1199,$J$13:$J$27,0),1))))</f>
        <v>Đ</v>
      </c>
      <c r="E1199" s="691"/>
      <c r="J1199" s="569" t="s">
        <v>35</v>
      </c>
      <c r="K1199" s="569">
        <v>18</v>
      </c>
    </row>
    <row r="1200" spans="1:11" ht="21" customHeight="1">
      <c r="A1200" s="689">
        <v>13</v>
      </c>
      <c r="B1200" s="1008" t="s">
        <v>121</v>
      </c>
      <c r="C1200" s="1009"/>
      <c r="D1200" s="690">
        <f>IF(E1223="","",IF(INDEX(THHKI!$A$8:$Y$62,MATCH(PDHKI!E1223,THHKI!$A$8:$A$62,0),INDEX($K$13:$K$27,MATCH(B1200,$J$13:$J$27,0),1))&lt;1,"/",INDEX(THHKI!$A$8:$Y$62,MATCH(PDHKI!E1223,THHKI!$A$8:$A$62,0),INDEX($K$13:$K$27,MATCH(B1200,$J$13:$J$27,0),1))))</f>
        <v>9.9</v>
      </c>
      <c r="E1200" s="691"/>
      <c r="J1200" s="569" t="s">
        <v>22</v>
      </c>
      <c r="K1200" s="569">
        <v>19</v>
      </c>
    </row>
    <row r="1201" spans="1:11" ht="21" customHeight="1" thickBot="1">
      <c r="A1201" s="692">
        <v>14</v>
      </c>
      <c r="B1201" s="1010" t="s">
        <v>122</v>
      </c>
      <c r="C1201" s="1011"/>
      <c r="D1201" s="693" t="str">
        <f>IF(E1223="","",IF(INDEX(THHKI!$A$8:$Y$62,MATCH(PDHKI!E1223,THHKI!$A$8:$A$62,0),INDEX($K$13:$K$27,MATCH(B1201,$J$13:$J$27,0),1))&lt;1,"/",INDEX(THHKI!$A$8:$Y$62,MATCH(PDHKI!E1223,THHKI!$A$8:$A$62,0),INDEX($K$13:$K$27,MATCH(B1201,$J$13:$J$27,0),1))))</f>
        <v/>
      </c>
      <c r="E1201" s="694"/>
      <c r="J1201" s="569" t="s">
        <v>121</v>
      </c>
      <c r="K1201" s="569">
        <v>20</v>
      </c>
    </row>
    <row r="1202" spans="1:11" ht="21" customHeight="1" thickBot="1">
      <c r="A1202" s="695">
        <v>15</v>
      </c>
      <c r="B1202" s="1006" t="s">
        <v>149</v>
      </c>
      <c r="C1202" s="1007"/>
      <c r="D1202" s="696">
        <f>IF(E1223="","",IF(INDEX(THHKI!$A$8:$Y$62,MATCH(PDHKI!E1223,THHKI!$A$8:$A$62,0),22)&lt;1,"/",INDEX(THHKI!$A$8:$Y$62,MATCH(PDHKI!E1223,THHKI!$A$8:$A$62,0),22)))</f>
        <v>9.3000000000000007</v>
      </c>
      <c r="E1202" s="697"/>
      <c r="J1202" s="569" t="s">
        <v>122</v>
      </c>
      <c r="K1202" s="569">
        <v>21</v>
      </c>
    </row>
    <row r="1203" spans="1:11" ht="15.75" customHeight="1" thickBot="1"/>
    <row r="1204" spans="1:11" s="570" customFormat="1" ht="21" customHeight="1">
      <c r="A1204" s="698"/>
      <c r="B1204" s="1019" t="s">
        <v>150</v>
      </c>
      <c r="C1204" s="1020"/>
      <c r="D1204" s="699" t="s">
        <v>10</v>
      </c>
      <c r="E1204" s="700" t="s">
        <v>126</v>
      </c>
    </row>
    <row r="1205" spans="1:11" ht="21" customHeight="1">
      <c r="A1205" s="701">
        <v>16</v>
      </c>
      <c r="B1205" s="1021" t="s">
        <v>151</v>
      </c>
      <c r="C1205" s="1022"/>
      <c r="D1205" s="702" t="str">
        <f>IF(E1223="","",IF(INDEX(THHKI!$A$8:$Y$62,MATCH(PDHKI!E1223,THHKI!$A$8:$A$62,0),23)="","/",INDEX(THHKI!$A$8:$Y$62,MATCH(PDHKI!E1223,THHKI!$A$8:$A$62,0),23)))</f>
        <v>Giỏi</v>
      </c>
      <c r="E1205" s="703"/>
    </row>
    <row r="1206" spans="1:11" ht="21" customHeight="1">
      <c r="A1206" s="701">
        <v>17</v>
      </c>
      <c r="B1206" s="1021" t="s">
        <v>152</v>
      </c>
      <c r="C1206" s="1022"/>
      <c r="D1206" s="702" t="str">
        <f>IF(E1223="","",IF(INDEX(THHKI!$A$8:$Y$62,MATCH(PDHKI!E1223,THHKI!$A$8:$A$62,0),24)="","/",INDEX(THHKI!$A$8:$Y$62,MATCH(PDHKI!E1223,THHKI!$A$8:$A$62,0),24)))</f>
        <v>Tốt</v>
      </c>
      <c r="E1206" s="703"/>
    </row>
    <row r="1207" spans="1:11" ht="21" customHeight="1" thickBot="1">
      <c r="A1207" s="704">
        <v>18</v>
      </c>
      <c r="B1207" s="1023" t="s">
        <v>153</v>
      </c>
      <c r="C1207" s="1024"/>
      <c r="D1207" s="705" t="str">
        <f>IF(E1223="","",IF(INDEX(THHKI!$A$8:$Y$62,MATCH(PDHKI!E1223,THHKI!$A$8:$A$62,0),25)="","/",INDEX(THHKI!$A$8:$Y$62,MATCH(PDHKI!E1223,THHKI!$A$8:$A$62,0),25)))</f>
        <v>HSG</v>
      </c>
      <c r="E1207" s="706"/>
    </row>
    <row r="1208" spans="1:11" ht="9.75" customHeight="1"/>
    <row r="1209" spans="1:11" ht="15.75" customHeight="1">
      <c r="A1209" s="58" t="s">
        <v>219</v>
      </c>
    </row>
    <row r="1210" spans="1:11" ht="18" customHeight="1">
      <c r="A1210" s="59" t="str">
        <f>IF(E1223="","",IF(INDEX(DiemHKI!$DE$4:$DH$58,MATCH(PDHKI!E1223,DiemHKI!$B$4:$B$58,0),1)="","","- "&amp;INDEX(DiemHKI!$DE$4:$DH$58,MATCH(PDHKI!E1223,DiemHKI!$B$4:$B$58,0),1)))</f>
        <v/>
      </c>
      <c r="H1210" s="571"/>
    </row>
    <row r="1211" spans="1:11" ht="18" customHeight="1">
      <c r="A1211" s="59" t="str">
        <f>IF(E1223="","",IF(INDEX(DiemHKI!$DE$4:$DH$58,MATCH(PDHKI!E1223,DiemHKI!$B$4:$B$58,0),2)="","","- "&amp;INDEX(DiemHKI!$DE$4:$DH$58,MATCH(PDHKI!E1223,DiemHKI!$B$4:$B$58,0),2)))</f>
        <v/>
      </c>
    </row>
    <row r="1212" spans="1:11" ht="18" customHeight="1">
      <c r="A1212" s="59" t="str">
        <f>IF(E1223="","",IF(INDEX(DiemHKI!$DE$4:$DH$58,MATCH(PDHKI!E1223,DiemHKI!$B$4:$B$58,0),3)="","","- "&amp;INDEX(DiemHKI!$DE$4:$DH$58,MATCH(PDHKI!E1223,DiemHKI!$B$4:$B$58,0),3)))</f>
        <v/>
      </c>
    </row>
    <row r="1213" spans="1:11" ht="18" customHeight="1">
      <c r="A1213" s="59" t="str">
        <f>IF(E1223="","",IF(INDEX(DiemHKI!$DE$4:$DH$58,MATCH(PDHKI!E1223,DiemHKI!$B$4:$B$58,0),4)="","","- "&amp;INDEX(DiemHKI!$DE$4:$DH$58,MATCH(PDHKI!E1223,DiemHKI!$B$4:$B$58,0),4)))</f>
        <v/>
      </c>
    </row>
    <row r="1214" spans="1:11" ht="6.75" customHeight="1"/>
    <row r="1215" spans="1:11" ht="16.5" customHeight="1">
      <c r="A1215" s="61"/>
      <c r="C1215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215" s="1026"/>
      <c r="E1215" s="1026"/>
    </row>
    <row r="1216" spans="1:11" ht="21.75" customHeight="1">
      <c r="A1216" s="923" t="str">
        <f>IF($D$41="Hiệu trưởng","Giáo viên Quản nhiệm","")</f>
        <v>Giáo viên Quản nhiệm</v>
      </c>
      <c r="B1216" s="923"/>
      <c r="C1216" s="923"/>
      <c r="D1216" s="707" t="str">
        <f>IF($G$5="","",$G$5)</f>
        <v>Hiệu trưởng</v>
      </c>
      <c r="E1216" s="708"/>
    </row>
    <row r="1217" spans="1:5" ht="15" customHeight="1">
      <c r="A1217" s="61"/>
      <c r="B1217" s="61"/>
      <c r="C1217" s="61"/>
      <c r="D1217" s="66"/>
      <c r="E1217" s="66"/>
    </row>
    <row r="1218" spans="1:5" ht="15" customHeight="1">
      <c r="A1218" s="61"/>
      <c r="B1218" s="61"/>
      <c r="C1218" s="61"/>
      <c r="D1218" s="66"/>
      <c r="E1218" s="66"/>
    </row>
    <row r="1219" spans="1:5" ht="15" customHeight="1">
      <c r="A1219" s="61"/>
      <c r="B1219" s="61"/>
      <c r="C1219" s="61"/>
    </row>
    <row r="1220" spans="1:5" ht="15" customHeight="1">
      <c r="A1220" s="61"/>
      <c r="B1220" s="61"/>
      <c r="C1220" s="61"/>
    </row>
    <row r="1221" spans="1:5" ht="16.5" customHeight="1">
      <c r="A1221" s="1012" t="str">
        <f>IF($A$41="","",PROPER('Huong dan'!$C$4))</f>
        <v/>
      </c>
      <c r="B1221" s="1012"/>
      <c r="C1221" s="1012"/>
      <c r="D1221" s="833" t="str">
        <f>IFERROR(IF($D$41="Giáo Viên Quản nhiệm",PROPER('Huong dan'!$C$4),IF($D$41="Hiệu trưởng",PROPER('Huong dan'!$E$5),"")),"")</f>
        <v/>
      </c>
      <c r="E1221" s="708"/>
    </row>
    <row r="1222" spans="1:5" ht="12.75" customHeight="1"/>
    <row r="1223" spans="1:5" ht="12.75" customHeight="1">
      <c r="A1223" s="709"/>
      <c r="B1223" s="709"/>
      <c r="C1223" s="709"/>
      <c r="D1223" s="710"/>
      <c r="E1223" s="711">
        <f>IF(E1176="","",IF(E1176&lt;MAX(DiemHKI!$B$4:$B$58),E1176+1,""))</f>
        <v>26</v>
      </c>
    </row>
    <row r="1224" spans="1:5" ht="8.25" customHeight="1">
      <c r="A1224" s="709"/>
      <c r="B1224" s="709"/>
      <c r="C1224" s="709"/>
      <c r="D1224" s="709"/>
      <c r="E1224" s="709"/>
    </row>
    <row r="1225" spans="1:5" ht="5.25" customHeight="1"/>
    <row r="1226" spans="1:5" s="563" customFormat="1" ht="23.25" customHeight="1">
      <c r="A1226" s="931" t="str">
        <f>IF('Huong dan'!$E$3&lt;&gt;"","SỞ GIÁO DỤC VÀ ĐÀO TẠO "&amp;UPPER('Huong dan'!$E$3),"")</f>
        <v>SỞ GIÁO DỤC VÀ ĐÀO TẠO TP. HỒ CHÍ MINH</v>
      </c>
      <c r="B1226" s="931"/>
      <c r="C1226" s="931"/>
      <c r="D1226" s="923" t="s">
        <v>19</v>
      </c>
      <c r="E1226" s="923"/>
    </row>
    <row r="1227" spans="1:5" ht="17.25" customHeight="1">
      <c r="A1227" s="931" t="str">
        <f>IF('Huong dan'!$E$4&lt;&gt;"","TRƯỜNG "&amp;UPPER('Huong dan'!$E$4),"")</f>
        <v>TRƯỜNG THCS VÀ THPT NGUYỄN KHUYẾN</v>
      </c>
      <c r="B1227" s="931"/>
      <c r="C1227" s="931"/>
      <c r="D1227" s="1012" t="s">
        <v>179</v>
      </c>
      <c r="E1227" s="1012"/>
    </row>
    <row r="1228" spans="1:5" ht="24" customHeight="1">
      <c r="A1228" s="61"/>
      <c r="B1228" s="61"/>
      <c r="C1228" s="61"/>
    </row>
    <row r="1229" spans="1:5" ht="29.25" customHeight="1">
      <c r="A1229" s="1013" t="str">
        <f>"PHIẾU ĐIỂM HỌC KỲ I - NĂM HỌC "&amp;'Huong dan'!$C$5</f>
        <v>PHIẾU ĐIỂM HỌC KỲ I - NĂM HỌC 2021 - 2022</v>
      </c>
      <c r="B1229" s="1013"/>
      <c r="C1229" s="1013"/>
      <c r="D1229" s="1013"/>
      <c r="E1229" s="1013"/>
    </row>
    <row r="1230" spans="1:5" ht="15.75" customHeight="1">
      <c r="A1230" s="680"/>
      <c r="B1230" s="680"/>
    </row>
    <row r="1231" spans="1:5" ht="21" customHeight="1">
      <c r="A1231" s="1014" t="s">
        <v>145</v>
      </c>
      <c r="B1231" s="1014"/>
      <c r="C1231" s="1015" t="str">
        <f>IF(E1270="","",INDEX(DiemHKI!$D$4:$D$58,MATCH(E1270,DiemHKI!$B$4:$B$58,0),1)&amp;" "&amp;INDEX(DiemHKI!$E$4:$E$58,MATCH(E1270,DiemHKI!$B$4:$B$58,0),1))</f>
        <v>Nguyễn Bá Nhật Quang</v>
      </c>
      <c r="D1231" s="1015"/>
      <c r="E1231" s="62" t="str">
        <f>IF('Huong dan'!$C$3="","","Lớp: "&amp;'Huong dan'!$C$3)</f>
        <v>Lớp: 12A1</v>
      </c>
    </row>
    <row r="1232" spans="1:5" ht="23.25" customHeight="1">
      <c r="A1232" s="1014" t="s">
        <v>146</v>
      </c>
      <c r="B1232" s="1014"/>
      <c r="C1232" s="681" t="str">
        <f>IF(E1270="","",INDEX(DiemHKI!$F$4:$F$58,MATCH(PDHKI!E1270,DiemHKI!$B$4:$B$58,0),1))</f>
        <v>18/07/2004</v>
      </c>
      <c r="D1232" s="1016" t="str">
        <f>IF(E1270="","","Nơi sinh: "&amp;INDEX(DiemHKI!$G$4:$G$58,MATCH(PDHKI!E1270,DiemHKI!$B$4:$B$58,0),1))</f>
        <v>Nơi sinh: TP. Hồ Chí Minh</v>
      </c>
      <c r="E1232" s="1016"/>
    </row>
    <row r="1233" spans="1:11" ht="13.5" customHeight="1" thickBot="1">
      <c r="A1233" s="681"/>
      <c r="B1233" s="682"/>
      <c r="D1233" s="681"/>
      <c r="E1233" s="681"/>
    </row>
    <row r="1234" spans="1:11" ht="24" customHeight="1" thickBot="1">
      <c r="A1234" s="683" t="s">
        <v>0</v>
      </c>
      <c r="B1234" s="1006" t="s">
        <v>72</v>
      </c>
      <c r="C1234" s="1007"/>
      <c r="D1234" s="684" t="s">
        <v>147</v>
      </c>
      <c r="E1234" s="685" t="s">
        <v>148</v>
      </c>
    </row>
    <row r="1235" spans="1:11" ht="21" customHeight="1">
      <c r="A1235" s="686">
        <v>1</v>
      </c>
      <c r="B1235" s="1017" t="s">
        <v>26</v>
      </c>
      <c r="C1235" s="1018"/>
      <c r="D1235" s="687">
        <f>IF(E1270="","",IF(INDEX(THHKI!$A$8:$Y$62,MATCH(PDHKI!E1270,THHKI!$A$8:$A$62,0),INDEX($K$13:$K$27,MATCH(B1235,$J$13:$J$27,0),1))&lt;1,"/",INDEX(THHKI!$A$8:$Y$62,MATCH(PDHKI!E1270,THHKI!$A$8:$A$62,0),INDEX($K$13:$K$27,MATCH(B1235,$J$13:$J$27,0),1))))</f>
        <v>9.6</v>
      </c>
      <c r="E1235" s="688"/>
      <c r="J1235" s="569" t="s">
        <v>26</v>
      </c>
      <c r="K1235" s="569">
        <v>7</v>
      </c>
    </row>
    <row r="1236" spans="1:11" ht="21" customHeight="1">
      <c r="A1236" s="689">
        <v>2</v>
      </c>
      <c r="B1236" s="1008" t="s">
        <v>27</v>
      </c>
      <c r="C1236" s="1009"/>
      <c r="D1236" s="690">
        <f>IF(E1270="","",IF(INDEX(THHKI!$A$8:$Y$62,MATCH(PDHKI!E1270,THHKI!$A$8:$A$62,0),INDEX($K$13:$K$27,MATCH(B1236,$J$13:$J$27,0),1))&lt;1,"/",INDEX(THHKI!$A$8:$Y$62,MATCH(PDHKI!E1270,THHKI!$A$8:$A$62,0),INDEX($K$13:$K$27,MATCH(B1236,$J$13:$J$27,0),1))))</f>
        <v>9.9</v>
      </c>
      <c r="E1236" s="691"/>
      <c r="J1236" s="569" t="s">
        <v>27</v>
      </c>
      <c r="K1236" s="569">
        <v>8</v>
      </c>
    </row>
    <row r="1237" spans="1:11" ht="21" customHeight="1">
      <c r="A1237" s="689">
        <v>3</v>
      </c>
      <c r="B1237" s="1008" t="s">
        <v>28</v>
      </c>
      <c r="C1237" s="1009"/>
      <c r="D1237" s="690">
        <f>IF(E1270="","",IF(INDEX(THHKI!$A$8:$Y$62,MATCH(PDHKI!E1270,THHKI!$A$8:$A$62,0),INDEX($K$13:$K$27,MATCH(B1237,$J$13:$J$27,0),1))&lt;1,"/",INDEX(THHKI!$A$8:$Y$62,MATCH(PDHKI!E1270,THHKI!$A$8:$A$62,0),INDEX($K$13:$K$27,MATCH(B1237,$J$13:$J$27,0),1))))</f>
        <v>9.4</v>
      </c>
      <c r="E1237" s="691"/>
      <c r="J1237" s="569" t="s">
        <v>28</v>
      </c>
      <c r="K1237" s="569">
        <v>9</v>
      </c>
    </row>
    <row r="1238" spans="1:11" ht="21" customHeight="1">
      <c r="A1238" s="689">
        <v>4</v>
      </c>
      <c r="B1238" s="1008" t="s">
        <v>29</v>
      </c>
      <c r="C1238" s="1009"/>
      <c r="D1238" s="690">
        <f>IF(E1270="","",IF(INDEX(THHKI!$A$8:$Y$62,MATCH(PDHKI!E1270,THHKI!$A$8:$A$62,0),INDEX($K$13:$K$27,MATCH(B1238,$J$13:$J$27,0),1))&lt;1,"/",INDEX(THHKI!$A$8:$Y$62,MATCH(PDHKI!E1270,THHKI!$A$8:$A$62,0),INDEX($K$13:$K$27,MATCH(B1238,$J$13:$J$27,0),1))))</f>
        <v>8.9</v>
      </c>
      <c r="E1238" s="691"/>
      <c r="J1238" s="569" t="s">
        <v>29</v>
      </c>
      <c r="K1238" s="569">
        <v>10</v>
      </c>
    </row>
    <row r="1239" spans="1:11" ht="21" customHeight="1">
      <c r="A1239" s="689">
        <v>5</v>
      </c>
      <c r="B1239" s="1008" t="s">
        <v>120</v>
      </c>
      <c r="C1239" s="1009"/>
      <c r="D1239" s="690">
        <f>IF(E1270="","",IF(INDEX(THHKI!$A$8:$Y$62,MATCH(PDHKI!E1270,THHKI!$A$8:$A$62,0),INDEX($K$13:$K$27,MATCH(B1239,$J$13:$J$27,0),1))&lt;1,"/",INDEX(THHKI!$A$8:$Y$62,MATCH(PDHKI!E1270,THHKI!$A$8:$A$62,0),INDEX($K$13:$K$27,MATCH(B1239,$J$13:$J$27,0),1))))</f>
        <v>9.8000000000000007</v>
      </c>
      <c r="E1239" s="691"/>
      <c r="J1239" s="569" t="s">
        <v>120</v>
      </c>
      <c r="K1239" s="569">
        <v>11</v>
      </c>
    </row>
    <row r="1240" spans="1:11" ht="21" customHeight="1">
      <c r="A1240" s="689">
        <v>6</v>
      </c>
      <c r="B1240" s="1008" t="s">
        <v>30</v>
      </c>
      <c r="C1240" s="1009"/>
      <c r="D1240" s="690">
        <f>IF(E1270="","",IF(INDEX(THHKI!$A$8:$Y$62,MATCH(PDHKI!E1270,THHKI!$A$8:$A$62,0),INDEX($K$13:$K$27,MATCH(B1240,$J$13:$J$27,0),1))&lt;1,"/",INDEX(THHKI!$A$8:$Y$62,MATCH(PDHKI!E1270,THHKI!$A$8:$A$62,0),INDEX($K$13:$K$27,MATCH(B1240,$J$13:$J$27,0),1))))</f>
        <v>7.6</v>
      </c>
      <c r="E1240" s="691"/>
      <c r="J1240" s="569" t="s">
        <v>30</v>
      </c>
      <c r="K1240" s="569">
        <v>12</v>
      </c>
    </row>
    <row r="1241" spans="1:11" ht="21" customHeight="1">
      <c r="A1241" s="689">
        <v>7</v>
      </c>
      <c r="B1241" s="1008" t="s">
        <v>31</v>
      </c>
      <c r="C1241" s="1009"/>
      <c r="D1241" s="690">
        <f>IF(E1270="","",IF(INDEX(THHKI!$A$8:$Y$62,MATCH(PDHKI!E1270,THHKI!$A$8:$A$62,0),INDEX($K$13:$K$27,MATCH(B1241,$J$13:$J$27,0),1))&lt;1,"/",INDEX(THHKI!$A$8:$Y$62,MATCH(PDHKI!E1270,THHKI!$A$8:$A$62,0),INDEX($K$13:$K$27,MATCH(B1241,$J$13:$J$27,0),1))))</f>
        <v>9.9</v>
      </c>
      <c r="E1241" s="691"/>
      <c r="J1241" s="569" t="s">
        <v>31</v>
      </c>
      <c r="K1241" s="569">
        <v>13</v>
      </c>
    </row>
    <row r="1242" spans="1:11" ht="21" customHeight="1">
      <c r="A1242" s="689">
        <v>8</v>
      </c>
      <c r="B1242" s="1008" t="s">
        <v>32</v>
      </c>
      <c r="C1242" s="1009"/>
      <c r="D1242" s="690">
        <f>IF(E1270="","",IF(INDEX(THHKI!$A$8:$Y$62,MATCH(PDHKI!E1270,THHKI!$A$8:$A$62,0),INDEX($K$13:$K$27,MATCH(B1242,$J$13:$J$27,0),1))&lt;1,"/",INDEX(THHKI!$A$8:$Y$62,MATCH(PDHKI!E1270,THHKI!$A$8:$A$62,0),INDEX($K$13:$K$27,MATCH(B1242,$J$13:$J$27,0),1))))</f>
        <v>9.9</v>
      </c>
      <c r="E1242" s="691"/>
      <c r="J1242" s="569" t="s">
        <v>32</v>
      </c>
      <c r="K1242" s="569">
        <v>14</v>
      </c>
    </row>
    <row r="1243" spans="1:11" ht="21" customHeight="1">
      <c r="A1243" s="689">
        <v>9</v>
      </c>
      <c r="B1243" s="1008" t="s">
        <v>33</v>
      </c>
      <c r="C1243" s="1009"/>
      <c r="D1243" s="690">
        <f>IF(E1270="","",IF(INDEX(THHKI!$A$8:$Y$62,MATCH(PDHKI!E1270,THHKI!$A$8:$A$62,0),INDEX($K$13:$K$27,MATCH(B1243,$J$13:$J$27,0),1))&lt;1,"/",INDEX(THHKI!$A$8:$Y$62,MATCH(PDHKI!E1270,THHKI!$A$8:$A$62,0),INDEX($K$13:$K$27,MATCH(B1243,$J$13:$J$27,0),1))))</f>
        <v>9.1999999999999993</v>
      </c>
      <c r="E1243" s="691"/>
      <c r="J1243" s="569" t="s">
        <v>33</v>
      </c>
      <c r="K1243" s="569">
        <v>15</v>
      </c>
    </row>
    <row r="1244" spans="1:11" ht="21" customHeight="1">
      <c r="A1244" s="689">
        <v>10</v>
      </c>
      <c r="B1244" s="1008" t="s">
        <v>60</v>
      </c>
      <c r="C1244" s="1009"/>
      <c r="D1244" s="690">
        <f>IF(E1270="","",IF(INDEX(THHKI!$A$8:$Y$62,MATCH(PDHKI!E1270,THHKI!$A$8:$A$62,0),INDEX($K$13:$K$27,MATCH(B1244,$J$13:$J$27,0),1))&lt;1,"/",INDEX(THHKI!$A$8:$Y$62,MATCH(PDHKI!E1270,THHKI!$A$8:$A$62,0),INDEX($K$13:$K$27,MATCH(B1244,$J$13:$J$27,0),1))))</f>
        <v>9.5</v>
      </c>
      <c r="E1244" s="691"/>
      <c r="J1244" s="569" t="s">
        <v>60</v>
      </c>
      <c r="K1244" s="569">
        <v>16</v>
      </c>
    </row>
    <row r="1245" spans="1:11" ht="21" customHeight="1">
      <c r="A1245" s="689">
        <v>11</v>
      </c>
      <c r="B1245" s="1008" t="s">
        <v>34</v>
      </c>
      <c r="C1245" s="1009"/>
      <c r="D1245" s="690">
        <f>IF(E1270="","",IF(INDEX(THHKI!$A$8:$Y$62,MATCH(PDHKI!E1270,THHKI!$A$8:$A$62,0),INDEX($K$13:$K$27,MATCH(B1245,$J$13:$J$27,0),1))&lt;1,"/",INDEX(THHKI!$A$8:$Y$62,MATCH(PDHKI!E1270,THHKI!$A$8:$A$62,0),INDEX($K$13:$K$27,MATCH(B1245,$J$13:$J$27,0),1))))</f>
        <v>9.9</v>
      </c>
      <c r="E1245" s="691"/>
      <c r="J1245" s="569" t="s">
        <v>34</v>
      </c>
      <c r="K1245" s="569">
        <v>17</v>
      </c>
    </row>
    <row r="1246" spans="1:11" ht="21" customHeight="1">
      <c r="A1246" s="689">
        <v>12</v>
      </c>
      <c r="B1246" s="1008" t="s">
        <v>35</v>
      </c>
      <c r="C1246" s="1009"/>
      <c r="D1246" s="690" t="str">
        <f>IF(E1270="","",IF(INDEX(THHKI!$A$8:$Y$62,MATCH(PDHKI!E1270,THHKI!$A$8:$A$62,0),INDEX($K$13:$K$27,MATCH(B1246,$J$13:$J$27,0),1))&lt;1,"/",INDEX(THHKI!$A$8:$Y$62,MATCH(PDHKI!E1270,THHKI!$A$8:$A$62,0),INDEX($K$13:$K$27,MATCH(B1246,$J$13:$J$27,0),1))))</f>
        <v>Đ</v>
      </c>
      <c r="E1246" s="691"/>
      <c r="J1246" s="569" t="s">
        <v>35</v>
      </c>
      <c r="K1246" s="569">
        <v>18</v>
      </c>
    </row>
    <row r="1247" spans="1:11" ht="21" customHeight="1">
      <c r="A1247" s="689">
        <v>13</v>
      </c>
      <c r="B1247" s="1008" t="s">
        <v>121</v>
      </c>
      <c r="C1247" s="1009"/>
      <c r="D1247" s="690">
        <f>IF(E1270="","",IF(INDEX(THHKI!$A$8:$Y$62,MATCH(PDHKI!E1270,THHKI!$A$8:$A$62,0),INDEX($K$13:$K$27,MATCH(B1247,$J$13:$J$27,0),1))&lt;1,"/",INDEX(THHKI!$A$8:$Y$62,MATCH(PDHKI!E1270,THHKI!$A$8:$A$62,0),INDEX($K$13:$K$27,MATCH(B1247,$J$13:$J$27,0),1))))</f>
        <v>9.9</v>
      </c>
      <c r="E1247" s="691"/>
      <c r="J1247" s="569" t="s">
        <v>22</v>
      </c>
      <c r="K1247" s="569">
        <v>19</v>
      </c>
    </row>
    <row r="1248" spans="1:11" ht="21" customHeight="1" thickBot="1">
      <c r="A1248" s="692">
        <v>14</v>
      </c>
      <c r="B1248" s="1010" t="s">
        <v>122</v>
      </c>
      <c r="C1248" s="1011"/>
      <c r="D1248" s="693" t="str">
        <f>IF(E1270="","",IF(INDEX(THHKI!$A$8:$Y$62,MATCH(PDHKI!E1270,THHKI!$A$8:$A$62,0),INDEX($K$13:$K$27,MATCH(B1248,$J$13:$J$27,0),1))&lt;1,"/",INDEX(THHKI!$A$8:$Y$62,MATCH(PDHKI!E1270,THHKI!$A$8:$A$62,0),INDEX($K$13:$K$27,MATCH(B1248,$J$13:$J$27,0),1))))</f>
        <v/>
      </c>
      <c r="E1248" s="694"/>
      <c r="J1248" s="569" t="s">
        <v>121</v>
      </c>
      <c r="K1248" s="569">
        <v>20</v>
      </c>
    </row>
    <row r="1249" spans="1:11" ht="21" customHeight="1" thickBot="1">
      <c r="A1249" s="695">
        <v>15</v>
      </c>
      <c r="B1249" s="1006" t="s">
        <v>149</v>
      </c>
      <c r="C1249" s="1007"/>
      <c r="D1249" s="696">
        <f>IF(E1270="","",IF(INDEX(THHKI!$A$8:$Y$62,MATCH(PDHKI!E1270,THHKI!$A$8:$A$62,0),22)&lt;1,"/",INDEX(THHKI!$A$8:$Y$62,MATCH(PDHKI!E1270,THHKI!$A$8:$A$62,0),22)))</f>
        <v>9.5</v>
      </c>
      <c r="E1249" s="697"/>
      <c r="J1249" s="569" t="s">
        <v>122</v>
      </c>
      <c r="K1249" s="569">
        <v>21</v>
      </c>
    </row>
    <row r="1250" spans="1:11" ht="15.75" customHeight="1" thickBot="1"/>
    <row r="1251" spans="1:11" s="570" customFormat="1" ht="21" customHeight="1">
      <c r="A1251" s="698"/>
      <c r="B1251" s="1019" t="s">
        <v>150</v>
      </c>
      <c r="C1251" s="1020"/>
      <c r="D1251" s="699" t="s">
        <v>10</v>
      </c>
      <c r="E1251" s="700" t="s">
        <v>126</v>
      </c>
    </row>
    <row r="1252" spans="1:11" ht="21" customHeight="1">
      <c r="A1252" s="701">
        <v>16</v>
      </c>
      <c r="B1252" s="1021" t="s">
        <v>151</v>
      </c>
      <c r="C1252" s="1022"/>
      <c r="D1252" s="702" t="str">
        <f>IF(E1270="","",IF(INDEX(THHKI!$A$8:$Y$62,MATCH(PDHKI!E1270,THHKI!$A$8:$A$62,0),23)="","/",INDEX(THHKI!$A$8:$Y$62,MATCH(PDHKI!E1270,THHKI!$A$8:$A$62,0),23)))</f>
        <v>Giỏi</v>
      </c>
      <c r="E1252" s="703"/>
    </row>
    <row r="1253" spans="1:11" ht="21" customHeight="1">
      <c r="A1253" s="701">
        <v>17</v>
      </c>
      <c r="B1253" s="1021" t="s">
        <v>152</v>
      </c>
      <c r="C1253" s="1022"/>
      <c r="D1253" s="702" t="str">
        <f>IF(E1270="","",IF(INDEX(THHKI!$A$8:$Y$62,MATCH(PDHKI!E1270,THHKI!$A$8:$A$62,0),24)="","/",INDEX(THHKI!$A$8:$Y$62,MATCH(PDHKI!E1270,THHKI!$A$8:$A$62,0),24)))</f>
        <v>Tốt</v>
      </c>
      <c r="E1253" s="703"/>
    </row>
    <row r="1254" spans="1:11" ht="21" customHeight="1" thickBot="1">
      <c r="A1254" s="704">
        <v>18</v>
      </c>
      <c r="B1254" s="1023" t="s">
        <v>153</v>
      </c>
      <c r="C1254" s="1024"/>
      <c r="D1254" s="705" t="str">
        <f>IF(E1270="","",IF(INDEX(THHKI!$A$8:$Y$62,MATCH(PDHKI!E1270,THHKI!$A$8:$A$62,0),25)="","/",INDEX(THHKI!$A$8:$Y$62,MATCH(PDHKI!E1270,THHKI!$A$8:$A$62,0),25)))</f>
        <v>HSG</v>
      </c>
      <c r="E1254" s="706"/>
    </row>
    <row r="1255" spans="1:11" ht="9.75" customHeight="1"/>
    <row r="1256" spans="1:11" ht="15.75" customHeight="1">
      <c r="A1256" s="58" t="s">
        <v>219</v>
      </c>
    </row>
    <row r="1257" spans="1:11" ht="18" customHeight="1">
      <c r="A1257" s="59" t="str">
        <f>IF(E1270="","",IF(INDEX(DiemHKI!$DE$4:$DH$58,MATCH(PDHKI!E1270,DiemHKI!$B$4:$B$58,0),1)="","","- "&amp;INDEX(DiemHKI!$DE$4:$DH$58,MATCH(PDHKI!E1270,DiemHKI!$B$4:$B$58,0),1)))</f>
        <v/>
      </c>
      <c r="H1257" s="571"/>
    </row>
    <row r="1258" spans="1:11" ht="18" customHeight="1">
      <c r="A1258" s="59" t="str">
        <f>IF(E1270="","",IF(INDEX(DiemHKI!$DE$4:$DH$58,MATCH(PDHKI!E1270,DiemHKI!$B$4:$B$58,0),2)="","","- "&amp;INDEX(DiemHKI!$DE$4:$DH$58,MATCH(PDHKI!E1270,DiemHKI!$B$4:$B$58,0),2)))</f>
        <v/>
      </c>
    </row>
    <row r="1259" spans="1:11" ht="18" customHeight="1">
      <c r="A1259" s="59" t="str">
        <f>IF(E1270="","",IF(INDEX(DiemHKI!$DE$4:$DH$58,MATCH(PDHKI!E1270,DiemHKI!$B$4:$B$58,0),3)="","","- "&amp;INDEX(DiemHKI!$DE$4:$DH$58,MATCH(PDHKI!E1270,DiemHKI!$B$4:$B$58,0),3)))</f>
        <v/>
      </c>
    </row>
    <row r="1260" spans="1:11" ht="18" customHeight="1">
      <c r="A1260" s="59" t="str">
        <f>IF(E1270="","",IF(INDEX(DiemHKI!$DE$4:$DH$58,MATCH(PDHKI!E1270,DiemHKI!$B$4:$B$58,0),4)="","","- "&amp;INDEX(DiemHKI!$DE$4:$DH$58,MATCH(PDHKI!E1270,DiemHKI!$B$4:$B$58,0),4)))</f>
        <v/>
      </c>
    </row>
    <row r="1261" spans="1:11" ht="6.75" customHeight="1"/>
    <row r="1262" spans="1:11" ht="16.5" customHeight="1">
      <c r="A1262" s="61"/>
      <c r="C1262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262" s="1026"/>
      <c r="E1262" s="1026"/>
    </row>
    <row r="1263" spans="1:11" ht="21.75" customHeight="1">
      <c r="A1263" s="923" t="str">
        <f>IF($D$41="Hiệu trưởng","Giáo viên Quản nhiệm","")</f>
        <v>Giáo viên Quản nhiệm</v>
      </c>
      <c r="B1263" s="923"/>
      <c r="C1263" s="923"/>
      <c r="D1263" s="707" t="str">
        <f>IF($G$5="","",$G$5)</f>
        <v>Hiệu trưởng</v>
      </c>
      <c r="E1263" s="708"/>
    </row>
    <row r="1264" spans="1:11" ht="15" customHeight="1">
      <c r="A1264" s="61"/>
      <c r="B1264" s="61"/>
      <c r="C1264" s="61"/>
      <c r="D1264" s="66"/>
      <c r="E1264" s="66"/>
    </row>
    <row r="1265" spans="1:5" ht="15" customHeight="1">
      <c r="A1265" s="61"/>
      <c r="B1265" s="61"/>
      <c r="C1265" s="61"/>
      <c r="D1265" s="66"/>
      <c r="E1265" s="66"/>
    </row>
    <row r="1266" spans="1:5" ht="15" customHeight="1">
      <c r="A1266" s="61"/>
      <c r="B1266" s="61"/>
      <c r="C1266" s="61"/>
    </row>
    <row r="1267" spans="1:5" ht="15" customHeight="1">
      <c r="A1267" s="61"/>
      <c r="B1267" s="61"/>
      <c r="C1267" s="61"/>
    </row>
    <row r="1268" spans="1:5" ht="16.5" customHeight="1">
      <c r="A1268" s="1012" t="str">
        <f>IF($A$41="","",PROPER('Huong dan'!$C$4))</f>
        <v/>
      </c>
      <c r="B1268" s="1012"/>
      <c r="C1268" s="1012"/>
      <c r="D1268" s="833" t="str">
        <f>IFERROR(IF($D$41="Giáo Viên Quản nhiệm",PROPER('Huong dan'!$C$4),IF($D$41="Hiệu trưởng",PROPER('Huong dan'!$E$5),"")),"")</f>
        <v/>
      </c>
      <c r="E1268" s="708"/>
    </row>
    <row r="1269" spans="1:5" ht="12.75" customHeight="1"/>
    <row r="1270" spans="1:5" ht="12.75" customHeight="1">
      <c r="A1270" s="709"/>
      <c r="B1270" s="709"/>
      <c r="C1270" s="709"/>
      <c r="D1270" s="710"/>
      <c r="E1270" s="711">
        <f>IF(E1223="","",IF(E1223&lt;MAX(DiemHKI!$B$4:$B$58),E1223+1,""))</f>
        <v>27</v>
      </c>
    </row>
    <row r="1271" spans="1:5" ht="8.25" customHeight="1">
      <c r="A1271" s="709"/>
      <c r="B1271" s="709"/>
      <c r="C1271" s="709"/>
      <c r="D1271" s="709"/>
      <c r="E1271" s="709"/>
    </row>
    <row r="1272" spans="1:5" ht="5.25" customHeight="1"/>
    <row r="1273" spans="1:5" s="563" customFormat="1" ht="23.25" customHeight="1">
      <c r="A1273" s="931" t="str">
        <f>IF('Huong dan'!$E$3&lt;&gt;"","SỞ GIÁO DỤC VÀ ĐÀO TẠO "&amp;UPPER('Huong dan'!$E$3),"")</f>
        <v>SỞ GIÁO DỤC VÀ ĐÀO TẠO TP. HỒ CHÍ MINH</v>
      </c>
      <c r="B1273" s="931"/>
      <c r="C1273" s="931"/>
      <c r="D1273" s="923" t="s">
        <v>19</v>
      </c>
      <c r="E1273" s="923"/>
    </row>
    <row r="1274" spans="1:5" ht="17.25" customHeight="1">
      <c r="A1274" s="931" t="str">
        <f>IF('Huong dan'!$E$4&lt;&gt;"","TRƯỜNG "&amp;UPPER('Huong dan'!$E$4),"")</f>
        <v>TRƯỜNG THCS VÀ THPT NGUYỄN KHUYẾN</v>
      </c>
      <c r="B1274" s="931"/>
      <c r="C1274" s="931"/>
      <c r="D1274" s="1012" t="s">
        <v>179</v>
      </c>
      <c r="E1274" s="1012"/>
    </row>
    <row r="1275" spans="1:5" ht="24" customHeight="1">
      <c r="A1275" s="61"/>
      <c r="B1275" s="61"/>
      <c r="C1275" s="61"/>
    </row>
    <row r="1276" spans="1:5" ht="29.25" customHeight="1">
      <c r="A1276" s="1013" t="str">
        <f>"PHIẾU ĐIỂM HỌC KỲ I - NĂM HỌC "&amp;'Huong dan'!$C$5</f>
        <v>PHIẾU ĐIỂM HỌC KỲ I - NĂM HỌC 2021 - 2022</v>
      </c>
      <c r="B1276" s="1013"/>
      <c r="C1276" s="1013"/>
      <c r="D1276" s="1013"/>
      <c r="E1276" s="1013"/>
    </row>
    <row r="1277" spans="1:5" ht="15.75" customHeight="1">
      <c r="A1277" s="680"/>
      <c r="B1277" s="680"/>
    </row>
    <row r="1278" spans="1:5" ht="21" customHeight="1">
      <c r="A1278" s="1014" t="s">
        <v>145</v>
      </c>
      <c r="B1278" s="1014"/>
      <c r="C1278" s="1015" t="str">
        <f>IF(E1317="","",INDEX(DiemHKI!$D$4:$D$58,MATCH(E1317,DiemHKI!$B$4:$B$58,0),1)&amp;" "&amp;INDEX(DiemHKI!$E$4:$E$58,MATCH(E1317,DiemHKI!$B$4:$B$58,0),1))</f>
        <v>Phan Trương Kiến Quốc</v>
      </c>
      <c r="D1278" s="1015"/>
      <c r="E1278" s="62" t="str">
        <f>IF('Huong dan'!$C$3="","","Lớp: "&amp;'Huong dan'!$C$3)</f>
        <v>Lớp: 12A1</v>
      </c>
    </row>
    <row r="1279" spans="1:5" ht="23.25" customHeight="1">
      <c r="A1279" s="1014" t="s">
        <v>146</v>
      </c>
      <c r="B1279" s="1014"/>
      <c r="C1279" s="681" t="str">
        <f>IF(E1317="","",INDEX(DiemHKI!$F$4:$F$58,MATCH(PDHKI!E1317,DiemHKI!$B$4:$B$58,0),1))</f>
        <v>03/12/2004</v>
      </c>
      <c r="D1279" s="1016" t="str">
        <f>IF(E1317="","","Nơi sinh: "&amp;INDEX(DiemHKI!$G$4:$G$58,MATCH(PDHKI!E1317,DiemHKI!$B$4:$B$58,0),1))</f>
        <v>Nơi sinh: Đồng Nai</v>
      </c>
      <c r="E1279" s="1016"/>
    </row>
    <row r="1280" spans="1:5" ht="13.5" customHeight="1" thickBot="1">
      <c r="A1280" s="681"/>
      <c r="B1280" s="682"/>
      <c r="D1280" s="681"/>
      <c r="E1280" s="681"/>
    </row>
    <row r="1281" spans="1:11" ht="24" customHeight="1" thickBot="1">
      <c r="A1281" s="683" t="s">
        <v>0</v>
      </c>
      <c r="B1281" s="1006" t="s">
        <v>72</v>
      </c>
      <c r="C1281" s="1007"/>
      <c r="D1281" s="684" t="s">
        <v>147</v>
      </c>
      <c r="E1281" s="685" t="s">
        <v>148</v>
      </c>
    </row>
    <row r="1282" spans="1:11" ht="21" customHeight="1">
      <c r="A1282" s="686">
        <v>1</v>
      </c>
      <c r="B1282" s="1017" t="s">
        <v>26</v>
      </c>
      <c r="C1282" s="1018"/>
      <c r="D1282" s="687">
        <f>IF(E1317="","",IF(INDEX(THHKI!$A$8:$Y$62,MATCH(PDHKI!E1317,THHKI!$A$8:$A$62,0),INDEX($K$13:$K$27,MATCH(B1282,$J$13:$J$27,0),1))&lt;1,"/",INDEX(THHKI!$A$8:$Y$62,MATCH(PDHKI!E1317,THHKI!$A$8:$A$62,0),INDEX($K$13:$K$27,MATCH(B1282,$J$13:$J$27,0),1))))</f>
        <v>9.5</v>
      </c>
      <c r="E1282" s="688"/>
      <c r="J1282" s="569" t="s">
        <v>26</v>
      </c>
      <c r="K1282" s="569">
        <v>7</v>
      </c>
    </row>
    <row r="1283" spans="1:11" ht="21" customHeight="1">
      <c r="A1283" s="689">
        <v>2</v>
      </c>
      <c r="B1283" s="1008" t="s">
        <v>27</v>
      </c>
      <c r="C1283" s="1009"/>
      <c r="D1283" s="690">
        <f>IF(E1317="","",IF(INDEX(THHKI!$A$8:$Y$62,MATCH(PDHKI!E1317,THHKI!$A$8:$A$62,0),INDEX($K$13:$K$27,MATCH(B1283,$J$13:$J$27,0),1))&lt;1,"/",INDEX(THHKI!$A$8:$Y$62,MATCH(PDHKI!E1317,THHKI!$A$8:$A$62,0),INDEX($K$13:$K$27,MATCH(B1283,$J$13:$J$27,0),1))))</f>
        <v>9.1999999999999993</v>
      </c>
      <c r="E1283" s="691"/>
      <c r="J1283" s="569" t="s">
        <v>27</v>
      </c>
      <c r="K1283" s="569">
        <v>8</v>
      </c>
    </row>
    <row r="1284" spans="1:11" ht="21" customHeight="1">
      <c r="A1284" s="689">
        <v>3</v>
      </c>
      <c r="B1284" s="1008" t="s">
        <v>28</v>
      </c>
      <c r="C1284" s="1009"/>
      <c r="D1284" s="690">
        <f>IF(E1317="","",IF(INDEX(THHKI!$A$8:$Y$62,MATCH(PDHKI!E1317,THHKI!$A$8:$A$62,0),INDEX($K$13:$K$27,MATCH(B1284,$J$13:$J$27,0),1))&lt;1,"/",INDEX(THHKI!$A$8:$Y$62,MATCH(PDHKI!E1317,THHKI!$A$8:$A$62,0),INDEX($K$13:$K$27,MATCH(B1284,$J$13:$J$27,0),1))))</f>
        <v>8.9</v>
      </c>
      <c r="E1284" s="691"/>
      <c r="J1284" s="569" t="s">
        <v>28</v>
      </c>
      <c r="K1284" s="569">
        <v>9</v>
      </c>
    </row>
    <row r="1285" spans="1:11" ht="21" customHeight="1">
      <c r="A1285" s="689">
        <v>4</v>
      </c>
      <c r="B1285" s="1008" t="s">
        <v>29</v>
      </c>
      <c r="C1285" s="1009"/>
      <c r="D1285" s="690">
        <f>IF(E1317="","",IF(INDEX(THHKI!$A$8:$Y$62,MATCH(PDHKI!E1317,THHKI!$A$8:$A$62,0),INDEX($K$13:$K$27,MATCH(B1285,$J$13:$J$27,0),1))&lt;1,"/",INDEX(THHKI!$A$8:$Y$62,MATCH(PDHKI!E1317,THHKI!$A$8:$A$62,0),INDEX($K$13:$K$27,MATCH(B1285,$J$13:$J$27,0),1))))</f>
        <v>9.5</v>
      </c>
      <c r="E1285" s="691"/>
      <c r="J1285" s="569" t="s">
        <v>29</v>
      </c>
      <c r="K1285" s="569">
        <v>10</v>
      </c>
    </row>
    <row r="1286" spans="1:11" ht="21" customHeight="1">
      <c r="A1286" s="689">
        <v>5</v>
      </c>
      <c r="B1286" s="1008" t="s">
        <v>120</v>
      </c>
      <c r="C1286" s="1009"/>
      <c r="D1286" s="690">
        <f>IF(E1317="","",IF(INDEX(THHKI!$A$8:$Y$62,MATCH(PDHKI!E1317,THHKI!$A$8:$A$62,0),INDEX($K$13:$K$27,MATCH(B1286,$J$13:$J$27,0),1))&lt;1,"/",INDEX(THHKI!$A$8:$Y$62,MATCH(PDHKI!E1317,THHKI!$A$8:$A$62,0),INDEX($K$13:$K$27,MATCH(B1286,$J$13:$J$27,0),1))))</f>
        <v>9.8000000000000007</v>
      </c>
      <c r="E1286" s="691"/>
      <c r="J1286" s="569" t="s">
        <v>120</v>
      </c>
      <c r="K1286" s="569">
        <v>11</v>
      </c>
    </row>
    <row r="1287" spans="1:11" ht="21" customHeight="1">
      <c r="A1287" s="689">
        <v>6</v>
      </c>
      <c r="B1287" s="1008" t="s">
        <v>30</v>
      </c>
      <c r="C1287" s="1009"/>
      <c r="D1287" s="690">
        <f>IF(E1317="","",IF(INDEX(THHKI!$A$8:$Y$62,MATCH(PDHKI!E1317,THHKI!$A$8:$A$62,0),INDEX($K$13:$K$27,MATCH(B1287,$J$13:$J$27,0),1))&lt;1,"/",INDEX(THHKI!$A$8:$Y$62,MATCH(PDHKI!E1317,THHKI!$A$8:$A$62,0),INDEX($K$13:$K$27,MATCH(B1287,$J$13:$J$27,0),1))))</f>
        <v>7.7</v>
      </c>
      <c r="E1287" s="691"/>
      <c r="J1287" s="569" t="s">
        <v>30</v>
      </c>
      <c r="K1287" s="569">
        <v>12</v>
      </c>
    </row>
    <row r="1288" spans="1:11" ht="21" customHeight="1">
      <c r="A1288" s="689">
        <v>7</v>
      </c>
      <c r="B1288" s="1008" t="s">
        <v>31</v>
      </c>
      <c r="C1288" s="1009"/>
      <c r="D1288" s="690">
        <f>IF(E1317="","",IF(INDEX(THHKI!$A$8:$Y$62,MATCH(PDHKI!E1317,THHKI!$A$8:$A$62,0),INDEX($K$13:$K$27,MATCH(B1288,$J$13:$J$27,0),1))&lt;1,"/",INDEX(THHKI!$A$8:$Y$62,MATCH(PDHKI!E1317,THHKI!$A$8:$A$62,0),INDEX($K$13:$K$27,MATCH(B1288,$J$13:$J$27,0),1))))</f>
        <v>9.6</v>
      </c>
      <c r="E1288" s="691"/>
      <c r="J1288" s="569" t="s">
        <v>31</v>
      </c>
      <c r="K1288" s="569">
        <v>13</v>
      </c>
    </row>
    <row r="1289" spans="1:11" ht="21" customHeight="1">
      <c r="A1289" s="689">
        <v>8</v>
      </c>
      <c r="B1289" s="1008" t="s">
        <v>32</v>
      </c>
      <c r="C1289" s="1009"/>
      <c r="D1289" s="690">
        <f>IF(E1317="","",IF(INDEX(THHKI!$A$8:$Y$62,MATCH(PDHKI!E1317,THHKI!$A$8:$A$62,0),INDEX($K$13:$K$27,MATCH(B1289,$J$13:$J$27,0),1))&lt;1,"/",INDEX(THHKI!$A$8:$Y$62,MATCH(PDHKI!E1317,THHKI!$A$8:$A$62,0),INDEX($K$13:$K$27,MATCH(B1289,$J$13:$J$27,0),1))))</f>
        <v>9.9</v>
      </c>
      <c r="E1289" s="691"/>
      <c r="J1289" s="569" t="s">
        <v>32</v>
      </c>
      <c r="K1289" s="569">
        <v>14</v>
      </c>
    </row>
    <row r="1290" spans="1:11" ht="21" customHeight="1">
      <c r="A1290" s="689">
        <v>9</v>
      </c>
      <c r="B1290" s="1008" t="s">
        <v>33</v>
      </c>
      <c r="C1290" s="1009"/>
      <c r="D1290" s="690">
        <f>IF(E1317="","",IF(INDEX(THHKI!$A$8:$Y$62,MATCH(PDHKI!E1317,THHKI!$A$8:$A$62,0),INDEX($K$13:$K$27,MATCH(B1290,$J$13:$J$27,0),1))&lt;1,"/",INDEX(THHKI!$A$8:$Y$62,MATCH(PDHKI!E1317,THHKI!$A$8:$A$62,0),INDEX($K$13:$K$27,MATCH(B1290,$J$13:$J$27,0),1))))</f>
        <v>7.5</v>
      </c>
      <c r="E1290" s="691"/>
      <c r="J1290" s="569" t="s">
        <v>33</v>
      </c>
      <c r="K1290" s="569">
        <v>15</v>
      </c>
    </row>
    <row r="1291" spans="1:11" ht="21" customHeight="1">
      <c r="A1291" s="689">
        <v>10</v>
      </c>
      <c r="B1291" s="1008" t="s">
        <v>60</v>
      </c>
      <c r="C1291" s="1009"/>
      <c r="D1291" s="690">
        <f>IF(E1317="","",IF(INDEX(THHKI!$A$8:$Y$62,MATCH(PDHKI!E1317,THHKI!$A$8:$A$62,0),INDEX($K$13:$K$27,MATCH(B1291,$J$13:$J$27,0),1))&lt;1,"/",INDEX(THHKI!$A$8:$Y$62,MATCH(PDHKI!E1317,THHKI!$A$8:$A$62,0),INDEX($K$13:$K$27,MATCH(B1291,$J$13:$J$27,0),1))))</f>
        <v>9.1</v>
      </c>
      <c r="E1291" s="691"/>
      <c r="J1291" s="569" t="s">
        <v>60</v>
      </c>
      <c r="K1291" s="569">
        <v>16</v>
      </c>
    </row>
    <row r="1292" spans="1:11" ht="21" customHeight="1">
      <c r="A1292" s="689">
        <v>11</v>
      </c>
      <c r="B1292" s="1008" t="s">
        <v>34</v>
      </c>
      <c r="C1292" s="1009"/>
      <c r="D1292" s="690">
        <f>IF(E1317="","",IF(INDEX(THHKI!$A$8:$Y$62,MATCH(PDHKI!E1317,THHKI!$A$8:$A$62,0),INDEX($K$13:$K$27,MATCH(B1292,$J$13:$J$27,0),1))&lt;1,"/",INDEX(THHKI!$A$8:$Y$62,MATCH(PDHKI!E1317,THHKI!$A$8:$A$62,0),INDEX($K$13:$K$27,MATCH(B1292,$J$13:$J$27,0),1))))</f>
        <v>9.8000000000000007</v>
      </c>
      <c r="E1292" s="691"/>
      <c r="J1292" s="569" t="s">
        <v>34</v>
      </c>
      <c r="K1292" s="569">
        <v>17</v>
      </c>
    </row>
    <row r="1293" spans="1:11" ht="21" customHeight="1">
      <c r="A1293" s="689">
        <v>12</v>
      </c>
      <c r="B1293" s="1008" t="s">
        <v>35</v>
      </c>
      <c r="C1293" s="1009"/>
      <c r="D1293" s="690" t="str">
        <f>IF(E1317="","",IF(INDEX(THHKI!$A$8:$Y$62,MATCH(PDHKI!E1317,THHKI!$A$8:$A$62,0),INDEX($K$13:$K$27,MATCH(B1293,$J$13:$J$27,0),1))&lt;1,"/",INDEX(THHKI!$A$8:$Y$62,MATCH(PDHKI!E1317,THHKI!$A$8:$A$62,0),INDEX($K$13:$K$27,MATCH(B1293,$J$13:$J$27,0),1))))</f>
        <v>Đ</v>
      </c>
      <c r="E1293" s="691"/>
      <c r="J1293" s="569" t="s">
        <v>35</v>
      </c>
      <c r="K1293" s="569">
        <v>18</v>
      </c>
    </row>
    <row r="1294" spans="1:11" ht="21" customHeight="1">
      <c r="A1294" s="689">
        <v>13</v>
      </c>
      <c r="B1294" s="1008" t="s">
        <v>121</v>
      </c>
      <c r="C1294" s="1009"/>
      <c r="D1294" s="690">
        <f>IF(E1317="","",IF(INDEX(THHKI!$A$8:$Y$62,MATCH(PDHKI!E1317,THHKI!$A$8:$A$62,0),INDEX($K$13:$K$27,MATCH(B1294,$J$13:$J$27,0),1))&lt;1,"/",INDEX(THHKI!$A$8:$Y$62,MATCH(PDHKI!E1317,THHKI!$A$8:$A$62,0),INDEX($K$13:$K$27,MATCH(B1294,$J$13:$J$27,0),1))))</f>
        <v>9.9</v>
      </c>
      <c r="E1294" s="691"/>
      <c r="J1294" s="569" t="s">
        <v>22</v>
      </c>
      <c r="K1294" s="569">
        <v>19</v>
      </c>
    </row>
    <row r="1295" spans="1:11" ht="21" customHeight="1" thickBot="1">
      <c r="A1295" s="692">
        <v>14</v>
      </c>
      <c r="B1295" s="1010" t="s">
        <v>122</v>
      </c>
      <c r="C1295" s="1011"/>
      <c r="D1295" s="693" t="str">
        <f>IF(E1317="","",IF(INDEX(THHKI!$A$8:$Y$62,MATCH(PDHKI!E1317,THHKI!$A$8:$A$62,0),INDEX($K$13:$K$27,MATCH(B1295,$J$13:$J$27,0),1))&lt;1,"/",INDEX(THHKI!$A$8:$Y$62,MATCH(PDHKI!E1317,THHKI!$A$8:$A$62,0),INDEX($K$13:$K$27,MATCH(B1295,$J$13:$J$27,0),1))))</f>
        <v/>
      </c>
      <c r="E1295" s="694"/>
      <c r="J1295" s="569" t="s">
        <v>121</v>
      </c>
      <c r="K1295" s="569">
        <v>20</v>
      </c>
    </row>
    <row r="1296" spans="1:11" ht="21" customHeight="1" thickBot="1">
      <c r="A1296" s="695">
        <v>15</v>
      </c>
      <c r="B1296" s="1006" t="s">
        <v>149</v>
      </c>
      <c r="C1296" s="1007"/>
      <c r="D1296" s="696">
        <f>IF(E1317="","",IF(INDEX(THHKI!$A$8:$Y$62,MATCH(PDHKI!E1317,THHKI!$A$8:$A$62,0),22)&lt;1,"/",INDEX(THHKI!$A$8:$Y$62,MATCH(PDHKI!E1317,THHKI!$A$8:$A$62,0),22)))</f>
        <v>9.1999999999999993</v>
      </c>
      <c r="E1296" s="697"/>
      <c r="J1296" s="569" t="s">
        <v>122</v>
      </c>
      <c r="K1296" s="569">
        <v>21</v>
      </c>
    </row>
    <row r="1297" spans="1:8" ht="15.75" customHeight="1" thickBot="1"/>
    <row r="1298" spans="1:8" s="570" customFormat="1" ht="21" customHeight="1">
      <c r="A1298" s="698"/>
      <c r="B1298" s="1019" t="s">
        <v>150</v>
      </c>
      <c r="C1298" s="1020"/>
      <c r="D1298" s="699" t="s">
        <v>10</v>
      </c>
      <c r="E1298" s="700" t="s">
        <v>126</v>
      </c>
    </row>
    <row r="1299" spans="1:8" ht="21" customHeight="1">
      <c r="A1299" s="701">
        <v>16</v>
      </c>
      <c r="B1299" s="1021" t="s">
        <v>151</v>
      </c>
      <c r="C1299" s="1022"/>
      <c r="D1299" s="702" t="str">
        <f>IF(E1317="","",IF(INDEX(THHKI!$A$8:$Y$62,MATCH(PDHKI!E1317,THHKI!$A$8:$A$62,0),23)="","/",INDEX(THHKI!$A$8:$Y$62,MATCH(PDHKI!E1317,THHKI!$A$8:$A$62,0),23)))</f>
        <v>Giỏi</v>
      </c>
      <c r="E1299" s="703"/>
    </row>
    <row r="1300" spans="1:8" ht="21" customHeight="1">
      <c r="A1300" s="701">
        <v>17</v>
      </c>
      <c r="B1300" s="1021" t="s">
        <v>152</v>
      </c>
      <c r="C1300" s="1022"/>
      <c r="D1300" s="702" t="str">
        <f>IF(E1317="","",IF(INDEX(THHKI!$A$8:$Y$62,MATCH(PDHKI!E1317,THHKI!$A$8:$A$62,0),24)="","/",INDEX(THHKI!$A$8:$Y$62,MATCH(PDHKI!E1317,THHKI!$A$8:$A$62,0),24)))</f>
        <v>Tốt</v>
      </c>
      <c r="E1300" s="703"/>
    </row>
    <row r="1301" spans="1:8" ht="21" customHeight="1" thickBot="1">
      <c r="A1301" s="704">
        <v>18</v>
      </c>
      <c r="B1301" s="1023" t="s">
        <v>153</v>
      </c>
      <c r="C1301" s="1024"/>
      <c r="D1301" s="705" t="str">
        <f>IF(E1317="","",IF(INDEX(THHKI!$A$8:$Y$62,MATCH(PDHKI!E1317,THHKI!$A$8:$A$62,0),25)="","/",INDEX(THHKI!$A$8:$Y$62,MATCH(PDHKI!E1317,THHKI!$A$8:$A$62,0),25)))</f>
        <v>HSG</v>
      </c>
      <c r="E1301" s="706"/>
    </row>
    <row r="1302" spans="1:8" ht="9.75" customHeight="1"/>
    <row r="1303" spans="1:8" ht="15.75" customHeight="1">
      <c r="A1303" s="58" t="s">
        <v>219</v>
      </c>
    </row>
    <row r="1304" spans="1:8" ht="18" customHeight="1">
      <c r="A1304" s="59" t="str">
        <f>IF(E1317="","",IF(INDEX(DiemHKI!$DE$4:$DH$58,MATCH(PDHKI!E1317,DiemHKI!$B$4:$B$58,0),1)="","","- "&amp;INDEX(DiemHKI!$DE$4:$DH$58,MATCH(PDHKI!E1317,DiemHKI!$B$4:$B$58,0),1)))</f>
        <v/>
      </c>
      <c r="H1304" s="571"/>
    </row>
    <row r="1305" spans="1:8" ht="18" customHeight="1">
      <c r="A1305" s="59" t="str">
        <f>IF(E1317="","",IF(INDEX(DiemHKI!$DE$4:$DH$58,MATCH(PDHKI!E1317,DiemHKI!$B$4:$B$58,0),2)="","","- "&amp;INDEX(DiemHKI!$DE$4:$DH$58,MATCH(PDHKI!E1317,DiemHKI!$B$4:$B$58,0),2)))</f>
        <v/>
      </c>
    </row>
    <row r="1306" spans="1:8" ht="18" customHeight="1">
      <c r="A1306" s="59" t="str">
        <f>IF(E1317="","",IF(INDEX(DiemHKI!$DE$4:$DH$58,MATCH(PDHKI!E1317,DiemHKI!$B$4:$B$58,0),3)="","","- "&amp;INDEX(DiemHKI!$DE$4:$DH$58,MATCH(PDHKI!E1317,DiemHKI!$B$4:$B$58,0),3)))</f>
        <v/>
      </c>
    </row>
    <row r="1307" spans="1:8" ht="18" customHeight="1">
      <c r="A1307" s="59" t="str">
        <f>IF(E1317="","",IF(INDEX(DiemHKI!$DE$4:$DH$58,MATCH(PDHKI!E1317,DiemHKI!$B$4:$B$58,0),4)="","","- "&amp;INDEX(DiemHKI!$DE$4:$DH$58,MATCH(PDHKI!E1317,DiemHKI!$B$4:$B$58,0),4)))</f>
        <v/>
      </c>
    </row>
    <row r="1308" spans="1:8" ht="6.75" customHeight="1"/>
    <row r="1309" spans="1:8" ht="16.5" customHeight="1">
      <c r="A1309" s="61"/>
      <c r="C1309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309" s="1026"/>
      <c r="E1309" s="1026"/>
    </row>
    <row r="1310" spans="1:8" ht="21.75" customHeight="1">
      <c r="A1310" s="923" t="str">
        <f>IF($D$41="Hiệu trưởng","Giáo viên Quản nhiệm","")</f>
        <v>Giáo viên Quản nhiệm</v>
      </c>
      <c r="B1310" s="923"/>
      <c r="C1310" s="923"/>
      <c r="D1310" s="707" t="str">
        <f>IF($G$5="","",$G$5)</f>
        <v>Hiệu trưởng</v>
      </c>
      <c r="E1310" s="708"/>
    </row>
    <row r="1311" spans="1:8" ht="15" customHeight="1">
      <c r="A1311" s="61"/>
      <c r="B1311" s="61"/>
      <c r="C1311" s="61"/>
      <c r="D1311" s="66"/>
      <c r="E1311" s="66"/>
    </row>
    <row r="1312" spans="1:8" ht="15" customHeight="1">
      <c r="A1312" s="61"/>
      <c r="B1312" s="61"/>
      <c r="C1312" s="61"/>
      <c r="D1312" s="66"/>
      <c r="E1312" s="66"/>
    </row>
    <row r="1313" spans="1:5" ht="15" customHeight="1">
      <c r="A1313" s="61"/>
      <c r="B1313" s="61"/>
      <c r="C1313" s="61"/>
    </row>
    <row r="1314" spans="1:5" ht="15" customHeight="1">
      <c r="A1314" s="61"/>
      <c r="B1314" s="61"/>
      <c r="C1314" s="61"/>
    </row>
    <row r="1315" spans="1:5" ht="16.5" customHeight="1">
      <c r="A1315" s="1012" t="str">
        <f>IF($A$41="","",PROPER('Huong dan'!$C$4))</f>
        <v/>
      </c>
      <c r="B1315" s="1012"/>
      <c r="C1315" s="1012"/>
      <c r="D1315" s="833" t="str">
        <f>IFERROR(IF($D$41="Giáo Viên Quản nhiệm",PROPER('Huong dan'!$C$4),IF($D$41="Hiệu trưởng",PROPER('Huong dan'!$E$5),"")),"")</f>
        <v/>
      </c>
      <c r="E1315" s="708"/>
    </row>
    <row r="1316" spans="1:5" ht="12.75" customHeight="1"/>
    <row r="1317" spans="1:5" ht="12.75" customHeight="1">
      <c r="A1317" s="709"/>
      <c r="B1317" s="709"/>
      <c r="C1317" s="709"/>
      <c r="D1317" s="710"/>
      <c r="E1317" s="711">
        <f>IF(E1270="","",IF(E1270&lt;MAX(DiemHKI!$B$4:$B$58),E1270+1,""))</f>
        <v>28</v>
      </c>
    </row>
    <row r="1318" spans="1:5" ht="8.25" customHeight="1">
      <c r="A1318" s="709"/>
      <c r="B1318" s="709"/>
      <c r="C1318" s="709"/>
      <c r="D1318" s="709"/>
      <c r="E1318" s="709"/>
    </row>
    <row r="1319" spans="1:5" ht="5.25" customHeight="1"/>
    <row r="1320" spans="1:5" s="563" customFormat="1" ht="23.25" customHeight="1">
      <c r="A1320" s="931" t="str">
        <f>IF('Huong dan'!$E$3&lt;&gt;"","SỞ GIÁO DỤC VÀ ĐÀO TẠO "&amp;UPPER('Huong dan'!$E$3),"")</f>
        <v>SỞ GIÁO DỤC VÀ ĐÀO TẠO TP. HỒ CHÍ MINH</v>
      </c>
      <c r="B1320" s="931"/>
      <c r="C1320" s="931"/>
      <c r="D1320" s="923" t="s">
        <v>19</v>
      </c>
      <c r="E1320" s="923"/>
    </row>
    <row r="1321" spans="1:5" ht="17.25" customHeight="1">
      <c r="A1321" s="931" t="str">
        <f>IF('Huong dan'!$E$4&lt;&gt;"","TRƯỜNG "&amp;UPPER('Huong dan'!$E$4),"")</f>
        <v>TRƯỜNG THCS VÀ THPT NGUYỄN KHUYẾN</v>
      </c>
      <c r="B1321" s="931"/>
      <c r="C1321" s="931"/>
      <c r="D1321" s="1012" t="s">
        <v>179</v>
      </c>
      <c r="E1321" s="1012"/>
    </row>
    <row r="1322" spans="1:5" ht="24" customHeight="1">
      <c r="A1322" s="61"/>
      <c r="B1322" s="61"/>
      <c r="C1322" s="61"/>
    </row>
    <row r="1323" spans="1:5" ht="29.25" customHeight="1">
      <c r="A1323" s="1013" t="str">
        <f>"PHIẾU ĐIỂM HỌC KỲ I - NĂM HỌC "&amp;'Huong dan'!$C$5</f>
        <v>PHIẾU ĐIỂM HỌC KỲ I - NĂM HỌC 2021 - 2022</v>
      </c>
      <c r="B1323" s="1013"/>
      <c r="C1323" s="1013"/>
      <c r="D1323" s="1013"/>
      <c r="E1323" s="1013"/>
    </row>
    <row r="1324" spans="1:5" ht="15.75" customHeight="1">
      <c r="A1324" s="680"/>
      <c r="B1324" s="680"/>
    </row>
    <row r="1325" spans="1:5" ht="21" customHeight="1">
      <c r="A1325" s="1014" t="s">
        <v>145</v>
      </c>
      <c r="B1325" s="1014"/>
      <c r="C1325" s="1015" t="str">
        <f>IF(E1364="","",INDEX(DiemHKI!$D$4:$D$58,MATCH(E1364,DiemHKI!$B$4:$B$58,0),1)&amp;" "&amp;INDEX(DiemHKI!$E$4:$E$58,MATCH(E1364,DiemHKI!$B$4:$B$58,0),1))</f>
        <v>Trần Thị Như Quỳnh</v>
      </c>
      <c r="D1325" s="1015"/>
      <c r="E1325" s="62" t="str">
        <f>IF('Huong dan'!$C$3="","","Lớp: "&amp;'Huong dan'!$C$3)</f>
        <v>Lớp: 12A1</v>
      </c>
    </row>
    <row r="1326" spans="1:5" ht="23.25" customHeight="1">
      <c r="A1326" s="1014" t="s">
        <v>146</v>
      </c>
      <c r="B1326" s="1014"/>
      <c r="C1326" s="681" t="str">
        <f>IF(E1364="","",INDEX(DiemHKI!$F$4:$F$58,MATCH(PDHKI!E1364,DiemHKI!$B$4:$B$58,0),1))</f>
        <v>28/01/2004</v>
      </c>
      <c r="D1326" s="1016" t="str">
        <f>IF(E1364="","","Nơi sinh: "&amp;INDEX(DiemHKI!$G$4:$G$58,MATCH(PDHKI!E1364,DiemHKI!$B$4:$B$58,0),1))</f>
        <v>Nơi sinh: Bình Thuận</v>
      </c>
      <c r="E1326" s="1016"/>
    </row>
    <row r="1327" spans="1:5" ht="13.5" customHeight="1" thickBot="1">
      <c r="A1327" s="681"/>
      <c r="B1327" s="682"/>
      <c r="D1327" s="681"/>
      <c r="E1327" s="681"/>
    </row>
    <row r="1328" spans="1:5" ht="24" customHeight="1" thickBot="1">
      <c r="A1328" s="683" t="s">
        <v>0</v>
      </c>
      <c r="B1328" s="1006" t="s">
        <v>72</v>
      </c>
      <c r="C1328" s="1007"/>
      <c r="D1328" s="684" t="s">
        <v>147</v>
      </c>
      <c r="E1328" s="685" t="s">
        <v>148</v>
      </c>
    </row>
    <row r="1329" spans="1:11" ht="21" customHeight="1">
      <c r="A1329" s="686">
        <v>1</v>
      </c>
      <c r="B1329" s="1017" t="s">
        <v>26</v>
      </c>
      <c r="C1329" s="1018"/>
      <c r="D1329" s="687">
        <f>IF(E1364="","",IF(INDEX(THHKI!$A$8:$Y$62,MATCH(PDHKI!E1364,THHKI!$A$8:$A$62,0),INDEX($K$13:$K$27,MATCH(B1329,$J$13:$J$27,0),1))&lt;1,"/",INDEX(THHKI!$A$8:$Y$62,MATCH(PDHKI!E1364,THHKI!$A$8:$A$62,0),INDEX($K$13:$K$27,MATCH(B1329,$J$13:$J$27,0),1))))</f>
        <v>9.8000000000000007</v>
      </c>
      <c r="E1329" s="688"/>
      <c r="J1329" s="569" t="s">
        <v>26</v>
      </c>
      <c r="K1329" s="569">
        <v>7</v>
      </c>
    </row>
    <row r="1330" spans="1:11" ht="21" customHeight="1">
      <c r="A1330" s="689">
        <v>2</v>
      </c>
      <c r="B1330" s="1008" t="s">
        <v>27</v>
      </c>
      <c r="C1330" s="1009"/>
      <c r="D1330" s="690">
        <f>IF(E1364="","",IF(INDEX(THHKI!$A$8:$Y$62,MATCH(PDHKI!E1364,THHKI!$A$8:$A$62,0),INDEX($K$13:$K$27,MATCH(B1330,$J$13:$J$27,0),1))&lt;1,"/",INDEX(THHKI!$A$8:$Y$62,MATCH(PDHKI!E1364,THHKI!$A$8:$A$62,0),INDEX($K$13:$K$27,MATCH(B1330,$J$13:$J$27,0),1))))</f>
        <v>9.9</v>
      </c>
      <c r="E1330" s="691"/>
      <c r="J1330" s="569" t="s">
        <v>27</v>
      </c>
      <c r="K1330" s="569">
        <v>8</v>
      </c>
    </row>
    <row r="1331" spans="1:11" ht="21" customHeight="1">
      <c r="A1331" s="689">
        <v>3</v>
      </c>
      <c r="B1331" s="1008" t="s">
        <v>28</v>
      </c>
      <c r="C1331" s="1009"/>
      <c r="D1331" s="690">
        <f>IF(E1364="","",IF(INDEX(THHKI!$A$8:$Y$62,MATCH(PDHKI!E1364,THHKI!$A$8:$A$62,0),INDEX($K$13:$K$27,MATCH(B1331,$J$13:$J$27,0),1))&lt;1,"/",INDEX(THHKI!$A$8:$Y$62,MATCH(PDHKI!E1364,THHKI!$A$8:$A$62,0),INDEX($K$13:$K$27,MATCH(B1331,$J$13:$J$27,0),1))))</f>
        <v>9.4</v>
      </c>
      <c r="E1331" s="691"/>
      <c r="J1331" s="569" t="s">
        <v>28</v>
      </c>
      <c r="K1331" s="569">
        <v>9</v>
      </c>
    </row>
    <row r="1332" spans="1:11" ht="21" customHeight="1">
      <c r="A1332" s="689">
        <v>4</v>
      </c>
      <c r="B1332" s="1008" t="s">
        <v>29</v>
      </c>
      <c r="C1332" s="1009"/>
      <c r="D1332" s="690">
        <f>IF(E1364="","",IF(INDEX(THHKI!$A$8:$Y$62,MATCH(PDHKI!E1364,THHKI!$A$8:$A$62,0),INDEX($K$13:$K$27,MATCH(B1332,$J$13:$J$27,0),1))&lt;1,"/",INDEX(THHKI!$A$8:$Y$62,MATCH(PDHKI!E1364,THHKI!$A$8:$A$62,0),INDEX($K$13:$K$27,MATCH(B1332,$J$13:$J$27,0),1))))</f>
        <v>9.3000000000000007</v>
      </c>
      <c r="E1332" s="691"/>
      <c r="J1332" s="569" t="s">
        <v>29</v>
      </c>
      <c r="K1332" s="569">
        <v>10</v>
      </c>
    </row>
    <row r="1333" spans="1:11" ht="21" customHeight="1">
      <c r="A1333" s="689">
        <v>5</v>
      </c>
      <c r="B1333" s="1008" t="s">
        <v>120</v>
      </c>
      <c r="C1333" s="1009"/>
      <c r="D1333" s="690">
        <f>IF(E1364="","",IF(INDEX(THHKI!$A$8:$Y$62,MATCH(PDHKI!E1364,THHKI!$A$8:$A$62,0),INDEX($K$13:$K$27,MATCH(B1333,$J$13:$J$27,0),1))&lt;1,"/",INDEX(THHKI!$A$8:$Y$62,MATCH(PDHKI!E1364,THHKI!$A$8:$A$62,0),INDEX($K$13:$K$27,MATCH(B1333,$J$13:$J$27,0),1))))</f>
        <v>9.9</v>
      </c>
      <c r="E1333" s="691"/>
      <c r="J1333" s="569" t="s">
        <v>120</v>
      </c>
      <c r="K1333" s="569">
        <v>11</v>
      </c>
    </row>
    <row r="1334" spans="1:11" ht="21" customHeight="1">
      <c r="A1334" s="689">
        <v>6</v>
      </c>
      <c r="B1334" s="1008" t="s">
        <v>30</v>
      </c>
      <c r="C1334" s="1009"/>
      <c r="D1334" s="690">
        <f>IF(E1364="","",IF(INDEX(THHKI!$A$8:$Y$62,MATCH(PDHKI!E1364,THHKI!$A$8:$A$62,0),INDEX($K$13:$K$27,MATCH(B1334,$J$13:$J$27,0),1))&lt;1,"/",INDEX(THHKI!$A$8:$Y$62,MATCH(PDHKI!E1364,THHKI!$A$8:$A$62,0),INDEX($K$13:$K$27,MATCH(B1334,$J$13:$J$27,0),1))))</f>
        <v>7.8</v>
      </c>
      <c r="E1334" s="691"/>
      <c r="J1334" s="569" t="s">
        <v>30</v>
      </c>
      <c r="K1334" s="569">
        <v>12</v>
      </c>
    </row>
    <row r="1335" spans="1:11" ht="21" customHeight="1">
      <c r="A1335" s="689">
        <v>7</v>
      </c>
      <c r="B1335" s="1008" t="s">
        <v>31</v>
      </c>
      <c r="C1335" s="1009"/>
      <c r="D1335" s="690">
        <f>IF(E1364="","",IF(INDEX(THHKI!$A$8:$Y$62,MATCH(PDHKI!E1364,THHKI!$A$8:$A$62,0),INDEX($K$13:$K$27,MATCH(B1335,$J$13:$J$27,0),1))&lt;1,"/",INDEX(THHKI!$A$8:$Y$62,MATCH(PDHKI!E1364,THHKI!$A$8:$A$62,0),INDEX($K$13:$K$27,MATCH(B1335,$J$13:$J$27,0),1))))</f>
        <v>9.6</v>
      </c>
      <c r="E1335" s="691"/>
      <c r="J1335" s="569" t="s">
        <v>31</v>
      </c>
      <c r="K1335" s="569">
        <v>13</v>
      </c>
    </row>
    <row r="1336" spans="1:11" ht="21" customHeight="1">
      <c r="A1336" s="689">
        <v>8</v>
      </c>
      <c r="B1336" s="1008" t="s">
        <v>32</v>
      </c>
      <c r="C1336" s="1009"/>
      <c r="D1336" s="690">
        <f>IF(E1364="","",IF(INDEX(THHKI!$A$8:$Y$62,MATCH(PDHKI!E1364,THHKI!$A$8:$A$62,0),INDEX($K$13:$K$27,MATCH(B1336,$J$13:$J$27,0),1))&lt;1,"/",INDEX(THHKI!$A$8:$Y$62,MATCH(PDHKI!E1364,THHKI!$A$8:$A$62,0),INDEX($K$13:$K$27,MATCH(B1336,$J$13:$J$27,0),1))))</f>
        <v>9.6</v>
      </c>
      <c r="E1336" s="691"/>
      <c r="J1336" s="569" t="s">
        <v>32</v>
      </c>
      <c r="K1336" s="569">
        <v>14</v>
      </c>
    </row>
    <row r="1337" spans="1:11" ht="21" customHeight="1">
      <c r="A1337" s="689">
        <v>9</v>
      </c>
      <c r="B1337" s="1008" t="s">
        <v>33</v>
      </c>
      <c r="C1337" s="1009"/>
      <c r="D1337" s="690">
        <f>IF(E1364="","",IF(INDEX(THHKI!$A$8:$Y$62,MATCH(PDHKI!E1364,THHKI!$A$8:$A$62,0),INDEX($K$13:$K$27,MATCH(B1337,$J$13:$J$27,0),1))&lt;1,"/",INDEX(THHKI!$A$8:$Y$62,MATCH(PDHKI!E1364,THHKI!$A$8:$A$62,0),INDEX($K$13:$K$27,MATCH(B1337,$J$13:$J$27,0),1))))</f>
        <v>8.6999999999999993</v>
      </c>
      <c r="E1337" s="691"/>
      <c r="J1337" s="569" t="s">
        <v>33</v>
      </c>
      <c r="K1337" s="569">
        <v>15</v>
      </c>
    </row>
    <row r="1338" spans="1:11" ht="21" customHeight="1">
      <c r="A1338" s="689">
        <v>10</v>
      </c>
      <c r="B1338" s="1008" t="s">
        <v>60</v>
      </c>
      <c r="C1338" s="1009"/>
      <c r="D1338" s="690">
        <f>IF(E1364="","",IF(INDEX(THHKI!$A$8:$Y$62,MATCH(PDHKI!E1364,THHKI!$A$8:$A$62,0),INDEX($K$13:$K$27,MATCH(B1338,$J$13:$J$27,0),1))&lt;1,"/",INDEX(THHKI!$A$8:$Y$62,MATCH(PDHKI!E1364,THHKI!$A$8:$A$62,0),INDEX($K$13:$K$27,MATCH(B1338,$J$13:$J$27,0),1))))</f>
        <v>9.5</v>
      </c>
      <c r="E1338" s="691"/>
      <c r="J1338" s="569" t="s">
        <v>60</v>
      </c>
      <c r="K1338" s="569">
        <v>16</v>
      </c>
    </row>
    <row r="1339" spans="1:11" ht="21" customHeight="1">
      <c r="A1339" s="689">
        <v>11</v>
      </c>
      <c r="B1339" s="1008" t="s">
        <v>34</v>
      </c>
      <c r="C1339" s="1009"/>
      <c r="D1339" s="690">
        <f>IF(E1364="","",IF(INDEX(THHKI!$A$8:$Y$62,MATCH(PDHKI!E1364,THHKI!$A$8:$A$62,0),INDEX($K$13:$K$27,MATCH(B1339,$J$13:$J$27,0),1))&lt;1,"/",INDEX(THHKI!$A$8:$Y$62,MATCH(PDHKI!E1364,THHKI!$A$8:$A$62,0),INDEX($K$13:$K$27,MATCH(B1339,$J$13:$J$27,0),1))))</f>
        <v>9.8000000000000007</v>
      </c>
      <c r="E1339" s="691"/>
      <c r="J1339" s="569" t="s">
        <v>34</v>
      </c>
      <c r="K1339" s="569">
        <v>17</v>
      </c>
    </row>
    <row r="1340" spans="1:11" ht="21" customHeight="1">
      <c r="A1340" s="689">
        <v>12</v>
      </c>
      <c r="B1340" s="1008" t="s">
        <v>35</v>
      </c>
      <c r="C1340" s="1009"/>
      <c r="D1340" s="690" t="str">
        <f>IF(E1364="","",IF(INDEX(THHKI!$A$8:$Y$62,MATCH(PDHKI!E1364,THHKI!$A$8:$A$62,0),INDEX($K$13:$K$27,MATCH(B1340,$J$13:$J$27,0),1))&lt;1,"/",INDEX(THHKI!$A$8:$Y$62,MATCH(PDHKI!E1364,THHKI!$A$8:$A$62,0),INDEX($K$13:$K$27,MATCH(B1340,$J$13:$J$27,0),1))))</f>
        <v>Đ</v>
      </c>
      <c r="E1340" s="691"/>
      <c r="J1340" s="569" t="s">
        <v>35</v>
      </c>
      <c r="K1340" s="569">
        <v>18</v>
      </c>
    </row>
    <row r="1341" spans="1:11" ht="21" customHeight="1">
      <c r="A1341" s="689">
        <v>13</v>
      </c>
      <c r="B1341" s="1008" t="s">
        <v>121</v>
      </c>
      <c r="C1341" s="1009"/>
      <c r="D1341" s="690">
        <f>IF(E1364="","",IF(INDEX(THHKI!$A$8:$Y$62,MATCH(PDHKI!E1364,THHKI!$A$8:$A$62,0),INDEX($K$13:$K$27,MATCH(B1341,$J$13:$J$27,0),1))&lt;1,"/",INDEX(THHKI!$A$8:$Y$62,MATCH(PDHKI!E1364,THHKI!$A$8:$A$62,0),INDEX($K$13:$K$27,MATCH(B1341,$J$13:$J$27,0),1))))</f>
        <v>9.9</v>
      </c>
      <c r="E1341" s="691"/>
      <c r="J1341" s="569" t="s">
        <v>22</v>
      </c>
      <c r="K1341" s="569">
        <v>19</v>
      </c>
    </row>
    <row r="1342" spans="1:11" ht="21" customHeight="1" thickBot="1">
      <c r="A1342" s="692">
        <v>14</v>
      </c>
      <c r="B1342" s="1010" t="s">
        <v>122</v>
      </c>
      <c r="C1342" s="1011"/>
      <c r="D1342" s="693" t="str">
        <f>IF(E1364="","",IF(INDEX(THHKI!$A$8:$Y$62,MATCH(PDHKI!E1364,THHKI!$A$8:$A$62,0),INDEX($K$13:$K$27,MATCH(B1342,$J$13:$J$27,0),1))&lt;1,"/",INDEX(THHKI!$A$8:$Y$62,MATCH(PDHKI!E1364,THHKI!$A$8:$A$62,0),INDEX($K$13:$K$27,MATCH(B1342,$J$13:$J$27,0),1))))</f>
        <v/>
      </c>
      <c r="E1342" s="694"/>
      <c r="J1342" s="569" t="s">
        <v>121</v>
      </c>
      <c r="K1342" s="569">
        <v>20</v>
      </c>
    </row>
    <row r="1343" spans="1:11" ht="21" customHeight="1" thickBot="1">
      <c r="A1343" s="695">
        <v>15</v>
      </c>
      <c r="B1343" s="1006" t="s">
        <v>149</v>
      </c>
      <c r="C1343" s="1007"/>
      <c r="D1343" s="696">
        <f>IF(E1364="","",IF(INDEX(THHKI!$A$8:$Y$62,MATCH(PDHKI!E1364,THHKI!$A$8:$A$62,0),22)&lt;1,"/",INDEX(THHKI!$A$8:$Y$62,MATCH(PDHKI!E1364,THHKI!$A$8:$A$62,0),22)))</f>
        <v>9.4</v>
      </c>
      <c r="E1343" s="697"/>
      <c r="J1343" s="569" t="s">
        <v>122</v>
      </c>
      <c r="K1343" s="569">
        <v>21</v>
      </c>
    </row>
    <row r="1344" spans="1:11" ht="15.75" customHeight="1" thickBot="1"/>
    <row r="1345" spans="1:8" s="570" customFormat="1" ht="21" customHeight="1">
      <c r="A1345" s="698"/>
      <c r="B1345" s="1019" t="s">
        <v>150</v>
      </c>
      <c r="C1345" s="1020"/>
      <c r="D1345" s="699" t="s">
        <v>10</v>
      </c>
      <c r="E1345" s="700" t="s">
        <v>126</v>
      </c>
    </row>
    <row r="1346" spans="1:8" ht="21" customHeight="1">
      <c r="A1346" s="701">
        <v>16</v>
      </c>
      <c r="B1346" s="1021" t="s">
        <v>151</v>
      </c>
      <c r="C1346" s="1022"/>
      <c r="D1346" s="702" t="str">
        <f>IF(E1364="","",IF(INDEX(THHKI!$A$8:$Y$62,MATCH(PDHKI!E1364,THHKI!$A$8:$A$62,0),23)="","/",INDEX(THHKI!$A$8:$Y$62,MATCH(PDHKI!E1364,THHKI!$A$8:$A$62,0),23)))</f>
        <v>Giỏi</v>
      </c>
      <c r="E1346" s="703"/>
    </row>
    <row r="1347" spans="1:8" ht="21" customHeight="1">
      <c r="A1347" s="701">
        <v>17</v>
      </c>
      <c r="B1347" s="1021" t="s">
        <v>152</v>
      </c>
      <c r="C1347" s="1022"/>
      <c r="D1347" s="702" t="str">
        <f>IF(E1364="","",IF(INDEX(THHKI!$A$8:$Y$62,MATCH(PDHKI!E1364,THHKI!$A$8:$A$62,0),24)="","/",INDEX(THHKI!$A$8:$Y$62,MATCH(PDHKI!E1364,THHKI!$A$8:$A$62,0),24)))</f>
        <v>Tốt</v>
      </c>
      <c r="E1347" s="703"/>
    </row>
    <row r="1348" spans="1:8" ht="21" customHeight="1" thickBot="1">
      <c r="A1348" s="704">
        <v>18</v>
      </c>
      <c r="B1348" s="1023" t="s">
        <v>153</v>
      </c>
      <c r="C1348" s="1024"/>
      <c r="D1348" s="705" t="str">
        <f>IF(E1364="","",IF(INDEX(THHKI!$A$8:$Y$62,MATCH(PDHKI!E1364,THHKI!$A$8:$A$62,0),25)="","/",INDEX(THHKI!$A$8:$Y$62,MATCH(PDHKI!E1364,THHKI!$A$8:$A$62,0),25)))</f>
        <v>HSG</v>
      </c>
      <c r="E1348" s="706"/>
    </row>
    <row r="1349" spans="1:8" ht="9.75" customHeight="1"/>
    <row r="1350" spans="1:8" ht="15.75" customHeight="1">
      <c r="A1350" s="58" t="s">
        <v>219</v>
      </c>
    </row>
    <row r="1351" spans="1:8" ht="18" customHeight="1">
      <c r="A1351" s="59" t="str">
        <f>IF(E1364="","",IF(INDEX(DiemHKI!$DE$4:$DH$58,MATCH(PDHKI!E1364,DiemHKI!$B$4:$B$58,0),1)="","","- "&amp;INDEX(DiemHKI!$DE$4:$DH$58,MATCH(PDHKI!E1364,DiemHKI!$B$4:$B$58,0),1)))</f>
        <v/>
      </c>
      <c r="H1351" s="571"/>
    </row>
    <row r="1352" spans="1:8" ht="18" customHeight="1">
      <c r="A1352" s="59" t="str">
        <f>IF(E1364="","",IF(INDEX(DiemHKI!$DE$4:$DH$58,MATCH(PDHKI!E1364,DiemHKI!$B$4:$B$58,0),2)="","","- "&amp;INDEX(DiemHKI!$DE$4:$DH$58,MATCH(PDHKI!E1364,DiemHKI!$B$4:$B$58,0),2)))</f>
        <v/>
      </c>
    </row>
    <row r="1353" spans="1:8" ht="18" customHeight="1">
      <c r="A1353" s="59" t="str">
        <f>IF(E1364="","",IF(INDEX(DiemHKI!$DE$4:$DH$58,MATCH(PDHKI!E1364,DiemHKI!$B$4:$B$58,0),3)="","","- "&amp;INDEX(DiemHKI!$DE$4:$DH$58,MATCH(PDHKI!E1364,DiemHKI!$B$4:$B$58,0),3)))</f>
        <v/>
      </c>
    </row>
    <row r="1354" spans="1:8" ht="18" customHeight="1">
      <c r="A1354" s="59" t="str">
        <f>IF(E1364="","",IF(INDEX(DiemHKI!$DE$4:$DH$58,MATCH(PDHKI!E1364,DiemHKI!$B$4:$B$58,0),4)="","","- "&amp;INDEX(DiemHKI!$DE$4:$DH$58,MATCH(PDHKI!E1364,DiemHKI!$B$4:$B$58,0),4)))</f>
        <v/>
      </c>
    </row>
    <row r="1355" spans="1:8" ht="6.75" customHeight="1"/>
    <row r="1356" spans="1:8" ht="16.5" customHeight="1">
      <c r="A1356" s="61"/>
      <c r="C1356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356" s="1026"/>
      <c r="E1356" s="1026"/>
    </row>
    <row r="1357" spans="1:8" ht="21.75" customHeight="1">
      <c r="A1357" s="923" t="str">
        <f>IF($D$41="Hiệu trưởng","Giáo viên Quản nhiệm","")</f>
        <v>Giáo viên Quản nhiệm</v>
      </c>
      <c r="B1357" s="923"/>
      <c r="C1357" s="923"/>
      <c r="D1357" s="707" t="str">
        <f>IF($G$5="","",$G$5)</f>
        <v>Hiệu trưởng</v>
      </c>
      <c r="E1357" s="708"/>
    </row>
    <row r="1358" spans="1:8" ht="15" customHeight="1">
      <c r="A1358" s="61"/>
      <c r="B1358" s="61"/>
      <c r="C1358" s="61"/>
      <c r="D1358" s="66"/>
      <c r="E1358" s="66"/>
    </row>
    <row r="1359" spans="1:8" ht="15" customHeight="1">
      <c r="A1359" s="61"/>
      <c r="B1359" s="61"/>
      <c r="C1359" s="61"/>
      <c r="D1359" s="66"/>
      <c r="E1359" s="66"/>
    </row>
    <row r="1360" spans="1:8" ht="15" customHeight="1">
      <c r="A1360" s="61"/>
      <c r="B1360" s="61"/>
      <c r="C1360" s="61"/>
    </row>
    <row r="1361" spans="1:11" ht="15" customHeight="1">
      <c r="A1361" s="61"/>
      <c r="B1361" s="61"/>
      <c r="C1361" s="61"/>
    </row>
    <row r="1362" spans="1:11" ht="16.5" customHeight="1">
      <c r="A1362" s="1012" t="str">
        <f>IF($A$41="","",PROPER('Huong dan'!$C$4))</f>
        <v/>
      </c>
      <c r="B1362" s="1012"/>
      <c r="C1362" s="1012"/>
      <c r="D1362" s="833" t="str">
        <f>IFERROR(IF($D$41="Giáo Viên Quản nhiệm",PROPER('Huong dan'!$C$4),IF($D$41="Hiệu trưởng",PROPER('Huong dan'!$E$5),"")),"")</f>
        <v/>
      </c>
      <c r="E1362" s="708"/>
    </row>
    <row r="1363" spans="1:11" ht="12.75" customHeight="1"/>
    <row r="1364" spans="1:11" ht="12.75" customHeight="1">
      <c r="A1364" s="709"/>
      <c r="B1364" s="709"/>
      <c r="C1364" s="709"/>
      <c r="D1364" s="710"/>
      <c r="E1364" s="711">
        <f>IF(E1317="","",IF(E1317&lt;MAX(DiemHKI!$B$4:$B$58),E1317+1,""))</f>
        <v>29</v>
      </c>
    </row>
    <row r="1365" spans="1:11" ht="8.25" customHeight="1">
      <c r="A1365" s="709"/>
      <c r="B1365" s="709"/>
      <c r="C1365" s="709"/>
      <c r="D1365" s="709"/>
      <c r="E1365" s="709"/>
    </row>
    <row r="1366" spans="1:11" ht="5.25" customHeight="1"/>
    <row r="1367" spans="1:11" s="563" customFormat="1" ht="23.25" customHeight="1">
      <c r="A1367" s="931" t="str">
        <f>IF('Huong dan'!$E$3&lt;&gt;"","SỞ GIÁO DỤC VÀ ĐÀO TẠO "&amp;UPPER('Huong dan'!$E$3),"")</f>
        <v>SỞ GIÁO DỤC VÀ ĐÀO TẠO TP. HỒ CHÍ MINH</v>
      </c>
      <c r="B1367" s="931"/>
      <c r="C1367" s="931"/>
      <c r="D1367" s="923" t="s">
        <v>19</v>
      </c>
      <c r="E1367" s="923"/>
    </row>
    <row r="1368" spans="1:11" ht="17.25" customHeight="1">
      <c r="A1368" s="931" t="str">
        <f>IF('Huong dan'!$E$4&lt;&gt;"","TRƯỜNG "&amp;UPPER('Huong dan'!$E$4),"")</f>
        <v>TRƯỜNG THCS VÀ THPT NGUYỄN KHUYẾN</v>
      </c>
      <c r="B1368" s="931"/>
      <c r="C1368" s="931"/>
      <c r="D1368" s="1012" t="s">
        <v>179</v>
      </c>
      <c r="E1368" s="1012"/>
    </row>
    <row r="1369" spans="1:11" ht="24" customHeight="1">
      <c r="A1369" s="61"/>
      <c r="B1369" s="61"/>
      <c r="C1369" s="61"/>
    </row>
    <row r="1370" spans="1:11" ht="29.25" customHeight="1">
      <c r="A1370" s="1013" t="str">
        <f>"PHIẾU ĐIỂM HỌC KỲ I - NĂM HỌC "&amp;'Huong dan'!$C$5</f>
        <v>PHIẾU ĐIỂM HỌC KỲ I - NĂM HỌC 2021 - 2022</v>
      </c>
      <c r="B1370" s="1013"/>
      <c r="C1370" s="1013"/>
      <c r="D1370" s="1013"/>
      <c r="E1370" s="1013"/>
    </row>
    <row r="1371" spans="1:11" ht="15.75" customHeight="1">
      <c r="A1371" s="680"/>
      <c r="B1371" s="680"/>
    </row>
    <row r="1372" spans="1:11" ht="21" customHeight="1">
      <c r="A1372" s="1014" t="s">
        <v>145</v>
      </c>
      <c r="B1372" s="1014"/>
      <c r="C1372" s="1015" t="str">
        <f>IF(E1411="","",INDEX(DiemHKI!$D$4:$D$58,MATCH(E1411,DiemHKI!$B$4:$B$58,0),1)&amp;" "&amp;INDEX(DiemHKI!$E$4:$E$58,MATCH(E1411,DiemHKI!$B$4:$B$58,0),1))</f>
        <v>Nguyễn Thái Sơn</v>
      </c>
      <c r="D1372" s="1015"/>
      <c r="E1372" s="62" t="str">
        <f>IF('Huong dan'!$C$3="","","Lớp: "&amp;'Huong dan'!$C$3)</f>
        <v>Lớp: 12A1</v>
      </c>
    </row>
    <row r="1373" spans="1:11" ht="23.25" customHeight="1">
      <c r="A1373" s="1014" t="s">
        <v>146</v>
      </c>
      <c r="B1373" s="1014"/>
      <c r="C1373" s="681" t="str">
        <f>IF(E1411="","",INDEX(DiemHKI!$F$4:$F$58,MATCH(PDHKI!E1411,DiemHKI!$B$4:$B$58,0),1))</f>
        <v>14/04/2004</v>
      </c>
      <c r="D1373" s="1016" t="str">
        <f>IF(E1411="","","Nơi sinh: "&amp;INDEX(DiemHKI!$G$4:$G$58,MATCH(PDHKI!E1411,DiemHKI!$B$4:$B$58,0),1))</f>
        <v>Nơi sinh: TP.Cần Thơ</v>
      </c>
      <c r="E1373" s="1016"/>
    </row>
    <row r="1374" spans="1:11" ht="13.5" customHeight="1" thickBot="1">
      <c r="A1374" s="681"/>
      <c r="B1374" s="682"/>
      <c r="D1374" s="681"/>
      <c r="E1374" s="681"/>
    </row>
    <row r="1375" spans="1:11" ht="24" customHeight="1" thickBot="1">
      <c r="A1375" s="683" t="s">
        <v>0</v>
      </c>
      <c r="B1375" s="1006" t="s">
        <v>72</v>
      </c>
      <c r="C1375" s="1007"/>
      <c r="D1375" s="684" t="s">
        <v>147</v>
      </c>
      <c r="E1375" s="685" t="s">
        <v>148</v>
      </c>
    </row>
    <row r="1376" spans="1:11" ht="21" customHeight="1">
      <c r="A1376" s="686">
        <v>1</v>
      </c>
      <c r="B1376" s="1017" t="s">
        <v>26</v>
      </c>
      <c r="C1376" s="1018"/>
      <c r="D1376" s="687">
        <f>IF(E1411="","",IF(INDEX(THHKI!$A$8:$Y$62,MATCH(PDHKI!E1411,THHKI!$A$8:$A$62,0),INDEX($K$13:$K$27,MATCH(B1376,$J$13:$J$27,0),1))&lt;1,"/",INDEX(THHKI!$A$8:$Y$62,MATCH(PDHKI!E1411,THHKI!$A$8:$A$62,0),INDEX($K$13:$K$27,MATCH(B1376,$J$13:$J$27,0),1))))</f>
        <v>9.8000000000000007</v>
      </c>
      <c r="E1376" s="688"/>
      <c r="J1376" s="569" t="s">
        <v>26</v>
      </c>
      <c r="K1376" s="569">
        <v>7</v>
      </c>
    </row>
    <row r="1377" spans="1:11" ht="21" customHeight="1">
      <c r="A1377" s="689">
        <v>2</v>
      </c>
      <c r="B1377" s="1008" t="s">
        <v>27</v>
      </c>
      <c r="C1377" s="1009"/>
      <c r="D1377" s="690">
        <f>IF(E1411="","",IF(INDEX(THHKI!$A$8:$Y$62,MATCH(PDHKI!E1411,THHKI!$A$8:$A$62,0),INDEX($K$13:$K$27,MATCH(B1377,$J$13:$J$27,0),1))&lt;1,"/",INDEX(THHKI!$A$8:$Y$62,MATCH(PDHKI!E1411,THHKI!$A$8:$A$62,0),INDEX($K$13:$K$27,MATCH(B1377,$J$13:$J$27,0),1))))</f>
        <v>9.6</v>
      </c>
      <c r="E1377" s="691"/>
      <c r="J1377" s="569" t="s">
        <v>27</v>
      </c>
      <c r="K1377" s="569">
        <v>8</v>
      </c>
    </row>
    <row r="1378" spans="1:11" ht="21" customHeight="1">
      <c r="A1378" s="689">
        <v>3</v>
      </c>
      <c r="B1378" s="1008" t="s">
        <v>28</v>
      </c>
      <c r="C1378" s="1009"/>
      <c r="D1378" s="690">
        <f>IF(E1411="","",IF(INDEX(THHKI!$A$8:$Y$62,MATCH(PDHKI!E1411,THHKI!$A$8:$A$62,0),INDEX($K$13:$K$27,MATCH(B1378,$J$13:$J$27,0),1))&lt;1,"/",INDEX(THHKI!$A$8:$Y$62,MATCH(PDHKI!E1411,THHKI!$A$8:$A$62,0),INDEX($K$13:$K$27,MATCH(B1378,$J$13:$J$27,0),1))))</f>
        <v>9</v>
      </c>
      <c r="E1378" s="691"/>
      <c r="J1378" s="569" t="s">
        <v>28</v>
      </c>
      <c r="K1378" s="569">
        <v>9</v>
      </c>
    </row>
    <row r="1379" spans="1:11" ht="21" customHeight="1">
      <c r="A1379" s="689">
        <v>4</v>
      </c>
      <c r="B1379" s="1008" t="s">
        <v>29</v>
      </c>
      <c r="C1379" s="1009"/>
      <c r="D1379" s="690">
        <f>IF(E1411="","",IF(INDEX(THHKI!$A$8:$Y$62,MATCH(PDHKI!E1411,THHKI!$A$8:$A$62,0),INDEX($K$13:$K$27,MATCH(B1379,$J$13:$J$27,0),1))&lt;1,"/",INDEX(THHKI!$A$8:$Y$62,MATCH(PDHKI!E1411,THHKI!$A$8:$A$62,0),INDEX($K$13:$K$27,MATCH(B1379,$J$13:$J$27,0),1))))</f>
        <v>8.5</v>
      </c>
      <c r="E1379" s="691"/>
      <c r="J1379" s="569" t="s">
        <v>29</v>
      </c>
      <c r="K1379" s="569">
        <v>10</v>
      </c>
    </row>
    <row r="1380" spans="1:11" ht="21" customHeight="1">
      <c r="A1380" s="689">
        <v>5</v>
      </c>
      <c r="B1380" s="1008" t="s">
        <v>120</v>
      </c>
      <c r="C1380" s="1009"/>
      <c r="D1380" s="690">
        <f>IF(E1411="","",IF(INDEX(THHKI!$A$8:$Y$62,MATCH(PDHKI!E1411,THHKI!$A$8:$A$62,0),INDEX($K$13:$K$27,MATCH(B1380,$J$13:$J$27,0),1))&lt;1,"/",INDEX(THHKI!$A$8:$Y$62,MATCH(PDHKI!E1411,THHKI!$A$8:$A$62,0),INDEX($K$13:$K$27,MATCH(B1380,$J$13:$J$27,0),1))))</f>
        <v>9.8000000000000007</v>
      </c>
      <c r="E1380" s="691"/>
      <c r="J1380" s="569" t="s">
        <v>120</v>
      </c>
      <c r="K1380" s="569">
        <v>11</v>
      </c>
    </row>
    <row r="1381" spans="1:11" ht="21" customHeight="1">
      <c r="A1381" s="689">
        <v>6</v>
      </c>
      <c r="B1381" s="1008" t="s">
        <v>30</v>
      </c>
      <c r="C1381" s="1009"/>
      <c r="D1381" s="690">
        <f>IF(E1411="","",IF(INDEX(THHKI!$A$8:$Y$62,MATCH(PDHKI!E1411,THHKI!$A$8:$A$62,0),INDEX($K$13:$K$27,MATCH(B1381,$J$13:$J$27,0),1))&lt;1,"/",INDEX(THHKI!$A$8:$Y$62,MATCH(PDHKI!E1411,THHKI!$A$8:$A$62,0),INDEX($K$13:$K$27,MATCH(B1381,$J$13:$J$27,0),1))))</f>
        <v>6.7</v>
      </c>
      <c r="E1381" s="691"/>
      <c r="J1381" s="569" t="s">
        <v>30</v>
      </c>
      <c r="K1381" s="569">
        <v>12</v>
      </c>
    </row>
    <row r="1382" spans="1:11" ht="21" customHeight="1">
      <c r="A1382" s="689">
        <v>7</v>
      </c>
      <c r="B1382" s="1008" t="s">
        <v>31</v>
      </c>
      <c r="C1382" s="1009"/>
      <c r="D1382" s="690">
        <f>IF(E1411="","",IF(INDEX(THHKI!$A$8:$Y$62,MATCH(PDHKI!E1411,THHKI!$A$8:$A$62,0),INDEX($K$13:$K$27,MATCH(B1382,$J$13:$J$27,0),1))&lt;1,"/",INDEX(THHKI!$A$8:$Y$62,MATCH(PDHKI!E1411,THHKI!$A$8:$A$62,0),INDEX($K$13:$K$27,MATCH(B1382,$J$13:$J$27,0),1))))</f>
        <v>9.4</v>
      </c>
      <c r="E1382" s="691"/>
      <c r="J1382" s="569" t="s">
        <v>31</v>
      </c>
      <c r="K1382" s="569">
        <v>13</v>
      </c>
    </row>
    <row r="1383" spans="1:11" ht="21" customHeight="1">
      <c r="A1383" s="689">
        <v>8</v>
      </c>
      <c r="B1383" s="1008" t="s">
        <v>32</v>
      </c>
      <c r="C1383" s="1009"/>
      <c r="D1383" s="690">
        <f>IF(E1411="","",IF(INDEX(THHKI!$A$8:$Y$62,MATCH(PDHKI!E1411,THHKI!$A$8:$A$62,0),INDEX($K$13:$K$27,MATCH(B1383,$J$13:$J$27,0),1))&lt;1,"/",INDEX(THHKI!$A$8:$Y$62,MATCH(PDHKI!E1411,THHKI!$A$8:$A$62,0),INDEX($K$13:$K$27,MATCH(B1383,$J$13:$J$27,0),1))))</f>
        <v>9.8000000000000007</v>
      </c>
      <c r="E1383" s="691"/>
      <c r="J1383" s="569" t="s">
        <v>32</v>
      </c>
      <c r="K1383" s="569">
        <v>14</v>
      </c>
    </row>
    <row r="1384" spans="1:11" ht="21" customHeight="1">
      <c r="A1384" s="689">
        <v>9</v>
      </c>
      <c r="B1384" s="1008" t="s">
        <v>33</v>
      </c>
      <c r="C1384" s="1009"/>
      <c r="D1384" s="690">
        <f>IF(E1411="","",IF(INDEX(THHKI!$A$8:$Y$62,MATCH(PDHKI!E1411,THHKI!$A$8:$A$62,0),INDEX($K$13:$K$27,MATCH(B1384,$J$13:$J$27,0),1))&lt;1,"/",INDEX(THHKI!$A$8:$Y$62,MATCH(PDHKI!E1411,THHKI!$A$8:$A$62,0),INDEX($K$13:$K$27,MATCH(B1384,$J$13:$J$27,0),1))))</f>
        <v>8.6</v>
      </c>
      <c r="E1384" s="691"/>
      <c r="J1384" s="569" t="s">
        <v>33</v>
      </c>
      <c r="K1384" s="569">
        <v>15</v>
      </c>
    </row>
    <row r="1385" spans="1:11" ht="21" customHeight="1">
      <c r="A1385" s="689">
        <v>10</v>
      </c>
      <c r="B1385" s="1008" t="s">
        <v>60</v>
      </c>
      <c r="C1385" s="1009"/>
      <c r="D1385" s="690">
        <f>IF(E1411="","",IF(INDEX(THHKI!$A$8:$Y$62,MATCH(PDHKI!E1411,THHKI!$A$8:$A$62,0),INDEX($K$13:$K$27,MATCH(B1385,$J$13:$J$27,0),1))&lt;1,"/",INDEX(THHKI!$A$8:$Y$62,MATCH(PDHKI!E1411,THHKI!$A$8:$A$62,0),INDEX($K$13:$K$27,MATCH(B1385,$J$13:$J$27,0),1))))</f>
        <v>9.1</v>
      </c>
      <c r="E1385" s="691"/>
      <c r="J1385" s="569" t="s">
        <v>60</v>
      </c>
      <c r="K1385" s="569">
        <v>16</v>
      </c>
    </row>
    <row r="1386" spans="1:11" ht="21" customHeight="1">
      <c r="A1386" s="689">
        <v>11</v>
      </c>
      <c r="B1386" s="1008" t="s">
        <v>34</v>
      </c>
      <c r="C1386" s="1009"/>
      <c r="D1386" s="690">
        <f>IF(E1411="","",IF(INDEX(THHKI!$A$8:$Y$62,MATCH(PDHKI!E1411,THHKI!$A$8:$A$62,0),INDEX($K$13:$K$27,MATCH(B1386,$J$13:$J$27,0),1))&lt;1,"/",INDEX(THHKI!$A$8:$Y$62,MATCH(PDHKI!E1411,THHKI!$A$8:$A$62,0),INDEX($K$13:$K$27,MATCH(B1386,$J$13:$J$27,0),1))))</f>
        <v>9.8000000000000007</v>
      </c>
      <c r="E1386" s="691"/>
      <c r="J1386" s="569" t="s">
        <v>34</v>
      </c>
      <c r="K1386" s="569">
        <v>17</v>
      </c>
    </row>
    <row r="1387" spans="1:11" ht="21" customHeight="1">
      <c r="A1387" s="689">
        <v>12</v>
      </c>
      <c r="B1387" s="1008" t="s">
        <v>35</v>
      </c>
      <c r="C1387" s="1009"/>
      <c r="D1387" s="690" t="str">
        <f>IF(E1411="","",IF(INDEX(THHKI!$A$8:$Y$62,MATCH(PDHKI!E1411,THHKI!$A$8:$A$62,0),INDEX($K$13:$K$27,MATCH(B1387,$J$13:$J$27,0),1))&lt;1,"/",INDEX(THHKI!$A$8:$Y$62,MATCH(PDHKI!E1411,THHKI!$A$8:$A$62,0),INDEX($K$13:$K$27,MATCH(B1387,$J$13:$J$27,0),1))))</f>
        <v>Đ</v>
      </c>
      <c r="E1387" s="691"/>
      <c r="J1387" s="569" t="s">
        <v>35</v>
      </c>
      <c r="K1387" s="569">
        <v>18</v>
      </c>
    </row>
    <row r="1388" spans="1:11" ht="21" customHeight="1">
      <c r="A1388" s="689">
        <v>13</v>
      </c>
      <c r="B1388" s="1008" t="s">
        <v>121</v>
      </c>
      <c r="C1388" s="1009"/>
      <c r="D1388" s="690">
        <f>IF(E1411="","",IF(INDEX(THHKI!$A$8:$Y$62,MATCH(PDHKI!E1411,THHKI!$A$8:$A$62,0),INDEX($K$13:$K$27,MATCH(B1388,$J$13:$J$27,0),1))&lt;1,"/",INDEX(THHKI!$A$8:$Y$62,MATCH(PDHKI!E1411,THHKI!$A$8:$A$62,0),INDEX($K$13:$K$27,MATCH(B1388,$J$13:$J$27,0),1))))</f>
        <v>9.9</v>
      </c>
      <c r="E1388" s="691"/>
      <c r="J1388" s="569" t="s">
        <v>22</v>
      </c>
      <c r="K1388" s="569">
        <v>19</v>
      </c>
    </row>
    <row r="1389" spans="1:11" ht="21" customHeight="1" thickBot="1">
      <c r="A1389" s="692">
        <v>14</v>
      </c>
      <c r="B1389" s="1010" t="s">
        <v>122</v>
      </c>
      <c r="C1389" s="1011"/>
      <c r="D1389" s="693" t="str">
        <f>IF(E1411="","",IF(INDEX(THHKI!$A$8:$Y$62,MATCH(PDHKI!E1411,THHKI!$A$8:$A$62,0),INDEX($K$13:$K$27,MATCH(B1389,$J$13:$J$27,0),1))&lt;1,"/",INDEX(THHKI!$A$8:$Y$62,MATCH(PDHKI!E1411,THHKI!$A$8:$A$62,0),INDEX($K$13:$K$27,MATCH(B1389,$J$13:$J$27,0),1))))</f>
        <v/>
      </c>
      <c r="E1389" s="694"/>
      <c r="J1389" s="569" t="s">
        <v>121</v>
      </c>
      <c r="K1389" s="569">
        <v>20</v>
      </c>
    </row>
    <row r="1390" spans="1:11" ht="21" customHeight="1" thickBot="1">
      <c r="A1390" s="695">
        <v>15</v>
      </c>
      <c r="B1390" s="1006" t="s">
        <v>149</v>
      </c>
      <c r="C1390" s="1007"/>
      <c r="D1390" s="696">
        <f>IF(E1411="","",IF(INDEX(THHKI!$A$8:$Y$62,MATCH(PDHKI!E1411,THHKI!$A$8:$A$62,0),22)&lt;1,"/",INDEX(THHKI!$A$8:$Y$62,MATCH(PDHKI!E1411,THHKI!$A$8:$A$62,0),22)))</f>
        <v>9.1999999999999993</v>
      </c>
      <c r="E1390" s="697"/>
      <c r="J1390" s="569" t="s">
        <v>122</v>
      </c>
      <c r="K1390" s="569">
        <v>21</v>
      </c>
    </row>
    <row r="1391" spans="1:11" ht="15.75" customHeight="1" thickBot="1"/>
    <row r="1392" spans="1:11" s="570" customFormat="1" ht="21" customHeight="1">
      <c r="A1392" s="698"/>
      <c r="B1392" s="1019" t="s">
        <v>150</v>
      </c>
      <c r="C1392" s="1020"/>
      <c r="D1392" s="699" t="s">
        <v>10</v>
      </c>
      <c r="E1392" s="700" t="s">
        <v>126</v>
      </c>
    </row>
    <row r="1393" spans="1:8" ht="21" customHeight="1">
      <c r="A1393" s="701">
        <v>16</v>
      </c>
      <c r="B1393" s="1021" t="s">
        <v>151</v>
      </c>
      <c r="C1393" s="1022"/>
      <c r="D1393" s="702" t="str">
        <f>IF(E1411="","",IF(INDEX(THHKI!$A$8:$Y$62,MATCH(PDHKI!E1411,THHKI!$A$8:$A$62,0),23)="","/",INDEX(THHKI!$A$8:$Y$62,MATCH(PDHKI!E1411,THHKI!$A$8:$A$62,0),23)))</f>
        <v>Giỏi</v>
      </c>
      <c r="E1393" s="703"/>
    </row>
    <row r="1394" spans="1:8" ht="21" customHeight="1">
      <c r="A1394" s="701">
        <v>17</v>
      </c>
      <c r="B1394" s="1021" t="s">
        <v>152</v>
      </c>
      <c r="C1394" s="1022"/>
      <c r="D1394" s="702" t="str">
        <f>IF(E1411="","",IF(INDEX(THHKI!$A$8:$Y$62,MATCH(PDHKI!E1411,THHKI!$A$8:$A$62,0),24)="","/",INDEX(THHKI!$A$8:$Y$62,MATCH(PDHKI!E1411,THHKI!$A$8:$A$62,0),24)))</f>
        <v>Tốt</v>
      </c>
      <c r="E1394" s="703"/>
    </row>
    <row r="1395" spans="1:8" ht="21" customHeight="1" thickBot="1">
      <c r="A1395" s="704">
        <v>18</v>
      </c>
      <c r="B1395" s="1023" t="s">
        <v>153</v>
      </c>
      <c r="C1395" s="1024"/>
      <c r="D1395" s="705" t="str">
        <f>IF(E1411="","",IF(INDEX(THHKI!$A$8:$Y$62,MATCH(PDHKI!E1411,THHKI!$A$8:$A$62,0),25)="","/",INDEX(THHKI!$A$8:$Y$62,MATCH(PDHKI!E1411,THHKI!$A$8:$A$62,0),25)))</f>
        <v>HSG</v>
      </c>
      <c r="E1395" s="706"/>
    </row>
    <row r="1396" spans="1:8" ht="9.75" customHeight="1"/>
    <row r="1397" spans="1:8" ht="15.75" customHeight="1">
      <c r="A1397" s="58" t="s">
        <v>219</v>
      </c>
    </row>
    <row r="1398" spans="1:8" ht="18" customHeight="1">
      <c r="A1398" s="59" t="str">
        <f>IF(E1411="","",IF(INDEX(DiemHKI!$DE$4:$DH$58,MATCH(PDHKI!E1411,DiemHKI!$B$4:$B$58,0),1)="","","- "&amp;INDEX(DiemHKI!$DE$4:$DH$58,MATCH(PDHKI!E1411,DiemHKI!$B$4:$B$58,0),1)))</f>
        <v/>
      </c>
      <c r="H1398" s="571"/>
    </row>
    <row r="1399" spans="1:8" ht="18" customHeight="1">
      <c r="A1399" s="59" t="str">
        <f>IF(E1411="","",IF(INDEX(DiemHKI!$DE$4:$DH$58,MATCH(PDHKI!E1411,DiemHKI!$B$4:$B$58,0),2)="","","- "&amp;INDEX(DiemHKI!$DE$4:$DH$58,MATCH(PDHKI!E1411,DiemHKI!$B$4:$B$58,0),2)))</f>
        <v/>
      </c>
    </row>
    <row r="1400" spans="1:8" ht="18" customHeight="1">
      <c r="A1400" s="59" t="str">
        <f>IF(E1411="","",IF(INDEX(DiemHKI!$DE$4:$DH$58,MATCH(PDHKI!E1411,DiemHKI!$B$4:$B$58,0),3)="","","- "&amp;INDEX(DiemHKI!$DE$4:$DH$58,MATCH(PDHKI!E1411,DiemHKI!$B$4:$B$58,0),3)))</f>
        <v/>
      </c>
    </row>
    <row r="1401" spans="1:8" ht="18" customHeight="1">
      <c r="A1401" s="59" t="str">
        <f>IF(E1411="","",IF(INDEX(DiemHKI!$DE$4:$DH$58,MATCH(PDHKI!E1411,DiemHKI!$B$4:$B$58,0),4)="","","- "&amp;INDEX(DiemHKI!$DE$4:$DH$58,MATCH(PDHKI!E1411,DiemHKI!$B$4:$B$58,0),4)))</f>
        <v/>
      </c>
    </row>
    <row r="1402" spans="1:8" ht="6.75" customHeight="1"/>
    <row r="1403" spans="1:8" ht="16.5" customHeight="1">
      <c r="A1403" s="61"/>
      <c r="C1403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403" s="1026"/>
      <c r="E1403" s="1026"/>
    </row>
    <row r="1404" spans="1:8" ht="21.75" customHeight="1">
      <c r="A1404" s="923" t="str">
        <f>IF($D$41="Hiệu trưởng","Giáo viên Quản nhiệm","")</f>
        <v>Giáo viên Quản nhiệm</v>
      </c>
      <c r="B1404" s="923"/>
      <c r="C1404" s="923"/>
      <c r="D1404" s="707" t="str">
        <f>IF($G$5="","",$G$5)</f>
        <v>Hiệu trưởng</v>
      </c>
      <c r="E1404" s="708"/>
    </row>
    <row r="1405" spans="1:8" ht="15" customHeight="1">
      <c r="A1405" s="61"/>
      <c r="B1405" s="61"/>
      <c r="C1405" s="61"/>
      <c r="D1405" s="66"/>
      <c r="E1405" s="66"/>
    </row>
    <row r="1406" spans="1:8" ht="15" customHeight="1">
      <c r="A1406" s="61"/>
      <c r="B1406" s="61"/>
      <c r="C1406" s="61"/>
      <c r="D1406" s="66"/>
      <c r="E1406" s="66"/>
    </row>
    <row r="1407" spans="1:8" ht="15" customHeight="1">
      <c r="A1407" s="61"/>
      <c r="B1407" s="61"/>
      <c r="C1407" s="61"/>
    </row>
    <row r="1408" spans="1:8" ht="15" customHeight="1">
      <c r="A1408" s="61"/>
      <c r="B1408" s="61"/>
      <c r="C1408" s="61"/>
    </row>
    <row r="1409" spans="1:11" ht="16.5" customHeight="1">
      <c r="A1409" s="1012" t="str">
        <f>IF($A$41="","",PROPER('Huong dan'!$C$4))</f>
        <v/>
      </c>
      <c r="B1409" s="1012"/>
      <c r="C1409" s="1012"/>
      <c r="D1409" s="833" t="str">
        <f>IFERROR(IF($D$41="Giáo Viên Quản nhiệm",PROPER('Huong dan'!$C$4),IF($D$41="Hiệu trưởng",PROPER('Huong dan'!$E$5),"")),"")</f>
        <v/>
      </c>
      <c r="E1409" s="708"/>
    </row>
    <row r="1410" spans="1:11" ht="12.75" customHeight="1"/>
    <row r="1411" spans="1:11" ht="12.75" customHeight="1">
      <c r="A1411" s="709"/>
      <c r="B1411" s="709"/>
      <c r="C1411" s="709"/>
      <c r="D1411" s="710"/>
      <c r="E1411" s="711">
        <f>IF(E1364="","",IF(E1364&lt;MAX(DiemHKI!$B$4:$B$58),E1364+1,""))</f>
        <v>30</v>
      </c>
    </row>
    <row r="1412" spans="1:11" ht="8.25" customHeight="1">
      <c r="A1412" s="709"/>
      <c r="B1412" s="709"/>
      <c r="C1412" s="709"/>
      <c r="D1412" s="709"/>
      <c r="E1412" s="709"/>
    </row>
    <row r="1413" spans="1:11" ht="5.25" customHeight="1"/>
    <row r="1414" spans="1:11" s="563" customFormat="1" ht="23.25" customHeight="1">
      <c r="A1414" s="931" t="str">
        <f>IF('Huong dan'!$E$3&lt;&gt;"","SỞ GIÁO DỤC VÀ ĐÀO TẠO "&amp;UPPER('Huong dan'!$E$3),"")</f>
        <v>SỞ GIÁO DỤC VÀ ĐÀO TẠO TP. HỒ CHÍ MINH</v>
      </c>
      <c r="B1414" s="931"/>
      <c r="C1414" s="931"/>
      <c r="D1414" s="923" t="s">
        <v>19</v>
      </c>
      <c r="E1414" s="923"/>
    </row>
    <row r="1415" spans="1:11" ht="17.25" customHeight="1">
      <c r="A1415" s="931" t="str">
        <f>IF('Huong dan'!$E$4&lt;&gt;"","TRƯỜNG "&amp;UPPER('Huong dan'!$E$4),"")</f>
        <v>TRƯỜNG THCS VÀ THPT NGUYỄN KHUYẾN</v>
      </c>
      <c r="B1415" s="931"/>
      <c r="C1415" s="931"/>
      <c r="D1415" s="1012" t="s">
        <v>179</v>
      </c>
      <c r="E1415" s="1012"/>
    </row>
    <row r="1416" spans="1:11" ht="24" customHeight="1">
      <c r="A1416" s="61"/>
      <c r="B1416" s="61"/>
      <c r="C1416" s="61"/>
    </row>
    <row r="1417" spans="1:11" ht="29.25" customHeight="1">
      <c r="A1417" s="1013" t="str">
        <f>"PHIẾU ĐIỂM HỌC KỲ I - NĂM HỌC "&amp;'Huong dan'!$C$5</f>
        <v>PHIẾU ĐIỂM HỌC KỲ I - NĂM HỌC 2021 - 2022</v>
      </c>
      <c r="B1417" s="1013"/>
      <c r="C1417" s="1013"/>
      <c r="D1417" s="1013"/>
      <c r="E1417" s="1013"/>
    </row>
    <row r="1418" spans="1:11" ht="15.75" customHeight="1">
      <c r="A1418" s="680"/>
      <c r="B1418" s="680"/>
    </row>
    <row r="1419" spans="1:11" ht="21" customHeight="1">
      <c r="A1419" s="1014" t="s">
        <v>145</v>
      </c>
      <c r="B1419" s="1014"/>
      <c r="C1419" s="1015" t="str">
        <f>IF(E1458="","",INDEX(DiemHKI!$D$4:$D$58,MATCH(E1458,DiemHKI!$B$4:$B$58,0),1)&amp;" "&amp;INDEX(DiemHKI!$E$4:$E$58,MATCH(E1458,DiemHKI!$B$4:$B$58,0),1))</f>
        <v>Đặng Hoàng Tân</v>
      </c>
      <c r="D1419" s="1015"/>
      <c r="E1419" s="62" t="str">
        <f>IF('Huong dan'!$C$3="","","Lớp: "&amp;'Huong dan'!$C$3)</f>
        <v>Lớp: 12A1</v>
      </c>
    </row>
    <row r="1420" spans="1:11" ht="23.25" customHeight="1">
      <c r="A1420" s="1014" t="s">
        <v>146</v>
      </c>
      <c r="B1420" s="1014"/>
      <c r="C1420" s="681" t="str">
        <f>IF(E1458="","",INDEX(DiemHKI!$F$4:$F$58,MATCH(PDHKI!E1458,DiemHKI!$B$4:$B$58,0),1))</f>
        <v>26/09/2004</v>
      </c>
      <c r="D1420" s="1016" t="str">
        <f>IF(E1458="","","Nơi sinh: "&amp;INDEX(DiemHKI!$G$4:$G$58,MATCH(PDHKI!E1458,DiemHKI!$B$4:$B$58,0),1))</f>
        <v>Nơi sinh: Quảng Ninh</v>
      </c>
      <c r="E1420" s="1016"/>
    </row>
    <row r="1421" spans="1:11" ht="13.5" customHeight="1" thickBot="1">
      <c r="A1421" s="681"/>
      <c r="B1421" s="682"/>
      <c r="D1421" s="681"/>
      <c r="E1421" s="681"/>
    </row>
    <row r="1422" spans="1:11" ht="24" customHeight="1" thickBot="1">
      <c r="A1422" s="683" t="s">
        <v>0</v>
      </c>
      <c r="B1422" s="1006" t="s">
        <v>72</v>
      </c>
      <c r="C1422" s="1007"/>
      <c r="D1422" s="684" t="s">
        <v>147</v>
      </c>
      <c r="E1422" s="685" t="s">
        <v>148</v>
      </c>
    </row>
    <row r="1423" spans="1:11" ht="21" customHeight="1">
      <c r="A1423" s="686">
        <v>1</v>
      </c>
      <c r="B1423" s="1017" t="s">
        <v>26</v>
      </c>
      <c r="C1423" s="1018"/>
      <c r="D1423" s="687">
        <f>IF(E1458="","",IF(INDEX(THHKI!$A$8:$Y$62,MATCH(PDHKI!E1458,THHKI!$A$8:$A$62,0),INDEX($K$13:$K$27,MATCH(B1423,$J$13:$J$27,0),1))&lt;1,"/",INDEX(THHKI!$A$8:$Y$62,MATCH(PDHKI!E1458,THHKI!$A$8:$A$62,0),INDEX($K$13:$K$27,MATCH(B1423,$J$13:$J$27,0),1))))</f>
        <v>9.4</v>
      </c>
      <c r="E1423" s="688"/>
      <c r="J1423" s="569" t="s">
        <v>26</v>
      </c>
      <c r="K1423" s="569">
        <v>7</v>
      </c>
    </row>
    <row r="1424" spans="1:11" ht="21" customHeight="1">
      <c r="A1424" s="689">
        <v>2</v>
      </c>
      <c r="B1424" s="1008" t="s">
        <v>27</v>
      </c>
      <c r="C1424" s="1009"/>
      <c r="D1424" s="690">
        <f>IF(E1458="","",IF(INDEX(THHKI!$A$8:$Y$62,MATCH(PDHKI!E1458,THHKI!$A$8:$A$62,0),INDEX($K$13:$K$27,MATCH(B1424,$J$13:$J$27,0),1))&lt;1,"/",INDEX(THHKI!$A$8:$Y$62,MATCH(PDHKI!E1458,THHKI!$A$8:$A$62,0),INDEX($K$13:$K$27,MATCH(B1424,$J$13:$J$27,0),1))))</f>
        <v>9.6999999999999993</v>
      </c>
      <c r="E1424" s="691"/>
      <c r="J1424" s="569" t="s">
        <v>27</v>
      </c>
      <c r="K1424" s="569">
        <v>8</v>
      </c>
    </row>
    <row r="1425" spans="1:11" ht="21" customHeight="1">
      <c r="A1425" s="689">
        <v>3</v>
      </c>
      <c r="B1425" s="1008" t="s">
        <v>28</v>
      </c>
      <c r="C1425" s="1009"/>
      <c r="D1425" s="690">
        <f>IF(E1458="","",IF(INDEX(THHKI!$A$8:$Y$62,MATCH(PDHKI!E1458,THHKI!$A$8:$A$62,0),INDEX($K$13:$K$27,MATCH(B1425,$J$13:$J$27,0),1))&lt;1,"/",INDEX(THHKI!$A$8:$Y$62,MATCH(PDHKI!E1458,THHKI!$A$8:$A$62,0),INDEX($K$13:$K$27,MATCH(B1425,$J$13:$J$27,0),1))))</f>
        <v>9.3000000000000007</v>
      </c>
      <c r="E1425" s="691"/>
      <c r="J1425" s="569" t="s">
        <v>28</v>
      </c>
      <c r="K1425" s="569">
        <v>9</v>
      </c>
    </row>
    <row r="1426" spans="1:11" ht="21" customHeight="1">
      <c r="A1426" s="689">
        <v>4</v>
      </c>
      <c r="B1426" s="1008" t="s">
        <v>29</v>
      </c>
      <c r="C1426" s="1009"/>
      <c r="D1426" s="690">
        <f>IF(E1458="","",IF(INDEX(THHKI!$A$8:$Y$62,MATCH(PDHKI!E1458,THHKI!$A$8:$A$62,0),INDEX($K$13:$K$27,MATCH(B1426,$J$13:$J$27,0),1))&lt;1,"/",INDEX(THHKI!$A$8:$Y$62,MATCH(PDHKI!E1458,THHKI!$A$8:$A$62,0),INDEX($K$13:$K$27,MATCH(B1426,$J$13:$J$27,0),1))))</f>
        <v>8.1</v>
      </c>
      <c r="E1426" s="691"/>
      <c r="J1426" s="569" t="s">
        <v>29</v>
      </c>
      <c r="K1426" s="569">
        <v>10</v>
      </c>
    </row>
    <row r="1427" spans="1:11" ht="21" customHeight="1">
      <c r="A1427" s="689">
        <v>5</v>
      </c>
      <c r="B1427" s="1008" t="s">
        <v>120</v>
      </c>
      <c r="C1427" s="1009"/>
      <c r="D1427" s="690">
        <f>IF(E1458="","",IF(INDEX(THHKI!$A$8:$Y$62,MATCH(PDHKI!E1458,THHKI!$A$8:$A$62,0),INDEX($K$13:$K$27,MATCH(B1427,$J$13:$J$27,0),1))&lt;1,"/",INDEX(THHKI!$A$8:$Y$62,MATCH(PDHKI!E1458,THHKI!$A$8:$A$62,0),INDEX($K$13:$K$27,MATCH(B1427,$J$13:$J$27,0),1))))</f>
        <v>9.8000000000000007</v>
      </c>
      <c r="E1427" s="691"/>
      <c r="J1427" s="569" t="s">
        <v>120</v>
      </c>
      <c r="K1427" s="569">
        <v>11</v>
      </c>
    </row>
    <row r="1428" spans="1:11" ht="21" customHeight="1">
      <c r="A1428" s="689">
        <v>6</v>
      </c>
      <c r="B1428" s="1008" t="s">
        <v>30</v>
      </c>
      <c r="C1428" s="1009"/>
      <c r="D1428" s="690">
        <f>IF(E1458="","",IF(INDEX(THHKI!$A$8:$Y$62,MATCH(PDHKI!E1458,THHKI!$A$8:$A$62,0),INDEX($K$13:$K$27,MATCH(B1428,$J$13:$J$27,0),1))&lt;1,"/",INDEX(THHKI!$A$8:$Y$62,MATCH(PDHKI!E1458,THHKI!$A$8:$A$62,0),INDEX($K$13:$K$27,MATCH(B1428,$J$13:$J$27,0),1))))</f>
        <v>7.3</v>
      </c>
      <c r="E1428" s="691"/>
      <c r="J1428" s="569" t="s">
        <v>30</v>
      </c>
      <c r="K1428" s="569">
        <v>12</v>
      </c>
    </row>
    <row r="1429" spans="1:11" ht="21" customHeight="1">
      <c r="A1429" s="689">
        <v>7</v>
      </c>
      <c r="B1429" s="1008" t="s">
        <v>31</v>
      </c>
      <c r="C1429" s="1009"/>
      <c r="D1429" s="690">
        <f>IF(E1458="","",IF(INDEX(THHKI!$A$8:$Y$62,MATCH(PDHKI!E1458,THHKI!$A$8:$A$62,0),INDEX($K$13:$K$27,MATCH(B1429,$J$13:$J$27,0),1))&lt;1,"/",INDEX(THHKI!$A$8:$Y$62,MATCH(PDHKI!E1458,THHKI!$A$8:$A$62,0),INDEX($K$13:$K$27,MATCH(B1429,$J$13:$J$27,0),1))))</f>
        <v>9.6</v>
      </c>
      <c r="E1429" s="691"/>
      <c r="J1429" s="569" t="s">
        <v>31</v>
      </c>
      <c r="K1429" s="569">
        <v>13</v>
      </c>
    </row>
    <row r="1430" spans="1:11" ht="21" customHeight="1">
      <c r="A1430" s="689">
        <v>8</v>
      </c>
      <c r="B1430" s="1008" t="s">
        <v>32</v>
      </c>
      <c r="C1430" s="1009"/>
      <c r="D1430" s="690">
        <f>IF(E1458="","",IF(INDEX(THHKI!$A$8:$Y$62,MATCH(PDHKI!E1458,THHKI!$A$8:$A$62,0),INDEX($K$13:$K$27,MATCH(B1430,$J$13:$J$27,0),1))&lt;1,"/",INDEX(THHKI!$A$8:$Y$62,MATCH(PDHKI!E1458,THHKI!$A$8:$A$62,0),INDEX($K$13:$K$27,MATCH(B1430,$J$13:$J$27,0),1))))</f>
        <v>9.8000000000000007</v>
      </c>
      <c r="E1430" s="691"/>
      <c r="J1430" s="569" t="s">
        <v>32</v>
      </c>
      <c r="K1430" s="569">
        <v>14</v>
      </c>
    </row>
    <row r="1431" spans="1:11" ht="21" customHeight="1">
      <c r="A1431" s="689">
        <v>9</v>
      </c>
      <c r="B1431" s="1008" t="s">
        <v>33</v>
      </c>
      <c r="C1431" s="1009"/>
      <c r="D1431" s="690">
        <f>IF(E1458="","",IF(INDEX(THHKI!$A$8:$Y$62,MATCH(PDHKI!E1458,THHKI!$A$8:$A$62,0),INDEX($K$13:$K$27,MATCH(B1431,$J$13:$J$27,0),1))&lt;1,"/",INDEX(THHKI!$A$8:$Y$62,MATCH(PDHKI!E1458,THHKI!$A$8:$A$62,0),INDEX($K$13:$K$27,MATCH(B1431,$J$13:$J$27,0),1))))</f>
        <v>9.1</v>
      </c>
      <c r="E1431" s="691"/>
      <c r="J1431" s="569" t="s">
        <v>33</v>
      </c>
      <c r="K1431" s="569">
        <v>15</v>
      </c>
    </row>
    <row r="1432" spans="1:11" ht="21" customHeight="1">
      <c r="A1432" s="689">
        <v>10</v>
      </c>
      <c r="B1432" s="1008" t="s">
        <v>60</v>
      </c>
      <c r="C1432" s="1009"/>
      <c r="D1432" s="690">
        <f>IF(E1458="","",IF(INDEX(THHKI!$A$8:$Y$62,MATCH(PDHKI!E1458,THHKI!$A$8:$A$62,0),INDEX($K$13:$K$27,MATCH(B1432,$J$13:$J$27,0),1))&lt;1,"/",INDEX(THHKI!$A$8:$Y$62,MATCH(PDHKI!E1458,THHKI!$A$8:$A$62,0),INDEX($K$13:$K$27,MATCH(B1432,$J$13:$J$27,0),1))))</f>
        <v>8.8000000000000007</v>
      </c>
      <c r="E1432" s="691"/>
      <c r="J1432" s="569" t="s">
        <v>60</v>
      </c>
      <c r="K1432" s="569">
        <v>16</v>
      </c>
    </row>
    <row r="1433" spans="1:11" ht="21" customHeight="1">
      <c r="A1433" s="689">
        <v>11</v>
      </c>
      <c r="B1433" s="1008" t="s">
        <v>34</v>
      </c>
      <c r="C1433" s="1009"/>
      <c r="D1433" s="690">
        <f>IF(E1458="","",IF(INDEX(THHKI!$A$8:$Y$62,MATCH(PDHKI!E1458,THHKI!$A$8:$A$62,0),INDEX($K$13:$K$27,MATCH(B1433,$J$13:$J$27,0),1))&lt;1,"/",INDEX(THHKI!$A$8:$Y$62,MATCH(PDHKI!E1458,THHKI!$A$8:$A$62,0),INDEX($K$13:$K$27,MATCH(B1433,$J$13:$J$27,0),1))))</f>
        <v>9.9</v>
      </c>
      <c r="E1433" s="691"/>
      <c r="J1433" s="569" t="s">
        <v>34</v>
      </c>
      <c r="K1433" s="569">
        <v>17</v>
      </c>
    </row>
    <row r="1434" spans="1:11" ht="21" customHeight="1">
      <c r="A1434" s="689">
        <v>12</v>
      </c>
      <c r="B1434" s="1008" t="s">
        <v>35</v>
      </c>
      <c r="C1434" s="1009"/>
      <c r="D1434" s="690" t="str">
        <f>IF(E1458="","",IF(INDEX(THHKI!$A$8:$Y$62,MATCH(PDHKI!E1458,THHKI!$A$8:$A$62,0),INDEX($K$13:$K$27,MATCH(B1434,$J$13:$J$27,0),1))&lt;1,"/",INDEX(THHKI!$A$8:$Y$62,MATCH(PDHKI!E1458,THHKI!$A$8:$A$62,0),INDEX($K$13:$K$27,MATCH(B1434,$J$13:$J$27,0),1))))</f>
        <v>Đ</v>
      </c>
      <c r="E1434" s="691"/>
      <c r="J1434" s="569" t="s">
        <v>35</v>
      </c>
      <c r="K1434" s="569">
        <v>18</v>
      </c>
    </row>
    <row r="1435" spans="1:11" ht="21" customHeight="1">
      <c r="A1435" s="689">
        <v>13</v>
      </c>
      <c r="B1435" s="1008" t="s">
        <v>121</v>
      </c>
      <c r="C1435" s="1009"/>
      <c r="D1435" s="690">
        <f>IF(E1458="","",IF(INDEX(THHKI!$A$8:$Y$62,MATCH(PDHKI!E1458,THHKI!$A$8:$A$62,0),INDEX($K$13:$K$27,MATCH(B1435,$J$13:$J$27,0),1))&lt;1,"/",INDEX(THHKI!$A$8:$Y$62,MATCH(PDHKI!E1458,THHKI!$A$8:$A$62,0),INDEX($K$13:$K$27,MATCH(B1435,$J$13:$J$27,0),1))))</f>
        <v>9.9</v>
      </c>
      <c r="E1435" s="691"/>
      <c r="J1435" s="569" t="s">
        <v>22</v>
      </c>
      <c r="K1435" s="569">
        <v>19</v>
      </c>
    </row>
    <row r="1436" spans="1:11" ht="21" customHeight="1" thickBot="1">
      <c r="A1436" s="692">
        <v>14</v>
      </c>
      <c r="B1436" s="1010" t="s">
        <v>122</v>
      </c>
      <c r="C1436" s="1011"/>
      <c r="D1436" s="693" t="str">
        <f>IF(E1458="","",IF(INDEX(THHKI!$A$8:$Y$62,MATCH(PDHKI!E1458,THHKI!$A$8:$A$62,0),INDEX($K$13:$K$27,MATCH(B1436,$J$13:$J$27,0),1))&lt;1,"/",INDEX(THHKI!$A$8:$Y$62,MATCH(PDHKI!E1458,THHKI!$A$8:$A$62,0),INDEX($K$13:$K$27,MATCH(B1436,$J$13:$J$27,0),1))))</f>
        <v/>
      </c>
      <c r="E1436" s="694"/>
      <c r="J1436" s="569" t="s">
        <v>121</v>
      </c>
      <c r="K1436" s="569">
        <v>20</v>
      </c>
    </row>
    <row r="1437" spans="1:11" ht="21" customHeight="1" thickBot="1">
      <c r="A1437" s="695">
        <v>15</v>
      </c>
      <c r="B1437" s="1006" t="s">
        <v>149</v>
      </c>
      <c r="C1437" s="1007"/>
      <c r="D1437" s="696">
        <f>IF(E1458="","",IF(INDEX(THHKI!$A$8:$Y$62,MATCH(PDHKI!E1458,THHKI!$A$8:$A$62,0),22)&lt;1,"/",INDEX(THHKI!$A$8:$Y$62,MATCH(PDHKI!E1458,THHKI!$A$8:$A$62,0),22)))</f>
        <v>9.1999999999999993</v>
      </c>
      <c r="E1437" s="697"/>
      <c r="J1437" s="569" t="s">
        <v>122</v>
      </c>
      <c r="K1437" s="569">
        <v>21</v>
      </c>
    </row>
    <row r="1438" spans="1:11" ht="15.75" customHeight="1" thickBot="1"/>
    <row r="1439" spans="1:11" s="570" customFormat="1" ht="21" customHeight="1">
      <c r="A1439" s="698"/>
      <c r="B1439" s="1019" t="s">
        <v>150</v>
      </c>
      <c r="C1439" s="1020"/>
      <c r="D1439" s="699" t="s">
        <v>10</v>
      </c>
      <c r="E1439" s="700" t="s">
        <v>126</v>
      </c>
    </row>
    <row r="1440" spans="1:11" ht="21" customHeight="1">
      <c r="A1440" s="701">
        <v>16</v>
      </c>
      <c r="B1440" s="1021" t="s">
        <v>151</v>
      </c>
      <c r="C1440" s="1022"/>
      <c r="D1440" s="702" t="str">
        <f>IF(E1458="","",IF(INDEX(THHKI!$A$8:$Y$62,MATCH(PDHKI!E1458,THHKI!$A$8:$A$62,0),23)="","/",INDEX(THHKI!$A$8:$Y$62,MATCH(PDHKI!E1458,THHKI!$A$8:$A$62,0),23)))</f>
        <v>Giỏi</v>
      </c>
      <c r="E1440" s="703"/>
    </row>
    <row r="1441" spans="1:8" ht="21" customHeight="1">
      <c r="A1441" s="701">
        <v>17</v>
      </c>
      <c r="B1441" s="1021" t="s">
        <v>152</v>
      </c>
      <c r="C1441" s="1022"/>
      <c r="D1441" s="702" t="str">
        <f>IF(E1458="","",IF(INDEX(THHKI!$A$8:$Y$62,MATCH(PDHKI!E1458,THHKI!$A$8:$A$62,0),24)="","/",INDEX(THHKI!$A$8:$Y$62,MATCH(PDHKI!E1458,THHKI!$A$8:$A$62,0),24)))</f>
        <v>Tốt</v>
      </c>
      <c r="E1441" s="703"/>
    </row>
    <row r="1442" spans="1:8" ht="21" customHeight="1" thickBot="1">
      <c r="A1442" s="704">
        <v>18</v>
      </c>
      <c r="B1442" s="1023" t="s">
        <v>153</v>
      </c>
      <c r="C1442" s="1024"/>
      <c r="D1442" s="705" t="str">
        <f>IF(E1458="","",IF(INDEX(THHKI!$A$8:$Y$62,MATCH(PDHKI!E1458,THHKI!$A$8:$A$62,0),25)="","/",INDEX(THHKI!$A$8:$Y$62,MATCH(PDHKI!E1458,THHKI!$A$8:$A$62,0),25)))</f>
        <v>HSG</v>
      </c>
      <c r="E1442" s="706"/>
    </row>
    <row r="1443" spans="1:8" ht="9.75" customHeight="1"/>
    <row r="1444" spans="1:8" ht="15.75" customHeight="1">
      <c r="A1444" s="58" t="s">
        <v>219</v>
      </c>
    </row>
    <row r="1445" spans="1:8" ht="18" customHeight="1">
      <c r="A1445" s="59" t="str">
        <f>IF(E1458="","",IF(INDEX(DiemHKI!$DE$4:$DH$58,MATCH(PDHKI!E1458,DiemHKI!$B$4:$B$58,0),1)="","","- "&amp;INDEX(DiemHKI!$DE$4:$DH$58,MATCH(PDHKI!E1458,DiemHKI!$B$4:$B$58,0),1)))</f>
        <v/>
      </c>
      <c r="H1445" s="571"/>
    </row>
    <row r="1446" spans="1:8" ht="18" customHeight="1">
      <c r="A1446" s="59" t="str">
        <f>IF(E1458="","",IF(INDEX(DiemHKI!$DE$4:$DH$58,MATCH(PDHKI!E1458,DiemHKI!$B$4:$B$58,0),2)="","","- "&amp;INDEX(DiemHKI!$DE$4:$DH$58,MATCH(PDHKI!E1458,DiemHKI!$B$4:$B$58,0),2)))</f>
        <v/>
      </c>
    </row>
    <row r="1447" spans="1:8" ht="18" customHeight="1">
      <c r="A1447" s="59" t="str">
        <f>IF(E1458="","",IF(INDEX(DiemHKI!$DE$4:$DH$58,MATCH(PDHKI!E1458,DiemHKI!$B$4:$B$58,0),3)="","","- "&amp;INDEX(DiemHKI!$DE$4:$DH$58,MATCH(PDHKI!E1458,DiemHKI!$B$4:$B$58,0),3)))</f>
        <v/>
      </c>
    </row>
    <row r="1448" spans="1:8" ht="18" customHeight="1">
      <c r="A1448" s="59" t="str">
        <f>IF(E1458="","",IF(INDEX(DiemHKI!$DE$4:$DH$58,MATCH(PDHKI!E1458,DiemHKI!$B$4:$B$58,0),4)="","","- "&amp;INDEX(DiemHKI!$DE$4:$DH$58,MATCH(PDHKI!E1458,DiemHKI!$B$4:$B$58,0),4)))</f>
        <v/>
      </c>
    </row>
    <row r="1449" spans="1:8" ht="6.75" customHeight="1"/>
    <row r="1450" spans="1:8" ht="16.5" customHeight="1">
      <c r="A1450" s="61"/>
      <c r="C1450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450" s="1026"/>
      <c r="E1450" s="1026"/>
    </row>
    <row r="1451" spans="1:8" ht="21.75" customHeight="1">
      <c r="A1451" s="923" t="str">
        <f>IF($D$41="Hiệu trưởng","Giáo viên Quản nhiệm","")</f>
        <v>Giáo viên Quản nhiệm</v>
      </c>
      <c r="B1451" s="923"/>
      <c r="C1451" s="923"/>
      <c r="D1451" s="707" t="str">
        <f>IF($G$5="","",$G$5)</f>
        <v>Hiệu trưởng</v>
      </c>
      <c r="E1451" s="708"/>
    </row>
    <row r="1452" spans="1:8" ht="15" customHeight="1">
      <c r="A1452" s="61"/>
      <c r="B1452" s="61"/>
      <c r="C1452" s="61"/>
      <c r="D1452" s="66"/>
      <c r="E1452" s="66"/>
    </row>
    <row r="1453" spans="1:8" ht="15" customHeight="1">
      <c r="A1453" s="61"/>
      <c r="B1453" s="61"/>
      <c r="C1453" s="61"/>
      <c r="D1453" s="66"/>
      <c r="E1453" s="66"/>
    </row>
    <row r="1454" spans="1:8" ht="15" customHeight="1">
      <c r="A1454" s="61"/>
      <c r="B1454" s="61"/>
      <c r="C1454" s="61"/>
    </row>
    <row r="1455" spans="1:8" ht="15" customHeight="1">
      <c r="A1455" s="61"/>
      <c r="B1455" s="61"/>
      <c r="C1455" s="61"/>
    </row>
    <row r="1456" spans="1:8" ht="16.5" customHeight="1">
      <c r="A1456" s="1012" t="str">
        <f>IF($A$41="","",PROPER('Huong dan'!$C$4))</f>
        <v/>
      </c>
      <c r="B1456" s="1012"/>
      <c r="C1456" s="1012"/>
      <c r="D1456" s="833" t="str">
        <f>IFERROR(IF($D$41="Giáo Viên Quản nhiệm",PROPER('Huong dan'!$C$4),IF($D$41="Hiệu trưởng",PROPER('Huong dan'!$E$5),"")),"")</f>
        <v/>
      </c>
      <c r="E1456" s="708"/>
    </row>
    <row r="1457" spans="1:11" ht="12.75" customHeight="1"/>
    <row r="1458" spans="1:11" ht="12.75" customHeight="1">
      <c r="A1458" s="709"/>
      <c r="B1458" s="709"/>
      <c r="C1458" s="709"/>
      <c r="D1458" s="710"/>
      <c r="E1458" s="711">
        <f>IF(E1411="","",IF(E1411&lt;MAX(DiemHKI!$B$4:$B$58),E1411+1,""))</f>
        <v>31</v>
      </c>
    </row>
    <row r="1459" spans="1:11" ht="8.25" customHeight="1">
      <c r="A1459" s="709"/>
      <c r="B1459" s="709"/>
      <c r="C1459" s="709"/>
      <c r="D1459" s="709"/>
      <c r="E1459" s="711"/>
    </row>
    <row r="1460" spans="1:11" ht="5.25" customHeight="1"/>
    <row r="1461" spans="1:11" s="563" customFormat="1" ht="23.25" customHeight="1">
      <c r="A1461" s="931" t="str">
        <f>IF('Huong dan'!$E$3&lt;&gt;"","SỞ GIÁO DỤC VÀ ĐÀO TẠO "&amp;UPPER('Huong dan'!$E$3),"")</f>
        <v>SỞ GIÁO DỤC VÀ ĐÀO TẠO TP. HỒ CHÍ MINH</v>
      </c>
      <c r="B1461" s="931"/>
      <c r="C1461" s="931"/>
      <c r="D1461" s="923" t="s">
        <v>19</v>
      </c>
      <c r="E1461" s="923"/>
    </row>
    <row r="1462" spans="1:11" ht="17.25" customHeight="1">
      <c r="A1462" s="931" t="str">
        <f>IF('Huong dan'!$E$4&lt;&gt;"","TRƯỜNG "&amp;UPPER('Huong dan'!$E$4),"")</f>
        <v>TRƯỜNG THCS VÀ THPT NGUYỄN KHUYẾN</v>
      </c>
      <c r="B1462" s="931"/>
      <c r="C1462" s="931"/>
      <c r="D1462" s="1012" t="s">
        <v>179</v>
      </c>
      <c r="E1462" s="1012"/>
    </row>
    <row r="1463" spans="1:11" ht="24" customHeight="1">
      <c r="A1463" s="61"/>
      <c r="B1463" s="61"/>
      <c r="C1463" s="61"/>
    </row>
    <row r="1464" spans="1:11" ht="29.25" customHeight="1">
      <c r="A1464" s="1013" t="str">
        <f>"PHIẾU ĐIỂM HỌC KỲ I - NĂM HỌC "&amp;'Huong dan'!$C$5</f>
        <v>PHIẾU ĐIỂM HỌC KỲ I - NĂM HỌC 2021 - 2022</v>
      </c>
      <c r="B1464" s="1013"/>
      <c r="C1464" s="1013"/>
      <c r="D1464" s="1013"/>
      <c r="E1464" s="1013"/>
    </row>
    <row r="1465" spans="1:11" ht="15.75" customHeight="1">
      <c r="A1465" s="680"/>
      <c r="B1465" s="680"/>
    </row>
    <row r="1466" spans="1:11" ht="21" customHeight="1">
      <c r="A1466" s="1014" t="s">
        <v>145</v>
      </c>
      <c r="B1466" s="1014"/>
      <c r="C1466" s="1015" t="str">
        <f>IF(E1505="","",INDEX(DiemHKI!$D$4:$D$58,MATCH(E1505,DiemHKI!$B$4:$B$58,0),1)&amp;" "&amp;INDEX(DiemHKI!$E$4:$E$58,MATCH(E1505,DiemHKI!$B$4:$B$58,0),1))</f>
        <v>Hồ Quang Thành</v>
      </c>
      <c r="D1466" s="1015"/>
      <c r="E1466" s="62" t="str">
        <f>IF('Huong dan'!$C$3="","","Lớp: "&amp;'Huong dan'!$C$3)</f>
        <v>Lớp: 12A1</v>
      </c>
    </row>
    <row r="1467" spans="1:11" ht="23.25" customHeight="1">
      <c r="A1467" s="1014" t="s">
        <v>146</v>
      </c>
      <c r="B1467" s="1014"/>
      <c r="C1467" s="681" t="str">
        <f>IF(E1505="","",INDEX(DiemHKI!$F$4:$F$58,MATCH(PDHKI!E1505,DiemHKI!$B$4:$B$58,0),1))</f>
        <v>28/02/2004</v>
      </c>
      <c r="D1467" s="1016" t="str">
        <f>IF(E1505="","","Nơi sinh: "&amp;INDEX(DiemHKI!$G$4:$G$58,MATCH(PDHKI!E1505,DiemHKI!$B$4:$B$58,0),1))</f>
        <v>Nơi sinh: Gia Lai</v>
      </c>
      <c r="E1467" s="1016"/>
    </row>
    <row r="1468" spans="1:11" ht="13.5" customHeight="1" thickBot="1">
      <c r="A1468" s="681"/>
      <c r="B1468" s="682"/>
      <c r="D1468" s="681"/>
      <c r="E1468" s="681"/>
    </row>
    <row r="1469" spans="1:11" ht="24" customHeight="1" thickBot="1">
      <c r="A1469" s="683" t="s">
        <v>0</v>
      </c>
      <c r="B1469" s="1006" t="s">
        <v>72</v>
      </c>
      <c r="C1469" s="1007"/>
      <c r="D1469" s="684" t="s">
        <v>147</v>
      </c>
      <c r="E1469" s="685" t="s">
        <v>148</v>
      </c>
    </row>
    <row r="1470" spans="1:11" ht="21" customHeight="1">
      <c r="A1470" s="686">
        <v>1</v>
      </c>
      <c r="B1470" s="1017" t="s">
        <v>26</v>
      </c>
      <c r="C1470" s="1018"/>
      <c r="D1470" s="687">
        <f>IF(E1505="","",IF(INDEX(THHKI!$A$8:$Y$62,MATCH(PDHKI!E1505,THHKI!$A$8:$A$62,0),INDEX($K$13:$K$27,MATCH(B1470,$J$13:$J$27,0),1))&lt;1,"/",INDEX(THHKI!$A$8:$Y$62,MATCH(PDHKI!E1505,THHKI!$A$8:$A$62,0),INDEX($K$13:$K$27,MATCH(B1470,$J$13:$J$27,0),1))))</f>
        <v>9.5</v>
      </c>
      <c r="E1470" s="688"/>
      <c r="J1470" s="569" t="s">
        <v>26</v>
      </c>
      <c r="K1470" s="569">
        <v>7</v>
      </c>
    </row>
    <row r="1471" spans="1:11" ht="21" customHeight="1">
      <c r="A1471" s="689">
        <v>2</v>
      </c>
      <c r="B1471" s="1008" t="s">
        <v>27</v>
      </c>
      <c r="C1471" s="1009"/>
      <c r="D1471" s="690">
        <f>IF(E1505="","",IF(INDEX(THHKI!$A$8:$Y$62,MATCH(PDHKI!E1505,THHKI!$A$8:$A$62,0),INDEX($K$13:$K$27,MATCH(B1471,$J$13:$J$27,0),1))&lt;1,"/",INDEX(THHKI!$A$8:$Y$62,MATCH(PDHKI!E1505,THHKI!$A$8:$A$62,0),INDEX($K$13:$K$27,MATCH(B1471,$J$13:$J$27,0),1))))</f>
        <v>9.5</v>
      </c>
      <c r="E1471" s="691"/>
      <c r="J1471" s="569" t="s">
        <v>27</v>
      </c>
      <c r="K1471" s="569">
        <v>8</v>
      </c>
    </row>
    <row r="1472" spans="1:11" ht="21" customHeight="1">
      <c r="A1472" s="689">
        <v>3</v>
      </c>
      <c r="B1472" s="1008" t="s">
        <v>28</v>
      </c>
      <c r="C1472" s="1009"/>
      <c r="D1472" s="690">
        <f>IF(E1505="","",IF(INDEX(THHKI!$A$8:$Y$62,MATCH(PDHKI!E1505,THHKI!$A$8:$A$62,0),INDEX($K$13:$K$27,MATCH(B1472,$J$13:$J$27,0),1))&lt;1,"/",INDEX(THHKI!$A$8:$Y$62,MATCH(PDHKI!E1505,THHKI!$A$8:$A$62,0),INDEX($K$13:$K$27,MATCH(B1472,$J$13:$J$27,0),1))))</f>
        <v>8.8000000000000007</v>
      </c>
      <c r="E1472" s="691"/>
      <c r="J1472" s="569" t="s">
        <v>28</v>
      </c>
      <c r="K1472" s="569">
        <v>9</v>
      </c>
    </row>
    <row r="1473" spans="1:11" ht="21" customHeight="1">
      <c r="A1473" s="689">
        <v>4</v>
      </c>
      <c r="B1473" s="1008" t="s">
        <v>29</v>
      </c>
      <c r="C1473" s="1009"/>
      <c r="D1473" s="690">
        <f>IF(E1505="","",IF(INDEX(THHKI!$A$8:$Y$62,MATCH(PDHKI!E1505,THHKI!$A$8:$A$62,0),INDEX($K$13:$K$27,MATCH(B1473,$J$13:$J$27,0),1))&lt;1,"/",INDEX(THHKI!$A$8:$Y$62,MATCH(PDHKI!E1505,THHKI!$A$8:$A$62,0),INDEX($K$13:$K$27,MATCH(B1473,$J$13:$J$27,0),1))))</f>
        <v>9.8000000000000007</v>
      </c>
      <c r="E1473" s="691"/>
      <c r="J1473" s="569" t="s">
        <v>29</v>
      </c>
      <c r="K1473" s="569">
        <v>10</v>
      </c>
    </row>
    <row r="1474" spans="1:11" ht="21" customHeight="1">
      <c r="A1474" s="689">
        <v>5</v>
      </c>
      <c r="B1474" s="1008" t="s">
        <v>120</v>
      </c>
      <c r="C1474" s="1009"/>
      <c r="D1474" s="690">
        <f>IF(E1505="","",IF(INDEX(THHKI!$A$8:$Y$62,MATCH(PDHKI!E1505,THHKI!$A$8:$A$62,0),INDEX($K$13:$K$27,MATCH(B1474,$J$13:$J$27,0),1))&lt;1,"/",INDEX(THHKI!$A$8:$Y$62,MATCH(PDHKI!E1505,THHKI!$A$8:$A$62,0),INDEX($K$13:$K$27,MATCH(B1474,$J$13:$J$27,0),1))))</f>
        <v>9.8000000000000007</v>
      </c>
      <c r="E1474" s="691"/>
      <c r="J1474" s="569" t="s">
        <v>120</v>
      </c>
      <c r="K1474" s="569">
        <v>11</v>
      </c>
    </row>
    <row r="1475" spans="1:11" ht="21" customHeight="1">
      <c r="A1475" s="689">
        <v>6</v>
      </c>
      <c r="B1475" s="1008" t="s">
        <v>30</v>
      </c>
      <c r="C1475" s="1009"/>
      <c r="D1475" s="690">
        <f>IF(E1505="","",IF(INDEX(THHKI!$A$8:$Y$62,MATCH(PDHKI!E1505,THHKI!$A$8:$A$62,0),INDEX($K$13:$K$27,MATCH(B1475,$J$13:$J$27,0),1))&lt;1,"/",INDEX(THHKI!$A$8:$Y$62,MATCH(PDHKI!E1505,THHKI!$A$8:$A$62,0),INDEX($K$13:$K$27,MATCH(B1475,$J$13:$J$27,0),1))))</f>
        <v>7.9</v>
      </c>
      <c r="E1475" s="691"/>
      <c r="J1475" s="569" t="s">
        <v>30</v>
      </c>
      <c r="K1475" s="569">
        <v>12</v>
      </c>
    </row>
    <row r="1476" spans="1:11" ht="21" customHeight="1">
      <c r="A1476" s="689">
        <v>7</v>
      </c>
      <c r="B1476" s="1008" t="s">
        <v>31</v>
      </c>
      <c r="C1476" s="1009"/>
      <c r="D1476" s="690">
        <f>IF(E1505="","",IF(INDEX(THHKI!$A$8:$Y$62,MATCH(PDHKI!E1505,THHKI!$A$8:$A$62,0),INDEX($K$13:$K$27,MATCH(B1476,$J$13:$J$27,0),1))&lt;1,"/",INDEX(THHKI!$A$8:$Y$62,MATCH(PDHKI!E1505,THHKI!$A$8:$A$62,0),INDEX($K$13:$K$27,MATCH(B1476,$J$13:$J$27,0),1))))</f>
        <v>9.6</v>
      </c>
      <c r="E1476" s="691"/>
      <c r="J1476" s="569" t="s">
        <v>31</v>
      </c>
      <c r="K1476" s="569">
        <v>13</v>
      </c>
    </row>
    <row r="1477" spans="1:11" ht="21" customHeight="1">
      <c r="A1477" s="689">
        <v>8</v>
      </c>
      <c r="B1477" s="1008" t="s">
        <v>32</v>
      </c>
      <c r="C1477" s="1009"/>
      <c r="D1477" s="690">
        <f>IF(E1505="","",IF(INDEX(THHKI!$A$8:$Y$62,MATCH(PDHKI!E1505,THHKI!$A$8:$A$62,0),INDEX($K$13:$K$27,MATCH(B1477,$J$13:$J$27,0),1))&lt;1,"/",INDEX(THHKI!$A$8:$Y$62,MATCH(PDHKI!E1505,THHKI!$A$8:$A$62,0),INDEX($K$13:$K$27,MATCH(B1477,$J$13:$J$27,0),1))))</f>
        <v>9.8000000000000007</v>
      </c>
      <c r="E1477" s="691"/>
      <c r="J1477" s="569" t="s">
        <v>32</v>
      </c>
      <c r="K1477" s="569">
        <v>14</v>
      </c>
    </row>
    <row r="1478" spans="1:11" ht="21" customHeight="1">
      <c r="A1478" s="689">
        <v>9</v>
      </c>
      <c r="B1478" s="1008" t="s">
        <v>33</v>
      </c>
      <c r="C1478" s="1009"/>
      <c r="D1478" s="690">
        <f>IF(E1505="","",IF(INDEX(THHKI!$A$8:$Y$62,MATCH(PDHKI!E1505,THHKI!$A$8:$A$62,0),INDEX($K$13:$K$27,MATCH(B1478,$J$13:$J$27,0),1))&lt;1,"/",INDEX(THHKI!$A$8:$Y$62,MATCH(PDHKI!E1505,THHKI!$A$8:$A$62,0),INDEX($K$13:$K$27,MATCH(B1478,$J$13:$J$27,0),1))))</f>
        <v>9</v>
      </c>
      <c r="E1478" s="691"/>
      <c r="J1478" s="569" t="s">
        <v>33</v>
      </c>
      <c r="K1478" s="569">
        <v>15</v>
      </c>
    </row>
    <row r="1479" spans="1:11" ht="21" customHeight="1">
      <c r="A1479" s="689">
        <v>10</v>
      </c>
      <c r="B1479" s="1008" t="s">
        <v>60</v>
      </c>
      <c r="C1479" s="1009"/>
      <c r="D1479" s="690">
        <f>IF(E1505="","",IF(INDEX(THHKI!$A$8:$Y$62,MATCH(PDHKI!E1505,THHKI!$A$8:$A$62,0),INDEX($K$13:$K$27,MATCH(B1479,$J$13:$J$27,0),1))&lt;1,"/",INDEX(THHKI!$A$8:$Y$62,MATCH(PDHKI!E1505,THHKI!$A$8:$A$62,0),INDEX($K$13:$K$27,MATCH(B1479,$J$13:$J$27,0),1))))</f>
        <v>9.8000000000000007</v>
      </c>
      <c r="E1479" s="691"/>
      <c r="J1479" s="569" t="s">
        <v>60</v>
      </c>
      <c r="K1479" s="569">
        <v>16</v>
      </c>
    </row>
    <row r="1480" spans="1:11" ht="21" customHeight="1">
      <c r="A1480" s="689">
        <v>11</v>
      </c>
      <c r="B1480" s="1008" t="s">
        <v>34</v>
      </c>
      <c r="C1480" s="1009"/>
      <c r="D1480" s="690">
        <f>IF(E1505="","",IF(INDEX(THHKI!$A$8:$Y$62,MATCH(PDHKI!E1505,THHKI!$A$8:$A$62,0),INDEX($K$13:$K$27,MATCH(B1480,$J$13:$J$27,0),1))&lt;1,"/",INDEX(THHKI!$A$8:$Y$62,MATCH(PDHKI!E1505,THHKI!$A$8:$A$62,0),INDEX($K$13:$K$27,MATCH(B1480,$J$13:$J$27,0),1))))</f>
        <v>9.4</v>
      </c>
      <c r="E1480" s="691"/>
      <c r="J1480" s="569" t="s">
        <v>34</v>
      </c>
      <c r="K1480" s="569">
        <v>17</v>
      </c>
    </row>
    <row r="1481" spans="1:11" ht="21" customHeight="1">
      <c r="A1481" s="689">
        <v>12</v>
      </c>
      <c r="B1481" s="1008" t="s">
        <v>35</v>
      </c>
      <c r="C1481" s="1009"/>
      <c r="D1481" s="690" t="str">
        <f>IF(E1505="","",IF(INDEX(THHKI!$A$8:$Y$62,MATCH(PDHKI!E1505,THHKI!$A$8:$A$62,0),INDEX($K$13:$K$27,MATCH(B1481,$J$13:$J$27,0),1))&lt;1,"/",INDEX(THHKI!$A$8:$Y$62,MATCH(PDHKI!E1505,THHKI!$A$8:$A$62,0),INDEX($K$13:$K$27,MATCH(B1481,$J$13:$J$27,0),1))))</f>
        <v>Đ</v>
      </c>
      <c r="E1481" s="691"/>
      <c r="J1481" s="569" t="s">
        <v>35</v>
      </c>
      <c r="K1481" s="569">
        <v>18</v>
      </c>
    </row>
    <row r="1482" spans="1:11" ht="21" customHeight="1">
      <c r="A1482" s="689">
        <v>13</v>
      </c>
      <c r="B1482" s="1008" t="s">
        <v>121</v>
      </c>
      <c r="C1482" s="1009"/>
      <c r="D1482" s="690">
        <f>IF(E1505="","",IF(INDEX(THHKI!$A$8:$Y$62,MATCH(PDHKI!E1505,THHKI!$A$8:$A$62,0),INDEX($K$13:$K$27,MATCH(B1482,$J$13:$J$27,0),1))&lt;1,"/",INDEX(THHKI!$A$8:$Y$62,MATCH(PDHKI!E1505,THHKI!$A$8:$A$62,0),INDEX($K$13:$K$27,MATCH(B1482,$J$13:$J$27,0),1))))</f>
        <v>9.9</v>
      </c>
      <c r="E1482" s="691"/>
      <c r="J1482" s="569" t="s">
        <v>22</v>
      </c>
      <c r="K1482" s="569">
        <v>19</v>
      </c>
    </row>
    <row r="1483" spans="1:11" ht="21" customHeight="1" thickBot="1">
      <c r="A1483" s="692">
        <v>14</v>
      </c>
      <c r="B1483" s="1010" t="s">
        <v>122</v>
      </c>
      <c r="C1483" s="1011"/>
      <c r="D1483" s="693" t="str">
        <f>IF(E1505="","",IF(INDEX(THHKI!$A$8:$Y$62,MATCH(PDHKI!E1505,THHKI!$A$8:$A$62,0),INDEX($K$13:$K$27,MATCH(B1483,$J$13:$J$27,0),1))&lt;1,"/",INDEX(THHKI!$A$8:$Y$62,MATCH(PDHKI!E1505,THHKI!$A$8:$A$62,0),INDEX($K$13:$K$27,MATCH(B1483,$J$13:$J$27,0),1))))</f>
        <v/>
      </c>
      <c r="E1483" s="694"/>
      <c r="J1483" s="569" t="s">
        <v>121</v>
      </c>
      <c r="K1483" s="569">
        <v>20</v>
      </c>
    </row>
    <row r="1484" spans="1:11" ht="21" customHeight="1" thickBot="1">
      <c r="A1484" s="695">
        <v>15</v>
      </c>
      <c r="B1484" s="1006" t="s">
        <v>149</v>
      </c>
      <c r="C1484" s="1007"/>
      <c r="D1484" s="696">
        <f>IF(E1505="","",IF(INDEX(THHKI!$A$8:$Y$62,MATCH(PDHKI!E1505,THHKI!$A$8:$A$62,0),22)&lt;1,"/",INDEX(THHKI!$A$8:$Y$62,MATCH(PDHKI!E1505,THHKI!$A$8:$A$62,0),22)))</f>
        <v>9.4</v>
      </c>
      <c r="E1484" s="697"/>
      <c r="J1484" s="569" t="s">
        <v>122</v>
      </c>
      <c r="K1484" s="569">
        <v>21</v>
      </c>
    </row>
    <row r="1485" spans="1:11" ht="15.75" customHeight="1" thickBot="1"/>
    <row r="1486" spans="1:11" s="570" customFormat="1" ht="21" customHeight="1">
      <c r="A1486" s="698"/>
      <c r="B1486" s="1019" t="s">
        <v>150</v>
      </c>
      <c r="C1486" s="1020"/>
      <c r="D1486" s="699" t="s">
        <v>10</v>
      </c>
      <c r="E1486" s="700" t="s">
        <v>126</v>
      </c>
    </row>
    <row r="1487" spans="1:11" ht="21" customHeight="1">
      <c r="A1487" s="701">
        <v>16</v>
      </c>
      <c r="B1487" s="1021" t="s">
        <v>151</v>
      </c>
      <c r="C1487" s="1022"/>
      <c r="D1487" s="702" t="str">
        <f>IF(E1505="","",IF(INDEX(THHKI!$A$8:$Y$62,MATCH(PDHKI!E1505,THHKI!$A$8:$A$62,0),23)="","/",INDEX(THHKI!$A$8:$Y$62,MATCH(PDHKI!E1505,THHKI!$A$8:$A$62,0),23)))</f>
        <v>Giỏi</v>
      </c>
      <c r="E1487" s="703"/>
    </row>
    <row r="1488" spans="1:11" ht="21" customHeight="1">
      <c r="A1488" s="701">
        <v>17</v>
      </c>
      <c r="B1488" s="1021" t="s">
        <v>152</v>
      </c>
      <c r="C1488" s="1022"/>
      <c r="D1488" s="702" t="str">
        <f>IF(E1505="","",IF(INDEX(THHKI!$A$8:$Y$62,MATCH(PDHKI!E1505,THHKI!$A$8:$A$62,0),24)="","/",INDEX(THHKI!$A$8:$Y$62,MATCH(PDHKI!E1505,THHKI!$A$8:$A$62,0),24)))</f>
        <v>Tốt</v>
      </c>
      <c r="E1488" s="703"/>
    </row>
    <row r="1489" spans="1:8" ht="21" customHeight="1" thickBot="1">
      <c r="A1489" s="704">
        <v>18</v>
      </c>
      <c r="B1489" s="1023" t="s">
        <v>153</v>
      </c>
      <c r="C1489" s="1024"/>
      <c r="D1489" s="705" t="str">
        <f>IF(E1505="","",IF(INDEX(THHKI!$A$8:$Y$62,MATCH(PDHKI!E1505,THHKI!$A$8:$A$62,0),25)="","/",INDEX(THHKI!$A$8:$Y$62,MATCH(PDHKI!E1505,THHKI!$A$8:$A$62,0),25)))</f>
        <v>HSG</v>
      </c>
      <c r="E1489" s="706"/>
    </row>
    <row r="1490" spans="1:8" ht="9.75" customHeight="1"/>
    <row r="1491" spans="1:8" ht="15.75" customHeight="1">
      <c r="A1491" s="58" t="s">
        <v>219</v>
      </c>
    </row>
    <row r="1492" spans="1:8" ht="18" customHeight="1">
      <c r="A1492" s="59" t="str">
        <f>IF(E1505="","",IF(INDEX(DiemHKI!$DE$4:$DH$58,MATCH(PDHKI!E1505,DiemHKI!$B$4:$B$58,0),1)="","","- "&amp;INDEX(DiemHKI!$DE$4:$DH$58,MATCH(PDHKI!E1505,DiemHKI!$B$4:$B$58,0),1)))</f>
        <v/>
      </c>
      <c r="H1492" s="571"/>
    </row>
    <row r="1493" spans="1:8" ht="18" customHeight="1">
      <c r="A1493" s="59" t="str">
        <f>IF(E1505="","",IF(INDEX(DiemHKI!$DE$4:$DH$58,MATCH(PDHKI!E1505,DiemHKI!$B$4:$B$58,0),2)="","","- "&amp;INDEX(DiemHKI!$DE$4:$DH$58,MATCH(PDHKI!E1505,DiemHKI!$B$4:$B$58,0),2)))</f>
        <v/>
      </c>
    </row>
    <row r="1494" spans="1:8" ht="18" customHeight="1">
      <c r="A1494" s="59" t="str">
        <f>IF(E1505="","",IF(INDEX(DiemHKI!$DE$4:$DH$58,MATCH(PDHKI!E1505,DiemHKI!$B$4:$B$58,0),3)="","","- "&amp;INDEX(DiemHKI!$DE$4:$DH$58,MATCH(PDHKI!E1505,DiemHKI!$B$4:$B$58,0),3)))</f>
        <v/>
      </c>
    </row>
    <row r="1495" spans="1:8" ht="18" customHeight="1">
      <c r="A1495" s="59" t="str">
        <f>IF(E1505="","",IF(INDEX(DiemHKI!$DE$4:$DH$58,MATCH(PDHKI!E1505,DiemHKI!$B$4:$B$58,0),4)="","","- "&amp;INDEX(DiemHKI!$DE$4:$DH$58,MATCH(PDHKI!E1505,DiemHKI!$B$4:$B$58,0),4)))</f>
        <v/>
      </c>
    </row>
    <row r="1496" spans="1:8" ht="6.75" customHeight="1"/>
    <row r="1497" spans="1:8" ht="16.5" customHeight="1">
      <c r="A1497" s="61"/>
      <c r="C1497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497" s="1026"/>
      <c r="E1497" s="1026"/>
    </row>
    <row r="1498" spans="1:8" ht="21.75" customHeight="1">
      <c r="A1498" s="923" t="str">
        <f>IF($D$41="Hiệu trưởng","Giáo viên Quản nhiệm","")</f>
        <v>Giáo viên Quản nhiệm</v>
      </c>
      <c r="B1498" s="923"/>
      <c r="C1498" s="923"/>
      <c r="D1498" s="707" t="str">
        <f>IF($G$5="","",$G$5)</f>
        <v>Hiệu trưởng</v>
      </c>
      <c r="E1498" s="708"/>
    </row>
    <row r="1499" spans="1:8" ht="15" customHeight="1">
      <c r="A1499" s="61"/>
      <c r="B1499" s="61"/>
      <c r="C1499" s="61"/>
      <c r="D1499" s="66"/>
      <c r="E1499" s="66"/>
    </row>
    <row r="1500" spans="1:8" ht="15" customHeight="1">
      <c r="A1500" s="61"/>
      <c r="B1500" s="61"/>
      <c r="C1500" s="61"/>
      <c r="D1500" s="66"/>
      <c r="E1500" s="66"/>
    </row>
    <row r="1501" spans="1:8" ht="15" customHeight="1">
      <c r="A1501" s="61"/>
      <c r="B1501" s="61"/>
      <c r="C1501" s="61"/>
    </row>
    <row r="1502" spans="1:8" ht="15" customHeight="1">
      <c r="A1502" s="61"/>
      <c r="B1502" s="61"/>
      <c r="C1502" s="61"/>
    </row>
    <row r="1503" spans="1:8" ht="16.5" customHeight="1">
      <c r="A1503" s="1012" t="str">
        <f>IF($A$41="","",PROPER('Huong dan'!$C$4))</f>
        <v/>
      </c>
      <c r="B1503" s="1012"/>
      <c r="C1503" s="1012"/>
      <c r="D1503" s="833" t="str">
        <f>IFERROR(IF($D$41="Giáo Viên Quản nhiệm",PROPER('Huong dan'!$C$4),IF($D$41="Hiệu trưởng",PROPER('Huong dan'!$E$5),"")),"")</f>
        <v/>
      </c>
      <c r="E1503" s="708"/>
    </row>
    <row r="1504" spans="1:8" ht="12.75" customHeight="1"/>
    <row r="1505" spans="1:11" ht="12.75" customHeight="1">
      <c r="A1505" s="709"/>
      <c r="B1505" s="709"/>
      <c r="C1505" s="709"/>
      <c r="D1505" s="710"/>
      <c r="E1505" s="711">
        <f>IF(E1458="","",IF(E1458&lt;MAX(DiemHKI!$B$4:$B$58),E1458+1,""))</f>
        <v>32</v>
      </c>
    </row>
    <row r="1506" spans="1:11" ht="8.25" customHeight="1">
      <c r="A1506" s="709"/>
      <c r="B1506" s="709"/>
      <c r="C1506" s="709"/>
      <c r="D1506" s="709"/>
      <c r="E1506" s="709"/>
    </row>
    <row r="1507" spans="1:11" ht="5.25" customHeight="1"/>
    <row r="1508" spans="1:11" s="563" customFormat="1" ht="23.25" customHeight="1">
      <c r="A1508" s="931" t="str">
        <f>IF('Huong dan'!$E$3&lt;&gt;"","SỞ GIÁO DỤC VÀ ĐÀO TẠO "&amp;UPPER('Huong dan'!$E$3),"")</f>
        <v>SỞ GIÁO DỤC VÀ ĐÀO TẠO TP. HỒ CHÍ MINH</v>
      </c>
      <c r="B1508" s="931"/>
      <c r="C1508" s="931"/>
      <c r="D1508" s="923" t="s">
        <v>19</v>
      </c>
      <c r="E1508" s="923"/>
    </row>
    <row r="1509" spans="1:11" ht="17.25" customHeight="1">
      <c r="A1509" s="931" t="str">
        <f>IF('Huong dan'!$E$4&lt;&gt;"","TRƯỜNG "&amp;UPPER('Huong dan'!$E$4),"")</f>
        <v>TRƯỜNG THCS VÀ THPT NGUYỄN KHUYẾN</v>
      </c>
      <c r="B1509" s="931"/>
      <c r="C1509" s="931"/>
      <c r="D1509" s="1012" t="s">
        <v>179</v>
      </c>
      <c r="E1509" s="1012"/>
    </row>
    <row r="1510" spans="1:11" ht="24" customHeight="1">
      <c r="A1510" s="61"/>
      <c r="B1510" s="61"/>
      <c r="C1510" s="61"/>
    </row>
    <row r="1511" spans="1:11" ht="29.25" customHeight="1">
      <c r="A1511" s="1013" t="str">
        <f>"PHIẾU ĐIỂM HỌC KỲ I - NĂM HỌC "&amp;'Huong dan'!$C$5</f>
        <v>PHIẾU ĐIỂM HỌC KỲ I - NĂM HỌC 2021 - 2022</v>
      </c>
      <c r="B1511" s="1013"/>
      <c r="C1511" s="1013"/>
      <c r="D1511" s="1013"/>
      <c r="E1511" s="1013"/>
    </row>
    <row r="1512" spans="1:11" ht="15.75" customHeight="1">
      <c r="A1512" s="680"/>
      <c r="B1512" s="680"/>
    </row>
    <row r="1513" spans="1:11" ht="21" customHeight="1">
      <c r="A1513" s="1014" t="s">
        <v>145</v>
      </c>
      <c r="B1513" s="1014"/>
      <c r="C1513" s="1015" t="str">
        <f>IF(E1552="","",INDEX(DiemHKI!$D$4:$D$58,MATCH(E1552,DiemHKI!$B$4:$B$58,0),1)&amp;" "&amp;INDEX(DiemHKI!$E$4:$E$58,MATCH(E1552,DiemHKI!$B$4:$B$58,0),1))</f>
        <v>Trần Thịnh Thịnh</v>
      </c>
      <c r="D1513" s="1015"/>
      <c r="E1513" s="62" t="str">
        <f>IF('Huong dan'!$C$3="","","Lớp: "&amp;'Huong dan'!$C$3)</f>
        <v>Lớp: 12A1</v>
      </c>
    </row>
    <row r="1514" spans="1:11" ht="23.25" customHeight="1">
      <c r="A1514" s="1014" t="s">
        <v>146</v>
      </c>
      <c r="B1514" s="1014"/>
      <c r="C1514" s="681" t="str">
        <f>IF(E1552="","",INDEX(DiemHKI!$F$4:$F$58,MATCH(PDHKI!E1552,DiemHKI!$B$4:$B$58,0),1))</f>
        <v>18/08/2004</v>
      </c>
      <c r="D1514" s="1016" t="str">
        <f>IF(E1552="","","Nơi sinh: "&amp;INDEX(DiemHKI!$G$4:$G$58,MATCH(PDHKI!E1552,DiemHKI!$B$4:$B$58,0),1))</f>
        <v>Nơi sinh: Bạc Liêu</v>
      </c>
      <c r="E1514" s="1016"/>
    </row>
    <row r="1515" spans="1:11" ht="13.5" customHeight="1" thickBot="1">
      <c r="A1515" s="681"/>
      <c r="B1515" s="682"/>
      <c r="D1515" s="681"/>
      <c r="E1515" s="681"/>
    </row>
    <row r="1516" spans="1:11" ht="24" customHeight="1" thickBot="1">
      <c r="A1516" s="683" t="s">
        <v>0</v>
      </c>
      <c r="B1516" s="1006" t="s">
        <v>72</v>
      </c>
      <c r="C1516" s="1007"/>
      <c r="D1516" s="684" t="s">
        <v>147</v>
      </c>
      <c r="E1516" s="685" t="s">
        <v>148</v>
      </c>
    </row>
    <row r="1517" spans="1:11" ht="21" customHeight="1">
      <c r="A1517" s="686">
        <v>1</v>
      </c>
      <c r="B1517" s="1017" t="s">
        <v>26</v>
      </c>
      <c r="C1517" s="1018"/>
      <c r="D1517" s="687">
        <f>IF(E1552="","",IF(INDEX(THHKI!$A$8:$Y$62,MATCH(PDHKI!E1552,THHKI!$A$8:$A$62,0),INDEX($K$13:$K$27,MATCH(B1517,$J$13:$J$27,0),1))&lt;1,"/",INDEX(THHKI!$A$8:$Y$62,MATCH(PDHKI!E1552,THHKI!$A$8:$A$62,0),INDEX($K$13:$K$27,MATCH(B1517,$J$13:$J$27,0),1))))</f>
        <v>9.8000000000000007</v>
      </c>
      <c r="E1517" s="688"/>
      <c r="J1517" s="569" t="s">
        <v>26</v>
      </c>
      <c r="K1517" s="569">
        <v>7</v>
      </c>
    </row>
    <row r="1518" spans="1:11" ht="21" customHeight="1">
      <c r="A1518" s="689">
        <v>2</v>
      </c>
      <c r="B1518" s="1008" t="s">
        <v>27</v>
      </c>
      <c r="C1518" s="1009"/>
      <c r="D1518" s="690">
        <f>IF(E1552="","",IF(INDEX(THHKI!$A$8:$Y$62,MATCH(PDHKI!E1552,THHKI!$A$8:$A$62,0),INDEX($K$13:$K$27,MATCH(B1518,$J$13:$J$27,0),1))&lt;1,"/",INDEX(THHKI!$A$8:$Y$62,MATCH(PDHKI!E1552,THHKI!$A$8:$A$62,0),INDEX($K$13:$K$27,MATCH(B1518,$J$13:$J$27,0),1))))</f>
        <v>9.6</v>
      </c>
      <c r="E1518" s="691"/>
      <c r="J1518" s="569" t="s">
        <v>27</v>
      </c>
      <c r="K1518" s="569">
        <v>8</v>
      </c>
    </row>
    <row r="1519" spans="1:11" ht="21" customHeight="1">
      <c r="A1519" s="689">
        <v>3</v>
      </c>
      <c r="B1519" s="1008" t="s">
        <v>28</v>
      </c>
      <c r="C1519" s="1009"/>
      <c r="D1519" s="690">
        <f>IF(E1552="","",IF(INDEX(THHKI!$A$8:$Y$62,MATCH(PDHKI!E1552,THHKI!$A$8:$A$62,0),INDEX($K$13:$K$27,MATCH(B1519,$J$13:$J$27,0),1))&lt;1,"/",INDEX(THHKI!$A$8:$Y$62,MATCH(PDHKI!E1552,THHKI!$A$8:$A$62,0),INDEX($K$13:$K$27,MATCH(B1519,$J$13:$J$27,0),1))))</f>
        <v>9.5</v>
      </c>
      <c r="E1519" s="691"/>
      <c r="J1519" s="569" t="s">
        <v>28</v>
      </c>
      <c r="K1519" s="569">
        <v>9</v>
      </c>
    </row>
    <row r="1520" spans="1:11" ht="21" customHeight="1">
      <c r="A1520" s="689">
        <v>4</v>
      </c>
      <c r="B1520" s="1008" t="s">
        <v>29</v>
      </c>
      <c r="C1520" s="1009"/>
      <c r="D1520" s="690">
        <f>IF(E1552="","",IF(INDEX(THHKI!$A$8:$Y$62,MATCH(PDHKI!E1552,THHKI!$A$8:$A$62,0),INDEX($K$13:$K$27,MATCH(B1520,$J$13:$J$27,0),1))&lt;1,"/",INDEX(THHKI!$A$8:$Y$62,MATCH(PDHKI!E1552,THHKI!$A$8:$A$62,0),INDEX($K$13:$K$27,MATCH(B1520,$J$13:$J$27,0),1))))</f>
        <v>9.3000000000000007</v>
      </c>
      <c r="E1520" s="691"/>
      <c r="J1520" s="569" t="s">
        <v>29</v>
      </c>
      <c r="K1520" s="569">
        <v>10</v>
      </c>
    </row>
    <row r="1521" spans="1:11" ht="21" customHeight="1">
      <c r="A1521" s="689">
        <v>5</v>
      </c>
      <c r="B1521" s="1008" t="s">
        <v>120</v>
      </c>
      <c r="C1521" s="1009"/>
      <c r="D1521" s="690">
        <f>IF(E1552="","",IF(INDEX(THHKI!$A$8:$Y$62,MATCH(PDHKI!E1552,THHKI!$A$8:$A$62,0),INDEX($K$13:$K$27,MATCH(B1521,$J$13:$J$27,0),1))&lt;1,"/",INDEX(THHKI!$A$8:$Y$62,MATCH(PDHKI!E1552,THHKI!$A$8:$A$62,0),INDEX($K$13:$K$27,MATCH(B1521,$J$13:$J$27,0),1))))</f>
        <v>9.6</v>
      </c>
      <c r="E1521" s="691"/>
      <c r="J1521" s="569" t="s">
        <v>120</v>
      </c>
      <c r="K1521" s="569">
        <v>11</v>
      </c>
    </row>
    <row r="1522" spans="1:11" ht="21" customHeight="1">
      <c r="A1522" s="689">
        <v>6</v>
      </c>
      <c r="B1522" s="1008" t="s">
        <v>30</v>
      </c>
      <c r="C1522" s="1009"/>
      <c r="D1522" s="690">
        <f>IF(E1552="","",IF(INDEX(THHKI!$A$8:$Y$62,MATCH(PDHKI!E1552,THHKI!$A$8:$A$62,0),INDEX($K$13:$K$27,MATCH(B1522,$J$13:$J$27,0),1))&lt;1,"/",INDEX(THHKI!$A$8:$Y$62,MATCH(PDHKI!E1552,THHKI!$A$8:$A$62,0),INDEX($K$13:$K$27,MATCH(B1522,$J$13:$J$27,0),1))))</f>
        <v>7.3</v>
      </c>
      <c r="E1522" s="691"/>
      <c r="J1522" s="569" t="s">
        <v>30</v>
      </c>
      <c r="K1522" s="569">
        <v>12</v>
      </c>
    </row>
    <row r="1523" spans="1:11" ht="21" customHeight="1">
      <c r="A1523" s="689">
        <v>7</v>
      </c>
      <c r="B1523" s="1008" t="s">
        <v>31</v>
      </c>
      <c r="C1523" s="1009"/>
      <c r="D1523" s="690">
        <f>IF(E1552="","",IF(INDEX(THHKI!$A$8:$Y$62,MATCH(PDHKI!E1552,THHKI!$A$8:$A$62,0),INDEX($K$13:$K$27,MATCH(B1523,$J$13:$J$27,0),1))&lt;1,"/",INDEX(THHKI!$A$8:$Y$62,MATCH(PDHKI!E1552,THHKI!$A$8:$A$62,0),INDEX($K$13:$K$27,MATCH(B1523,$J$13:$J$27,0),1))))</f>
        <v>9.1</v>
      </c>
      <c r="E1523" s="691"/>
      <c r="J1523" s="569" t="s">
        <v>31</v>
      </c>
      <c r="K1523" s="569">
        <v>13</v>
      </c>
    </row>
    <row r="1524" spans="1:11" ht="21" customHeight="1">
      <c r="A1524" s="689">
        <v>8</v>
      </c>
      <c r="B1524" s="1008" t="s">
        <v>32</v>
      </c>
      <c r="C1524" s="1009"/>
      <c r="D1524" s="690">
        <f>IF(E1552="","",IF(INDEX(THHKI!$A$8:$Y$62,MATCH(PDHKI!E1552,THHKI!$A$8:$A$62,0),INDEX($K$13:$K$27,MATCH(B1524,$J$13:$J$27,0),1))&lt;1,"/",INDEX(THHKI!$A$8:$Y$62,MATCH(PDHKI!E1552,THHKI!$A$8:$A$62,0),INDEX($K$13:$K$27,MATCH(B1524,$J$13:$J$27,0),1))))</f>
        <v>9.1</v>
      </c>
      <c r="E1524" s="691"/>
      <c r="J1524" s="569" t="s">
        <v>32</v>
      </c>
      <c r="K1524" s="569">
        <v>14</v>
      </c>
    </row>
    <row r="1525" spans="1:11" ht="21" customHeight="1">
      <c r="A1525" s="689">
        <v>9</v>
      </c>
      <c r="B1525" s="1008" t="s">
        <v>33</v>
      </c>
      <c r="C1525" s="1009"/>
      <c r="D1525" s="690">
        <f>IF(E1552="","",IF(INDEX(THHKI!$A$8:$Y$62,MATCH(PDHKI!E1552,THHKI!$A$8:$A$62,0),INDEX($K$13:$K$27,MATCH(B1525,$J$13:$J$27,0),1))&lt;1,"/",INDEX(THHKI!$A$8:$Y$62,MATCH(PDHKI!E1552,THHKI!$A$8:$A$62,0),INDEX($K$13:$K$27,MATCH(B1525,$J$13:$J$27,0),1))))</f>
        <v>8.9</v>
      </c>
      <c r="E1525" s="691"/>
      <c r="J1525" s="569" t="s">
        <v>33</v>
      </c>
      <c r="K1525" s="569">
        <v>15</v>
      </c>
    </row>
    <row r="1526" spans="1:11" ht="21" customHeight="1">
      <c r="A1526" s="689">
        <v>10</v>
      </c>
      <c r="B1526" s="1008" t="s">
        <v>60</v>
      </c>
      <c r="C1526" s="1009"/>
      <c r="D1526" s="690">
        <f>IF(E1552="","",IF(INDEX(THHKI!$A$8:$Y$62,MATCH(PDHKI!E1552,THHKI!$A$8:$A$62,0),INDEX($K$13:$K$27,MATCH(B1526,$J$13:$J$27,0),1))&lt;1,"/",INDEX(THHKI!$A$8:$Y$62,MATCH(PDHKI!E1552,THHKI!$A$8:$A$62,0),INDEX($K$13:$K$27,MATCH(B1526,$J$13:$J$27,0),1))))</f>
        <v>9.1</v>
      </c>
      <c r="E1526" s="691"/>
      <c r="J1526" s="569" t="s">
        <v>60</v>
      </c>
      <c r="K1526" s="569">
        <v>16</v>
      </c>
    </row>
    <row r="1527" spans="1:11" ht="21" customHeight="1">
      <c r="A1527" s="689">
        <v>11</v>
      </c>
      <c r="B1527" s="1008" t="s">
        <v>34</v>
      </c>
      <c r="C1527" s="1009"/>
      <c r="D1527" s="690">
        <f>IF(E1552="","",IF(INDEX(THHKI!$A$8:$Y$62,MATCH(PDHKI!E1552,THHKI!$A$8:$A$62,0),INDEX($K$13:$K$27,MATCH(B1527,$J$13:$J$27,0),1))&lt;1,"/",INDEX(THHKI!$A$8:$Y$62,MATCH(PDHKI!E1552,THHKI!$A$8:$A$62,0),INDEX($K$13:$K$27,MATCH(B1527,$J$13:$J$27,0),1))))</f>
        <v>9.8000000000000007</v>
      </c>
      <c r="E1527" s="691"/>
      <c r="J1527" s="569" t="s">
        <v>34</v>
      </c>
      <c r="K1527" s="569">
        <v>17</v>
      </c>
    </row>
    <row r="1528" spans="1:11" ht="21" customHeight="1">
      <c r="A1528" s="689">
        <v>12</v>
      </c>
      <c r="B1528" s="1008" t="s">
        <v>35</v>
      </c>
      <c r="C1528" s="1009"/>
      <c r="D1528" s="690" t="str">
        <f>IF(E1552="","",IF(INDEX(THHKI!$A$8:$Y$62,MATCH(PDHKI!E1552,THHKI!$A$8:$A$62,0),INDEX($K$13:$K$27,MATCH(B1528,$J$13:$J$27,0),1))&lt;1,"/",INDEX(THHKI!$A$8:$Y$62,MATCH(PDHKI!E1552,THHKI!$A$8:$A$62,0),INDEX($K$13:$K$27,MATCH(B1528,$J$13:$J$27,0),1))))</f>
        <v>Đ</v>
      </c>
      <c r="E1528" s="691"/>
      <c r="J1528" s="569" t="s">
        <v>35</v>
      </c>
      <c r="K1528" s="569">
        <v>18</v>
      </c>
    </row>
    <row r="1529" spans="1:11" ht="21" customHeight="1">
      <c r="A1529" s="689">
        <v>13</v>
      </c>
      <c r="B1529" s="1008" t="s">
        <v>121</v>
      </c>
      <c r="C1529" s="1009"/>
      <c r="D1529" s="690">
        <f>IF(E1552="","",IF(INDEX(THHKI!$A$8:$Y$62,MATCH(PDHKI!E1552,THHKI!$A$8:$A$62,0),INDEX($K$13:$K$27,MATCH(B1529,$J$13:$J$27,0),1))&lt;1,"/",INDEX(THHKI!$A$8:$Y$62,MATCH(PDHKI!E1552,THHKI!$A$8:$A$62,0),INDEX($K$13:$K$27,MATCH(B1529,$J$13:$J$27,0),1))))</f>
        <v>9.9</v>
      </c>
      <c r="E1529" s="691"/>
      <c r="J1529" s="569" t="s">
        <v>22</v>
      </c>
      <c r="K1529" s="569">
        <v>19</v>
      </c>
    </row>
    <row r="1530" spans="1:11" ht="21" customHeight="1" thickBot="1">
      <c r="A1530" s="692">
        <v>14</v>
      </c>
      <c r="B1530" s="1010" t="s">
        <v>122</v>
      </c>
      <c r="C1530" s="1011"/>
      <c r="D1530" s="693" t="str">
        <f>IF(E1552="","",IF(INDEX(THHKI!$A$8:$Y$62,MATCH(PDHKI!E1552,THHKI!$A$8:$A$62,0),INDEX($K$13:$K$27,MATCH(B1530,$J$13:$J$27,0),1))&lt;1,"/",INDEX(THHKI!$A$8:$Y$62,MATCH(PDHKI!E1552,THHKI!$A$8:$A$62,0),INDEX($K$13:$K$27,MATCH(B1530,$J$13:$J$27,0),1))))</f>
        <v/>
      </c>
      <c r="E1530" s="694"/>
      <c r="J1530" s="569" t="s">
        <v>121</v>
      </c>
      <c r="K1530" s="569">
        <v>20</v>
      </c>
    </row>
    <row r="1531" spans="1:11" ht="21" customHeight="1" thickBot="1">
      <c r="A1531" s="695">
        <v>15</v>
      </c>
      <c r="B1531" s="1006" t="s">
        <v>149</v>
      </c>
      <c r="C1531" s="1007"/>
      <c r="D1531" s="696">
        <f>IF(E1552="","",IF(INDEX(THHKI!$A$8:$Y$62,MATCH(PDHKI!E1552,THHKI!$A$8:$A$62,0),22)&lt;1,"/",INDEX(THHKI!$A$8:$Y$62,MATCH(PDHKI!E1552,THHKI!$A$8:$A$62,0),22)))</f>
        <v>9.3000000000000007</v>
      </c>
      <c r="E1531" s="697"/>
      <c r="J1531" s="569" t="s">
        <v>122</v>
      </c>
      <c r="K1531" s="569">
        <v>21</v>
      </c>
    </row>
    <row r="1532" spans="1:11" ht="15.75" customHeight="1" thickBot="1"/>
    <row r="1533" spans="1:11" s="570" customFormat="1" ht="21" customHeight="1">
      <c r="A1533" s="698"/>
      <c r="B1533" s="1019" t="s">
        <v>150</v>
      </c>
      <c r="C1533" s="1020"/>
      <c r="D1533" s="699" t="s">
        <v>10</v>
      </c>
      <c r="E1533" s="700" t="s">
        <v>126</v>
      </c>
    </row>
    <row r="1534" spans="1:11" ht="21" customHeight="1">
      <c r="A1534" s="701">
        <v>16</v>
      </c>
      <c r="B1534" s="1021" t="s">
        <v>151</v>
      </c>
      <c r="C1534" s="1022"/>
      <c r="D1534" s="702" t="str">
        <f>IF(E1552="","",IF(INDEX(THHKI!$A$8:$Y$62,MATCH(PDHKI!E1552,THHKI!$A$8:$A$62,0),23)="","/",INDEX(THHKI!$A$8:$Y$62,MATCH(PDHKI!E1552,THHKI!$A$8:$A$62,0),23)))</f>
        <v>Giỏi</v>
      </c>
      <c r="E1534" s="703"/>
    </row>
    <row r="1535" spans="1:11" ht="21" customHeight="1">
      <c r="A1535" s="701">
        <v>17</v>
      </c>
      <c r="B1535" s="1021" t="s">
        <v>152</v>
      </c>
      <c r="C1535" s="1022"/>
      <c r="D1535" s="702" t="str">
        <f>IF(E1552="","",IF(INDEX(THHKI!$A$8:$Y$62,MATCH(PDHKI!E1552,THHKI!$A$8:$A$62,0),24)="","/",INDEX(THHKI!$A$8:$Y$62,MATCH(PDHKI!E1552,THHKI!$A$8:$A$62,0),24)))</f>
        <v>Tốt</v>
      </c>
      <c r="E1535" s="703"/>
    </row>
    <row r="1536" spans="1:11" ht="21" customHeight="1" thickBot="1">
      <c r="A1536" s="704">
        <v>18</v>
      </c>
      <c r="B1536" s="1023" t="s">
        <v>153</v>
      </c>
      <c r="C1536" s="1024"/>
      <c r="D1536" s="705" t="str">
        <f>IF(E1552="","",IF(INDEX(THHKI!$A$8:$Y$62,MATCH(PDHKI!E1552,THHKI!$A$8:$A$62,0),25)="","/",INDEX(THHKI!$A$8:$Y$62,MATCH(PDHKI!E1552,THHKI!$A$8:$A$62,0),25)))</f>
        <v>HSG</v>
      </c>
      <c r="E1536" s="706"/>
    </row>
    <row r="1537" spans="1:8" ht="9.75" customHeight="1"/>
    <row r="1538" spans="1:8" ht="15.75" customHeight="1">
      <c r="A1538" s="58" t="s">
        <v>219</v>
      </c>
    </row>
    <row r="1539" spans="1:8" ht="18" customHeight="1">
      <c r="A1539" s="59" t="str">
        <f>IF(E1552="","",IF(INDEX(DiemHKI!$DE$4:$DH$58,MATCH(PDHKI!E1552,DiemHKI!$B$4:$B$58,0),1)="","","- "&amp;INDEX(DiemHKI!$DE$4:$DH$58,MATCH(PDHKI!E1552,DiemHKI!$B$4:$B$58,0),1)))</f>
        <v/>
      </c>
      <c r="H1539" s="571"/>
    </row>
    <row r="1540" spans="1:8" ht="18" customHeight="1">
      <c r="A1540" s="59" t="str">
        <f>IF(E1552="","",IF(INDEX(DiemHKI!$DE$4:$DH$58,MATCH(PDHKI!E1552,DiemHKI!$B$4:$B$58,0),2)="","","- "&amp;INDEX(DiemHKI!$DE$4:$DH$58,MATCH(PDHKI!E1552,DiemHKI!$B$4:$B$58,0),2)))</f>
        <v/>
      </c>
    </row>
    <row r="1541" spans="1:8" ht="18" customHeight="1">
      <c r="A1541" s="59" t="str">
        <f>IF(E1552="","",IF(INDEX(DiemHKI!$DE$4:$DH$58,MATCH(PDHKI!E1552,DiemHKI!$B$4:$B$58,0),3)="","","- "&amp;INDEX(DiemHKI!$DE$4:$DH$58,MATCH(PDHKI!E1552,DiemHKI!$B$4:$B$58,0),3)))</f>
        <v/>
      </c>
    </row>
    <row r="1542" spans="1:8" ht="18" customHeight="1">
      <c r="A1542" s="59" t="str">
        <f>IF(E1552="","",IF(INDEX(DiemHKI!$DE$4:$DH$58,MATCH(PDHKI!E1552,DiemHKI!$B$4:$B$58,0),4)="","","- "&amp;INDEX(DiemHKI!$DE$4:$DH$58,MATCH(PDHKI!E1552,DiemHKI!$B$4:$B$58,0),4)))</f>
        <v/>
      </c>
    </row>
    <row r="1543" spans="1:8" ht="6.75" customHeight="1"/>
    <row r="1544" spans="1:8" ht="16.5" customHeight="1">
      <c r="A1544" s="61"/>
      <c r="C1544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544" s="1026"/>
      <c r="E1544" s="1026"/>
    </row>
    <row r="1545" spans="1:8" ht="21.75" customHeight="1">
      <c r="A1545" s="923" t="str">
        <f>IF($D$41="Hiệu trưởng","Giáo viên Quản nhiệm","")</f>
        <v>Giáo viên Quản nhiệm</v>
      </c>
      <c r="B1545" s="923"/>
      <c r="C1545" s="923"/>
      <c r="D1545" s="707" t="str">
        <f>IF($G$5="","",$G$5)</f>
        <v>Hiệu trưởng</v>
      </c>
      <c r="E1545" s="708"/>
    </row>
    <row r="1546" spans="1:8" ht="15" customHeight="1">
      <c r="A1546" s="61"/>
      <c r="B1546" s="61"/>
      <c r="C1546" s="61"/>
      <c r="D1546" s="66"/>
      <c r="E1546" s="66"/>
    </row>
    <row r="1547" spans="1:8" ht="15" customHeight="1">
      <c r="A1547" s="61"/>
      <c r="B1547" s="61"/>
      <c r="C1547" s="61"/>
      <c r="D1547" s="66"/>
      <c r="E1547" s="66"/>
    </row>
    <row r="1548" spans="1:8" ht="15" customHeight="1">
      <c r="A1548" s="61"/>
      <c r="B1548" s="61"/>
      <c r="C1548" s="61"/>
    </row>
    <row r="1549" spans="1:8" ht="15" customHeight="1">
      <c r="A1549" s="61"/>
      <c r="B1549" s="61"/>
      <c r="C1549" s="61"/>
    </row>
    <row r="1550" spans="1:8" ht="16.5" customHeight="1">
      <c r="A1550" s="1012" t="str">
        <f>IF($A$41="","",PROPER('Huong dan'!$C$4))</f>
        <v/>
      </c>
      <c r="B1550" s="1012"/>
      <c r="C1550" s="1012"/>
      <c r="D1550" s="833" t="str">
        <f>IFERROR(IF($D$41="Giáo Viên Quản nhiệm",PROPER('Huong dan'!$C$4),IF($D$41="Hiệu trưởng",PROPER('Huong dan'!$E$5),"")),"")</f>
        <v/>
      </c>
      <c r="E1550" s="708"/>
    </row>
    <row r="1551" spans="1:8" ht="12.75" customHeight="1"/>
    <row r="1552" spans="1:8" ht="12.75" customHeight="1">
      <c r="A1552" s="709"/>
      <c r="B1552" s="709"/>
      <c r="C1552" s="709"/>
      <c r="D1552" s="710"/>
      <c r="E1552" s="711">
        <f>IF(E1505="","",IF(E1505&lt;MAX(DiemHKI!$B$4:$B$58),E1505+1,""))</f>
        <v>33</v>
      </c>
    </row>
    <row r="1553" spans="1:11" ht="8.25" customHeight="1">
      <c r="A1553" s="709"/>
      <c r="B1553" s="709"/>
      <c r="C1553" s="709"/>
      <c r="D1553" s="709"/>
      <c r="E1553" s="709"/>
    </row>
    <row r="1554" spans="1:11" ht="5.25" customHeight="1"/>
    <row r="1555" spans="1:11" s="563" customFormat="1" ht="23.25" customHeight="1">
      <c r="A1555" s="931" t="str">
        <f>IF('Huong dan'!$E$3&lt;&gt;"","SỞ GIÁO DỤC VÀ ĐÀO TẠO "&amp;UPPER('Huong dan'!$E$3),"")</f>
        <v>SỞ GIÁO DỤC VÀ ĐÀO TẠO TP. HỒ CHÍ MINH</v>
      </c>
      <c r="B1555" s="931"/>
      <c r="C1555" s="931"/>
      <c r="D1555" s="923" t="s">
        <v>19</v>
      </c>
      <c r="E1555" s="923"/>
    </row>
    <row r="1556" spans="1:11" ht="17.25" customHeight="1">
      <c r="A1556" s="931" t="str">
        <f>IF('Huong dan'!$E$4&lt;&gt;"","TRƯỜNG "&amp;UPPER('Huong dan'!$E$4),"")</f>
        <v>TRƯỜNG THCS VÀ THPT NGUYỄN KHUYẾN</v>
      </c>
      <c r="B1556" s="931"/>
      <c r="C1556" s="931"/>
      <c r="D1556" s="1012" t="s">
        <v>179</v>
      </c>
      <c r="E1556" s="1012"/>
    </row>
    <row r="1557" spans="1:11" ht="24" customHeight="1">
      <c r="A1557" s="61"/>
      <c r="B1557" s="61"/>
      <c r="C1557" s="61"/>
    </row>
    <row r="1558" spans="1:11" ht="29.25" customHeight="1">
      <c r="A1558" s="1013" t="str">
        <f>"PHIẾU ĐIỂM HỌC KỲ I - NĂM HỌC "&amp;'Huong dan'!$C$5</f>
        <v>PHIẾU ĐIỂM HỌC KỲ I - NĂM HỌC 2021 - 2022</v>
      </c>
      <c r="B1558" s="1013"/>
      <c r="C1558" s="1013"/>
      <c r="D1558" s="1013"/>
      <c r="E1558" s="1013"/>
    </row>
    <row r="1559" spans="1:11" ht="15.75" customHeight="1">
      <c r="A1559" s="680"/>
      <c r="B1559" s="680"/>
    </row>
    <row r="1560" spans="1:11" ht="21" customHeight="1">
      <c r="A1560" s="1014" t="s">
        <v>145</v>
      </c>
      <c r="B1560" s="1014"/>
      <c r="C1560" s="1015" t="str">
        <f>IF(E1599="","",INDEX(DiemHKI!$D$4:$D$58,MATCH(E1599,DiemHKI!$B$4:$B$58,0),1)&amp;" "&amp;INDEX(DiemHKI!$E$4:$E$58,MATCH(E1599,DiemHKI!$B$4:$B$58,0),1))</f>
        <v>Trần Kim Bảo Trân</v>
      </c>
      <c r="D1560" s="1015"/>
      <c r="E1560" s="62" t="str">
        <f>IF('Huong dan'!$C$3="","","Lớp: "&amp;'Huong dan'!$C$3)</f>
        <v>Lớp: 12A1</v>
      </c>
    </row>
    <row r="1561" spans="1:11" ht="23.25" customHeight="1">
      <c r="A1561" s="1014" t="s">
        <v>146</v>
      </c>
      <c r="B1561" s="1014"/>
      <c r="C1561" s="681" t="str">
        <f>IF(E1599="","",INDEX(DiemHKI!$F$4:$F$58,MATCH(PDHKI!E1599,DiemHKI!$B$4:$B$58,0),1))</f>
        <v>05/06/2004</v>
      </c>
      <c r="D1561" s="1016" t="str">
        <f>IF(E1599="","","Nơi sinh: "&amp;INDEX(DiemHKI!$G$4:$G$58,MATCH(PDHKI!E1599,DiemHKI!$B$4:$B$58,0),1))</f>
        <v>Nơi sinh: Bình Thuận</v>
      </c>
      <c r="E1561" s="1016"/>
    </row>
    <row r="1562" spans="1:11" ht="13.5" customHeight="1" thickBot="1">
      <c r="A1562" s="681"/>
      <c r="B1562" s="682"/>
      <c r="D1562" s="681"/>
      <c r="E1562" s="681"/>
    </row>
    <row r="1563" spans="1:11" ht="24" customHeight="1" thickBot="1">
      <c r="A1563" s="683" t="s">
        <v>0</v>
      </c>
      <c r="B1563" s="1006" t="s">
        <v>72</v>
      </c>
      <c r="C1563" s="1007"/>
      <c r="D1563" s="684" t="s">
        <v>147</v>
      </c>
      <c r="E1563" s="685" t="s">
        <v>148</v>
      </c>
    </row>
    <row r="1564" spans="1:11" ht="21" customHeight="1">
      <c r="A1564" s="686">
        <v>1</v>
      </c>
      <c r="B1564" s="1017" t="s">
        <v>26</v>
      </c>
      <c r="C1564" s="1018"/>
      <c r="D1564" s="687">
        <f>IF(E1599="","",IF(INDEX(THHKI!$A$8:$Y$62,MATCH(PDHKI!E1599,THHKI!$A$8:$A$62,0),INDEX($K$13:$K$27,MATCH(B1564,$J$13:$J$27,0),1))&lt;1,"/",INDEX(THHKI!$A$8:$Y$62,MATCH(PDHKI!E1599,THHKI!$A$8:$A$62,0),INDEX($K$13:$K$27,MATCH(B1564,$J$13:$J$27,0),1))))</f>
        <v>9.1999999999999993</v>
      </c>
      <c r="E1564" s="688"/>
      <c r="J1564" s="569" t="s">
        <v>26</v>
      </c>
      <c r="K1564" s="569">
        <v>7</v>
      </c>
    </row>
    <row r="1565" spans="1:11" ht="21" customHeight="1">
      <c r="A1565" s="689">
        <v>2</v>
      </c>
      <c r="B1565" s="1008" t="s">
        <v>27</v>
      </c>
      <c r="C1565" s="1009"/>
      <c r="D1565" s="690">
        <f>IF(E1599="","",IF(INDEX(THHKI!$A$8:$Y$62,MATCH(PDHKI!E1599,THHKI!$A$8:$A$62,0),INDEX($K$13:$K$27,MATCH(B1565,$J$13:$J$27,0),1))&lt;1,"/",INDEX(THHKI!$A$8:$Y$62,MATCH(PDHKI!E1599,THHKI!$A$8:$A$62,0),INDEX($K$13:$K$27,MATCH(B1565,$J$13:$J$27,0),1))))</f>
        <v>8.6999999999999993</v>
      </c>
      <c r="E1565" s="691"/>
      <c r="J1565" s="569" t="s">
        <v>27</v>
      </c>
      <c r="K1565" s="569">
        <v>8</v>
      </c>
    </row>
    <row r="1566" spans="1:11" ht="21" customHeight="1">
      <c r="A1566" s="689">
        <v>3</v>
      </c>
      <c r="B1566" s="1008" t="s">
        <v>28</v>
      </c>
      <c r="C1566" s="1009"/>
      <c r="D1566" s="690">
        <f>IF(E1599="","",IF(INDEX(THHKI!$A$8:$Y$62,MATCH(PDHKI!E1599,THHKI!$A$8:$A$62,0),INDEX($K$13:$K$27,MATCH(B1566,$J$13:$J$27,0),1))&lt;1,"/",INDEX(THHKI!$A$8:$Y$62,MATCH(PDHKI!E1599,THHKI!$A$8:$A$62,0),INDEX($K$13:$K$27,MATCH(B1566,$J$13:$J$27,0),1))))</f>
        <v>9.1999999999999993</v>
      </c>
      <c r="E1566" s="691"/>
      <c r="J1566" s="569" t="s">
        <v>28</v>
      </c>
      <c r="K1566" s="569">
        <v>9</v>
      </c>
    </row>
    <row r="1567" spans="1:11" ht="21" customHeight="1">
      <c r="A1567" s="689">
        <v>4</v>
      </c>
      <c r="B1567" s="1008" t="s">
        <v>29</v>
      </c>
      <c r="C1567" s="1009"/>
      <c r="D1567" s="690">
        <f>IF(E1599="","",IF(INDEX(THHKI!$A$8:$Y$62,MATCH(PDHKI!E1599,THHKI!$A$8:$A$62,0),INDEX($K$13:$K$27,MATCH(B1567,$J$13:$J$27,0),1))&lt;1,"/",INDEX(THHKI!$A$8:$Y$62,MATCH(PDHKI!E1599,THHKI!$A$8:$A$62,0),INDEX($K$13:$K$27,MATCH(B1567,$J$13:$J$27,0),1))))</f>
        <v>8.8000000000000007</v>
      </c>
      <c r="E1567" s="691"/>
      <c r="J1567" s="569" t="s">
        <v>29</v>
      </c>
      <c r="K1567" s="569">
        <v>10</v>
      </c>
    </row>
    <row r="1568" spans="1:11" ht="21" customHeight="1">
      <c r="A1568" s="689">
        <v>5</v>
      </c>
      <c r="B1568" s="1008" t="s">
        <v>120</v>
      </c>
      <c r="C1568" s="1009"/>
      <c r="D1568" s="690">
        <f>IF(E1599="","",IF(INDEX(THHKI!$A$8:$Y$62,MATCH(PDHKI!E1599,THHKI!$A$8:$A$62,0),INDEX($K$13:$K$27,MATCH(B1568,$J$13:$J$27,0),1))&lt;1,"/",INDEX(THHKI!$A$8:$Y$62,MATCH(PDHKI!E1599,THHKI!$A$8:$A$62,0),INDEX($K$13:$K$27,MATCH(B1568,$J$13:$J$27,0),1))))</f>
        <v>9.6</v>
      </c>
      <c r="E1568" s="691"/>
      <c r="J1568" s="569" t="s">
        <v>120</v>
      </c>
      <c r="K1568" s="569">
        <v>11</v>
      </c>
    </row>
    <row r="1569" spans="1:11" ht="21" customHeight="1">
      <c r="A1569" s="689">
        <v>6</v>
      </c>
      <c r="B1569" s="1008" t="s">
        <v>30</v>
      </c>
      <c r="C1569" s="1009"/>
      <c r="D1569" s="690">
        <f>IF(E1599="","",IF(INDEX(THHKI!$A$8:$Y$62,MATCH(PDHKI!E1599,THHKI!$A$8:$A$62,0),INDEX($K$13:$K$27,MATCH(B1569,$J$13:$J$27,0),1))&lt;1,"/",INDEX(THHKI!$A$8:$Y$62,MATCH(PDHKI!E1599,THHKI!$A$8:$A$62,0),INDEX($K$13:$K$27,MATCH(B1569,$J$13:$J$27,0),1))))</f>
        <v>8</v>
      </c>
      <c r="E1569" s="691"/>
      <c r="J1569" s="569" t="s">
        <v>30</v>
      </c>
      <c r="K1569" s="569">
        <v>12</v>
      </c>
    </row>
    <row r="1570" spans="1:11" ht="21" customHeight="1">
      <c r="A1570" s="689">
        <v>7</v>
      </c>
      <c r="B1570" s="1008" t="s">
        <v>31</v>
      </c>
      <c r="C1570" s="1009"/>
      <c r="D1570" s="690">
        <f>IF(E1599="","",IF(INDEX(THHKI!$A$8:$Y$62,MATCH(PDHKI!E1599,THHKI!$A$8:$A$62,0),INDEX($K$13:$K$27,MATCH(B1570,$J$13:$J$27,0),1))&lt;1,"/",INDEX(THHKI!$A$8:$Y$62,MATCH(PDHKI!E1599,THHKI!$A$8:$A$62,0),INDEX($K$13:$K$27,MATCH(B1570,$J$13:$J$27,0),1))))</f>
        <v>9.8000000000000007</v>
      </c>
      <c r="E1570" s="691"/>
      <c r="J1570" s="569" t="s">
        <v>31</v>
      </c>
      <c r="K1570" s="569">
        <v>13</v>
      </c>
    </row>
    <row r="1571" spans="1:11" ht="21" customHeight="1">
      <c r="A1571" s="689">
        <v>8</v>
      </c>
      <c r="B1571" s="1008" t="s">
        <v>32</v>
      </c>
      <c r="C1571" s="1009"/>
      <c r="D1571" s="690">
        <f>IF(E1599="","",IF(INDEX(THHKI!$A$8:$Y$62,MATCH(PDHKI!E1599,THHKI!$A$8:$A$62,0),INDEX($K$13:$K$27,MATCH(B1571,$J$13:$J$27,0),1))&lt;1,"/",INDEX(THHKI!$A$8:$Y$62,MATCH(PDHKI!E1599,THHKI!$A$8:$A$62,0),INDEX($K$13:$K$27,MATCH(B1571,$J$13:$J$27,0),1))))</f>
        <v>9.9</v>
      </c>
      <c r="E1571" s="691"/>
      <c r="J1571" s="569" t="s">
        <v>32</v>
      </c>
      <c r="K1571" s="569">
        <v>14</v>
      </c>
    </row>
    <row r="1572" spans="1:11" ht="21" customHeight="1">
      <c r="A1572" s="689">
        <v>9</v>
      </c>
      <c r="B1572" s="1008" t="s">
        <v>33</v>
      </c>
      <c r="C1572" s="1009"/>
      <c r="D1572" s="690">
        <f>IF(E1599="","",IF(INDEX(THHKI!$A$8:$Y$62,MATCH(PDHKI!E1599,THHKI!$A$8:$A$62,0),INDEX($K$13:$K$27,MATCH(B1572,$J$13:$J$27,0),1))&lt;1,"/",INDEX(THHKI!$A$8:$Y$62,MATCH(PDHKI!E1599,THHKI!$A$8:$A$62,0),INDEX($K$13:$K$27,MATCH(B1572,$J$13:$J$27,0),1))))</f>
        <v>8.8000000000000007</v>
      </c>
      <c r="E1572" s="691"/>
      <c r="J1572" s="569" t="s">
        <v>33</v>
      </c>
      <c r="K1572" s="569">
        <v>15</v>
      </c>
    </row>
    <row r="1573" spans="1:11" ht="21" customHeight="1">
      <c r="A1573" s="689">
        <v>10</v>
      </c>
      <c r="B1573" s="1008" t="s">
        <v>60</v>
      </c>
      <c r="C1573" s="1009"/>
      <c r="D1573" s="690">
        <f>IF(E1599="","",IF(INDEX(THHKI!$A$8:$Y$62,MATCH(PDHKI!E1599,THHKI!$A$8:$A$62,0),INDEX($K$13:$K$27,MATCH(B1573,$J$13:$J$27,0),1))&lt;1,"/",INDEX(THHKI!$A$8:$Y$62,MATCH(PDHKI!E1599,THHKI!$A$8:$A$62,0),INDEX($K$13:$K$27,MATCH(B1573,$J$13:$J$27,0),1))))</f>
        <v>9.4</v>
      </c>
      <c r="E1573" s="691"/>
      <c r="J1573" s="569" t="s">
        <v>60</v>
      </c>
      <c r="K1573" s="569">
        <v>16</v>
      </c>
    </row>
    <row r="1574" spans="1:11" ht="21" customHeight="1">
      <c r="A1574" s="689">
        <v>11</v>
      </c>
      <c r="B1574" s="1008" t="s">
        <v>34</v>
      </c>
      <c r="C1574" s="1009"/>
      <c r="D1574" s="690">
        <f>IF(E1599="","",IF(INDEX(THHKI!$A$8:$Y$62,MATCH(PDHKI!E1599,THHKI!$A$8:$A$62,0),INDEX($K$13:$K$27,MATCH(B1574,$J$13:$J$27,0),1))&lt;1,"/",INDEX(THHKI!$A$8:$Y$62,MATCH(PDHKI!E1599,THHKI!$A$8:$A$62,0),INDEX($K$13:$K$27,MATCH(B1574,$J$13:$J$27,0),1))))</f>
        <v>9.9</v>
      </c>
      <c r="E1574" s="691"/>
      <c r="J1574" s="569" t="s">
        <v>34</v>
      </c>
      <c r="K1574" s="569">
        <v>17</v>
      </c>
    </row>
    <row r="1575" spans="1:11" ht="21" customHeight="1">
      <c r="A1575" s="689">
        <v>12</v>
      </c>
      <c r="B1575" s="1008" t="s">
        <v>35</v>
      </c>
      <c r="C1575" s="1009"/>
      <c r="D1575" s="690" t="str">
        <f>IF(E1599="","",IF(INDEX(THHKI!$A$8:$Y$62,MATCH(PDHKI!E1599,THHKI!$A$8:$A$62,0),INDEX($K$13:$K$27,MATCH(B1575,$J$13:$J$27,0),1))&lt;1,"/",INDEX(THHKI!$A$8:$Y$62,MATCH(PDHKI!E1599,THHKI!$A$8:$A$62,0),INDEX($K$13:$K$27,MATCH(B1575,$J$13:$J$27,0),1))))</f>
        <v>Đ</v>
      </c>
      <c r="E1575" s="691"/>
      <c r="J1575" s="569" t="s">
        <v>35</v>
      </c>
      <c r="K1575" s="569">
        <v>18</v>
      </c>
    </row>
    <row r="1576" spans="1:11" ht="21" customHeight="1">
      <c r="A1576" s="689">
        <v>13</v>
      </c>
      <c r="B1576" s="1008" t="s">
        <v>121</v>
      </c>
      <c r="C1576" s="1009"/>
      <c r="D1576" s="690">
        <f>IF(E1599="","",IF(INDEX(THHKI!$A$8:$Y$62,MATCH(PDHKI!E1599,THHKI!$A$8:$A$62,0),INDEX($K$13:$K$27,MATCH(B1576,$J$13:$J$27,0),1))&lt;1,"/",INDEX(THHKI!$A$8:$Y$62,MATCH(PDHKI!E1599,THHKI!$A$8:$A$62,0),INDEX($K$13:$K$27,MATCH(B1576,$J$13:$J$27,0),1))))</f>
        <v>9.9</v>
      </c>
      <c r="E1576" s="691"/>
      <c r="J1576" s="569" t="s">
        <v>22</v>
      </c>
      <c r="K1576" s="569">
        <v>19</v>
      </c>
    </row>
    <row r="1577" spans="1:11" ht="21" customHeight="1" thickBot="1">
      <c r="A1577" s="692">
        <v>14</v>
      </c>
      <c r="B1577" s="1010" t="s">
        <v>122</v>
      </c>
      <c r="C1577" s="1011"/>
      <c r="D1577" s="693" t="str">
        <f>IF(E1599="","",IF(INDEX(THHKI!$A$8:$Y$62,MATCH(PDHKI!E1599,THHKI!$A$8:$A$62,0),INDEX($K$13:$K$27,MATCH(B1577,$J$13:$J$27,0),1))&lt;1,"/",INDEX(THHKI!$A$8:$Y$62,MATCH(PDHKI!E1599,THHKI!$A$8:$A$62,0),INDEX($K$13:$K$27,MATCH(B1577,$J$13:$J$27,0),1))))</f>
        <v/>
      </c>
      <c r="E1577" s="694"/>
      <c r="J1577" s="569" t="s">
        <v>121</v>
      </c>
      <c r="K1577" s="569">
        <v>20</v>
      </c>
    </row>
    <row r="1578" spans="1:11" ht="21" customHeight="1" thickBot="1">
      <c r="A1578" s="695">
        <v>15</v>
      </c>
      <c r="B1578" s="1006" t="s">
        <v>149</v>
      </c>
      <c r="C1578" s="1007"/>
      <c r="D1578" s="696">
        <f>IF(E1599="","",IF(INDEX(THHKI!$A$8:$Y$62,MATCH(PDHKI!E1599,THHKI!$A$8:$A$62,0),22)&lt;1,"/",INDEX(THHKI!$A$8:$Y$62,MATCH(PDHKI!E1599,THHKI!$A$8:$A$62,0),22)))</f>
        <v>9.3000000000000007</v>
      </c>
      <c r="E1578" s="697"/>
      <c r="J1578" s="569" t="s">
        <v>122</v>
      </c>
      <c r="K1578" s="569">
        <v>21</v>
      </c>
    </row>
    <row r="1579" spans="1:11" ht="15.75" customHeight="1" thickBot="1"/>
    <row r="1580" spans="1:11" s="570" customFormat="1" ht="21" customHeight="1">
      <c r="A1580" s="698"/>
      <c r="B1580" s="1019" t="s">
        <v>150</v>
      </c>
      <c r="C1580" s="1020"/>
      <c r="D1580" s="699" t="s">
        <v>10</v>
      </c>
      <c r="E1580" s="700" t="s">
        <v>126</v>
      </c>
    </row>
    <row r="1581" spans="1:11" ht="21" customHeight="1">
      <c r="A1581" s="701">
        <v>16</v>
      </c>
      <c r="B1581" s="1021" t="s">
        <v>151</v>
      </c>
      <c r="C1581" s="1022"/>
      <c r="D1581" s="702" t="str">
        <f>IF(E1599="","",IF(INDEX(THHKI!$A$8:$Y$62,MATCH(PDHKI!E1599,THHKI!$A$8:$A$62,0),23)="","/",INDEX(THHKI!$A$8:$Y$62,MATCH(PDHKI!E1599,THHKI!$A$8:$A$62,0),23)))</f>
        <v>Giỏi</v>
      </c>
      <c r="E1581" s="703"/>
    </row>
    <row r="1582" spans="1:11" ht="21" customHeight="1">
      <c r="A1582" s="701">
        <v>17</v>
      </c>
      <c r="B1582" s="1021" t="s">
        <v>152</v>
      </c>
      <c r="C1582" s="1022"/>
      <c r="D1582" s="702" t="str">
        <f>IF(E1599="","",IF(INDEX(THHKI!$A$8:$Y$62,MATCH(PDHKI!E1599,THHKI!$A$8:$A$62,0),24)="","/",INDEX(THHKI!$A$8:$Y$62,MATCH(PDHKI!E1599,THHKI!$A$8:$A$62,0),24)))</f>
        <v>Tốt</v>
      </c>
      <c r="E1582" s="703"/>
    </row>
    <row r="1583" spans="1:11" ht="21" customHeight="1" thickBot="1">
      <c r="A1583" s="704">
        <v>18</v>
      </c>
      <c r="B1583" s="1023" t="s">
        <v>153</v>
      </c>
      <c r="C1583" s="1024"/>
      <c r="D1583" s="705" t="str">
        <f>IF(E1599="","",IF(INDEX(THHKI!$A$8:$Y$62,MATCH(PDHKI!E1599,THHKI!$A$8:$A$62,0),25)="","/",INDEX(THHKI!$A$8:$Y$62,MATCH(PDHKI!E1599,THHKI!$A$8:$A$62,0),25)))</f>
        <v>HSG</v>
      </c>
      <c r="E1583" s="706"/>
    </row>
    <row r="1584" spans="1:11" ht="9.75" customHeight="1"/>
    <row r="1585" spans="1:8" ht="15.75" customHeight="1">
      <c r="A1585" s="58" t="s">
        <v>219</v>
      </c>
    </row>
    <row r="1586" spans="1:8" ht="18" customHeight="1">
      <c r="A1586" s="59" t="str">
        <f>IF(E1599="","",IF(INDEX(DiemHKI!$DE$4:$DH$58,MATCH(PDHKI!E1599,DiemHKI!$B$4:$B$58,0),1)="","","- "&amp;INDEX(DiemHKI!$DE$4:$DH$58,MATCH(PDHKI!E1599,DiemHKI!$B$4:$B$58,0),1)))</f>
        <v/>
      </c>
      <c r="H1586" s="571"/>
    </row>
    <row r="1587" spans="1:8" ht="18" customHeight="1">
      <c r="A1587" s="59" t="str">
        <f>IF(E1599="","",IF(INDEX(DiemHKI!$DE$4:$DH$58,MATCH(PDHKI!E1599,DiemHKI!$B$4:$B$58,0),2)="","","- "&amp;INDEX(DiemHKI!$DE$4:$DH$58,MATCH(PDHKI!E1599,DiemHKI!$B$4:$B$58,0),2)))</f>
        <v/>
      </c>
    </row>
    <row r="1588" spans="1:8" ht="18" customHeight="1">
      <c r="A1588" s="59" t="str">
        <f>IF(E1599="","",IF(INDEX(DiemHKI!$DE$4:$DH$58,MATCH(PDHKI!E1599,DiemHKI!$B$4:$B$58,0),3)="","","- "&amp;INDEX(DiemHKI!$DE$4:$DH$58,MATCH(PDHKI!E1599,DiemHKI!$B$4:$B$58,0),3)))</f>
        <v/>
      </c>
    </row>
    <row r="1589" spans="1:8" ht="18" customHeight="1">
      <c r="A1589" s="59" t="str">
        <f>IF(E1599="","",IF(INDEX(DiemHKI!$DE$4:$DH$58,MATCH(PDHKI!E1599,DiemHKI!$B$4:$B$58,0),4)="","","- "&amp;INDEX(DiemHKI!$DE$4:$DH$58,MATCH(PDHKI!E1599,DiemHKI!$B$4:$B$58,0),4)))</f>
        <v/>
      </c>
    </row>
    <row r="1590" spans="1:8" ht="6.75" customHeight="1"/>
    <row r="1591" spans="1:8" ht="16.5" customHeight="1">
      <c r="A1591" s="61"/>
      <c r="C1591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591" s="1026"/>
      <c r="E1591" s="1026"/>
    </row>
    <row r="1592" spans="1:8" ht="21.75" customHeight="1">
      <c r="A1592" s="923" t="str">
        <f>IF($D$41="Hiệu trưởng","Giáo viên Quản nhiệm","")</f>
        <v>Giáo viên Quản nhiệm</v>
      </c>
      <c r="B1592" s="923"/>
      <c r="C1592" s="923"/>
      <c r="D1592" s="707" t="str">
        <f>IF($G$5="","",$G$5)</f>
        <v>Hiệu trưởng</v>
      </c>
      <c r="E1592" s="708"/>
    </row>
    <row r="1593" spans="1:8" ht="15" customHeight="1">
      <c r="A1593" s="61"/>
      <c r="B1593" s="61"/>
      <c r="C1593" s="61"/>
      <c r="D1593" s="66"/>
      <c r="E1593" s="66"/>
    </row>
    <row r="1594" spans="1:8" ht="15" customHeight="1">
      <c r="A1594" s="61"/>
      <c r="B1594" s="61"/>
      <c r="C1594" s="61"/>
      <c r="D1594" s="66"/>
      <c r="E1594" s="66"/>
    </row>
    <row r="1595" spans="1:8" ht="15" customHeight="1">
      <c r="A1595" s="61"/>
      <c r="B1595" s="61"/>
      <c r="C1595" s="61"/>
    </row>
    <row r="1596" spans="1:8" ht="15" customHeight="1">
      <c r="A1596" s="61"/>
      <c r="B1596" s="61"/>
      <c r="C1596" s="61"/>
    </row>
    <row r="1597" spans="1:8" ht="16.5" customHeight="1">
      <c r="A1597" s="1012" t="str">
        <f>IF($A$41="","",PROPER('Huong dan'!$C$4))</f>
        <v/>
      </c>
      <c r="B1597" s="1012"/>
      <c r="C1597" s="1012"/>
      <c r="D1597" s="833" t="str">
        <f>IFERROR(IF($D$41="Giáo Viên Quản nhiệm",PROPER('Huong dan'!$C$4),IF($D$41="Hiệu trưởng",PROPER('Huong dan'!$E$5),"")),"")</f>
        <v/>
      </c>
      <c r="E1597" s="708"/>
    </row>
    <row r="1598" spans="1:8" ht="12.75" customHeight="1"/>
    <row r="1599" spans="1:8" ht="12.75" customHeight="1">
      <c r="A1599" s="709"/>
      <c r="B1599" s="709"/>
      <c r="C1599" s="709"/>
      <c r="D1599" s="710"/>
      <c r="E1599" s="711">
        <f>IF(E1552="","",IF(E1552&lt;MAX(DiemHKI!$B$4:$B$58),E1552+1,""))</f>
        <v>34</v>
      </c>
    </row>
    <row r="1600" spans="1:8" ht="8.25" customHeight="1">
      <c r="A1600" s="709"/>
      <c r="B1600" s="709"/>
      <c r="C1600" s="709"/>
      <c r="D1600" s="709"/>
      <c r="E1600" s="709"/>
    </row>
    <row r="1601" spans="1:11" ht="5.25" customHeight="1"/>
    <row r="1602" spans="1:11" s="563" customFormat="1" ht="23.25" customHeight="1">
      <c r="A1602" s="931" t="str">
        <f>IF('Huong dan'!$E$3&lt;&gt;"","SỞ GIÁO DỤC VÀ ĐÀO TẠO "&amp;UPPER('Huong dan'!$E$3),"")</f>
        <v>SỞ GIÁO DỤC VÀ ĐÀO TẠO TP. HỒ CHÍ MINH</v>
      </c>
      <c r="B1602" s="931"/>
      <c r="C1602" s="931"/>
      <c r="D1602" s="923" t="s">
        <v>19</v>
      </c>
      <c r="E1602" s="923"/>
    </row>
    <row r="1603" spans="1:11" ht="17.25" customHeight="1">
      <c r="A1603" s="931" t="str">
        <f>IF('Huong dan'!$E$4&lt;&gt;"","TRƯỜNG "&amp;UPPER('Huong dan'!$E$4),"")</f>
        <v>TRƯỜNG THCS VÀ THPT NGUYỄN KHUYẾN</v>
      </c>
      <c r="B1603" s="931"/>
      <c r="C1603" s="931"/>
      <c r="D1603" s="1012" t="s">
        <v>179</v>
      </c>
      <c r="E1603" s="1012"/>
    </row>
    <row r="1604" spans="1:11" ht="24" customHeight="1">
      <c r="A1604" s="61"/>
      <c r="B1604" s="61"/>
      <c r="C1604" s="61"/>
    </row>
    <row r="1605" spans="1:11" ht="29.25" customHeight="1">
      <c r="A1605" s="1013" t="str">
        <f>"PHIẾU ĐIỂM HỌC KỲ I - NĂM HỌC "&amp;'Huong dan'!$C$5</f>
        <v>PHIẾU ĐIỂM HỌC KỲ I - NĂM HỌC 2021 - 2022</v>
      </c>
      <c r="B1605" s="1013"/>
      <c r="C1605" s="1013"/>
      <c r="D1605" s="1013"/>
      <c r="E1605" s="1013"/>
    </row>
    <row r="1606" spans="1:11" ht="15.75" customHeight="1">
      <c r="A1606" s="680"/>
      <c r="B1606" s="680"/>
    </row>
    <row r="1607" spans="1:11" ht="21" customHeight="1">
      <c r="A1607" s="1014" t="s">
        <v>145</v>
      </c>
      <c r="B1607" s="1014"/>
      <c r="C1607" s="1015" t="str">
        <f>IF(E1646="","",INDEX(DiemHKI!$D$4:$D$58,MATCH(E1646,DiemHKI!$B$4:$B$58,0),1)&amp;" "&amp;INDEX(DiemHKI!$E$4:$E$58,MATCH(E1646,DiemHKI!$B$4:$B$58,0),1))</f>
        <v>Phạm Đức Trung</v>
      </c>
      <c r="D1607" s="1015"/>
      <c r="E1607" s="62" t="str">
        <f>IF('Huong dan'!$C$3="","","Lớp: "&amp;'Huong dan'!$C$3)</f>
        <v>Lớp: 12A1</v>
      </c>
    </row>
    <row r="1608" spans="1:11" ht="23.25" customHeight="1">
      <c r="A1608" s="1014" t="s">
        <v>146</v>
      </c>
      <c r="B1608" s="1014"/>
      <c r="C1608" s="681" t="str">
        <f>IF(E1646="","",INDEX(DiemHKI!$F$4:$F$58,MATCH(PDHKI!E1646,DiemHKI!$B$4:$B$58,0),1))</f>
        <v>07/10/2004</v>
      </c>
      <c r="D1608" s="1016" t="str">
        <f>IF(E1646="","","Nơi sinh: "&amp;INDEX(DiemHKI!$G$4:$G$58,MATCH(PDHKI!E1646,DiemHKI!$B$4:$B$58,0),1))</f>
        <v>Nơi sinh: TP. Hồ Chí Minh</v>
      </c>
      <c r="E1608" s="1016"/>
    </row>
    <row r="1609" spans="1:11" ht="13.5" customHeight="1" thickBot="1">
      <c r="A1609" s="681"/>
      <c r="B1609" s="682"/>
      <c r="D1609" s="681"/>
      <c r="E1609" s="681"/>
    </row>
    <row r="1610" spans="1:11" ht="24" customHeight="1" thickBot="1">
      <c r="A1610" s="683" t="s">
        <v>0</v>
      </c>
      <c r="B1610" s="1006" t="s">
        <v>72</v>
      </c>
      <c r="C1610" s="1007"/>
      <c r="D1610" s="684" t="s">
        <v>147</v>
      </c>
      <c r="E1610" s="685" t="s">
        <v>148</v>
      </c>
    </row>
    <row r="1611" spans="1:11" ht="21" customHeight="1">
      <c r="A1611" s="686">
        <v>1</v>
      </c>
      <c r="B1611" s="1017" t="s">
        <v>26</v>
      </c>
      <c r="C1611" s="1018"/>
      <c r="D1611" s="687">
        <f>IF(E1646="","",IF(INDEX(THHKI!$A$8:$Y$62,MATCH(PDHKI!E1646,THHKI!$A$8:$A$62,0),INDEX($K$13:$K$27,MATCH(B1611,$J$13:$J$27,0),1))&lt;1,"/",INDEX(THHKI!$A$8:$Y$62,MATCH(PDHKI!E1646,THHKI!$A$8:$A$62,0),INDEX($K$13:$K$27,MATCH(B1611,$J$13:$J$27,0),1))))</f>
        <v>9.9</v>
      </c>
      <c r="E1611" s="688"/>
      <c r="J1611" s="569" t="s">
        <v>26</v>
      </c>
      <c r="K1611" s="569">
        <v>7</v>
      </c>
    </row>
    <row r="1612" spans="1:11" ht="21" customHeight="1">
      <c r="A1612" s="689">
        <v>2</v>
      </c>
      <c r="B1612" s="1008" t="s">
        <v>27</v>
      </c>
      <c r="C1612" s="1009"/>
      <c r="D1612" s="690">
        <f>IF(E1646="","",IF(INDEX(THHKI!$A$8:$Y$62,MATCH(PDHKI!E1646,THHKI!$A$8:$A$62,0),INDEX($K$13:$K$27,MATCH(B1612,$J$13:$J$27,0),1))&lt;1,"/",INDEX(THHKI!$A$8:$Y$62,MATCH(PDHKI!E1646,THHKI!$A$8:$A$62,0),INDEX($K$13:$K$27,MATCH(B1612,$J$13:$J$27,0),1))))</f>
        <v>9.6</v>
      </c>
      <c r="E1612" s="691"/>
      <c r="J1612" s="569" t="s">
        <v>27</v>
      </c>
      <c r="K1612" s="569">
        <v>8</v>
      </c>
    </row>
    <row r="1613" spans="1:11" ht="21" customHeight="1">
      <c r="A1613" s="689">
        <v>3</v>
      </c>
      <c r="B1613" s="1008" t="s">
        <v>28</v>
      </c>
      <c r="C1613" s="1009"/>
      <c r="D1613" s="690">
        <f>IF(E1646="","",IF(INDEX(THHKI!$A$8:$Y$62,MATCH(PDHKI!E1646,THHKI!$A$8:$A$62,0),INDEX($K$13:$K$27,MATCH(B1613,$J$13:$J$27,0),1))&lt;1,"/",INDEX(THHKI!$A$8:$Y$62,MATCH(PDHKI!E1646,THHKI!$A$8:$A$62,0),INDEX($K$13:$K$27,MATCH(B1613,$J$13:$J$27,0),1))))</f>
        <v>9.8000000000000007</v>
      </c>
      <c r="E1613" s="691"/>
      <c r="J1613" s="569" t="s">
        <v>28</v>
      </c>
      <c r="K1613" s="569">
        <v>9</v>
      </c>
    </row>
    <row r="1614" spans="1:11" ht="21" customHeight="1">
      <c r="A1614" s="689">
        <v>4</v>
      </c>
      <c r="B1614" s="1008" t="s">
        <v>29</v>
      </c>
      <c r="C1614" s="1009"/>
      <c r="D1614" s="690">
        <f>IF(E1646="","",IF(INDEX(THHKI!$A$8:$Y$62,MATCH(PDHKI!E1646,THHKI!$A$8:$A$62,0),INDEX($K$13:$K$27,MATCH(B1614,$J$13:$J$27,0),1))&lt;1,"/",INDEX(THHKI!$A$8:$Y$62,MATCH(PDHKI!E1646,THHKI!$A$8:$A$62,0),INDEX($K$13:$K$27,MATCH(B1614,$J$13:$J$27,0),1))))</f>
        <v>9.8000000000000007</v>
      </c>
      <c r="E1614" s="691"/>
      <c r="J1614" s="569" t="s">
        <v>29</v>
      </c>
      <c r="K1614" s="569">
        <v>10</v>
      </c>
    </row>
    <row r="1615" spans="1:11" ht="21" customHeight="1">
      <c r="A1615" s="689">
        <v>5</v>
      </c>
      <c r="B1615" s="1008" t="s">
        <v>120</v>
      </c>
      <c r="C1615" s="1009"/>
      <c r="D1615" s="690">
        <f>IF(E1646="","",IF(INDEX(THHKI!$A$8:$Y$62,MATCH(PDHKI!E1646,THHKI!$A$8:$A$62,0),INDEX($K$13:$K$27,MATCH(B1615,$J$13:$J$27,0),1))&lt;1,"/",INDEX(THHKI!$A$8:$Y$62,MATCH(PDHKI!E1646,THHKI!$A$8:$A$62,0),INDEX($K$13:$K$27,MATCH(B1615,$J$13:$J$27,0),1))))</f>
        <v>9.8000000000000007</v>
      </c>
      <c r="E1615" s="691"/>
      <c r="J1615" s="569" t="s">
        <v>120</v>
      </c>
      <c r="K1615" s="569">
        <v>11</v>
      </c>
    </row>
    <row r="1616" spans="1:11" ht="21" customHeight="1">
      <c r="A1616" s="689">
        <v>6</v>
      </c>
      <c r="B1616" s="1008" t="s">
        <v>30</v>
      </c>
      <c r="C1616" s="1009"/>
      <c r="D1616" s="690">
        <f>IF(E1646="","",IF(INDEX(THHKI!$A$8:$Y$62,MATCH(PDHKI!E1646,THHKI!$A$8:$A$62,0),INDEX($K$13:$K$27,MATCH(B1616,$J$13:$J$27,0),1))&lt;1,"/",INDEX(THHKI!$A$8:$Y$62,MATCH(PDHKI!E1646,THHKI!$A$8:$A$62,0),INDEX($K$13:$K$27,MATCH(B1616,$J$13:$J$27,0),1))))</f>
        <v>7.5</v>
      </c>
      <c r="E1616" s="691"/>
      <c r="J1616" s="569" t="s">
        <v>30</v>
      </c>
      <c r="K1616" s="569">
        <v>12</v>
      </c>
    </row>
    <row r="1617" spans="1:11" ht="21" customHeight="1">
      <c r="A1617" s="689">
        <v>7</v>
      </c>
      <c r="B1617" s="1008" t="s">
        <v>31</v>
      </c>
      <c r="C1617" s="1009"/>
      <c r="D1617" s="690">
        <f>IF(E1646="","",IF(INDEX(THHKI!$A$8:$Y$62,MATCH(PDHKI!E1646,THHKI!$A$8:$A$62,0),INDEX($K$13:$K$27,MATCH(B1617,$J$13:$J$27,0),1))&lt;1,"/",INDEX(THHKI!$A$8:$Y$62,MATCH(PDHKI!E1646,THHKI!$A$8:$A$62,0),INDEX($K$13:$K$27,MATCH(B1617,$J$13:$J$27,0),1))))</f>
        <v>9.8000000000000007</v>
      </c>
      <c r="E1617" s="691"/>
      <c r="J1617" s="569" t="s">
        <v>31</v>
      </c>
      <c r="K1617" s="569">
        <v>13</v>
      </c>
    </row>
    <row r="1618" spans="1:11" ht="21" customHeight="1">
      <c r="A1618" s="689">
        <v>8</v>
      </c>
      <c r="B1618" s="1008" t="s">
        <v>32</v>
      </c>
      <c r="C1618" s="1009"/>
      <c r="D1618" s="690">
        <f>IF(E1646="","",IF(INDEX(THHKI!$A$8:$Y$62,MATCH(PDHKI!E1646,THHKI!$A$8:$A$62,0),INDEX($K$13:$K$27,MATCH(B1618,$J$13:$J$27,0),1))&lt;1,"/",INDEX(THHKI!$A$8:$Y$62,MATCH(PDHKI!E1646,THHKI!$A$8:$A$62,0),INDEX($K$13:$K$27,MATCH(B1618,$J$13:$J$27,0),1))))</f>
        <v>9.6</v>
      </c>
      <c r="E1618" s="691"/>
      <c r="J1618" s="569" t="s">
        <v>32</v>
      </c>
      <c r="K1618" s="569">
        <v>14</v>
      </c>
    </row>
    <row r="1619" spans="1:11" ht="21" customHeight="1">
      <c r="A1619" s="689">
        <v>9</v>
      </c>
      <c r="B1619" s="1008" t="s">
        <v>33</v>
      </c>
      <c r="C1619" s="1009"/>
      <c r="D1619" s="690">
        <f>IF(E1646="","",IF(INDEX(THHKI!$A$8:$Y$62,MATCH(PDHKI!E1646,THHKI!$A$8:$A$62,0),INDEX($K$13:$K$27,MATCH(B1619,$J$13:$J$27,0),1))&lt;1,"/",INDEX(THHKI!$A$8:$Y$62,MATCH(PDHKI!E1646,THHKI!$A$8:$A$62,0),INDEX($K$13:$K$27,MATCH(B1619,$J$13:$J$27,0),1))))</f>
        <v>8.6</v>
      </c>
      <c r="E1619" s="691"/>
      <c r="J1619" s="569" t="s">
        <v>33</v>
      </c>
      <c r="K1619" s="569">
        <v>15</v>
      </c>
    </row>
    <row r="1620" spans="1:11" ht="21" customHeight="1">
      <c r="A1620" s="689">
        <v>10</v>
      </c>
      <c r="B1620" s="1008" t="s">
        <v>60</v>
      </c>
      <c r="C1620" s="1009"/>
      <c r="D1620" s="690">
        <f>IF(E1646="","",IF(INDEX(THHKI!$A$8:$Y$62,MATCH(PDHKI!E1646,THHKI!$A$8:$A$62,0),INDEX($K$13:$K$27,MATCH(B1620,$J$13:$J$27,0),1))&lt;1,"/",INDEX(THHKI!$A$8:$Y$62,MATCH(PDHKI!E1646,THHKI!$A$8:$A$62,0),INDEX($K$13:$K$27,MATCH(B1620,$J$13:$J$27,0),1))))</f>
        <v>9.1</v>
      </c>
      <c r="E1620" s="691"/>
      <c r="J1620" s="569" t="s">
        <v>60</v>
      </c>
      <c r="K1620" s="569">
        <v>16</v>
      </c>
    </row>
    <row r="1621" spans="1:11" ht="21" customHeight="1">
      <c r="A1621" s="689">
        <v>11</v>
      </c>
      <c r="B1621" s="1008" t="s">
        <v>34</v>
      </c>
      <c r="C1621" s="1009"/>
      <c r="D1621" s="690">
        <f>IF(E1646="","",IF(INDEX(THHKI!$A$8:$Y$62,MATCH(PDHKI!E1646,THHKI!$A$8:$A$62,0),INDEX($K$13:$K$27,MATCH(B1621,$J$13:$J$27,0),1))&lt;1,"/",INDEX(THHKI!$A$8:$Y$62,MATCH(PDHKI!E1646,THHKI!$A$8:$A$62,0),INDEX($K$13:$K$27,MATCH(B1621,$J$13:$J$27,0),1))))</f>
        <v>9.9</v>
      </c>
      <c r="E1621" s="691"/>
      <c r="J1621" s="569" t="s">
        <v>34</v>
      </c>
      <c r="K1621" s="569">
        <v>17</v>
      </c>
    </row>
    <row r="1622" spans="1:11" ht="21" customHeight="1">
      <c r="A1622" s="689">
        <v>12</v>
      </c>
      <c r="B1622" s="1008" t="s">
        <v>35</v>
      </c>
      <c r="C1622" s="1009"/>
      <c r="D1622" s="690" t="str">
        <f>IF(E1646="","",IF(INDEX(THHKI!$A$8:$Y$62,MATCH(PDHKI!E1646,THHKI!$A$8:$A$62,0),INDEX($K$13:$K$27,MATCH(B1622,$J$13:$J$27,0),1))&lt;1,"/",INDEX(THHKI!$A$8:$Y$62,MATCH(PDHKI!E1646,THHKI!$A$8:$A$62,0),INDEX($K$13:$K$27,MATCH(B1622,$J$13:$J$27,0),1))))</f>
        <v>Đ</v>
      </c>
      <c r="E1622" s="691"/>
      <c r="J1622" s="569" t="s">
        <v>35</v>
      </c>
      <c r="K1622" s="569">
        <v>18</v>
      </c>
    </row>
    <row r="1623" spans="1:11" ht="21" customHeight="1">
      <c r="A1623" s="689">
        <v>13</v>
      </c>
      <c r="B1623" s="1008" t="s">
        <v>121</v>
      </c>
      <c r="C1623" s="1009"/>
      <c r="D1623" s="690">
        <f>IF(E1646="","",IF(INDEX(THHKI!$A$8:$Y$62,MATCH(PDHKI!E1646,THHKI!$A$8:$A$62,0),INDEX($K$13:$K$27,MATCH(B1623,$J$13:$J$27,0),1))&lt;1,"/",INDEX(THHKI!$A$8:$Y$62,MATCH(PDHKI!E1646,THHKI!$A$8:$A$62,0),INDEX($K$13:$K$27,MATCH(B1623,$J$13:$J$27,0),1))))</f>
        <v>9.9</v>
      </c>
      <c r="E1623" s="691"/>
      <c r="J1623" s="569" t="s">
        <v>22</v>
      </c>
      <c r="K1623" s="569">
        <v>19</v>
      </c>
    </row>
    <row r="1624" spans="1:11" ht="21" customHeight="1" thickBot="1">
      <c r="A1624" s="692">
        <v>14</v>
      </c>
      <c r="B1624" s="1010" t="s">
        <v>122</v>
      </c>
      <c r="C1624" s="1011"/>
      <c r="D1624" s="693" t="str">
        <f>IF(E1646="","",IF(INDEX(THHKI!$A$8:$Y$62,MATCH(PDHKI!E1646,THHKI!$A$8:$A$62,0),INDEX($K$13:$K$27,MATCH(B1624,$J$13:$J$27,0),1))&lt;1,"/",INDEX(THHKI!$A$8:$Y$62,MATCH(PDHKI!E1646,THHKI!$A$8:$A$62,0),INDEX($K$13:$K$27,MATCH(B1624,$J$13:$J$27,0),1))))</f>
        <v/>
      </c>
      <c r="E1624" s="694"/>
      <c r="J1624" s="569" t="s">
        <v>121</v>
      </c>
      <c r="K1624" s="569">
        <v>20</v>
      </c>
    </row>
    <row r="1625" spans="1:11" ht="21" customHeight="1" thickBot="1">
      <c r="A1625" s="695">
        <v>15</v>
      </c>
      <c r="B1625" s="1006" t="s">
        <v>149</v>
      </c>
      <c r="C1625" s="1007"/>
      <c r="D1625" s="696">
        <f>IF(E1646="","",IF(INDEX(THHKI!$A$8:$Y$62,MATCH(PDHKI!E1646,THHKI!$A$8:$A$62,0),22)&lt;1,"/",INDEX(THHKI!$A$8:$Y$62,MATCH(PDHKI!E1646,THHKI!$A$8:$A$62,0),22)))</f>
        <v>9.4</v>
      </c>
      <c r="E1625" s="697"/>
      <c r="J1625" s="569" t="s">
        <v>122</v>
      </c>
      <c r="K1625" s="569">
        <v>21</v>
      </c>
    </row>
    <row r="1626" spans="1:11" ht="15.75" customHeight="1" thickBot="1"/>
    <row r="1627" spans="1:11" s="570" customFormat="1" ht="21" customHeight="1">
      <c r="A1627" s="698"/>
      <c r="B1627" s="1019" t="s">
        <v>150</v>
      </c>
      <c r="C1627" s="1020"/>
      <c r="D1627" s="699" t="s">
        <v>10</v>
      </c>
      <c r="E1627" s="700" t="s">
        <v>126</v>
      </c>
    </row>
    <row r="1628" spans="1:11" ht="21" customHeight="1">
      <c r="A1628" s="701">
        <v>16</v>
      </c>
      <c r="B1628" s="1021" t="s">
        <v>151</v>
      </c>
      <c r="C1628" s="1022"/>
      <c r="D1628" s="702" t="str">
        <f>IF(E1646="","",IF(INDEX(THHKI!$A$8:$Y$62,MATCH(PDHKI!E1646,THHKI!$A$8:$A$62,0),23)="","/",INDEX(THHKI!$A$8:$Y$62,MATCH(PDHKI!E1646,THHKI!$A$8:$A$62,0),23)))</f>
        <v>Giỏi</v>
      </c>
      <c r="E1628" s="703"/>
    </row>
    <row r="1629" spans="1:11" ht="21" customHeight="1">
      <c r="A1629" s="701">
        <v>17</v>
      </c>
      <c r="B1629" s="1021" t="s">
        <v>152</v>
      </c>
      <c r="C1629" s="1022"/>
      <c r="D1629" s="702" t="str">
        <f>IF(E1646="","",IF(INDEX(THHKI!$A$8:$Y$62,MATCH(PDHKI!E1646,THHKI!$A$8:$A$62,0),24)="","/",INDEX(THHKI!$A$8:$Y$62,MATCH(PDHKI!E1646,THHKI!$A$8:$A$62,0),24)))</f>
        <v>Tốt</v>
      </c>
      <c r="E1629" s="703"/>
    </row>
    <row r="1630" spans="1:11" ht="21" customHeight="1" thickBot="1">
      <c r="A1630" s="704">
        <v>18</v>
      </c>
      <c r="B1630" s="1023" t="s">
        <v>153</v>
      </c>
      <c r="C1630" s="1024"/>
      <c r="D1630" s="705" t="str">
        <f>IF(E1646="","",IF(INDEX(THHKI!$A$8:$Y$62,MATCH(PDHKI!E1646,THHKI!$A$8:$A$62,0),25)="","/",INDEX(THHKI!$A$8:$Y$62,MATCH(PDHKI!E1646,THHKI!$A$8:$A$62,0),25)))</f>
        <v>HSG</v>
      </c>
      <c r="E1630" s="706"/>
    </row>
    <row r="1631" spans="1:11" ht="9.75" customHeight="1"/>
    <row r="1632" spans="1:11" ht="15.75" customHeight="1">
      <c r="A1632" s="58" t="s">
        <v>219</v>
      </c>
    </row>
    <row r="1633" spans="1:8" ht="18" customHeight="1">
      <c r="A1633" s="59" t="str">
        <f>IF(E1646="","",IF(INDEX(DiemHKI!$DE$4:$DH$58,MATCH(PDHKI!E1646,DiemHKI!$B$4:$B$58,0),1)="","","- "&amp;INDEX(DiemHKI!$DE$4:$DH$58,MATCH(PDHKI!E1646,DiemHKI!$B$4:$B$58,0),1)))</f>
        <v/>
      </c>
      <c r="H1633" s="571"/>
    </row>
    <row r="1634" spans="1:8" ht="18" customHeight="1">
      <c r="A1634" s="59" t="str">
        <f>IF(E1646="","",IF(INDEX(DiemHKI!$DE$4:$DH$58,MATCH(PDHKI!E1646,DiemHKI!$B$4:$B$58,0),2)="","","- "&amp;INDEX(DiemHKI!$DE$4:$DH$58,MATCH(PDHKI!E1646,DiemHKI!$B$4:$B$58,0),2)))</f>
        <v/>
      </c>
    </row>
    <row r="1635" spans="1:8" ht="18" customHeight="1">
      <c r="A1635" s="59" t="str">
        <f>IF(E1646="","",IF(INDEX(DiemHKI!$DE$4:$DH$58,MATCH(PDHKI!E1646,DiemHKI!$B$4:$B$58,0),3)="","","- "&amp;INDEX(DiemHKI!$DE$4:$DH$58,MATCH(PDHKI!E1646,DiemHKI!$B$4:$B$58,0),3)))</f>
        <v/>
      </c>
    </row>
    <row r="1636" spans="1:8" ht="18" customHeight="1">
      <c r="A1636" s="59" t="str">
        <f>IF(E1646="","",IF(INDEX(DiemHKI!$DE$4:$DH$58,MATCH(PDHKI!E1646,DiemHKI!$B$4:$B$58,0),4)="","","- "&amp;INDEX(DiemHKI!$DE$4:$DH$58,MATCH(PDHKI!E1646,DiemHKI!$B$4:$B$58,0),4)))</f>
        <v/>
      </c>
    </row>
    <row r="1637" spans="1:8" ht="6.75" customHeight="1"/>
    <row r="1638" spans="1:8" ht="16.5" customHeight="1">
      <c r="A1638" s="61"/>
      <c r="C1638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638" s="1026"/>
      <c r="E1638" s="1026"/>
    </row>
    <row r="1639" spans="1:8" ht="21.75" customHeight="1">
      <c r="A1639" s="923" t="str">
        <f>IF($D$41="Hiệu trưởng","Giáo viên Quản nhiệm","")</f>
        <v>Giáo viên Quản nhiệm</v>
      </c>
      <c r="B1639" s="923"/>
      <c r="C1639" s="923"/>
      <c r="D1639" s="707" t="str">
        <f>IF($G$5="","",$G$5)</f>
        <v>Hiệu trưởng</v>
      </c>
      <c r="E1639" s="708"/>
    </row>
    <row r="1640" spans="1:8" ht="15" customHeight="1">
      <c r="A1640" s="61"/>
      <c r="B1640" s="61"/>
      <c r="C1640" s="61"/>
      <c r="D1640" s="66"/>
      <c r="E1640" s="66"/>
    </row>
    <row r="1641" spans="1:8" ht="15" customHeight="1">
      <c r="A1641" s="61"/>
      <c r="B1641" s="61"/>
      <c r="C1641" s="61"/>
      <c r="D1641" s="66"/>
      <c r="E1641" s="66"/>
    </row>
    <row r="1642" spans="1:8" ht="15" customHeight="1">
      <c r="A1642" s="61"/>
      <c r="B1642" s="61"/>
      <c r="C1642" s="61"/>
    </row>
    <row r="1643" spans="1:8" ht="15" customHeight="1">
      <c r="A1643" s="61"/>
      <c r="B1643" s="61"/>
      <c r="C1643" s="61"/>
    </row>
    <row r="1644" spans="1:8" ht="16.5" customHeight="1">
      <c r="A1644" s="1012" t="str">
        <f>IF($A$41="","",PROPER('Huong dan'!$C$4))</f>
        <v/>
      </c>
      <c r="B1644" s="1012"/>
      <c r="C1644" s="1012"/>
      <c r="D1644" s="833" t="str">
        <f>IFERROR(IF($D$41="Giáo Viên Quản nhiệm",PROPER('Huong dan'!$C$4),IF($D$41="Hiệu trưởng",PROPER('Huong dan'!$E$5),"")),"")</f>
        <v/>
      </c>
      <c r="E1644" s="708"/>
    </row>
    <row r="1645" spans="1:8" ht="12.75" customHeight="1"/>
    <row r="1646" spans="1:8" ht="12.75" customHeight="1">
      <c r="A1646" s="709"/>
      <c r="B1646" s="709"/>
      <c r="C1646" s="709"/>
      <c r="D1646" s="710"/>
      <c r="E1646" s="711">
        <f>IF(E1599="","",IF(E1599&lt;MAX(DiemHKI!$B$4:$B$58),E1599+1,""))</f>
        <v>35</v>
      </c>
    </row>
    <row r="1647" spans="1:8" ht="8.25" customHeight="1">
      <c r="A1647" s="709"/>
      <c r="B1647" s="709"/>
      <c r="C1647" s="709"/>
      <c r="D1647" s="709"/>
      <c r="E1647" s="709"/>
    </row>
    <row r="1648" spans="1:8" ht="5.25" customHeight="1"/>
    <row r="1649" spans="1:11" s="563" customFormat="1" ht="23.25" customHeight="1">
      <c r="A1649" s="931" t="str">
        <f>IF('Huong dan'!$E$3&lt;&gt;"","SỞ GIÁO DỤC VÀ ĐÀO TẠO "&amp;UPPER('Huong dan'!$E$3),"")</f>
        <v>SỞ GIÁO DỤC VÀ ĐÀO TẠO TP. HỒ CHÍ MINH</v>
      </c>
      <c r="B1649" s="931"/>
      <c r="C1649" s="931"/>
      <c r="D1649" s="923" t="s">
        <v>19</v>
      </c>
      <c r="E1649" s="923"/>
    </row>
    <row r="1650" spans="1:11" ht="17.25" customHeight="1">
      <c r="A1650" s="931" t="str">
        <f>IF('Huong dan'!$E$4&lt;&gt;"","TRƯỜNG "&amp;UPPER('Huong dan'!$E$4),"")</f>
        <v>TRƯỜNG THCS VÀ THPT NGUYỄN KHUYẾN</v>
      </c>
      <c r="B1650" s="931"/>
      <c r="C1650" s="931"/>
      <c r="D1650" s="1012" t="s">
        <v>179</v>
      </c>
      <c r="E1650" s="1012"/>
    </row>
    <row r="1651" spans="1:11" ht="24" customHeight="1">
      <c r="A1651" s="61"/>
      <c r="B1651" s="61"/>
      <c r="C1651" s="61"/>
    </row>
    <row r="1652" spans="1:11" ht="29.25" customHeight="1">
      <c r="A1652" s="1013" t="str">
        <f>"PHIẾU ĐIỂM HỌC KỲ I - NĂM HỌC "&amp;'Huong dan'!$C$5</f>
        <v>PHIẾU ĐIỂM HỌC KỲ I - NĂM HỌC 2021 - 2022</v>
      </c>
      <c r="B1652" s="1013"/>
      <c r="C1652" s="1013"/>
      <c r="D1652" s="1013"/>
      <c r="E1652" s="1013"/>
    </row>
    <row r="1653" spans="1:11" ht="15.75" customHeight="1">
      <c r="A1653" s="680"/>
      <c r="B1653" s="680"/>
    </row>
    <row r="1654" spans="1:11" ht="21" customHeight="1">
      <c r="A1654" s="1014" t="s">
        <v>145</v>
      </c>
      <c r="B1654" s="1014"/>
      <c r="C1654" s="1015" t="str">
        <f>IF(E1693="","",INDEX(DiemHKI!$D$4:$D$58,MATCH(E1693,DiemHKI!$B$4:$B$58,0),1)&amp;" "&amp;INDEX(DiemHKI!$E$4:$E$58,MATCH(E1693,DiemHKI!$B$4:$B$58,0),1))</f>
        <v>Võ Thủy Vân</v>
      </c>
      <c r="D1654" s="1015"/>
      <c r="E1654" s="62" t="str">
        <f>IF('Huong dan'!$C$3="","","Lớp: "&amp;'Huong dan'!$C$3)</f>
        <v>Lớp: 12A1</v>
      </c>
    </row>
    <row r="1655" spans="1:11" ht="23.25" customHeight="1">
      <c r="A1655" s="1014" t="s">
        <v>146</v>
      </c>
      <c r="B1655" s="1014"/>
      <c r="C1655" s="681" t="str">
        <f>IF(E1693="","",INDEX(DiemHKI!$F$4:$F$58,MATCH(PDHKI!E1693,DiemHKI!$B$4:$B$58,0),1))</f>
        <v>30/10/2004</v>
      </c>
      <c r="D1655" s="1016" t="str">
        <f>IF(E1693="","","Nơi sinh: "&amp;INDEX(DiemHKI!$G$4:$G$58,MATCH(PDHKI!E1693,DiemHKI!$B$4:$B$58,0),1))</f>
        <v>Nơi sinh: TP. Hồ Chí Minh</v>
      </c>
      <c r="E1655" s="1016"/>
    </row>
    <row r="1656" spans="1:11" ht="13.5" customHeight="1" thickBot="1">
      <c r="A1656" s="681"/>
      <c r="B1656" s="682"/>
      <c r="D1656" s="681"/>
      <c r="E1656" s="681"/>
    </row>
    <row r="1657" spans="1:11" ht="24" customHeight="1" thickBot="1">
      <c r="A1657" s="683" t="s">
        <v>0</v>
      </c>
      <c r="B1657" s="1006" t="s">
        <v>72</v>
      </c>
      <c r="C1657" s="1007"/>
      <c r="D1657" s="684" t="s">
        <v>147</v>
      </c>
      <c r="E1657" s="685" t="s">
        <v>148</v>
      </c>
    </row>
    <row r="1658" spans="1:11" ht="21" customHeight="1">
      <c r="A1658" s="686">
        <v>1</v>
      </c>
      <c r="B1658" s="1017" t="s">
        <v>26</v>
      </c>
      <c r="C1658" s="1018"/>
      <c r="D1658" s="687">
        <f>IF(E1693="","",IF(INDEX(THHKI!$A$8:$Y$62,MATCH(PDHKI!E1693,THHKI!$A$8:$A$62,0),INDEX($K$13:$K$27,MATCH(B1658,$J$13:$J$27,0),1))&lt;1,"/",INDEX(THHKI!$A$8:$Y$62,MATCH(PDHKI!E1693,THHKI!$A$8:$A$62,0),INDEX($K$13:$K$27,MATCH(B1658,$J$13:$J$27,0),1))))</f>
        <v>9.6999999999999993</v>
      </c>
      <c r="E1658" s="688"/>
      <c r="J1658" s="569" t="s">
        <v>26</v>
      </c>
      <c r="K1658" s="569">
        <v>7</v>
      </c>
    </row>
    <row r="1659" spans="1:11" ht="21" customHeight="1">
      <c r="A1659" s="689">
        <v>2</v>
      </c>
      <c r="B1659" s="1008" t="s">
        <v>27</v>
      </c>
      <c r="C1659" s="1009"/>
      <c r="D1659" s="690">
        <f>IF(E1693="","",IF(INDEX(THHKI!$A$8:$Y$62,MATCH(PDHKI!E1693,THHKI!$A$8:$A$62,0),INDEX($K$13:$K$27,MATCH(B1659,$J$13:$J$27,0),1))&lt;1,"/",INDEX(THHKI!$A$8:$Y$62,MATCH(PDHKI!E1693,THHKI!$A$8:$A$62,0),INDEX($K$13:$K$27,MATCH(B1659,$J$13:$J$27,0),1))))</f>
        <v>9.9</v>
      </c>
      <c r="E1659" s="691"/>
      <c r="J1659" s="569" t="s">
        <v>27</v>
      </c>
      <c r="K1659" s="569">
        <v>8</v>
      </c>
    </row>
    <row r="1660" spans="1:11" ht="21" customHeight="1">
      <c r="A1660" s="689">
        <v>3</v>
      </c>
      <c r="B1660" s="1008" t="s">
        <v>28</v>
      </c>
      <c r="C1660" s="1009"/>
      <c r="D1660" s="690">
        <f>IF(E1693="","",IF(INDEX(THHKI!$A$8:$Y$62,MATCH(PDHKI!E1693,THHKI!$A$8:$A$62,0),INDEX($K$13:$K$27,MATCH(B1660,$J$13:$J$27,0),1))&lt;1,"/",INDEX(THHKI!$A$8:$Y$62,MATCH(PDHKI!E1693,THHKI!$A$8:$A$62,0),INDEX($K$13:$K$27,MATCH(B1660,$J$13:$J$27,0),1))))</f>
        <v>9.6999999999999993</v>
      </c>
      <c r="E1660" s="691"/>
      <c r="J1660" s="569" t="s">
        <v>28</v>
      </c>
      <c r="K1660" s="569">
        <v>9</v>
      </c>
    </row>
    <row r="1661" spans="1:11" ht="21" customHeight="1">
      <c r="A1661" s="689">
        <v>4</v>
      </c>
      <c r="B1661" s="1008" t="s">
        <v>29</v>
      </c>
      <c r="C1661" s="1009"/>
      <c r="D1661" s="690">
        <f>IF(E1693="","",IF(INDEX(THHKI!$A$8:$Y$62,MATCH(PDHKI!E1693,THHKI!$A$8:$A$62,0),INDEX($K$13:$K$27,MATCH(B1661,$J$13:$J$27,0),1))&lt;1,"/",INDEX(THHKI!$A$8:$Y$62,MATCH(PDHKI!E1693,THHKI!$A$8:$A$62,0),INDEX($K$13:$K$27,MATCH(B1661,$J$13:$J$27,0),1))))</f>
        <v>9.4</v>
      </c>
      <c r="E1661" s="691"/>
      <c r="J1661" s="569" t="s">
        <v>29</v>
      </c>
      <c r="K1661" s="569">
        <v>10</v>
      </c>
    </row>
    <row r="1662" spans="1:11" ht="21" customHeight="1">
      <c r="A1662" s="689">
        <v>5</v>
      </c>
      <c r="B1662" s="1008" t="s">
        <v>120</v>
      </c>
      <c r="C1662" s="1009"/>
      <c r="D1662" s="690">
        <f>IF(E1693="","",IF(INDEX(THHKI!$A$8:$Y$62,MATCH(PDHKI!E1693,THHKI!$A$8:$A$62,0),INDEX($K$13:$K$27,MATCH(B1662,$J$13:$J$27,0),1))&lt;1,"/",INDEX(THHKI!$A$8:$Y$62,MATCH(PDHKI!E1693,THHKI!$A$8:$A$62,0),INDEX($K$13:$K$27,MATCH(B1662,$J$13:$J$27,0),1))))</f>
        <v>9.8000000000000007</v>
      </c>
      <c r="E1662" s="691"/>
      <c r="J1662" s="569" t="s">
        <v>120</v>
      </c>
      <c r="K1662" s="569">
        <v>11</v>
      </c>
    </row>
    <row r="1663" spans="1:11" ht="21" customHeight="1">
      <c r="A1663" s="689">
        <v>6</v>
      </c>
      <c r="B1663" s="1008" t="s">
        <v>30</v>
      </c>
      <c r="C1663" s="1009"/>
      <c r="D1663" s="690">
        <f>IF(E1693="","",IF(INDEX(THHKI!$A$8:$Y$62,MATCH(PDHKI!E1693,THHKI!$A$8:$A$62,0),INDEX($K$13:$K$27,MATCH(B1663,$J$13:$J$27,0),1))&lt;1,"/",INDEX(THHKI!$A$8:$Y$62,MATCH(PDHKI!E1693,THHKI!$A$8:$A$62,0),INDEX($K$13:$K$27,MATCH(B1663,$J$13:$J$27,0),1))))</f>
        <v>7.8</v>
      </c>
      <c r="E1663" s="691"/>
      <c r="J1663" s="569" t="s">
        <v>30</v>
      </c>
      <c r="K1663" s="569">
        <v>12</v>
      </c>
    </row>
    <row r="1664" spans="1:11" ht="21" customHeight="1">
      <c r="A1664" s="689">
        <v>7</v>
      </c>
      <c r="B1664" s="1008" t="s">
        <v>31</v>
      </c>
      <c r="C1664" s="1009"/>
      <c r="D1664" s="690">
        <f>IF(E1693="","",IF(INDEX(THHKI!$A$8:$Y$62,MATCH(PDHKI!E1693,THHKI!$A$8:$A$62,0),INDEX($K$13:$K$27,MATCH(B1664,$J$13:$J$27,0),1))&lt;1,"/",INDEX(THHKI!$A$8:$Y$62,MATCH(PDHKI!E1693,THHKI!$A$8:$A$62,0),INDEX($K$13:$K$27,MATCH(B1664,$J$13:$J$27,0),1))))</f>
        <v>9.8000000000000007</v>
      </c>
      <c r="E1664" s="691"/>
      <c r="J1664" s="569" t="s">
        <v>31</v>
      </c>
      <c r="K1664" s="569">
        <v>13</v>
      </c>
    </row>
    <row r="1665" spans="1:11" ht="21" customHeight="1">
      <c r="A1665" s="689">
        <v>8</v>
      </c>
      <c r="B1665" s="1008" t="s">
        <v>32</v>
      </c>
      <c r="C1665" s="1009"/>
      <c r="D1665" s="690">
        <f>IF(E1693="","",IF(INDEX(THHKI!$A$8:$Y$62,MATCH(PDHKI!E1693,THHKI!$A$8:$A$62,0),INDEX($K$13:$K$27,MATCH(B1665,$J$13:$J$27,0),1))&lt;1,"/",INDEX(THHKI!$A$8:$Y$62,MATCH(PDHKI!E1693,THHKI!$A$8:$A$62,0),INDEX($K$13:$K$27,MATCH(B1665,$J$13:$J$27,0),1))))</f>
        <v>9.9</v>
      </c>
      <c r="E1665" s="691"/>
      <c r="J1665" s="569" t="s">
        <v>32</v>
      </c>
      <c r="K1665" s="569">
        <v>14</v>
      </c>
    </row>
    <row r="1666" spans="1:11" ht="21" customHeight="1">
      <c r="A1666" s="689">
        <v>9</v>
      </c>
      <c r="B1666" s="1008" t="s">
        <v>33</v>
      </c>
      <c r="C1666" s="1009"/>
      <c r="D1666" s="690">
        <f>IF(E1693="","",IF(INDEX(THHKI!$A$8:$Y$62,MATCH(PDHKI!E1693,THHKI!$A$8:$A$62,0),INDEX($K$13:$K$27,MATCH(B1666,$J$13:$J$27,0),1))&lt;1,"/",INDEX(THHKI!$A$8:$Y$62,MATCH(PDHKI!E1693,THHKI!$A$8:$A$62,0),INDEX($K$13:$K$27,MATCH(B1666,$J$13:$J$27,0),1))))</f>
        <v>9.6</v>
      </c>
      <c r="E1666" s="691"/>
      <c r="J1666" s="569" t="s">
        <v>33</v>
      </c>
      <c r="K1666" s="569">
        <v>15</v>
      </c>
    </row>
    <row r="1667" spans="1:11" ht="21" customHeight="1">
      <c r="A1667" s="689">
        <v>10</v>
      </c>
      <c r="B1667" s="1008" t="s">
        <v>60</v>
      </c>
      <c r="C1667" s="1009"/>
      <c r="D1667" s="690">
        <f>IF(E1693="","",IF(INDEX(THHKI!$A$8:$Y$62,MATCH(PDHKI!E1693,THHKI!$A$8:$A$62,0),INDEX($K$13:$K$27,MATCH(B1667,$J$13:$J$27,0),1))&lt;1,"/",INDEX(THHKI!$A$8:$Y$62,MATCH(PDHKI!E1693,THHKI!$A$8:$A$62,0),INDEX($K$13:$K$27,MATCH(B1667,$J$13:$J$27,0),1))))</f>
        <v>9.8000000000000007</v>
      </c>
      <c r="E1667" s="691"/>
      <c r="J1667" s="569" t="s">
        <v>60</v>
      </c>
      <c r="K1667" s="569">
        <v>16</v>
      </c>
    </row>
    <row r="1668" spans="1:11" ht="21" customHeight="1">
      <c r="A1668" s="689">
        <v>11</v>
      </c>
      <c r="B1668" s="1008" t="s">
        <v>34</v>
      </c>
      <c r="C1668" s="1009"/>
      <c r="D1668" s="690">
        <f>IF(E1693="","",IF(INDEX(THHKI!$A$8:$Y$62,MATCH(PDHKI!E1693,THHKI!$A$8:$A$62,0),INDEX($K$13:$K$27,MATCH(B1668,$J$13:$J$27,0),1))&lt;1,"/",INDEX(THHKI!$A$8:$Y$62,MATCH(PDHKI!E1693,THHKI!$A$8:$A$62,0),INDEX($K$13:$K$27,MATCH(B1668,$J$13:$J$27,0),1))))</f>
        <v>9.9</v>
      </c>
      <c r="E1668" s="691"/>
      <c r="J1668" s="569" t="s">
        <v>34</v>
      </c>
      <c r="K1668" s="569">
        <v>17</v>
      </c>
    </row>
    <row r="1669" spans="1:11" ht="21" customHeight="1">
      <c r="A1669" s="689">
        <v>12</v>
      </c>
      <c r="B1669" s="1008" t="s">
        <v>35</v>
      </c>
      <c r="C1669" s="1009"/>
      <c r="D1669" s="690" t="str">
        <f>IF(E1693="","",IF(INDEX(THHKI!$A$8:$Y$62,MATCH(PDHKI!E1693,THHKI!$A$8:$A$62,0),INDEX($K$13:$K$27,MATCH(B1669,$J$13:$J$27,0),1))&lt;1,"/",INDEX(THHKI!$A$8:$Y$62,MATCH(PDHKI!E1693,THHKI!$A$8:$A$62,0),INDEX($K$13:$K$27,MATCH(B1669,$J$13:$J$27,0),1))))</f>
        <v>Đ</v>
      </c>
      <c r="E1669" s="691"/>
      <c r="J1669" s="569" t="s">
        <v>35</v>
      </c>
      <c r="K1669" s="569">
        <v>18</v>
      </c>
    </row>
    <row r="1670" spans="1:11" ht="21" customHeight="1">
      <c r="A1670" s="689">
        <v>13</v>
      </c>
      <c r="B1670" s="1008" t="s">
        <v>121</v>
      </c>
      <c r="C1670" s="1009"/>
      <c r="D1670" s="690">
        <f>IF(E1693="","",IF(INDEX(THHKI!$A$8:$Y$62,MATCH(PDHKI!E1693,THHKI!$A$8:$A$62,0),INDEX($K$13:$K$27,MATCH(B1670,$J$13:$J$27,0),1))&lt;1,"/",INDEX(THHKI!$A$8:$Y$62,MATCH(PDHKI!E1693,THHKI!$A$8:$A$62,0),INDEX($K$13:$K$27,MATCH(B1670,$J$13:$J$27,0),1))))</f>
        <v>9.9</v>
      </c>
      <c r="E1670" s="691"/>
      <c r="J1670" s="569" t="s">
        <v>22</v>
      </c>
      <c r="K1670" s="569">
        <v>19</v>
      </c>
    </row>
    <row r="1671" spans="1:11" ht="21" customHeight="1" thickBot="1">
      <c r="A1671" s="692">
        <v>14</v>
      </c>
      <c r="B1671" s="1010" t="s">
        <v>122</v>
      </c>
      <c r="C1671" s="1011"/>
      <c r="D1671" s="693" t="str">
        <f>IF(E1693="","",IF(INDEX(THHKI!$A$8:$Y$62,MATCH(PDHKI!E1693,THHKI!$A$8:$A$62,0),INDEX($K$13:$K$27,MATCH(B1671,$J$13:$J$27,0),1))&lt;1,"/",INDEX(THHKI!$A$8:$Y$62,MATCH(PDHKI!E1693,THHKI!$A$8:$A$62,0),INDEX($K$13:$K$27,MATCH(B1671,$J$13:$J$27,0),1))))</f>
        <v/>
      </c>
      <c r="E1671" s="694"/>
      <c r="J1671" s="569" t="s">
        <v>121</v>
      </c>
      <c r="K1671" s="569">
        <v>20</v>
      </c>
    </row>
    <row r="1672" spans="1:11" ht="21" customHeight="1" thickBot="1">
      <c r="A1672" s="695">
        <v>15</v>
      </c>
      <c r="B1672" s="1006" t="s">
        <v>149</v>
      </c>
      <c r="C1672" s="1007"/>
      <c r="D1672" s="696">
        <f>IF(E1693="","",IF(INDEX(THHKI!$A$8:$Y$62,MATCH(PDHKI!E1693,THHKI!$A$8:$A$62,0),22)&lt;1,"/",INDEX(THHKI!$A$8:$Y$62,MATCH(PDHKI!E1693,THHKI!$A$8:$A$62,0),22)))</f>
        <v>9.6</v>
      </c>
      <c r="E1672" s="697"/>
      <c r="J1672" s="569" t="s">
        <v>122</v>
      </c>
      <c r="K1672" s="569">
        <v>21</v>
      </c>
    </row>
    <row r="1673" spans="1:11" ht="15.75" customHeight="1" thickBot="1"/>
    <row r="1674" spans="1:11" s="570" customFormat="1" ht="21" customHeight="1">
      <c r="A1674" s="698"/>
      <c r="B1674" s="1019" t="s">
        <v>150</v>
      </c>
      <c r="C1674" s="1020"/>
      <c r="D1674" s="699" t="s">
        <v>10</v>
      </c>
      <c r="E1674" s="700" t="s">
        <v>126</v>
      </c>
    </row>
    <row r="1675" spans="1:11" ht="21" customHeight="1">
      <c r="A1675" s="701">
        <v>16</v>
      </c>
      <c r="B1675" s="1021" t="s">
        <v>151</v>
      </c>
      <c r="C1675" s="1022"/>
      <c r="D1675" s="702" t="str">
        <f>IF(E1693="","",IF(INDEX(THHKI!$A$8:$Y$62,MATCH(PDHKI!E1693,THHKI!$A$8:$A$62,0),23)="","/",INDEX(THHKI!$A$8:$Y$62,MATCH(PDHKI!E1693,THHKI!$A$8:$A$62,0),23)))</f>
        <v>Giỏi</v>
      </c>
      <c r="E1675" s="703"/>
    </row>
    <row r="1676" spans="1:11" ht="21" customHeight="1">
      <c r="A1676" s="701">
        <v>17</v>
      </c>
      <c r="B1676" s="1021" t="s">
        <v>152</v>
      </c>
      <c r="C1676" s="1022"/>
      <c r="D1676" s="702" t="str">
        <f>IF(E1693="","",IF(INDEX(THHKI!$A$8:$Y$62,MATCH(PDHKI!E1693,THHKI!$A$8:$A$62,0),24)="","/",INDEX(THHKI!$A$8:$Y$62,MATCH(PDHKI!E1693,THHKI!$A$8:$A$62,0),24)))</f>
        <v>Tốt</v>
      </c>
      <c r="E1676" s="703"/>
    </row>
    <row r="1677" spans="1:11" ht="21" customHeight="1" thickBot="1">
      <c r="A1677" s="704">
        <v>18</v>
      </c>
      <c r="B1677" s="1023" t="s">
        <v>153</v>
      </c>
      <c r="C1677" s="1024"/>
      <c r="D1677" s="705" t="str">
        <f>IF(E1693="","",IF(INDEX(THHKI!$A$8:$Y$62,MATCH(PDHKI!E1693,THHKI!$A$8:$A$62,0),25)="","/",INDEX(THHKI!$A$8:$Y$62,MATCH(PDHKI!E1693,THHKI!$A$8:$A$62,0),25)))</f>
        <v>HSG</v>
      </c>
      <c r="E1677" s="706"/>
    </row>
    <row r="1678" spans="1:11" ht="9.75" customHeight="1"/>
    <row r="1679" spans="1:11" ht="15.75" customHeight="1">
      <c r="A1679" s="58" t="s">
        <v>219</v>
      </c>
    </row>
    <row r="1680" spans="1:11" ht="18" customHeight="1">
      <c r="A1680" s="59" t="str">
        <f>IF(E1693="","",IF(INDEX(DiemHKI!$DE$4:$DH$58,MATCH(PDHKI!E1693,DiemHKI!$B$4:$B$58,0),1)="","","- "&amp;INDEX(DiemHKI!$DE$4:$DH$58,MATCH(PDHKI!E1693,DiemHKI!$B$4:$B$58,0),1)))</f>
        <v/>
      </c>
      <c r="H1680" s="571"/>
    </row>
    <row r="1681" spans="1:5" ht="18" customHeight="1">
      <c r="A1681" s="59" t="str">
        <f>IF(E1693="","",IF(INDEX(DiemHKI!$DE$4:$DH$58,MATCH(PDHKI!E1693,DiemHKI!$B$4:$B$58,0),2)="","","- "&amp;INDEX(DiemHKI!$DE$4:$DH$58,MATCH(PDHKI!E1693,DiemHKI!$B$4:$B$58,0),2)))</f>
        <v/>
      </c>
    </row>
    <row r="1682" spans="1:5" ht="18" customHeight="1">
      <c r="A1682" s="59" t="str">
        <f>IF(E1693="","",IF(INDEX(DiemHKI!$DE$4:$DH$58,MATCH(PDHKI!E1693,DiemHKI!$B$4:$B$58,0),3)="","","- "&amp;INDEX(DiemHKI!$DE$4:$DH$58,MATCH(PDHKI!E1693,DiemHKI!$B$4:$B$58,0),3)))</f>
        <v/>
      </c>
    </row>
    <row r="1683" spans="1:5" ht="18" customHeight="1">
      <c r="A1683" s="59" t="str">
        <f>IF(E1693="","",IF(INDEX(DiemHKI!$DE$4:$DH$58,MATCH(PDHKI!E1693,DiemHKI!$B$4:$B$58,0),4)="","","- "&amp;INDEX(DiemHKI!$DE$4:$DH$58,MATCH(PDHKI!E1693,DiemHKI!$B$4:$B$58,0),4)))</f>
        <v/>
      </c>
    </row>
    <row r="1684" spans="1:5" ht="6.75" customHeight="1"/>
    <row r="1685" spans="1:5" ht="16.5" customHeight="1">
      <c r="A1685" s="61"/>
      <c r="C1685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685" s="1026"/>
      <c r="E1685" s="1026"/>
    </row>
    <row r="1686" spans="1:5" ht="21.75" customHeight="1">
      <c r="A1686" s="923" t="str">
        <f>IF($D$41="Hiệu trưởng","Giáo viên Quản nhiệm","")</f>
        <v>Giáo viên Quản nhiệm</v>
      </c>
      <c r="B1686" s="923"/>
      <c r="C1686" s="923"/>
      <c r="D1686" s="707" t="str">
        <f>IF($G$5="","",$G$5)</f>
        <v>Hiệu trưởng</v>
      </c>
      <c r="E1686" s="708"/>
    </row>
    <row r="1687" spans="1:5" ht="15" customHeight="1">
      <c r="A1687" s="61"/>
      <c r="B1687" s="61"/>
      <c r="C1687" s="61"/>
      <c r="D1687" s="66"/>
      <c r="E1687" s="66"/>
    </row>
    <row r="1688" spans="1:5" ht="15" customHeight="1">
      <c r="A1688" s="61"/>
      <c r="B1688" s="61"/>
      <c r="C1688" s="61"/>
      <c r="D1688" s="66"/>
      <c r="E1688" s="66"/>
    </row>
    <row r="1689" spans="1:5" ht="15" customHeight="1">
      <c r="A1689" s="61"/>
      <c r="B1689" s="61"/>
      <c r="C1689" s="61"/>
    </row>
    <row r="1690" spans="1:5" ht="15" customHeight="1">
      <c r="A1690" s="61"/>
      <c r="B1690" s="61"/>
      <c r="C1690" s="61"/>
    </row>
    <row r="1691" spans="1:5" ht="16.5" customHeight="1">
      <c r="A1691" s="1012" t="str">
        <f>IF($A$41="","",PROPER('Huong dan'!$C$4))</f>
        <v/>
      </c>
      <c r="B1691" s="1012"/>
      <c r="C1691" s="1012"/>
      <c r="D1691" s="833" t="str">
        <f>IFERROR(IF($D$41="Giáo Viên Quản nhiệm",PROPER('Huong dan'!$C$4),IF($D$41="Hiệu trưởng",PROPER('Huong dan'!$E$5),"")),"")</f>
        <v/>
      </c>
      <c r="E1691" s="708"/>
    </row>
    <row r="1692" spans="1:5" ht="12.75" customHeight="1"/>
    <row r="1693" spans="1:5" ht="12.75" customHeight="1">
      <c r="A1693" s="709"/>
      <c r="B1693" s="709"/>
      <c r="C1693" s="709"/>
      <c r="D1693" s="710"/>
      <c r="E1693" s="711">
        <f>IF(E1646="","",IF(E1646&lt;MAX(DiemHKI!$B$4:$B$58),E1646+1,""))</f>
        <v>36</v>
      </c>
    </row>
    <row r="1694" spans="1:5" ht="8.25" customHeight="1">
      <c r="A1694" s="709"/>
      <c r="B1694" s="709"/>
      <c r="C1694" s="709"/>
      <c r="D1694" s="709"/>
      <c r="E1694" s="709"/>
    </row>
    <row r="1695" spans="1:5" ht="5.25" customHeight="1"/>
    <row r="1696" spans="1:5" s="563" customFormat="1" ht="23.25" customHeight="1">
      <c r="A1696" s="931" t="str">
        <f>IF('Huong dan'!$E$3&lt;&gt;"","SỞ GIÁO DỤC VÀ ĐÀO TẠO "&amp;UPPER('Huong dan'!$E$3),"")</f>
        <v>SỞ GIÁO DỤC VÀ ĐÀO TẠO TP. HỒ CHÍ MINH</v>
      </c>
      <c r="B1696" s="931"/>
      <c r="C1696" s="931"/>
      <c r="D1696" s="923" t="s">
        <v>19</v>
      </c>
      <c r="E1696" s="923"/>
    </row>
    <row r="1697" spans="1:11" ht="17.25" customHeight="1">
      <c r="A1697" s="931" t="str">
        <f>IF('Huong dan'!$E$4&lt;&gt;"","TRƯỜNG "&amp;UPPER('Huong dan'!$E$4),"")</f>
        <v>TRƯỜNG THCS VÀ THPT NGUYỄN KHUYẾN</v>
      </c>
      <c r="B1697" s="931"/>
      <c r="C1697" s="931"/>
      <c r="D1697" s="1012" t="s">
        <v>179</v>
      </c>
      <c r="E1697" s="1012"/>
    </row>
    <row r="1698" spans="1:11" ht="24" customHeight="1">
      <c r="A1698" s="61"/>
      <c r="B1698" s="61"/>
      <c r="C1698" s="61"/>
    </row>
    <row r="1699" spans="1:11" ht="29.25" customHeight="1">
      <c r="A1699" s="1013" t="str">
        <f>"PHIẾU ĐIỂM HỌC KỲ I - NĂM HỌC "&amp;'Huong dan'!$C$5</f>
        <v>PHIẾU ĐIỂM HỌC KỲ I - NĂM HỌC 2021 - 2022</v>
      </c>
      <c r="B1699" s="1013"/>
      <c r="C1699" s="1013"/>
      <c r="D1699" s="1013"/>
      <c r="E1699" s="1013"/>
    </row>
    <row r="1700" spans="1:11" ht="15.75" customHeight="1">
      <c r="A1700" s="680"/>
      <c r="B1700" s="680"/>
    </row>
    <row r="1701" spans="1:11" ht="21" customHeight="1">
      <c r="A1701" s="1014" t="s">
        <v>145</v>
      </c>
      <c r="B1701" s="1014"/>
      <c r="C1701" s="1015" t="str">
        <f>IF(E1740="","",INDEX(DiemHKI!$D$4:$D$58,MATCH(E1740,DiemHKI!$B$4:$B$58,0),1)&amp;" "&amp;INDEX(DiemHKI!$E$4:$E$58,MATCH(E1740,DiemHKI!$B$4:$B$58,0),1))</f>
        <v/>
      </c>
      <c r="D1701" s="1015"/>
      <c r="E1701" s="62" t="str">
        <f>IF('Huong dan'!$C$3="","","Lớp: "&amp;'Huong dan'!$C$3)</f>
        <v>Lớp: 12A1</v>
      </c>
    </row>
    <row r="1702" spans="1:11" ht="23.25" customHeight="1">
      <c r="A1702" s="1014" t="s">
        <v>146</v>
      </c>
      <c r="B1702" s="1014"/>
      <c r="C1702" s="681" t="str">
        <f>IF(E1740="","",INDEX(DiemHKI!$F$4:$F$58,MATCH(PDHKI!E1740,DiemHKI!$B$4:$B$58,0),1))</f>
        <v/>
      </c>
      <c r="D1702" s="1016" t="str">
        <f>IF(E1740="","","Nơi sinh: "&amp;INDEX(DiemHKI!$G$4:$G$58,MATCH(PDHKI!E1740,DiemHKI!$B$4:$B$58,0),1))</f>
        <v/>
      </c>
      <c r="E1702" s="1016"/>
    </row>
    <row r="1703" spans="1:11" ht="13.5" customHeight="1" thickBot="1">
      <c r="A1703" s="681"/>
      <c r="B1703" s="682"/>
      <c r="D1703" s="681"/>
      <c r="E1703" s="681"/>
    </row>
    <row r="1704" spans="1:11" ht="24" customHeight="1" thickBot="1">
      <c r="A1704" s="683" t="s">
        <v>0</v>
      </c>
      <c r="B1704" s="1006" t="s">
        <v>72</v>
      </c>
      <c r="C1704" s="1007"/>
      <c r="D1704" s="684" t="s">
        <v>147</v>
      </c>
      <c r="E1704" s="685" t="s">
        <v>148</v>
      </c>
    </row>
    <row r="1705" spans="1:11" ht="21" customHeight="1">
      <c r="A1705" s="686">
        <v>1</v>
      </c>
      <c r="B1705" s="1017" t="s">
        <v>26</v>
      </c>
      <c r="C1705" s="1018"/>
      <c r="D1705" s="687" t="str">
        <f>IF(E1740="","",IF(INDEX(THHKI!$A$8:$Y$62,MATCH(PDHKI!E1740,THHKI!$A$8:$A$62,0),INDEX($K$13:$K$27,MATCH(B1705,$J$13:$J$27,0),1))&lt;1,"/",INDEX(THHKI!$A$8:$Y$62,MATCH(PDHKI!E1740,THHKI!$A$8:$A$62,0),INDEX($K$13:$K$27,MATCH(B1705,$J$13:$J$27,0),1))))</f>
        <v/>
      </c>
      <c r="E1705" s="688"/>
      <c r="J1705" s="569" t="s">
        <v>26</v>
      </c>
      <c r="K1705" s="569">
        <v>7</v>
      </c>
    </row>
    <row r="1706" spans="1:11" ht="21" customHeight="1">
      <c r="A1706" s="689">
        <v>2</v>
      </c>
      <c r="B1706" s="1008" t="s">
        <v>27</v>
      </c>
      <c r="C1706" s="1009"/>
      <c r="D1706" s="690" t="str">
        <f>IF(E1740="","",IF(INDEX(THHKI!$A$8:$Y$62,MATCH(PDHKI!E1740,THHKI!$A$8:$A$62,0),INDEX($K$13:$K$27,MATCH(B1706,$J$13:$J$27,0),1))&lt;1,"/",INDEX(THHKI!$A$8:$Y$62,MATCH(PDHKI!E1740,THHKI!$A$8:$A$62,0),INDEX($K$13:$K$27,MATCH(B1706,$J$13:$J$27,0),1))))</f>
        <v/>
      </c>
      <c r="E1706" s="691"/>
      <c r="J1706" s="569" t="s">
        <v>27</v>
      </c>
      <c r="K1706" s="569">
        <v>8</v>
      </c>
    </row>
    <row r="1707" spans="1:11" ht="21" customHeight="1">
      <c r="A1707" s="689">
        <v>3</v>
      </c>
      <c r="B1707" s="1008" t="s">
        <v>28</v>
      </c>
      <c r="C1707" s="1009"/>
      <c r="D1707" s="690" t="str">
        <f>IF(E1740="","",IF(INDEX(THHKI!$A$8:$Y$62,MATCH(PDHKI!E1740,THHKI!$A$8:$A$62,0),INDEX($K$13:$K$27,MATCH(B1707,$J$13:$J$27,0),1))&lt;1,"/",INDEX(THHKI!$A$8:$Y$62,MATCH(PDHKI!E1740,THHKI!$A$8:$A$62,0),INDEX($K$13:$K$27,MATCH(B1707,$J$13:$J$27,0),1))))</f>
        <v/>
      </c>
      <c r="E1707" s="691"/>
      <c r="J1707" s="569" t="s">
        <v>28</v>
      </c>
      <c r="K1707" s="569">
        <v>9</v>
      </c>
    </row>
    <row r="1708" spans="1:11" ht="21" customHeight="1">
      <c r="A1708" s="689">
        <v>4</v>
      </c>
      <c r="B1708" s="1008" t="s">
        <v>29</v>
      </c>
      <c r="C1708" s="1009"/>
      <c r="D1708" s="690" t="str">
        <f>IF(E1740="","",IF(INDEX(THHKI!$A$8:$Y$62,MATCH(PDHKI!E1740,THHKI!$A$8:$A$62,0),INDEX($K$13:$K$27,MATCH(B1708,$J$13:$J$27,0),1))&lt;1,"/",INDEX(THHKI!$A$8:$Y$62,MATCH(PDHKI!E1740,THHKI!$A$8:$A$62,0),INDEX($K$13:$K$27,MATCH(B1708,$J$13:$J$27,0),1))))</f>
        <v/>
      </c>
      <c r="E1708" s="691"/>
      <c r="J1708" s="569" t="s">
        <v>29</v>
      </c>
      <c r="K1708" s="569">
        <v>10</v>
      </c>
    </row>
    <row r="1709" spans="1:11" ht="21" customHeight="1">
      <c r="A1709" s="689">
        <v>5</v>
      </c>
      <c r="B1709" s="1008" t="s">
        <v>120</v>
      </c>
      <c r="C1709" s="1009"/>
      <c r="D1709" s="690" t="str">
        <f>IF(E1740="","",IF(INDEX(THHKI!$A$8:$Y$62,MATCH(PDHKI!E1740,THHKI!$A$8:$A$62,0),INDEX($K$13:$K$27,MATCH(B1709,$J$13:$J$27,0),1))&lt;1,"/",INDEX(THHKI!$A$8:$Y$62,MATCH(PDHKI!E1740,THHKI!$A$8:$A$62,0),INDEX($K$13:$K$27,MATCH(B1709,$J$13:$J$27,0),1))))</f>
        <v/>
      </c>
      <c r="E1709" s="691"/>
      <c r="J1709" s="569" t="s">
        <v>120</v>
      </c>
      <c r="K1709" s="569">
        <v>11</v>
      </c>
    </row>
    <row r="1710" spans="1:11" ht="21" customHeight="1">
      <c r="A1710" s="689">
        <v>6</v>
      </c>
      <c r="B1710" s="1008" t="s">
        <v>30</v>
      </c>
      <c r="C1710" s="1009"/>
      <c r="D1710" s="690" t="str">
        <f>IF(E1740="","",IF(INDEX(THHKI!$A$8:$Y$62,MATCH(PDHKI!E1740,THHKI!$A$8:$A$62,0),INDEX($K$13:$K$27,MATCH(B1710,$J$13:$J$27,0),1))&lt;1,"/",INDEX(THHKI!$A$8:$Y$62,MATCH(PDHKI!E1740,THHKI!$A$8:$A$62,0),INDEX($K$13:$K$27,MATCH(B1710,$J$13:$J$27,0),1))))</f>
        <v/>
      </c>
      <c r="E1710" s="691"/>
      <c r="J1710" s="569" t="s">
        <v>30</v>
      </c>
      <c r="K1710" s="569">
        <v>12</v>
      </c>
    </row>
    <row r="1711" spans="1:11" ht="21" customHeight="1">
      <c r="A1711" s="689">
        <v>7</v>
      </c>
      <c r="B1711" s="1008" t="s">
        <v>31</v>
      </c>
      <c r="C1711" s="1009"/>
      <c r="D1711" s="690" t="str">
        <f>IF(E1740="","",IF(INDEX(THHKI!$A$8:$Y$62,MATCH(PDHKI!E1740,THHKI!$A$8:$A$62,0),INDEX($K$13:$K$27,MATCH(B1711,$J$13:$J$27,0),1))&lt;1,"/",INDEX(THHKI!$A$8:$Y$62,MATCH(PDHKI!E1740,THHKI!$A$8:$A$62,0),INDEX($K$13:$K$27,MATCH(B1711,$J$13:$J$27,0),1))))</f>
        <v/>
      </c>
      <c r="E1711" s="691"/>
      <c r="J1711" s="569" t="s">
        <v>31</v>
      </c>
      <c r="K1711" s="569">
        <v>13</v>
      </c>
    </row>
    <row r="1712" spans="1:11" ht="21" customHeight="1">
      <c r="A1712" s="689">
        <v>8</v>
      </c>
      <c r="B1712" s="1008" t="s">
        <v>32</v>
      </c>
      <c r="C1712" s="1009"/>
      <c r="D1712" s="690" t="str">
        <f>IF(E1740="","",IF(INDEX(THHKI!$A$8:$Y$62,MATCH(PDHKI!E1740,THHKI!$A$8:$A$62,0),INDEX($K$13:$K$27,MATCH(B1712,$J$13:$J$27,0),1))&lt;1,"/",INDEX(THHKI!$A$8:$Y$62,MATCH(PDHKI!E1740,THHKI!$A$8:$A$62,0),INDEX($K$13:$K$27,MATCH(B1712,$J$13:$J$27,0),1))))</f>
        <v/>
      </c>
      <c r="E1712" s="691"/>
      <c r="J1712" s="569" t="s">
        <v>32</v>
      </c>
      <c r="K1712" s="569">
        <v>14</v>
      </c>
    </row>
    <row r="1713" spans="1:11" ht="21" customHeight="1">
      <c r="A1713" s="689">
        <v>9</v>
      </c>
      <c r="B1713" s="1008" t="s">
        <v>33</v>
      </c>
      <c r="C1713" s="1009"/>
      <c r="D1713" s="690" t="str">
        <f>IF(E1740="","",IF(INDEX(THHKI!$A$8:$Y$62,MATCH(PDHKI!E1740,THHKI!$A$8:$A$62,0),INDEX($K$13:$K$27,MATCH(B1713,$J$13:$J$27,0),1))&lt;1,"/",INDEX(THHKI!$A$8:$Y$62,MATCH(PDHKI!E1740,THHKI!$A$8:$A$62,0),INDEX($K$13:$K$27,MATCH(B1713,$J$13:$J$27,0),1))))</f>
        <v/>
      </c>
      <c r="E1713" s="691"/>
      <c r="J1713" s="569" t="s">
        <v>33</v>
      </c>
      <c r="K1713" s="569">
        <v>15</v>
      </c>
    </row>
    <row r="1714" spans="1:11" ht="21" customHeight="1">
      <c r="A1714" s="689">
        <v>10</v>
      </c>
      <c r="B1714" s="1008" t="s">
        <v>60</v>
      </c>
      <c r="C1714" s="1009"/>
      <c r="D1714" s="690" t="str">
        <f>IF(E1740="","",IF(INDEX(THHKI!$A$8:$Y$62,MATCH(PDHKI!E1740,THHKI!$A$8:$A$62,0),INDEX($K$13:$K$27,MATCH(B1714,$J$13:$J$27,0),1))&lt;1,"/",INDEX(THHKI!$A$8:$Y$62,MATCH(PDHKI!E1740,THHKI!$A$8:$A$62,0),INDEX($K$13:$K$27,MATCH(B1714,$J$13:$J$27,0),1))))</f>
        <v/>
      </c>
      <c r="E1714" s="691"/>
      <c r="J1714" s="569" t="s">
        <v>60</v>
      </c>
      <c r="K1714" s="569">
        <v>16</v>
      </c>
    </row>
    <row r="1715" spans="1:11" ht="21" customHeight="1">
      <c r="A1715" s="689">
        <v>11</v>
      </c>
      <c r="B1715" s="1008" t="s">
        <v>34</v>
      </c>
      <c r="C1715" s="1009"/>
      <c r="D1715" s="690" t="str">
        <f>IF(E1740="","",IF(INDEX(THHKI!$A$8:$Y$62,MATCH(PDHKI!E1740,THHKI!$A$8:$A$62,0),INDEX($K$13:$K$27,MATCH(B1715,$J$13:$J$27,0),1))&lt;1,"/",INDEX(THHKI!$A$8:$Y$62,MATCH(PDHKI!E1740,THHKI!$A$8:$A$62,0),INDEX($K$13:$K$27,MATCH(B1715,$J$13:$J$27,0),1))))</f>
        <v/>
      </c>
      <c r="E1715" s="691"/>
      <c r="J1715" s="569" t="s">
        <v>34</v>
      </c>
      <c r="K1715" s="569">
        <v>17</v>
      </c>
    </row>
    <row r="1716" spans="1:11" ht="21" customHeight="1">
      <c r="A1716" s="689">
        <v>12</v>
      </c>
      <c r="B1716" s="1008" t="s">
        <v>35</v>
      </c>
      <c r="C1716" s="1009"/>
      <c r="D1716" s="690" t="str">
        <f>IF(E1740="","",IF(INDEX(THHKI!$A$8:$Y$62,MATCH(PDHKI!E1740,THHKI!$A$8:$A$62,0),INDEX($K$13:$K$27,MATCH(B1716,$J$13:$J$27,0),1))&lt;1,"/",INDEX(THHKI!$A$8:$Y$62,MATCH(PDHKI!E1740,THHKI!$A$8:$A$62,0),INDEX($K$13:$K$27,MATCH(B1716,$J$13:$J$27,0),1))))</f>
        <v/>
      </c>
      <c r="E1716" s="691"/>
      <c r="J1716" s="569" t="s">
        <v>35</v>
      </c>
      <c r="K1716" s="569">
        <v>18</v>
      </c>
    </row>
    <row r="1717" spans="1:11" ht="21" customHeight="1">
      <c r="A1717" s="689">
        <v>13</v>
      </c>
      <c r="B1717" s="1008" t="s">
        <v>121</v>
      </c>
      <c r="C1717" s="1009"/>
      <c r="D1717" s="690" t="str">
        <f>IF(E1740="","",IF(INDEX(THHKI!$A$8:$Y$62,MATCH(PDHKI!E1740,THHKI!$A$8:$A$62,0),INDEX($K$13:$K$27,MATCH(B1717,$J$13:$J$27,0),1))&lt;1,"/",INDEX(THHKI!$A$8:$Y$62,MATCH(PDHKI!E1740,THHKI!$A$8:$A$62,0),INDEX($K$13:$K$27,MATCH(B1717,$J$13:$J$27,0),1))))</f>
        <v/>
      </c>
      <c r="E1717" s="691"/>
      <c r="J1717" s="569" t="s">
        <v>22</v>
      </c>
      <c r="K1717" s="569">
        <v>19</v>
      </c>
    </row>
    <row r="1718" spans="1:11" ht="21" customHeight="1" thickBot="1">
      <c r="A1718" s="692">
        <v>14</v>
      </c>
      <c r="B1718" s="1010" t="s">
        <v>122</v>
      </c>
      <c r="C1718" s="1011"/>
      <c r="D1718" s="693" t="str">
        <f>IF(E1740="","",IF(INDEX(THHKI!$A$8:$Y$62,MATCH(PDHKI!E1740,THHKI!$A$8:$A$62,0),INDEX($K$13:$K$27,MATCH(B1718,$J$13:$J$27,0),1))&lt;1,"/",INDEX(THHKI!$A$8:$Y$62,MATCH(PDHKI!E1740,THHKI!$A$8:$A$62,0),INDEX($K$13:$K$27,MATCH(B1718,$J$13:$J$27,0),1))))</f>
        <v/>
      </c>
      <c r="E1718" s="694"/>
      <c r="J1718" s="569" t="s">
        <v>121</v>
      </c>
      <c r="K1718" s="569">
        <v>20</v>
      </c>
    </row>
    <row r="1719" spans="1:11" ht="21" customHeight="1" thickBot="1">
      <c r="A1719" s="695">
        <v>15</v>
      </c>
      <c r="B1719" s="1006" t="s">
        <v>149</v>
      </c>
      <c r="C1719" s="1007"/>
      <c r="D1719" s="696" t="str">
        <f>IF(E1740="","",IF(INDEX(THHKI!$A$8:$Y$62,MATCH(PDHKI!E1740,THHKI!$A$8:$A$62,0),22)&lt;1,"/",INDEX(THHKI!$A$8:$Y$62,MATCH(PDHKI!E1740,THHKI!$A$8:$A$62,0),22)))</f>
        <v/>
      </c>
      <c r="E1719" s="697"/>
      <c r="J1719" s="569" t="s">
        <v>122</v>
      </c>
      <c r="K1719" s="569">
        <v>21</v>
      </c>
    </row>
    <row r="1720" spans="1:11" ht="15.75" customHeight="1" thickBot="1"/>
    <row r="1721" spans="1:11" s="570" customFormat="1" ht="21" customHeight="1">
      <c r="A1721" s="698"/>
      <c r="B1721" s="1019" t="s">
        <v>150</v>
      </c>
      <c r="C1721" s="1020"/>
      <c r="D1721" s="699" t="s">
        <v>10</v>
      </c>
      <c r="E1721" s="700" t="s">
        <v>126</v>
      </c>
    </row>
    <row r="1722" spans="1:11" ht="21" customHeight="1">
      <c r="A1722" s="701">
        <v>16</v>
      </c>
      <c r="B1722" s="1021" t="s">
        <v>151</v>
      </c>
      <c r="C1722" s="1022"/>
      <c r="D1722" s="702" t="str">
        <f>IF(E1740="","",IF(INDEX(THHKI!$A$8:$Y$62,MATCH(PDHKI!E1740,THHKI!$A$8:$A$62,0),23)="","/",INDEX(THHKI!$A$8:$Y$62,MATCH(PDHKI!E1740,THHKI!$A$8:$A$62,0),23)))</f>
        <v/>
      </c>
      <c r="E1722" s="703"/>
    </row>
    <row r="1723" spans="1:11" ht="21" customHeight="1">
      <c r="A1723" s="701">
        <v>17</v>
      </c>
      <c r="B1723" s="1021" t="s">
        <v>152</v>
      </c>
      <c r="C1723" s="1022"/>
      <c r="D1723" s="702" t="str">
        <f>IF(E1740="","",IF(INDEX(THHKI!$A$8:$Y$62,MATCH(PDHKI!E1740,THHKI!$A$8:$A$62,0),24)="","/",INDEX(THHKI!$A$8:$Y$62,MATCH(PDHKI!E1740,THHKI!$A$8:$A$62,0),24)))</f>
        <v/>
      </c>
      <c r="E1723" s="703"/>
    </row>
    <row r="1724" spans="1:11" ht="21" customHeight="1" thickBot="1">
      <c r="A1724" s="704">
        <v>18</v>
      </c>
      <c r="B1724" s="1023" t="s">
        <v>153</v>
      </c>
      <c r="C1724" s="1024"/>
      <c r="D1724" s="705" t="str">
        <f>IF(E1740="","",IF(INDEX(THHKI!$A$8:$Y$62,MATCH(PDHKI!E1740,THHKI!$A$8:$A$62,0),25)="","/",INDEX(THHKI!$A$8:$Y$62,MATCH(PDHKI!E1740,THHKI!$A$8:$A$62,0),25)))</f>
        <v/>
      </c>
      <c r="E1724" s="706"/>
    </row>
    <row r="1725" spans="1:11" ht="9.75" customHeight="1"/>
    <row r="1726" spans="1:11" ht="15.75" customHeight="1">
      <c r="A1726" s="58" t="s">
        <v>219</v>
      </c>
    </row>
    <row r="1727" spans="1:11" ht="18" customHeight="1">
      <c r="A1727" s="59" t="str">
        <f>IF(E1740="","",IF(INDEX(DiemHKI!$DE$4:$DH$58,MATCH(PDHKI!E1740,DiemHKI!$B$4:$B$58,0),1)="","","- "&amp;INDEX(DiemHKI!$DE$4:$DH$58,MATCH(PDHKI!E1740,DiemHKI!$B$4:$B$58,0),1)))</f>
        <v/>
      </c>
      <c r="H1727" s="571"/>
    </row>
    <row r="1728" spans="1:11" ht="18" customHeight="1">
      <c r="A1728" s="59" t="str">
        <f>IF(E1740="","",IF(INDEX(DiemHKI!$DE$4:$DH$58,MATCH(PDHKI!E1740,DiemHKI!$B$4:$B$58,0),2)="","","- "&amp;INDEX(DiemHKI!$DE$4:$DH$58,MATCH(PDHKI!E1740,DiemHKI!$B$4:$B$58,0),2)))</f>
        <v/>
      </c>
    </row>
    <row r="1729" spans="1:5" ht="18" customHeight="1">
      <c r="A1729" s="59" t="str">
        <f>IF(E1740="","",IF(INDEX(DiemHKI!$DE$4:$DH$58,MATCH(PDHKI!E1740,DiemHKI!$B$4:$B$58,0),3)="","","- "&amp;INDEX(DiemHKI!$DE$4:$DH$58,MATCH(PDHKI!E1740,DiemHKI!$B$4:$B$58,0),3)))</f>
        <v/>
      </c>
    </row>
    <row r="1730" spans="1:5" ht="18" customHeight="1">
      <c r="A1730" s="59" t="str">
        <f>IF(E1740="","",IF(INDEX(DiemHKI!$DE$4:$DH$58,MATCH(PDHKI!E1740,DiemHKI!$B$4:$B$58,0),4)="","","- "&amp;INDEX(DiemHKI!$DE$4:$DH$58,MATCH(PDHKI!E1740,DiemHKI!$B$4:$B$58,0),4)))</f>
        <v/>
      </c>
    </row>
    <row r="1731" spans="1:5" ht="6.75" customHeight="1"/>
    <row r="1732" spans="1:5" ht="16.5" customHeight="1">
      <c r="A1732" s="61"/>
      <c r="C1732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732" s="1026"/>
      <c r="E1732" s="1026"/>
    </row>
    <row r="1733" spans="1:5" ht="21.75" customHeight="1">
      <c r="A1733" s="923" t="str">
        <f>IF($D$41="Hiệu trưởng","Giáo viên Quản nhiệm","")</f>
        <v>Giáo viên Quản nhiệm</v>
      </c>
      <c r="B1733" s="923"/>
      <c r="C1733" s="923"/>
      <c r="D1733" s="707" t="str">
        <f>IF($G$5="","",$G$5)</f>
        <v>Hiệu trưởng</v>
      </c>
      <c r="E1733" s="708"/>
    </row>
    <row r="1734" spans="1:5" ht="15" customHeight="1">
      <c r="A1734" s="61"/>
      <c r="B1734" s="61"/>
      <c r="C1734" s="61"/>
      <c r="D1734" s="66"/>
      <c r="E1734" s="66"/>
    </row>
    <row r="1735" spans="1:5" ht="15" customHeight="1">
      <c r="A1735" s="61"/>
      <c r="B1735" s="61"/>
      <c r="C1735" s="61"/>
      <c r="D1735" s="66"/>
      <c r="E1735" s="66"/>
    </row>
    <row r="1736" spans="1:5" ht="15" customHeight="1">
      <c r="A1736" s="61"/>
      <c r="B1736" s="61"/>
      <c r="C1736" s="61"/>
    </row>
    <row r="1737" spans="1:5" ht="15" customHeight="1">
      <c r="A1737" s="61"/>
      <c r="B1737" s="61"/>
      <c r="C1737" s="61"/>
    </row>
    <row r="1738" spans="1:5" ht="16.5" customHeight="1">
      <c r="A1738" s="1012" t="str">
        <f>IF($A$41="","",PROPER('Huong dan'!$C$4))</f>
        <v/>
      </c>
      <c r="B1738" s="1012"/>
      <c r="C1738" s="1012"/>
      <c r="D1738" s="833" t="str">
        <f>IFERROR(IF($D$41="Giáo Viên Quản nhiệm",PROPER('Huong dan'!$C$4),IF($D$41="Hiệu trưởng",PROPER('Huong dan'!$E$5),"")),"")</f>
        <v/>
      </c>
      <c r="E1738" s="708"/>
    </row>
    <row r="1739" spans="1:5" ht="12.75" customHeight="1"/>
    <row r="1740" spans="1:5" ht="12.75" customHeight="1">
      <c r="A1740" s="709"/>
      <c r="B1740" s="709"/>
      <c r="C1740" s="709"/>
      <c r="D1740" s="710"/>
      <c r="E1740" s="711" t="str">
        <f>IF(E1693="","",IF(E1693&lt;MAX(DiemHKI!$B$4:$B$58),E1693+1,""))</f>
        <v/>
      </c>
    </row>
    <row r="1741" spans="1:5" ht="8.25" customHeight="1">
      <c r="A1741" s="709"/>
      <c r="B1741" s="709"/>
      <c r="C1741" s="709"/>
      <c r="D1741" s="709"/>
      <c r="E1741" s="709"/>
    </row>
    <row r="1742" spans="1:5" ht="5.25" customHeight="1"/>
    <row r="1743" spans="1:5" s="563" customFormat="1" ht="23.25" customHeight="1">
      <c r="A1743" s="931" t="str">
        <f>IF('Huong dan'!$E$3&lt;&gt;"","SỞ GIÁO DỤC VÀ ĐÀO TẠO "&amp;UPPER('Huong dan'!$E$3),"")</f>
        <v>SỞ GIÁO DỤC VÀ ĐÀO TẠO TP. HỒ CHÍ MINH</v>
      </c>
      <c r="B1743" s="931"/>
      <c r="C1743" s="931"/>
      <c r="D1743" s="923" t="s">
        <v>19</v>
      </c>
      <c r="E1743" s="923"/>
    </row>
    <row r="1744" spans="1:5" ht="17.25" customHeight="1">
      <c r="A1744" s="931" t="str">
        <f>IF('Huong dan'!$E$4&lt;&gt;"","TRƯỜNG "&amp;UPPER('Huong dan'!$E$4),"")</f>
        <v>TRƯỜNG THCS VÀ THPT NGUYỄN KHUYẾN</v>
      </c>
      <c r="B1744" s="931"/>
      <c r="C1744" s="931"/>
      <c r="D1744" s="1012" t="s">
        <v>179</v>
      </c>
      <c r="E1744" s="1012"/>
    </row>
    <row r="1745" spans="1:11" ht="24" customHeight="1">
      <c r="A1745" s="61"/>
      <c r="B1745" s="61"/>
      <c r="C1745" s="61"/>
    </row>
    <row r="1746" spans="1:11" ht="29.25" customHeight="1">
      <c r="A1746" s="1013" t="str">
        <f>"PHIẾU ĐIỂM HỌC KỲ I - NĂM HỌC "&amp;'Huong dan'!$C$5</f>
        <v>PHIẾU ĐIỂM HỌC KỲ I - NĂM HỌC 2021 - 2022</v>
      </c>
      <c r="B1746" s="1013"/>
      <c r="C1746" s="1013"/>
      <c r="D1746" s="1013"/>
      <c r="E1746" s="1013"/>
    </row>
    <row r="1747" spans="1:11" ht="15.75" customHeight="1">
      <c r="A1747" s="680"/>
      <c r="B1747" s="680"/>
    </row>
    <row r="1748" spans="1:11" ht="21" customHeight="1">
      <c r="A1748" s="1014" t="s">
        <v>145</v>
      </c>
      <c r="B1748" s="1014"/>
      <c r="C1748" s="1015" t="str">
        <f>IF(E1787="","",INDEX(DiemHKI!$D$4:$D$58,MATCH(E1787,DiemHKI!$B$4:$B$58,0),1)&amp;" "&amp;INDEX(DiemHKI!$E$4:$E$58,MATCH(E1787,DiemHKI!$B$4:$B$58,0),1))</f>
        <v/>
      </c>
      <c r="D1748" s="1015"/>
      <c r="E1748" s="62" t="str">
        <f>IF('Huong dan'!$C$3="","","Lớp: "&amp;'Huong dan'!$C$3)</f>
        <v>Lớp: 12A1</v>
      </c>
    </row>
    <row r="1749" spans="1:11" ht="23.25" customHeight="1">
      <c r="A1749" s="1014" t="s">
        <v>146</v>
      </c>
      <c r="B1749" s="1014"/>
      <c r="C1749" s="681" t="str">
        <f>IF(E1787="","",INDEX(DiemHKI!$F$4:$F$58,MATCH(PDHKI!E1787,DiemHKI!$B$4:$B$58,0),1))</f>
        <v/>
      </c>
      <c r="D1749" s="1016" t="str">
        <f>IF(E1787="","","Nơi sinh: "&amp;INDEX(DiemHKI!$G$4:$G$58,MATCH(PDHKI!E1787,DiemHKI!$B$4:$B$58,0),1))</f>
        <v/>
      </c>
      <c r="E1749" s="1016"/>
    </row>
    <row r="1750" spans="1:11" ht="13.5" customHeight="1" thickBot="1">
      <c r="A1750" s="681"/>
      <c r="B1750" s="682"/>
      <c r="D1750" s="681"/>
      <c r="E1750" s="681"/>
    </row>
    <row r="1751" spans="1:11" ht="24" customHeight="1" thickBot="1">
      <c r="A1751" s="683" t="s">
        <v>0</v>
      </c>
      <c r="B1751" s="1006" t="s">
        <v>72</v>
      </c>
      <c r="C1751" s="1007"/>
      <c r="D1751" s="684" t="s">
        <v>147</v>
      </c>
      <c r="E1751" s="685" t="s">
        <v>148</v>
      </c>
    </row>
    <row r="1752" spans="1:11" ht="21" customHeight="1">
      <c r="A1752" s="686">
        <v>1</v>
      </c>
      <c r="B1752" s="1017" t="s">
        <v>26</v>
      </c>
      <c r="C1752" s="1018"/>
      <c r="D1752" s="687" t="str">
        <f>IF(E1787="","",IF(INDEX(THHKI!$A$8:$Y$62,MATCH(PDHKI!E1787,THHKI!$A$8:$A$62,0),INDEX($K$13:$K$27,MATCH(B1752,$J$13:$J$27,0),1))&lt;1,"/",INDEX(THHKI!$A$8:$Y$62,MATCH(PDHKI!E1787,THHKI!$A$8:$A$62,0),INDEX($K$13:$K$27,MATCH(B1752,$J$13:$J$27,0),1))))</f>
        <v/>
      </c>
      <c r="E1752" s="688"/>
      <c r="J1752" s="569" t="s">
        <v>26</v>
      </c>
      <c r="K1752" s="569">
        <v>7</v>
      </c>
    </row>
    <row r="1753" spans="1:11" ht="21" customHeight="1">
      <c r="A1753" s="689">
        <v>2</v>
      </c>
      <c r="B1753" s="1008" t="s">
        <v>27</v>
      </c>
      <c r="C1753" s="1009"/>
      <c r="D1753" s="690" t="str">
        <f>IF(E1787="","",IF(INDEX(THHKI!$A$8:$Y$62,MATCH(PDHKI!E1787,THHKI!$A$8:$A$62,0),INDEX($K$13:$K$27,MATCH(B1753,$J$13:$J$27,0),1))&lt;1,"/",INDEX(THHKI!$A$8:$Y$62,MATCH(PDHKI!E1787,THHKI!$A$8:$A$62,0),INDEX($K$13:$K$27,MATCH(B1753,$J$13:$J$27,0),1))))</f>
        <v/>
      </c>
      <c r="E1753" s="691"/>
      <c r="J1753" s="569" t="s">
        <v>27</v>
      </c>
      <c r="K1753" s="569">
        <v>8</v>
      </c>
    </row>
    <row r="1754" spans="1:11" ht="21" customHeight="1">
      <c r="A1754" s="689">
        <v>3</v>
      </c>
      <c r="B1754" s="1008" t="s">
        <v>28</v>
      </c>
      <c r="C1754" s="1009"/>
      <c r="D1754" s="690" t="str">
        <f>IF(E1787="","",IF(INDEX(THHKI!$A$8:$Y$62,MATCH(PDHKI!E1787,THHKI!$A$8:$A$62,0),INDEX($K$13:$K$27,MATCH(B1754,$J$13:$J$27,0),1))&lt;1,"/",INDEX(THHKI!$A$8:$Y$62,MATCH(PDHKI!E1787,THHKI!$A$8:$A$62,0),INDEX($K$13:$K$27,MATCH(B1754,$J$13:$J$27,0),1))))</f>
        <v/>
      </c>
      <c r="E1754" s="691"/>
      <c r="J1754" s="569" t="s">
        <v>28</v>
      </c>
      <c r="K1754" s="569">
        <v>9</v>
      </c>
    </row>
    <row r="1755" spans="1:11" ht="21" customHeight="1">
      <c r="A1755" s="689">
        <v>4</v>
      </c>
      <c r="B1755" s="1008" t="s">
        <v>29</v>
      </c>
      <c r="C1755" s="1009"/>
      <c r="D1755" s="690" t="str">
        <f>IF(E1787="","",IF(INDEX(THHKI!$A$8:$Y$62,MATCH(PDHKI!E1787,THHKI!$A$8:$A$62,0),INDEX($K$13:$K$27,MATCH(B1755,$J$13:$J$27,0),1))&lt;1,"/",INDEX(THHKI!$A$8:$Y$62,MATCH(PDHKI!E1787,THHKI!$A$8:$A$62,0),INDEX($K$13:$K$27,MATCH(B1755,$J$13:$J$27,0),1))))</f>
        <v/>
      </c>
      <c r="E1755" s="691"/>
      <c r="J1755" s="569" t="s">
        <v>29</v>
      </c>
      <c r="K1755" s="569">
        <v>10</v>
      </c>
    </row>
    <row r="1756" spans="1:11" ht="21" customHeight="1">
      <c r="A1756" s="689">
        <v>5</v>
      </c>
      <c r="B1756" s="1008" t="s">
        <v>120</v>
      </c>
      <c r="C1756" s="1009"/>
      <c r="D1756" s="690" t="str">
        <f>IF(E1787="","",IF(INDEX(THHKI!$A$8:$Y$62,MATCH(PDHKI!E1787,THHKI!$A$8:$A$62,0),INDEX($K$13:$K$27,MATCH(B1756,$J$13:$J$27,0),1))&lt;1,"/",INDEX(THHKI!$A$8:$Y$62,MATCH(PDHKI!E1787,THHKI!$A$8:$A$62,0),INDEX($K$13:$K$27,MATCH(B1756,$J$13:$J$27,0),1))))</f>
        <v/>
      </c>
      <c r="E1756" s="691"/>
      <c r="J1756" s="569" t="s">
        <v>120</v>
      </c>
      <c r="K1756" s="569">
        <v>11</v>
      </c>
    </row>
    <row r="1757" spans="1:11" ht="21" customHeight="1">
      <c r="A1757" s="689">
        <v>6</v>
      </c>
      <c r="B1757" s="1008" t="s">
        <v>30</v>
      </c>
      <c r="C1757" s="1009"/>
      <c r="D1757" s="690" t="str">
        <f>IF(E1787="","",IF(INDEX(THHKI!$A$8:$Y$62,MATCH(PDHKI!E1787,THHKI!$A$8:$A$62,0),INDEX($K$13:$K$27,MATCH(B1757,$J$13:$J$27,0),1))&lt;1,"/",INDEX(THHKI!$A$8:$Y$62,MATCH(PDHKI!E1787,THHKI!$A$8:$A$62,0),INDEX($K$13:$K$27,MATCH(B1757,$J$13:$J$27,0),1))))</f>
        <v/>
      </c>
      <c r="E1757" s="691"/>
      <c r="J1757" s="569" t="s">
        <v>30</v>
      </c>
      <c r="K1757" s="569">
        <v>12</v>
      </c>
    </row>
    <row r="1758" spans="1:11" ht="21" customHeight="1">
      <c r="A1758" s="689">
        <v>7</v>
      </c>
      <c r="B1758" s="1008" t="s">
        <v>31</v>
      </c>
      <c r="C1758" s="1009"/>
      <c r="D1758" s="690" t="str">
        <f>IF(E1787="","",IF(INDEX(THHKI!$A$8:$Y$62,MATCH(PDHKI!E1787,THHKI!$A$8:$A$62,0),INDEX($K$13:$K$27,MATCH(B1758,$J$13:$J$27,0),1))&lt;1,"/",INDEX(THHKI!$A$8:$Y$62,MATCH(PDHKI!E1787,THHKI!$A$8:$A$62,0),INDEX($K$13:$K$27,MATCH(B1758,$J$13:$J$27,0),1))))</f>
        <v/>
      </c>
      <c r="E1758" s="691"/>
      <c r="J1758" s="569" t="s">
        <v>31</v>
      </c>
      <c r="K1758" s="569">
        <v>13</v>
      </c>
    </row>
    <row r="1759" spans="1:11" ht="21" customHeight="1">
      <c r="A1759" s="689">
        <v>8</v>
      </c>
      <c r="B1759" s="1008" t="s">
        <v>32</v>
      </c>
      <c r="C1759" s="1009"/>
      <c r="D1759" s="690" t="str">
        <f>IF(E1787="","",IF(INDEX(THHKI!$A$8:$Y$62,MATCH(PDHKI!E1787,THHKI!$A$8:$A$62,0),INDEX($K$13:$K$27,MATCH(B1759,$J$13:$J$27,0),1))&lt;1,"/",INDEX(THHKI!$A$8:$Y$62,MATCH(PDHKI!E1787,THHKI!$A$8:$A$62,0),INDEX($K$13:$K$27,MATCH(B1759,$J$13:$J$27,0),1))))</f>
        <v/>
      </c>
      <c r="E1759" s="691"/>
      <c r="J1759" s="569" t="s">
        <v>32</v>
      </c>
      <c r="K1759" s="569">
        <v>14</v>
      </c>
    </row>
    <row r="1760" spans="1:11" ht="21" customHeight="1">
      <c r="A1760" s="689">
        <v>9</v>
      </c>
      <c r="B1760" s="1008" t="s">
        <v>33</v>
      </c>
      <c r="C1760" s="1009"/>
      <c r="D1760" s="690" t="str">
        <f>IF(E1787="","",IF(INDEX(THHKI!$A$8:$Y$62,MATCH(PDHKI!E1787,THHKI!$A$8:$A$62,0),INDEX($K$13:$K$27,MATCH(B1760,$J$13:$J$27,0),1))&lt;1,"/",INDEX(THHKI!$A$8:$Y$62,MATCH(PDHKI!E1787,THHKI!$A$8:$A$62,0),INDEX($K$13:$K$27,MATCH(B1760,$J$13:$J$27,0),1))))</f>
        <v/>
      </c>
      <c r="E1760" s="691"/>
      <c r="J1760" s="569" t="s">
        <v>33</v>
      </c>
      <c r="K1760" s="569">
        <v>15</v>
      </c>
    </row>
    <row r="1761" spans="1:11" ht="21" customHeight="1">
      <c r="A1761" s="689">
        <v>10</v>
      </c>
      <c r="B1761" s="1008" t="s">
        <v>60</v>
      </c>
      <c r="C1761" s="1009"/>
      <c r="D1761" s="690" t="str">
        <f>IF(E1787="","",IF(INDEX(THHKI!$A$8:$Y$62,MATCH(PDHKI!E1787,THHKI!$A$8:$A$62,0),INDEX($K$13:$K$27,MATCH(B1761,$J$13:$J$27,0),1))&lt;1,"/",INDEX(THHKI!$A$8:$Y$62,MATCH(PDHKI!E1787,THHKI!$A$8:$A$62,0),INDEX($K$13:$K$27,MATCH(B1761,$J$13:$J$27,0),1))))</f>
        <v/>
      </c>
      <c r="E1761" s="691"/>
      <c r="J1761" s="569" t="s">
        <v>60</v>
      </c>
      <c r="K1761" s="569">
        <v>16</v>
      </c>
    </row>
    <row r="1762" spans="1:11" ht="21" customHeight="1">
      <c r="A1762" s="689">
        <v>11</v>
      </c>
      <c r="B1762" s="1008" t="s">
        <v>34</v>
      </c>
      <c r="C1762" s="1009"/>
      <c r="D1762" s="690" t="str">
        <f>IF(E1787="","",IF(INDEX(THHKI!$A$8:$Y$62,MATCH(PDHKI!E1787,THHKI!$A$8:$A$62,0),INDEX($K$13:$K$27,MATCH(B1762,$J$13:$J$27,0),1))&lt;1,"/",INDEX(THHKI!$A$8:$Y$62,MATCH(PDHKI!E1787,THHKI!$A$8:$A$62,0),INDEX($K$13:$K$27,MATCH(B1762,$J$13:$J$27,0),1))))</f>
        <v/>
      </c>
      <c r="E1762" s="691"/>
      <c r="J1762" s="569" t="s">
        <v>34</v>
      </c>
      <c r="K1762" s="569">
        <v>17</v>
      </c>
    </row>
    <row r="1763" spans="1:11" ht="21" customHeight="1">
      <c r="A1763" s="689">
        <v>12</v>
      </c>
      <c r="B1763" s="1008" t="s">
        <v>35</v>
      </c>
      <c r="C1763" s="1009"/>
      <c r="D1763" s="690" t="str">
        <f>IF(E1787="","",IF(INDEX(THHKI!$A$8:$Y$62,MATCH(PDHKI!E1787,THHKI!$A$8:$A$62,0),INDEX($K$13:$K$27,MATCH(B1763,$J$13:$J$27,0),1))&lt;1,"/",INDEX(THHKI!$A$8:$Y$62,MATCH(PDHKI!E1787,THHKI!$A$8:$A$62,0),INDEX($K$13:$K$27,MATCH(B1763,$J$13:$J$27,0),1))))</f>
        <v/>
      </c>
      <c r="E1763" s="691"/>
      <c r="J1763" s="569" t="s">
        <v>35</v>
      </c>
      <c r="K1763" s="569">
        <v>18</v>
      </c>
    </row>
    <row r="1764" spans="1:11" ht="21" customHeight="1">
      <c r="A1764" s="689">
        <v>13</v>
      </c>
      <c r="B1764" s="1008" t="s">
        <v>121</v>
      </c>
      <c r="C1764" s="1009"/>
      <c r="D1764" s="690" t="str">
        <f>IF(E1787="","",IF(INDEX(THHKI!$A$8:$Y$62,MATCH(PDHKI!E1787,THHKI!$A$8:$A$62,0),INDEX($K$13:$K$27,MATCH(B1764,$J$13:$J$27,0),1))&lt;1,"/",INDEX(THHKI!$A$8:$Y$62,MATCH(PDHKI!E1787,THHKI!$A$8:$A$62,0),INDEX($K$13:$K$27,MATCH(B1764,$J$13:$J$27,0),1))))</f>
        <v/>
      </c>
      <c r="E1764" s="691"/>
      <c r="J1764" s="569" t="s">
        <v>22</v>
      </c>
      <c r="K1764" s="569">
        <v>19</v>
      </c>
    </row>
    <row r="1765" spans="1:11" ht="21" customHeight="1" thickBot="1">
      <c r="A1765" s="692">
        <v>14</v>
      </c>
      <c r="B1765" s="1010" t="s">
        <v>122</v>
      </c>
      <c r="C1765" s="1011"/>
      <c r="D1765" s="693" t="str">
        <f>IF(E1787="","",IF(INDEX(THHKI!$A$8:$Y$62,MATCH(PDHKI!E1787,THHKI!$A$8:$A$62,0),INDEX($K$13:$K$27,MATCH(B1765,$J$13:$J$27,0),1))&lt;1,"/",INDEX(THHKI!$A$8:$Y$62,MATCH(PDHKI!E1787,THHKI!$A$8:$A$62,0),INDEX($K$13:$K$27,MATCH(B1765,$J$13:$J$27,0),1))))</f>
        <v/>
      </c>
      <c r="E1765" s="694"/>
      <c r="J1765" s="569" t="s">
        <v>121</v>
      </c>
      <c r="K1765" s="569">
        <v>20</v>
      </c>
    </row>
    <row r="1766" spans="1:11" ht="21" customHeight="1" thickBot="1">
      <c r="A1766" s="695">
        <v>15</v>
      </c>
      <c r="B1766" s="1006" t="s">
        <v>149</v>
      </c>
      <c r="C1766" s="1007"/>
      <c r="D1766" s="696" t="str">
        <f>IF(E1787="","",IF(INDEX(THHKI!$A$8:$Y$62,MATCH(PDHKI!E1787,THHKI!$A$8:$A$62,0),22)&lt;1,"/",INDEX(THHKI!$A$8:$Y$62,MATCH(PDHKI!E1787,THHKI!$A$8:$A$62,0),22)))</f>
        <v/>
      </c>
      <c r="E1766" s="697"/>
      <c r="J1766" s="569" t="s">
        <v>122</v>
      </c>
      <c r="K1766" s="569">
        <v>21</v>
      </c>
    </row>
    <row r="1767" spans="1:11" ht="15.75" customHeight="1" thickBot="1"/>
    <row r="1768" spans="1:11" s="570" customFormat="1" ht="21" customHeight="1">
      <c r="A1768" s="698"/>
      <c r="B1768" s="1019" t="s">
        <v>150</v>
      </c>
      <c r="C1768" s="1020"/>
      <c r="D1768" s="699" t="s">
        <v>10</v>
      </c>
      <c r="E1768" s="700" t="s">
        <v>126</v>
      </c>
    </row>
    <row r="1769" spans="1:11" ht="21" customHeight="1">
      <c r="A1769" s="701">
        <v>16</v>
      </c>
      <c r="B1769" s="1021" t="s">
        <v>151</v>
      </c>
      <c r="C1769" s="1022"/>
      <c r="D1769" s="702" t="str">
        <f>IF(E1787="","",IF(INDEX(THHKI!$A$8:$Y$62,MATCH(PDHKI!E1787,THHKI!$A$8:$A$62,0),23)="","/",INDEX(THHKI!$A$8:$Y$62,MATCH(PDHKI!E1787,THHKI!$A$8:$A$62,0),23)))</f>
        <v/>
      </c>
      <c r="E1769" s="703"/>
    </row>
    <row r="1770" spans="1:11" ht="21" customHeight="1">
      <c r="A1770" s="701">
        <v>17</v>
      </c>
      <c r="B1770" s="1021" t="s">
        <v>152</v>
      </c>
      <c r="C1770" s="1022"/>
      <c r="D1770" s="702" t="str">
        <f>IF(E1787="","",IF(INDEX(THHKI!$A$8:$Y$62,MATCH(PDHKI!E1787,THHKI!$A$8:$A$62,0),24)="","/",INDEX(THHKI!$A$8:$Y$62,MATCH(PDHKI!E1787,THHKI!$A$8:$A$62,0),24)))</f>
        <v/>
      </c>
      <c r="E1770" s="703"/>
    </row>
    <row r="1771" spans="1:11" ht="21" customHeight="1" thickBot="1">
      <c r="A1771" s="704">
        <v>18</v>
      </c>
      <c r="B1771" s="1023" t="s">
        <v>153</v>
      </c>
      <c r="C1771" s="1024"/>
      <c r="D1771" s="705" t="str">
        <f>IF(E1787="","",IF(INDEX(THHKI!$A$8:$Y$62,MATCH(PDHKI!E1787,THHKI!$A$8:$A$62,0),25)="","/",INDEX(THHKI!$A$8:$Y$62,MATCH(PDHKI!E1787,THHKI!$A$8:$A$62,0),25)))</f>
        <v/>
      </c>
      <c r="E1771" s="706"/>
    </row>
    <row r="1772" spans="1:11" ht="9.75" customHeight="1"/>
    <row r="1773" spans="1:11" ht="15.75" customHeight="1">
      <c r="A1773" s="58" t="s">
        <v>219</v>
      </c>
    </row>
    <row r="1774" spans="1:11" ht="18" customHeight="1">
      <c r="A1774" s="59" t="str">
        <f>IF(E1787="","",IF(INDEX(DiemHKI!$DE$4:$DH$58,MATCH(PDHKI!E1787,DiemHKI!$B$4:$B$58,0),1)="","","- "&amp;INDEX(DiemHKI!$DE$4:$DH$58,MATCH(PDHKI!E1787,DiemHKI!$B$4:$B$58,0),1)))</f>
        <v/>
      </c>
      <c r="H1774" s="571"/>
    </row>
    <row r="1775" spans="1:11" ht="18" customHeight="1">
      <c r="A1775" s="59" t="str">
        <f>IF(E1787="","",IF(INDEX(DiemHKI!$DE$4:$DH$58,MATCH(PDHKI!E1787,DiemHKI!$B$4:$B$58,0),2)="","","- "&amp;INDEX(DiemHKI!$DE$4:$DH$58,MATCH(PDHKI!E1787,DiemHKI!$B$4:$B$58,0),2)))</f>
        <v/>
      </c>
    </row>
    <row r="1776" spans="1:11" ht="18" customHeight="1">
      <c r="A1776" s="59" t="str">
        <f>IF(E1787="","",IF(INDEX(DiemHKI!$DE$4:$DH$58,MATCH(PDHKI!E1787,DiemHKI!$B$4:$B$58,0),3)="","","- "&amp;INDEX(DiemHKI!$DE$4:$DH$58,MATCH(PDHKI!E1787,DiemHKI!$B$4:$B$58,0),3)))</f>
        <v/>
      </c>
    </row>
    <row r="1777" spans="1:5" ht="18" customHeight="1">
      <c r="A1777" s="59" t="str">
        <f>IF(E1787="","",IF(INDEX(DiemHKI!$DE$4:$DH$58,MATCH(PDHKI!E1787,DiemHKI!$B$4:$B$58,0),4)="","","- "&amp;INDEX(DiemHKI!$DE$4:$DH$58,MATCH(PDHKI!E1787,DiemHKI!$B$4:$B$58,0),4)))</f>
        <v/>
      </c>
    </row>
    <row r="1778" spans="1:5" ht="6.75" customHeight="1"/>
    <row r="1779" spans="1:5" ht="16.5" customHeight="1">
      <c r="A1779" s="61"/>
      <c r="C1779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779" s="1026"/>
      <c r="E1779" s="1026"/>
    </row>
    <row r="1780" spans="1:5" ht="21.75" customHeight="1">
      <c r="A1780" s="923" t="str">
        <f>IF($D$41="Hiệu trưởng","Giáo viên Quản nhiệm","")</f>
        <v>Giáo viên Quản nhiệm</v>
      </c>
      <c r="B1780" s="923"/>
      <c r="C1780" s="923"/>
      <c r="D1780" s="707" t="str">
        <f>IF($G$5="","",$G$5)</f>
        <v>Hiệu trưởng</v>
      </c>
      <c r="E1780" s="708"/>
    </row>
    <row r="1781" spans="1:5" ht="15" customHeight="1">
      <c r="A1781" s="61"/>
      <c r="B1781" s="61"/>
      <c r="C1781" s="61"/>
      <c r="D1781" s="66"/>
      <c r="E1781" s="66"/>
    </row>
    <row r="1782" spans="1:5" ht="15" customHeight="1">
      <c r="A1782" s="61"/>
      <c r="B1782" s="61"/>
      <c r="C1782" s="61"/>
      <c r="D1782" s="66"/>
      <c r="E1782" s="66"/>
    </row>
    <row r="1783" spans="1:5" ht="15" customHeight="1">
      <c r="A1783" s="61"/>
      <c r="B1783" s="61"/>
      <c r="C1783" s="61"/>
    </row>
    <row r="1784" spans="1:5" ht="15" customHeight="1">
      <c r="A1784" s="61"/>
      <c r="B1784" s="61"/>
      <c r="C1784" s="61"/>
    </row>
    <row r="1785" spans="1:5" ht="16.5" customHeight="1">
      <c r="A1785" s="1012" t="str">
        <f>IF($A$41="","",PROPER('Huong dan'!$C$4))</f>
        <v/>
      </c>
      <c r="B1785" s="1012"/>
      <c r="C1785" s="1012"/>
      <c r="D1785" s="833" t="str">
        <f>IFERROR(IF($D$41="Giáo Viên Quản nhiệm",PROPER('Huong dan'!$C$4),IF($D$41="Hiệu trưởng",PROPER('Huong dan'!$E$5),"")),"")</f>
        <v/>
      </c>
      <c r="E1785" s="708"/>
    </row>
    <row r="1786" spans="1:5" ht="12.75" customHeight="1"/>
    <row r="1787" spans="1:5" ht="12.75" customHeight="1">
      <c r="A1787" s="709"/>
      <c r="B1787" s="709"/>
      <c r="C1787" s="709"/>
      <c r="D1787" s="710"/>
      <c r="E1787" s="711" t="str">
        <f>IF(E1740="","",IF(E1740&lt;MAX(DiemHKI!$B$4:$B$58),E1740+1,""))</f>
        <v/>
      </c>
    </row>
    <row r="1788" spans="1:5" ht="8.25" customHeight="1">
      <c r="A1788" s="709"/>
      <c r="B1788" s="709"/>
      <c r="C1788" s="709"/>
      <c r="D1788" s="709"/>
      <c r="E1788" s="709"/>
    </row>
    <row r="1789" spans="1:5" ht="5.25" customHeight="1"/>
    <row r="1790" spans="1:5" s="563" customFormat="1" ht="23.25" customHeight="1">
      <c r="A1790" s="931" t="str">
        <f>IF('Huong dan'!$E$3&lt;&gt;"","SỞ GIÁO DỤC VÀ ĐÀO TẠO "&amp;UPPER('Huong dan'!$E$3),"")</f>
        <v>SỞ GIÁO DỤC VÀ ĐÀO TẠO TP. HỒ CHÍ MINH</v>
      </c>
      <c r="B1790" s="931"/>
      <c r="C1790" s="931"/>
      <c r="D1790" s="923" t="s">
        <v>19</v>
      </c>
      <c r="E1790" s="923"/>
    </row>
    <row r="1791" spans="1:5" ht="17.25" customHeight="1">
      <c r="A1791" s="931" t="str">
        <f>IF('Huong dan'!$E$4&lt;&gt;"","TRƯỜNG "&amp;UPPER('Huong dan'!$E$4),"")</f>
        <v>TRƯỜNG THCS VÀ THPT NGUYỄN KHUYẾN</v>
      </c>
      <c r="B1791" s="931"/>
      <c r="C1791" s="931"/>
      <c r="D1791" s="1012" t="s">
        <v>179</v>
      </c>
      <c r="E1791" s="1012"/>
    </row>
    <row r="1792" spans="1:5" ht="24" customHeight="1">
      <c r="A1792" s="61"/>
      <c r="B1792" s="61"/>
      <c r="C1792" s="61"/>
    </row>
    <row r="1793" spans="1:11" ht="29.25" customHeight="1">
      <c r="A1793" s="1013" t="str">
        <f>"PHIẾU ĐIỂM HỌC KỲ I - NĂM HỌC "&amp;'Huong dan'!$C$5</f>
        <v>PHIẾU ĐIỂM HỌC KỲ I - NĂM HỌC 2021 - 2022</v>
      </c>
      <c r="B1793" s="1013"/>
      <c r="C1793" s="1013"/>
      <c r="D1793" s="1013"/>
      <c r="E1793" s="1013"/>
    </row>
    <row r="1794" spans="1:11" ht="15.75" customHeight="1">
      <c r="A1794" s="680"/>
      <c r="B1794" s="680"/>
    </row>
    <row r="1795" spans="1:11" ht="21" customHeight="1">
      <c r="A1795" s="1014" t="s">
        <v>145</v>
      </c>
      <c r="B1795" s="1014"/>
      <c r="C1795" s="1015" t="str">
        <f>IF(E1834="","",INDEX(DiemHKI!$D$4:$D$58,MATCH(E1834,DiemHKI!$B$4:$B$58,0),1)&amp;" "&amp;INDEX(DiemHKI!$E$4:$E$58,MATCH(E1834,DiemHKI!$B$4:$B$58,0),1))</f>
        <v/>
      </c>
      <c r="D1795" s="1015"/>
      <c r="E1795" s="62" t="str">
        <f>IF('Huong dan'!$C$3="","","Lớp: "&amp;'Huong dan'!$C$3)</f>
        <v>Lớp: 12A1</v>
      </c>
    </row>
    <row r="1796" spans="1:11" ht="23.25" customHeight="1">
      <c r="A1796" s="1014" t="s">
        <v>146</v>
      </c>
      <c r="B1796" s="1014"/>
      <c r="C1796" s="681" t="str">
        <f>IF(E1834="","",INDEX(DiemHKI!$F$4:$F$58,MATCH(PDHKI!E1834,DiemHKI!$B$4:$B$58,0),1))</f>
        <v/>
      </c>
      <c r="D1796" s="1016" t="str">
        <f>IF(E1834="","","Nơi sinh: "&amp;INDEX(DiemHKI!$G$4:$G$58,MATCH(PDHKI!E1834,DiemHKI!$B$4:$B$58,0),1))</f>
        <v/>
      </c>
      <c r="E1796" s="1016"/>
    </row>
    <row r="1797" spans="1:11" ht="13.5" customHeight="1" thickBot="1">
      <c r="A1797" s="681"/>
      <c r="B1797" s="682"/>
      <c r="D1797" s="681"/>
      <c r="E1797" s="681"/>
    </row>
    <row r="1798" spans="1:11" ht="24" customHeight="1" thickBot="1">
      <c r="A1798" s="683" t="s">
        <v>0</v>
      </c>
      <c r="B1798" s="1006" t="s">
        <v>72</v>
      </c>
      <c r="C1798" s="1007"/>
      <c r="D1798" s="684" t="s">
        <v>147</v>
      </c>
      <c r="E1798" s="685" t="s">
        <v>148</v>
      </c>
    </row>
    <row r="1799" spans="1:11" ht="21" customHeight="1">
      <c r="A1799" s="686">
        <v>1</v>
      </c>
      <c r="B1799" s="1017" t="s">
        <v>26</v>
      </c>
      <c r="C1799" s="1018"/>
      <c r="D1799" s="687" t="str">
        <f>IF(E1834="","",IF(INDEX(THHKI!$A$8:$Y$62,MATCH(PDHKI!E1834,THHKI!$A$8:$A$62,0),INDEX($K$13:$K$27,MATCH(B1799,$J$13:$J$27,0),1))&lt;1,"/",INDEX(THHKI!$A$8:$Y$62,MATCH(PDHKI!E1834,THHKI!$A$8:$A$62,0),INDEX($K$13:$K$27,MATCH(B1799,$J$13:$J$27,0),1))))</f>
        <v/>
      </c>
      <c r="E1799" s="688"/>
      <c r="J1799" s="569" t="s">
        <v>26</v>
      </c>
      <c r="K1799" s="569">
        <v>7</v>
      </c>
    </row>
    <row r="1800" spans="1:11" ht="21" customHeight="1">
      <c r="A1800" s="689">
        <v>2</v>
      </c>
      <c r="B1800" s="1008" t="s">
        <v>27</v>
      </c>
      <c r="C1800" s="1009"/>
      <c r="D1800" s="690" t="str">
        <f>IF(E1834="","",IF(INDEX(THHKI!$A$8:$Y$62,MATCH(PDHKI!E1834,THHKI!$A$8:$A$62,0),INDEX($K$13:$K$27,MATCH(B1800,$J$13:$J$27,0),1))&lt;1,"/",INDEX(THHKI!$A$8:$Y$62,MATCH(PDHKI!E1834,THHKI!$A$8:$A$62,0),INDEX($K$13:$K$27,MATCH(B1800,$J$13:$J$27,0),1))))</f>
        <v/>
      </c>
      <c r="E1800" s="691"/>
      <c r="J1800" s="569" t="s">
        <v>27</v>
      </c>
      <c r="K1800" s="569">
        <v>8</v>
      </c>
    </row>
    <row r="1801" spans="1:11" ht="21" customHeight="1">
      <c r="A1801" s="689">
        <v>3</v>
      </c>
      <c r="B1801" s="1008" t="s">
        <v>28</v>
      </c>
      <c r="C1801" s="1009"/>
      <c r="D1801" s="690" t="str">
        <f>IF(E1834="","",IF(INDEX(THHKI!$A$8:$Y$62,MATCH(PDHKI!E1834,THHKI!$A$8:$A$62,0),INDEX($K$13:$K$27,MATCH(B1801,$J$13:$J$27,0),1))&lt;1,"/",INDEX(THHKI!$A$8:$Y$62,MATCH(PDHKI!E1834,THHKI!$A$8:$A$62,0),INDEX($K$13:$K$27,MATCH(B1801,$J$13:$J$27,0),1))))</f>
        <v/>
      </c>
      <c r="E1801" s="691"/>
      <c r="J1801" s="569" t="s">
        <v>28</v>
      </c>
      <c r="K1801" s="569">
        <v>9</v>
      </c>
    </row>
    <row r="1802" spans="1:11" ht="21" customHeight="1">
      <c r="A1802" s="689">
        <v>4</v>
      </c>
      <c r="B1802" s="1008" t="s">
        <v>29</v>
      </c>
      <c r="C1802" s="1009"/>
      <c r="D1802" s="690" t="str">
        <f>IF(E1834="","",IF(INDEX(THHKI!$A$8:$Y$62,MATCH(PDHKI!E1834,THHKI!$A$8:$A$62,0),INDEX($K$13:$K$27,MATCH(B1802,$J$13:$J$27,0),1))&lt;1,"/",INDEX(THHKI!$A$8:$Y$62,MATCH(PDHKI!E1834,THHKI!$A$8:$A$62,0),INDEX($K$13:$K$27,MATCH(B1802,$J$13:$J$27,0),1))))</f>
        <v/>
      </c>
      <c r="E1802" s="691"/>
      <c r="J1802" s="569" t="s">
        <v>29</v>
      </c>
      <c r="K1802" s="569">
        <v>10</v>
      </c>
    </row>
    <row r="1803" spans="1:11" ht="21" customHeight="1">
      <c r="A1803" s="689">
        <v>5</v>
      </c>
      <c r="B1803" s="1008" t="s">
        <v>120</v>
      </c>
      <c r="C1803" s="1009"/>
      <c r="D1803" s="690" t="str">
        <f>IF(E1834="","",IF(INDEX(THHKI!$A$8:$Y$62,MATCH(PDHKI!E1834,THHKI!$A$8:$A$62,0),INDEX($K$13:$K$27,MATCH(B1803,$J$13:$J$27,0),1))&lt;1,"/",INDEX(THHKI!$A$8:$Y$62,MATCH(PDHKI!E1834,THHKI!$A$8:$A$62,0),INDEX($K$13:$K$27,MATCH(B1803,$J$13:$J$27,0),1))))</f>
        <v/>
      </c>
      <c r="E1803" s="691"/>
      <c r="J1803" s="569" t="s">
        <v>120</v>
      </c>
      <c r="K1803" s="569">
        <v>11</v>
      </c>
    </row>
    <row r="1804" spans="1:11" ht="21" customHeight="1">
      <c r="A1804" s="689">
        <v>6</v>
      </c>
      <c r="B1804" s="1008" t="s">
        <v>30</v>
      </c>
      <c r="C1804" s="1009"/>
      <c r="D1804" s="690" t="str">
        <f>IF(E1834="","",IF(INDEX(THHKI!$A$8:$Y$62,MATCH(PDHKI!E1834,THHKI!$A$8:$A$62,0),INDEX($K$13:$K$27,MATCH(B1804,$J$13:$J$27,0),1))&lt;1,"/",INDEX(THHKI!$A$8:$Y$62,MATCH(PDHKI!E1834,THHKI!$A$8:$A$62,0),INDEX($K$13:$K$27,MATCH(B1804,$J$13:$J$27,0),1))))</f>
        <v/>
      </c>
      <c r="E1804" s="691"/>
      <c r="J1804" s="569" t="s">
        <v>30</v>
      </c>
      <c r="K1804" s="569">
        <v>12</v>
      </c>
    </row>
    <row r="1805" spans="1:11" ht="21" customHeight="1">
      <c r="A1805" s="689">
        <v>7</v>
      </c>
      <c r="B1805" s="1008" t="s">
        <v>31</v>
      </c>
      <c r="C1805" s="1009"/>
      <c r="D1805" s="690" t="str">
        <f>IF(E1834="","",IF(INDEX(THHKI!$A$8:$Y$62,MATCH(PDHKI!E1834,THHKI!$A$8:$A$62,0),INDEX($K$13:$K$27,MATCH(B1805,$J$13:$J$27,0),1))&lt;1,"/",INDEX(THHKI!$A$8:$Y$62,MATCH(PDHKI!E1834,THHKI!$A$8:$A$62,0),INDEX($K$13:$K$27,MATCH(B1805,$J$13:$J$27,0),1))))</f>
        <v/>
      </c>
      <c r="E1805" s="691"/>
      <c r="J1805" s="569" t="s">
        <v>31</v>
      </c>
      <c r="K1805" s="569">
        <v>13</v>
      </c>
    </row>
    <row r="1806" spans="1:11" ht="21" customHeight="1">
      <c r="A1806" s="689">
        <v>8</v>
      </c>
      <c r="B1806" s="1008" t="s">
        <v>32</v>
      </c>
      <c r="C1806" s="1009"/>
      <c r="D1806" s="690" t="str">
        <f>IF(E1834="","",IF(INDEX(THHKI!$A$8:$Y$62,MATCH(PDHKI!E1834,THHKI!$A$8:$A$62,0),INDEX($K$13:$K$27,MATCH(B1806,$J$13:$J$27,0),1))&lt;1,"/",INDEX(THHKI!$A$8:$Y$62,MATCH(PDHKI!E1834,THHKI!$A$8:$A$62,0),INDEX($K$13:$K$27,MATCH(B1806,$J$13:$J$27,0),1))))</f>
        <v/>
      </c>
      <c r="E1806" s="691"/>
      <c r="J1806" s="569" t="s">
        <v>32</v>
      </c>
      <c r="K1806" s="569">
        <v>14</v>
      </c>
    </row>
    <row r="1807" spans="1:11" ht="21" customHeight="1">
      <c r="A1807" s="689">
        <v>9</v>
      </c>
      <c r="B1807" s="1008" t="s">
        <v>33</v>
      </c>
      <c r="C1807" s="1009"/>
      <c r="D1807" s="690" t="str">
        <f>IF(E1834="","",IF(INDEX(THHKI!$A$8:$Y$62,MATCH(PDHKI!E1834,THHKI!$A$8:$A$62,0),INDEX($K$13:$K$27,MATCH(B1807,$J$13:$J$27,0),1))&lt;1,"/",INDEX(THHKI!$A$8:$Y$62,MATCH(PDHKI!E1834,THHKI!$A$8:$A$62,0),INDEX($K$13:$K$27,MATCH(B1807,$J$13:$J$27,0),1))))</f>
        <v/>
      </c>
      <c r="E1807" s="691"/>
      <c r="J1807" s="569" t="s">
        <v>33</v>
      </c>
      <c r="K1807" s="569">
        <v>15</v>
      </c>
    </row>
    <row r="1808" spans="1:11" ht="21" customHeight="1">
      <c r="A1808" s="689">
        <v>10</v>
      </c>
      <c r="B1808" s="1008" t="s">
        <v>60</v>
      </c>
      <c r="C1808" s="1009"/>
      <c r="D1808" s="690" t="str">
        <f>IF(E1834="","",IF(INDEX(THHKI!$A$8:$Y$62,MATCH(PDHKI!E1834,THHKI!$A$8:$A$62,0),INDEX($K$13:$K$27,MATCH(B1808,$J$13:$J$27,0),1))&lt;1,"/",INDEX(THHKI!$A$8:$Y$62,MATCH(PDHKI!E1834,THHKI!$A$8:$A$62,0),INDEX($K$13:$K$27,MATCH(B1808,$J$13:$J$27,0),1))))</f>
        <v/>
      </c>
      <c r="E1808" s="691"/>
      <c r="J1808" s="569" t="s">
        <v>60</v>
      </c>
      <c r="K1808" s="569">
        <v>16</v>
      </c>
    </row>
    <row r="1809" spans="1:11" ht="21" customHeight="1">
      <c r="A1809" s="689">
        <v>11</v>
      </c>
      <c r="B1809" s="1008" t="s">
        <v>34</v>
      </c>
      <c r="C1809" s="1009"/>
      <c r="D1809" s="690" t="str">
        <f>IF(E1834="","",IF(INDEX(THHKI!$A$8:$Y$62,MATCH(PDHKI!E1834,THHKI!$A$8:$A$62,0),INDEX($K$13:$K$27,MATCH(B1809,$J$13:$J$27,0),1))&lt;1,"/",INDEX(THHKI!$A$8:$Y$62,MATCH(PDHKI!E1834,THHKI!$A$8:$A$62,0),INDEX($K$13:$K$27,MATCH(B1809,$J$13:$J$27,0),1))))</f>
        <v/>
      </c>
      <c r="E1809" s="691"/>
      <c r="J1809" s="569" t="s">
        <v>34</v>
      </c>
      <c r="K1809" s="569">
        <v>17</v>
      </c>
    </row>
    <row r="1810" spans="1:11" ht="21" customHeight="1">
      <c r="A1810" s="689">
        <v>12</v>
      </c>
      <c r="B1810" s="1008" t="s">
        <v>35</v>
      </c>
      <c r="C1810" s="1009"/>
      <c r="D1810" s="690" t="str">
        <f>IF(E1834="","",IF(INDEX(THHKI!$A$8:$Y$62,MATCH(PDHKI!E1834,THHKI!$A$8:$A$62,0),INDEX($K$13:$K$27,MATCH(B1810,$J$13:$J$27,0),1))&lt;1,"/",INDEX(THHKI!$A$8:$Y$62,MATCH(PDHKI!E1834,THHKI!$A$8:$A$62,0),INDEX($K$13:$K$27,MATCH(B1810,$J$13:$J$27,0),1))))</f>
        <v/>
      </c>
      <c r="E1810" s="691"/>
      <c r="J1810" s="569" t="s">
        <v>35</v>
      </c>
      <c r="K1810" s="569">
        <v>18</v>
      </c>
    </row>
    <row r="1811" spans="1:11" ht="21" customHeight="1">
      <c r="A1811" s="689">
        <v>13</v>
      </c>
      <c r="B1811" s="1008" t="s">
        <v>121</v>
      </c>
      <c r="C1811" s="1009"/>
      <c r="D1811" s="690" t="str">
        <f>IF(E1834="","",IF(INDEX(THHKI!$A$8:$Y$62,MATCH(PDHKI!E1834,THHKI!$A$8:$A$62,0),INDEX($K$13:$K$27,MATCH(B1811,$J$13:$J$27,0),1))&lt;1,"/",INDEX(THHKI!$A$8:$Y$62,MATCH(PDHKI!E1834,THHKI!$A$8:$A$62,0),INDEX($K$13:$K$27,MATCH(B1811,$J$13:$J$27,0),1))))</f>
        <v/>
      </c>
      <c r="E1811" s="691"/>
      <c r="J1811" s="569" t="s">
        <v>22</v>
      </c>
      <c r="K1811" s="569">
        <v>19</v>
      </c>
    </row>
    <row r="1812" spans="1:11" ht="21" customHeight="1" thickBot="1">
      <c r="A1812" s="692">
        <v>14</v>
      </c>
      <c r="B1812" s="1010" t="s">
        <v>122</v>
      </c>
      <c r="C1812" s="1011"/>
      <c r="D1812" s="693" t="str">
        <f>IF(E1834="","",IF(INDEX(THHKI!$A$8:$Y$62,MATCH(PDHKI!E1834,THHKI!$A$8:$A$62,0),INDEX($K$13:$K$27,MATCH(B1812,$J$13:$J$27,0),1))&lt;1,"/",INDEX(THHKI!$A$8:$Y$62,MATCH(PDHKI!E1834,THHKI!$A$8:$A$62,0),INDEX($K$13:$K$27,MATCH(B1812,$J$13:$J$27,0),1))))</f>
        <v/>
      </c>
      <c r="E1812" s="694"/>
      <c r="J1812" s="569" t="s">
        <v>121</v>
      </c>
      <c r="K1812" s="569">
        <v>20</v>
      </c>
    </row>
    <row r="1813" spans="1:11" ht="21" customHeight="1" thickBot="1">
      <c r="A1813" s="695">
        <v>15</v>
      </c>
      <c r="B1813" s="1006" t="s">
        <v>149</v>
      </c>
      <c r="C1813" s="1007"/>
      <c r="D1813" s="696" t="str">
        <f>IF(E1834="","",IF(INDEX(THHKI!$A$8:$Y$62,MATCH(PDHKI!E1834,THHKI!$A$8:$A$62,0),22)&lt;1,"/",INDEX(THHKI!$A$8:$Y$62,MATCH(PDHKI!E1834,THHKI!$A$8:$A$62,0),22)))</f>
        <v/>
      </c>
      <c r="E1813" s="697"/>
      <c r="J1813" s="569" t="s">
        <v>122</v>
      </c>
      <c r="K1813" s="569">
        <v>21</v>
      </c>
    </row>
    <row r="1814" spans="1:11" ht="15.75" customHeight="1" thickBot="1"/>
    <row r="1815" spans="1:11" s="570" customFormat="1" ht="21" customHeight="1">
      <c r="A1815" s="698"/>
      <c r="B1815" s="1019" t="s">
        <v>150</v>
      </c>
      <c r="C1815" s="1020"/>
      <c r="D1815" s="699" t="s">
        <v>10</v>
      </c>
      <c r="E1815" s="700" t="s">
        <v>126</v>
      </c>
    </row>
    <row r="1816" spans="1:11" ht="21" customHeight="1">
      <c r="A1816" s="701">
        <v>16</v>
      </c>
      <c r="B1816" s="1021" t="s">
        <v>151</v>
      </c>
      <c r="C1816" s="1022"/>
      <c r="D1816" s="702" t="str">
        <f>IF(E1834="","",IF(INDEX(THHKI!$A$8:$Y$62,MATCH(PDHKI!E1834,THHKI!$A$8:$A$62,0),23)="","/",INDEX(THHKI!$A$8:$Y$62,MATCH(PDHKI!E1834,THHKI!$A$8:$A$62,0),23)))</f>
        <v/>
      </c>
      <c r="E1816" s="703"/>
    </row>
    <row r="1817" spans="1:11" ht="21" customHeight="1">
      <c r="A1817" s="701">
        <v>17</v>
      </c>
      <c r="B1817" s="1021" t="s">
        <v>152</v>
      </c>
      <c r="C1817" s="1022"/>
      <c r="D1817" s="702" t="str">
        <f>IF(E1834="","",IF(INDEX(THHKI!$A$8:$Y$62,MATCH(PDHKI!E1834,THHKI!$A$8:$A$62,0),24)="","/",INDEX(THHKI!$A$8:$Y$62,MATCH(PDHKI!E1834,THHKI!$A$8:$A$62,0),24)))</f>
        <v/>
      </c>
      <c r="E1817" s="703"/>
    </row>
    <row r="1818" spans="1:11" ht="21" customHeight="1" thickBot="1">
      <c r="A1818" s="704">
        <v>18</v>
      </c>
      <c r="B1818" s="1023" t="s">
        <v>153</v>
      </c>
      <c r="C1818" s="1024"/>
      <c r="D1818" s="705" t="str">
        <f>IF(E1834="","",IF(INDEX(THHKI!$A$8:$Y$62,MATCH(PDHKI!E1834,THHKI!$A$8:$A$62,0),25)="","/",INDEX(THHKI!$A$8:$Y$62,MATCH(PDHKI!E1834,THHKI!$A$8:$A$62,0),25)))</f>
        <v/>
      </c>
      <c r="E1818" s="706"/>
    </row>
    <row r="1819" spans="1:11" ht="9.75" customHeight="1"/>
    <row r="1820" spans="1:11" ht="15.75" customHeight="1">
      <c r="A1820" s="58" t="s">
        <v>219</v>
      </c>
    </row>
    <row r="1821" spans="1:11" ht="18" customHeight="1">
      <c r="A1821" s="59" t="str">
        <f>IF(E1834="","",IF(INDEX(DiemHKI!$DE$4:$DH$58,MATCH(PDHKI!E1834,DiemHKI!$B$4:$B$58,0),1)="","","- "&amp;INDEX(DiemHKI!$DE$4:$DH$58,MATCH(PDHKI!E1834,DiemHKI!$B$4:$B$58,0),1)))</f>
        <v/>
      </c>
      <c r="H1821" s="571"/>
    </row>
    <row r="1822" spans="1:11" ht="18" customHeight="1">
      <c r="A1822" s="59" t="str">
        <f>IF(E1834="","",IF(INDEX(DiemHKI!$DE$4:$DH$58,MATCH(PDHKI!E1834,DiemHKI!$B$4:$B$58,0),2)="","","- "&amp;INDEX(DiemHKI!$DE$4:$DH$58,MATCH(PDHKI!E1834,DiemHKI!$B$4:$B$58,0),2)))</f>
        <v/>
      </c>
    </row>
    <row r="1823" spans="1:11" ht="18" customHeight="1">
      <c r="A1823" s="59" t="str">
        <f>IF(E1834="","",IF(INDEX(DiemHKI!$DE$4:$DH$58,MATCH(PDHKI!E1834,DiemHKI!$B$4:$B$58,0),3)="","","- "&amp;INDEX(DiemHKI!$DE$4:$DH$58,MATCH(PDHKI!E1834,DiemHKI!$B$4:$B$58,0),3)))</f>
        <v/>
      </c>
    </row>
    <row r="1824" spans="1:11" ht="18" customHeight="1">
      <c r="A1824" s="59" t="str">
        <f>IF(E1834="","",IF(INDEX(DiemHKI!$DE$4:$DH$58,MATCH(PDHKI!E1834,DiemHKI!$B$4:$B$58,0),4)="","","- "&amp;INDEX(DiemHKI!$DE$4:$DH$58,MATCH(PDHKI!E1834,DiemHKI!$B$4:$B$58,0),4)))</f>
        <v/>
      </c>
    </row>
    <row r="1825" spans="1:5" ht="6.75" customHeight="1"/>
    <row r="1826" spans="1:5" ht="16.5" customHeight="1">
      <c r="A1826" s="61"/>
      <c r="C1826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826" s="1026"/>
      <c r="E1826" s="1026"/>
    </row>
    <row r="1827" spans="1:5" ht="21.75" customHeight="1">
      <c r="A1827" s="923" t="str">
        <f>IF($D$41="Hiệu trưởng","Giáo viên Quản nhiệm","")</f>
        <v>Giáo viên Quản nhiệm</v>
      </c>
      <c r="B1827" s="923"/>
      <c r="C1827" s="923"/>
      <c r="D1827" s="707" t="str">
        <f>IF($G$5="","",$G$5)</f>
        <v>Hiệu trưởng</v>
      </c>
      <c r="E1827" s="708"/>
    </row>
    <row r="1828" spans="1:5" ht="15" customHeight="1">
      <c r="A1828" s="61"/>
      <c r="B1828" s="61"/>
      <c r="C1828" s="61"/>
      <c r="D1828" s="66"/>
      <c r="E1828" s="66"/>
    </row>
    <row r="1829" spans="1:5" ht="15" customHeight="1">
      <c r="A1829" s="61"/>
      <c r="B1829" s="61"/>
      <c r="C1829" s="61"/>
      <c r="D1829" s="66"/>
      <c r="E1829" s="66"/>
    </row>
    <row r="1830" spans="1:5" ht="15" customHeight="1">
      <c r="A1830" s="61"/>
      <c r="B1830" s="61"/>
      <c r="C1830" s="61"/>
    </row>
    <row r="1831" spans="1:5" ht="15" customHeight="1">
      <c r="A1831" s="61"/>
      <c r="B1831" s="61"/>
      <c r="C1831" s="61"/>
    </row>
    <row r="1832" spans="1:5" ht="16.5" customHeight="1">
      <c r="A1832" s="1012" t="str">
        <f>IF($A$41="","",PROPER('Huong dan'!$C$4))</f>
        <v/>
      </c>
      <c r="B1832" s="1012"/>
      <c r="C1832" s="1012"/>
      <c r="D1832" s="833" t="str">
        <f>IFERROR(IF($D$41="Giáo Viên Quản nhiệm",PROPER('Huong dan'!$C$4),IF($D$41="Hiệu trưởng",PROPER('Huong dan'!$E$5),"")),"")</f>
        <v/>
      </c>
      <c r="E1832" s="708"/>
    </row>
    <row r="1833" spans="1:5" ht="12.75" customHeight="1"/>
    <row r="1834" spans="1:5" ht="12.75" customHeight="1">
      <c r="A1834" s="709"/>
      <c r="B1834" s="709"/>
      <c r="C1834" s="709"/>
      <c r="D1834" s="710"/>
      <c r="E1834" s="711" t="str">
        <f>IF(E1787="","",IF(E1787&lt;MAX(DiemHKI!$B$4:$B$58),E1787+1,""))</f>
        <v/>
      </c>
    </row>
    <row r="1835" spans="1:5" ht="8.25" customHeight="1">
      <c r="A1835" s="709"/>
      <c r="B1835" s="709"/>
      <c r="C1835" s="709"/>
      <c r="D1835" s="709"/>
      <c r="E1835" s="709"/>
    </row>
    <row r="1836" spans="1:5" ht="5.25" customHeight="1"/>
    <row r="1837" spans="1:5" s="563" customFormat="1" ht="23.25" customHeight="1">
      <c r="A1837" s="931" t="str">
        <f>IF('Huong dan'!$E$3&lt;&gt;"","SỞ GIÁO DỤC VÀ ĐÀO TẠO "&amp;UPPER('Huong dan'!$E$3),"")</f>
        <v>SỞ GIÁO DỤC VÀ ĐÀO TẠO TP. HỒ CHÍ MINH</v>
      </c>
      <c r="B1837" s="931"/>
      <c r="C1837" s="931"/>
      <c r="D1837" s="923" t="s">
        <v>19</v>
      </c>
      <c r="E1837" s="923"/>
    </row>
    <row r="1838" spans="1:5" ht="17.25" customHeight="1">
      <c r="A1838" s="931" t="str">
        <f>IF('Huong dan'!$E$4&lt;&gt;"","TRƯỜNG "&amp;UPPER('Huong dan'!$E$4),"")</f>
        <v>TRƯỜNG THCS VÀ THPT NGUYỄN KHUYẾN</v>
      </c>
      <c r="B1838" s="931"/>
      <c r="C1838" s="931"/>
      <c r="D1838" s="1012" t="s">
        <v>179</v>
      </c>
      <c r="E1838" s="1012"/>
    </row>
    <row r="1839" spans="1:5" ht="24" customHeight="1">
      <c r="A1839" s="61"/>
      <c r="B1839" s="61"/>
      <c r="C1839" s="61"/>
    </row>
    <row r="1840" spans="1:5" ht="29.25" customHeight="1">
      <c r="A1840" s="1013" t="str">
        <f>"PHIẾU ĐIỂM HỌC KỲ I - NĂM HỌC "&amp;'Huong dan'!$C$5</f>
        <v>PHIẾU ĐIỂM HỌC KỲ I - NĂM HỌC 2021 - 2022</v>
      </c>
      <c r="B1840" s="1013"/>
      <c r="C1840" s="1013"/>
      <c r="D1840" s="1013"/>
      <c r="E1840" s="1013"/>
    </row>
    <row r="1841" spans="1:11" ht="15.75" customHeight="1">
      <c r="A1841" s="680"/>
      <c r="B1841" s="680"/>
    </row>
    <row r="1842" spans="1:11" ht="21" customHeight="1">
      <c r="A1842" s="1014" t="s">
        <v>145</v>
      </c>
      <c r="B1842" s="1014"/>
      <c r="C1842" s="1015" t="str">
        <f>IF(E1881="","",INDEX(DiemHKI!$D$4:$D$58,MATCH(E1881,DiemHKI!$B$4:$B$58,0),1)&amp;" "&amp;INDEX(DiemHKI!$E$4:$E$58,MATCH(E1881,DiemHKI!$B$4:$B$58,0),1))</f>
        <v/>
      </c>
      <c r="D1842" s="1015"/>
      <c r="E1842" s="62" t="str">
        <f>IF('Huong dan'!$C$3="","","Lớp: "&amp;'Huong dan'!$C$3)</f>
        <v>Lớp: 12A1</v>
      </c>
    </row>
    <row r="1843" spans="1:11" ht="23.25" customHeight="1">
      <c r="A1843" s="1014" t="s">
        <v>146</v>
      </c>
      <c r="B1843" s="1014"/>
      <c r="C1843" s="681" t="str">
        <f>IF(E1881="","",INDEX(DiemHKI!$F$4:$F$58,MATCH(PDHKI!E1881,DiemHKI!$B$4:$B$58,0),1))</f>
        <v/>
      </c>
      <c r="D1843" s="1016" t="str">
        <f>IF(E1881="","","Nơi sinh: "&amp;INDEX(DiemHKI!$G$4:$G$58,MATCH(PDHKI!E1881,DiemHKI!$B$4:$B$58,0),1))</f>
        <v/>
      </c>
      <c r="E1843" s="1016"/>
    </row>
    <row r="1844" spans="1:11" ht="13.5" customHeight="1" thickBot="1">
      <c r="A1844" s="681"/>
      <c r="B1844" s="682"/>
      <c r="D1844" s="681"/>
      <c r="E1844" s="681"/>
    </row>
    <row r="1845" spans="1:11" ht="24" customHeight="1" thickBot="1">
      <c r="A1845" s="683" t="s">
        <v>0</v>
      </c>
      <c r="B1845" s="1006" t="s">
        <v>72</v>
      </c>
      <c r="C1845" s="1007"/>
      <c r="D1845" s="684" t="s">
        <v>147</v>
      </c>
      <c r="E1845" s="685" t="s">
        <v>148</v>
      </c>
    </row>
    <row r="1846" spans="1:11" ht="21" customHeight="1">
      <c r="A1846" s="686">
        <v>1</v>
      </c>
      <c r="B1846" s="1017" t="s">
        <v>26</v>
      </c>
      <c r="C1846" s="1018"/>
      <c r="D1846" s="687" t="str">
        <f>IF(E1881="","",IF(INDEX(THHKI!$A$8:$Y$62,MATCH(PDHKI!E1881,THHKI!$A$8:$A$62,0),INDEX($K$13:$K$27,MATCH(B1846,$J$13:$J$27,0),1))&lt;1,"/",INDEX(THHKI!$A$8:$Y$62,MATCH(PDHKI!E1881,THHKI!$A$8:$A$62,0),INDEX($K$13:$K$27,MATCH(B1846,$J$13:$J$27,0),1))))</f>
        <v/>
      </c>
      <c r="E1846" s="688"/>
      <c r="J1846" s="569" t="s">
        <v>26</v>
      </c>
      <c r="K1846" s="569">
        <v>7</v>
      </c>
    </row>
    <row r="1847" spans="1:11" ht="21" customHeight="1">
      <c r="A1847" s="689">
        <v>2</v>
      </c>
      <c r="B1847" s="1008" t="s">
        <v>27</v>
      </c>
      <c r="C1847" s="1009"/>
      <c r="D1847" s="690" t="str">
        <f>IF(E1881="","",IF(INDEX(THHKI!$A$8:$Y$62,MATCH(PDHKI!E1881,THHKI!$A$8:$A$62,0),INDEX($K$13:$K$27,MATCH(B1847,$J$13:$J$27,0),1))&lt;1,"/",INDEX(THHKI!$A$8:$Y$62,MATCH(PDHKI!E1881,THHKI!$A$8:$A$62,0),INDEX($K$13:$K$27,MATCH(B1847,$J$13:$J$27,0),1))))</f>
        <v/>
      </c>
      <c r="E1847" s="691"/>
      <c r="J1847" s="569" t="s">
        <v>27</v>
      </c>
      <c r="K1847" s="569">
        <v>8</v>
      </c>
    </row>
    <row r="1848" spans="1:11" ht="21" customHeight="1">
      <c r="A1848" s="689">
        <v>3</v>
      </c>
      <c r="B1848" s="1008" t="s">
        <v>28</v>
      </c>
      <c r="C1848" s="1009"/>
      <c r="D1848" s="690" t="str">
        <f>IF(E1881="","",IF(INDEX(THHKI!$A$8:$Y$62,MATCH(PDHKI!E1881,THHKI!$A$8:$A$62,0),INDEX($K$13:$K$27,MATCH(B1848,$J$13:$J$27,0),1))&lt;1,"/",INDEX(THHKI!$A$8:$Y$62,MATCH(PDHKI!E1881,THHKI!$A$8:$A$62,0),INDEX($K$13:$K$27,MATCH(B1848,$J$13:$J$27,0),1))))</f>
        <v/>
      </c>
      <c r="E1848" s="691"/>
      <c r="J1848" s="569" t="s">
        <v>28</v>
      </c>
      <c r="K1848" s="569">
        <v>9</v>
      </c>
    </row>
    <row r="1849" spans="1:11" ht="21" customHeight="1">
      <c r="A1849" s="689">
        <v>4</v>
      </c>
      <c r="B1849" s="1008" t="s">
        <v>29</v>
      </c>
      <c r="C1849" s="1009"/>
      <c r="D1849" s="690" t="str">
        <f>IF(E1881="","",IF(INDEX(THHKI!$A$8:$Y$62,MATCH(PDHKI!E1881,THHKI!$A$8:$A$62,0),INDEX($K$13:$K$27,MATCH(B1849,$J$13:$J$27,0),1))&lt;1,"/",INDEX(THHKI!$A$8:$Y$62,MATCH(PDHKI!E1881,THHKI!$A$8:$A$62,0),INDEX($K$13:$K$27,MATCH(B1849,$J$13:$J$27,0),1))))</f>
        <v/>
      </c>
      <c r="E1849" s="691"/>
      <c r="J1849" s="569" t="s">
        <v>29</v>
      </c>
      <c r="K1849" s="569">
        <v>10</v>
      </c>
    </row>
    <row r="1850" spans="1:11" ht="21" customHeight="1">
      <c r="A1850" s="689">
        <v>5</v>
      </c>
      <c r="B1850" s="1008" t="s">
        <v>120</v>
      </c>
      <c r="C1850" s="1009"/>
      <c r="D1850" s="690" t="str">
        <f>IF(E1881="","",IF(INDEX(THHKI!$A$8:$Y$62,MATCH(PDHKI!E1881,THHKI!$A$8:$A$62,0),INDEX($K$13:$K$27,MATCH(B1850,$J$13:$J$27,0),1))&lt;1,"/",INDEX(THHKI!$A$8:$Y$62,MATCH(PDHKI!E1881,THHKI!$A$8:$A$62,0),INDEX($K$13:$K$27,MATCH(B1850,$J$13:$J$27,0),1))))</f>
        <v/>
      </c>
      <c r="E1850" s="691"/>
      <c r="J1850" s="569" t="s">
        <v>120</v>
      </c>
      <c r="K1850" s="569">
        <v>11</v>
      </c>
    </row>
    <row r="1851" spans="1:11" ht="21" customHeight="1">
      <c r="A1851" s="689">
        <v>6</v>
      </c>
      <c r="B1851" s="1008" t="s">
        <v>30</v>
      </c>
      <c r="C1851" s="1009"/>
      <c r="D1851" s="690" t="str">
        <f>IF(E1881="","",IF(INDEX(THHKI!$A$8:$Y$62,MATCH(PDHKI!E1881,THHKI!$A$8:$A$62,0),INDEX($K$13:$K$27,MATCH(B1851,$J$13:$J$27,0),1))&lt;1,"/",INDEX(THHKI!$A$8:$Y$62,MATCH(PDHKI!E1881,THHKI!$A$8:$A$62,0),INDEX($K$13:$K$27,MATCH(B1851,$J$13:$J$27,0),1))))</f>
        <v/>
      </c>
      <c r="E1851" s="691"/>
      <c r="J1851" s="569" t="s">
        <v>30</v>
      </c>
      <c r="K1851" s="569">
        <v>12</v>
      </c>
    </row>
    <row r="1852" spans="1:11" ht="21" customHeight="1">
      <c r="A1852" s="689">
        <v>7</v>
      </c>
      <c r="B1852" s="1008" t="s">
        <v>31</v>
      </c>
      <c r="C1852" s="1009"/>
      <c r="D1852" s="690" t="str">
        <f>IF(E1881="","",IF(INDEX(THHKI!$A$8:$Y$62,MATCH(PDHKI!E1881,THHKI!$A$8:$A$62,0),INDEX($K$13:$K$27,MATCH(B1852,$J$13:$J$27,0),1))&lt;1,"/",INDEX(THHKI!$A$8:$Y$62,MATCH(PDHKI!E1881,THHKI!$A$8:$A$62,0),INDEX($K$13:$K$27,MATCH(B1852,$J$13:$J$27,0),1))))</f>
        <v/>
      </c>
      <c r="E1852" s="691"/>
      <c r="J1852" s="569" t="s">
        <v>31</v>
      </c>
      <c r="K1852" s="569">
        <v>13</v>
      </c>
    </row>
    <row r="1853" spans="1:11" ht="21" customHeight="1">
      <c r="A1853" s="689">
        <v>8</v>
      </c>
      <c r="B1853" s="1008" t="s">
        <v>32</v>
      </c>
      <c r="C1853" s="1009"/>
      <c r="D1853" s="690" t="str">
        <f>IF(E1881="","",IF(INDEX(THHKI!$A$8:$Y$62,MATCH(PDHKI!E1881,THHKI!$A$8:$A$62,0),INDEX($K$13:$K$27,MATCH(B1853,$J$13:$J$27,0),1))&lt;1,"/",INDEX(THHKI!$A$8:$Y$62,MATCH(PDHKI!E1881,THHKI!$A$8:$A$62,0),INDEX($K$13:$K$27,MATCH(B1853,$J$13:$J$27,0),1))))</f>
        <v/>
      </c>
      <c r="E1853" s="691"/>
      <c r="J1853" s="569" t="s">
        <v>32</v>
      </c>
      <c r="K1853" s="569">
        <v>14</v>
      </c>
    </row>
    <row r="1854" spans="1:11" ht="21" customHeight="1">
      <c r="A1854" s="689">
        <v>9</v>
      </c>
      <c r="B1854" s="1008" t="s">
        <v>33</v>
      </c>
      <c r="C1854" s="1009"/>
      <c r="D1854" s="690" t="str">
        <f>IF(E1881="","",IF(INDEX(THHKI!$A$8:$Y$62,MATCH(PDHKI!E1881,THHKI!$A$8:$A$62,0),INDEX($K$13:$K$27,MATCH(B1854,$J$13:$J$27,0),1))&lt;1,"/",INDEX(THHKI!$A$8:$Y$62,MATCH(PDHKI!E1881,THHKI!$A$8:$A$62,0),INDEX($K$13:$K$27,MATCH(B1854,$J$13:$J$27,0),1))))</f>
        <v/>
      </c>
      <c r="E1854" s="691"/>
      <c r="J1854" s="569" t="s">
        <v>33</v>
      </c>
      <c r="K1854" s="569">
        <v>15</v>
      </c>
    </row>
    <row r="1855" spans="1:11" ht="21" customHeight="1">
      <c r="A1855" s="689">
        <v>10</v>
      </c>
      <c r="B1855" s="1008" t="s">
        <v>60</v>
      </c>
      <c r="C1855" s="1009"/>
      <c r="D1855" s="690" t="str">
        <f>IF(E1881="","",IF(INDEX(THHKI!$A$8:$Y$62,MATCH(PDHKI!E1881,THHKI!$A$8:$A$62,0),INDEX($K$13:$K$27,MATCH(B1855,$J$13:$J$27,0),1))&lt;1,"/",INDEX(THHKI!$A$8:$Y$62,MATCH(PDHKI!E1881,THHKI!$A$8:$A$62,0),INDEX($K$13:$K$27,MATCH(B1855,$J$13:$J$27,0),1))))</f>
        <v/>
      </c>
      <c r="E1855" s="691"/>
      <c r="J1855" s="569" t="s">
        <v>60</v>
      </c>
      <c r="K1855" s="569">
        <v>16</v>
      </c>
    </row>
    <row r="1856" spans="1:11" ht="21" customHeight="1">
      <c r="A1856" s="689">
        <v>11</v>
      </c>
      <c r="B1856" s="1008" t="s">
        <v>34</v>
      </c>
      <c r="C1856" s="1009"/>
      <c r="D1856" s="690" t="str">
        <f>IF(E1881="","",IF(INDEX(THHKI!$A$8:$Y$62,MATCH(PDHKI!E1881,THHKI!$A$8:$A$62,0),INDEX($K$13:$K$27,MATCH(B1856,$J$13:$J$27,0),1))&lt;1,"/",INDEX(THHKI!$A$8:$Y$62,MATCH(PDHKI!E1881,THHKI!$A$8:$A$62,0),INDEX($K$13:$K$27,MATCH(B1856,$J$13:$J$27,0),1))))</f>
        <v/>
      </c>
      <c r="E1856" s="691"/>
      <c r="J1856" s="569" t="s">
        <v>34</v>
      </c>
      <c r="K1856" s="569">
        <v>17</v>
      </c>
    </row>
    <row r="1857" spans="1:11" ht="21" customHeight="1">
      <c r="A1857" s="689">
        <v>12</v>
      </c>
      <c r="B1857" s="1008" t="s">
        <v>35</v>
      </c>
      <c r="C1857" s="1009"/>
      <c r="D1857" s="690" t="str">
        <f>IF(E1881="","",IF(INDEX(THHKI!$A$8:$Y$62,MATCH(PDHKI!E1881,THHKI!$A$8:$A$62,0),INDEX($K$13:$K$27,MATCH(B1857,$J$13:$J$27,0),1))&lt;1,"/",INDEX(THHKI!$A$8:$Y$62,MATCH(PDHKI!E1881,THHKI!$A$8:$A$62,0),INDEX($K$13:$K$27,MATCH(B1857,$J$13:$J$27,0),1))))</f>
        <v/>
      </c>
      <c r="E1857" s="691"/>
      <c r="J1857" s="569" t="s">
        <v>35</v>
      </c>
      <c r="K1857" s="569">
        <v>18</v>
      </c>
    </row>
    <row r="1858" spans="1:11" ht="21" customHeight="1">
      <c r="A1858" s="689">
        <v>13</v>
      </c>
      <c r="B1858" s="1008" t="s">
        <v>121</v>
      </c>
      <c r="C1858" s="1009"/>
      <c r="D1858" s="690" t="str">
        <f>IF(E1881="","",IF(INDEX(THHKI!$A$8:$Y$62,MATCH(PDHKI!E1881,THHKI!$A$8:$A$62,0),INDEX($K$13:$K$27,MATCH(B1858,$J$13:$J$27,0),1))&lt;1,"/",INDEX(THHKI!$A$8:$Y$62,MATCH(PDHKI!E1881,THHKI!$A$8:$A$62,0),INDEX($K$13:$K$27,MATCH(B1858,$J$13:$J$27,0),1))))</f>
        <v/>
      </c>
      <c r="E1858" s="691"/>
      <c r="J1858" s="569" t="s">
        <v>22</v>
      </c>
      <c r="K1858" s="569">
        <v>19</v>
      </c>
    </row>
    <row r="1859" spans="1:11" ht="21" customHeight="1" thickBot="1">
      <c r="A1859" s="692">
        <v>14</v>
      </c>
      <c r="B1859" s="1010" t="s">
        <v>122</v>
      </c>
      <c r="C1859" s="1011"/>
      <c r="D1859" s="693" t="str">
        <f>IF(E1881="","",IF(INDEX(THHKI!$A$8:$Y$62,MATCH(PDHKI!E1881,THHKI!$A$8:$A$62,0),INDEX($K$13:$K$27,MATCH(B1859,$J$13:$J$27,0),1))&lt;1,"/",INDEX(THHKI!$A$8:$Y$62,MATCH(PDHKI!E1881,THHKI!$A$8:$A$62,0),INDEX($K$13:$K$27,MATCH(B1859,$J$13:$J$27,0),1))))</f>
        <v/>
      </c>
      <c r="E1859" s="694"/>
      <c r="J1859" s="569" t="s">
        <v>121</v>
      </c>
      <c r="K1859" s="569">
        <v>20</v>
      </c>
    </row>
    <row r="1860" spans="1:11" ht="21" customHeight="1" thickBot="1">
      <c r="A1860" s="695">
        <v>15</v>
      </c>
      <c r="B1860" s="1006" t="s">
        <v>149</v>
      </c>
      <c r="C1860" s="1007"/>
      <c r="D1860" s="696" t="str">
        <f>IF(E1881="","",IF(INDEX(THHKI!$A$8:$Y$62,MATCH(PDHKI!E1881,THHKI!$A$8:$A$62,0),22)&lt;1,"/",INDEX(THHKI!$A$8:$Y$62,MATCH(PDHKI!E1881,THHKI!$A$8:$A$62,0),22)))</f>
        <v/>
      </c>
      <c r="E1860" s="697"/>
      <c r="J1860" s="569" t="s">
        <v>122</v>
      </c>
      <c r="K1860" s="569">
        <v>21</v>
      </c>
    </row>
    <row r="1861" spans="1:11" ht="15.75" customHeight="1" thickBot="1"/>
    <row r="1862" spans="1:11" s="570" customFormat="1" ht="21" customHeight="1">
      <c r="A1862" s="698"/>
      <c r="B1862" s="1019" t="s">
        <v>150</v>
      </c>
      <c r="C1862" s="1020"/>
      <c r="D1862" s="699" t="s">
        <v>10</v>
      </c>
      <c r="E1862" s="700" t="s">
        <v>126</v>
      </c>
    </row>
    <row r="1863" spans="1:11" ht="21" customHeight="1">
      <c r="A1863" s="701">
        <v>16</v>
      </c>
      <c r="B1863" s="1021" t="s">
        <v>151</v>
      </c>
      <c r="C1863" s="1022"/>
      <c r="D1863" s="702" t="str">
        <f>IF(E1881="","",IF(INDEX(THHKI!$A$8:$Y$62,MATCH(PDHKI!E1881,THHKI!$A$8:$A$62,0),23)="","/",INDEX(THHKI!$A$8:$Y$62,MATCH(PDHKI!E1881,THHKI!$A$8:$A$62,0),23)))</f>
        <v/>
      </c>
      <c r="E1863" s="703"/>
    </row>
    <row r="1864" spans="1:11" ht="21" customHeight="1">
      <c r="A1864" s="701">
        <v>17</v>
      </c>
      <c r="B1864" s="1021" t="s">
        <v>152</v>
      </c>
      <c r="C1864" s="1022"/>
      <c r="D1864" s="702" t="str">
        <f>IF(E1881="","",IF(INDEX(THHKI!$A$8:$Y$62,MATCH(PDHKI!E1881,THHKI!$A$8:$A$62,0),24)="","/",INDEX(THHKI!$A$8:$Y$62,MATCH(PDHKI!E1881,THHKI!$A$8:$A$62,0),24)))</f>
        <v/>
      </c>
      <c r="E1864" s="703"/>
    </row>
    <row r="1865" spans="1:11" ht="21" customHeight="1" thickBot="1">
      <c r="A1865" s="704">
        <v>18</v>
      </c>
      <c r="B1865" s="1023" t="s">
        <v>153</v>
      </c>
      <c r="C1865" s="1024"/>
      <c r="D1865" s="705" t="str">
        <f>IF(E1881="","",IF(INDEX(THHKI!$A$8:$Y$62,MATCH(PDHKI!E1881,THHKI!$A$8:$A$62,0),25)="","/",INDEX(THHKI!$A$8:$Y$62,MATCH(PDHKI!E1881,THHKI!$A$8:$A$62,0),25)))</f>
        <v/>
      </c>
      <c r="E1865" s="706"/>
    </row>
    <row r="1866" spans="1:11" ht="9.75" customHeight="1"/>
    <row r="1867" spans="1:11" ht="15.75" customHeight="1">
      <c r="A1867" s="58" t="s">
        <v>219</v>
      </c>
    </row>
    <row r="1868" spans="1:11" ht="18" customHeight="1">
      <c r="A1868" s="59" t="str">
        <f>IF(E1881="","",IF(INDEX(DiemHKI!$DE$4:$DH$58,MATCH(PDHKI!E1881,DiemHKI!$B$4:$B$58,0),1)="","","- "&amp;INDEX(DiemHKI!$DE$4:$DH$58,MATCH(PDHKI!E1881,DiemHKI!$B$4:$B$58,0),1)))</f>
        <v/>
      </c>
      <c r="H1868" s="571"/>
    </row>
    <row r="1869" spans="1:11" ht="18" customHeight="1">
      <c r="A1869" s="59" t="str">
        <f>IF(E1881="","",IF(INDEX(DiemHKI!$DE$4:$DH$58,MATCH(PDHKI!E1881,DiemHKI!$B$4:$B$58,0),2)="","","- "&amp;INDEX(DiemHKI!$DE$4:$DH$58,MATCH(PDHKI!E1881,DiemHKI!$B$4:$B$58,0),2)))</f>
        <v/>
      </c>
    </row>
    <row r="1870" spans="1:11" ht="18" customHeight="1">
      <c r="A1870" s="59" t="str">
        <f>IF(E1881="","",IF(INDEX(DiemHKI!$DE$4:$DH$58,MATCH(PDHKI!E1881,DiemHKI!$B$4:$B$58,0),3)="","","- "&amp;INDEX(DiemHKI!$DE$4:$DH$58,MATCH(PDHKI!E1881,DiemHKI!$B$4:$B$58,0),3)))</f>
        <v/>
      </c>
    </row>
    <row r="1871" spans="1:11" ht="18" customHeight="1">
      <c r="A1871" s="59" t="str">
        <f>IF(E1881="","",IF(INDEX(DiemHKI!$DE$4:$DH$58,MATCH(PDHKI!E1881,DiemHKI!$B$4:$B$58,0),4)="","","- "&amp;INDEX(DiemHKI!$DE$4:$DH$58,MATCH(PDHKI!E1881,DiemHKI!$B$4:$B$58,0),4)))</f>
        <v/>
      </c>
    </row>
    <row r="1872" spans="1:11" ht="6.75" customHeight="1"/>
    <row r="1873" spans="1:5" ht="16.5" customHeight="1">
      <c r="A1873" s="61"/>
      <c r="C1873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873" s="1026"/>
      <c r="E1873" s="1026"/>
    </row>
    <row r="1874" spans="1:5" ht="21.75" customHeight="1">
      <c r="A1874" s="923" t="str">
        <f>IF($D$41="Hiệu trưởng","Giáo viên Quản nhiệm","")</f>
        <v>Giáo viên Quản nhiệm</v>
      </c>
      <c r="B1874" s="923"/>
      <c r="C1874" s="923"/>
      <c r="D1874" s="707" t="str">
        <f>IF($G$5="","",$G$5)</f>
        <v>Hiệu trưởng</v>
      </c>
      <c r="E1874" s="708"/>
    </row>
    <row r="1875" spans="1:5" ht="15" customHeight="1">
      <c r="A1875" s="61"/>
      <c r="B1875" s="61"/>
      <c r="C1875" s="61"/>
      <c r="D1875" s="66"/>
      <c r="E1875" s="66"/>
    </row>
    <row r="1876" spans="1:5" ht="15" customHeight="1">
      <c r="A1876" s="61"/>
      <c r="B1876" s="61"/>
      <c r="C1876" s="61"/>
      <c r="D1876" s="66"/>
      <c r="E1876" s="66"/>
    </row>
    <row r="1877" spans="1:5" ht="15" customHeight="1">
      <c r="A1877" s="61"/>
      <c r="B1877" s="61"/>
      <c r="C1877" s="61"/>
    </row>
    <row r="1878" spans="1:5" ht="15" customHeight="1">
      <c r="A1878" s="61"/>
      <c r="B1878" s="61"/>
      <c r="C1878" s="61"/>
    </row>
    <row r="1879" spans="1:5" ht="16.5" customHeight="1">
      <c r="A1879" s="1012" t="str">
        <f>IF($A$41="","",PROPER('Huong dan'!$C$4))</f>
        <v/>
      </c>
      <c r="B1879" s="1012"/>
      <c r="C1879" s="1012"/>
      <c r="D1879" s="833" t="str">
        <f>IFERROR(IF($D$41="Giáo Viên Quản nhiệm",PROPER('Huong dan'!$C$4),IF($D$41="Hiệu trưởng",PROPER('Huong dan'!$E$5),"")),"")</f>
        <v/>
      </c>
      <c r="E1879" s="708"/>
    </row>
    <row r="1880" spans="1:5" ht="12.75" customHeight="1"/>
    <row r="1881" spans="1:5" ht="12.75" customHeight="1">
      <c r="A1881" s="709"/>
      <c r="B1881" s="709"/>
      <c r="C1881" s="709"/>
      <c r="D1881" s="710"/>
      <c r="E1881" s="711" t="str">
        <f>IF(E1834="","",IF(E1834&lt;MAX(DiemHKI!$B$4:$B$58),E1834+1,""))</f>
        <v/>
      </c>
    </row>
    <row r="1882" spans="1:5" ht="8.25" customHeight="1">
      <c r="A1882" s="709"/>
      <c r="B1882" s="709"/>
      <c r="C1882" s="709"/>
      <c r="D1882" s="709"/>
      <c r="E1882" s="709"/>
    </row>
    <row r="1883" spans="1:5" ht="5.25" customHeight="1"/>
    <row r="1884" spans="1:5" s="563" customFormat="1" ht="23.25" customHeight="1">
      <c r="A1884" s="931" t="str">
        <f>IF('Huong dan'!$E$3&lt;&gt;"","SỞ GIÁO DỤC VÀ ĐÀO TẠO "&amp;UPPER('Huong dan'!$E$3),"")</f>
        <v>SỞ GIÁO DỤC VÀ ĐÀO TẠO TP. HỒ CHÍ MINH</v>
      </c>
      <c r="B1884" s="931"/>
      <c r="C1884" s="931"/>
      <c r="D1884" s="923" t="s">
        <v>19</v>
      </c>
      <c r="E1884" s="923"/>
    </row>
    <row r="1885" spans="1:5" ht="17.25" customHeight="1">
      <c r="A1885" s="931" t="str">
        <f>IF('Huong dan'!$E$4&lt;&gt;"","TRƯỜNG "&amp;UPPER('Huong dan'!$E$4),"")</f>
        <v>TRƯỜNG THCS VÀ THPT NGUYỄN KHUYẾN</v>
      </c>
      <c r="B1885" s="931"/>
      <c r="C1885" s="931"/>
      <c r="D1885" s="1012" t="s">
        <v>179</v>
      </c>
      <c r="E1885" s="1012"/>
    </row>
    <row r="1886" spans="1:5" ht="24" customHeight="1">
      <c r="A1886" s="61"/>
      <c r="B1886" s="61"/>
      <c r="C1886" s="61"/>
    </row>
    <row r="1887" spans="1:5" ht="29.25" customHeight="1">
      <c r="A1887" s="1013" t="str">
        <f>"PHIẾU ĐIỂM HỌC KỲ I - NĂM HỌC "&amp;'Huong dan'!$C$5</f>
        <v>PHIẾU ĐIỂM HỌC KỲ I - NĂM HỌC 2021 - 2022</v>
      </c>
      <c r="B1887" s="1013"/>
      <c r="C1887" s="1013"/>
      <c r="D1887" s="1013"/>
      <c r="E1887" s="1013"/>
    </row>
    <row r="1888" spans="1:5" ht="15.75" customHeight="1">
      <c r="A1888" s="680"/>
      <c r="B1888" s="680"/>
    </row>
    <row r="1889" spans="1:11" ht="21" customHeight="1">
      <c r="A1889" s="1014" t="s">
        <v>145</v>
      </c>
      <c r="B1889" s="1014"/>
      <c r="C1889" s="1015" t="str">
        <f>IF(E1928="","",INDEX(DiemHKI!$D$4:$D$58,MATCH(E1928,DiemHKI!$B$4:$B$58,0),1)&amp;" "&amp;INDEX(DiemHKI!$E$4:$E$58,MATCH(E1928,DiemHKI!$B$4:$B$58,0),1))</f>
        <v/>
      </c>
      <c r="D1889" s="1015"/>
      <c r="E1889" s="62" t="str">
        <f>IF('Huong dan'!$C$3="","","Lớp: "&amp;'Huong dan'!$C$3)</f>
        <v>Lớp: 12A1</v>
      </c>
    </row>
    <row r="1890" spans="1:11" ht="23.25" customHeight="1">
      <c r="A1890" s="1014" t="s">
        <v>146</v>
      </c>
      <c r="B1890" s="1014"/>
      <c r="C1890" s="681" t="str">
        <f>IF(E1928="","",INDEX(DiemHKI!$F$4:$F$58,MATCH(PDHKI!E1928,DiemHKI!$B$4:$B$58,0),1))</f>
        <v/>
      </c>
      <c r="D1890" s="1016" t="str">
        <f>IF(E1928="","","Nơi sinh: "&amp;INDEX(DiemHKI!$G$4:$G$58,MATCH(PDHKI!E1928,DiemHKI!$B$4:$B$58,0),1))</f>
        <v/>
      </c>
      <c r="E1890" s="1016"/>
    </row>
    <row r="1891" spans="1:11" ht="13.5" customHeight="1" thickBot="1">
      <c r="A1891" s="681"/>
      <c r="B1891" s="682"/>
      <c r="D1891" s="681"/>
      <c r="E1891" s="681"/>
    </row>
    <row r="1892" spans="1:11" ht="24" customHeight="1" thickBot="1">
      <c r="A1892" s="683" t="s">
        <v>0</v>
      </c>
      <c r="B1892" s="1006" t="s">
        <v>72</v>
      </c>
      <c r="C1892" s="1007"/>
      <c r="D1892" s="684" t="s">
        <v>147</v>
      </c>
      <c r="E1892" s="685" t="s">
        <v>148</v>
      </c>
    </row>
    <row r="1893" spans="1:11" ht="21" customHeight="1">
      <c r="A1893" s="686">
        <v>1</v>
      </c>
      <c r="B1893" s="1017" t="s">
        <v>26</v>
      </c>
      <c r="C1893" s="1018"/>
      <c r="D1893" s="687" t="str">
        <f>IF(E1928="","",IF(INDEX(THHKI!$A$8:$Y$62,MATCH(PDHKI!E1928,THHKI!$A$8:$A$62,0),INDEX($K$13:$K$27,MATCH(B1893,$J$13:$J$27,0),1))&lt;1,"/",INDEX(THHKI!$A$8:$Y$62,MATCH(PDHKI!E1928,THHKI!$A$8:$A$62,0),INDEX($K$13:$K$27,MATCH(B1893,$J$13:$J$27,0),1))))</f>
        <v/>
      </c>
      <c r="E1893" s="688"/>
      <c r="J1893" s="569" t="s">
        <v>26</v>
      </c>
      <c r="K1893" s="569">
        <v>7</v>
      </c>
    </row>
    <row r="1894" spans="1:11" ht="21" customHeight="1">
      <c r="A1894" s="689">
        <v>2</v>
      </c>
      <c r="B1894" s="1008" t="s">
        <v>27</v>
      </c>
      <c r="C1894" s="1009"/>
      <c r="D1894" s="690" t="str">
        <f>IF(E1928="","",IF(INDEX(THHKI!$A$8:$Y$62,MATCH(PDHKI!E1928,THHKI!$A$8:$A$62,0),INDEX($K$13:$K$27,MATCH(B1894,$J$13:$J$27,0),1))&lt;1,"/",INDEX(THHKI!$A$8:$Y$62,MATCH(PDHKI!E1928,THHKI!$A$8:$A$62,0),INDEX($K$13:$K$27,MATCH(B1894,$J$13:$J$27,0),1))))</f>
        <v/>
      </c>
      <c r="E1894" s="691"/>
      <c r="J1894" s="569" t="s">
        <v>27</v>
      </c>
      <c r="K1894" s="569">
        <v>8</v>
      </c>
    </row>
    <row r="1895" spans="1:11" ht="21" customHeight="1">
      <c r="A1895" s="689">
        <v>3</v>
      </c>
      <c r="B1895" s="1008" t="s">
        <v>28</v>
      </c>
      <c r="C1895" s="1009"/>
      <c r="D1895" s="690" t="str">
        <f>IF(E1928="","",IF(INDEX(THHKI!$A$8:$Y$62,MATCH(PDHKI!E1928,THHKI!$A$8:$A$62,0),INDEX($K$13:$K$27,MATCH(B1895,$J$13:$J$27,0),1))&lt;1,"/",INDEX(THHKI!$A$8:$Y$62,MATCH(PDHKI!E1928,THHKI!$A$8:$A$62,0),INDEX($K$13:$K$27,MATCH(B1895,$J$13:$J$27,0),1))))</f>
        <v/>
      </c>
      <c r="E1895" s="691"/>
      <c r="J1895" s="569" t="s">
        <v>28</v>
      </c>
      <c r="K1895" s="569">
        <v>9</v>
      </c>
    </row>
    <row r="1896" spans="1:11" ht="21" customHeight="1">
      <c r="A1896" s="689">
        <v>4</v>
      </c>
      <c r="B1896" s="1008" t="s">
        <v>29</v>
      </c>
      <c r="C1896" s="1009"/>
      <c r="D1896" s="690" t="str">
        <f>IF(E1928="","",IF(INDEX(THHKI!$A$8:$Y$62,MATCH(PDHKI!E1928,THHKI!$A$8:$A$62,0),INDEX($K$13:$K$27,MATCH(B1896,$J$13:$J$27,0),1))&lt;1,"/",INDEX(THHKI!$A$8:$Y$62,MATCH(PDHKI!E1928,THHKI!$A$8:$A$62,0),INDEX($K$13:$K$27,MATCH(B1896,$J$13:$J$27,0),1))))</f>
        <v/>
      </c>
      <c r="E1896" s="691"/>
      <c r="J1896" s="569" t="s">
        <v>29</v>
      </c>
      <c r="K1896" s="569">
        <v>10</v>
      </c>
    </row>
    <row r="1897" spans="1:11" ht="21" customHeight="1">
      <c r="A1897" s="689">
        <v>5</v>
      </c>
      <c r="B1897" s="1008" t="s">
        <v>120</v>
      </c>
      <c r="C1897" s="1009"/>
      <c r="D1897" s="690" t="str">
        <f>IF(E1928="","",IF(INDEX(THHKI!$A$8:$Y$62,MATCH(PDHKI!E1928,THHKI!$A$8:$A$62,0),INDEX($K$13:$K$27,MATCH(B1897,$J$13:$J$27,0),1))&lt;1,"/",INDEX(THHKI!$A$8:$Y$62,MATCH(PDHKI!E1928,THHKI!$A$8:$A$62,0),INDEX($K$13:$K$27,MATCH(B1897,$J$13:$J$27,0),1))))</f>
        <v/>
      </c>
      <c r="E1897" s="691"/>
      <c r="J1897" s="569" t="s">
        <v>120</v>
      </c>
      <c r="K1897" s="569">
        <v>11</v>
      </c>
    </row>
    <row r="1898" spans="1:11" ht="21" customHeight="1">
      <c r="A1898" s="689">
        <v>6</v>
      </c>
      <c r="B1898" s="1008" t="s">
        <v>30</v>
      </c>
      <c r="C1898" s="1009"/>
      <c r="D1898" s="690" t="str">
        <f>IF(E1928="","",IF(INDEX(THHKI!$A$8:$Y$62,MATCH(PDHKI!E1928,THHKI!$A$8:$A$62,0),INDEX($K$13:$K$27,MATCH(B1898,$J$13:$J$27,0),1))&lt;1,"/",INDEX(THHKI!$A$8:$Y$62,MATCH(PDHKI!E1928,THHKI!$A$8:$A$62,0),INDEX($K$13:$K$27,MATCH(B1898,$J$13:$J$27,0),1))))</f>
        <v/>
      </c>
      <c r="E1898" s="691"/>
      <c r="J1898" s="569" t="s">
        <v>30</v>
      </c>
      <c r="K1898" s="569">
        <v>12</v>
      </c>
    </row>
    <row r="1899" spans="1:11" ht="21" customHeight="1">
      <c r="A1899" s="689">
        <v>7</v>
      </c>
      <c r="B1899" s="1008" t="s">
        <v>31</v>
      </c>
      <c r="C1899" s="1009"/>
      <c r="D1899" s="690" t="str">
        <f>IF(E1928="","",IF(INDEX(THHKI!$A$8:$Y$62,MATCH(PDHKI!E1928,THHKI!$A$8:$A$62,0),INDEX($K$13:$K$27,MATCH(B1899,$J$13:$J$27,0),1))&lt;1,"/",INDEX(THHKI!$A$8:$Y$62,MATCH(PDHKI!E1928,THHKI!$A$8:$A$62,0),INDEX($K$13:$K$27,MATCH(B1899,$J$13:$J$27,0),1))))</f>
        <v/>
      </c>
      <c r="E1899" s="691"/>
      <c r="J1899" s="569" t="s">
        <v>31</v>
      </c>
      <c r="K1899" s="569">
        <v>13</v>
      </c>
    </row>
    <row r="1900" spans="1:11" ht="21" customHeight="1">
      <c r="A1900" s="689">
        <v>8</v>
      </c>
      <c r="B1900" s="1008" t="s">
        <v>32</v>
      </c>
      <c r="C1900" s="1009"/>
      <c r="D1900" s="690" t="str">
        <f>IF(E1928="","",IF(INDEX(THHKI!$A$8:$Y$62,MATCH(PDHKI!E1928,THHKI!$A$8:$A$62,0),INDEX($K$13:$K$27,MATCH(B1900,$J$13:$J$27,0),1))&lt;1,"/",INDEX(THHKI!$A$8:$Y$62,MATCH(PDHKI!E1928,THHKI!$A$8:$A$62,0),INDEX($K$13:$K$27,MATCH(B1900,$J$13:$J$27,0),1))))</f>
        <v/>
      </c>
      <c r="E1900" s="691"/>
      <c r="J1900" s="569" t="s">
        <v>32</v>
      </c>
      <c r="K1900" s="569">
        <v>14</v>
      </c>
    </row>
    <row r="1901" spans="1:11" ht="21" customHeight="1">
      <c r="A1901" s="689">
        <v>9</v>
      </c>
      <c r="B1901" s="1008" t="s">
        <v>33</v>
      </c>
      <c r="C1901" s="1009"/>
      <c r="D1901" s="690" t="str">
        <f>IF(E1928="","",IF(INDEX(THHKI!$A$8:$Y$62,MATCH(PDHKI!E1928,THHKI!$A$8:$A$62,0),INDEX($K$13:$K$27,MATCH(B1901,$J$13:$J$27,0),1))&lt;1,"/",INDEX(THHKI!$A$8:$Y$62,MATCH(PDHKI!E1928,THHKI!$A$8:$A$62,0),INDEX($K$13:$K$27,MATCH(B1901,$J$13:$J$27,0),1))))</f>
        <v/>
      </c>
      <c r="E1901" s="691"/>
      <c r="J1901" s="569" t="s">
        <v>33</v>
      </c>
      <c r="K1901" s="569">
        <v>15</v>
      </c>
    </row>
    <row r="1902" spans="1:11" ht="21" customHeight="1">
      <c r="A1902" s="689">
        <v>10</v>
      </c>
      <c r="B1902" s="1008" t="s">
        <v>60</v>
      </c>
      <c r="C1902" s="1009"/>
      <c r="D1902" s="690" t="str">
        <f>IF(E1928="","",IF(INDEX(THHKI!$A$8:$Y$62,MATCH(PDHKI!E1928,THHKI!$A$8:$A$62,0),INDEX($K$13:$K$27,MATCH(B1902,$J$13:$J$27,0),1))&lt;1,"/",INDEX(THHKI!$A$8:$Y$62,MATCH(PDHKI!E1928,THHKI!$A$8:$A$62,0),INDEX($K$13:$K$27,MATCH(B1902,$J$13:$J$27,0),1))))</f>
        <v/>
      </c>
      <c r="E1902" s="691"/>
      <c r="J1902" s="569" t="s">
        <v>60</v>
      </c>
      <c r="K1902" s="569">
        <v>16</v>
      </c>
    </row>
    <row r="1903" spans="1:11" ht="21" customHeight="1">
      <c r="A1903" s="689">
        <v>11</v>
      </c>
      <c r="B1903" s="1008" t="s">
        <v>34</v>
      </c>
      <c r="C1903" s="1009"/>
      <c r="D1903" s="690" t="str">
        <f>IF(E1928="","",IF(INDEX(THHKI!$A$8:$Y$62,MATCH(PDHKI!E1928,THHKI!$A$8:$A$62,0),INDEX($K$13:$K$27,MATCH(B1903,$J$13:$J$27,0),1))&lt;1,"/",INDEX(THHKI!$A$8:$Y$62,MATCH(PDHKI!E1928,THHKI!$A$8:$A$62,0),INDEX($K$13:$K$27,MATCH(B1903,$J$13:$J$27,0),1))))</f>
        <v/>
      </c>
      <c r="E1903" s="691"/>
      <c r="J1903" s="569" t="s">
        <v>34</v>
      </c>
      <c r="K1903" s="569">
        <v>17</v>
      </c>
    </row>
    <row r="1904" spans="1:11" ht="21" customHeight="1">
      <c r="A1904" s="689">
        <v>12</v>
      </c>
      <c r="B1904" s="1008" t="s">
        <v>35</v>
      </c>
      <c r="C1904" s="1009"/>
      <c r="D1904" s="690" t="str">
        <f>IF(E1928="","",IF(INDEX(THHKI!$A$8:$Y$62,MATCH(PDHKI!E1928,THHKI!$A$8:$A$62,0),INDEX($K$13:$K$27,MATCH(B1904,$J$13:$J$27,0),1))&lt;1,"/",INDEX(THHKI!$A$8:$Y$62,MATCH(PDHKI!E1928,THHKI!$A$8:$A$62,0),INDEX($K$13:$K$27,MATCH(B1904,$J$13:$J$27,0),1))))</f>
        <v/>
      </c>
      <c r="E1904" s="691"/>
      <c r="J1904" s="569" t="s">
        <v>35</v>
      </c>
      <c r="K1904" s="569">
        <v>18</v>
      </c>
    </row>
    <row r="1905" spans="1:11" ht="21" customHeight="1">
      <c r="A1905" s="689">
        <v>13</v>
      </c>
      <c r="B1905" s="1008" t="s">
        <v>121</v>
      </c>
      <c r="C1905" s="1009"/>
      <c r="D1905" s="690" t="str">
        <f>IF(E1928="","",IF(INDEX(THHKI!$A$8:$Y$62,MATCH(PDHKI!E1928,THHKI!$A$8:$A$62,0),INDEX($K$13:$K$27,MATCH(B1905,$J$13:$J$27,0),1))&lt;1,"/",INDEX(THHKI!$A$8:$Y$62,MATCH(PDHKI!E1928,THHKI!$A$8:$A$62,0),INDEX($K$13:$K$27,MATCH(B1905,$J$13:$J$27,0),1))))</f>
        <v/>
      </c>
      <c r="E1905" s="691"/>
      <c r="J1905" s="569" t="s">
        <v>22</v>
      </c>
      <c r="K1905" s="569">
        <v>19</v>
      </c>
    </row>
    <row r="1906" spans="1:11" ht="21" customHeight="1" thickBot="1">
      <c r="A1906" s="692">
        <v>14</v>
      </c>
      <c r="B1906" s="1010" t="s">
        <v>122</v>
      </c>
      <c r="C1906" s="1011"/>
      <c r="D1906" s="693" t="str">
        <f>IF(E1928="","",IF(INDEX(THHKI!$A$8:$Y$62,MATCH(PDHKI!E1928,THHKI!$A$8:$A$62,0),INDEX($K$13:$K$27,MATCH(B1906,$J$13:$J$27,0),1))&lt;1,"/",INDEX(THHKI!$A$8:$Y$62,MATCH(PDHKI!E1928,THHKI!$A$8:$A$62,0),INDEX($K$13:$K$27,MATCH(B1906,$J$13:$J$27,0),1))))</f>
        <v/>
      </c>
      <c r="E1906" s="694"/>
      <c r="J1906" s="569" t="s">
        <v>121</v>
      </c>
      <c r="K1906" s="569">
        <v>20</v>
      </c>
    </row>
    <row r="1907" spans="1:11" ht="21" customHeight="1" thickBot="1">
      <c r="A1907" s="695">
        <v>15</v>
      </c>
      <c r="B1907" s="1006" t="s">
        <v>149</v>
      </c>
      <c r="C1907" s="1007"/>
      <c r="D1907" s="696" t="str">
        <f>IF(E1928="","",IF(INDEX(THHKI!$A$8:$Y$62,MATCH(PDHKI!E1928,THHKI!$A$8:$A$62,0),22)&lt;1,"/",INDEX(THHKI!$A$8:$Y$62,MATCH(PDHKI!E1928,THHKI!$A$8:$A$62,0),22)))</f>
        <v/>
      </c>
      <c r="E1907" s="697"/>
      <c r="J1907" s="569" t="s">
        <v>122</v>
      </c>
      <c r="K1907" s="569">
        <v>21</v>
      </c>
    </row>
    <row r="1908" spans="1:11" ht="15.75" customHeight="1" thickBot="1"/>
    <row r="1909" spans="1:11" s="570" customFormat="1" ht="21" customHeight="1">
      <c r="A1909" s="698"/>
      <c r="B1909" s="1019" t="s">
        <v>150</v>
      </c>
      <c r="C1909" s="1020"/>
      <c r="D1909" s="699" t="s">
        <v>10</v>
      </c>
      <c r="E1909" s="700" t="s">
        <v>126</v>
      </c>
    </row>
    <row r="1910" spans="1:11" ht="21" customHeight="1">
      <c r="A1910" s="701">
        <v>16</v>
      </c>
      <c r="B1910" s="1021" t="s">
        <v>151</v>
      </c>
      <c r="C1910" s="1022"/>
      <c r="D1910" s="702" t="str">
        <f>IF(E1928="","",IF(INDEX(THHKI!$A$8:$Y$62,MATCH(PDHKI!E1928,THHKI!$A$8:$A$62,0),23)="","/",INDEX(THHKI!$A$8:$Y$62,MATCH(PDHKI!E1928,THHKI!$A$8:$A$62,0),23)))</f>
        <v/>
      </c>
      <c r="E1910" s="703"/>
    </row>
    <row r="1911" spans="1:11" ht="21" customHeight="1">
      <c r="A1911" s="701">
        <v>17</v>
      </c>
      <c r="B1911" s="1021" t="s">
        <v>152</v>
      </c>
      <c r="C1911" s="1022"/>
      <c r="D1911" s="702" t="str">
        <f>IF(E1928="","",IF(INDEX(THHKI!$A$8:$Y$62,MATCH(PDHKI!E1928,THHKI!$A$8:$A$62,0),24)="","/",INDEX(THHKI!$A$8:$Y$62,MATCH(PDHKI!E1928,THHKI!$A$8:$A$62,0),24)))</f>
        <v/>
      </c>
      <c r="E1911" s="703"/>
    </row>
    <row r="1912" spans="1:11" ht="21" customHeight="1" thickBot="1">
      <c r="A1912" s="704">
        <v>18</v>
      </c>
      <c r="B1912" s="1023" t="s">
        <v>153</v>
      </c>
      <c r="C1912" s="1024"/>
      <c r="D1912" s="705" t="str">
        <f>IF(E1928="","",IF(INDEX(THHKI!$A$8:$Y$62,MATCH(PDHKI!E1928,THHKI!$A$8:$A$62,0),25)="","/",INDEX(THHKI!$A$8:$Y$62,MATCH(PDHKI!E1928,THHKI!$A$8:$A$62,0),25)))</f>
        <v/>
      </c>
      <c r="E1912" s="706"/>
    </row>
    <row r="1913" spans="1:11" ht="9.75" customHeight="1"/>
    <row r="1914" spans="1:11" ht="15.75" customHeight="1">
      <c r="A1914" s="58" t="s">
        <v>219</v>
      </c>
    </row>
    <row r="1915" spans="1:11" ht="18" customHeight="1">
      <c r="A1915" s="59" t="str">
        <f>IF(E1928="","",IF(INDEX(DiemHKI!$DE$4:$DH$58,MATCH(PDHKI!E1928,DiemHKI!$B$4:$B$58,0),1)="","","- "&amp;INDEX(DiemHKI!$DE$4:$DH$58,MATCH(PDHKI!E1928,DiemHKI!$B$4:$B$58,0),1)))</f>
        <v/>
      </c>
      <c r="H1915" s="571"/>
    </row>
    <row r="1916" spans="1:11" ht="18" customHeight="1">
      <c r="A1916" s="59" t="str">
        <f>IF(E1928="","",IF(INDEX(DiemHKI!$DE$4:$DH$58,MATCH(PDHKI!E1928,DiemHKI!$B$4:$B$58,0),2)="","","- "&amp;INDEX(DiemHKI!$DE$4:$DH$58,MATCH(PDHKI!E1928,DiemHKI!$B$4:$B$58,0),2)))</f>
        <v/>
      </c>
    </row>
    <row r="1917" spans="1:11" ht="18" customHeight="1">
      <c r="A1917" s="59" t="str">
        <f>IF(E1928="","",IF(INDEX(DiemHKI!$DE$4:$DH$58,MATCH(PDHKI!E1928,DiemHKI!$B$4:$B$58,0),3)="","","- "&amp;INDEX(DiemHKI!$DE$4:$DH$58,MATCH(PDHKI!E1928,DiemHKI!$B$4:$B$58,0),3)))</f>
        <v/>
      </c>
    </row>
    <row r="1918" spans="1:11" ht="18" customHeight="1">
      <c r="A1918" s="59" t="str">
        <f>IF(E1928="","",IF(INDEX(DiemHKI!$DE$4:$DH$58,MATCH(PDHKI!E1928,DiemHKI!$B$4:$B$58,0),4)="","","- "&amp;INDEX(DiemHKI!$DE$4:$DH$58,MATCH(PDHKI!E1928,DiemHKI!$B$4:$B$58,0),4)))</f>
        <v/>
      </c>
    </row>
    <row r="1919" spans="1:11" ht="6.75" customHeight="1"/>
    <row r="1920" spans="1:11" ht="16.5" customHeight="1">
      <c r="A1920" s="61"/>
      <c r="C1920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920" s="1026"/>
      <c r="E1920" s="1026"/>
    </row>
    <row r="1921" spans="1:5" ht="21.75" customHeight="1">
      <c r="A1921" s="923" t="str">
        <f>IF($D$41="Hiệu trưởng","Giáo viên Quản nhiệm","")</f>
        <v>Giáo viên Quản nhiệm</v>
      </c>
      <c r="B1921" s="923"/>
      <c r="C1921" s="923"/>
      <c r="D1921" s="707" t="str">
        <f>IF($G$5="","",$G$5)</f>
        <v>Hiệu trưởng</v>
      </c>
      <c r="E1921" s="708"/>
    </row>
    <row r="1922" spans="1:5" ht="15" customHeight="1">
      <c r="A1922" s="61"/>
      <c r="B1922" s="61"/>
      <c r="C1922" s="61"/>
      <c r="D1922" s="66"/>
      <c r="E1922" s="66"/>
    </row>
    <row r="1923" spans="1:5" ht="15" customHeight="1">
      <c r="A1923" s="61"/>
      <c r="B1923" s="61"/>
      <c r="C1923" s="61"/>
      <c r="D1923" s="66"/>
      <c r="E1923" s="66"/>
    </row>
    <row r="1924" spans="1:5" ht="15" customHeight="1">
      <c r="A1924" s="61"/>
      <c r="B1924" s="61"/>
      <c r="C1924" s="61"/>
    </row>
    <row r="1925" spans="1:5" ht="15" customHeight="1">
      <c r="A1925" s="61"/>
      <c r="B1925" s="61"/>
      <c r="C1925" s="61"/>
    </row>
    <row r="1926" spans="1:5" ht="16.5" customHeight="1">
      <c r="A1926" s="1012" t="str">
        <f>IF($A$41="","",PROPER('Huong dan'!$C$4))</f>
        <v/>
      </c>
      <c r="B1926" s="1012"/>
      <c r="C1926" s="1012"/>
      <c r="D1926" s="833" t="str">
        <f>IFERROR(IF($D$41="Giáo Viên Quản nhiệm",PROPER('Huong dan'!$C$4),IF($D$41="Hiệu trưởng",PROPER('Huong dan'!$E$5),"")),"")</f>
        <v/>
      </c>
      <c r="E1926" s="708"/>
    </row>
    <row r="1927" spans="1:5" ht="12.75" customHeight="1"/>
    <row r="1928" spans="1:5" ht="12.75" customHeight="1">
      <c r="A1928" s="709"/>
      <c r="B1928" s="709"/>
      <c r="C1928" s="709"/>
      <c r="D1928" s="710"/>
      <c r="E1928" s="711" t="str">
        <f>IF(E1881="","",IF(E1881&lt;MAX(DiemHKI!$B$4:$B$58),E1881+1,""))</f>
        <v/>
      </c>
    </row>
    <row r="1929" spans="1:5" ht="8.25" customHeight="1">
      <c r="A1929" s="709"/>
      <c r="B1929" s="709"/>
      <c r="C1929" s="709"/>
      <c r="D1929" s="709"/>
      <c r="E1929" s="709"/>
    </row>
    <row r="1930" spans="1:5" ht="5.25" customHeight="1"/>
    <row r="1931" spans="1:5" s="563" customFormat="1" ht="23.25" customHeight="1">
      <c r="A1931" s="931" t="str">
        <f>IF('Huong dan'!$E$3&lt;&gt;"","SỞ GIÁO DỤC VÀ ĐÀO TẠO "&amp;UPPER('Huong dan'!$E$3),"")</f>
        <v>SỞ GIÁO DỤC VÀ ĐÀO TẠO TP. HỒ CHÍ MINH</v>
      </c>
      <c r="B1931" s="931"/>
      <c r="C1931" s="931"/>
      <c r="D1931" s="923" t="s">
        <v>19</v>
      </c>
      <c r="E1931" s="923"/>
    </row>
    <row r="1932" spans="1:5" ht="17.25" customHeight="1">
      <c r="A1932" s="931" t="str">
        <f>IF('Huong dan'!$E$4&lt;&gt;"","TRƯỜNG "&amp;UPPER('Huong dan'!$E$4),"")</f>
        <v>TRƯỜNG THCS VÀ THPT NGUYỄN KHUYẾN</v>
      </c>
      <c r="B1932" s="931"/>
      <c r="C1932" s="931"/>
      <c r="D1932" s="1012" t="s">
        <v>179</v>
      </c>
      <c r="E1932" s="1012"/>
    </row>
    <row r="1933" spans="1:5" ht="24" customHeight="1">
      <c r="A1933" s="61"/>
      <c r="B1933" s="61"/>
      <c r="C1933" s="61"/>
    </row>
    <row r="1934" spans="1:5" ht="29.25" customHeight="1">
      <c r="A1934" s="1013" t="str">
        <f>"PHIẾU ĐIỂM HỌC KỲ I - NĂM HỌC "&amp;'Huong dan'!$C$5</f>
        <v>PHIẾU ĐIỂM HỌC KỲ I - NĂM HỌC 2021 - 2022</v>
      </c>
      <c r="B1934" s="1013"/>
      <c r="C1934" s="1013"/>
      <c r="D1934" s="1013"/>
      <c r="E1934" s="1013"/>
    </row>
    <row r="1935" spans="1:5" ht="15.75" customHeight="1">
      <c r="A1935" s="680"/>
      <c r="B1935" s="680"/>
    </row>
    <row r="1936" spans="1:5" ht="21" customHeight="1">
      <c r="A1936" s="1014" t="s">
        <v>145</v>
      </c>
      <c r="B1936" s="1014"/>
      <c r="C1936" s="1015" t="str">
        <f>IF(E1975="","",INDEX(DiemHKI!$D$4:$D$58,MATCH(E1975,DiemHKI!$B$4:$B$58,0),1)&amp;" "&amp;INDEX(DiemHKI!$E$4:$E$58,MATCH(E1975,DiemHKI!$B$4:$B$58,0),1))</f>
        <v/>
      </c>
      <c r="D1936" s="1015"/>
      <c r="E1936" s="62" t="str">
        <f>IF('Huong dan'!$C$3="","","Lớp: "&amp;'Huong dan'!$C$3)</f>
        <v>Lớp: 12A1</v>
      </c>
    </row>
    <row r="1937" spans="1:11" ht="23.25" customHeight="1">
      <c r="A1937" s="1014" t="s">
        <v>146</v>
      </c>
      <c r="B1937" s="1014"/>
      <c r="C1937" s="681" t="str">
        <f>IF(E1975="","",INDEX(DiemHKI!$F$4:$F$58,MATCH(PDHKI!E1975,DiemHKI!$B$4:$B$58,0),1))</f>
        <v/>
      </c>
      <c r="D1937" s="1016" t="str">
        <f>IF(E1975="","","Nơi sinh: "&amp;INDEX(DiemHKI!$G$4:$G$58,MATCH(PDHKI!E1975,DiemHKI!$B$4:$B$58,0),1))</f>
        <v/>
      </c>
      <c r="E1937" s="1016"/>
    </row>
    <row r="1938" spans="1:11" ht="13.5" customHeight="1" thickBot="1">
      <c r="A1938" s="681"/>
      <c r="B1938" s="682"/>
      <c r="D1938" s="681"/>
      <c r="E1938" s="681"/>
    </row>
    <row r="1939" spans="1:11" ht="24" customHeight="1" thickBot="1">
      <c r="A1939" s="683" t="s">
        <v>0</v>
      </c>
      <c r="B1939" s="1006" t="s">
        <v>72</v>
      </c>
      <c r="C1939" s="1007"/>
      <c r="D1939" s="684" t="s">
        <v>147</v>
      </c>
      <c r="E1939" s="685" t="s">
        <v>148</v>
      </c>
    </row>
    <row r="1940" spans="1:11" ht="21" customHeight="1">
      <c r="A1940" s="686">
        <v>1</v>
      </c>
      <c r="B1940" s="1017" t="s">
        <v>26</v>
      </c>
      <c r="C1940" s="1018"/>
      <c r="D1940" s="687" t="str">
        <f>IF(E1975="","",IF(INDEX(THHKI!$A$8:$Y$62,MATCH(PDHKI!E1975,THHKI!$A$8:$A$62,0),INDEX($K$13:$K$27,MATCH(B1940,$J$13:$J$27,0),1))&lt;1,"/",INDEX(THHKI!$A$8:$Y$62,MATCH(PDHKI!E1975,THHKI!$A$8:$A$62,0),INDEX($K$13:$K$27,MATCH(B1940,$J$13:$J$27,0),1))))</f>
        <v/>
      </c>
      <c r="E1940" s="688"/>
      <c r="J1940" s="569" t="s">
        <v>26</v>
      </c>
      <c r="K1940" s="569">
        <v>7</v>
      </c>
    </row>
    <row r="1941" spans="1:11" ht="21" customHeight="1">
      <c r="A1941" s="689">
        <v>2</v>
      </c>
      <c r="B1941" s="1008" t="s">
        <v>27</v>
      </c>
      <c r="C1941" s="1009"/>
      <c r="D1941" s="690" t="str">
        <f>IF(E1975="","",IF(INDEX(THHKI!$A$8:$Y$62,MATCH(PDHKI!E1975,THHKI!$A$8:$A$62,0),INDEX($K$13:$K$27,MATCH(B1941,$J$13:$J$27,0),1))&lt;1,"/",INDEX(THHKI!$A$8:$Y$62,MATCH(PDHKI!E1975,THHKI!$A$8:$A$62,0),INDEX($K$13:$K$27,MATCH(B1941,$J$13:$J$27,0),1))))</f>
        <v/>
      </c>
      <c r="E1941" s="691"/>
      <c r="J1941" s="569" t="s">
        <v>27</v>
      </c>
      <c r="K1941" s="569">
        <v>8</v>
      </c>
    </row>
    <row r="1942" spans="1:11" ht="21" customHeight="1">
      <c r="A1942" s="689">
        <v>3</v>
      </c>
      <c r="B1942" s="1008" t="s">
        <v>28</v>
      </c>
      <c r="C1942" s="1009"/>
      <c r="D1942" s="690" t="str">
        <f>IF(E1975="","",IF(INDEX(THHKI!$A$8:$Y$62,MATCH(PDHKI!E1975,THHKI!$A$8:$A$62,0),INDEX($K$13:$K$27,MATCH(B1942,$J$13:$J$27,0),1))&lt;1,"/",INDEX(THHKI!$A$8:$Y$62,MATCH(PDHKI!E1975,THHKI!$A$8:$A$62,0),INDEX($K$13:$K$27,MATCH(B1942,$J$13:$J$27,0),1))))</f>
        <v/>
      </c>
      <c r="E1942" s="691"/>
      <c r="J1942" s="569" t="s">
        <v>28</v>
      </c>
      <c r="K1942" s="569">
        <v>9</v>
      </c>
    </row>
    <row r="1943" spans="1:11" ht="21" customHeight="1">
      <c r="A1943" s="689">
        <v>4</v>
      </c>
      <c r="B1943" s="1008" t="s">
        <v>29</v>
      </c>
      <c r="C1943" s="1009"/>
      <c r="D1943" s="690" t="str">
        <f>IF(E1975="","",IF(INDEX(THHKI!$A$8:$Y$62,MATCH(PDHKI!E1975,THHKI!$A$8:$A$62,0),INDEX($K$13:$K$27,MATCH(B1943,$J$13:$J$27,0),1))&lt;1,"/",INDEX(THHKI!$A$8:$Y$62,MATCH(PDHKI!E1975,THHKI!$A$8:$A$62,0),INDEX($K$13:$K$27,MATCH(B1943,$J$13:$J$27,0),1))))</f>
        <v/>
      </c>
      <c r="E1943" s="691"/>
      <c r="J1943" s="569" t="s">
        <v>29</v>
      </c>
      <c r="K1943" s="569">
        <v>10</v>
      </c>
    </row>
    <row r="1944" spans="1:11" ht="21" customHeight="1">
      <c r="A1944" s="689">
        <v>5</v>
      </c>
      <c r="B1944" s="1008" t="s">
        <v>120</v>
      </c>
      <c r="C1944" s="1009"/>
      <c r="D1944" s="690" t="str">
        <f>IF(E1975="","",IF(INDEX(THHKI!$A$8:$Y$62,MATCH(PDHKI!E1975,THHKI!$A$8:$A$62,0),INDEX($K$13:$K$27,MATCH(B1944,$J$13:$J$27,0),1))&lt;1,"/",INDEX(THHKI!$A$8:$Y$62,MATCH(PDHKI!E1975,THHKI!$A$8:$A$62,0),INDEX($K$13:$K$27,MATCH(B1944,$J$13:$J$27,0),1))))</f>
        <v/>
      </c>
      <c r="E1944" s="691"/>
      <c r="J1944" s="569" t="s">
        <v>120</v>
      </c>
      <c r="K1944" s="569">
        <v>11</v>
      </c>
    </row>
    <row r="1945" spans="1:11" ht="21" customHeight="1">
      <c r="A1945" s="689">
        <v>6</v>
      </c>
      <c r="B1945" s="1008" t="s">
        <v>30</v>
      </c>
      <c r="C1945" s="1009"/>
      <c r="D1945" s="690" t="str">
        <f>IF(E1975="","",IF(INDEX(THHKI!$A$8:$Y$62,MATCH(PDHKI!E1975,THHKI!$A$8:$A$62,0),INDEX($K$13:$K$27,MATCH(B1945,$J$13:$J$27,0),1))&lt;1,"/",INDEX(THHKI!$A$8:$Y$62,MATCH(PDHKI!E1975,THHKI!$A$8:$A$62,0),INDEX($K$13:$K$27,MATCH(B1945,$J$13:$J$27,0),1))))</f>
        <v/>
      </c>
      <c r="E1945" s="691"/>
      <c r="J1945" s="569" t="s">
        <v>30</v>
      </c>
      <c r="K1945" s="569">
        <v>12</v>
      </c>
    </row>
    <row r="1946" spans="1:11" ht="21" customHeight="1">
      <c r="A1946" s="689">
        <v>7</v>
      </c>
      <c r="B1946" s="1008" t="s">
        <v>31</v>
      </c>
      <c r="C1946" s="1009"/>
      <c r="D1946" s="690" t="str">
        <f>IF(E1975="","",IF(INDEX(THHKI!$A$8:$Y$62,MATCH(PDHKI!E1975,THHKI!$A$8:$A$62,0),INDEX($K$13:$K$27,MATCH(B1946,$J$13:$J$27,0),1))&lt;1,"/",INDEX(THHKI!$A$8:$Y$62,MATCH(PDHKI!E1975,THHKI!$A$8:$A$62,0),INDEX($K$13:$K$27,MATCH(B1946,$J$13:$J$27,0),1))))</f>
        <v/>
      </c>
      <c r="E1946" s="691"/>
      <c r="J1946" s="569" t="s">
        <v>31</v>
      </c>
      <c r="K1946" s="569">
        <v>13</v>
      </c>
    </row>
    <row r="1947" spans="1:11" ht="21" customHeight="1">
      <c r="A1947" s="689">
        <v>8</v>
      </c>
      <c r="B1947" s="1008" t="s">
        <v>32</v>
      </c>
      <c r="C1947" s="1009"/>
      <c r="D1947" s="690" t="str">
        <f>IF(E1975="","",IF(INDEX(THHKI!$A$8:$Y$62,MATCH(PDHKI!E1975,THHKI!$A$8:$A$62,0),INDEX($K$13:$K$27,MATCH(B1947,$J$13:$J$27,0),1))&lt;1,"/",INDEX(THHKI!$A$8:$Y$62,MATCH(PDHKI!E1975,THHKI!$A$8:$A$62,0),INDEX($K$13:$K$27,MATCH(B1947,$J$13:$J$27,0),1))))</f>
        <v/>
      </c>
      <c r="E1947" s="691"/>
      <c r="J1947" s="569" t="s">
        <v>32</v>
      </c>
      <c r="K1947" s="569">
        <v>14</v>
      </c>
    </row>
    <row r="1948" spans="1:11" ht="21" customHeight="1">
      <c r="A1948" s="689">
        <v>9</v>
      </c>
      <c r="B1948" s="1008" t="s">
        <v>33</v>
      </c>
      <c r="C1948" s="1009"/>
      <c r="D1948" s="690" t="str">
        <f>IF(E1975="","",IF(INDEX(THHKI!$A$8:$Y$62,MATCH(PDHKI!E1975,THHKI!$A$8:$A$62,0),INDEX($K$13:$K$27,MATCH(B1948,$J$13:$J$27,0),1))&lt;1,"/",INDEX(THHKI!$A$8:$Y$62,MATCH(PDHKI!E1975,THHKI!$A$8:$A$62,0),INDEX($K$13:$K$27,MATCH(B1948,$J$13:$J$27,0),1))))</f>
        <v/>
      </c>
      <c r="E1948" s="691"/>
      <c r="J1948" s="569" t="s">
        <v>33</v>
      </c>
      <c r="K1948" s="569">
        <v>15</v>
      </c>
    </row>
    <row r="1949" spans="1:11" ht="21" customHeight="1">
      <c r="A1949" s="689">
        <v>10</v>
      </c>
      <c r="B1949" s="1008" t="s">
        <v>60</v>
      </c>
      <c r="C1949" s="1009"/>
      <c r="D1949" s="690" t="str">
        <f>IF(E1975="","",IF(INDEX(THHKI!$A$8:$Y$62,MATCH(PDHKI!E1975,THHKI!$A$8:$A$62,0),INDEX($K$13:$K$27,MATCH(B1949,$J$13:$J$27,0),1))&lt;1,"/",INDEX(THHKI!$A$8:$Y$62,MATCH(PDHKI!E1975,THHKI!$A$8:$A$62,0),INDEX($K$13:$K$27,MATCH(B1949,$J$13:$J$27,0),1))))</f>
        <v/>
      </c>
      <c r="E1949" s="691"/>
      <c r="J1949" s="569" t="s">
        <v>60</v>
      </c>
      <c r="K1949" s="569">
        <v>16</v>
      </c>
    </row>
    <row r="1950" spans="1:11" ht="21" customHeight="1">
      <c r="A1950" s="689">
        <v>11</v>
      </c>
      <c r="B1950" s="1008" t="s">
        <v>34</v>
      </c>
      <c r="C1950" s="1009"/>
      <c r="D1950" s="690" t="str">
        <f>IF(E1975="","",IF(INDEX(THHKI!$A$8:$Y$62,MATCH(PDHKI!E1975,THHKI!$A$8:$A$62,0),INDEX($K$13:$K$27,MATCH(B1950,$J$13:$J$27,0),1))&lt;1,"/",INDEX(THHKI!$A$8:$Y$62,MATCH(PDHKI!E1975,THHKI!$A$8:$A$62,0),INDEX($K$13:$K$27,MATCH(B1950,$J$13:$J$27,0),1))))</f>
        <v/>
      </c>
      <c r="E1950" s="691"/>
      <c r="J1950" s="569" t="s">
        <v>34</v>
      </c>
      <c r="K1950" s="569">
        <v>17</v>
      </c>
    </row>
    <row r="1951" spans="1:11" ht="21" customHeight="1">
      <c r="A1951" s="689">
        <v>12</v>
      </c>
      <c r="B1951" s="1008" t="s">
        <v>35</v>
      </c>
      <c r="C1951" s="1009"/>
      <c r="D1951" s="690" t="str">
        <f>IF(E1975="","",IF(INDEX(THHKI!$A$8:$Y$62,MATCH(PDHKI!E1975,THHKI!$A$8:$A$62,0),INDEX($K$13:$K$27,MATCH(B1951,$J$13:$J$27,0),1))&lt;1,"/",INDEX(THHKI!$A$8:$Y$62,MATCH(PDHKI!E1975,THHKI!$A$8:$A$62,0),INDEX($K$13:$K$27,MATCH(B1951,$J$13:$J$27,0),1))))</f>
        <v/>
      </c>
      <c r="E1951" s="691"/>
      <c r="J1951" s="569" t="s">
        <v>35</v>
      </c>
      <c r="K1951" s="569">
        <v>18</v>
      </c>
    </row>
    <row r="1952" spans="1:11" ht="21" customHeight="1">
      <c r="A1952" s="689">
        <v>13</v>
      </c>
      <c r="B1952" s="1008" t="s">
        <v>121</v>
      </c>
      <c r="C1952" s="1009"/>
      <c r="D1952" s="690" t="str">
        <f>IF(E1975="","",IF(INDEX(THHKI!$A$8:$Y$62,MATCH(PDHKI!E1975,THHKI!$A$8:$A$62,0),INDEX($K$13:$K$27,MATCH(B1952,$J$13:$J$27,0),1))&lt;1,"/",INDEX(THHKI!$A$8:$Y$62,MATCH(PDHKI!E1975,THHKI!$A$8:$A$62,0),INDEX($K$13:$K$27,MATCH(B1952,$J$13:$J$27,0),1))))</f>
        <v/>
      </c>
      <c r="E1952" s="691"/>
      <c r="J1952" s="569" t="s">
        <v>22</v>
      </c>
      <c r="K1952" s="569">
        <v>19</v>
      </c>
    </row>
    <row r="1953" spans="1:11" ht="21" customHeight="1" thickBot="1">
      <c r="A1953" s="692">
        <v>14</v>
      </c>
      <c r="B1953" s="1010" t="s">
        <v>122</v>
      </c>
      <c r="C1953" s="1011"/>
      <c r="D1953" s="693" t="str">
        <f>IF(E1975="","",IF(INDEX(THHKI!$A$8:$Y$62,MATCH(PDHKI!E1975,THHKI!$A$8:$A$62,0),INDEX($K$13:$K$27,MATCH(B1953,$J$13:$J$27,0),1))&lt;1,"/",INDEX(THHKI!$A$8:$Y$62,MATCH(PDHKI!E1975,THHKI!$A$8:$A$62,0),INDEX($K$13:$K$27,MATCH(B1953,$J$13:$J$27,0),1))))</f>
        <v/>
      </c>
      <c r="E1953" s="694"/>
      <c r="J1953" s="569" t="s">
        <v>121</v>
      </c>
      <c r="K1953" s="569">
        <v>20</v>
      </c>
    </row>
    <row r="1954" spans="1:11" ht="21" customHeight="1" thickBot="1">
      <c r="A1954" s="695">
        <v>15</v>
      </c>
      <c r="B1954" s="1006" t="s">
        <v>149</v>
      </c>
      <c r="C1954" s="1007"/>
      <c r="D1954" s="696" t="str">
        <f>IF(E1975="","",IF(INDEX(THHKI!$A$8:$Y$62,MATCH(PDHKI!E1975,THHKI!$A$8:$A$62,0),22)&lt;1,"/",INDEX(THHKI!$A$8:$Y$62,MATCH(PDHKI!E1975,THHKI!$A$8:$A$62,0),22)))</f>
        <v/>
      </c>
      <c r="E1954" s="697"/>
      <c r="J1954" s="569" t="s">
        <v>122</v>
      </c>
      <c r="K1954" s="569">
        <v>21</v>
      </c>
    </row>
    <row r="1955" spans="1:11" ht="15.75" customHeight="1" thickBot="1"/>
    <row r="1956" spans="1:11" s="570" customFormat="1" ht="21" customHeight="1">
      <c r="A1956" s="698"/>
      <c r="B1956" s="1019" t="s">
        <v>150</v>
      </c>
      <c r="C1956" s="1020"/>
      <c r="D1956" s="699" t="s">
        <v>10</v>
      </c>
      <c r="E1956" s="700" t="s">
        <v>126</v>
      </c>
    </row>
    <row r="1957" spans="1:11" ht="21" customHeight="1">
      <c r="A1957" s="701">
        <v>16</v>
      </c>
      <c r="B1957" s="1021" t="s">
        <v>151</v>
      </c>
      <c r="C1957" s="1022"/>
      <c r="D1957" s="702" t="str">
        <f>IF(E1975="","",IF(INDEX(THHKI!$A$8:$Y$62,MATCH(PDHKI!E1975,THHKI!$A$8:$A$62,0),23)="","/",INDEX(THHKI!$A$8:$Y$62,MATCH(PDHKI!E1975,THHKI!$A$8:$A$62,0),23)))</f>
        <v/>
      </c>
      <c r="E1957" s="703"/>
    </row>
    <row r="1958" spans="1:11" ht="21" customHeight="1">
      <c r="A1958" s="701">
        <v>17</v>
      </c>
      <c r="B1958" s="1021" t="s">
        <v>152</v>
      </c>
      <c r="C1958" s="1022"/>
      <c r="D1958" s="702" t="str">
        <f>IF(E1975="","",IF(INDEX(THHKI!$A$8:$Y$62,MATCH(PDHKI!E1975,THHKI!$A$8:$A$62,0),24)="","/",INDEX(THHKI!$A$8:$Y$62,MATCH(PDHKI!E1975,THHKI!$A$8:$A$62,0),24)))</f>
        <v/>
      </c>
      <c r="E1958" s="703"/>
    </row>
    <row r="1959" spans="1:11" ht="21" customHeight="1" thickBot="1">
      <c r="A1959" s="704">
        <v>18</v>
      </c>
      <c r="B1959" s="1023" t="s">
        <v>153</v>
      </c>
      <c r="C1959" s="1024"/>
      <c r="D1959" s="705" t="str">
        <f>IF(E1975="","",IF(INDEX(THHKI!$A$8:$Y$62,MATCH(PDHKI!E1975,THHKI!$A$8:$A$62,0),25)="","/",INDEX(THHKI!$A$8:$Y$62,MATCH(PDHKI!E1975,THHKI!$A$8:$A$62,0),25)))</f>
        <v/>
      </c>
      <c r="E1959" s="706"/>
    </row>
    <row r="1960" spans="1:11" ht="9.75" customHeight="1"/>
    <row r="1961" spans="1:11" ht="15.75" customHeight="1">
      <c r="A1961" s="58" t="s">
        <v>219</v>
      </c>
    </row>
    <row r="1962" spans="1:11" ht="18" customHeight="1">
      <c r="A1962" s="59" t="str">
        <f>IF(E1975="","",IF(INDEX(DiemHKI!$DE$4:$DH$58,MATCH(PDHKI!E1975,DiemHKI!$B$4:$B$58,0),1)="","","- "&amp;INDEX(DiemHKI!$DE$4:$DH$58,MATCH(PDHKI!E1975,DiemHKI!$B$4:$B$58,0),1)))</f>
        <v/>
      </c>
      <c r="H1962" s="571"/>
    </row>
    <row r="1963" spans="1:11" ht="18" customHeight="1">
      <c r="A1963" s="59" t="str">
        <f>IF(E1975="","",IF(INDEX(DiemHKI!$DE$4:$DH$58,MATCH(PDHKI!E1975,DiemHKI!$B$4:$B$58,0),2)="","","- "&amp;INDEX(DiemHKI!$DE$4:$DH$58,MATCH(PDHKI!E1975,DiemHKI!$B$4:$B$58,0),2)))</f>
        <v/>
      </c>
    </row>
    <row r="1964" spans="1:11" ht="18" customHeight="1">
      <c r="A1964" s="59" t="str">
        <f>IF(E1975="","",IF(INDEX(DiemHKI!$DE$4:$DH$58,MATCH(PDHKI!E1975,DiemHKI!$B$4:$B$58,0),3)="","","- "&amp;INDEX(DiemHKI!$DE$4:$DH$58,MATCH(PDHKI!E1975,DiemHKI!$B$4:$B$58,0),3)))</f>
        <v/>
      </c>
    </row>
    <row r="1965" spans="1:11" ht="18" customHeight="1">
      <c r="A1965" s="59" t="str">
        <f>IF(E1975="","",IF(INDEX(DiemHKI!$DE$4:$DH$58,MATCH(PDHKI!E1975,DiemHKI!$B$4:$B$58,0),4)="","","- "&amp;INDEX(DiemHKI!$DE$4:$DH$58,MATCH(PDHKI!E1975,DiemHKI!$B$4:$B$58,0),4)))</f>
        <v/>
      </c>
    </row>
    <row r="1966" spans="1:11" ht="6.75" customHeight="1"/>
    <row r="1967" spans="1:11" ht="16.5" customHeight="1">
      <c r="A1967" s="61"/>
      <c r="C1967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1967" s="1026"/>
      <c r="E1967" s="1026"/>
    </row>
    <row r="1968" spans="1:11" ht="21.75" customHeight="1">
      <c r="A1968" s="923" t="str">
        <f>IF($D$41="Hiệu trưởng","Giáo viên Quản nhiệm","")</f>
        <v>Giáo viên Quản nhiệm</v>
      </c>
      <c r="B1968" s="923"/>
      <c r="C1968" s="923"/>
      <c r="D1968" s="707" t="str">
        <f>IF($G$5="","",$G$5)</f>
        <v>Hiệu trưởng</v>
      </c>
      <c r="E1968" s="708"/>
    </row>
    <row r="1969" spans="1:5" ht="15" customHeight="1">
      <c r="A1969" s="61"/>
      <c r="B1969" s="61"/>
      <c r="C1969" s="61"/>
      <c r="D1969" s="66"/>
      <c r="E1969" s="66"/>
    </row>
    <row r="1970" spans="1:5" ht="15" customHeight="1">
      <c r="A1970" s="61"/>
      <c r="B1970" s="61"/>
      <c r="C1970" s="61"/>
      <c r="D1970" s="66"/>
      <c r="E1970" s="66"/>
    </row>
    <row r="1971" spans="1:5" ht="15" customHeight="1">
      <c r="A1971" s="61"/>
      <c r="B1971" s="61"/>
      <c r="C1971" s="61"/>
    </row>
    <row r="1972" spans="1:5" ht="15" customHeight="1">
      <c r="A1972" s="61"/>
      <c r="B1972" s="61"/>
      <c r="C1972" s="61"/>
    </row>
    <row r="1973" spans="1:5" ht="16.5" customHeight="1">
      <c r="A1973" s="1012" t="str">
        <f>IF($A$41="","",PROPER('Huong dan'!$C$4))</f>
        <v/>
      </c>
      <c r="B1973" s="1012"/>
      <c r="C1973" s="1012"/>
      <c r="D1973" s="833" t="str">
        <f>IFERROR(IF($D$41="Giáo Viên Quản nhiệm",PROPER('Huong dan'!$C$4),IF($D$41="Hiệu trưởng",PROPER('Huong dan'!$E$5),"")),"")</f>
        <v/>
      </c>
      <c r="E1973" s="708"/>
    </row>
    <row r="1974" spans="1:5" ht="12.75" customHeight="1"/>
    <row r="1975" spans="1:5" ht="12.75" customHeight="1">
      <c r="A1975" s="709"/>
      <c r="B1975" s="709"/>
      <c r="C1975" s="709"/>
      <c r="D1975" s="710"/>
      <c r="E1975" s="711" t="str">
        <f>IF(E1928="","",IF(E1928&lt;MAX(DiemHKI!$B$4:$B$58),E1928+1,""))</f>
        <v/>
      </c>
    </row>
    <row r="1976" spans="1:5" ht="8.25" customHeight="1">
      <c r="A1976" s="709"/>
      <c r="B1976" s="709"/>
      <c r="C1976" s="709"/>
      <c r="D1976" s="709"/>
      <c r="E1976" s="709"/>
    </row>
    <row r="1977" spans="1:5" ht="5.25" customHeight="1"/>
    <row r="1978" spans="1:5" s="563" customFormat="1" ht="23.25" customHeight="1">
      <c r="A1978" s="931" t="str">
        <f>IF('Huong dan'!$E$3&lt;&gt;"","SỞ GIÁO DỤC VÀ ĐÀO TẠO "&amp;UPPER('Huong dan'!$E$3),"")</f>
        <v>SỞ GIÁO DỤC VÀ ĐÀO TẠO TP. HỒ CHÍ MINH</v>
      </c>
      <c r="B1978" s="931"/>
      <c r="C1978" s="931"/>
      <c r="D1978" s="923" t="s">
        <v>19</v>
      </c>
      <c r="E1978" s="923"/>
    </row>
    <row r="1979" spans="1:5" ht="17.25" customHeight="1">
      <c r="A1979" s="931" t="str">
        <f>IF('Huong dan'!$E$4&lt;&gt;"","TRƯỜNG "&amp;UPPER('Huong dan'!$E$4),"")</f>
        <v>TRƯỜNG THCS VÀ THPT NGUYỄN KHUYẾN</v>
      </c>
      <c r="B1979" s="931"/>
      <c r="C1979" s="931"/>
      <c r="D1979" s="1012" t="s">
        <v>179</v>
      </c>
      <c r="E1979" s="1012"/>
    </row>
    <row r="1980" spans="1:5" ht="24" customHeight="1">
      <c r="A1980" s="61"/>
      <c r="B1980" s="61"/>
      <c r="C1980" s="61"/>
    </row>
    <row r="1981" spans="1:5" ht="29.25" customHeight="1">
      <c r="A1981" s="1013" t="str">
        <f>"PHIẾU ĐIỂM HỌC KỲ I - NĂM HỌC "&amp;'Huong dan'!$C$5</f>
        <v>PHIẾU ĐIỂM HỌC KỲ I - NĂM HỌC 2021 - 2022</v>
      </c>
      <c r="B1981" s="1013"/>
      <c r="C1981" s="1013"/>
      <c r="D1981" s="1013"/>
      <c r="E1981" s="1013"/>
    </row>
    <row r="1982" spans="1:5" ht="15.75" customHeight="1">
      <c r="A1982" s="680"/>
      <c r="B1982" s="680"/>
    </row>
    <row r="1983" spans="1:5" ht="21" customHeight="1">
      <c r="A1983" s="1014" t="s">
        <v>145</v>
      </c>
      <c r="B1983" s="1014"/>
      <c r="C1983" s="1015" t="str">
        <f>IF(E2022="","",INDEX(DiemHKI!$D$4:$D$58,MATCH(E2022,DiemHKI!$B$4:$B$58,0),1)&amp;" "&amp;INDEX(DiemHKI!$E$4:$E$58,MATCH(E2022,DiemHKI!$B$4:$B$58,0),1))</f>
        <v/>
      </c>
      <c r="D1983" s="1015"/>
      <c r="E1983" s="62" t="str">
        <f>IF('Huong dan'!$C$3="","","Lớp: "&amp;'Huong dan'!$C$3)</f>
        <v>Lớp: 12A1</v>
      </c>
    </row>
    <row r="1984" spans="1:5" ht="23.25" customHeight="1">
      <c r="A1984" s="1014" t="s">
        <v>146</v>
      </c>
      <c r="B1984" s="1014"/>
      <c r="C1984" s="681" t="str">
        <f>IF(E2022="","",INDEX(DiemHKI!$F$4:$F$58,MATCH(PDHKI!E2022,DiemHKI!$B$4:$B$58,0),1))</f>
        <v/>
      </c>
      <c r="D1984" s="1016" t="str">
        <f>IF(E2022="","","Nơi sinh: "&amp;INDEX(DiemHKI!$G$4:$G$58,MATCH(PDHKI!E2022,DiemHKI!$B$4:$B$58,0),1))</f>
        <v/>
      </c>
      <c r="E1984" s="1016"/>
    </row>
    <row r="1985" spans="1:11" ht="13.5" customHeight="1" thickBot="1">
      <c r="A1985" s="681"/>
      <c r="B1985" s="682"/>
      <c r="D1985" s="681"/>
      <c r="E1985" s="681"/>
    </row>
    <row r="1986" spans="1:11" ht="24" customHeight="1" thickBot="1">
      <c r="A1986" s="683" t="s">
        <v>0</v>
      </c>
      <c r="B1986" s="1006" t="s">
        <v>72</v>
      </c>
      <c r="C1986" s="1007"/>
      <c r="D1986" s="684" t="s">
        <v>147</v>
      </c>
      <c r="E1986" s="685" t="s">
        <v>148</v>
      </c>
    </row>
    <row r="1987" spans="1:11" ht="21" customHeight="1">
      <c r="A1987" s="686">
        <v>1</v>
      </c>
      <c r="B1987" s="1017" t="s">
        <v>26</v>
      </c>
      <c r="C1987" s="1018"/>
      <c r="D1987" s="687" t="str">
        <f>IF(E2022="","",IF(INDEX(THHKI!$A$8:$Y$62,MATCH(PDHKI!E2022,THHKI!$A$8:$A$62,0),INDEX($K$13:$K$27,MATCH(B1987,$J$13:$J$27,0),1))&lt;1,"/",INDEX(THHKI!$A$8:$Y$62,MATCH(PDHKI!E2022,THHKI!$A$8:$A$62,0),INDEX($K$13:$K$27,MATCH(B1987,$J$13:$J$27,0),1))))</f>
        <v/>
      </c>
      <c r="E1987" s="688"/>
      <c r="J1987" s="569" t="s">
        <v>26</v>
      </c>
      <c r="K1987" s="569">
        <v>7</v>
      </c>
    </row>
    <row r="1988" spans="1:11" ht="21" customHeight="1">
      <c r="A1988" s="689">
        <v>2</v>
      </c>
      <c r="B1988" s="1008" t="s">
        <v>27</v>
      </c>
      <c r="C1988" s="1009"/>
      <c r="D1988" s="690" t="str">
        <f>IF(E2022="","",IF(INDEX(THHKI!$A$8:$Y$62,MATCH(PDHKI!E2022,THHKI!$A$8:$A$62,0),INDEX($K$13:$K$27,MATCH(B1988,$J$13:$J$27,0),1))&lt;1,"/",INDEX(THHKI!$A$8:$Y$62,MATCH(PDHKI!E2022,THHKI!$A$8:$A$62,0),INDEX($K$13:$K$27,MATCH(B1988,$J$13:$J$27,0),1))))</f>
        <v/>
      </c>
      <c r="E1988" s="691"/>
      <c r="J1988" s="569" t="s">
        <v>27</v>
      </c>
      <c r="K1988" s="569">
        <v>8</v>
      </c>
    </row>
    <row r="1989" spans="1:11" ht="21" customHeight="1">
      <c r="A1989" s="689">
        <v>3</v>
      </c>
      <c r="B1989" s="1008" t="s">
        <v>28</v>
      </c>
      <c r="C1989" s="1009"/>
      <c r="D1989" s="690" t="str">
        <f>IF(E2022="","",IF(INDEX(THHKI!$A$8:$Y$62,MATCH(PDHKI!E2022,THHKI!$A$8:$A$62,0),INDEX($K$13:$K$27,MATCH(B1989,$J$13:$J$27,0),1))&lt;1,"/",INDEX(THHKI!$A$8:$Y$62,MATCH(PDHKI!E2022,THHKI!$A$8:$A$62,0),INDEX($K$13:$K$27,MATCH(B1989,$J$13:$J$27,0),1))))</f>
        <v/>
      </c>
      <c r="E1989" s="691"/>
      <c r="J1989" s="569" t="s">
        <v>28</v>
      </c>
      <c r="K1989" s="569">
        <v>9</v>
      </c>
    </row>
    <row r="1990" spans="1:11" ht="21" customHeight="1">
      <c r="A1990" s="689">
        <v>4</v>
      </c>
      <c r="B1990" s="1008" t="s">
        <v>29</v>
      </c>
      <c r="C1990" s="1009"/>
      <c r="D1990" s="690" t="str">
        <f>IF(E2022="","",IF(INDEX(THHKI!$A$8:$Y$62,MATCH(PDHKI!E2022,THHKI!$A$8:$A$62,0),INDEX($K$13:$K$27,MATCH(B1990,$J$13:$J$27,0),1))&lt;1,"/",INDEX(THHKI!$A$8:$Y$62,MATCH(PDHKI!E2022,THHKI!$A$8:$A$62,0),INDEX($K$13:$K$27,MATCH(B1990,$J$13:$J$27,0),1))))</f>
        <v/>
      </c>
      <c r="E1990" s="691"/>
      <c r="J1990" s="569" t="s">
        <v>29</v>
      </c>
      <c r="K1990" s="569">
        <v>10</v>
      </c>
    </row>
    <row r="1991" spans="1:11" ht="21" customHeight="1">
      <c r="A1991" s="689">
        <v>5</v>
      </c>
      <c r="B1991" s="1008" t="s">
        <v>120</v>
      </c>
      <c r="C1991" s="1009"/>
      <c r="D1991" s="690" t="str">
        <f>IF(E2022="","",IF(INDEX(THHKI!$A$8:$Y$62,MATCH(PDHKI!E2022,THHKI!$A$8:$A$62,0),INDEX($K$13:$K$27,MATCH(B1991,$J$13:$J$27,0),1))&lt;1,"/",INDEX(THHKI!$A$8:$Y$62,MATCH(PDHKI!E2022,THHKI!$A$8:$A$62,0),INDEX($K$13:$K$27,MATCH(B1991,$J$13:$J$27,0),1))))</f>
        <v/>
      </c>
      <c r="E1991" s="691"/>
      <c r="J1991" s="569" t="s">
        <v>120</v>
      </c>
      <c r="K1991" s="569">
        <v>11</v>
      </c>
    </row>
    <row r="1992" spans="1:11" ht="21" customHeight="1">
      <c r="A1992" s="689">
        <v>6</v>
      </c>
      <c r="B1992" s="1008" t="s">
        <v>30</v>
      </c>
      <c r="C1992" s="1009"/>
      <c r="D1992" s="690" t="str">
        <f>IF(E2022="","",IF(INDEX(THHKI!$A$8:$Y$62,MATCH(PDHKI!E2022,THHKI!$A$8:$A$62,0),INDEX($K$13:$K$27,MATCH(B1992,$J$13:$J$27,0),1))&lt;1,"/",INDEX(THHKI!$A$8:$Y$62,MATCH(PDHKI!E2022,THHKI!$A$8:$A$62,0),INDEX($K$13:$K$27,MATCH(B1992,$J$13:$J$27,0),1))))</f>
        <v/>
      </c>
      <c r="E1992" s="691"/>
      <c r="J1992" s="569" t="s">
        <v>30</v>
      </c>
      <c r="K1992" s="569">
        <v>12</v>
      </c>
    </row>
    <row r="1993" spans="1:11" ht="21" customHeight="1">
      <c r="A1993" s="689">
        <v>7</v>
      </c>
      <c r="B1993" s="1008" t="s">
        <v>31</v>
      </c>
      <c r="C1993" s="1009"/>
      <c r="D1993" s="690" t="str">
        <f>IF(E2022="","",IF(INDEX(THHKI!$A$8:$Y$62,MATCH(PDHKI!E2022,THHKI!$A$8:$A$62,0),INDEX($K$13:$K$27,MATCH(B1993,$J$13:$J$27,0),1))&lt;1,"/",INDEX(THHKI!$A$8:$Y$62,MATCH(PDHKI!E2022,THHKI!$A$8:$A$62,0),INDEX($K$13:$K$27,MATCH(B1993,$J$13:$J$27,0),1))))</f>
        <v/>
      </c>
      <c r="E1993" s="691"/>
      <c r="J1993" s="569" t="s">
        <v>31</v>
      </c>
      <c r="K1993" s="569">
        <v>13</v>
      </c>
    </row>
    <row r="1994" spans="1:11" ht="21" customHeight="1">
      <c r="A1994" s="689">
        <v>8</v>
      </c>
      <c r="B1994" s="1008" t="s">
        <v>32</v>
      </c>
      <c r="C1994" s="1009"/>
      <c r="D1994" s="690" t="str">
        <f>IF(E2022="","",IF(INDEX(THHKI!$A$8:$Y$62,MATCH(PDHKI!E2022,THHKI!$A$8:$A$62,0),INDEX($K$13:$K$27,MATCH(B1994,$J$13:$J$27,0),1))&lt;1,"/",INDEX(THHKI!$A$8:$Y$62,MATCH(PDHKI!E2022,THHKI!$A$8:$A$62,0),INDEX($K$13:$K$27,MATCH(B1994,$J$13:$J$27,0),1))))</f>
        <v/>
      </c>
      <c r="E1994" s="691"/>
      <c r="J1994" s="569" t="s">
        <v>32</v>
      </c>
      <c r="K1994" s="569">
        <v>14</v>
      </c>
    </row>
    <row r="1995" spans="1:11" ht="21" customHeight="1">
      <c r="A1995" s="689">
        <v>9</v>
      </c>
      <c r="B1995" s="1008" t="s">
        <v>33</v>
      </c>
      <c r="C1995" s="1009"/>
      <c r="D1995" s="690" t="str">
        <f>IF(E2022="","",IF(INDEX(THHKI!$A$8:$Y$62,MATCH(PDHKI!E2022,THHKI!$A$8:$A$62,0),INDEX($K$13:$K$27,MATCH(B1995,$J$13:$J$27,0),1))&lt;1,"/",INDEX(THHKI!$A$8:$Y$62,MATCH(PDHKI!E2022,THHKI!$A$8:$A$62,0),INDEX($K$13:$K$27,MATCH(B1995,$J$13:$J$27,0),1))))</f>
        <v/>
      </c>
      <c r="E1995" s="691"/>
      <c r="J1995" s="569" t="s">
        <v>33</v>
      </c>
      <c r="K1995" s="569">
        <v>15</v>
      </c>
    </row>
    <row r="1996" spans="1:11" ht="21" customHeight="1">
      <c r="A1996" s="689">
        <v>10</v>
      </c>
      <c r="B1996" s="1008" t="s">
        <v>60</v>
      </c>
      <c r="C1996" s="1009"/>
      <c r="D1996" s="690" t="str">
        <f>IF(E2022="","",IF(INDEX(THHKI!$A$8:$Y$62,MATCH(PDHKI!E2022,THHKI!$A$8:$A$62,0),INDEX($K$13:$K$27,MATCH(B1996,$J$13:$J$27,0),1))&lt;1,"/",INDEX(THHKI!$A$8:$Y$62,MATCH(PDHKI!E2022,THHKI!$A$8:$A$62,0),INDEX($K$13:$K$27,MATCH(B1996,$J$13:$J$27,0),1))))</f>
        <v/>
      </c>
      <c r="E1996" s="691"/>
      <c r="J1996" s="569" t="s">
        <v>60</v>
      </c>
      <c r="K1996" s="569">
        <v>16</v>
      </c>
    </row>
    <row r="1997" spans="1:11" ht="21" customHeight="1">
      <c r="A1997" s="689">
        <v>11</v>
      </c>
      <c r="B1997" s="1008" t="s">
        <v>34</v>
      </c>
      <c r="C1997" s="1009"/>
      <c r="D1997" s="690" t="str">
        <f>IF(E2022="","",IF(INDEX(THHKI!$A$8:$Y$62,MATCH(PDHKI!E2022,THHKI!$A$8:$A$62,0),INDEX($K$13:$K$27,MATCH(B1997,$J$13:$J$27,0),1))&lt;1,"/",INDEX(THHKI!$A$8:$Y$62,MATCH(PDHKI!E2022,THHKI!$A$8:$A$62,0),INDEX($K$13:$K$27,MATCH(B1997,$J$13:$J$27,0),1))))</f>
        <v/>
      </c>
      <c r="E1997" s="691"/>
      <c r="J1997" s="569" t="s">
        <v>34</v>
      </c>
      <c r="K1997" s="569">
        <v>17</v>
      </c>
    </row>
    <row r="1998" spans="1:11" ht="21" customHeight="1">
      <c r="A1998" s="689">
        <v>12</v>
      </c>
      <c r="B1998" s="1008" t="s">
        <v>35</v>
      </c>
      <c r="C1998" s="1009"/>
      <c r="D1998" s="690" t="str">
        <f>IF(E2022="","",IF(INDEX(THHKI!$A$8:$Y$62,MATCH(PDHKI!E2022,THHKI!$A$8:$A$62,0),INDEX($K$13:$K$27,MATCH(B1998,$J$13:$J$27,0),1))&lt;1,"/",INDEX(THHKI!$A$8:$Y$62,MATCH(PDHKI!E2022,THHKI!$A$8:$A$62,0),INDEX($K$13:$K$27,MATCH(B1998,$J$13:$J$27,0),1))))</f>
        <v/>
      </c>
      <c r="E1998" s="691"/>
      <c r="J1998" s="569" t="s">
        <v>35</v>
      </c>
      <c r="K1998" s="569">
        <v>18</v>
      </c>
    </row>
    <row r="1999" spans="1:11" ht="21" customHeight="1">
      <c r="A1999" s="689">
        <v>13</v>
      </c>
      <c r="B1999" s="1008" t="s">
        <v>121</v>
      </c>
      <c r="C1999" s="1009"/>
      <c r="D1999" s="690" t="str">
        <f>IF(E2022="","",IF(INDEX(THHKI!$A$8:$Y$62,MATCH(PDHKI!E2022,THHKI!$A$8:$A$62,0),INDEX($K$13:$K$27,MATCH(B1999,$J$13:$J$27,0),1))&lt;1,"/",INDEX(THHKI!$A$8:$Y$62,MATCH(PDHKI!E2022,THHKI!$A$8:$A$62,0),INDEX($K$13:$K$27,MATCH(B1999,$J$13:$J$27,0),1))))</f>
        <v/>
      </c>
      <c r="E1999" s="691"/>
      <c r="J1999" s="569" t="s">
        <v>22</v>
      </c>
      <c r="K1999" s="569">
        <v>19</v>
      </c>
    </row>
    <row r="2000" spans="1:11" ht="21" customHeight="1" thickBot="1">
      <c r="A2000" s="692">
        <v>14</v>
      </c>
      <c r="B2000" s="1010" t="s">
        <v>122</v>
      </c>
      <c r="C2000" s="1011"/>
      <c r="D2000" s="693" t="str">
        <f>IF(E2022="","",IF(INDEX(THHKI!$A$8:$Y$62,MATCH(PDHKI!E2022,THHKI!$A$8:$A$62,0),INDEX($K$13:$K$27,MATCH(B2000,$J$13:$J$27,0),1))&lt;1,"/",INDEX(THHKI!$A$8:$Y$62,MATCH(PDHKI!E2022,THHKI!$A$8:$A$62,0),INDEX($K$13:$K$27,MATCH(B2000,$J$13:$J$27,0),1))))</f>
        <v/>
      </c>
      <c r="E2000" s="694"/>
      <c r="J2000" s="569" t="s">
        <v>121</v>
      </c>
      <c r="K2000" s="569">
        <v>20</v>
      </c>
    </row>
    <row r="2001" spans="1:11" ht="21" customHeight="1" thickBot="1">
      <c r="A2001" s="695">
        <v>15</v>
      </c>
      <c r="B2001" s="1006" t="s">
        <v>149</v>
      </c>
      <c r="C2001" s="1007"/>
      <c r="D2001" s="696" t="str">
        <f>IF(E2022="","",IF(INDEX(THHKI!$A$8:$Y$62,MATCH(PDHKI!E2022,THHKI!$A$8:$A$62,0),22)&lt;1,"/",INDEX(THHKI!$A$8:$Y$62,MATCH(PDHKI!E2022,THHKI!$A$8:$A$62,0),22)))</f>
        <v/>
      </c>
      <c r="E2001" s="697"/>
      <c r="J2001" s="569" t="s">
        <v>122</v>
      </c>
      <c r="K2001" s="569">
        <v>21</v>
      </c>
    </row>
    <row r="2002" spans="1:11" ht="15.75" customHeight="1" thickBot="1"/>
    <row r="2003" spans="1:11" s="570" customFormat="1" ht="21" customHeight="1">
      <c r="A2003" s="698"/>
      <c r="B2003" s="1019" t="s">
        <v>150</v>
      </c>
      <c r="C2003" s="1020"/>
      <c r="D2003" s="699" t="s">
        <v>10</v>
      </c>
      <c r="E2003" s="700" t="s">
        <v>126</v>
      </c>
    </row>
    <row r="2004" spans="1:11" ht="21" customHeight="1">
      <c r="A2004" s="701">
        <v>16</v>
      </c>
      <c r="B2004" s="1021" t="s">
        <v>151</v>
      </c>
      <c r="C2004" s="1022"/>
      <c r="D2004" s="702" t="str">
        <f>IF(E2022="","",IF(INDEX(THHKI!$A$8:$Y$62,MATCH(PDHKI!E2022,THHKI!$A$8:$A$62,0),23)="","/",INDEX(THHKI!$A$8:$Y$62,MATCH(PDHKI!E2022,THHKI!$A$8:$A$62,0),23)))</f>
        <v/>
      </c>
      <c r="E2004" s="703"/>
    </row>
    <row r="2005" spans="1:11" ht="21" customHeight="1">
      <c r="A2005" s="701">
        <v>17</v>
      </c>
      <c r="B2005" s="1021" t="s">
        <v>152</v>
      </c>
      <c r="C2005" s="1022"/>
      <c r="D2005" s="702" t="str">
        <f>IF(E2022="","",IF(INDEX(THHKI!$A$8:$Y$62,MATCH(PDHKI!E2022,THHKI!$A$8:$A$62,0),24)="","/",INDEX(THHKI!$A$8:$Y$62,MATCH(PDHKI!E2022,THHKI!$A$8:$A$62,0),24)))</f>
        <v/>
      </c>
      <c r="E2005" s="703"/>
    </row>
    <row r="2006" spans="1:11" ht="21" customHeight="1" thickBot="1">
      <c r="A2006" s="704">
        <v>18</v>
      </c>
      <c r="B2006" s="1023" t="s">
        <v>153</v>
      </c>
      <c r="C2006" s="1024"/>
      <c r="D2006" s="705" t="str">
        <f>IF(E2022="","",IF(INDEX(THHKI!$A$8:$Y$62,MATCH(PDHKI!E2022,THHKI!$A$8:$A$62,0),25)="","/",INDEX(THHKI!$A$8:$Y$62,MATCH(PDHKI!E2022,THHKI!$A$8:$A$62,0),25)))</f>
        <v/>
      </c>
      <c r="E2006" s="706"/>
    </row>
    <row r="2007" spans="1:11" ht="9.75" customHeight="1"/>
    <row r="2008" spans="1:11" ht="15.75" customHeight="1">
      <c r="A2008" s="58" t="s">
        <v>219</v>
      </c>
    </row>
    <row r="2009" spans="1:11" ht="18" customHeight="1">
      <c r="A2009" s="59" t="str">
        <f>IF(E2022="","",IF(INDEX(DiemHKI!$DE$4:$DH$58,MATCH(PDHKI!E2022,DiemHKI!$B$4:$B$58,0),1)="","","- "&amp;INDEX(DiemHKI!$DE$4:$DH$58,MATCH(PDHKI!E2022,DiemHKI!$B$4:$B$58,0),1)))</f>
        <v/>
      </c>
      <c r="H2009" s="571"/>
    </row>
    <row r="2010" spans="1:11" ht="18" customHeight="1">
      <c r="A2010" s="59" t="str">
        <f>IF(E2022="","",IF(INDEX(DiemHKI!$DE$4:$DH$58,MATCH(PDHKI!E2022,DiemHKI!$B$4:$B$58,0),2)="","","- "&amp;INDEX(DiemHKI!$DE$4:$DH$58,MATCH(PDHKI!E2022,DiemHKI!$B$4:$B$58,0),2)))</f>
        <v/>
      </c>
    </row>
    <row r="2011" spans="1:11" ht="18" customHeight="1">
      <c r="A2011" s="59" t="str">
        <f>IF(E2022="","",IF(INDEX(DiemHKI!$DE$4:$DH$58,MATCH(PDHKI!E2022,DiemHKI!$B$4:$B$58,0),3)="","","- "&amp;INDEX(DiemHKI!$DE$4:$DH$58,MATCH(PDHKI!E2022,DiemHKI!$B$4:$B$58,0),3)))</f>
        <v/>
      </c>
    </row>
    <row r="2012" spans="1:11" ht="18" customHeight="1">
      <c r="A2012" s="59" t="str">
        <f>IF(E2022="","",IF(INDEX(DiemHKI!$DE$4:$DH$58,MATCH(PDHKI!E2022,DiemHKI!$B$4:$B$58,0),4)="","","- "&amp;INDEX(DiemHKI!$DE$4:$DH$58,MATCH(PDHKI!E2022,DiemHKI!$B$4:$B$58,0),4)))</f>
        <v/>
      </c>
    </row>
    <row r="2013" spans="1:11" ht="6.75" customHeight="1"/>
    <row r="2014" spans="1:11" ht="16.5" customHeight="1">
      <c r="A2014" s="61"/>
      <c r="C2014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014" s="1026"/>
      <c r="E2014" s="1026"/>
    </row>
    <row r="2015" spans="1:11" ht="21.75" customHeight="1">
      <c r="A2015" s="923" t="str">
        <f>IF($D$41="Hiệu trưởng","Giáo viên Quản nhiệm","")</f>
        <v>Giáo viên Quản nhiệm</v>
      </c>
      <c r="B2015" s="923"/>
      <c r="C2015" s="923"/>
      <c r="D2015" s="707" t="str">
        <f>IF($G$5="","",$G$5)</f>
        <v>Hiệu trưởng</v>
      </c>
      <c r="E2015" s="708"/>
    </row>
    <row r="2016" spans="1:11" ht="15" customHeight="1">
      <c r="A2016" s="61"/>
      <c r="B2016" s="61"/>
      <c r="C2016" s="61"/>
      <c r="D2016" s="66"/>
      <c r="E2016" s="66"/>
    </row>
    <row r="2017" spans="1:5" ht="15" customHeight="1">
      <c r="A2017" s="61"/>
      <c r="B2017" s="61"/>
      <c r="C2017" s="61"/>
      <c r="D2017" s="66"/>
      <c r="E2017" s="66"/>
    </row>
    <row r="2018" spans="1:5" ht="15" customHeight="1">
      <c r="A2018" s="61"/>
      <c r="B2018" s="61"/>
      <c r="C2018" s="61"/>
    </row>
    <row r="2019" spans="1:5" ht="15" customHeight="1">
      <c r="A2019" s="61"/>
      <c r="B2019" s="61"/>
      <c r="C2019" s="61"/>
    </row>
    <row r="2020" spans="1:5" ht="16.5" customHeight="1">
      <c r="A2020" s="1012" t="str">
        <f>IF($A$41="","",PROPER('Huong dan'!$C$4))</f>
        <v/>
      </c>
      <c r="B2020" s="1012"/>
      <c r="C2020" s="1012"/>
      <c r="D2020" s="833" t="str">
        <f>IFERROR(IF($D$41="Giáo Viên Quản nhiệm",PROPER('Huong dan'!$C$4),IF($D$41="Hiệu trưởng",PROPER('Huong dan'!$E$5),"")),"")</f>
        <v/>
      </c>
      <c r="E2020" s="708"/>
    </row>
    <row r="2021" spans="1:5" ht="12.75" customHeight="1"/>
    <row r="2022" spans="1:5" ht="12.75" customHeight="1">
      <c r="A2022" s="709"/>
      <c r="B2022" s="709"/>
      <c r="C2022" s="709"/>
      <c r="D2022" s="710"/>
      <c r="E2022" s="711" t="str">
        <f>IF(E1975="","",IF(E1975&lt;MAX(DiemHKI!$B$4:$B$58),E1975+1,""))</f>
        <v/>
      </c>
    </row>
    <row r="2023" spans="1:5" ht="8.25" customHeight="1">
      <c r="A2023" s="709"/>
      <c r="B2023" s="709"/>
      <c r="C2023" s="709"/>
      <c r="D2023" s="709"/>
      <c r="E2023" s="709"/>
    </row>
    <row r="2024" spans="1:5" ht="5.25" customHeight="1"/>
    <row r="2025" spans="1:5" s="563" customFormat="1" ht="23.25" customHeight="1">
      <c r="A2025" s="931" t="str">
        <f>IF('Huong dan'!$E$3&lt;&gt;"","SỞ GIÁO DỤC VÀ ĐÀO TẠO "&amp;UPPER('Huong dan'!$E$3),"")</f>
        <v>SỞ GIÁO DỤC VÀ ĐÀO TẠO TP. HỒ CHÍ MINH</v>
      </c>
      <c r="B2025" s="931"/>
      <c r="C2025" s="931"/>
      <c r="D2025" s="923" t="s">
        <v>19</v>
      </c>
      <c r="E2025" s="923"/>
    </row>
    <row r="2026" spans="1:5" ht="17.25" customHeight="1">
      <c r="A2026" s="931" t="str">
        <f>IF('Huong dan'!$E$4&lt;&gt;"","TRƯỜNG "&amp;UPPER('Huong dan'!$E$4),"")</f>
        <v>TRƯỜNG THCS VÀ THPT NGUYỄN KHUYẾN</v>
      </c>
      <c r="B2026" s="931"/>
      <c r="C2026" s="931"/>
      <c r="D2026" s="1012" t="s">
        <v>179</v>
      </c>
      <c r="E2026" s="1012"/>
    </row>
    <row r="2027" spans="1:5" ht="24" customHeight="1">
      <c r="A2027" s="61"/>
      <c r="B2027" s="61"/>
      <c r="C2027" s="61"/>
    </row>
    <row r="2028" spans="1:5" ht="29.25" customHeight="1">
      <c r="A2028" s="1013" t="str">
        <f>"PHIẾU ĐIỂM HỌC KỲ I - NĂM HỌC "&amp;'Huong dan'!$C$5</f>
        <v>PHIẾU ĐIỂM HỌC KỲ I - NĂM HỌC 2021 - 2022</v>
      </c>
      <c r="B2028" s="1013"/>
      <c r="C2028" s="1013"/>
      <c r="D2028" s="1013"/>
      <c r="E2028" s="1013"/>
    </row>
    <row r="2029" spans="1:5" ht="15.75" customHeight="1">
      <c r="A2029" s="680"/>
      <c r="B2029" s="680"/>
    </row>
    <row r="2030" spans="1:5" ht="21" customHeight="1">
      <c r="A2030" s="1014" t="s">
        <v>145</v>
      </c>
      <c r="B2030" s="1014"/>
      <c r="C2030" s="1015" t="str">
        <f>IF(E2069="","",INDEX(DiemHKI!$D$4:$D$58,MATCH(E2069,DiemHKI!$B$4:$B$58,0),1)&amp;" "&amp;INDEX(DiemHKI!$E$4:$E$58,MATCH(E2069,DiemHKI!$B$4:$B$58,0),1))</f>
        <v/>
      </c>
      <c r="D2030" s="1015"/>
      <c r="E2030" s="62" t="str">
        <f>IF('Huong dan'!$C$3="","","Lớp: "&amp;'Huong dan'!$C$3)</f>
        <v>Lớp: 12A1</v>
      </c>
    </row>
    <row r="2031" spans="1:5" ht="23.25" customHeight="1">
      <c r="A2031" s="1014" t="s">
        <v>146</v>
      </c>
      <c r="B2031" s="1014"/>
      <c r="C2031" s="681" t="str">
        <f>IF(E2069="","",INDEX(DiemHKI!$F$4:$F$58,MATCH(PDHKI!E2069,DiemHKI!$B$4:$B$58,0),1))</f>
        <v/>
      </c>
      <c r="D2031" s="1016" t="str">
        <f>IF(E2069="","","Nơi sinh: "&amp;INDEX(DiemHKI!$G$4:$G$58,MATCH(PDHKI!E2069,DiemHKI!$B$4:$B$58,0),1))</f>
        <v/>
      </c>
      <c r="E2031" s="1016"/>
    </row>
    <row r="2032" spans="1:5" ht="13.5" customHeight="1" thickBot="1">
      <c r="A2032" s="681"/>
      <c r="B2032" s="682"/>
      <c r="D2032" s="681"/>
      <c r="E2032" s="681"/>
    </row>
    <row r="2033" spans="1:11" ht="24" customHeight="1" thickBot="1">
      <c r="A2033" s="683" t="s">
        <v>0</v>
      </c>
      <c r="B2033" s="1006" t="s">
        <v>72</v>
      </c>
      <c r="C2033" s="1007"/>
      <c r="D2033" s="684" t="s">
        <v>147</v>
      </c>
      <c r="E2033" s="685" t="s">
        <v>148</v>
      </c>
    </row>
    <row r="2034" spans="1:11" ht="21" customHeight="1">
      <c r="A2034" s="686">
        <v>1</v>
      </c>
      <c r="B2034" s="1017" t="s">
        <v>26</v>
      </c>
      <c r="C2034" s="1018"/>
      <c r="D2034" s="687" t="str">
        <f>IF(E2069="","",IF(INDEX(THHKI!$A$8:$Y$62,MATCH(PDHKI!E2069,THHKI!$A$8:$A$62,0),INDEX($K$13:$K$27,MATCH(B2034,$J$13:$J$27,0),1))&lt;1,"/",INDEX(THHKI!$A$8:$Y$62,MATCH(PDHKI!E2069,THHKI!$A$8:$A$62,0),INDEX($K$13:$K$27,MATCH(B2034,$J$13:$J$27,0),1))))</f>
        <v/>
      </c>
      <c r="E2034" s="688"/>
      <c r="J2034" s="569" t="s">
        <v>26</v>
      </c>
      <c r="K2034" s="569">
        <v>7</v>
      </c>
    </row>
    <row r="2035" spans="1:11" ht="21" customHeight="1">
      <c r="A2035" s="689">
        <v>2</v>
      </c>
      <c r="B2035" s="1008" t="s">
        <v>27</v>
      </c>
      <c r="C2035" s="1009"/>
      <c r="D2035" s="690" t="str">
        <f>IF(E2069="","",IF(INDEX(THHKI!$A$8:$Y$62,MATCH(PDHKI!E2069,THHKI!$A$8:$A$62,0),INDEX($K$13:$K$27,MATCH(B2035,$J$13:$J$27,0),1))&lt;1,"/",INDEX(THHKI!$A$8:$Y$62,MATCH(PDHKI!E2069,THHKI!$A$8:$A$62,0),INDEX($K$13:$K$27,MATCH(B2035,$J$13:$J$27,0),1))))</f>
        <v/>
      </c>
      <c r="E2035" s="691"/>
      <c r="J2035" s="569" t="s">
        <v>27</v>
      </c>
      <c r="K2035" s="569">
        <v>8</v>
      </c>
    </row>
    <row r="2036" spans="1:11" ht="21" customHeight="1">
      <c r="A2036" s="689">
        <v>3</v>
      </c>
      <c r="B2036" s="1008" t="s">
        <v>28</v>
      </c>
      <c r="C2036" s="1009"/>
      <c r="D2036" s="690" t="str">
        <f>IF(E2069="","",IF(INDEX(THHKI!$A$8:$Y$62,MATCH(PDHKI!E2069,THHKI!$A$8:$A$62,0),INDEX($K$13:$K$27,MATCH(B2036,$J$13:$J$27,0),1))&lt;1,"/",INDEX(THHKI!$A$8:$Y$62,MATCH(PDHKI!E2069,THHKI!$A$8:$A$62,0),INDEX($K$13:$K$27,MATCH(B2036,$J$13:$J$27,0),1))))</f>
        <v/>
      </c>
      <c r="E2036" s="691"/>
      <c r="J2036" s="569" t="s">
        <v>28</v>
      </c>
      <c r="K2036" s="569">
        <v>9</v>
      </c>
    </row>
    <row r="2037" spans="1:11" ht="21" customHeight="1">
      <c r="A2037" s="689">
        <v>4</v>
      </c>
      <c r="B2037" s="1008" t="s">
        <v>29</v>
      </c>
      <c r="C2037" s="1009"/>
      <c r="D2037" s="690" t="str">
        <f>IF(E2069="","",IF(INDEX(THHKI!$A$8:$Y$62,MATCH(PDHKI!E2069,THHKI!$A$8:$A$62,0),INDEX($K$13:$K$27,MATCH(B2037,$J$13:$J$27,0),1))&lt;1,"/",INDEX(THHKI!$A$8:$Y$62,MATCH(PDHKI!E2069,THHKI!$A$8:$A$62,0),INDEX($K$13:$K$27,MATCH(B2037,$J$13:$J$27,0),1))))</f>
        <v/>
      </c>
      <c r="E2037" s="691"/>
      <c r="J2037" s="569" t="s">
        <v>29</v>
      </c>
      <c r="K2037" s="569">
        <v>10</v>
      </c>
    </row>
    <row r="2038" spans="1:11" ht="21" customHeight="1">
      <c r="A2038" s="689">
        <v>5</v>
      </c>
      <c r="B2038" s="1008" t="s">
        <v>120</v>
      </c>
      <c r="C2038" s="1009"/>
      <c r="D2038" s="690" t="str">
        <f>IF(E2069="","",IF(INDEX(THHKI!$A$8:$Y$62,MATCH(PDHKI!E2069,THHKI!$A$8:$A$62,0),INDEX($K$13:$K$27,MATCH(B2038,$J$13:$J$27,0),1))&lt;1,"/",INDEX(THHKI!$A$8:$Y$62,MATCH(PDHKI!E2069,THHKI!$A$8:$A$62,0),INDEX($K$13:$K$27,MATCH(B2038,$J$13:$J$27,0),1))))</f>
        <v/>
      </c>
      <c r="E2038" s="691"/>
      <c r="J2038" s="569" t="s">
        <v>120</v>
      </c>
      <c r="K2038" s="569">
        <v>11</v>
      </c>
    </row>
    <row r="2039" spans="1:11" ht="21" customHeight="1">
      <c r="A2039" s="689">
        <v>6</v>
      </c>
      <c r="B2039" s="1008" t="s">
        <v>30</v>
      </c>
      <c r="C2039" s="1009"/>
      <c r="D2039" s="690" t="str">
        <f>IF(E2069="","",IF(INDEX(THHKI!$A$8:$Y$62,MATCH(PDHKI!E2069,THHKI!$A$8:$A$62,0),INDEX($K$13:$K$27,MATCH(B2039,$J$13:$J$27,0),1))&lt;1,"/",INDEX(THHKI!$A$8:$Y$62,MATCH(PDHKI!E2069,THHKI!$A$8:$A$62,0),INDEX($K$13:$K$27,MATCH(B2039,$J$13:$J$27,0),1))))</f>
        <v/>
      </c>
      <c r="E2039" s="691"/>
      <c r="J2039" s="569" t="s">
        <v>30</v>
      </c>
      <c r="K2039" s="569">
        <v>12</v>
      </c>
    </row>
    <row r="2040" spans="1:11" ht="21" customHeight="1">
      <c r="A2040" s="689">
        <v>7</v>
      </c>
      <c r="B2040" s="1008" t="s">
        <v>31</v>
      </c>
      <c r="C2040" s="1009"/>
      <c r="D2040" s="690" t="str">
        <f>IF(E2069="","",IF(INDEX(THHKI!$A$8:$Y$62,MATCH(PDHKI!E2069,THHKI!$A$8:$A$62,0),INDEX($K$13:$K$27,MATCH(B2040,$J$13:$J$27,0),1))&lt;1,"/",INDEX(THHKI!$A$8:$Y$62,MATCH(PDHKI!E2069,THHKI!$A$8:$A$62,0),INDEX($K$13:$K$27,MATCH(B2040,$J$13:$J$27,0),1))))</f>
        <v/>
      </c>
      <c r="E2040" s="691"/>
      <c r="J2040" s="569" t="s">
        <v>31</v>
      </c>
      <c r="K2040" s="569">
        <v>13</v>
      </c>
    </row>
    <row r="2041" spans="1:11" ht="21" customHeight="1">
      <c r="A2041" s="689">
        <v>8</v>
      </c>
      <c r="B2041" s="1008" t="s">
        <v>32</v>
      </c>
      <c r="C2041" s="1009"/>
      <c r="D2041" s="690" t="str">
        <f>IF(E2069="","",IF(INDEX(THHKI!$A$8:$Y$62,MATCH(PDHKI!E2069,THHKI!$A$8:$A$62,0),INDEX($K$13:$K$27,MATCH(B2041,$J$13:$J$27,0),1))&lt;1,"/",INDEX(THHKI!$A$8:$Y$62,MATCH(PDHKI!E2069,THHKI!$A$8:$A$62,0),INDEX($K$13:$K$27,MATCH(B2041,$J$13:$J$27,0),1))))</f>
        <v/>
      </c>
      <c r="E2041" s="691"/>
      <c r="J2041" s="569" t="s">
        <v>32</v>
      </c>
      <c r="K2041" s="569">
        <v>14</v>
      </c>
    </row>
    <row r="2042" spans="1:11" ht="21" customHeight="1">
      <c r="A2042" s="689">
        <v>9</v>
      </c>
      <c r="B2042" s="1008" t="s">
        <v>33</v>
      </c>
      <c r="C2042" s="1009"/>
      <c r="D2042" s="690" t="str">
        <f>IF(E2069="","",IF(INDEX(THHKI!$A$8:$Y$62,MATCH(PDHKI!E2069,THHKI!$A$8:$A$62,0),INDEX($K$13:$K$27,MATCH(B2042,$J$13:$J$27,0),1))&lt;1,"/",INDEX(THHKI!$A$8:$Y$62,MATCH(PDHKI!E2069,THHKI!$A$8:$A$62,0),INDEX($K$13:$K$27,MATCH(B2042,$J$13:$J$27,0),1))))</f>
        <v/>
      </c>
      <c r="E2042" s="691"/>
      <c r="J2042" s="569" t="s">
        <v>33</v>
      </c>
      <c r="K2042" s="569">
        <v>15</v>
      </c>
    </row>
    <row r="2043" spans="1:11" ht="21" customHeight="1">
      <c r="A2043" s="689">
        <v>10</v>
      </c>
      <c r="B2043" s="1008" t="s">
        <v>60</v>
      </c>
      <c r="C2043" s="1009"/>
      <c r="D2043" s="690" t="str">
        <f>IF(E2069="","",IF(INDEX(THHKI!$A$8:$Y$62,MATCH(PDHKI!E2069,THHKI!$A$8:$A$62,0),INDEX($K$13:$K$27,MATCH(B2043,$J$13:$J$27,0),1))&lt;1,"/",INDEX(THHKI!$A$8:$Y$62,MATCH(PDHKI!E2069,THHKI!$A$8:$A$62,0),INDEX($K$13:$K$27,MATCH(B2043,$J$13:$J$27,0),1))))</f>
        <v/>
      </c>
      <c r="E2043" s="691"/>
      <c r="J2043" s="569" t="s">
        <v>60</v>
      </c>
      <c r="K2043" s="569">
        <v>16</v>
      </c>
    </row>
    <row r="2044" spans="1:11" ht="21" customHeight="1">
      <c r="A2044" s="689">
        <v>11</v>
      </c>
      <c r="B2044" s="1008" t="s">
        <v>34</v>
      </c>
      <c r="C2044" s="1009"/>
      <c r="D2044" s="690" t="str">
        <f>IF(E2069="","",IF(INDEX(THHKI!$A$8:$Y$62,MATCH(PDHKI!E2069,THHKI!$A$8:$A$62,0),INDEX($K$13:$K$27,MATCH(B2044,$J$13:$J$27,0),1))&lt;1,"/",INDEX(THHKI!$A$8:$Y$62,MATCH(PDHKI!E2069,THHKI!$A$8:$A$62,0),INDEX($K$13:$K$27,MATCH(B2044,$J$13:$J$27,0),1))))</f>
        <v/>
      </c>
      <c r="E2044" s="691"/>
      <c r="J2044" s="569" t="s">
        <v>34</v>
      </c>
      <c r="K2044" s="569">
        <v>17</v>
      </c>
    </row>
    <row r="2045" spans="1:11" ht="21" customHeight="1">
      <c r="A2045" s="689">
        <v>12</v>
      </c>
      <c r="B2045" s="1008" t="s">
        <v>35</v>
      </c>
      <c r="C2045" s="1009"/>
      <c r="D2045" s="690" t="str">
        <f>IF(E2069="","",IF(INDEX(THHKI!$A$8:$Y$62,MATCH(PDHKI!E2069,THHKI!$A$8:$A$62,0),INDEX($K$13:$K$27,MATCH(B2045,$J$13:$J$27,0),1))&lt;1,"/",INDEX(THHKI!$A$8:$Y$62,MATCH(PDHKI!E2069,THHKI!$A$8:$A$62,0),INDEX($K$13:$K$27,MATCH(B2045,$J$13:$J$27,0),1))))</f>
        <v/>
      </c>
      <c r="E2045" s="691"/>
      <c r="J2045" s="569" t="s">
        <v>35</v>
      </c>
      <c r="K2045" s="569">
        <v>18</v>
      </c>
    </row>
    <row r="2046" spans="1:11" ht="21" customHeight="1">
      <c r="A2046" s="689">
        <v>13</v>
      </c>
      <c r="B2046" s="1008" t="s">
        <v>121</v>
      </c>
      <c r="C2046" s="1009"/>
      <c r="D2046" s="690" t="str">
        <f>IF(E2069="","",IF(INDEX(THHKI!$A$8:$Y$62,MATCH(PDHKI!E2069,THHKI!$A$8:$A$62,0),INDEX($K$13:$K$27,MATCH(B2046,$J$13:$J$27,0),1))&lt;1,"/",INDEX(THHKI!$A$8:$Y$62,MATCH(PDHKI!E2069,THHKI!$A$8:$A$62,0),INDEX($K$13:$K$27,MATCH(B2046,$J$13:$J$27,0),1))))</f>
        <v/>
      </c>
      <c r="E2046" s="691"/>
      <c r="J2046" s="569" t="s">
        <v>22</v>
      </c>
      <c r="K2046" s="569">
        <v>19</v>
      </c>
    </row>
    <row r="2047" spans="1:11" ht="21" customHeight="1" thickBot="1">
      <c r="A2047" s="692">
        <v>14</v>
      </c>
      <c r="B2047" s="1010" t="s">
        <v>122</v>
      </c>
      <c r="C2047" s="1011"/>
      <c r="D2047" s="693" t="str">
        <f>IF(E2069="","",IF(INDEX(THHKI!$A$8:$Y$62,MATCH(PDHKI!E2069,THHKI!$A$8:$A$62,0),INDEX($K$13:$K$27,MATCH(B2047,$J$13:$J$27,0),1))&lt;1,"/",INDEX(THHKI!$A$8:$Y$62,MATCH(PDHKI!E2069,THHKI!$A$8:$A$62,0),INDEX($K$13:$K$27,MATCH(B2047,$J$13:$J$27,0),1))))</f>
        <v/>
      </c>
      <c r="E2047" s="694"/>
      <c r="J2047" s="569" t="s">
        <v>121</v>
      </c>
      <c r="K2047" s="569">
        <v>20</v>
      </c>
    </row>
    <row r="2048" spans="1:11" ht="21" customHeight="1" thickBot="1">
      <c r="A2048" s="695">
        <v>15</v>
      </c>
      <c r="B2048" s="1006" t="s">
        <v>149</v>
      </c>
      <c r="C2048" s="1007"/>
      <c r="D2048" s="696" t="str">
        <f>IF(E2069="","",IF(INDEX(THHKI!$A$8:$Y$62,MATCH(PDHKI!E2069,THHKI!$A$8:$A$62,0),22)&lt;1,"/",INDEX(THHKI!$A$8:$Y$62,MATCH(PDHKI!E2069,THHKI!$A$8:$A$62,0),22)))</f>
        <v/>
      </c>
      <c r="E2048" s="697"/>
      <c r="J2048" s="569" t="s">
        <v>122</v>
      </c>
      <c r="K2048" s="569">
        <v>21</v>
      </c>
    </row>
    <row r="2049" spans="1:8" ht="15.75" customHeight="1" thickBot="1"/>
    <row r="2050" spans="1:8" s="570" customFormat="1" ht="21" customHeight="1">
      <c r="A2050" s="698"/>
      <c r="B2050" s="1019" t="s">
        <v>150</v>
      </c>
      <c r="C2050" s="1020"/>
      <c r="D2050" s="699" t="s">
        <v>10</v>
      </c>
      <c r="E2050" s="700" t="s">
        <v>126</v>
      </c>
    </row>
    <row r="2051" spans="1:8" ht="21" customHeight="1">
      <c r="A2051" s="701">
        <v>16</v>
      </c>
      <c r="B2051" s="1021" t="s">
        <v>151</v>
      </c>
      <c r="C2051" s="1022"/>
      <c r="D2051" s="702" t="str">
        <f>IF(E2069="","",IF(INDEX(THHKI!$A$8:$Y$62,MATCH(PDHKI!E2069,THHKI!$A$8:$A$62,0),23)="","/",INDEX(THHKI!$A$8:$Y$62,MATCH(PDHKI!E2069,THHKI!$A$8:$A$62,0),23)))</f>
        <v/>
      </c>
      <c r="E2051" s="703"/>
    </row>
    <row r="2052" spans="1:8" ht="21" customHeight="1">
      <c r="A2052" s="701">
        <v>17</v>
      </c>
      <c r="B2052" s="1021" t="s">
        <v>152</v>
      </c>
      <c r="C2052" s="1022"/>
      <c r="D2052" s="702" t="str">
        <f>IF(E2069="","",IF(INDEX(THHKI!$A$8:$Y$62,MATCH(PDHKI!E2069,THHKI!$A$8:$A$62,0),24)="","/",INDEX(THHKI!$A$8:$Y$62,MATCH(PDHKI!E2069,THHKI!$A$8:$A$62,0),24)))</f>
        <v/>
      </c>
      <c r="E2052" s="703"/>
    </row>
    <row r="2053" spans="1:8" ht="21" customHeight="1" thickBot="1">
      <c r="A2053" s="704">
        <v>18</v>
      </c>
      <c r="B2053" s="1023" t="s">
        <v>153</v>
      </c>
      <c r="C2053" s="1024"/>
      <c r="D2053" s="705" t="str">
        <f>IF(E2069="","",IF(INDEX(THHKI!$A$8:$Y$62,MATCH(PDHKI!E2069,THHKI!$A$8:$A$62,0),25)="","/",INDEX(THHKI!$A$8:$Y$62,MATCH(PDHKI!E2069,THHKI!$A$8:$A$62,0),25)))</f>
        <v/>
      </c>
      <c r="E2053" s="706"/>
    </row>
    <row r="2054" spans="1:8" ht="9.75" customHeight="1"/>
    <row r="2055" spans="1:8" ht="15.75" customHeight="1">
      <c r="A2055" s="58" t="s">
        <v>219</v>
      </c>
    </row>
    <row r="2056" spans="1:8" ht="18" customHeight="1">
      <c r="A2056" s="59" t="str">
        <f>IF(E2069="","",IF(INDEX(DiemHKI!$DE$4:$DH$58,MATCH(PDHKI!E2069,DiemHKI!$B$4:$B$58,0),1)="","","- "&amp;INDEX(DiemHKI!$DE$4:$DH$58,MATCH(PDHKI!E2069,DiemHKI!$B$4:$B$58,0),1)))</f>
        <v/>
      </c>
      <c r="H2056" s="571"/>
    </row>
    <row r="2057" spans="1:8" ht="18" customHeight="1">
      <c r="A2057" s="59" t="str">
        <f>IF(E2069="","",IF(INDEX(DiemHKI!$DE$4:$DH$58,MATCH(PDHKI!E2069,DiemHKI!$B$4:$B$58,0),2)="","","- "&amp;INDEX(DiemHKI!$DE$4:$DH$58,MATCH(PDHKI!E2069,DiemHKI!$B$4:$B$58,0),2)))</f>
        <v/>
      </c>
    </row>
    <row r="2058" spans="1:8" ht="18" customHeight="1">
      <c r="A2058" s="59" t="str">
        <f>IF(E2069="","",IF(INDEX(DiemHKI!$DE$4:$DH$58,MATCH(PDHKI!E2069,DiemHKI!$B$4:$B$58,0),3)="","","- "&amp;INDEX(DiemHKI!$DE$4:$DH$58,MATCH(PDHKI!E2069,DiemHKI!$B$4:$B$58,0),3)))</f>
        <v/>
      </c>
    </row>
    <row r="2059" spans="1:8" ht="18" customHeight="1">
      <c r="A2059" s="59" t="str">
        <f>IF(E2069="","",IF(INDEX(DiemHKI!$DE$4:$DH$58,MATCH(PDHKI!E2069,DiemHKI!$B$4:$B$58,0),4)="","","- "&amp;INDEX(DiemHKI!$DE$4:$DH$58,MATCH(PDHKI!E2069,DiemHKI!$B$4:$B$58,0),4)))</f>
        <v/>
      </c>
    </row>
    <row r="2060" spans="1:8" ht="6.75" customHeight="1"/>
    <row r="2061" spans="1:8" ht="16.5" customHeight="1">
      <c r="A2061" s="61"/>
      <c r="C2061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061" s="1026"/>
      <c r="E2061" s="1026"/>
    </row>
    <row r="2062" spans="1:8" ht="21.75" customHeight="1">
      <c r="A2062" s="923" t="str">
        <f>IF($D$41="Hiệu trưởng","Giáo viên Quản nhiệm","")</f>
        <v>Giáo viên Quản nhiệm</v>
      </c>
      <c r="B2062" s="923"/>
      <c r="C2062" s="923"/>
      <c r="D2062" s="707" t="str">
        <f>IF($G$5="","",$G$5)</f>
        <v>Hiệu trưởng</v>
      </c>
      <c r="E2062" s="708"/>
    </row>
    <row r="2063" spans="1:8" ht="15" customHeight="1">
      <c r="A2063" s="61"/>
      <c r="B2063" s="61"/>
      <c r="C2063" s="61"/>
      <c r="D2063" s="66"/>
      <c r="E2063" s="66"/>
    </row>
    <row r="2064" spans="1:8" ht="15" customHeight="1">
      <c r="A2064" s="61"/>
      <c r="B2064" s="61"/>
      <c r="C2064" s="61"/>
      <c r="D2064" s="66"/>
      <c r="E2064" s="66"/>
    </row>
    <row r="2065" spans="1:5" ht="15" customHeight="1">
      <c r="A2065" s="61"/>
      <c r="B2065" s="61"/>
      <c r="C2065" s="61"/>
    </row>
    <row r="2066" spans="1:5" ht="15" customHeight="1">
      <c r="A2066" s="61"/>
      <c r="B2066" s="61"/>
      <c r="C2066" s="61"/>
    </row>
    <row r="2067" spans="1:5" ht="16.5" customHeight="1">
      <c r="A2067" s="1012" t="str">
        <f>IF($A$41="","",PROPER('Huong dan'!$C$4))</f>
        <v/>
      </c>
      <c r="B2067" s="1012"/>
      <c r="C2067" s="1012"/>
      <c r="D2067" s="833" t="str">
        <f>IFERROR(IF($D$41="Giáo Viên Quản nhiệm",PROPER('Huong dan'!$C$4),IF($D$41="Hiệu trưởng",PROPER('Huong dan'!$E$5),"")),"")</f>
        <v/>
      </c>
      <c r="E2067" s="708"/>
    </row>
    <row r="2068" spans="1:5" ht="12.75" customHeight="1"/>
    <row r="2069" spans="1:5" ht="12.75" customHeight="1">
      <c r="A2069" s="709"/>
      <c r="B2069" s="709"/>
      <c r="C2069" s="709"/>
      <c r="D2069" s="710"/>
      <c r="E2069" s="711" t="str">
        <f>IF(E2022="","",IF(E2022&lt;MAX(DiemHKI!$B$4:$B$58),E2022+1,""))</f>
        <v/>
      </c>
    </row>
    <row r="2070" spans="1:5" ht="8.25" customHeight="1">
      <c r="A2070" s="709"/>
      <c r="B2070" s="709"/>
      <c r="C2070" s="709"/>
      <c r="D2070" s="709"/>
      <c r="E2070" s="709"/>
    </row>
    <row r="2071" spans="1:5" ht="5.25" customHeight="1"/>
    <row r="2072" spans="1:5" s="563" customFormat="1" ht="23.25" customHeight="1">
      <c r="A2072" s="931" t="str">
        <f>IF('Huong dan'!$E$3&lt;&gt;"","SỞ GIÁO DỤC VÀ ĐÀO TẠO "&amp;UPPER('Huong dan'!$E$3),"")</f>
        <v>SỞ GIÁO DỤC VÀ ĐÀO TẠO TP. HỒ CHÍ MINH</v>
      </c>
      <c r="B2072" s="931"/>
      <c r="C2072" s="931"/>
      <c r="D2072" s="923" t="s">
        <v>19</v>
      </c>
      <c r="E2072" s="923"/>
    </row>
    <row r="2073" spans="1:5" ht="17.25" customHeight="1">
      <c r="A2073" s="931" t="str">
        <f>IF('Huong dan'!$E$4&lt;&gt;"","TRƯỜNG "&amp;UPPER('Huong dan'!$E$4),"")</f>
        <v>TRƯỜNG THCS VÀ THPT NGUYỄN KHUYẾN</v>
      </c>
      <c r="B2073" s="931"/>
      <c r="C2073" s="931"/>
      <c r="D2073" s="1012" t="s">
        <v>179</v>
      </c>
      <c r="E2073" s="1012"/>
    </row>
    <row r="2074" spans="1:5" ht="24" customHeight="1">
      <c r="A2074" s="61"/>
      <c r="B2074" s="61"/>
      <c r="C2074" s="61"/>
    </row>
    <row r="2075" spans="1:5" ht="29.25" customHeight="1">
      <c r="A2075" s="1013" t="str">
        <f>"PHIẾU ĐIỂM HỌC KỲ I - NĂM HỌC "&amp;'Huong dan'!$C$5</f>
        <v>PHIẾU ĐIỂM HỌC KỲ I - NĂM HỌC 2021 - 2022</v>
      </c>
      <c r="B2075" s="1013"/>
      <c r="C2075" s="1013"/>
      <c r="D2075" s="1013"/>
      <c r="E2075" s="1013"/>
    </row>
    <row r="2076" spans="1:5" ht="15.75" customHeight="1">
      <c r="A2076" s="680"/>
      <c r="B2076" s="680"/>
    </row>
    <row r="2077" spans="1:5" ht="21" customHeight="1">
      <c r="A2077" s="1014" t="s">
        <v>145</v>
      </c>
      <c r="B2077" s="1014"/>
      <c r="C2077" s="1015" t="str">
        <f>IF(E2116="","",INDEX(DiemHKI!$D$4:$D$58,MATCH(E2116,DiemHKI!$B$4:$B$58,0),1)&amp;" "&amp;INDEX(DiemHKI!$E$4:$E$58,MATCH(E2116,DiemHKI!$B$4:$B$58,0),1))</f>
        <v/>
      </c>
      <c r="D2077" s="1015"/>
      <c r="E2077" s="62" t="str">
        <f>IF('Huong dan'!$C$3="","","Lớp: "&amp;'Huong dan'!$C$3)</f>
        <v>Lớp: 12A1</v>
      </c>
    </row>
    <row r="2078" spans="1:5" ht="23.25" customHeight="1">
      <c r="A2078" s="1014" t="s">
        <v>146</v>
      </c>
      <c r="B2078" s="1014"/>
      <c r="C2078" s="681" t="str">
        <f>IF(E2116="","",INDEX(DiemHKI!$F$4:$F$58,MATCH(PDHKI!E2116,DiemHKI!$B$4:$B$58,0),1))</f>
        <v/>
      </c>
      <c r="D2078" s="1016" t="str">
        <f>IF(E2116="","","Nơi sinh: "&amp;INDEX(DiemHKI!$G$4:$G$58,MATCH(PDHKI!E2116,DiemHKI!$B$4:$B$58,0),1))</f>
        <v/>
      </c>
      <c r="E2078" s="1016"/>
    </row>
    <row r="2079" spans="1:5" ht="13.5" customHeight="1" thickBot="1">
      <c r="A2079" s="681"/>
      <c r="B2079" s="682"/>
      <c r="D2079" s="681"/>
      <c r="E2079" s="681"/>
    </row>
    <row r="2080" spans="1:5" ht="24" customHeight="1" thickBot="1">
      <c r="A2080" s="683" t="s">
        <v>0</v>
      </c>
      <c r="B2080" s="1006" t="s">
        <v>72</v>
      </c>
      <c r="C2080" s="1007"/>
      <c r="D2080" s="684" t="s">
        <v>147</v>
      </c>
      <c r="E2080" s="685" t="s">
        <v>148</v>
      </c>
    </row>
    <row r="2081" spans="1:11" ht="21" customHeight="1">
      <c r="A2081" s="686">
        <v>1</v>
      </c>
      <c r="B2081" s="1017" t="s">
        <v>26</v>
      </c>
      <c r="C2081" s="1018"/>
      <c r="D2081" s="687" t="str">
        <f>IF(E2116="","",IF(INDEX(THHKI!$A$8:$Y$62,MATCH(PDHKI!E2116,THHKI!$A$8:$A$62,0),INDEX($K$13:$K$27,MATCH(B2081,$J$13:$J$27,0),1))&lt;1,"/",INDEX(THHKI!$A$8:$Y$62,MATCH(PDHKI!E2116,THHKI!$A$8:$A$62,0),INDEX($K$13:$K$27,MATCH(B2081,$J$13:$J$27,0),1))))</f>
        <v/>
      </c>
      <c r="E2081" s="688"/>
      <c r="J2081" s="569" t="s">
        <v>26</v>
      </c>
      <c r="K2081" s="569">
        <v>7</v>
      </c>
    </row>
    <row r="2082" spans="1:11" ht="21" customHeight="1">
      <c r="A2082" s="689">
        <v>2</v>
      </c>
      <c r="B2082" s="1008" t="s">
        <v>27</v>
      </c>
      <c r="C2082" s="1009"/>
      <c r="D2082" s="690" t="str">
        <f>IF(E2116="","",IF(INDEX(THHKI!$A$8:$Y$62,MATCH(PDHKI!E2116,THHKI!$A$8:$A$62,0),INDEX($K$13:$K$27,MATCH(B2082,$J$13:$J$27,0),1))&lt;1,"/",INDEX(THHKI!$A$8:$Y$62,MATCH(PDHKI!E2116,THHKI!$A$8:$A$62,0),INDEX($K$13:$K$27,MATCH(B2082,$J$13:$J$27,0),1))))</f>
        <v/>
      </c>
      <c r="E2082" s="691"/>
      <c r="J2082" s="569" t="s">
        <v>27</v>
      </c>
      <c r="K2082" s="569">
        <v>8</v>
      </c>
    </row>
    <row r="2083" spans="1:11" ht="21" customHeight="1">
      <c r="A2083" s="689">
        <v>3</v>
      </c>
      <c r="B2083" s="1008" t="s">
        <v>28</v>
      </c>
      <c r="C2083" s="1009"/>
      <c r="D2083" s="690" t="str">
        <f>IF(E2116="","",IF(INDEX(THHKI!$A$8:$Y$62,MATCH(PDHKI!E2116,THHKI!$A$8:$A$62,0),INDEX($K$13:$K$27,MATCH(B2083,$J$13:$J$27,0),1))&lt;1,"/",INDEX(THHKI!$A$8:$Y$62,MATCH(PDHKI!E2116,THHKI!$A$8:$A$62,0),INDEX($K$13:$K$27,MATCH(B2083,$J$13:$J$27,0),1))))</f>
        <v/>
      </c>
      <c r="E2083" s="691"/>
      <c r="J2083" s="569" t="s">
        <v>28</v>
      </c>
      <c r="K2083" s="569">
        <v>9</v>
      </c>
    </row>
    <row r="2084" spans="1:11" ht="21" customHeight="1">
      <c r="A2084" s="689">
        <v>4</v>
      </c>
      <c r="B2084" s="1008" t="s">
        <v>29</v>
      </c>
      <c r="C2084" s="1009"/>
      <c r="D2084" s="690" t="str">
        <f>IF(E2116="","",IF(INDEX(THHKI!$A$8:$Y$62,MATCH(PDHKI!E2116,THHKI!$A$8:$A$62,0),INDEX($K$13:$K$27,MATCH(B2084,$J$13:$J$27,0),1))&lt;1,"/",INDEX(THHKI!$A$8:$Y$62,MATCH(PDHKI!E2116,THHKI!$A$8:$A$62,0),INDEX($K$13:$K$27,MATCH(B2084,$J$13:$J$27,0),1))))</f>
        <v/>
      </c>
      <c r="E2084" s="691"/>
      <c r="J2084" s="569" t="s">
        <v>29</v>
      </c>
      <c r="K2084" s="569">
        <v>10</v>
      </c>
    </row>
    <row r="2085" spans="1:11" ht="21" customHeight="1">
      <c r="A2085" s="689">
        <v>5</v>
      </c>
      <c r="B2085" s="1008" t="s">
        <v>120</v>
      </c>
      <c r="C2085" s="1009"/>
      <c r="D2085" s="690" t="str">
        <f>IF(E2116="","",IF(INDEX(THHKI!$A$8:$Y$62,MATCH(PDHKI!E2116,THHKI!$A$8:$A$62,0),INDEX($K$13:$K$27,MATCH(B2085,$J$13:$J$27,0),1))&lt;1,"/",INDEX(THHKI!$A$8:$Y$62,MATCH(PDHKI!E2116,THHKI!$A$8:$A$62,0),INDEX($K$13:$K$27,MATCH(B2085,$J$13:$J$27,0),1))))</f>
        <v/>
      </c>
      <c r="E2085" s="691"/>
      <c r="J2085" s="569" t="s">
        <v>120</v>
      </c>
      <c r="K2085" s="569">
        <v>11</v>
      </c>
    </row>
    <row r="2086" spans="1:11" ht="21" customHeight="1">
      <c r="A2086" s="689">
        <v>6</v>
      </c>
      <c r="B2086" s="1008" t="s">
        <v>30</v>
      </c>
      <c r="C2086" s="1009"/>
      <c r="D2086" s="690" t="str">
        <f>IF(E2116="","",IF(INDEX(THHKI!$A$8:$Y$62,MATCH(PDHKI!E2116,THHKI!$A$8:$A$62,0),INDEX($K$13:$K$27,MATCH(B2086,$J$13:$J$27,0),1))&lt;1,"/",INDEX(THHKI!$A$8:$Y$62,MATCH(PDHKI!E2116,THHKI!$A$8:$A$62,0),INDEX($K$13:$K$27,MATCH(B2086,$J$13:$J$27,0),1))))</f>
        <v/>
      </c>
      <c r="E2086" s="691"/>
      <c r="J2086" s="569" t="s">
        <v>30</v>
      </c>
      <c r="K2086" s="569">
        <v>12</v>
      </c>
    </row>
    <row r="2087" spans="1:11" ht="21" customHeight="1">
      <c r="A2087" s="689">
        <v>7</v>
      </c>
      <c r="B2087" s="1008" t="s">
        <v>31</v>
      </c>
      <c r="C2087" s="1009"/>
      <c r="D2087" s="690" t="str">
        <f>IF(E2116="","",IF(INDEX(THHKI!$A$8:$Y$62,MATCH(PDHKI!E2116,THHKI!$A$8:$A$62,0),INDEX($K$13:$K$27,MATCH(B2087,$J$13:$J$27,0),1))&lt;1,"/",INDEX(THHKI!$A$8:$Y$62,MATCH(PDHKI!E2116,THHKI!$A$8:$A$62,0),INDEX($K$13:$K$27,MATCH(B2087,$J$13:$J$27,0),1))))</f>
        <v/>
      </c>
      <c r="E2087" s="691"/>
      <c r="J2087" s="569" t="s">
        <v>31</v>
      </c>
      <c r="K2087" s="569">
        <v>13</v>
      </c>
    </row>
    <row r="2088" spans="1:11" ht="21" customHeight="1">
      <c r="A2088" s="689">
        <v>8</v>
      </c>
      <c r="B2088" s="1008" t="s">
        <v>32</v>
      </c>
      <c r="C2088" s="1009"/>
      <c r="D2088" s="690" t="str">
        <f>IF(E2116="","",IF(INDEX(THHKI!$A$8:$Y$62,MATCH(PDHKI!E2116,THHKI!$A$8:$A$62,0),INDEX($K$13:$K$27,MATCH(B2088,$J$13:$J$27,0),1))&lt;1,"/",INDEX(THHKI!$A$8:$Y$62,MATCH(PDHKI!E2116,THHKI!$A$8:$A$62,0),INDEX($K$13:$K$27,MATCH(B2088,$J$13:$J$27,0),1))))</f>
        <v/>
      </c>
      <c r="E2088" s="691"/>
      <c r="J2088" s="569" t="s">
        <v>32</v>
      </c>
      <c r="K2088" s="569">
        <v>14</v>
      </c>
    </row>
    <row r="2089" spans="1:11" ht="21" customHeight="1">
      <c r="A2089" s="689">
        <v>9</v>
      </c>
      <c r="B2089" s="1008" t="s">
        <v>33</v>
      </c>
      <c r="C2089" s="1009"/>
      <c r="D2089" s="690" t="str">
        <f>IF(E2116="","",IF(INDEX(THHKI!$A$8:$Y$62,MATCH(PDHKI!E2116,THHKI!$A$8:$A$62,0),INDEX($K$13:$K$27,MATCH(B2089,$J$13:$J$27,0),1))&lt;1,"/",INDEX(THHKI!$A$8:$Y$62,MATCH(PDHKI!E2116,THHKI!$A$8:$A$62,0),INDEX($K$13:$K$27,MATCH(B2089,$J$13:$J$27,0),1))))</f>
        <v/>
      </c>
      <c r="E2089" s="691"/>
      <c r="J2089" s="569" t="s">
        <v>33</v>
      </c>
      <c r="K2089" s="569">
        <v>15</v>
      </c>
    </row>
    <row r="2090" spans="1:11" ht="21" customHeight="1">
      <c r="A2090" s="689">
        <v>10</v>
      </c>
      <c r="B2090" s="1008" t="s">
        <v>60</v>
      </c>
      <c r="C2090" s="1009"/>
      <c r="D2090" s="690" t="str">
        <f>IF(E2116="","",IF(INDEX(THHKI!$A$8:$Y$62,MATCH(PDHKI!E2116,THHKI!$A$8:$A$62,0),INDEX($K$13:$K$27,MATCH(B2090,$J$13:$J$27,0),1))&lt;1,"/",INDEX(THHKI!$A$8:$Y$62,MATCH(PDHKI!E2116,THHKI!$A$8:$A$62,0),INDEX($K$13:$K$27,MATCH(B2090,$J$13:$J$27,0),1))))</f>
        <v/>
      </c>
      <c r="E2090" s="691"/>
      <c r="J2090" s="569" t="s">
        <v>60</v>
      </c>
      <c r="K2090" s="569">
        <v>16</v>
      </c>
    </row>
    <row r="2091" spans="1:11" ht="21" customHeight="1">
      <c r="A2091" s="689">
        <v>11</v>
      </c>
      <c r="B2091" s="1008" t="s">
        <v>34</v>
      </c>
      <c r="C2091" s="1009"/>
      <c r="D2091" s="690" t="str">
        <f>IF(E2116="","",IF(INDEX(THHKI!$A$8:$Y$62,MATCH(PDHKI!E2116,THHKI!$A$8:$A$62,0),INDEX($K$13:$K$27,MATCH(B2091,$J$13:$J$27,0),1))&lt;1,"/",INDEX(THHKI!$A$8:$Y$62,MATCH(PDHKI!E2116,THHKI!$A$8:$A$62,0),INDEX($K$13:$K$27,MATCH(B2091,$J$13:$J$27,0),1))))</f>
        <v/>
      </c>
      <c r="E2091" s="691"/>
      <c r="J2091" s="569" t="s">
        <v>34</v>
      </c>
      <c r="K2091" s="569">
        <v>17</v>
      </c>
    </row>
    <row r="2092" spans="1:11" ht="21" customHeight="1">
      <c r="A2092" s="689">
        <v>12</v>
      </c>
      <c r="B2092" s="1008" t="s">
        <v>35</v>
      </c>
      <c r="C2092" s="1009"/>
      <c r="D2092" s="690" t="str">
        <f>IF(E2116="","",IF(INDEX(THHKI!$A$8:$Y$62,MATCH(PDHKI!E2116,THHKI!$A$8:$A$62,0),INDEX($K$13:$K$27,MATCH(B2092,$J$13:$J$27,0),1))&lt;1,"/",INDEX(THHKI!$A$8:$Y$62,MATCH(PDHKI!E2116,THHKI!$A$8:$A$62,0),INDEX($K$13:$K$27,MATCH(B2092,$J$13:$J$27,0),1))))</f>
        <v/>
      </c>
      <c r="E2092" s="691"/>
      <c r="J2092" s="569" t="s">
        <v>35</v>
      </c>
      <c r="K2092" s="569">
        <v>18</v>
      </c>
    </row>
    <row r="2093" spans="1:11" ht="21" customHeight="1">
      <c r="A2093" s="689">
        <v>13</v>
      </c>
      <c r="B2093" s="1008" t="s">
        <v>121</v>
      </c>
      <c r="C2093" s="1009"/>
      <c r="D2093" s="690" t="str">
        <f>IF(E2116="","",IF(INDEX(THHKI!$A$8:$Y$62,MATCH(PDHKI!E2116,THHKI!$A$8:$A$62,0),INDEX($K$13:$K$27,MATCH(B2093,$J$13:$J$27,0),1))&lt;1,"/",INDEX(THHKI!$A$8:$Y$62,MATCH(PDHKI!E2116,THHKI!$A$8:$A$62,0),INDEX($K$13:$K$27,MATCH(B2093,$J$13:$J$27,0),1))))</f>
        <v/>
      </c>
      <c r="E2093" s="691"/>
      <c r="J2093" s="569" t="s">
        <v>22</v>
      </c>
      <c r="K2093" s="569">
        <v>19</v>
      </c>
    </row>
    <row r="2094" spans="1:11" ht="21" customHeight="1" thickBot="1">
      <c r="A2094" s="692">
        <v>14</v>
      </c>
      <c r="B2094" s="1010" t="s">
        <v>122</v>
      </c>
      <c r="C2094" s="1011"/>
      <c r="D2094" s="693" t="str">
        <f>IF(E2116="","",IF(INDEX(THHKI!$A$8:$Y$62,MATCH(PDHKI!E2116,THHKI!$A$8:$A$62,0),INDEX($K$13:$K$27,MATCH(B2094,$J$13:$J$27,0),1))&lt;1,"/",INDEX(THHKI!$A$8:$Y$62,MATCH(PDHKI!E2116,THHKI!$A$8:$A$62,0),INDEX($K$13:$K$27,MATCH(B2094,$J$13:$J$27,0),1))))</f>
        <v/>
      </c>
      <c r="E2094" s="694"/>
      <c r="J2094" s="569" t="s">
        <v>121</v>
      </c>
      <c r="K2094" s="569">
        <v>20</v>
      </c>
    </row>
    <row r="2095" spans="1:11" ht="21" customHeight="1" thickBot="1">
      <c r="A2095" s="695">
        <v>15</v>
      </c>
      <c r="B2095" s="1006" t="s">
        <v>149</v>
      </c>
      <c r="C2095" s="1007"/>
      <c r="D2095" s="696" t="str">
        <f>IF(E2116="","",IF(INDEX(THHKI!$A$8:$Y$62,MATCH(PDHKI!E2116,THHKI!$A$8:$A$62,0),22)&lt;1,"/",INDEX(THHKI!$A$8:$Y$62,MATCH(PDHKI!E2116,THHKI!$A$8:$A$62,0),22)))</f>
        <v/>
      </c>
      <c r="E2095" s="697"/>
      <c r="J2095" s="569" t="s">
        <v>122</v>
      </c>
      <c r="K2095" s="569">
        <v>21</v>
      </c>
    </row>
    <row r="2096" spans="1:11" ht="15.75" customHeight="1" thickBot="1"/>
    <row r="2097" spans="1:8" s="570" customFormat="1" ht="21" customHeight="1">
      <c r="A2097" s="698"/>
      <c r="B2097" s="1019" t="s">
        <v>150</v>
      </c>
      <c r="C2097" s="1020"/>
      <c r="D2097" s="699" t="s">
        <v>10</v>
      </c>
      <c r="E2097" s="700" t="s">
        <v>126</v>
      </c>
    </row>
    <row r="2098" spans="1:8" ht="21" customHeight="1">
      <c r="A2098" s="701">
        <v>16</v>
      </c>
      <c r="B2098" s="1021" t="s">
        <v>151</v>
      </c>
      <c r="C2098" s="1022"/>
      <c r="D2098" s="702" t="str">
        <f>IF(E2116="","",IF(INDEX(THHKI!$A$8:$Y$62,MATCH(PDHKI!E2116,THHKI!$A$8:$A$62,0),23)="","/",INDEX(THHKI!$A$8:$Y$62,MATCH(PDHKI!E2116,THHKI!$A$8:$A$62,0),23)))</f>
        <v/>
      </c>
      <c r="E2098" s="703"/>
    </row>
    <row r="2099" spans="1:8" ht="21" customHeight="1">
      <c r="A2099" s="701">
        <v>17</v>
      </c>
      <c r="B2099" s="1021" t="s">
        <v>152</v>
      </c>
      <c r="C2099" s="1022"/>
      <c r="D2099" s="702" t="str">
        <f>IF(E2116="","",IF(INDEX(THHKI!$A$8:$Y$62,MATCH(PDHKI!E2116,THHKI!$A$8:$A$62,0),24)="","/",INDEX(THHKI!$A$8:$Y$62,MATCH(PDHKI!E2116,THHKI!$A$8:$A$62,0),24)))</f>
        <v/>
      </c>
      <c r="E2099" s="703"/>
    </row>
    <row r="2100" spans="1:8" ht="21" customHeight="1" thickBot="1">
      <c r="A2100" s="704">
        <v>18</v>
      </c>
      <c r="B2100" s="1023" t="s">
        <v>153</v>
      </c>
      <c r="C2100" s="1024"/>
      <c r="D2100" s="705" t="str">
        <f>IF(E2116="","",IF(INDEX(THHKI!$A$8:$Y$62,MATCH(PDHKI!E2116,THHKI!$A$8:$A$62,0),25)="","/",INDEX(THHKI!$A$8:$Y$62,MATCH(PDHKI!E2116,THHKI!$A$8:$A$62,0),25)))</f>
        <v/>
      </c>
      <c r="E2100" s="706"/>
    </row>
    <row r="2101" spans="1:8" ht="9.75" customHeight="1"/>
    <row r="2102" spans="1:8" ht="15.75" customHeight="1">
      <c r="A2102" s="58" t="s">
        <v>219</v>
      </c>
    </row>
    <row r="2103" spans="1:8" ht="18" customHeight="1">
      <c r="A2103" s="59" t="str">
        <f>IF(E2116="","",IF(INDEX(DiemHKI!$DE$4:$DH$58,MATCH(PDHKI!E2116,DiemHKI!$B$4:$B$58,0),1)="","","- "&amp;INDEX(DiemHKI!$DE$4:$DH$58,MATCH(PDHKI!E2116,DiemHKI!$B$4:$B$58,0),1)))</f>
        <v/>
      </c>
      <c r="H2103" s="571"/>
    </row>
    <row r="2104" spans="1:8" ht="18" customHeight="1">
      <c r="A2104" s="59" t="str">
        <f>IF(E2116="","",IF(INDEX(DiemHKI!$DE$4:$DH$58,MATCH(PDHKI!E2116,DiemHKI!$B$4:$B$58,0),2)="","","- "&amp;INDEX(DiemHKI!$DE$4:$DH$58,MATCH(PDHKI!E2116,DiemHKI!$B$4:$B$58,0),2)))</f>
        <v/>
      </c>
    </row>
    <row r="2105" spans="1:8" ht="18" customHeight="1">
      <c r="A2105" s="59" t="str">
        <f>IF(E2116="","",IF(INDEX(DiemHKI!$DE$4:$DH$58,MATCH(PDHKI!E2116,DiemHKI!$B$4:$B$58,0),3)="","","- "&amp;INDEX(DiemHKI!$DE$4:$DH$58,MATCH(PDHKI!E2116,DiemHKI!$B$4:$B$58,0),3)))</f>
        <v/>
      </c>
    </row>
    <row r="2106" spans="1:8" ht="18" customHeight="1">
      <c r="A2106" s="59" t="str">
        <f>IF(E2116="","",IF(INDEX(DiemHKI!$DE$4:$DH$58,MATCH(PDHKI!E2116,DiemHKI!$B$4:$B$58,0),4)="","","- "&amp;INDEX(DiemHKI!$DE$4:$DH$58,MATCH(PDHKI!E2116,DiemHKI!$B$4:$B$58,0),4)))</f>
        <v/>
      </c>
    </row>
    <row r="2107" spans="1:8" ht="6.75" customHeight="1"/>
    <row r="2108" spans="1:8" ht="16.5" customHeight="1">
      <c r="A2108" s="61"/>
      <c r="C2108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108" s="1026"/>
      <c r="E2108" s="1026"/>
    </row>
    <row r="2109" spans="1:8" ht="21.75" customHeight="1">
      <c r="A2109" s="923" t="str">
        <f>IF($D$41="Hiệu trưởng","Giáo viên Quản nhiệm","")</f>
        <v>Giáo viên Quản nhiệm</v>
      </c>
      <c r="B2109" s="923"/>
      <c r="C2109" s="923"/>
      <c r="D2109" s="707" t="str">
        <f>IF($G$5="","",$G$5)</f>
        <v>Hiệu trưởng</v>
      </c>
      <c r="E2109" s="708"/>
    </row>
    <row r="2110" spans="1:8" ht="15" customHeight="1">
      <c r="A2110" s="61"/>
      <c r="B2110" s="61"/>
      <c r="C2110" s="61"/>
      <c r="D2110" s="66"/>
      <c r="E2110" s="66"/>
    </row>
    <row r="2111" spans="1:8" ht="15" customHeight="1">
      <c r="A2111" s="61"/>
      <c r="B2111" s="61"/>
      <c r="C2111" s="61"/>
      <c r="D2111" s="66"/>
      <c r="E2111" s="66"/>
    </row>
    <row r="2112" spans="1:8" ht="15" customHeight="1">
      <c r="A2112" s="61"/>
      <c r="B2112" s="61"/>
      <c r="C2112" s="61"/>
    </row>
    <row r="2113" spans="1:11" ht="15" customHeight="1">
      <c r="A2113" s="61"/>
      <c r="B2113" s="61"/>
      <c r="C2113" s="61"/>
    </row>
    <row r="2114" spans="1:11" ht="16.5" customHeight="1">
      <c r="A2114" s="1012" t="str">
        <f>IF($A$41="","",PROPER('Huong dan'!$C$4))</f>
        <v/>
      </c>
      <c r="B2114" s="1012"/>
      <c r="C2114" s="1012"/>
      <c r="D2114" s="833" t="str">
        <f>IFERROR(IF($D$41="Giáo Viên Quản nhiệm",PROPER('Huong dan'!$C$4),IF($D$41="Hiệu trưởng",PROPER('Huong dan'!$E$5),"")),"")</f>
        <v/>
      </c>
      <c r="E2114" s="708"/>
    </row>
    <row r="2115" spans="1:11" ht="12.75" customHeight="1"/>
    <row r="2116" spans="1:11" ht="12.75" customHeight="1">
      <c r="A2116" s="709"/>
      <c r="B2116" s="709"/>
      <c r="C2116" s="709"/>
      <c r="D2116" s="710"/>
      <c r="E2116" s="711" t="str">
        <f>IF(E2069="","",IF(E2069&lt;MAX(DiemHKI!$B$4:$B$58),E2069+1,""))</f>
        <v/>
      </c>
    </row>
    <row r="2117" spans="1:11" ht="8.25" customHeight="1">
      <c r="A2117" s="709"/>
      <c r="B2117" s="709"/>
      <c r="C2117" s="709"/>
      <c r="D2117" s="709"/>
      <c r="E2117" s="709"/>
    </row>
    <row r="2118" spans="1:11" ht="5.25" customHeight="1"/>
    <row r="2119" spans="1:11" s="563" customFormat="1" ht="23.25" customHeight="1">
      <c r="A2119" s="931" t="str">
        <f>IF('Huong dan'!$E$3&lt;&gt;"","SỞ GIÁO DỤC VÀ ĐÀO TẠO "&amp;UPPER('Huong dan'!$E$3),"")</f>
        <v>SỞ GIÁO DỤC VÀ ĐÀO TẠO TP. HỒ CHÍ MINH</v>
      </c>
      <c r="B2119" s="931"/>
      <c r="C2119" s="931"/>
      <c r="D2119" s="923" t="s">
        <v>19</v>
      </c>
      <c r="E2119" s="923"/>
    </row>
    <row r="2120" spans="1:11" ht="17.25" customHeight="1">
      <c r="A2120" s="931" t="str">
        <f>IF('Huong dan'!$E$4&lt;&gt;"","TRƯỜNG "&amp;UPPER('Huong dan'!$E$4),"")</f>
        <v>TRƯỜNG THCS VÀ THPT NGUYỄN KHUYẾN</v>
      </c>
      <c r="B2120" s="931"/>
      <c r="C2120" s="931"/>
      <c r="D2120" s="1012" t="s">
        <v>179</v>
      </c>
      <c r="E2120" s="1012"/>
    </row>
    <row r="2121" spans="1:11" ht="24" customHeight="1">
      <c r="A2121" s="61"/>
      <c r="B2121" s="61"/>
      <c r="C2121" s="61"/>
    </row>
    <row r="2122" spans="1:11" ht="29.25" customHeight="1">
      <c r="A2122" s="1013" t="str">
        <f>"PHIẾU ĐIỂM HỌC KỲ I - NĂM HỌC "&amp;'Huong dan'!$C$5</f>
        <v>PHIẾU ĐIỂM HỌC KỲ I - NĂM HỌC 2021 - 2022</v>
      </c>
      <c r="B2122" s="1013"/>
      <c r="C2122" s="1013"/>
      <c r="D2122" s="1013"/>
      <c r="E2122" s="1013"/>
    </row>
    <row r="2123" spans="1:11" ht="15.75" customHeight="1">
      <c r="A2123" s="680"/>
      <c r="B2123" s="680"/>
    </row>
    <row r="2124" spans="1:11" ht="21" customHeight="1">
      <c r="A2124" s="1014" t="s">
        <v>145</v>
      </c>
      <c r="B2124" s="1014"/>
      <c r="C2124" s="1015" t="str">
        <f>IF(E2163="","",INDEX(DiemHKI!$D$4:$D$58,MATCH(E2163,DiemHKI!$B$4:$B$58,0),1)&amp;" "&amp;INDEX(DiemHKI!$E$4:$E$58,MATCH(E2163,DiemHKI!$B$4:$B$58,0),1))</f>
        <v/>
      </c>
      <c r="D2124" s="1015"/>
      <c r="E2124" s="62" t="str">
        <f>IF('Huong dan'!$C$3="","","Lớp: "&amp;'Huong dan'!$C$3)</f>
        <v>Lớp: 12A1</v>
      </c>
    </row>
    <row r="2125" spans="1:11" ht="23.25" customHeight="1">
      <c r="A2125" s="1014" t="s">
        <v>146</v>
      </c>
      <c r="B2125" s="1014"/>
      <c r="C2125" s="681" t="str">
        <f>IF(E2163="","",INDEX(DiemHKI!$F$4:$F$58,MATCH(PDHKI!E2163,DiemHKI!$B$4:$B$58,0),1))</f>
        <v/>
      </c>
      <c r="D2125" s="1016" t="str">
        <f>IF(E2163="","","Nơi sinh: "&amp;INDEX(DiemHKI!$G$4:$G$58,MATCH(PDHKI!E2163,DiemHKI!$B$4:$B$58,0),1))</f>
        <v/>
      </c>
      <c r="E2125" s="1016"/>
    </row>
    <row r="2126" spans="1:11" ht="13.5" customHeight="1" thickBot="1">
      <c r="A2126" s="681"/>
      <c r="B2126" s="682"/>
      <c r="D2126" s="681"/>
      <c r="E2126" s="681"/>
    </row>
    <row r="2127" spans="1:11" ht="24" customHeight="1" thickBot="1">
      <c r="A2127" s="683" t="s">
        <v>0</v>
      </c>
      <c r="B2127" s="1006" t="s">
        <v>72</v>
      </c>
      <c r="C2127" s="1007"/>
      <c r="D2127" s="684" t="s">
        <v>147</v>
      </c>
      <c r="E2127" s="685" t="s">
        <v>148</v>
      </c>
    </row>
    <row r="2128" spans="1:11" ht="21" customHeight="1">
      <c r="A2128" s="686">
        <v>1</v>
      </c>
      <c r="B2128" s="1017" t="s">
        <v>26</v>
      </c>
      <c r="C2128" s="1018"/>
      <c r="D2128" s="687" t="str">
        <f>IF(E2163="","",IF(INDEX(THHKI!$A$8:$Y$62,MATCH(PDHKI!E2163,THHKI!$A$8:$A$62,0),INDEX($K$13:$K$27,MATCH(B2128,$J$13:$J$27,0),1))&lt;1,"/",INDEX(THHKI!$A$8:$Y$62,MATCH(PDHKI!E2163,THHKI!$A$8:$A$62,0),INDEX($K$13:$K$27,MATCH(B2128,$J$13:$J$27,0),1))))</f>
        <v/>
      </c>
      <c r="E2128" s="688"/>
      <c r="J2128" s="569" t="s">
        <v>26</v>
      </c>
      <c r="K2128" s="569">
        <v>7</v>
      </c>
    </row>
    <row r="2129" spans="1:11" ht="21" customHeight="1">
      <c r="A2129" s="689">
        <v>2</v>
      </c>
      <c r="B2129" s="1008" t="s">
        <v>27</v>
      </c>
      <c r="C2129" s="1009"/>
      <c r="D2129" s="690" t="str">
        <f>IF(E2163="","",IF(INDEX(THHKI!$A$8:$Y$62,MATCH(PDHKI!E2163,THHKI!$A$8:$A$62,0),INDEX($K$13:$K$27,MATCH(B2129,$J$13:$J$27,0),1))&lt;1,"/",INDEX(THHKI!$A$8:$Y$62,MATCH(PDHKI!E2163,THHKI!$A$8:$A$62,0),INDEX($K$13:$K$27,MATCH(B2129,$J$13:$J$27,0),1))))</f>
        <v/>
      </c>
      <c r="E2129" s="691"/>
      <c r="J2129" s="569" t="s">
        <v>27</v>
      </c>
      <c r="K2129" s="569">
        <v>8</v>
      </c>
    </row>
    <row r="2130" spans="1:11" ht="21" customHeight="1">
      <c r="A2130" s="689">
        <v>3</v>
      </c>
      <c r="B2130" s="1008" t="s">
        <v>28</v>
      </c>
      <c r="C2130" s="1009"/>
      <c r="D2130" s="690" t="str">
        <f>IF(E2163="","",IF(INDEX(THHKI!$A$8:$Y$62,MATCH(PDHKI!E2163,THHKI!$A$8:$A$62,0),INDEX($K$13:$K$27,MATCH(B2130,$J$13:$J$27,0),1))&lt;1,"/",INDEX(THHKI!$A$8:$Y$62,MATCH(PDHKI!E2163,THHKI!$A$8:$A$62,0),INDEX($K$13:$K$27,MATCH(B2130,$J$13:$J$27,0),1))))</f>
        <v/>
      </c>
      <c r="E2130" s="691"/>
      <c r="J2130" s="569" t="s">
        <v>28</v>
      </c>
      <c r="K2130" s="569">
        <v>9</v>
      </c>
    </row>
    <row r="2131" spans="1:11" ht="21" customHeight="1">
      <c r="A2131" s="689">
        <v>4</v>
      </c>
      <c r="B2131" s="1008" t="s">
        <v>29</v>
      </c>
      <c r="C2131" s="1009"/>
      <c r="D2131" s="690" t="str">
        <f>IF(E2163="","",IF(INDEX(THHKI!$A$8:$Y$62,MATCH(PDHKI!E2163,THHKI!$A$8:$A$62,0),INDEX($K$13:$K$27,MATCH(B2131,$J$13:$J$27,0),1))&lt;1,"/",INDEX(THHKI!$A$8:$Y$62,MATCH(PDHKI!E2163,THHKI!$A$8:$A$62,0),INDEX($K$13:$K$27,MATCH(B2131,$J$13:$J$27,0),1))))</f>
        <v/>
      </c>
      <c r="E2131" s="691"/>
      <c r="J2131" s="569" t="s">
        <v>29</v>
      </c>
      <c r="K2131" s="569">
        <v>10</v>
      </c>
    </row>
    <row r="2132" spans="1:11" ht="21" customHeight="1">
      <c r="A2132" s="689">
        <v>5</v>
      </c>
      <c r="B2132" s="1008" t="s">
        <v>120</v>
      </c>
      <c r="C2132" s="1009"/>
      <c r="D2132" s="690" t="str">
        <f>IF(E2163="","",IF(INDEX(THHKI!$A$8:$Y$62,MATCH(PDHKI!E2163,THHKI!$A$8:$A$62,0),INDEX($K$13:$K$27,MATCH(B2132,$J$13:$J$27,0),1))&lt;1,"/",INDEX(THHKI!$A$8:$Y$62,MATCH(PDHKI!E2163,THHKI!$A$8:$A$62,0),INDEX($K$13:$K$27,MATCH(B2132,$J$13:$J$27,0),1))))</f>
        <v/>
      </c>
      <c r="E2132" s="691"/>
      <c r="J2132" s="569" t="s">
        <v>120</v>
      </c>
      <c r="K2132" s="569">
        <v>11</v>
      </c>
    </row>
    <row r="2133" spans="1:11" ht="21" customHeight="1">
      <c r="A2133" s="689">
        <v>6</v>
      </c>
      <c r="B2133" s="1008" t="s">
        <v>30</v>
      </c>
      <c r="C2133" s="1009"/>
      <c r="D2133" s="690" t="str">
        <f>IF(E2163="","",IF(INDEX(THHKI!$A$8:$Y$62,MATCH(PDHKI!E2163,THHKI!$A$8:$A$62,0),INDEX($K$13:$K$27,MATCH(B2133,$J$13:$J$27,0),1))&lt;1,"/",INDEX(THHKI!$A$8:$Y$62,MATCH(PDHKI!E2163,THHKI!$A$8:$A$62,0),INDEX($K$13:$K$27,MATCH(B2133,$J$13:$J$27,0),1))))</f>
        <v/>
      </c>
      <c r="E2133" s="691"/>
      <c r="J2133" s="569" t="s">
        <v>30</v>
      </c>
      <c r="K2133" s="569">
        <v>12</v>
      </c>
    </row>
    <row r="2134" spans="1:11" ht="21" customHeight="1">
      <c r="A2134" s="689">
        <v>7</v>
      </c>
      <c r="B2134" s="1008" t="s">
        <v>31</v>
      </c>
      <c r="C2134" s="1009"/>
      <c r="D2134" s="690" t="str">
        <f>IF(E2163="","",IF(INDEX(THHKI!$A$8:$Y$62,MATCH(PDHKI!E2163,THHKI!$A$8:$A$62,0),INDEX($K$13:$K$27,MATCH(B2134,$J$13:$J$27,0),1))&lt;1,"/",INDEX(THHKI!$A$8:$Y$62,MATCH(PDHKI!E2163,THHKI!$A$8:$A$62,0),INDEX($K$13:$K$27,MATCH(B2134,$J$13:$J$27,0),1))))</f>
        <v/>
      </c>
      <c r="E2134" s="691"/>
      <c r="J2134" s="569" t="s">
        <v>31</v>
      </c>
      <c r="K2134" s="569">
        <v>13</v>
      </c>
    </row>
    <row r="2135" spans="1:11" ht="21" customHeight="1">
      <c r="A2135" s="689">
        <v>8</v>
      </c>
      <c r="B2135" s="1008" t="s">
        <v>32</v>
      </c>
      <c r="C2135" s="1009"/>
      <c r="D2135" s="690" t="str">
        <f>IF(E2163="","",IF(INDEX(THHKI!$A$8:$Y$62,MATCH(PDHKI!E2163,THHKI!$A$8:$A$62,0),INDEX($K$13:$K$27,MATCH(B2135,$J$13:$J$27,0),1))&lt;1,"/",INDEX(THHKI!$A$8:$Y$62,MATCH(PDHKI!E2163,THHKI!$A$8:$A$62,0),INDEX($K$13:$K$27,MATCH(B2135,$J$13:$J$27,0),1))))</f>
        <v/>
      </c>
      <c r="E2135" s="691"/>
      <c r="J2135" s="569" t="s">
        <v>32</v>
      </c>
      <c r="K2135" s="569">
        <v>14</v>
      </c>
    </row>
    <row r="2136" spans="1:11" ht="21" customHeight="1">
      <c r="A2136" s="689">
        <v>9</v>
      </c>
      <c r="B2136" s="1008" t="s">
        <v>33</v>
      </c>
      <c r="C2136" s="1009"/>
      <c r="D2136" s="690" t="str">
        <f>IF(E2163="","",IF(INDEX(THHKI!$A$8:$Y$62,MATCH(PDHKI!E2163,THHKI!$A$8:$A$62,0),INDEX($K$13:$K$27,MATCH(B2136,$J$13:$J$27,0),1))&lt;1,"/",INDEX(THHKI!$A$8:$Y$62,MATCH(PDHKI!E2163,THHKI!$A$8:$A$62,0),INDEX($K$13:$K$27,MATCH(B2136,$J$13:$J$27,0),1))))</f>
        <v/>
      </c>
      <c r="E2136" s="691"/>
      <c r="J2136" s="569" t="s">
        <v>33</v>
      </c>
      <c r="K2136" s="569">
        <v>15</v>
      </c>
    </row>
    <row r="2137" spans="1:11" ht="21" customHeight="1">
      <c r="A2137" s="689">
        <v>10</v>
      </c>
      <c r="B2137" s="1008" t="s">
        <v>60</v>
      </c>
      <c r="C2137" s="1009"/>
      <c r="D2137" s="690" t="str">
        <f>IF(E2163="","",IF(INDEX(THHKI!$A$8:$Y$62,MATCH(PDHKI!E2163,THHKI!$A$8:$A$62,0),INDEX($K$13:$K$27,MATCH(B2137,$J$13:$J$27,0),1))&lt;1,"/",INDEX(THHKI!$A$8:$Y$62,MATCH(PDHKI!E2163,THHKI!$A$8:$A$62,0),INDEX($K$13:$K$27,MATCH(B2137,$J$13:$J$27,0),1))))</f>
        <v/>
      </c>
      <c r="E2137" s="691"/>
      <c r="J2137" s="569" t="s">
        <v>60</v>
      </c>
      <c r="K2137" s="569">
        <v>16</v>
      </c>
    </row>
    <row r="2138" spans="1:11" ht="21" customHeight="1">
      <c r="A2138" s="689">
        <v>11</v>
      </c>
      <c r="B2138" s="1008" t="s">
        <v>34</v>
      </c>
      <c r="C2138" s="1009"/>
      <c r="D2138" s="690" t="str">
        <f>IF(E2163="","",IF(INDEX(THHKI!$A$8:$Y$62,MATCH(PDHKI!E2163,THHKI!$A$8:$A$62,0),INDEX($K$13:$K$27,MATCH(B2138,$J$13:$J$27,0),1))&lt;1,"/",INDEX(THHKI!$A$8:$Y$62,MATCH(PDHKI!E2163,THHKI!$A$8:$A$62,0),INDEX($K$13:$K$27,MATCH(B2138,$J$13:$J$27,0),1))))</f>
        <v/>
      </c>
      <c r="E2138" s="691"/>
      <c r="J2138" s="569" t="s">
        <v>34</v>
      </c>
      <c r="K2138" s="569">
        <v>17</v>
      </c>
    </row>
    <row r="2139" spans="1:11" ht="21" customHeight="1">
      <c r="A2139" s="689">
        <v>12</v>
      </c>
      <c r="B2139" s="1008" t="s">
        <v>35</v>
      </c>
      <c r="C2139" s="1009"/>
      <c r="D2139" s="690" t="str">
        <f>IF(E2163="","",IF(INDEX(THHKI!$A$8:$Y$62,MATCH(PDHKI!E2163,THHKI!$A$8:$A$62,0),INDEX($K$13:$K$27,MATCH(B2139,$J$13:$J$27,0),1))&lt;1,"/",INDEX(THHKI!$A$8:$Y$62,MATCH(PDHKI!E2163,THHKI!$A$8:$A$62,0),INDEX($K$13:$K$27,MATCH(B2139,$J$13:$J$27,0),1))))</f>
        <v/>
      </c>
      <c r="E2139" s="691"/>
      <c r="J2139" s="569" t="s">
        <v>35</v>
      </c>
      <c r="K2139" s="569">
        <v>18</v>
      </c>
    </row>
    <row r="2140" spans="1:11" ht="21" customHeight="1">
      <c r="A2140" s="689">
        <v>13</v>
      </c>
      <c r="B2140" s="1008" t="s">
        <v>121</v>
      </c>
      <c r="C2140" s="1009"/>
      <c r="D2140" s="690" t="str">
        <f>IF(E2163="","",IF(INDEX(THHKI!$A$8:$Y$62,MATCH(PDHKI!E2163,THHKI!$A$8:$A$62,0),INDEX($K$13:$K$27,MATCH(B2140,$J$13:$J$27,0),1))&lt;1,"/",INDEX(THHKI!$A$8:$Y$62,MATCH(PDHKI!E2163,THHKI!$A$8:$A$62,0),INDEX($K$13:$K$27,MATCH(B2140,$J$13:$J$27,0),1))))</f>
        <v/>
      </c>
      <c r="E2140" s="691"/>
      <c r="J2140" s="569" t="s">
        <v>22</v>
      </c>
      <c r="K2140" s="569">
        <v>19</v>
      </c>
    </row>
    <row r="2141" spans="1:11" ht="21" customHeight="1" thickBot="1">
      <c r="A2141" s="692">
        <v>14</v>
      </c>
      <c r="B2141" s="1010" t="s">
        <v>122</v>
      </c>
      <c r="C2141" s="1011"/>
      <c r="D2141" s="693" t="str">
        <f>IF(E2163="","",IF(INDEX(THHKI!$A$8:$Y$62,MATCH(PDHKI!E2163,THHKI!$A$8:$A$62,0),INDEX($K$13:$K$27,MATCH(B2141,$J$13:$J$27,0),1))&lt;1,"/",INDEX(THHKI!$A$8:$Y$62,MATCH(PDHKI!E2163,THHKI!$A$8:$A$62,0),INDEX($K$13:$K$27,MATCH(B2141,$J$13:$J$27,0),1))))</f>
        <v/>
      </c>
      <c r="E2141" s="694"/>
      <c r="J2141" s="569" t="s">
        <v>121</v>
      </c>
      <c r="K2141" s="569">
        <v>20</v>
      </c>
    </row>
    <row r="2142" spans="1:11" ht="21" customHeight="1" thickBot="1">
      <c r="A2142" s="695">
        <v>15</v>
      </c>
      <c r="B2142" s="1006" t="s">
        <v>149</v>
      </c>
      <c r="C2142" s="1007"/>
      <c r="D2142" s="696" t="str">
        <f>IF(E2163="","",IF(INDEX(THHKI!$A$8:$Y$62,MATCH(PDHKI!E2163,THHKI!$A$8:$A$62,0),22)&lt;1,"/",INDEX(THHKI!$A$8:$Y$62,MATCH(PDHKI!E2163,THHKI!$A$8:$A$62,0),22)))</f>
        <v/>
      </c>
      <c r="E2142" s="697"/>
      <c r="J2142" s="569" t="s">
        <v>122</v>
      </c>
      <c r="K2142" s="569">
        <v>21</v>
      </c>
    </row>
    <row r="2143" spans="1:11" ht="15.75" customHeight="1" thickBot="1"/>
    <row r="2144" spans="1:11" s="570" customFormat="1" ht="21" customHeight="1">
      <c r="A2144" s="698"/>
      <c r="B2144" s="1019" t="s">
        <v>150</v>
      </c>
      <c r="C2144" s="1020"/>
      <c r="D2144" s="699" t="s">
        <v>10</v>
      </c>
      <c r="E2144" s="700" t="s">
        <v>126</v>
      </c>
    </row>
    <row r="2145" spans="1:8" ht="21" customHeight="1">
      <c r="A2145" s="701">
        <v>16</v>
      </c>
      <c r="B2145" s="1021" t="s">
        <v>151</v>
      </c>
      <c r="C2145" s="1022"/>
      <c r="D2145" s="702" t="str">
        <f>IF(E2163="","",IF(INDEX(THHKI!$A$8:$Y$62,MATCH(PDHKI!E2163,THHKI!$A$8:$A$62,0),23)="","/",INDEX(THHKI!$A$8:$Y$62,MATCH(PDHKI!E2163,THHKI!$A$8:$A$62,0),23)))</f>
        <v/>
      </c>
      <c r="E2145" s="703"/>
    </row>
    <row r="2146" spans="1:8" ht="21" customHeight="1">
      <c r="A2146" s="701">
        <v>17</v>
      </c>
      <c r="B2146" s="1021" t="s">
        <v>152</v>
      </c>
      <c r="C2146" s="1022"/>
      <c r="D2146" s="702" t="str">
        <f>IF(E2163="","",IF(INDEX(THHKI!$A$8:$Y$62,MATCH(PDHKI!E2163,THHKI!$A$8:$A$62,0),24)="","/",INDEX(THHKI!$A$8:$Y$62,MATCH(PDHKI!E2163,THHKI!$A$8:$A$62,0),24)))</f>
        <v/>
      </c>
      <c r="E2146" s="703"/>
    </row>
    <row r="2147" spans="1:8" ht="21" customHeight="1" thickBot="1">
      <c r="A2147" s="704">
        <v>18</v>
      </c>
      <c r="B2147" s="1023" t="s">
        <v>153</v>
      </c>
      <c r="C2147" s="1024"/>
      <c r="D2147" s="705" t="str">
        <f>IF(E2163="","",IF(INDEX(THHKI!$A$8:$Y$62,MATCH(PDHKI!E2163,THHKI!$A$8:$A$62,0),25)="","/",INDEX(THHKI!$A$8:$Y$62,MATCH(PDHKI!E2163,THHKI!$A$8:$A$62,0),25)))</f>
        <v/>
      </c>
      <c r="E2147" s="706"/>
    </row>
    <row r="2148" spans="1:8" ht="9.75" customHeight="1"/>
    <row r="2149" spans="1:8" ht="15.75" customHeight="1">
      <c r="A2149" s="58" t="s">
        <v>219</v>
      </c>
    </row>
    <row r="2150" spans="1:8" ht="18" customHeight="1">
      <c r="A2150" s="59" t="str">
        <f>IF(E2163="","",IF(INDEX(DiemHKI!$DE$4:$DH$58,MATCH(PDHKI!E2163,DiemHKI!$B$4:$B$58,0),1)="","","- "&amp;INDEX(DiemHKI!$DE$4:$DH$58,MATCH(PDHKI!E2163,DiemHKI!$B$4:$B$58,0),1)))</f>
        <v/>
      </c>
      <c r="H2150" s="571"/>
    </row>
    <row r="2151" spans="1:8" ht="18" customHeight="1">
      <c r="A2151" s="59" t="str">
        <f>IF(E2163="","",IF(INDEX(DiemHKI!$DE$4:$DH$58,MATCH(PDHKI!E2163,DiemHKI!$B$4:$B$58,0),2)="","","- "&amp;INDEX(DiemHKI!$DE$4:$DH$58,MATCH(PDHKI!E2163,DiemHKI!$B$4:$B$58,0),2)))</f>
        <v/>
      </c>
    </row>
    <row r="2152" spans="1:8" ht="18" customHeight="1">
      <c r="A2152" s="59" t="str">
        <f>IF(E2163="","",IF(INDEX(DiemHKI!$DE$4:$DH$58,MATCH(PDHKI!E2163,DiemHKI!$B$4:$B$58,0),3)="","","- "&amp;INDEX(DiemHKI!$DE$4:$DH$58,MATCH(PDHKI!E2163,DiemHKI!$B$4:$B$58,0),3)))</f>
        <v/>
      </c>
    </row>
    <row r="2153" spans="1:8" ht="18" customHeight="1">
      <c r="A2153" s="59" t="str">
        <f>IF(E2163="","",IF(INDEX(DiemHKI!$DE$4:$DH$58,MATCH(PDHKI!E2163,DiemHKI!$B$4:$B$58,0),4)="","","- "&amp;INDEX(DiemHKI!$DE$4:$DH$58,MATCH(PDHKI!E2163,DiemHKI!$B$4:$B$58,0),4)))</f>
        <v/>
      </c>
    </row>
    <row r="2154" spans="1:8" ht="6.75" customHeight="1"/>
    <row r="2155" spans="1:8" ht="16.5" customHeight="1">
      <c r="A2155" s="61"/>
      <c r="C2155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155" s="1026"/>
      <c r="E2155" s="1026"/>
    </row>
    <row r="2156" spans="1:8" ht="21.75" customHeight="1">
      <c r="A2156" s="923" t="str">
        <f>IF($D$41="Hiệu trưởng","Giáo viên Quản nhiệm","")</f>
        <v>Giáo viên Quản nhiệm</v>
      </c>
      <c r="B2156" s="923"/>
      <c r="C2156" s="923"/>
      <c r="D2156" s="707" t="str">
        <f>IF($G$5="","",$G$5)</f>
        <v>Hiệu trưởng</v>
      </c>
      <c r="E2156" s="708"/>
    </row>
    <row r="2157" spans="1:8" ht="15" customHeight="1">
      <c r="A2157" s="61"/>
      <c r="B2157" s="61"/>
      <c r="C2157" s="61"/>
      <c r="D2157" s="66"/>
      <c r="E2157" s="66"/>
    </row>
    <row r="2158" spans="1:8" ht="15" customHeight="1">
      <c r="A2158" s="61"/>
      <c r="B2158" s="61"/>
      <c r="C2158" s="61"/>
      <c r="D2158" s="66"/>
      <c r="E2158" s="66"/>
    </row>
    <row r="2159" spans="1:8" ht="15" customHeight="1">
      <c r="A2159" s="61"/>
      <c r="B2159" s="61"/>
      <c r="C2159" s="61"/>
    </row>
    <row r="2160" spans="1:8" ht="15" customHeight="1">
      <c r="A2160" s="61"/>
      <c r="B2160" s="61"/>
      <c r="C2160" s="61"/>
    </row>
    <row r="2161" spans="1:11" ht="16.5" customHeight="1">
      <c r="A2161" s="1012" t="str">
        <f>IF($A$41="","",PROPER('Huong dan'!$C$4))</f>
        <v/>
      </c>
      <c r="B2161" s="1012"/>
      <c r="C2161" s="1012"/>
      <c r="D2161" s="833" t="str">
        <f>IFERROR(IF($D$41="Giáo Viên Quản nhiệm",PROPER('Huong dan'!$C$4),IF($D$41="Hiệu trưởng",PROPER('Huong dan'!$E$5),"")),"")</f>
        <v/>
      </c>
      <c r="E2161" s="708"/>
    </row>
    <row r="2162" spans="1:11" ht="12.75" customHeight="1"/>
    <row r="2163" spans="1:11" ht="12.75" customHeight="1">
      <c r="A2163" s="709"/>
      <c r="B2163" s="709"/>
      <c r="C2163" s="709"/>
      <c r="D2163" s="710"/>
      <c r="E2163" s="711" t="str">
        <f>IF(E2116="","",IF(E2116&lt;MAX(DiemHKI!$B$4:$B$58),E2116+1,""))</f>
        <v/>
      </c>
    </row>
    <row r="2164" spans="1:11" ht="8.25" customHeight="1">
      <c r="A2164" s="709"/>
      <c r="B2164" s="709"/>
      <c r="C2164" s="709"/>
      <c r="D2164" s="709"/>
      <c r="E2164" s="709"/>
    </row>
    <row r="2165" spans="1:11" ht="5.25" customHeight="1"/>
    <row r="2166" spans="1:11" s="563" customFormat="1" ht="23.25" customHeight="1">
      <c r="A2166" s="931" t="str">
        <f>IF('Huong dan'!$E$3&lt;&gt;"","SỞ GIÁO DỤC VÀ ĐÀO TẠO "&amp;UPPER('Huong dan'!$E$3),"")</f>
        <v>SỞ GIÁO DỤC VÀ ĐÀO TẠO TP. HỒ CHÍ MINH</v>
      </c>
      <c r="B2166" s="931"/>
      <c r="C2166" s="931"/>
      <c r="D2166" s="923" t="s">
        <v>19</v>
      </c>
      <c r="E2166" s="923"/>
    </row>
    <row r="2167" spans="1:11" ht="17.25" customHeight="1">
      <c r="A2167" s="931" t="str">
        <f>IF('Huong dan'!$E$4&lt;&gt;"","TRƯỜNG "&amp;UPPER('Huong dan'!$E$4),"")</f>
        <v>TRƯỜNG THCS VÀ THPT NGUYỄN KHUYẾN</v>
      </c>
      <c r="B2167" s="931"/>
      <c r="C2167" s="931"/>
      <c r="D2167" s="1012" t="s">
        <v>179</v>
      </c>
      <c r="E2167" s="1012"/>
    </row>
    <row r="2168" spans="1:11" ht="24" customHeight="1">
      <c r="A2168" s="61"/>
      <c r="B2168" s="61"/>
      <c r="C2168" s="61"/>
    </row>
    <row r="2169" spans="1:11" ht="29.25" customHeight="1">
      <c r="A2169" s="1013" t="str">
        <f>"PHIẾU ĐIỂM HỌC KỲ I - NĂM HỌC "&amp;'Huong dan'!$C$5</f>
        <v>PHIẾU ĐIỂM HỌC KỲ I - NĂM HỌC 2021 - 2022</v>
      </c>
      <c r="B2169" s="1013"/>
      <c r="C2169" s="1013"/>
      <c r="D2169" s="1013"/>
      <c r="E2169" s="1013"/>
    </row>
    <row r="2170" spans="1:11" ht="15.75" customHeight="1">
      <c r="A2170" s="680"/>
      <c r="B2170" s="680"/>
    </row>
    <row r="2171" spans="1:11" ht="21" customHeight="1">
      <c r="A2171" s="1014" t="s">
        <v>145</v>
      </c>
      <c r="B2171" s="1014"/>
      <c r="C2171" s="1015" t="str">
        <f>IF(E2210="","",INDEX(DiemHKI!$D$4:$D$58,MATCH(E2210,DiemHKI!$B$4:$B$58,0),1)&amp;" "&amp;INDEX(DiemHKI!$E$4:$E$58,MATCH(E2210,DiemHKI!$B$4:$B$58,0),1))</f>
        <v/>
      </c>
      <c r="D2171" s="1015"/>
      <c r="E2171" s="62" t="str">
        <f>IF('Huong dan'!$C$3="","","Lớp: "&amp;'Huong dan'!$C$3)</f>
        <v>Lớp: 12A1</v>
      </c>
    </row>
    <row r="2172" spans="1:11" ht="23.25" customHeight="1">
      <c r="A2172" s="1014" t="s">
        <v>146</v>
      </c>
      <c r="B2172" s="1014"/>
      <c r="C2172" s="681" t="str">
        <f>IF(E2210="","",INDEX(DiemHKI!$F$4:$F$58,MATCH(PDHKI!E2210,DiemHKI!$B$4:$B$58,0),1))</f>
        <v/>
      </c>
      <c r="D2172" s="1016" t="str">
        <f>IF(E2210="","","Nơi sinh: "&amp;INDEX(DiemHKI!$G$4:$G$58,MATCH(PDHKI!E2210,DiemHKI!$B$4:$B$58,0),1))</f>
        <v/>
      </c>
      <c r="E2172" s="1016"/>
    </row>
    <row r="2173" spans="1:11" ht="13.5" customHeight="1" thickBot="1">
      <c r="A2173" s="681"/>
      <c r="B2173" s="682"/>
      <c r="D2173" s="681"/>
      <c r="E2173" s="681"/>
    </row>
    <row r="2174" spans="1:11" ht="24" customHeight="1" thickBot="1">
      <c r="A2174" s="683" t="s">
        <v>0</v>
      </c>
      <c r="B2174" s="1006" t="s">
        <v>72</v>
      </c>
      <c r="C2174" s="1007"/>
      <c r="D2174" s="684" t="s">
        <v>147</v>
      </c>
      <c r="E2174" s="685" t="s">
        <v>148</v>
      </c>
    </row>
    <row r="2175" spans="1:11" ht="21" customHeight="1">
      <c r="A2175" s="686">
        <v>1</v>
      </c>
      <c r="B2175" s="1017" t="s">
        <v>26</v>
      </c>
      <c r="C2175" s="1018"/>
      <c r="D2175" s="687" t="str">
        <f>IF(E2210="","",IF(INDEX(THHKI!$A$8:$Y$62,MATCH(PDHKI!E2210,THHKI!$A$8:$A$62,0),INDEX($K$13:$K$27,MATCH(B2175,$J$13:$J$27,0),1))&lt;1,"/",INDEX(THHKI!$A$8:$Y$62,MATCH(PDHKI!E2210,THHKI!$A$8:$A$62,0),INDEX($K$13:$K$27,MATCH(B2175,$J$13:$J$27,0),1))))</f>
        <v/>
      </c>
      <c r="E2175" s="688"/>
      <c r="J2175" s="569" t="s">
        <v>26</v>
      </c>
      <c r="K2175" s="569">
        <v>7</v>
      </c>
    </row>
    <row r="2176" spans="1:11" ht="21" customHeight="1">
      <c r="A2176" s="689">
        <v>2</v>
      </c>
      <c r="B2176" s="1008" t="s">
        <v>27</v>
      </c>
      <c r="C2176" s="1009"/>
      <c r="D2176" s="690" t="str">
        <f>IF(E2210="","",IF(INDEX(THHKI!$A$8:$Y$62,MATCH(PDHKI!E2210,THHKI!$A$8:$A$62,0),INDEX($K$13:$K$27,MATCH(B2176,$J$13:$J$27,0),1))&lt;1,"/",INDEX(THHKI!$A$8:$Y$62,MATCH(PDHKI!E2210,THHKI!$A$8:$A$62,0),INDEX($K$13:$K$27,MATCH(B2176,$J$13:$J$27,0),1))))</f>
        <v/>
      </c>
      <c r="E2176" s="691"/>
      <c r="J2176" s="569" t="s">
        <v>27</v>
      </c>
      <c r="K2176" s="569">
        <v>8</v>
      </c>
    </row>
    <row r="2177" spans="1:11" ht="21" customHeight="1">
      <c r="A2177" s="689">
        <v>3</v>
      </c>
      <c r="B2177" s="1008" t="s">
        <v>28</v>
      </c>
      <c r="C2177" s="1009"/>
      <c r="D2177" s="690" t="str">
        <f>IF(E2210="","",IF(INDEX(THHKI!$A$8:$Y$62,MATCH(PDHKI!E2210,THHKI!$A$8:$A$62,0),INDEX($K$13:$K$27,MATCH(B2177,$J$13:$J$27,0),1))&lt;1,"/",INDEX(THHKI!$A$8:$Y$62,MATCH(PDHKI!E2210,THHKI!$A$8:$A$62,0),INDEX($K$13:$K$27,MATCH(B2177,$J$13:$J$27,0),1))))</f>
        <v/>
      </c>
      <c r="E2177" s="691"/>
      <c r="J2177" s="569" t="s">
        <v>28</v>
      </c>
      <c r="K2177" s="569">
        <v>9</v>
      </c>
    </row>
    <row r="2178" spans="1:11" ht="21" customHeight="1">
      <c r="A2178" s="689">
        <v>4</v>
      </c>
      <c r="B2178" s="1008" t="s">
        <v>29</v>
      </c>
      <c r="C2178" s="1009"/>
      <c r="D2178" s="690" t="str">
        <f>IF(E2210="","",IF(INDEX(THHKI!$A$8:$Y$62,MATCH(PDHKI!E2210,THHKI!$A$8:$A$62,0),INDEX($K$13:$K$27,MATCH(B2178,$J$13:$J$27,0),1))&lt;1,"/",INDEX(THHKI!$A$8:$Y$62,MATCH(PDHKI!E2210,THHKI!$A$8:$A$62,0),INDEX($K$13:$K$27,MATCH(B2178,$J$13:$J$27,0),1))))</f>
        <v/>
      </c>
      <c r="E2178" s="691"/>
      <c r="J2178" s="569" t="s">
        <v>29</v>
      </c>
      <c r="K2178" s="569">
        <v>10</v>
      </c>
    </row>
    <row r="2179" spans="1:11" ht="21" customHeight="1">
      <c r="A2179" s="689">
        <v>5</v>
      </c>
      <c r="B2179" s="1008" t="s">
        <v>120</v>
      </c>
      <c r="C2179" s="1009"/>
      <c r="D2179" s="690" t="str">
        <f>IF(E2210="","",IF(INDEX(THHKI!$A$8:$Y$62,MATCH(PDHKI!E2210,THHKI!$A$8:$A$62,0),INDEX($K$13:$K$27,MATCH(B2179,$J$13:$J$27,0),1))&lt;1,"/",INDEX(THHKI!$A$8:$Y$62,MATCH(PDHKI!E2210,THHKI!$A$8:$A$62,0),INDEX($K$13:$K$27,MATCH(B2179,$J$13:$J$27,0),1))))</f>
        <v/>
      </c>
      <c r="E2179" s="691"/>
      <c r="J2179" s="569" t="s">
        <v>120</v>
      </c>
      <c r="K2179" s="569">
        <v>11</v>
      </c>
    </row>
    <row r="2180" spans="1:11" ht="21" customHeight="1">
      <c r="A2180" s="689">
        <v>6</v>
      </c>
      <c r="B2180" s="1008" t="s">
        <v>30</v>
      </c>
      <c r="C2180" s="1009"/>
      <c r="D2180" s="690" t="str">
        <f>IF(E2210="","",IF(INDEX(THHKI!$A$8:$Y$62,MATCH(PDHKI!E2210,THHKI!$A$8:$A$62,0),INDEX($K$13:$K$27,MATCH(B2180,$J$13:$J$27,0),1))&lt;1,"/",INDEX(THHKI!$A$8:$Y$62,MATCH(PDHKI!E2210,THHKI!$A$8:$A$62,0),INDEX($K$13:$K$27,MATCH(B2180,$J$13:$J$27,0),1))))</f>
        <v/>
      </c>
      <c r="E2180" s="691"/>
      <c r="J2180" s="569" t="s">
        <v>30</v>
      </c>
      <c r="K2180" s="569">
        <v>12</v>
      </c>
    </row>
    <row r="2181" spans="1:11" ht="21" customHeight="1">
      <c r="A2181" s="689">
        <v>7</v>
      </c>
      <c r="B2181" s="1008" t="s">
        <v>31</v>
      </c>
      <c r="C2181" s="1009"/>
      <c r="D2181" s="690" t="str">
        <f>IF(E2210="","",IF(INDEX(THHKI!$A$8:$Y$62,MATCH(PDHKI!E2210,THHKI!$A$8:$A$62,0),INDEX($K$13:$K$27,MATCH(B2181,$J$13:$J$27,0),1))&lt;1,"/",INDEX(THHKI!$A$8:$Y$62,MATCH(PDHKI!E2210,THHKI!$A$8:$A$62,0),INDEX($K$13:$K$27,MATCH(B2181,$J$13:$J$27,0),1))))</f>
        <v/>
      </c>
      <c r="E2181" s="691"/>
      <c r="J2181" s="569" t="s">
        <v>31</v>
      </c>
      <c r="K2181" s="569">
        <v>13</v>
      </c>
    </row>
    <row r="2182" spans="1:11" ht="21" customHeight="1">
      <c r="A2182" s="689">
        <v>8</v>
      </c>
      <c r="B2182" s="1008" t="s">
        <v>32</v>
      </c>
      <c r="C2182" s="1009"/>
      <c r="D2182" s="690" t="str">
        <f>IF(E2210="","",IF(INDEX(THHKI!$A$8:$Y$62,MATCH(PDHKI!E2210,THHKI!$A$8:$A$62,0),INDEX($K$13:$K$27,MATCH(B2182,$J$13:$J$27,0),1))&lt;1,"/",INDEX(THHKI!$A$8:$Y$62,MATCH(PDHKI!E2210,THHKI!$A$8:$A$62,0),INDEX($K$13:$K$27,MATCH(B2182,$J$13:$J$27,0),1))))</f>
        <v/>
      </c>
      <c r="E2182" s="691"/>
      <c r="J2182" s="569" t="s">
        <v>32</v>
      </c>
      <c r="K2182" s="569">
        <v>14</v>
      </c>
    </row>
    <row r="2183" spans="1:11" ht="21" customHeight="1">
      <c r="A2183" s="689">
        <v>9</v>
      </c>
      <c r="B2183" s="1008" t="s">
        <v>33</v>
      </c>
      <c r="C2183" s="1009"/>
      <c r="D2183" s="690" t="str">
        <f>IF(E2210="","",IF(INDEX(THHKI!$A$8:$Y$62,MATCH(PDHKI!E2210,THHKI!$A$8:$A$62,0),INDEX($K$13:$K$27,MATCH(B2183,$J$13:$J$27,0),1))&lt;1,"/",INDEX(THHKI!$A$8:$Y$62,MATCH(PDHKI!E2210,THHKI!$A$8:$A$62,0),INDEX($K$13:$K$27,MATCH(B2183,$J$13:$J$27,0),1))))</f>
        <v/>
      </c>
      <c r="E2183" s="691"/>
      <c r="J2183" s="569" t="s">
        <v>33</v>
      </c>
      <c r="K2183" s="569">
        <v>15</v>
      </c>
    </row>
    <row r="2184" spans="1:11" ht="21" customHeight="1">
      <c r="A2184" s="689">
        <v>10</v>
      </c>
      <c r="B2184" s="1008" t="s">
        <v>60</v>
      </c>
      <c r="C2184" s="1009"/>
      <c r="D2184" s="690" t="str">
        <f>IF(E2210="","",IF(INDEX(THHKI!$A$8:$Y$62,MATCH(PDHKI!E2210,THHKI!$A$8:$A$62,0),INDEX($K$13:$K$27,MATCH(B2184,$J$13:$J$27,0),1))&lt;1,"/",INDEX(THHKI!$A$8:$Y$62,MATCH(PDHKI!E2210,THHKI!$A$8:$A$62,0),INDEX($K$13:$K$27,MATCH(B2184,$J$13:$J$27,0),1))))</f>
        <v/>
      </c>
      <c r="E2184" s="691"/>
      <c r="J2184" s="569" t="s">
        <v>60</v>
      </c>
      <c r="K2184" s="569">
        <v>16</v>
      </c>
    </row>
    <row r="2185" spans="1:11" ht="21" customHeight="1">
      <c r="A2185" s="689">
        <v>11</v>
      </c>
      <c r="B2185" s="1008" t="s">
        <v>34</v>
      </c>
      <c r="C2185" s="1009"/>
      <c r="D2185" s="690" t="str">
        <f>IF(E2210="","",IF(INDEX(THHKI!$A$8:$Y$62,MATCH(PDHKI!E2210,THHKI!$A$8:$A$62,0),INDEX($K$13:$K$27,MATCH(B2185,$J$13:$J$27,0),1))&lt;1,"/",INDEX(THHKI!$A$8:$Y$62,MATCH(PDHKI!E2210,THHKI!$A$8:$A$62,0),INDEX($K$13:$K$27,MATCH(B2185,$J$13:$J$27,0),1))))</f>
        <v/>
      </c>
      <c r="E2185" s="691"/>
      <c r="J2185" s="569" t="s">
        <v>34</v>
      </c>
      <c r="K2185" s="569">
        <v>17</v>
      </c>
    </row>
    <row r="2186" spans="1:11" ht="21" customHeight="1">
      <c r="A2186" s="689">
        <v>12</v>
      </c>
      <c r="B2186" s="1008" t="s">
        <v>35</v>
      </c>
      <c r="C2186" s="1009"/>
      <c r="D2186" s="690" t="str">
        <f>IF(E2210="","",IF(INDEX(THHKI!$A$8:$Y$62,MATCH(PDHKI!E2210,THHKI!$A$8:$A$62,0),INDEX($K$13:$K$27,MATCH(B2186,$J$13:$J$27,0),1))&lt;1,"/",INDEX(THHKI!$A$8:$Y$62,MATCH(PDHKI!E2210,THHKI!$A$8:$A$62,0),INDEX($K$13:$K$27,MATCH(B2186,$J$13:$J$27,0),1))))</f>
        <v/>
      </c>
      <c r="E2186" s="691"/>
      <c r="J2186" s="569" t="s">
        <v>35</v>
      </c>
      <c r="K2186" s="569">
        <v>18</v>
      </c>
    </row>
    <row r="2187" spans="1:11" ht="21" customHeight="1">
      <c r="A2187" s="689">
        <v>13</v>
      </c>
      <c r="B2187" s="1008" t="s">
        <v>121</v>
      </c>
      <c r="C2187" s="1009"/>
      <c r="D2187" s="690" t="str">
        <f>IF(E2210="","",IF(INDEX(THHKI!$A$8:$Y$62,MATCH(PDHKI!E2210,THHKI!$A$8:$A$62,0),INDEX($K$13:$K$27,MATCH(B2187,$J$13:$J$27,0),1))&lt;1,"/",INDEX(THHKI!$A$8:$Y$62,MATCH(PDHKI!E2210,THHKI!$A$8:$A$62,0),INDEX($K$13:$K$27,MATCH(B2187,$J$13:$J$27,0),1))))</f>
        <v/>
      </c>
      <c r="E2187" s="691"/>
      <c r="J2187" s="569" t="s">
        <v>22</v>
      </c>
      <c r="K2187" s="569">
        <v>19</v>
      </c>
    </row>
    <row r="2188" spans="1:11" ht="21" customHeight="1" thickBot="1">
      <c r="A2188" s="692">
        <v>14</v>
      </c>
      <c r="B2188" s="1010" t="s">
        <v>122</v>
      </c>
      <c r="C2188" s="1011"/>
      <c r="D2188" s="693" t="str">
        <f>IF(E2210="","",IF(INDEX(THHKI!$A$8:$Y$62,MATCH(PDHKI!E2210,THHKI!$A$8:$A$62,0),INDEX($K$13:$K$27,MATCH(B2188,$J$13:$J$27,0),1))&lt;1,"/",INDEX(THHKI!$A$8:$Y$62,MATCH(PDHKI!E2210,THHKI!$A$8:$A$62,0),INDEX($K$13:$K$27,MATCH(B2188,$J$13:$J$27,0),1))))</f>
        <v/>
      </c>
      <c r="E2188" s="694"/>
      <c r="J2188" s="569" t="s">
        <v>121</v>
      </c>
      <c r="K2188" s="569">
        <v>20</v>
      </c>
    </row>
    <row r="2189" spans="1:11" ht="21" customHeight="1" thickBot="1">
      <c r="A2189" s="695">
        <v>15</v>
      </c>
      <c r="B2189" s="1006" t="s">
        <v>149</v>
      </c>
      <c r="C2189" s="1007"/>
      <c r="D2189" s="696" t="str">
        <f>IF(E2210="","",IF(INDEX(THHKI!$A$8:$Y$62,MATCH(PDHKI!E2210,THHKI!$A$8:$A$62,0),22)&lt;1,"/",INDEX(THHKI!$A$8:$Y$62,MATCH(PDHKI!E2210,THHKI!$A$8:$A$62,0),22)))</f>
        <v/>
      </c>
      <c r="E2189" s="697"/>
      <c r="J2189" s="569" t="s">
        <v>122</v>
      </c>
      <c r="K2189" s="569">
        <v>21</v>
      </c>
    </row>
    <row r="2190" spans="1:11" ht="15.75" customHeight="1" thickBot="1"/>
    <row r="2191" spans="1:11" s="570" customFormat="1" ht="21" customHeight="1">
      <c r="A2191" s="698"/>
      <c r="B2191" s="1019" t="s">
        <v>150</v>
      </c>
      <c r="C2191" s="1020"/>
      <c r="D2191" s="699" t="s">
        <v>10</v>
      </c>
      <c r="E2191" s="700" t="s">
        <v>126</v>
      </c>
    </row>
    <row r="2192" spans="1:11" ht="21" customHeight="1">
      <c r="A2192" s="701">
        <v>16</v>
      </c>
      <c r="B2192" s="1021" t="s">
        <v>151</v>
      </c>
      <c r="C2192" s="1022"/>
      <c r="D2192" s="702" t="str">
        <f>IF(E2210="","",IF(INDEX(THHKI!$A$8:$Y$62,MATCH(PDHKI!E2210,THHKI!$A$8:$A$62,0),23)="","/",INDEX(THHKI!$A$8:$Y$62,MATCH(PDHKI!E2210,THHKI!$A$8:$A$62,0),23)))</f>
        <v/>
      </c>
      <c r="E2192" s="703"/>
    </row>
    <row r="2193" spans="1:8" ht="21" customHeight="1">
      <c r="A2193" s="701">
        <v>17</v>
      </c>
      <c r="B2193" s="1021" t="s">
        <v>152</v>
      </c>
      <c r="C2193" s="1022"/>
      <c r="D2193" s="702" t="str">
        <f>IF(E2210="","",IF(INDEX(THHKI!$A$8:$Y$62,MATCH(PDHKI!E2210,THHKI!$A$8:$A$62,0),24)="","/",INDEX(THHKI!$A$8:$Y$62,MATCH(PDHKI!E2210,THHKI!$A$8:$A$62,0),24)))</f>
        <v/>
      </c>
      <c r="E2193" s="703"/>
    </row>
    <row r="2194" spans="1:8" ht="21" customHeight="1" thickBot="1">
      <c r="A2194" s="704">
        <v>18</v>
      </c>
      <c r="B2194" s="1023" t="s">
        <v>153</v>
      </c>
      <c r="C2194" s="1024"/>
      <c r="D2194" s="705" t="str">
        <f>IF(E2210="","",IF(INDEX(THHKI!$A$8:$Y$62,MATCH(PDHKI!E2210,THHKI!$A$8:$A$62,0),25)="","/",INDEX(THHKI!$A$8:$Y$62,MATCH(PDHKI!E2210,THHKI!$A$8:$A$62,0),25)))</f>
        <v/>
      </c>
      <c r="E2194" s="706"/>
    </row>
    <row r="2195" spans="1:8" ht="9.75" customHeight="1"/>
    <row r="2196" spans="1:8" ht="15.75" customHeight="1">
      <c r="A2196" s="58" t="s">
        <v>219</v>
      </c>
    </row>
    <row r="2197" spans="1:8" ht="18" customHeight="1">
      <c r="A2197" s="59" t="str">
        <f>IF(E2210="","",IF(INDEX(DiemHKI!$DE$4:$DH$58,MATCH(PDHKI!E2210,DiemHKI!$B$4:$B$58,0),1)="","","- "&amp;INDEX(DiemHKI!$DE$4:$DH$58,MATCH(PDHKI!E2210,DiemHKI!$B$4:$B$58,0),1)))</f>
        <v/>
      </c>
      <c r="H2197" s="571"/>
    </row>
    <row r="2198" spans="1:8" ht="18" customHeight="1">
      <c r="A2198" s="59" t="str">
        <f>IF(E2210="","",IF(INDEX(DiemHKI!$DE$4:$DH$58,MATCH(PDHKI!E2210,DiemHKI!$B$4:$B$58,0),2)="","","- "&amp;INDEX(DiemHKI!$DE$4:$DH$58,MATCH(PDHKI!E2210,DiemHKI!$B$4:$B$58,0),2)))</f>
        <v/>
      </c>
    </row>
    <row r="2199" spans="1:8" ht="18" customHeight="1">
      <c r="A2199" s="59" t="str">
        <f>IF(E2210="","",IF(INDEX(DiemHKI!$DE$4:$DH$58,MATCH(PDHKI!E2210,DiemHKI!$B$4:$B$58,0),3)="","","- "&amp;INDEX(DiemHKI!$DE$4:$DH$58,MATCH(PDHKI!E2210,DiemHKI!$B$4:$B$58,0),3)))</f>
        <v/>
      </c>
    </row>
    <row r="2200" spans="1:8" ht="18" customHeight="1">
      <c r="A2200" s="59" t="str">
        <f>IF(E2210="","",IF(INDEX(DiemHKI!$DE$4:$DH$58,MATCH(PDHKI!E2210,DiemHKI!$B$4:$B$58,0),4)="","","- "&amp;INDEX(DiemHKI!$DE$4:$DH$58,MATCH(PDHKI!E2210,DiemHKI!$B$4:$B$58,0),4)))</f>
        <v/>
      </c>
    </row>
    <row r="2201" spans="1:8" ht="6.75" customHeight="1"/>
    <row r="2202" spans="1:8" ht="16.5" customHeight="1">
      <c r="A2202" s="61"/>
      <c r="C2202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202" s="1026"/>
      <c r="E2202" s="1026"/>
    </row>
    <row r="2203" spans="1:8" ht="21.75" customHeight="1">
      <c r="A2203" s="923" t="str">
        <f>IF($D$41="Hiệu trưởng","Giáo viên Quản nhiệm","")</f>
        <v>Giáo viên Quản nhiệm</v>
      </c>
      <c r="B2203" s="923"/>
      <c r="C2203" s="923"/>
      <c r="D2203" s="707" t="str">
        <f>IF($G$5="","",$G$5)</f>
        <v>Hiệu trưởng</v>
      </c>
      <c r="E2203" s="708"/>
    </row>
    <row r="2204" spans="1:8" ht="15" customHeight="1">
      <c r="A2204" s="61"/>
      <c r="B2204" s="61"/>
      <c r="C2204" s="61"/>
      <c r="D2204" s="66"/>
      <c r="E2204" s="66"/>
    </row>
    <row r="2205" spans="1:8" ht="15" customHeight="1">
      <c r="A2205" s="61"/>
      <c r="B2205" s="61"/>
      <c r="C2205" s="61"/>
      <c r="D2205" s="66"/>
      <c r="E2205" s="66"/>
    </row>
    <row r="2206" spans="1:8" ht="15" customHeight="1">
      <c r="A2206" s="61"/>
      <c r="B2206" s="61"/>
      <c r="C2206" s="61"/>
    </row>
    <row r="2207" spans="1:8" ht="15" customHeight="1">
      <c r="A2207" s="61"/>
      <c r="B2207" s="61"/>
      <c r="C2207" s="61"/>
    </row>
    <row r="2208" spans="1:8" ht="16.5" customHeight="1">
      <c r="A2208" s="1012" t="str">
        <f>IF($A$41="","",PROPER('Huong dan'!$C$4))</f>
        <v/>
      </c>
      <c r="B2208" s="1012"/>
      <c r="C2208" s="1012"/>
      <c r="D2208" s="833" t="str">
        <f>IFERROR(IF($D$41="Giáo Viên Quản nhiệm",PROPER('Huong dan'!$C$4),IF($D$41="Hiệu trưởng",PROPER('Huong dan'!$E$5),"")),"")</f>
        <v/>
      </c>
      <c r="E2208" s="708"/>
    </row>
    <row r="2209" spans="1:11" ht="12.75" customHeight="1"/>
    <row r="2210" spans="1:11" ht="12.75" customHeight="1">
      <c r="A2210" s="709"/>
      <c r="B2210" s="709"/>
      <c r="C2210" s="709"/>
      <c r="D2210" s="710"/>
      <c r="E2210" s="711" t="str">
        <f>IF(E2163="","",IF(E2163&lt;MAX(DiemHKI!$B$4:$B$58),E2163+1,""))</f>
        <v/>
      </c>
    </row>
    <row r="2211" spans="1:11" ht="8.25" customHeight="1">
      <c r="A2211" s="709"/>
      <c r="B2211" s="709"/>
      <c r="C2211" s="709"/>
      <c r="D2211" s="709"/>
      <c r="E2211" s="709"/>
    </row>
    <row r="2212" spans="1:11" ht="5.25" customHeight="1"/>
    <row r="2213" spans="1:11" s="563" customFormat="1" ht="23.25" customHeight="1">
      <c r="A2213" s="931" t="str">
        <f>IF('Huong dan'!$E$3&lt;&gt;"","SỞ GIÁO DỤC VÀ ĐÀO TẠO "&amp;UPPER('Huong dan'!$E$3),"")</f>
        <v>SỞ GIÁO DỤC VÀ ĐÀO TẠO TP. HỒ CHÍ MINH</v>
      </c>
      <c r="B2213" s="931"/>
      <c r="C2213" s="931"/>
      <c r="D2213" s="923" t="s">
        <v>19</v>
      </c>
      <c r="E2213" s="923"/>
    </row>
    <row r="2214" spans="1:11" ht="17.25" customHeight="1">
      <c r="A2214" s="931" t="str">
        <f>IF('Huong dan'!$E$4&lt;&gt;"","TRƯỜNG "&amp;UPPER('Huong dan'!$E$4),"")</f>
        <v>TRƯỜNG THCS VÀ THPT NGUYỄN KHUYẾN</v>
      </c>
      <c r="B2214" s="931"/>
      <c r="C2214" s="931"/>
      <c r="D2214" s="1012" t="s">
        <v>179</v>
      </c>
      <c r="E2214" s="1012"/>
    </row>
    <row r="2215" spans="1:11" ht="24" customHeight="1">
      <c r="A2215" s="61"/>
      <c r="B2215" s="61"/>
      <c r="C2215" s="61"/>
    </row>
    <row r="2216" spans="1:11" ht="29.25" customHeight="1">
      <c r="A2216" s="1013" t="str">
        <f>"PHIẾU ĐIỂM HỌC KỲ I - NĂM HỌC "&amp;'Huong dan'!$C$5</f>
        <v>PHIẾU ĐIỂM HỌC KỲ I - NĂM HỌC 2021 - 2022</v>
      </c>
      <c r="B2216" s="1013"/>
      <c r="C2216" s="1013"/>
      <c r="D2216" s="1013"/>
      <c r="E2216" s="1013"/>
    </row>
    <row r="2217" spans="1:11" ht="15.75" customHeight="1">
      <c r="A2217" s="680"/>
      <c r="B2217" s="680"/>
    </row>
    <row r="2218" spans="1:11" ht="21" customHeight="1">
      <c r="A2218" s="1014" t="s">
        <v>145</v>
      </c>
      <c r="B2218" s="1014"/>
      <c r="C2218" s="1015" t="str">
        <f>IF(E2257="","",INDEX(DiemHKI!$D$4:$D$58,MATCH(E2257,DiemHKI!$B$4:$B$58,0),1)&amp;" "&amp;INDEX(DiemHKI!$E$4:$E$58,MATCH(E2257,DiemHKI!$B$4:$B$58,0),1))</f>
        <v/>
      </c>
      <c r="D2218" s="1015"/>
      <c r="E2218" s="62" t="str">
        <f>IF('Huong dan'!$C$3="","","Lớp: "&amp;'Huong dan'!$C$3)</f>
        <v>Lớp: 12A1</v>
      </c>
    </row>
    <row r="2219" spans="1:11" ht="23.25" customHeight="1">
      <c r="A2219" s="1014" t="s">
        <v>146</v>
      </c>
      <c r="B2219" s="1014"/>
      <c r="C2219" s="681" t="str">
        <f>IF(E2257="","",INDEX(DiemHKI!$F$4:$F$58,MATCH(PDHKI!E2257,DiemHKI!$B$4:$B$58,0),1))</f>
        <v/>
      </c>
      <c r="D2219" s="1016" t="str">
        <f>IF(E2257="","","Nơi sinh: "&amp;INDEX(DiemHKI!$G$4:$G$58,MATCH(PDHKI!E2257,DiemHKI!$B$4:$B$58,0),1))</f>
        <v/>
      </c>
      <c r="E2219" s="1016"/>
    </row>
    <row r="2220" spans="1:11" ht="13.5" customHeight="1" thickBot="1">
      <c r="A2220" s="681"/>
      <c r="B2220" s="682"/>
      <c r="D2220" s="681"/>
      <c r="E2220" s="681"/>
    </row>
    <row r="2221" spans="1:11" ht="24" customHeight="1" thickBot="1">
      <c r="A2221" s="683" t="s">
        <v>0</v>
      </c>
      <c r="B2221" s="1006" t="s">
        <v>72</v>
      </c>
      <c r="C2221" s="1007"/>
      <c r="D2221" s="684" t="s">
        <v>147</v>
      </c>
      <c r="E2221" s="685" t="s">
        <v>148</v>
      </c>
    </row>
    <row r="2222" spans="1:11" ht="21" customHeight="1">
      <c r="A2222" s="686">
        <v>1</v>
      </c>
      <c r="B2222" s="1017" t="s">
        <v>26</v>
      </c>
      <c r="C2222" s="1018"/>
      <c r="D2222" s="687" t="str">
        <f>IF(E2257="","",IF(INDEX(THHKI!$A$8:$Y$62,MATCH(PDHKI!E2257,THHKI!$A$8:$A$62,0),INDEX($K$13:$K$27,MATCH(B2222,$J$13:$J$27,0),1))&lt;1,"/",INDEX(THHKI!$A$8:$Y$62,MATCH(PDHKI!E2257,THHKI!$A$8:$A$62,0),INDEX($K$13:$K$27,MATCH(B2222,$J$13:$J$27,0),1))))</f>
        <v/>
      </c>
      <c r="E2222" s="688"/>
      <c r="J2222" s="569" t="s">
        <v>26</v>
      </c>
      <c r="K2222" s="569">
        <v>7</v>
      </c>
    </row>
    <row r="2223" spans="1:11" ht="21" customHeight="1">
      <c r="A2223" s="689">
        <v>2</v>
      </c>
      <c r="B2223" s="1008" t="s">
        <v>27</v>
      </c>
      <c r="C2223" s="1009"/>
      <c r="D2223" s="690" t="str">
        <f>IF(E2257="","",IF(INDEX(THHKI!$A$8:$Y$62,MATCH(PDHKI!E2257,THHKI!$A$8:$A$62,0),INDEX($K$13:$K$27,MATCH(B2223,$J$13:$J$27,0),1))&lt;1,"/",INDEX(THHKI!$A$8:$Y$62,MATCH(PDHKI!E2257,THHKI!$A$8:$A$62,0),INDEX($K$13:$K$27,MATCH(B2223,$J$13:$J$27,0),1))))</f>
        <v/>
      </c>
      <c r="E2223" s="691"/>
      <c r="J2223" s="569" t="s">
        <v>27</v>
      </c>
      <c r="K2223" s="569">
        <v>8</v>
      </c>
    </row>
    <row r="2224" spans="1:11" ht="21" customHeight="1">
      <c r="A2224" s="689">
        <v>3</v>
      </c>
      <c r="B2224" s="1008" t="s">
        <v>28</v>
      </c>
      <c r="C2224" s="1009"/>
      <c r="D2224" s="690" t="str">
        <f>IF(E2257="","",IF(INDEX(THHKI!$A$8:$Y$62,MATCH(PDHKI!E2257,THHKI!$A$8:$A$62,0),INDEX($K$13:$K$27,MATCH(B2224,$J$13:$J$27,0),1))&lt;1,"/",INDEX(THHKI!$A$8:$Y$62,MATCH(PDHKI!E2257,THHKI!$A$8:$A$62,0),INDEX($K$13:$K$27,MATCH(B2224,$J$13:$J$27,0),1))))</f>
        <v/>
      </c>
      <c r="E2224" s="691"/>
      <c r="J2224" s="569" t="s">
        <v>28</v>
      </c>
      <c r="K2224" s="569">
        <v>9</v>
      </c>
    </row>
    <row r="2225" spans="1:11" ht="21" customHeight="1">
      <c r="A2225" s="689">
        <v>4</v>
      </c>
      <c r="B2225" s="1008" t="s">
        <v>29</v>
      </c>
      <c r="C2225" s="1009"/>
      <c r="D2225" s="690" t="str">
        <f>IF(E2257="","",IF(INDEX(THHKI!$A$8:$Y$62,MATCH(PDHKI!E2257,THHKI!$A$8:$A$62,0),INDEX($K$13:$K$27,MATCH(B2225,$J$13:$J$27,0),1))&lt;1,"/",INDEX(THHKI!$A$8:$Y$62,MATCH(PDHKI!E2257,THHKI!$A$8:$A$62,0),INDEX($K$13:$K$27,MATCH(B2225,$J$13:$J$27,0),1))))</f>
        <v/>
      </c>
      <c r="E2225" s="691"/>
      <c r="J2225" s="569" t="s">
        <v>29</v>
      </c>
      <c r="K2225" s="569">
        <v>10</v>
      </c>
    </row>
    <row r="2226" spans="1:11" ht="21" customHeight="1">
      <c r="A2226" s="689">
        <v>5</v>
      </c>
      <c r="B2226" s="1008" t="s">
        <v>120</v>
      </c>
      <c r="C2226" s="1009"/>
      <c r="D2226" s="690" t="str">
        <f>IF(E2257="","",IF(INDEX(THHKI!$A$8:$Y$62,MATCH(PDHKI!E2257,THHKI!$A$8:$A$62,0),INDEX($K$13:$K$27,MATCH(B2226,$J$13:$J$27,0),1))&lt;1,"/",INDEX(THHKI!$A$8:$Y$62,MATCH(PDHKI!E2257,THHKI!$A$8:$A$62,0),INDEX($K$13:$K$27,MATCH(B2226,$J$13:$J$27,0),1))))</f>
        <v/>
      </c>
      <c r="E2226" s="691"/>
      <c r="J2226" s="569" t="s">
        <v>120</v>
      </c>
      <c r="K2226" s="569">
        <v>11</v>
      </c>
    </row>
    <row r="2227" spans="1:11" ht="21" customHeight="1">
      <c r="A2227" s="689">
        <v>6</v>
      </c>
      <c r="B2227" s="1008" t="s">
        <v>30</v>
      </c>
      <c r="C2227" s="1009"/>
      <c r="D2227" s="690" t="str">
        <f>IF(E2257="","",IF(INDEX(THHKI!$A$8:$Y$62,MATCH(PDHKI!E2257,THHKI!$A$8:$A$62,0),INDEX($K$13:$K$27,MATCH(B2227,$J$13:$J$27,0),1))&lt;1,"/",INDEX(THHKI!$A$8:$Y$62,MATCH(PDHKI!E2257,THHKI!$A$8:$A$62,0),INDEX($K$13:$K$27,MATCH(B2227,$J$13:$J$27,0),1))))</f>
        <v/>
      </c>
      <c r="E2227" s="691"/>
      <c r="J2227" s="569" t="s">
        <v>30</v>
      </c>
      <c r="K2227" s="569">
        <v>12</v>
      </c>
    </row>
    <row r="2228" spans="1:11" ht="21" customHeight="1">
      <c r="A2228" s="689">
        <v>7</v>
      </c>
      <c r="B2228" s="1008" t="s">
        <v>31</v>
      </c>
      <c r="C2228" s="1009"/>
      <c r="D2228" s="690" t="str">
        <f>IF(E2257="","",IF(INDEX(THHKI!$A$8:$Y$62,MATCH(PDHKI!E2257,THHKI!$A$8:$A$62,0),INDEX($K$13:$K$27,MATCH(B2228,$J$13:$J$27,0),1))&lt;1,"/",INDEX(THHKI!$A$8:$Y$62,MATCH(PDHKI!E2257,THHKI!$A$8:$A$62,0),INDEX($K$13:$K$27,MATCH(B2228,$J$13:$J$27,0),1))))</f>
        <v/>
      </c>
      <c r="E2228" s="691"/>
      <c r="J2228" s="569" t="s">
        <v>31</v>
      </c>
      <c r="K2228" s="569">
        <v>13</v>
      </c>
    </row>
    <row r="2229" spans="1:11" ht="21" customHeight="1">
      <c r="A2229" s="689">
        <v>8</v>
      </c>
      <c r="B2229" s="1008" t="s">
        <v>32</v>
      </c>
      <c r="C2229" s="1009"/>
      <c r="D2229" s="690" t="str">
        <f>IF(E2257="","",IF(INDEX(THHKI!$A$8:$Y$62,MATCH(PDHKI!E2257,THHKI!$A$8:$A$62,0),INDEX($K$13:$K$27,MATCH(B2229,$J$13:$J$27,0),1))&lt;1,"/",INDEX(THHKI!$A$8:$Y$62,MATCH(PDHKI!E2257,THHKI!$A$8:$A$62,0),INDEX($K$13:$K$27,MATCH(B2229,$J$13:$J$27,0),1))))</f>
        <v/>
      </c>
      <c r="E2229" s="691"/>
      <c r="J2229" s="569" t="s">
        <v>32</v>
      </c>
      <c r="K2229" s="569">
        <v>14</v>
      </c>
    </row>
    <row r="2230" spans="1:11" ht="21" customHeight="1">
      <c r="A2230" s="689">
        <v>9</v>
      </c>
      <c r="B2230" s="1008" t="s">
        <v>33</v>
      </c>
      <c r="C2230" s="1009"/>
      <c r="D2230" s="690" t="str">
        <f>IF(E2257="","",IF(INDEX(THHKI!$A$8:$Y$62,MATCH(PDHKI!E2257,THHKI!$A$8:$A$62,0),INDEX($K$13:$K$27,MATCH(B2230,$J$13:$J$27,0),1))&lt;1,"/",INDEX(THHKI!$A$8:$Y$62,MATCH(PDHKI!E2257,THHKI!$A$8:$A$62,0),INDEX($K$13:$K$27,MATCH(B2230,$J$13:$J$27,0),1))))</f>
        <v/>
      </c>
      <c r="E2230" s="691"/>
      <c r="J2230" s="569" t="s">
        <v>33</v>
      </c>
      <c r="K2230" s="569">
        <v>15</v>
      </c>
    </row>
    <row r="2231" spans="1:11" ht="21" customHeight="1">
      <c r="A2231" s="689">
        <v>10</v>
      </c>
      <c r="B2231" s="1008" t="s">
        <v>60</v>
      </c>
      <c r="C2231" s="1009"/>
      <c r="D2231" s="690" t="str">
        <f>IF(E2257="","",IF(INDEX(THHKI!$A$8:$Y$62,MATCH(PDHKI!E2257,THHKI!$A$8:$A$62,0),INDEX($K$13:$K$27,MATCH(B2231,$J$13:$J$27,0),1))&lt;1,"/",INDEX(THHKI!$A$8:$Y$62,MATCH(PDHKI!E2257,THHKI!$A$8:$A$62,0),INDEX($K$13:$K$27,MATCH(B2231,$J$13:$J$27,0),1))))</f>
        <v/>
      </c>
      <c r="E2231" s="691"/>
      <c r="J2231" s="569" t="s">
        <v>60</v>
      </c>
      <c r="K2231" s="569">
        <v>16</v>
      </c>
    </row>
    <row r="2232" spans="1:11" ht="21" customHeight="1">
      <c r="A2232" s="689">
        <v>11</v>
      </c>
      <c r="B2232" s="1008" t="s">
        <v>34</v>
      </c>
      <c r="C2232" s="1009"/>
      <c r="D2232" s="690" t="str">
        <f>IF(E2257="","",IF(INDEX(THHKI!$A$8:$Y$62,MATCH(PDHKI!E2257,THHKI!$A$8:$A$62,0),INDEX($K$13:$K$27,MATCH(B2232,$J$13:$J$27,0),1))&lt;1,"/",INDEX(THHKI!$A$8:$Y$62,MATCH(PDHKI!E2257,THHKI!$A$8:$A$62,0),INDEX($K$13:$K$27,MATCH(B2232,$J$13:$J$27,0),1))))</f>
        <v/>
      </c>
      <c r="E2232" s="691"/>
      <c r="J2232" s="569" t="s">
        <v>34</v>
      </c>
      <c r="K2232" s="569">
        <v>17</v>
      </c>
    </row>
    <row r="2233" spans="1:11" ht="21" customHeight="1">
      <c r="A2233" s="689">
        <v>12</v>
      </c>
      <c r="B2233" s="1008" t="s">
        <v>35</v>
      </c>
      <c r="C2233" s="1009"/>
      <c r="D2233" s="690" t="str">
        <f>IF(E2257="","",IF(INDEX(THHKI!$A$8:$Y$62,MATCH(PDHKI!E2257,THHKI!$A$8:$A$62,0),INDEX($K$13:$K$27,MATCH(B2233,$J$13:$J$27,0),1))&lt;1,"/",INDEX(THHKI!$A$8:$Y$62,MATCH(PDHKI!E2257,THHKI!$A$8:$A$62,0),INDEX($K$13:$K$27,MATCH(B2233,$J$13:$J$27,0),1))))</f>
        <v/>
      </c>
      <c r="E2233" s="691"/>
      <c r="J2233" s="569" t="s">
        <v>35</v>
      </c>
      <c r="K2233" s="569">
        <v>18</v>
      </c>
    </row>
    <row r="2234" spans="1:11" ht="21" customHeight="1">
      <c r="A2234" s="689">
        <v>13</v>
      </c>
      <c r="B2234" s="1008" t="s">
        <v>121</v>
      </c>
      <c r="C2234" s="1009"/>
      <c r="D2234" s="690" t="str">
        <f>IF(E2257="","",IF(INDEX(THHKI!$A$8:$Y$62,MATCH(PDHKI!E2257,THHKI!$A$8:$A$62,0),INDEX($K$13:$K$27,MATCH(B2234,$J$13:$J$27,0),1))&lt;1,"/",INDEX(THHKI!$A$8:$Y$62,MATCH(PDHKI!E2257,THHKI!$A$8:$A$62,0),INDEX($K$13:$K$27,MATCH(B2234,$J$13:$J$27,0),1))))</f>
        <v/>
      </c>
      <c r="E2234" s="691"/>
      <c r="J2234" s="569" t="s">
        <v>22</v>
      </c>
      <c r="K2234" s="569">
        <v>19</v>
      </c>
    </row>
    <row r="2235" spans="1:11" ht="21" customHeight="1" thickBot="1">
      <c r="A2235" s="692">
        <v>14</v>
      </c>
      <c r="B2235" s="1010" t="s">
        <v>122</v>
      </c>
      <c r="C2235" s="1011"/>
      <c r="D2235" s="693" t="str">
        <f>IF(E2257="","",IF(INDEX(THHKI!$A$8:$Y$62,MATCH(PDHKI!E2257,THHKI!$A$8:$A$62,0),INDEX($K$13:$K$27,MATCH(B2235,$J$13:$J$27,0),1))&lt;1,"/",INDEX(THHKI!$A$8:$Y$62,MATCH(PDHKI!E2257,THHKI!$A$8:$A$62,0),INDEX($K$13:$K$27,MATCH(B2235,$J$13:$J$27,0),1))))</f>
        <v/>
      </c>
      <c r="E2235" s="694"/>
      <c r="J2235" s="569" t="s">
        <v>121</v>
      </c>
      <c r="K2235" s="569">
        <v>20</v>
      </c>
    </row>
    <row r="2236" spans="1:11" ht="21" customHeight="1" thickBot="1">
      <c r="A2236" s="695">
        <v>15</v>
      </c>
      <c r="B2236" s="1006" t="s">
        <v>149</v>
      </c>
      <c r="C2236" s="1007"/>
      <c r="D2236" s="696" t="str">
        <f>IF(E2257="","",IF(INDEX(THHKI!$A$8:$Y$62,MATCH(PDHKI!E2257,THHKI!$A$8:$A$62,0),22)&lt;1,"/",INDEX(THHKI!$A$8:$Y$62,MATCH(PDHKI!E2257,THHKI!$A$8:$A$62,0),22)))</f>
        <v/>
      </c>
      <c r="E2236" s="697"/>
      <c r="J2236" s="569" t="s">
        <v>122</v>
      </c>
      <c r="K2236" s="569">
        <v>21</v>
      </c>
    </row>
    <row r="2237" spans="1:11" ht="15.75" customHeight="1" thickBot="1"/>
    <row r="2238" spans="1:11" s="570" customFormat="1" ht="21" customHeight="1">
      <c r="A2238" s="698"/>
      <c r="B2238" s="1019" t="s">
        <v>150</v>
      </c>
      <c r="C2238" s="1020"/>
      <c r="D2238" s="699" t="s">
        <v>10</v>
      </c>
      <c r="E2238" s="700" t="s">
        <v>126</v>
      </c>
    </row>
    <row r="2239" spans="1:11" ht="21" customHeight="1">
      <c r="A2239" s="701">
        <v>16</v>
      </c>
      <c r="B2239" s="1021" t="s">
        <v>151</v>
      </c>
      <c r="C2239" s="1022"/>
      <c r="D2239" s="702" t="str">
        <f>IF(E2257="","",IF(INDEX(THHKI!$A$8:$Y$62,MATCH(PDHKI!E2257,THHKI!$A$8:$A$62,0),23)="","/",INDEX(THHKI!$A$8:$Y$62,MATCH(PDHKI!E2257,THHKI!$A$8:$A$62,0),23)))</f>
        <v/>
      </c>
      <c r="E2239" s="703"/>
    </row>
    <row r="2240" spans="1:11" ht="21" customHeight="1">
      <c r="A2240" s="701">
        <v>17</v>
      </c>
      <c r="B2240" s="1021" t="s">
        <v>152</v>
      </c>
      <c r="C2240" s="1022"/>
      <c r="D2240" s="702" t="str">
        <f>IF(E2257="","",IF(INDEX(THHKI!$A$8:$Y$62,MATCH(PDHKI!E2257,THHKI!$A$8:$A$62,0),24)="","/",INDEX(THHKI!$A$8:$Y$62,MATCH(PDHKI!E2257,THHKI!$A$8:$A$62,0),24)))</f>
        <v/>
      </c>
      <c r="E2240" s="703"/>
    </row>
    <row r="2241" spans="1:8" ht="21" customHeight="1" thickBot="1">
      <c r="A2241" s="704">
        <v>18</v>
      </c>
      <c r="B2241" s="1023" t="s">
        <v>153</v>
      </c>
      <c r="C2241" s="1024"/>
      <c r="D2241" s="705" t="str">
        <f>IF(E2257="","",IF(INDEX(THHKI!$A$8:$Y$62,MATCH(PDHKI!E2257,THHKI!$A$8:$A$62,0),25)="","/",INDEX(THHKI!$A$8:$Y$62,MATCH(PDHKI!E2257,THHKI!$A$8:$A$62,0),25)))</f>
        <v/>
      </c>
      <c r="E2241" s="706"/>
    </row>
    <row r="2242" spans="1:8" ht="9.75" customHeight="1"/>
    <row r="2243" spans="1:8" ht="15.75" customHeight="1">
      <c r="A2243" s="58" t="s">
        <v>219</v>
      </c>
    </row>
    <row r="2244" spans="1:8" ht="18" customHeight="1">
      <c r="A2244" s="59" t="str">
        <f>IF(E2257="","",IF(INDEX(DiemHKI!$DE$4:$DH$58,MATCH(PDHKI!E2257,DiemHKI!$B$4:$B$58,0),1)="","","- "&amp;INDEX(DiemHKI!$DE$4:$DH$58,MATCH(PDHKI!E2257,DiemHKI!$B$4:$B$58,0),1)))</f>
        <v/>
      </c>
      <c r="H2244" s="571"/>
    </row>
    <row r="2245" spans="1:8" ht="18" customHeight="1">
      <c r="A2245" s="59" t="str">
        <f>IF(E2257="","",IF(INDEX(DiemHKI!$DE$4:$DH$58,MATCH(PDHKI!E2257,DiemHKI!$B$4:$B$58,0),2)="","","- "&amp;INDEX(DiemHKI!$DE$4:$DH$58,MATCH(PDHKI!E2257,DiemHKI!$B$4:$B$58,0),2)))</f>
        <v/>
      </c>
    </row>
    <row r="2246" spans="1:8" ht="18" customHeight="1">
      <c r="A2246" s="59" t="str">
        <f>IF(E2257="","",IF(INDEX(DiemHKI!$DE$4:$DH$58,MATCH(PDHKI!E2257,DiemHKI!$B$4:$B$58,0),3)="","","- "&amp;INDEX(DiemHKI!$DE$4:$DH$58,MATCH(PDHKI!E2257,DiemHKI!$B$4:$B$58,0),3)))</f>
        <v/>
      </c>
    </row>
    <row r="2247" spans="1:8" ht="18" customHeight="1">
      <c r="A2247" s="59" t="str">
        <f>IF(E2257="","",IF(INDEX(DiemHKI!$DE$4:$DH$58,MATCH(PDHKI!E2257,DiemHKI!$B$4:$B$58,0),4)="","","- "&amp;INDEX(DiemHKI!$DE$4:$DH$58,MATCH(PDHKI!E2257,DiemHKI!$B$4:$B$58,0),4)))</f>
        <v/>
      </c>
    </row>
    <row r="2248" spans="1:8" ht="6.75" customHeight="1"/>
    <row r="2249" spans="1:8" ht="16.5" customHeight="1">
      <c r="A2249" s="61"/>
      <c r="C2249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249" s="1026"/>
      <c r="E2249" s="1026"/>
    </row>
    <row r="2250" spans="1:8" ht="21.75" customHeight="1">
      <c r="A2250" s="923" t="str">
        <f>IF($D$41="Hiệu trưởng","Giáo viên Quản nhiệm","")</f>
        <v>Giáo viên Quản nhiệm</v>
      </c>
      <c r="B2250" s="923"/>
      <c r="C2250" s="923"/>
      <c r="D2250" s="707" t="str">
        <f>IF($G$5="","",$G$5)</f>
        <v>Hiệu trưởng</v>
      </c>
      <c r="E2250" s="708"/>
    </row>
    <row r="2251" spans="1:8" ht="15" customHeight="1">
      <c r="A2251" s="61"/>
      <c r="B2251" s="61"/>
      <c r="C2251" s="61"/>
      <c r="D2251" s="66"/>
      <c r="E2251" s="66"/>
    </row>
    <row r="2252" spans="1:8" ht="15" customHeight="1">
      <c r="A2252" s="61"/>
      <c r="B2252" s="61"/>
      <c r="C2252" s="61"/>
      <c r="D2252" s="66"/>
      <c r="E2252" s="66"/>
    </row>
    <row r="2253" spans="1:8" ht="15" customHeight="1">
      <c r="A2253" s="61"/>
      <c r="B2253" s="61"/>
      <c r="C2253" s="61"/>
    </row>
    <row r="2254" spans="1:8" ht="15" customHeight="1">
      <c r="A2254" s="61"/>
      <c r="B2254" s="61"/>
      <c r="C2254" s="61"/>
    </row>
    <row r="2255" spans="1:8" ht="16.5" customHeight="1">
      <c r="A2255" s="1012" t="str">
        <f>IF($A$41="","",PROPER('Huong dan'!$C$4))</f>
        <v/>
      </c>
      <c r="B2255" s="1012"/>
      <c r="C2255" s="1012"/>
      <c r="D2255" s="833" t="str">
        <f>IFERROR(IF($D$41="Giáo Viên Quản nhiệm",PROPER('Huong dan'!$C$4),IF($D$41="Hiệu trưởng",PROPER('Huong dan'!$E$5),"")),"")</f>
        <v/>
      </c>
      <c r="E2255" s="708"/>
    </row>
    <row r="2256" spans="1:8" ht="12.75" customHeight="1"/>
    <row r="2257" spans="1:11" ht="12.75" customHeight="1">
      <c r="A2257" s="709"/>
      <c r="B2257" s="709"/>
      <c r="C2257" s="709"/>
      <c r="D2257" s="710"/>
      <c r="E2257" s="711" t="str">
        <f>IF(E2210="","",IF(E2210&lt;MAX(DiemHKI!$B$4:$B$58),E2210+1,""))</f>
        <v/>
      </c>
    </row>
    <row r="2258" spans="1:11" ht="8.25" customHeight="1">
      <c r="A2258" s="709"/>
      <c r="B2258" s="709"/>
      <c r="C2258" s="709"/>
      <c r="D2258" s="709"/>
      <c r="E2258" s="709"/>
    </row>
    <row r="2259" spans="1:11" ht="5.25" customHeight="1"/>
    <row r="2260" spans="1:11" s="563" customFormat="1" ht="23.25" customHeight="1">
      <c r="A2260" s="931" t="str">
        <f>IF('Huong dan'!$E$3&lt;&gt;"","SỞ GIÁO DỤC VÀ ĐÀO TẠO "&amp;UPPER('Huong dan'!$E$3),"")</f>
        <v>SỞ GIÁO DỤC VÀ ĐÀO TẠO TP. HỒ CHÍ MINH</v>
      </c>
      <c r="B2260" s="931"/>
      <c r="C2260" s="931"/>
      <c r="D2260" s="923" t="s">
        <v>19</v>
      </c>
      <c r="E2260" s="923"/>
    </row>
    <row r="2261" spans="1:11" ht="17.25" customHeight="1">
      <c r="A2261" s="931" t="str">
        <f>IF('Huong dan'!$E$4&lt;&gt;"","TRƯỜNG "&amp;UPPER('Huong dan'!$E$4),"")</f>
        <v>TRƯỜNG THCS VÀ THPT NGUYỄN KHUYẾN</v>
      </c>
      <c r="B2261" s="931"/>
      <c r="C2261" s="931"/>
      <c r="D2261" s="1012" t="s">
        <v>179</v>
      </c>
      <c r="E2261" s="1012"/>
    </row>
    <row r="2262" spans="1:11" ht="24" customHeight="1">
      <c r="A2262" s="61"/>
      <c r="B2262" s="61"/>
      <c r="C2262" s="61"/>
    </row>
    <row r="2263" spans="1:11" ht="29.25" customHeight="1">
      <c r="A2263" s="1013" t="str">
        <f>"PHIẾU ĐIỂM HỌC KỲ I - NĂM HỌC "&amp;'Huong dan'!$C$5</f>
        <v>PHIẾU ĐIỂM HỌC KỲ I - NĂM HỌC 2021 - 2022</v>
      </c>
      <c r="B2263" s="1013"/>
      <c r="C2263" s="1013"/>
      <c r="D2263" s="1013"/>
      <c r="E2263" s="1013"/>
    </row>
    <row r="2264" spans="1:11" ht="15.75" customHeight="1">
      <c r="A2264" s="680"/>
      <c r="B2264" s="680"/>
    </row>
    <row r="2265" spans="1:11" ht="21" customHeight="1">
      <c r="A2265" s="1014" t="s">
        <v>145</v>
      </c>
      <c r="B2265" s="1014"/>
      <c r="C2265" s="1015" t="str">
        <f>IF(E2304="","",INDEX(DiemHKI!$D$4:$D$58,MATCH(E2304,DiemHKI!$B$4:$B$58,0),1)&amp;" "&amp;INDEX(DiemHKI!$E$4:$E$58,MATCH(E2304,DiemHKI!$B$4:$B$58,0),1))</f>
        <v/>
      </c>
      <c r="D2265" s="1015"/>
      <c r="E2265" s="62" t="str">
        <f>IF('Huong dan'!$C$3="","","Lớp: "&amp;'Huong dan'!$C$3)</f>
        <v>Lớp: 12A1</v>
      </c>
    </row>
    <row r="2266" spans="1:11" ht="23.25" customHeight="1">
      <c r="A2266" s="1014" t="s">
        <v>146</v>
      </c>
      <c r="B2266" s="1014"/>
      <c r="C2266" s="681" t="str">
        <f>IF(E2304="","",INDEX(DiemHKI!$F$4:$F$58,MATCH(PDHKI!E2304,DiemHKI!$B$4:$B$58,0),1))</f>
        <v/>
      </c>
      <c r="D2266" s="1016" t="str">
        <f>IF(E2304="","","Nơi sinh: "&amp;INDEX(DiemHKI!$G$4:$G$58,MATCH(PDHKI!E2304,DiemHKI!$B$4:$B$58,0),1))</f>
        <v/>
      </c>
      <c r="E2266" s="1016"/>
    </row>
    <row r="2267" spans="1:11" ht="13.5" customHeight="1" thickBot="1">
      <c r="A2267" s="681"/>
      <c r="B2267" s="682"/>
      <c r="D2267" s="681"/>
      <c r="E2267" s="681"/>
    </row>
    <row r="2268" spans="1:11" ht="24" customHeight="1" thickBot="1">
      <c r="A2268" s="683" t="s">
        <v>0</v>
      </c>
      <c r="B2268" s="1006" t="s">
        <v>72</v>
      </c>
      <c r="C2268" s="1007"/>
      <c r="D2268" s="684" t="s">
        <v>147</v>
      </c>
      <c r="E2268" s="685" t="s">
        <v>148</v>
      </c>
    </row>
    <row r="2269" spans="1:11" ht="21" customHeight="1">
      <c r="A2269" s="686">
        <v>1</v>
      </c>
      <c r="B2269" s="1017" t="s">
        <v>26</v>
      </c>
      <c r="C2269" s="1018"/>
      <c r="D2269" s="687" t="str">
        <f>IF(E2304="","",IF(INDEX(THHKI!$A$8:$Y$62,MATCH(PDHKI!E2304,THHKI!$A$8:$A$62,0),INDEX($K$13:$K$27,MATCH(B2269,$J$13:$J$27,0),1))&lt;1,"/",INDEX(THHKI!$A$8:$Y$62,MATCH(PDHKI!E2304,THHKI!$A$8:$A$62,0),INDEX($K$13:$K$27,MATCH(B2269,$J$13:$J$27,0),1))))</f>
        <v/>
      </c>
      <c r="E2269" s="688"/>
      <c r="J2269" s="569" t="s">
        <v>26</v>
      </c>
      <c r="K2269" s="569">
        <v>7</v>
      </c>
    </row>
    <row r="2270" spans="1:11" ht="21" customHeight="1">
      <c r="A2270" s="689">
        <v>2</v>
      </c>
      <c r="B2270" s="1008" t="s">
        <v>27</v>
      </c>
      <c r="C2270" s="1009"/>
      <c r="D2270" s="690" t="str">
        <f>IF(E2304="","",IF(INDEX(THHKI!$A$8:$Y$62,MATCH(PDHKI!E2304,THHKI!$A$8:$A$62,0),INDEX($K$13:$K$27,MATCH(B2270,$J$13:$J$27,0),1))&lt;1,"/",INDEX(THHKI!$A$8:$Y$62,MATCH(PDHKI!E2304,THHKI!$A$8:$A$62,0),INDEX($K$13:$K$27,MATCH(B2270,$J$13:$J$27,0),1))))</f>
        <v/>
      </c>
      <c r="E2270" s="691"/>
      <c r="J2270" s="569" t="s">
        <v>27</v>
      </c>
      <c r="K2270" s="569">
        <v>8</v>
      </c>
    </row>
    <row r="2271" spans="1:11" ht="21" customHeight="1">
      <c r="A2271" s="689">
        <v>3</v>
      </c>
      <c r="B2271" s="1008" t="s">
        <v>28</v>
      </c>
      <c r="C2271" s="1009"/>
      <c r="D2271" s="690" t="str">
        <f>IF(E2304="","",IF(INDEX(THHKI!$A$8:$Y$62,MATCH(PDHKI!E2304,THHKI!$A$8:$A$62,0),INDEX($K$13:$K$27,MATCH(B2271,$J$13:$J$27,0),1))&lt;1,"/",INDEX(THHKI!$A$8:$Y$62,MATCH(PDHKI!E2304,THHKI!$A$8:$A$62,0),INDEX($K$13:$K$27,MATCH(B2271,$J$13:$J$27,0),1))))</f>
        <v/>
      </c>
      <c r="E2271" s="691"/>
      <c r="J2271" s="569" t="s">
        <v>28</v>
      </c>
      <c r="K2271" s="569">
        <v>9</v>
      </c>
    </row>
    <row r="2272" spans="1:11" ht="21" customHeight="1">
      <c r="A2272" s="689">
        <v>4</v>
      </c>
      <c r="B2272" s="1008" t="s">
        <v>29</v>
      </c>
      <c r="C2272" s="1009"/>
      <c r="D2272" s="690" t="str">
        <f>IF(E2304="","",IF(INDEX(THHKI!$A$8:$Y$62,MATCH(PDHKI!E2304,THHKI!$A$8:$A$62,0),INDEX($K$13:$K$27,MATCH(B2272,$J$13:$J$27,0),1))&lt;1,"/",INDEX(THHKI!$A$8:$Y$62,MATCH(PDHKI!E2304,THHKI!$A$8:$A$62,0),INDEX($K$13:$K$27,MATCH(B2272,$J$13:$J$27,0),1))))</f>
        <v/>
      </c>
      <c r="E2272" s="691"/>
      <c r="J2272" s="569" t="s">
        <v>29</v>
      </c>
      <c r="K2272" s="569">
        <v>10</v>
      </c>
    </row>
    <row r="2273" spans="1:11" ht="21" customHeight="1">
      <c r="A2273" s="689">
        <v>5</v>
      </c>
      <c r="B2273" s="1008" t="s">
        <v>120</v>
      </c>
      <c r="C2273" s="1009"/>
      <c r="D2273" s="690" t="str">
        <f>IF(E2304="","",IF(INDEX(THHKI!$A$8:$Y$62,MATCH(PDHKI!E2304,THHKI!$A$8:$A$62,0),INDEX($K$13:$K$27,MATCH(B2273,$J$13:$J$27,0),1))&lt;1,"/",INDEX(THHKI!$A$8:$Y$62,MATCH(PDHKI!E2304,THHKI!$A$8:$A$62,0),INDEX($K$13:$K$27,MATCH(B2273,$J$13:$J$27,0),1))))</f>
        <v/>
      </c>
      <c r="E2273" s="691"/>
      <c r="J2273" s="569" t="s">
        <v>120</v>
      </c>
      <c r="K2273" s="569">
        <v>11</v>
      </c>
    </row>
    <row r="2274" spans="1:11" ht="21" customHeight="1">
      <c r="A2274" s="689">
        <v>6</v>
      </c>
      <c r="B2274" s="1008" t="s">
        <v>30</v>
      </c>
      <c r="C2274" s="1009"/>
      <c r="D2274" s="690" t="str">
        <f>IF(E2304="","",IF(INDEX(THHKI!$A$8:$Y$62,MATCH(PDHKI!E2304,THHKI!$A$8:$A$62,0),INDEX($K$13:$K$27,MATCH(B2274,$J$13:$J$27,0),1))&lt;1,"/",INDEX(THHKI!$A$8:$Y$62,MATCH(PDHKI!E2304,THHKI!$A$8:$A$62,0),INDEX($K$13:$K$27,MATCH(B2274,$J$13:$J$27,0),1))))</f>
        <v/>
      </c>
      <c r="E2274" s="691"/>
      <c r="J2274" s="569" t="s">
        <v>30</v>
      </c>
      <c r="K2274" s="569">
        <v>12</v>
      </c>
    </row>
    <row r="2275" spans="1:11" ht="21" customHeight="1">
      <c r="A2275" s="689">
        <v>7</v>
      </c>
      <c r="B2275" s="1008" t="s">
        <v>31</v>
      </c>
      <c r="C2275" s="1009"/>
      <c r="D2275" s="690" t="str">
        <f>IF(E2304="","",IF(INDEX(THHKI!$A$8:$Y$62,MATCH(PDHKI!E2304,THHKI!$A$8:$A$62,0),INDEX($K$13:$K$27,MATCH(B2275,$J$13:$J$27,0),1))&lt;1,"/",INDEX(THHKI!$A$8:$Y$62,MATCH(PDHKI!E2304,THHKI!$A$8:$A$62,0),INDEX($K$13:$K$27,MATCH(B2275,$J$13:$J$27,0),1))))</f>
        <v/>
      </c>
      <c r="E2275" s="691"/>
      <c r="J2275" s="569" t="s">
        <v>31</v>
      </c>
      <c r="K2275" s="569">
        <v>13</v>
      </c>
    </row>
    <row r="2276" spans="1:11" ht="21" customHeight="1">
      <c r="A2276" s="689">
        <v>8</v>
      </c>
      <c r="B2276" s="1008" t="s">
        <v>32</v>
      </c>
      <c r="C2276" s="1009"/>
      <c r="D2276" s="690" t="str">
        <f>IF(E2304="","",IF(INDEX(THHKI!$A$8:$Y$62,MATCH(PDHKI!E2304,THHKI!$A$8:$A$62,0),INDEX($K$13:$K$27,MATCH(B2276,$J$13:$J$27,0),1))&lt;1,"/",INDEX(THHKI!$A$8:$Y$62,MATCH(PDHKI!E2304,THHKI!$A$8:$A$62,0),INDEX($K$13:$K$27,MATCH(B2276,$J$13:$J$27,0),1))))</f>
        <v/>
      </c>
      <c r="E2276" s="691"/>
      <c r="J2276" s="569" t="s">
        <v>32</v>
      </c>
      <c r="K2276" s="569">
        <v>14</v>
      </c>
    </row>
    <row r="2277" spans="1:11" ht="21" customHeight="1">
      <c r="A2277" s="689">
        <v>9</v>
      </c>
      <c r="B2277" s="1008" t="s">
        <v>33</v>
      </c>
      <c r="C2277" s="1009"/>
      <c r="D2277" s="690" t="str">
        <f>IF(E2304="","",IF(INDEX(THHKI!$A$8:$Y$62,MATCH(PDHKI!E2304,THHKI!$A$8:$A$62,0),INDEX($K$13:$K$27,MATCH(B2277,$J$13:$J$27,0),1))&lt;1,"/",INDEX(THHKI!$A$8:$Y$62,MATCH(PDHKI!E2304,THHKI!$A$8:$A$62,0),INDEX($K$13:$K$27,MATCH(B2277,$J$13:$J$27,0),1))))</f>
        <v/>
      </c>
      <c r="E2277" s="691"/>
      <c r="J2277" s="569" t="s">
        <v>33</v>
      </c>
      <c r="K2277" s="569">
        <v>15</v>
      </c>
    </row>
    <row r="2278" spans="1:11" ht="21" customHeight="1">
      <c r="A2278" s="689">
        <v>10</v>
      </c>
      <c r="B2278" s="1008" t="s">
        <v>60</v>
      </c>
      <c r="C2278" s="1009"/>
      <c r="D2278" s="690" t="str">
        <f>IF(E2304="","",IF(INDEX(THHKI!$A$8:$Y$62,MATCH(PDHKI!E2304,THHKI!$A$8:$A$62,0),INDEX($K$13:$K$27,MATCH(B2278,$J$13:$J$27,0),1))&lt;1,"/",INDEX(THHKI!$A$8:$Y$62,MATCH(PDHKI!E2304,THHKI!$A$8:$A$62,0),INDEX($K$13:$K$27,MATCH(B2278,$J$13:$J$27,0),1))))</f>
        <v/>
      </c>
      <c r="E2278" s="691"/>
      <c r="J2278" s="569" t="s">
        <v>60</v>
      </c>
      <c r="K2278" s="569">
        <v>16</v>
      </c>
    </row>
    <row r="2279" spans="1:11" ht="21" customHeight="1">
      <c r="A2279" s="689">
        <v>11</v>
      </c>
      <c r="B2279" s="1008" t="s">
        <v>34</v>
      </c>
      <c r="C2279" s="1009"/>
      <c r="D2279" s="690" t="str">
        <f>IF(E2304="","",IF(INDEX(THHKI!$A$8:$Y$62,MATCH(PDHKI!E2304,THHKI!$A$8:$A$62,0),INDEX($K$13:$K$27,MATCH(B2279,$J$13:$J$27,0),1))&lt;1,"/",INDEX(THHKI!$A$8:$Y$62,MATCH(PDHKI!E2304,THHKI!$A$8:$A$62,0),INDEX($K$13:$K$27,MATCH(B2279,$J$13:$J$27,0),1))))</f>
        <v/>
      </c>
      <c r="E2279" s="691"/>
      <c r="J2279" s="569" t="s">
        <v>34</v>
      </c>
      <c r="K2279" s="569">
        <v>17</v>
      </c>
    </row>
    <row r="2280" spans="1:11" ht="21" customHeight="1">
      <c r="A2280" s="689">
        <v>12</v>
      </c>
      <c r="B2280" s="1008" t="s">
        <v>35</v>
      </c>
      <c r="C2280" s="1009"/>
      <c r="D2280" s="690" t="str">
        <f>IF(E2304="","",IF(INDEX(THHKI!$A$8:$Y$62,MATCH(PDHKI!E2304,THHKI!$A$8:$A$62,0),INDEX($K$13:$K$27,MATCH(B2280,$J$13:$J$27,0),1))&lt;1,"/",INDEX(THHKI!$A$8:$Y$62,MATCH(PDHKI!E2304,THHKI!$A$8:$A$62,0),INDEX($K$13:$K$27,MATCH(B2280,$J$13:$J$27,0),1))))</f>
        <v/>
      </c>
      <c r="E2280" s="691"/>
      <c r="J2280" s="569" t="s">
        <v>35</v>
      </c>
      <c r="K2280" s="569">
        <v>18</v>
      </c>
    </row>
    <row r="2281" spans="1:11" ht="21" customHeight="1">
      <c r="A2281" s="689">
        <v>13</v>
      </c>
      <c r="B2281" s="1008" t="s">
        <v>121</v>
      </c>
      <c r="C2281" s="1009"/>
      <c r="D2281" s="690" t="str">
        <f>IF(E2304="","",IF(INDEX(THHKI!$A$8:$Y$62,MATCH(PDHKI!E2304,THHKI!$A$8:$A$62,0),INDEX($K$13:$K$27,MATCH(B2281,$J$13:$J$27,0),1))&lt;1,"/",INDEX(THHKI!$A$8:$Y$62,MATCH(PDHKI!E2304,THHKI!$A$8:$A$62,0),INDEX($K$13:$K$27,MATCH(B2281,$J$13:$J$27,0),1))))</f>
        <v/>
      </c>
      <c r="E2281" s="691"/>
      <c r="J2281" s="569" t="s">
        <v>22</v>
      </c>
      <c r="K2281" s="569">
        <v>19</v>
      </c>
    </row>
    <row r="2282" spans="1:11" ht="21" customHeight="1" thickBot="1">
      <c r="A2282" s="692">
        <v>14</v>
      </c>
      <c r="B2282" s="1010" t="s">
        <v>122</v>
      </c>
      <c r="C2282" s="1011"/>
      <c r="D2282" s="693" t="str">
        <f>IF(E2304="","",IF(INDEX(THHKI!$A$8:$Y$62,MATCH(PDHKI!E2304,THHKI!$A$8:$A$62,0),INDEX($K$13:$K$27,MATCH(B2282,$J$13:$J$27,0),1))&lt;1,"/",INDEX(THHKI!$A$8:$Y$62,MATCH(PDHKI!E2304,THHKI!$A$8:$A$62,0),INDEX($K$13:$K$27,MATCH(B2282,$J$13:$J$27,0),1))))</f>
        <v/>
      </c>
      <c r="E2282" s="694"/>
      <c r="J2282" s="569" t="s">
        <v>121</v>
      </c>
      <c r="K2282" s="569">
        <v>20</v>
      </c>
    </row>
    <row r="2283" spans="1:11" ht="21" customHeight="1" thickBot="1">
      <c r="A2283" s="695">
        <v>15</v>
      </c>
      <c r="B2283" s="1006" t="s">
        <v>149</v>
      </c>
      <c r="C2283" s="1007"/>
      <c r="D2283" s="696" t="str">
        <f>IF(E2304="","",IF(INDEX(THHKI!$A$8:$Y$62,MATCH(PDHKI!E2304,THHKI!$A$8:$A$62,0),22)&lt;1,"/",INDEX(THHKI!$A$8:$Y$62,MATCH(PDHKI!E2304,THHKI!$A$8:$A$62,0),22)))</f>
        <v/>
      </c>
      <c r="E2283" s="697"/>
      <c r="J2283" s="569" t="s">
        <v>122</v>
      </c>
      <c r="K2283" s="569">
        <v>21</v>
      </c>
    </row>
    <row r="2284" spans="1:11" ht="15.75" customHeight="1" thickBot="1"/>
    <row r="2285" spans="1:11" s="570" customFormat="1" ht="21" customHeight="1">
      <c r="A2285" s="698"/>
      <c r="B2285" s="1019" t="s">
        <v>150</v>
      </c>
      <c r="C2285" s="1020"/>
      <c r="D2285" s="699" t="s">
        <v>10</v>
      </c>
      <c r="E2285" s="700" t="s">
        <v>126</v>
      </c>
    </row>
    <row r="2286" spans="1:11" ht="21" customHeight="1">
      <c r="A2286" s="701">
        <v>16</v>
      </c>
      <c r="B2286" s="1021" t="s">
        <v>151</v>
      </c>
      <c r="C2286" s="1022"/>
      <c r="D2286" s="702" t="str">
        <f>IF(E2304="","",IF(INDEX(THHKI!$A$8:$Y$62,MATCH(PDHKI!E2304,THHKI!$A$8:$A$62,0),23)="","/",INDEX(THHKI!$A$8:$Y$62,MATCH(PDHKI!E2304,THHKI!$A$8:$A$62,0),23)))</f>
        <v/>
      </c>
      <c r="E2286" s="703"/>
    </row>
    <row r="2287" spans="1:11" ht="21" customHeight="1">
      <c r="A2287" s="701">
        <v>17</v>
      </c>
      <c r="B2287" s="1021" t="s">
        <v>152</v>
      </c>
      <c r="C2287" s="1022"/>
      <c r="D2287" s="702" t="str">
        <f>IF(E2304="","",IF(INDEX(THHKI!$A$8:$Y$62,MATCH(PDHKI!E2304,THHKI!$A$8:$A$62,0),24)="","/",INDEX(THHKI!$A$8:$Y$62,MATCH(PDHKI!E2304,THHKI!$A$8:$A$62,0),24)))</f>
        <v/>
      </c>
      <c r="E2287" s="703"/>
    </row>
    <row r="2288" spans="1:11" ht="21" customHeight="1" thickBot="1">
      <c r="A2288" s="704">
        <v>18</v>
      </c>
      <c r="B2288" s="1023" t="s">
        <v>153</v>
      </c>
      <c r="C2288" s="1024"/>
      <c r="D2288" s="705" t="str">
        <f>IF(E2304="","",IF(INDEX(THHKI!$A$8:$Y$62,MATCH(PDHKI!E2304,THHKI!$A$8:$A$62,0),25)="","/",INDEX(THHKI!$A$8:$Y$62,MATCH(PDHKI!E2304,THHKI!$A$8:$A$62,0),25)))</f>
        <v/>
      </c>
      <c r="E2288" s="706"/>
    </row>
    <row r="2289" spans="1:8" ht="9.75" customHeight="1"/>
    <row r="2290" spans="1:8" ht="15.75" customHeight="1">
      <c r="A2290" s="58" t="s">
        <v>219</v>
      </c>
    </row>
    <row r="2291" spans="1:8" ht="18" customHeight="1">
      <c r="A2291" s="59" t="str">
        <f>IF(E2304="","",IF(INDEX(DiemHKI!$DE$4:$DH$58,MATCH(PDHKI!E2304,DiemHKI!$B$4:$B$58,0),1)="","","- "&amp;INDEX(DiemHKI!$DE$4:$DH$58,MATCH(PDHKI!E2304,DiemHKI!$B$4:$B$58,0),1)))</f>
        <v/>
      </c>
      <c r="H2291" s="571"/>
    </row>
    <row r="2292" spans="1:8" ht="18" customHeight="1">
      <c r="A2292" s="59" t="str">
        <f>IF(E2304="","",IF(INDEX(DiemHKI!$DE$4:$DH$58,MATCH(PDHKI!E2304,DiemHKI!$B$4:$B$58,0),2)="","","- "&amp;INDEX(DiemHKI!$DE$4:$DH$58,MATCH(PDHKI!E2304,DiemHKI!$B$4:$B$58,0),2)))</f>
        <v/>
      </c>
    </row>
    <row r="2293" spans="1:8" ht="18" customHeight="1">
      <c r="A2293" s="59" t="str">
        <f>IF(E2304="","",IF(INDEX(DiemHKI!$DE$4:$DH$58,MATCH(PDHKI!E2304,DiemHKI!$B$4:$B$58,0),3)="","","- "&amp;INDEX(DiemHKI!$DE$4:$DH$58,MATCH(PDHKI!E2304,DiemHKI!$B$4:$B$58,0),3)))</f>
        <v/>
      </c>
    </row>
    <row r="2294" spans="1:8" ht="18" customHeight="1">
      <c r="A2294" s="59" t="str">
        <f>IF(E2304="","",IF(INDEX(DiemHKI!$DE$4:$DH$58,MATCH(PDHKI!E2304,DiemHKI!$B$4:$B$58,0),4)="","","- "&amp;INDEX(DiemHKI!$DE$4:$DH$58,MATCH(PDHKI!E2304,DiemHKI!$B$4:$B$58,0),4)))</f>
        <v/>
      </c>
    </row>
    <row r="2295" spans="1:8" ht="6.75" customHeight="1"/>
    <row r="2296" spans="1:8" ht="16.5" customHeight="1">
      <c r="A2296" s="61"/>
      <c r="C2296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296" s="1026"/>
      <c r="E2296" s="1026"/>
    </row>
    <row r="2297" spans="1:8" ht="21.75" customHeight="1">
      <c r="A2297" s="923" t="str">
        <f>IF($D$41="Hiệu trưởng","Giáo viên Quản nhiệm","")</f>
        <v>Giáo viên Quản nhiệm</v>
      </c>
      <c r="B2297" s="923"/>
      <c r="C2297" s="923"/>
      <c r="D2297" s="707" t="str">
        <f>IF($G$5="","",$G$5)</f>
        <v>Hiệu trưởng</v>
      </c>
      <c r="E2297" s="708"/>
    </row>
    <row r="2298" spans="1:8" ht="15" customHeight="1">
      <c r="A2298" s="61"/>
      <c r="B2298" s="61"/>
      <c r="C2298" s="61"/>
      <c r="D2298" s="66"/>
      <c r="E2298" s="66"/>
    </row>
    <row r="2299" spans="1:8" ht="15" customHeight="1">
      <c r="A2299" s="61"/>
      <c r="B2299" s="61"/>
      <c r="C2299" s="61"/>
      <c r="D2299" s="66"/>
      <c r="E2299" s="66"/>
    </row>
    <row r="2300" spans="1:8" ht="15" customHeight="1">
      <c r="A2300" s="61"/>
      <c r="B2300" s="61"/>
      <c r="C2300" s="61"/>
    </row>
    <row r="2301" spans="1:8" ht="15" customHeight="1">
      <c r="A2301" s="61"/>
      <c r="B2301" s="61"/>
      <c r="C2301" s="61"/>
    </row>
    <row r="2302" spans="1:8" ht="16.5" customHeight="1">
      <c r="A2302" s="1012" t="str">
        <f>IF($A$41="","",PROPER('Huong dan'!$C$4))</f>
        <v/>
      </c>
      <c r="B2302" s="1012"/>
      <c r="C2302" s="1012"/>
      <c r="D2302" s="833" t="str">
        <f>IFERROR(IF($D$41="Giáo Viên Quản nhiệm",PROPER('Huong dan'!$C$4),IF($D$41="Hiệu trưởng",PROPER('Huong dan'!$E$5),"")),"")</f>
        <v/>
      </c>
      <c r="E2302" s="708"/>
    </row>
    <row r="2303" spans="1:8" ht="12.75" customHeight="1"/>
    <row r="2304" spans="1:8" ht="12.75" customHeight="1">
      <c r="A2304" s="709"/>
      <c r="B2304" s="709"/>
      <c r="C2304" s="709"/>
      <c r="D2304" s="710"/>
      <c r="E2304" s="711" t="str">
        <f>IF(E2257="","",IF(E2257&lt;MAX(DiemHKI!$B$4:$B$58),E2257+1,""))</f>
        <v/>
      </c>
    </row>
    <row r="2305" spans="1:11" ht="8.25" customHeight="1">
      <c r="A2305" s="709"/>
      <c r="B2305" s="709"/>
      <c r="C2305" s="709"/>
      <c r="D2305" s="709"/>
      <c r="E2305" s="709"/>
    </row>
    <row r="2306" spans="1:11" ht="5.25" customHeight="1"/>
    <row r="2307" spans="1:11" s="563" customFormat="1" ht="23.25" customHeight="1">
      <c r="A2307" s="931" t="str">
        <f>IF('Huong dan'!$E$3&lt;&gt;"","SỞ GIÁO DỤC VÀ ĐÀO TẠO "&amp;UPPER('Huong dan'!$E$3),"")</f>
        <v>SỞ GIÁO DỤC VÀ ĐÀO TẠO TP. HỒ CHÍ MINH</v>
      </c>
      <c r="B2307" s="931"/>
      <c r="C2307" s="931"/>
      <c r="D2307" s="923" t="s">
        <v>19</v>
      </c>
      <c r="E2307" s="923"/>
    </row>
    <row r="2308" spans="1:11" ht="17.25" customHeight="1">
      <c r="A2308" s="931" t="str">
        <f>IF('Huong dan'!$E$4&lt;&gt;"","TRƯỜNG "&amp;UPPER('Huong dan'!$E$4),"")</f>
        <v>TRƯỜNG THCS VÀ THPT NGUYỄN KHUYẾN</v>
      </c>
      <c r="B2308" s="931"/>
      <c r="C2308" s="931"/>
      <c r="D2308" s="1012" t="s">
        <v>179</v>
      </c>
      <c r="E2308" s="1012"/>
    </row>
    <row r="2309" spans="1:11" ht="24" customHeight="1">
      <c r="A2309" s="61"/>
      <c r="B2309" s="61"/>
      <c r="C2309" s="61"/>
    </row>
    <row r="2310" spans="1:11" ht="29.25" customHeight="1">
      <c r="A2310" s="1013" t="str">
        <f>"PHIẾU ĐIỂM HỌC KỲ I - NĂM HỌC "&amp;'Huong dan'!$C$5</f>
        <v>PHIẾU ĐIỂM HỌC KỲ I - NĂM HỌC 2021 - 2022</v>
      </c>
      <c r="B2310" s="1013"/>
      <c r="C2310" s="1013"/>
      <c r="D2310" s="1013"/>
      <c r="E2310" s="1013"/>
    </row>
    <row r="2311" spans="1:11" ht="15.75" customHeight="1">
      <c r="A2311" s="680"/>
      <c r="B2311" s="680"/>
    </row>
    <row r="2312" spans="1:11" ht="21" customHeight="1">
      <c r="A2312" s="1014" t="s">
        <v>145</v>
      </c>
      <c r="B2312" s="1014"/>
      <c r="C2312" s="1015" t="str">
        <f>IF(E2351="","",INDEX(DiemHKI!$D$4:$D$58,MATCH(E2351,DiemHKI!$B$4:$B$58,0),1)&amp;" "&amp;INDEX(DiemHKI!$E$4:$E$58,MATCH(E2351,DiemHKI!$B$4:$B$58,0),1))</f>
        <v/>
      </c>
      <c r="D2312" s="1015"/>
      <c r="E2312" s="62" t="str">
        <f>IF('Huong dan'!$C$3="","","Lớp: "&amp;'Huong dan'!$C$3)</f>
        <v>Lớp: 12A1</v>
      </c>
    </row>
    <row r="2313" spans="1:11" ht="23.25" customHeight="1">
      <c r="A2313" s="1014" t="s">
        <v>146</v>
      </c>
      <c r="B2313" s="1014"/>
      <c r="C2313" s="681" t="str">
        <f>IF(E2351="","",INDEX(DiemHKI!$F$4:$F$58,MATCH(PDHKI!E2351,DiemHKI!$B$4:$B$58,0),1))</f>
        <v/>
      </c>
      <c r="D2313" s="1016" t="str">
        <f>IF(E2351="","","Nơi sinh: "&amp;INDEX(DiemHKI!$G$4:$G$58,MATCH(PDHKI!E2351,DiemHKI!$B$4:$B$58,0),1))</f>
        <v/>
      </c>
      <c r="E2313" s="1016"/>
    </row>
    <row r="2314" spans="1:11" ht="13.5" customHeight="1" thickBot="1">
      <c r="A2314" s="681"/>
      <c r="B2314" s="682"/>
      <c r="D2314" s="681"/>
      <c r="E2314" s="681"/>
    </row>
    <row r="2315" spans="1:11" ht="24" customHeight="1" thickBot="1">
      <c r="A2315" s="683" t="s">
        <v>0</v>
      </c>
      <c r="B2315" s="1006" t="s">
        <v>72</v>
      </c>
      <c r="C2315" s="1007"/>
      <c r="D2315" s="684" t="s">
        <v>147</v>
      </c>
      <c r="E2315" s="685" t="s">
        <v>148</v>
      </c>
    </row>
    <row r="2316" spans="1:11" ht="21" customHeight="1">
      <c r="A2316" s="686">
        <v>1</v>
      </c>
      <c r="B2316" s="1017" t="s">
        <v>26</v>
      </c>
      <c r="C2316" s="1018"/>
      <c r="D2316" s="687" t="str">
        <f>IF(E2351="","",IF(INDEX(THHKI!$A$8:$Y$62,MATCH(PDHKI!E2351,THHKI!$A$8:$A$62,0),INDEX($K$13:$K$27,MATCH(B2316,$J$13:$J$27,0),1))&lt;1,"/",INDEX(THHKI!$A$8:$Y$62,MATCH(PDHKI!E2351,THHKI!$A$8:$A$62,0),INDEX($K$13:$K$27,MATCH(B2316,$J$13:$J$27,0),1))))</f>
        <v/>
      </c>
      <c r="E2316" s="688"/>
      <c r="J2316" s="569" t="s">
        <v>26</v>
      </c>
      <c r="K2316" s="569">
        <v>7</v>
      </c>
    </row>
    <row r="2317" spans="1:11" ht="21" customHeight="1">
      <c r="A2317" s="689">
        <v>2</v>
      </c>
      <c r="B2317" s="1008" t="s">
        <v>27</v>
      </c>
      <c r="C2317" s="1009"/>
      <c r="D2317" s="690" t="str">
        <f>IF(E2351="","",IF(INDEX(THHKI!$A$8:$Y$62,MATCH(PDHKI!E2351,THHKI!$A$8:$A$62,0),INDEX($K$13:$K$27,MATCH(B2317,$J$13:$J$27,0),1))&lt;1,"/",INDEX(THHKI!$A$8:$Y$62,MATCH(PDHKI!E2351,THHKI!$A$8:$A$62,0),INDEX($K$13:$K$27,MATCH(B2317,$J$13:$J$27,0),1))))</f>
        <v/>
      </c>
      <c r="E2317" s="691"/>
      <c r="J2317" s="569" t="s">
        <v>27</v>
      </c>
      <c r="K2317" s="569">
        <v>8</v>
      </c>
    </row>
    <row r="2318" spans="1:11" ht="21" customHeight="1">
      <c r="A2318" s="689">
        <v>3</v>
      </c>
      <c r="B2318" s="1008" t="s">
        <v>28</v>
      </c>
      <c r="C2318" s="1009"/>
      <c r="D2318" s="690" t="str">
        <f>IF(E2351="","",IF(INDEX(THHKI!$A$8:$Y$62,MATCH(PDHKI!E2351,THHKI!$A$8:$A$62,0),INDEX($K$13:$K$27,MATCH(B2318,$J$13:$J$27,0),1))&lt;1,"/",INDEX(THHKI!$A$8:$Y$62,MATCH(PDHKI!E2351,THHKI!$A$8:$A$62,0),INDEX($K$13:$K$27,MATCH(B2318,$J$13:$J$27,0),1))))</f>
        <v/>
      </c>
      <c r="E2318" s="691"/>
      <c r="J2318" s="569" t="s">
        <v>28</v>
      </c>
      <c r="K2318" s="569">
        <v>9</v>
      </c>
    </row>
    <row r="2319" spans="1:11" ht="21" customHeight="1">
      <c r="A2319" s="689">
        <v>4</v>
      </c>
      <c r="B2319" s="1008" t="s">
        <v>29</v>
      </c>
      <c r="C2319" s="1009"/>
      <c r="D2319" s="690" t="str">
        <f>IF(E2351="","",IF(INDEX(THHKI!$A$8:$Y$62,MATCH(PDHKI!E2351,THHKI!$A$8:$A$62,0),INDEX($K$13:$K$27,MATCH(B2319,$J$13:$J$27,0),1))&lt;1,"/",INDEX(THHKI!$A$8:$Y$62,MATCH(PDHKI!E2351,THHKI!$A$8:$A$62,0),INDEX($K$13:$K$27,MATCH(B2319,$J$13:$J$27,0),1))))</f>
        <v/>
      </c>
      <c r="E2319" s="691"/>
      <c r="J2319" s="569" t="s">
        <v>29</v>
      </c>
      <c r="K2319" s="569">
        <v>10</v>
      </c>
    </row>
    <row r="2320" spans="1:11" ht="21" customHeight="1">
      <c r="A2320" s="689">
        <v>5</v>
      </c>
      <c r="B2320" s="1008" t="s">
        <v>120</v>
      </c>
      <c r="C2320" s="1009"/>
      <c r="D2320" s="690" t="str">
        <f>IF(E2351="","",IF(INDEX(THHKI!$A$8:$Y$62,MATCH(PDHKI!E2351,THHKI!$A$8:$A$62,0),INDEX($K$13:$K$27,MATCH(B2320,$J$13:$J$27,0),1))&lt;1,"/",INDEX(THHKI!$A$8:$Y$62,MATCH(PDHKI!E2351,THHKI!$A$8:$A$62,0),INDEX($K$13:$K$27,MATCH(B2320,$J$13:$J$27,0),1))))</f>
        <v/>
      </c>
      <c r="E2320" s="691"/>
      <c r="J2320" s="569" t="s">
        <v>120</v>
      </c>
      <c r="K2320" s="569">
        <v>11</v>
      </c>
    </row>
    <row r="2321" spans="1:11" ht="21" customHeight="1">
      <c r="A2321" s="689">
        <v>6</v>
      </c>
      <c r="B2321" s="1008" t="s">
        <v>30</v>
      </c>
      <c r="C2321" s="1009"/>
      <c r="D2321" s="690" t="str">
        <f>IF(E2351="","",IF(INDEX(THHKI!$A$8:$Y$62,MATCH(PDHKI!E2351,THHKI!$A$8:$A$62,0),INDEX($K$13:$K$27,MATCH(B2321,$J$13:$J$27,0),1))&lt;1,"/",INDEX(THHKI!$A$8:$Y$62,MATCH(PDHKI!E2351,THHKI!$A$8:$A$62,0),INDEX($K$13:$K$27,MATCH(B2321,$J$13:$J$27,0),1))))</f>
        <v/>
      </c>
      <c r="E2321" s="691"/>
      <c r="J2321" s="569" t="s">
        <v>30</v>
      </c>
      <c r="K2321" s="569">
        <v>12</v>
      </c>
    </row>
    <row r="2322" spans="1:11" ht="21" customHeight="1">
      <c r="A2322" s="689">
        <v>7</v>
      </c>
      <c r="B2322" s="1008" t="s">
        <v>31</v>
      </c>
      <c r="C2322" s="1009"/>
      <c r="D2322" s="690" t="str">
        <f>IF(E2351="","",IF(INDEX(THHKI!$A$8:$Y$62,MATCH(PDHKI!E2351,THHKI!$A$8:$A$62,0),INDEX($K$13:$K$27,MATCH(B2322,$J$13:$J$27,0),1))&lt;1,"/",INDEX(THHKI!$A$8:$Y$62,MATCH(PDHKI!E2351,THHKI!$A$8:$A$62,0),INDEX($K$13:$K$27,MATCH(B2322,$J$13:$J$27,0),1))))</f>
        <v/>
      </c>
      <c r="E2322" s="691"/>
      <c r="J2322" s="569" t="s">
        <v>31</v>
      </c>
      <c r="K2322" s="569">
        <v>13</v>
      </c>
    </row>
    <row r="2323" spans="1:11" ht="21" customHeight="1">
      <c r="A2323" s="689">
        <v>8</v>
      </c>
      <c r="B2323" s="1008" t="s">
        <v>32</v>
      </c>
      <c r="C2323" s="1009"/>
      <c r="D2323" s="690" t="str">
        <f>IF(E2351="","",IF(INDEX(THHKI!$A$8:$Y$62,MATCH(PDHKI!E2351,THHKI!$A$8:$A$62,0),INDEX($K$13:$K$27,MATCH(B2323,$J$13:$J$27,0),1))&lt;1,"/",INDEX(THHKI!$A$8:$Y$62,MATCH(PDHKI!E2351,THHKI!$A$8:$A$62,0),INDEX($K$13:$K$27,MATCH(B2323,$J$13:$J$27,0),1))))</f>
        <v/>
      </c>
      <c r="E2323" s="691"/>
      <c r="J2323" s="569" t="s">
        <v>32</v>
      </c>
      <c r="K2323" s="569">
        <v>14</v>
      </c>
    </row>
    <row r="2324" spans="1:11" ht="21" customHeight="1">
      <c r="A2324" s="689">
        <v>9</v>
      </c>
      <c r="B2324" s="1008" t="s">
        <v>33</v>
      </c>
      <c r="C2324" s="1009"/>
      <c r="D2324" s="690" t="str">
        <f>IF(E2351="","",IF(INDEX(THHKI!$A$8:$Y$62,MATCH(PDHKI!E2351,THHKI!$A$8:$A$62,0),INDEX($K$13:$K$27,MATCH(B2324,$J$13:$J$27,0),1))&lt;1,"/",INDEX(THHKI!$A$8:$Y$62,MATCH(PDHKI!E2351,THHKI!$A$8:$A$62,0),INDEX($K$13:$K$27,MATCH(B2324,$J$13:$J$27,0),1))))</f>
        <v/>
      </c>
      <c r="E2324" s="691"/>
      <c r="J2324" s="569" t="s">
        <v>33</v>
      </c>
      <c r="K2324" s="569">
        <v>15</v>
      </c>
    </row>
    <row r="2325" spans="1:11" ht="21" customHeight="1">
      <c r="A2325" s="689">
        <v>10</v>
      </c>
      <c r="B2325" s="1008" t="s">
        <v>60</v>
      </c>
      <c r="C2325" s="1009"/>
      <c r="D2325" s="690" t="str">
        <f>IF(E2351="","",IF(INDEX(THHKI!$A$8:$Y$62,MATCH(PDHKI!E2351,THHKI!$A$8:$A$62,0),INDEX($K$13:$K$27,MATCH(B2325,$J$13:$J$27,0),1))&lt;1,"/",INDEX(THHKI!$A$8:$Y$62,MATCH(PDHKI!E2351,THHKI!$A$8:$A$62,0),INDEX($K$13:$K$27,MATCH(B2325,$J$13:$J$27,0),1))))</f>
        <v/>
      </c>
      <c r="E2325" s="691"/>
      <c r="J2325" s="569" t="s">
        <v>60</v>
      </c>
      <c r="K2325" s="569">
        <v>16</v>
      </c>
    </row>
    <row r="2326" spans="1:11" ht="21" customHeight="1">
      <c r="A2326" s="689">
        <v>11</v>
      </c>
      <c r="B2326" s="1008" t="s">
        <v>34</v>
      </c>
      <c r="C2326" s="1009"/>
      <c r="D2326" s="690" t="str">
        <f>IF(E2351="","",IF(INDEX(THHKI!$A$8:$Y$62,MATCH(PDHKI!E2351,THHKI!$A$8:$A$62,0),INDEX($K$13:$K$27,MATCH(B2326,$J$13:$J$27,0),1))&lt;1,"/",INDEX(THHKI!$A$8:$Y$62,MATCH(PDHKI!E2351,THHKI!$A$8:$A$62,0),INDEX($K$13:$K$27,MATCH(B2326,$J$13:$J$27,0),1))))</f>
        <v/>
      </c>
      <c r="E2326" s="691"/>
      <c r="J2326" s="569" t="s">
        <v>34</v>
      </c>
      <c r="K2326" s="569">
        <v>17</v>
      </c>
    </row>
    <row r="2327" spans="1:11" ht="21" customHeight="1">
      <c r="A2327" s="689">
        <v>12</v>
      </c>
      <c r="B2327" s="1008" t="s">
        <v>35</v>
      </c>
      <c r="C2327" s="1009"/>
      <c r="D2327" s="690" t="str">
        <f>IF(E2351="","",IF(INDEX(THHKI!$A$8:$Y$62,MATCH(PDHKI!E2351,THHKI!$A$8:$A$62,0),INDEX($K$13:$K$27,MATCH(B2327,$J$13:$J$27,0),1))&lt;1,"/",INDEX(THHKI!$A$8:$Y$62,MATCH(PDHKI!E2351,THHKI!$A$8:$A$62,0),INDEX($K$13:$K$27,MATCH(B2327,$J$13:$J$27,0),1))))</f>
        <v/>
      </c>
      <c r="E2327" s="691"/>
      <c r="J2327" s="569" t="s">
        <v>35</v>
      </c>
      <c r="K2327" s="569">
        <v>18</v>
      </c>
    </row>
    <row r="2328" spans="1:11" ht="21" customHeight="1">
      <c r="A2328" s="689">
        <v>13</v>
      </c>
      <c r="B2328" s="1008" t="s">
        <v>121</v>
      </c>
      <c r="C2328" s="1009"/>
      <c r="D2328" s="690" t="str">
        <f>IF(E2351="","",IF(INDEX(THHKI!$A$8:$Y$62,MATCH(PDHKI!E2351,THHKI!$A$8:$A$62,0),INDEX($K$13:$K$27,MATCH(B2328,$J$13:$J$27,0),1))&lt;1,"/",INDEX(THHKI!$A$8:$Y$62,MATCH(PDHKI!E2351,THHKI!$A$8:$A$62,0),INDEX($K$13:$K$27,MATCH(B2328,$J$13:$J$27,0),1))))</f>
        <v/>
      </c>
      <c r="E2328" s="691"/>
      <c r="J2328" s="569" t="s">
        <v>22</v>
      </c>
      <c r="K2328" s="569">
        <v>19</v>
      </c>
    </row>
    <row r="2329" spans="1:11" ht="21" customHeight="1" thickBot="1">
      <c r="A2329" s="692">
        <v>14</v>
      </c>
      <c r="B2329" s="1010" t="s">
        <v>122</v>
      </c>
      <c r="C2329" s="1011"/>
      <c r="D2329" s="693" t="str">
        <f>IF(E2351="","",IF(INDEX(THHKI!$A$8:$Y$62,MATCH(PDHKI!E2351,THHKI!$A$8:$A$62,0),INDEX($K$13:$K$27,MATCH(B2329,$J$13:$J$27,0),1))&lt;1,"/",INDEX(THHKI!$A$8:$Y$62,MATCH(PDHKI!E2351,THHKI!$A$8:$A$62,0),INDEX($K$13:$K$27,MATCH(B2329,$J$13:$J$27,0),1))))</f>
        <v/>
      </c>
      <c r="E2329" s="694"/>
      <c r="J2329" s="569" t="s">
        <v>121</v>
      </c>
      <c r="K2329" s="569">
        <v>20</v>
      </c>
    </row>
    <row r="2330" spans="1:11" ht="21" customHeight="1" thickBot="1">
      <c r="A2330" s="695">
        <v>15</v>
      </c>
      <c r="B2330" s="1006" t="s">
        <v>149</v>
      </c>
      <c r="C2330" s="1007"/>
      <c r="D2330" s="696" t="str">
        <f>IF(E2351="","",IF(INDEX(THHKI!$A$8:$Y$62,MATCH(PDHKI!E2351,THHKI!$A$8:$A$62,0),22)&lt;1,"/",INDEX(THHKI!$A$8:$Y$62,MATCH(PDHKI!E2351,THHKI!$A$8:$A$62,0),22)))</f>
        <v/>
      </c>
      <c r="E2330" s="697"/>
      <c r="J2330" s="569" t="s">
        <v>122</v>
      </c>
      <c r="K2330" s="569">
        <v>21</v>
      </c>
    </row>
    <row r="2331" spans="1:11" ht="15.75" customHeight="1" thickBot="1"/>
    <row r="2332" spans="1:11" s="570" customFormat="1" ht="21" customHeight="1">
      <c r="A2332" s="698"/>
      <c r="B2332" s="1019" t="s">
        <v>150</v>
      </c>
      <c r="C2332" s="1020"/>
      <c r="D2332" s="699" t="s">
        <v>10</v>
      </c>
      <c r="E2332" s="700" t="s">
        <v>126</v>
      </c>
    </row>
    <row r="2333" spans="1:11" ht="21" customHeight="1">
      <c r="A2333" s="701">
        <v>16</v>
      </c>
      <c r="B2333" s="1021" t="s">
        <v>151</v>
      </c>
      <c r="C2333" s="1022"/>
      <c r="D2333" s="702" t="str">
        <f>IF(E2351="","",IF(INDEX(THHKI!$A$8:$Y$62,MATCH(PDHKI!E2351,THHKI!$A$8:$A$62,0),23)="","/",INDEX(THHKI!$A$8:$Y$62,MATCH(PDHKI!E2351,THHKI!$A$8:$A$62,0),23)))</f>
        <v/>
      </c>
      <c r="E2333" s="703"/>
    </row>
    <row r="2334" spans="1:11" ht="21" customHeight="1">
      <c r="A2334" s="701">
        <v>17</v>
      </c>
      <c r="B2334" s="1021" t="s">
        <v>152</v>
      </c>
      <c r="C2334" s="1022"/>
      <c r="D2334" s="702" t="str">
        <f>IF(E2351="","",IF(INDEX(THHKI!$A$8:$Y$62,MATCH(PDHKI!E2351,THHKI!$A$8:$A$62,0),24)="","/",INDEX(THHKI!$A$8:$Y$62,MATCH(PDHKI!E2351,THHKI!$A$8:$A$62,0),24)))</f>
        <v/>
      </c>
      <c r="E2334" s="703"/>
    </row>
    <row r="2335" spans="1:11" ht="21" customHeight="1" thickBot="1">
      <c r="A2335" s="704">
        <v>18</v>
      </c>
      <c r="B2335" s="1023" t="s">
        <v>153</v>
      </c>
      <c r="C2335" s="1024"/>
      <c r="D2335" s="705" t="str">
        <f>IF(E2351="","",IF(INDEX(THHKI!$A$8:$Y$62,MATCH(PDHKI!E2351,THHKI!$A$8:$A$62,0),25)="","/",INDEX(THHKI!$A$8:$Y$62,MATCH(PDHKI!E2351,THHKI!$A$8:$A$62,0),25)))</f>
        <v/>
      </c>
      <c r="E2335" s="706"/>
    </row>
    <row r="2336" spans="1:11" ht="9.75" customHeight="1"/>
    <row r="2337" spans="1:8" ht="15.75" customHeight="1">
      <c r="A2337" s="58" t="s">
        <v>219</v>
      </c>
    </row>
    <row r="2338" spans="1:8" ht="18" customHeight="1">
      <c r="A2338" s="59" t="str">
        <f>IF(E2351="","",IF(INDEX(DiemHKI!$DE$4:$DH$58,MATCH(PDHKI!E2351,DiemHKI!$B$4:$B$58,0),1)="","","- "&amp;INDEX(DiemHKI!$DE$4:$DH$58,MATCH(PDHKI!E2351,DiemHKI!$B$4:$B$58,0),1)))</f>
        <v/>
      </c>
      <c r="H2338" s="571"/>
    </row>
    <row r="2339" spans="1:8" ht="18" customHeight="1">
      <c r="A2339" s="59" t="str">
        <f>IF(E2351="","",IF(INDEX(DiemHKI!$DE$4:$DH$58,MATCH(PDHKI!E2351,DiemHKI!$B$4:$B$58,0),2)="","","- "&amp;INDEX(DiemHKI!$DE$4:$DH$58,MATCH(PDHKI!E2351,DiemHKI!$B$4:$B$58,0),2)))</f>
        <v/>
      </c>
    </row>
    <row r="2340" spans="1:8" ht="18" customHeight="1">
      <c r="A2340" s="59" t="str">
        <f>IF(E2351="","",IF(INDEX(DiemHKI!$DE$4:$DH$58,MATCH(PDHKI!E2351,DiemHKI!$B$4:$B$58,0),3)="","","- "&amp;INDEX(DiemHKI!$DE$4:$DH$58,MATCH(PDHKI!E2351,DiemHKI!$B$4:$B$58,0),3)))</f>
        <v/>
      </c>
    </row>
    <row r="2341" spans="1:8" ht="18" customHeight="1">
      <c r="A2341" s="59" t="str">
        <f>IF(E2351="","",IF(INDEX(DiemHKI!$DE$4:$DH$58,MATCH(PDHKI!E2351,DiemHKI!$B$4:$B$58,0),4)="","","- "&amp;INDEX(DiemHKI!$DE$4:$DH$58,MATCH(PDHKI!E2351,DiemHKI!$B$4:$B$58,0),4)))</f>
        <v/>
      </c>
    </row>
    <row r="2342" spans="1:8" ht="6.75" customHeight="1"/>
    <row r="2343" spans="1:8" ht="16.5" customHeight="1">
      <c r="A2343" s="61"/>
      <c r="C2343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343" s="1026"/>
      <c r="E2343" s="1026"/>
    </row>
    <row r="2344" spans="1:8" ht="21.75" customHeight="1">
      <c r="A2344" s="923" t="str">
        <f>IF($D$41="Hiệu trưởng","Giáo viên Quản nhiệm","")</f>
        <v>Giáo viên Quản nhiệm</v>
      </c>
      <c r="B2344" s="923"/>
      <c r="C2344" s="923"/>
      <c r="D2344" s="707" t="str">
        <f>IF($G$5="","",$G$5)</f>
        <v>Hiệu trưởng</v>
      </c>
      <c r="E2344" s="708"/>
    </row>
    <row r="2345" spans="1:8" ht="15" customHeight="1">
      <c r="A2345" s="61"/>
      <c r="B2345" s="61"/>
      <c r="C2345" s="61"/>
      <c r="D2345" s="66"/>
      <c r="E2345" s="66"/>
    </row>
    <row r="2346" spans="1:8" ht="15" customHeight="1">
      <c r="A2346" s="61"/>
      <c r="B2346" s="61"/>
      <c r="C2346" s="61"/>
      <c r="D2346" s="66"/>
      <c r="E2346" s="66"/>
    </row>
    <row r="2347" spans="1:8" ht="13.5" customHeight="1">
      <c r="A2347" s="61"/>
      <c r="B2347" s="61"/>
      <c r="C2347" s="61"/>
    </row>
    <row r="2348" spans="1:8" ht="15" customHeight="1">
      <c r="A2348" s="61"/>
      <c r="B2348" s="61"/>
      <c r="C2348" s="61"/>
    </row>
    <row r="2349" spans="1:8" ht="16.5" customHeight="1">
      <c r="A2349" s="1012" t="str">
        <f>IF($A$41="","",PROPER('Huong dan'!$C$4))</f>
        <v/>
      </c>
      <c r="B2349" s="1012"/>
      <c r="C2349" s="1012"/>
      <c r="D2349" s="833" t="str">
        <f>IFERROR(IF($D$41="Giáo Viên Quản nhiệm",PROPER('Huong dan'!$C$4),IF($D$41="Hiệu trưởng",PROPER('Huong dan'!$E$5),"")),"")</f>
        <v/>
      </c>
      <c r="E2349" s="708"/>
    </row>
    <row r="2350" spans="1:8" ht="15.75" customHeight="1">
      <c r="D2350" s="707"/>
    </row>
    <row r="2351" spans="1:8" ht="12.75" customHeight="1">
      <c r="A2351" s="709"/>
      <c r="B2351" s="709"/>
      <c r="C2351" s="709"/>
      <c r="D2351" s="710"/>
      <c r="E2351" s="711" t="str">
        <f>IF(E2304="","",IF(E2304&lt;MAX(DiemHKI!$B$4:$B$58),E2304+1,""))</f>
        <v/>
      </c>
    </row>
    <row r="2352" spans="1:8" ht="8.25" customHeight="1">
      <c r="A2352" s="709"/>
      <c r="B2352" s="709"/>
      <c r="C2352" s="709"/>
      <c r="D2352" s="709"/>
      <c r="E2352" s="709"/>
    </row>
    <row r="2353" spans="1:11" ht="5.25" customHeight="1"/>
    <row r="2354" spans="1:11" s="563" customFormat="1" ht="23.25" customHeight="1">
      <c r="A2354" s="931" t="str">
        <f>IF('Huong dan'!$E$3&lt;&gt;"","SỞ GIÁO DỤC VÀ ĐÀO TẠO "&amp;UPPER('Huong dan'!$E$3),"")</f>
        <v>SỞ GIÁO DỤC VÀ ĐÀO TẠO TP. HỒ CHÍ MINH</v>
      </c>
      <c r="B2354" s="931"/>
      <c r="C2354" s="931"/>
      <c r="D2354" s="923" t="s">
        <v>19</v>
      </c>
      <c r="E2354" s="923"/>
    </row>
    <row r="2355" spans="1:11" ht="17.25" customHeight="1">
      <c r="A2355" s="931" t="str">
        <f>IF('Huong dan'!$E$4&lt;&gt;"","TRƯỜNG "&amp;UPPER('Huong dan'!$E$4),"")</f>
        <v>TRƯỜNG THCS VÀ THPT NGUYỄN KHUYẾN</v>
      </c>
      <c r="B2355" s="931"/>
      <c r="C2355" s="931"/>
      <c r="D2355" s="1012" t="s">
        <v>179</v>
      </c>
      <c r="E2355" s="1012"/>
    </row>
    <row r="2356" spans="1:11" ht="24" customHeight="1">
      <c r="A2356" s="61"/>
      <c r="B2356" s="61"/>
      <c r="C2356" s="61"/>
    </row>
    <row r="2357" spans="1:11" ht="29.25" customHeight="1">
      <c r="A2357" s="1013" t="str">
        <f>"PHIẾU ĐIỂM HỌC KỲ I - NĂM HỌC "&amp;'Huong dan'!$C$5</f>
        <v>PHIẾU ĐIỂM HỌC KỲ I - NĂM HỌC 2021 - 2022</v>
      </c>
      <c r="B2357" s="1013"/>
      <c r="C2357" s="1013"/>
      <c r="D2357" s="1013"/>
      <c r="E2357" s="1013"/>
    </row>
    <row r="2358" spans="1:11" ht="15.75" customHeight="1">
      <c r="A2358" s="680"/>
      <c r="B2358" s="680"/>
    </row>
    <row r="2359" spans="1:11" ht="21" customHeight="1">
      <c r="A2359" s="1014" t="s">
        <v>145</v>
      </c>
      <c r="B2359" s="1014"/>
      <c r="C2359" s="1015" t="str">
        <f>IF(E2398="","",INDEX(DiemHKI!$D$4:$D$58,MATCH(E2398,DiemHKI!$B$4:$B$58,0),1)&amp;" "&amp;INDEX(DiemHKI!$E$4:$E$58,MATCH(E2398,DiemHKI!$B$4:$B$58,0),1))</f>
        <v/>
      </c>
      <c r="D2359" s="1015"/>
      <c r="E2359" s="62" t="str">
        <f>IF('Huong dan'!$C$3="","","Lớp: "&amp;'Huong dan'!$C$3)</f>
        <v>Lớp: 12A1</v>
      </c>
    </row>
    <row r="2360" spans="1:11" ht="23.25" customHeight="1">
      <c r="A2360" s="1014" t="s">
        <v>146</v>
      </c>
      <c r="B2360" s="1014"/>
      <c r="C2360" s="681" t="str">
        <f>IF(E2398="","",INDEX(DiemHKI!$F$4:$F$58,MATCH(PDHKI!E2398,DiemHKI!$B$4:$B$58,0),1))</f>
        <v/>
      </c>
      <c r="D2360" s="1016" t="str">
        <f>IF(E2398="","","Nơi sinh: "&amp;INDEX(DiemHKI!$G$4:$G$58,MATCH(PDHKI!E2398,DiemHKI!$B$4:$B$58,0),1))</f>
        <v/>
      </c>
      <c r="E2360" s="1016"/>
    </row>
    <row r="2361" spans="1:11" ht="13.5" customHeight="1" thickBot="1">
      <c r="A2361" s="681"/>
      <c r="B2361" s="682"/>
      <c r="D2361" s="681"/>
      <c r="E2361" s="681"/>
    </row>
    <row r="2362" spans="1:11" ht="24" customHeight="1" thickBot="1">
      <c r="A2362" s="683" t="s">
        <v>0</v>
      </c>
      <c r="B2362" s="1006" t="s">
        <v>72</v>
      </c>
      <c r="C2362" s="1007"/>
      <c r="D2362" s="684" t="s">
        <v>147</v>
      </c>
      <c r="E2362" s="685" t="s">
        <v>148</v>
      </c>
    </row>
    <row r="2363" spans="1:11" ht="21" customHeight="1">
      <c r="A2363" s="686">
        <v>1</v>
      </c>
      <c r="B2363" s="1017" t="s">
        <v>26</v>
      </c>
      <c r="C2363" s="1018"/>
      <c r="D2363" s="687" t="str">
        <f>IF(E2398="","",IF(INDEX(THHKI!$A$8:$Y$62,MATCH(PDHKI!E2398,THHKI!$A$8:$A$62,0),INDEX($K$13:$K$27,MATCH(B2363,$J$13:$J$27,0),1))&lt;1,"/",INDEX(THHKI!$A$8:$Y$62,MATCH(PDHKI!E2398,THHKI!$A$8:$A$62,0),INDEX($K$13:$K$27,MATCH(B2363,$J$13:$J$27,0),1))))</f>
        <v/>
      </c>
      <c r="E2363" s="688"/>
      <c r="J2363" s="569" t="s">
        <v>26</v>
      </c>
      <c r="K2363" s="569">
        <v>7</v>
      </c>
    </row>
    <row r="2364" spans="1:11" ht="21" customHeight="1">
      <c r="A2364" s="689">
        <v>2</v>
      </c>
      <c r="B2364" s="1008" t="s">
        <v>27</v>
      </c>
      <c r="C2364" s="1009"/>
      <c r="D2364" s="690" t="str">
        <f>IF(E2398="","",IF(INDEX(THHKI!$A$8:$Y$62,MATCH(PDHKI!E2398,THHKI!$A$8:$A$62,0),INDEX($K$13:$K$27,MATCH(B2364,$J$13:$J$27,0),1))&lt;1,"/",INDEX(THHKI!$A$8:$Y$62,MATCH(PDHKI!E2398,THHKI!$A$8:$A$62,0),INDEX($K$13:$K$27,MATCH(B2364,$J$13:$J$27,0),1))))</f>
        <v/>
      </c>
      <c r="E2364" s="691"/>
      <c r="J2364" s="569" t="s">
        <v>27</v>
      </c>
      <c r="K2364" s="569">
        <v>8</v>
      </c>
    </row>
    <row r="2365" spans="1:11" ht="21" customHeight="1">
      <c r="A2365" s="689">
        <v>3</v>
      </c>
      <c r="B2365" s="1008" t="s">
        <v>28</v>
      </c>
      <c r="C2365" s="1009"/>
      <c r="D2365" s="690" t="str">
        <f>IF(E2398="","",IF(INDEX(THHKI!$A$8:$Y$62,MATCH(PDHKI!E2398,THHKI!$A$8:$A$62,0),INDEX($K$13:$K$27,MATCH(B2365,$J$13:$J$27,0),1))&lt;1,"/",INDEX(THHKI!$A$8:$Y$62,MATCH(PDHKI!E2398,THHKI!$A$8:$A$62,0),INDEX($K$13:$K$27,MATCH(B2365,$J$13:$J$27,0),1))))</f>
        <v/>
      </c>
      <c r="E2365" s="691"/>
      <c r="J2365" s="569" t="s">
        <v>28</v>
      </c>
      <c r="K2365" s="569">
        <v>9</v>
      </c>
    </row>
    <row r="2366" spans="1:11" ht="21" customHeight="1">
      <c r="A2366" s="689">
        <v>4</v>
      </c>
      <c r="B2366" s="1008" t="s">
        <v>29</v>
      </c>
      <c r="C2366" s="1009"/>
      <c r="D2366" s="690" t="str">
        <f>IF(E2398="","",IF(INDEX(THHKI!$A$8:$Y$62,MATCH(PDHKI!E2398,THHKI!$A$8:$A$62,0),INDEX($K$13:$K$27,MATCH(B2366,$J$13:$J$27,0),1))&lt;1,"/",INDEX(THHKI!$A$8:$Y$62,MATCH(PDHKI!E2398,THHKI!$A$8:$A$62,0),INDEX($K$13:$K$27,MATCH(B2366,$J$13:$J$27,0),1))))</f>
        <v/>
      </c>
      <c r="E2366" s="691"/>
      <c r="J2366" s="569" t="s">
        <v>29</v>
      </c>
      <c r="K2366" s="569">
        <v>10</v>
      </c>
    </row>
    <row r="2367" spans="1:11" ht="21" customHeight="1">
      <c r="A2367" s="689">
        <v>5</v>
      </c>
      <c r="B2367" s="1008" t="s">
        <v>120</v>
      </c>
      <c r="C2367" s="1009"/>
      <c r="D2367" s="690" t="str">
        <f>IF(E2398="","",IF(INDEX(THHKI!$A$8:$Y$62,MATCH(PDHKI!E2398,THHKI!$A$8:$A$62,0),INDEX($K$13:$K$27,MATCH(B2367,$J$13:$J$27,0),1))&lt;1,"/",INDEX(THHKI!$A$8:$Y$62,MATCH(PDHKI!E2398,THHKI!$A$8:$A$62,0),INDEX($K$13:$K$27,MATCH(B2367,$J$13:$J$27,0),1))))</f>
        <v/>
      </c>
      <c r="E2367" s="691"/>
      <c r="J2367" s="569" t="s">
        <v>120</v>
      </c>
      <c r="K2367" s="569">
        <v>11</v>
      </c>
    </row>
    <row r="2368" spans="1:11" ht="21" customHeight="1">
      <c r="A2368" s="689">
        <v>6</v>
      </c>
      <c r="B2368" s="1008" t="s">
        <v>30</v>
      </c>
      <c r="C2368" s="1009"/>
      <c r="D2368" s="690" t="str">
        <f>IF(E2398="","",IF(INDEX(THHKI!$A$8:$Y$62,MATCH(PDHKI!E2398,THHKI!$A$8:$A$62,0),INDEX($K$13:$K$27,MATCH(B2368,$J$13:$J$27,0),1))&lt;1,"/",INDEX(THHKI!$A$8:$Y$62,MATCH(PDHKI!E2398,THHKI!$A$8:$A$62,0),INDEX($K$13:$K$27,MATCH(B2368,$J$13:$J$27,0),1))))</f>
        <v/>
      </c>
      <c r="E2368" s="691"/>
      <c r="J2368" s="569" t="s">
        <v>30</v>
      </c>
      <c r="K2368" s="569">
        <v>12</v>
      </c>
    </row>
    <row r="2369" spans="1:11" ht="21" customHeight="1">
      <c r="A2369" s="689">
        <v>7</v>
      </c>
      <c r="B2369" s="1008" t="s">
        <v>31</v>
      </c>
      <c r="C2369" s="1009"/>
      <c r="D2369" s="690" t="str">
        <f>IF(E2398="","",IF(INDEX(THHKI!$A$8:$Y$62,MATCH(PDHKI!E2398,THHKI!$A$8:$A$62,0),INDEX($K$13:$K$27,MATCH(B2369,$J$13:$J$27,0),1))&lt;1,"/",INDEX(THHKI!$A$8:$Y$62,MATCH(PDHKI!E2398,THHKI!$A$8:$A$62,0),INDEX($K$13:$K$27,MATCH(B2369,$J$13:$J$27,0),1))))</f>
        <v/>
      </c>
      <c r="E2369" s="691"/>
      <c r="J2369" s="569" t="s">
        <v>31</v>
      </c>
      <c r="K2369" s="569">
        <v>13</v>
      </c>
    </row>
    <row r="2370" spans="1:11" ht="21" customHeight="1">
      <c r="A2370" s="689">
        <v>8</v>
      </c>
      <c r="B2370" s="1008" t="s">
        <v>32</v>
      </c>
      <c r="C2370" s="1009"/>
      <c r="D2370" s="690" t="str">
        <f>IF(E2398="","",IF(INDEX(THHKI!$A$8:$Y$62,MATCH(PDHKI!E2398,THHKI!$A$8:$A$62,0),INDEX($K$13:$K$27,MATCH(B2370,$J$13:$J$27,0),1))&lt;1,"/",INDEX(THHKI!$A$8:$Y$62,MATCH(PDHKI!E2398,THHKI!$A$8:$A$62,0),INDEX($K$13:$K$27,MATCH(B2370,$J$13:$J$27,0),1))))</f>
        <v/>
      </c>
      <c r="E2370" s="691"/>
      <c r="J2370" s="569" t="s">
        <v>32</v>
      </c>
      <c r="K2370" s="569">
        <v>14</v>
      </c>
    </row>
    <row r="2371" spans="1:11" ht="21" customHeight="1">
      <c r="A2371" s="689">
        <v>9</v>
      </c>
      <c r="B2371" s="1008" t="s">
        <v>33</v>
      </c>
      <c r="C2371" s="1009"/>
      <c r="D2371" s="690" t="str">
        <f>IF(E2398="","",IF(INDEX(THHKI!$A$8:$Y$62,MATCH(PDHKI!E2398,THHKI!$A$8:$A$62,0),INDEX($K$13:$K$27,MATCH(B2371,$J$13:$J$27,0),1))&lt;1,"/",INDEX(THHKI!$A$8:$Y$62,MATCH(PDHKI!E2398,THHKI!$A$8:$A$62,0),INDEX($K$13:$K$27,MATCH(B2371,$J$13:$J$27,0),1))))</f>
        <v/>
      </c>
      <c r="E2371" s="691"/>
      <c r="J2371" s="569" t="s">
        <v>33</v>
      </c>
      <c r="K2371" s="569">
        <v>15</v>
      </c>
    </row>
    <row r="2372" spans="1:11" ht="21" customHeight="1">
      <c r="A2372" s="689">
        <v>10</v>
      </c>
      <c r="B2372" s="1008" t="s">
        <v>60</v>
      </c>
      <c r="C2372" s="1009"/>
      <c r="D2372" s="690" t="str">
        <f>IF(E2398="","",IF(INDEX(THHKI!$A$8:$Y$62,MATCH(PDHKI!E2398,THHKI!$A$8:$A$62,0),INDEX($K$13:$K$27,MATCH(B2372,$J$13:$J$27,0),1))&lt;1,"/",INDEX(THHKI!$A$8:$Y$62,MATCH(PDHKI!E2398,THHKI!$A$8:$A$62,0),INDEX($K$13:$K$27,MATCH(B2372,$J$13:$J$27,0),1))))</f>
        <v/>
      </c>
      <c r="E2372" s="691"/>
      <c r="J2372" s="569" t="s">
        <v>60</v>
      </c>
      <c r="K2372" s="569">
        <v>16</v>
      </c>
    </row>
    <row r="2373" spans="1:11" ht="21" customHeight="1">
      <c r="A2373" s="689">
        <v>11</v>
      </c>
      <c r="B2373" s="1008" t="s">
        <v>34</v>
      </c>
      <c r="C2373" s="1009"/>
      <c r="D2373" s="690" t="str">
        <f>IF(E2398="","",IF(INDEX(THHKI!$A$8:$Y$62,MATCH(PDHKI!E2398,THHKI!$A$8:$A$62,0),INDEX($K$13:$K$27,MATCH(B2373,$J$13:$J$27,0),1))&lt;1,"/",INDEX(THHKI!$A$8:$Y$62,MATCH(PDHKI!E2398,THHKI!$A$8:$A$62,0),INDEX($K$13:$K$27,MATCH(B2373,$J$13:$J$27,0),1))))</f>
        <v/>
      </c>
      <c r="E2373" s="691"/>
      <c r="J2373" s="569" t="s">
        <v>34</v>
      </c>
      <c r="K2373" s="569">
        <v>17</v>
      </c>
    </row>
    <row r="2374" spans="1:11" ht="21" customHeight="1">
      <c r="A2374" s="689">
        <v>12</v>
      </c>
      <c r="B2374" s="1008" t="s">
        <v>35</v>
      </c>
      <c r="C2374" s="1009"/>
      <c r="D2374" s="690" t="str">
        <f>IF(E2398="","",IF(INDEX(THHKI!$A$8:$Y$62,MATCH(PDHKI!E2398,THHKI!$A$8:$A$62,0),INDEX($K$13:$K$27,MATCH(B2374,$J$13:$J$27,0),1))&lt;1,"/",INDEX(THHKI!$A$8:$Y$62,MATCH(PDHKI!E2398,THHKI!$A$8:$A$62,0),INDEX($K$13:$K$27,MATCH(B2374,$J$13:$J$27,0),1))))</f>
        <v/>
      </c>
      <c r="E2374" s="691"/>
      <c r="J2374" s="569" t="s">
        <v>35</v>
      </c>
      <c r="K2374" s="569">
        <v>18</v>
      </c>
    </row>
    <row r="2375" spans="1:11" ht="21" customHeight="1">
      <c r="A2375" s="689">
        <v>13</v>
      </c>
      <c r="B2375" s="1008" t="s">
        <v>121</v>
      </c>
      <c r="C2375" s="1009"/>
      <c r="D2375" s="690" t="str">
        <f>IF(E2398="","",IF(INDEX(THHKI!$A$8:$Y$62,MATCH(PDHKI!E2398,THHKI!$A$8:$A$62,0),INDEX($K$13:$K$27,MATCH(B2375,$J$13:$J$27,0),1))&lt;1,"/",INDEX(THHKI!$A$8:$Y$62,MATCH(PDHKI!E2398,THHKI!$A$8:$A$62,0),INDEX($K$13:$K$27,MATCH(B2375,$J$13:$J$27,0),1))))</f>
        <v/>
      </c>
      <c r="E2375" s="691"/>
      <c r="J2375" s="569" t="s">
        <v>22</v>
      </c>
      <c r="K2375" s="569">
        <v>19</v>
      </c>
    </row>
    <row r="2376" spans="1:11" ht="21" customHeight="1" thickBot="1">
      <c r="A2376" s="692">
        <v>14</v>
      </c>
      <c r="B2376" s="1010" t="s">
        <v>122</v>
      </c>
      <c r="C2376" s="1011"/>
      <c r="D2376" s="693" t="str">
        <f>IF(E2398="","",IF(INDEX(THHKI!$A$8:$Y$62,MATCH(PDHKI!E2398,THHKI!$A$8:$A$62,0),INDEX($K$13:$K$27,MATCH(B2376,$J$13:$J$27,0),1))&lt;1,"/",INDEX(THHKI!$A$8:$Y$62,MATCH(PDHKI!E2398,THHKI!$A$8:$A$62,0),INDEX($K$13:$K$27,MATCH(B2376,$J$13:$J$27,0),1))))</f>
        <v/>
      </c>
      <c r="E2376" s="694"/>
      <c r="J2376" s="569" t="s">
        <v>121</v>
      </c>
      <c r="K2376" s="569">
        <v>20</v>
      </c>
    </row>
    <row r="2377" spans="1:11" ht="21" customHeight="1" thickBot="1">
      <c r="A2377" s="695">
        <v>15</v>
      </c>
      <c r="B2377" s="1006" t="s">
        <v>149</v>
      </c>
      <c r="C2377" s="1007"/>
      <c r="D2377" s="696" t="str">
        <f>IF(E2398="","",IF(INDEX(THHKI!$A$8:$Y$62,MATCH(PDHKI!E2398,THHKI!$A$8:$A$62,0),22)&lt;1,"/",INDEX(THHKI!$A$8:$Y$62,MATCH(PDHKI!E2398,THHKI!$A$8:$A$62,0),22)))</f>
        <v/>
      </c>
      <c r="E2377" s="697"/>
      <c r="J2377" s="569" t="s">
        <v>122</v>
      </c>
      <c r="K2377" s="569">
        <v>21</v>
      </c>
    </row>
    <row r="2378" spans="1:11" ht="15.75" customHeight="1" thickBot="1"/>
    <row r="2379" spans="1:11" s="570" customFormat="1" ht="21" customHeight="1">
      <c r="A2379" s="698"/>
      <c r="B2379" s="1019" t="s">
        <v>150</v>
      </c>
      <c r="C2379" s="1020"/>
      <c r="D2379" s="699" t="s">
        <v>10</v>
      </c>
      <c r="E2379" s="700" t="s">
        <v>126</v>
      </c>
    </row>
    <row r="2380" spans="1:11" ht="21" customHeight="1">
      <c r="A2380" s="701">
        <v>16</v>
      </c>
      <c r="B2380" s="1021" t="s">
        <v>151</v>
      </c>
      <c r="C2380" s="1022"/>
      <c r="D2380" s="702" t="str">
        <f>IF(E2398="","",IF(INDEX(THHKI!$A$8:$Y$62,MATCH(PDHKI!E2398,THHKI!$A$8:$A$62,0),23)="","/",INDEX(THHKI!$A$8:$Y$62,MATCH(PDHKI!E2398,THHKI!$A$8:$A$62,0),23)))</f>
        <v/>
      </c>
      <c r="E2380" s="703"/>
    </row>
    <row r="2381" spans="1:11" ht="21" customHeight="1">
      <c r="A2381" s="701">
        <v>17</v>
      </c>
      <c r="B2381" s="1021" t="s">
        <v>152</v>
      </c>
      <c r="C2381" s="1022"/>
      <c r="D2381" s="702" t="str">
        <f>IF(E2398="","",IF(INDEX(THHKI!$A$8:$Y$62,MATCH(PDHKI!E2398,THHKI!$A$8:$A$62,0),24)="","/",INDEX(THHKI!$A$8:$Y$62,MATCH(PDHKI!E2398,THHKI!$A$8:$A$62,0),24)))</f>
        <v/>
      </c>
      <c r="E2381" s="703"/>
    </row>
    <row r="2382" spans="1:11" ht="21" customHeight="1" thickBot="1">
      <c r="A2382" s="704">
        <v>18</v>
      </c>
      <c r="B2382" s="1023" t="s">
        <v>153</v>
      </c>
      <c r="C2382" s="1024"/>
      <c r="D2382" s="705" t="str">
        <f>IF(E2398="","",IF(INDEX(THHKI!$A$8:$Y$62,MATCH(PDHKI!E2398,THHKI!$A$8:$A$62,0),25)="","/",INDEX(THHKI!$A$8:$Y$62,MATCH(PDHKI!E2398,THHKI!$A$8:$A$62,0),25)))</f>
        <v/>
      </c>
      <c r="E2382" s="706"/>
    </row>
    <row r="2383" spans="1:11" ht="9.75" customHeight="1"/>
    <row r="2384" spans="1:11" ht="15.75" customHeight="1">
      <c r="A2384" s="58" t="s">
        <v>219</v>
      </c>
    </row>
    <row r="2385" spans="1:8" ht="18" customHeight="1">
      <c r="A2385" s="59" t="str">
        <f>IF(E2398="","",IF(INDEX(DiemHKI!$DE$4:$DH$58,MATCH(PDHKI!E2398,DiemHKI!$B$4:$B$58,0),1)="","","- "&amp;INDEX(DiemHKI!$DE$4:$DH$58,MATCH(PDHKI!E2398,DiemHKI!$B$4:$B$58,0),1)))</f>
        <v/>
      </c>
      <c r="H2385" s="571"/>
    </row>
    <row r="2386" spans="1:8" ht="18" customHeight="1">
      <c r="A2386" s="59" t="str">
        <f>IF(E2398="","",IF(INDEX(DiemHKI!$DE$4:$DH$58,MATCH(PDHKI!E2398,DiemHKI!$B$4:$B$58,0),2)="","","- "&amp;INDEX(DiemHKI!$DE$4:$DH$58,MATCH(PDHKI!E2398,DiemHKI!$B$4:$B$58,0),2)))</f>
        <v/>
      </c>
    </row>
    <row r="2387" spans="1:8" ht="18" customHeight="1">
      <c r="A2387" s="59" t="str">
        <f>IF(E2398="","",IF(INDEX(DiemHKI!$DE$4:$DH$58,MATCH(PDHKI!E2398,DiemHKI!$B$4:$B$58,0),3)="","","- "&amp;INDEX(DiemHKI!$DE$4:$DH$58,MATCH(PDHKI!E2398,DiemHKI!$B$4:$B$58,0),3)))</f>
        <v/>
      </c>
    </row>
    <row r="2388" spans="1:8" ht="18" customHeight="1">
      <c r="A2388" s="59" t="str">
        <f>IF(E2398="","",IF(INDEX(DiemHKI!$DE$4:$DH$58,MATCH(PDHKI!E2398,DiemHKI!$B$4:$B$58,0),4)="","","- "&amp;INDEX(DiemHKI!$DE$4:$DH$58,MATCH(PDHKI!E2398,DiemHKI!$B$4:$B$58,0),4)))</f>
        <v/>
      </c>
    </row>
    <row r="2389" spans="1:8" ht="6.75" customHeight="1"/>
    <row r="2390" spans="1:8" ht="16.5" customHeight="1">
      <c r="A2390" s="61"/>
      <c r="C2390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390" s="1026"/>
      <c r="E2390" s="1026"/>
    </row>
    <row r="2391" spans="1:8" ht="21.75" customHeight="1">
      <c r="A2391" s="923" t="str">
        <f>IF($D$41="Hiệu trưởng","Giáo viên Quản nhiệm","")</f>
        <v>Giáo viên Quản nhiệm</v>
      </c>
      <c r="B2391" s="923"/>
      <c r="C2391" s="923"/>
      <c r="D2391" s="707" t="str">
        <f>IF($G$5="","",$G$5)</f>
        <v>Hiệu trưởng</v>
      </c>
      <c r="E2391" s="708"/>
    </row>
    <row r="2392" spans="1:8" ht="15" customHeight="1">
      <c r="A2392" s="61"/>
      <c r="B2392" s="61"/>
      <c r="C2392" s="61"/>
      <c r="D2392" s="66"/>
      <c r="E2392" s="66"/>
    </row>
    <row r="2393" spans="1:8" ht="15" customHeight="1">
      <c r="A2393" s="61"/>
      <c r="B2393" s="61"/>
      <c r="C2393" s="61"/>
      <c r="D2393" s="66"/>
      <c r="E2393" s="66"/>
    </row>
    <row r="2394" spans="1:8" ht="15" customHeight="1">
      <c r="A2394" s="61"/>
      <c r="B2394" s="61"/>
      <c r="C2394" s="61"/>
    </row>
    <row r="2395" spans="1:8" ht="15" customHeight="1">
      <c r="A2395" s="61"/>
      <c r="B2395" s="61"/>
      <c r="C2395" s="61"/>
    </row>
    <row r="2396" spans="1:8" ht="16.5" customHeight="1">
      <c r="A2396" s="1012" t="str">
        <f>IF($A$41="","",PROPER('Huong dan'!$C$4))</f>
        <v/>
      </c>
      <c r="B2396" s="1012"/>
      <c r="C2396" s="1012"/>
      <c r="D2396" s="833" t="str">
        <f>IFERROR(IF($D$41="Giáo Viên Quản nhiệm",PROPER('Huong dan'!$C$4),IF($D$41="Hiệu trưởng",PROPER('Huong dan'!$E$5),"")),"")</f>
        <v/>
      </c>
      <c r="E2396" s="708"/>
    </row>
    <row r="2397" spans="1:8" ht="12.75" customHeight="1"/>
    <row r="2398" spans="1:8" ht="12.75" customHeight="1">
      <c r="A2398" s="709"/>
      <c r="B2398" s="709"/>
      <c r="C2398" s="709"/>
      <c r="D2398" s="710"/>
      <c r="E2398" s="711" t="str">
        <f>IF(E2351="","",IF(E2351&lt;MAX(DiemHKI!$B$4:$B$58),E2351+1,""))</f>
        <v/>
      </c>
    </row>
    <row r="2399" spans="1:8" ht="8.25" customHeight="1">
      <c r="A2399" s="709"/>
      <c r="B2399" s="709"/>
      <c r="C2399" s="709"/>
      <c r="D2399" s="709"/>
      <c r="E2399" s="709"/>
    </row>
    <row r="2400" spans="1:8" ht="5.25" customHeight="1"/>
    <row r="2401" spans="1:11" s="563" customFormat="1" ht="23.25" customHeight="1">
      <c r="A2401" s="931" t="str">
        <f>IF('Huong dan'!$E$3&lt;&gt;"","SỞ GIÁO DỤC VÀ ĐÀO TẠO "&amp;UPPER('Huong dan'!$E$3),"")</f>
        <v>SỞ GIÁO DỤC VÀ ĐÀO TẠO TP. HỒ CHÍ MINH</v>
      </c>
      <c r="B2401" s="931"/>
      <c r="C2401" s="931"/>
      <c r="D2401" s="923" t="s">
        <v>19</v>
      </c>
      <c r="E2401" s="923"/>
    </row>
    <row r="2402" spans="1:11" ht="17.25" customHeight="1">
      <c r="A2402" s="931" t="str">
        <f>IF('Huong dan'!$E$4&lt;&gt;"","TRƯỜNG "&amp;UPPER('Huong dan'!$E$4),"")</f>
        <v>TRƯỜNG THCS VÀ THPT NGUYỄN KHUYẾN</v>
      </c>
      <c r="B2402" s="931"/>
      <c r="C2402" s="931"/>
      <c r="D2402" s="1012" t="s">
        <v>179</v>
      </c>
      <c r="E2402" s="1012"/>
    </row>
    <row r="2403" spans="1:11" ht="24" customHeight="1">
      <c r="A2403" s="61"/>
      <c r="B2403" s="61"/>
      <c r="C2403" s="61"/>
    </row>
    <row r="2404" spans="1:11" ht="29.25" customHeight="1">
      <c r="A2404" s="1013" t="str">
        <f>"PHIẾU ĐIỂM HỌC KỲ I - NĂM HỌC "&amp;'Huong dan'!$C$5</f>
        <v>PHIẾU ĐIỂM HỌC KỲ I - NĂM HỌC 2021 - 2022</v>
      </c>
      <c r="B2404" s="1013"/>
      <c r="C2404" s="1013"/>
      <c r="D2404" s="1013"/>
      <c r="E2404" s="1013"/>
    </row>
    <row r="2405" spans="1:11" ht="15.75" customHeight="1">
      <c r="A2405" s="680"/>
      <c r="B2405" s="680"/>
    </row>
    <row r="2406" spans="1:11" ht="21" customHeight="1">
      <c r="A2406" s="1014" t="s">
        <v>145</v>
      </c>
      <c r="B2406" s="1014"/>
      <c r="C2406" s="1015" t="str">
        <f>IF(E2445="","",INDEX(DiemHKI!$D$4:$D$58,MATCH(E2445,DiemHKI!$B$4:$B$58,0),1)&amp;" "&amp;INDEX(DiemHKI!$E$4:$E$58,MATCH(E2445,DiemHKI!$B$4:$B$58,0),1))</f>
        <v/>
      </c>
      <c r="D2406" s="1015"/>
      <c r="E2406" s="62" t="str">
        <f>IF('Huong dan'!$C$3="","","Lớp: "&amp;'Huong dan'!$C$3)</f>
        <v>Lớp: 12A1</v>
      </c>
    </row>
    <row r="2407" spans="1:11" ht="23.25" customHeight="1">
      <c r="A2407" s="1014" t="s">
        <v>146</v>
      </c>
      <c r="B2407" s="1014"/>
      <c r="C2407" s="681" t="str">
        <f>IF(E2445="","",INDEX(DiemHKI!$F$4:$F$58,MATCH(PDHKI!E2445,DiemHKI!$B$4:$B$58,0),1))</f>
        <v/>
      </c>
      <c r="D2407" s="1016" t="str">
        <f>IF(E2445="","","Nơi sinh: "&amp;INDEX(DiemHKI!$G$4:$G$58,MATCH(PDHKI!E2445,DiemHKI!$B$4:$B$58,0),1))</f>
        <v/>
      </c>
      <c r="E2407" s="1016"/>
    </row>
    <row r="2408" spans="1:11" ht="13.5" customHeight="1" thickBot="1">
      <c r="A2408" s="681"/>
      <c r="B2408" s="682"/>
      <c r="D2408" s="681"/>
      <c r="E2408" s="681"/>
    </row>
    <row r="2409" spans="1:11" ht="24" customHeight="1" thickBot="1">
      <c r="A2409" s="683" t="s">
        <v>0</v>
      </c>
      <c r="B2409" s="1006" t="s">
        <v>72</v>
      </c>
      <c r="C2409" s="1007"/>
      <c r="D2409" s="684" t="s">
        <v>147</v>
      </c>
      <c r="E2409" s="685" t="s">
        <v>148</v>
      </c>
    </row>
    <row r="2410" spans="1:11" ht="21" customHeight="1">
      <c r="A2410" s="686">
        <v>1</v>
      </c>
      <c r="B2410" s="1017" t="s">
        <v>26</v>
      </c>
      <c r="C2410" s="1018"/>
      <c r="D2410" s="687" t="str">
        <f>IF(E2445="","",IF(INDEX(THHKI!$A$8:$Y$62,MATCH(PDHKI!E2445,THHKI!$A$8:$A$62,0),INDEX($K$13:$K$27,MATCH(B2410,$J$13:$J$27,0),1))&lt;1,"/",INDEX(THHKI!$A$8:$Y$62,MATCH(PDHKI!E2445,THHKI!$A$8:$A$62,0),INDEX($K$13:$K$27,MATCH(B2410,$J$13:$J$27,0),1))))</f>
        <v/>
      </c>
      <c r="E2410" s="688"/>
      <c r="J2410" s="569" t="s">
        <v>26</v>
      </c>
      <c r="K2410" s="569">
        <v>7</v>
      </c>
    </row>
    <row r="2411" spans="1:11" ht="21" customHeight="1">
      <c r="A2411" s="689">
        <v>2</v>
      </c>
      <c r="B2411" s="1008" t="s">
        <v>27</v>
      </c>
      <c r="C2411" s="1009"/>
      <c r="D2411" s="690" t="str">
        <f>IF(E2445="","",IF(INDEX(THHKI!$A$8:$Y$62,MATCH(PDHKI!E2445,THHKI!$A$8:$A$62,0),INDEX($K$13:$K$27,MATCH(B2411,$J$13:$J$27,0),1))&lt;1,"/",INDEX(THHKI!$A$8:$Y$62,MATCH(PDHKI!E2445,THHKI!$A$8:$A$62,0),INDEX($K$13:$K$27,MATCH(B2411,$J$13:$J$27,0),1))))</f>
        <v/>
      </c>
      <c r="E2411" s="691"/>
      <c r="J2411" s="569" t="s">
        <v>27</v>
      </c>
      <c r="K2411" s="569">
        <v>8</v>
      </c>
    </row>
    <row r="2412" spans="1:11" ht="21" customHeight="1">
      <c r="A2412" s="689">
        <v>3</v>
      </c>
      <c r="B2412" s="1008" t="s">
        <v>28</v>
      </c>
      <c r="C2412" s="1009"/>
      <c r="D2412" s="690" t="str">
        <f>IF(E2445="","",IF(INDEX(THHKI!$A$8:$Y$62,MATCH(PDHKI!E2445,THHKI!$A$8:$A$62,0),INDEX($K$13:$K$27,MATCH(B2412,$J$13:$J$27,0),1))&lt;1,"/",INDEX(THHKI!$A$8:$Y$62,MATCH(PDHKI!E2445,THHKI!$A$8:$A$62,0),INDEX($K$13:$K$27,MATCH(B2412,$J$13:$J$27,0),1))))</f>
        <v/>
      </c>
      <c r="E2412" s="691"/>
      <c r="J2412" s="569" t="s">
        <v>28</v>
      </c>
      <c r="K2412" s="569">
        <v>9</v>
      </c>
    </row>
    <row r="2413" spans="1:11" ht="21" customHeight="1">
      <c r="A2413" s="689">
        <v>4</v>
      </c>
      <c r="B2413" s="1008" t="s">
        <v>29</v>
      </c>
      <c r="C2413" s="1009"/>
      <c r="D2413" s="690" t="str">
        <f>IF(E2445="","",IF(INDEX(THHKI!$A$8:$Y$62,MATCH(PDHKI!E2445,THHKI!$A$8:$A$62,0),INDEX($K$13:$K$27,MATCH(B2413,$J$13:$J$27,0),1))&lt;1,"/",INDEX(THHKI!$A$8:$Y$62,MATCH(PDHKI!E2445,THHKI!$A$8:$A$62,0),INDEX($K$13:$K$27,MATCH(B2413,$J$13:$J$27,0),1))))</f>
        <v/>
      </c>
      <c r="E2413" s="691"/>
      <c r="J2413" s="569" t="s">
        <v>29</v>
      </c>
      <c r="K2413" s="569">
        <v>10</v>
      </c>
    </row>
    <row r="2414" spans="1:11" ht="21" customHeight="1">
      <c r="A2414" s="689">
        <v>5</v>
      </c>
      <c r="B2414" s="1008" t="s">
        <v>120</v>
      </c>
      <c r="C2414" s="1009"/>
      <c r="D2414" s="690" t="str">
        <f>IF(E2445="","",IF(INDEX(THHKI!$A$8:$Y$62,MATCH(PDHKI!E2445,THHKI!$A$8:$A$62,0),INDEX($K$13:$K$27,MATCH(B2414,$J$13:$J$27,0),1))&lt;1,"/",INDEX(THHKI!$A$8:$Y$62,MATCH(PDHKI!E2445,THHKI!$A$8:$A$62,0),INDEX($K$13:$K$27,MATCH(B2414,$J$13:$J$27,0),1))))</f>
        <v/>
      </c>
      <c r="E2414" s="691"/>
      <c r="J2414" s="569" t="s">
        <v>120</v>
      </c>
      <c r="K2414" s="569">
        <v>11</v>
      </c>
    </row>
    <row r="2415" spans="1:11" ht="21" customHeight="1">
      <c r="A2415" s="689">
        <v>6</v>
      </c>
      <c r="B2415" s="1008" t="s">
        <v>30</v>
      </c>
      <c r="C2415" s="1009"/>
      <c r="D2415" s="690" t="str">
        <f>IF(E2445="","",IF(INDEX(THHKI!$A$8:$Y$62,MATCH(PDHKI!E2445,THHKI!$A$8:$A$62,0),INDEX($K$13:$K$27,MATCH(B2415,$J$13:$J$27,0),1))&lt;1,"/",INDEX(THHKI!$A$8:$Y$62,MATCH(PDHKI!E2445,THHKI!$A$8:$A$62,0),INDEX($K$13:$K$27,MATCH(B2415,$J$13:$J$27,0),1))))</f>
        <v/>
      </c>
      <c r="E2415" s="691"/>
      <c r="J2415" s="569" t="s">
        <v>30</v>
      </c>
      <c r="K2415" s="569">
        <v>12</v>
      </c>
    </row>
    <row r="2416" spans="1:11" ht="21" customHeight="1">
      <c r="A2416" s="689">
        <v>7</v>
      </c>
      <c r="B2416" s="1008" t="s">
        <v>31</v>
      </c>
      <c r="C2416" s="1009"/>
      <c r="D2416" s="690" t="str">
        <f>IF(E2445="","",IF(INDEX(THHKI!$A$8:$Y$62,MATCH(PDHKI!E2445,THHKI!$A$8:$A$62,0),INDEX($K$13:$K$27,MATCH(B2416,$J$13:$J$27,0),1))&lt;1,"/",INDEX(THHKI!$A$8:$Y$62,MATCH(PDHKI!E2445,THHKI!$A$8:$A$62,0),INDEX($K$13:$K$27,MATCH(B2416,$J$13:$J$27,0),1))))</f>
        <v/>
      </c>
      <c r="E2416" s="691"/>
      <c r="J2416" s="569" t="s">
        <v>31</v>
      </c>
      <c r="K2416" s="569">
        <v>13</v>
      </c>
    </row>
    <row r="2417" spans="1:11" ht="21" customHeight="1">
      <c r="A2417" s="689">
        <v>8</v>
      </c>
      <c r="B2417" s="1008" t="s">
        <v>32</v>
      </c>
      <c r="C2417" s="1009"/>
      <c r="D2417" s="690" t="str">
        <f>IF(E2445="","",IF(INDEX(THHKI!$A$8:$Y$62,MATCH(PDHKI!E2445,THHKI!$A$8:$A$62,0),INDEX($K$13:$K$27,MATCH(B2417,$J$13:$J$27,0),1))&lt;1,"/",INDEX(THHKI!$A$8:$Y$62,MATCH(PDHKI!E2445,THHKI!$A$8:$A$62,0),INDEX($K$13:$K$27,MATCH(B2417,$J$13:$J$27,0),1))))</f>
        <v/>
      </c>
      <c r="E2417" s="691"/>
      <c r="J2417" s="569" t="s">
        <v>32</v>
      </c>
      <c r="K2417" s="569">
        <v>14</v>
      </c>
    </row>
    <row r="2418" spans="1:11" ht="21" customHeight="1">
      <c r="A2418" s="689">
        <v>9</v>
      </c>
      <c r="B2418" s="1008" t="s">
        <v>33</v>
      </c>
      <c r="C2418" s="1009"/>
      <c r="D2418" s="690" t="str">
        <f>IF(E2445="","",IF(INDEX(THHKI!$A$8:$Y$62,MATCH(PDHKI!E2445,THHKI!$A$8:$A$62,0),INDEX($K$13:$K$27,MATCH(B2418,$J$13:$J$27,0),1))&lt;1,"/",INDEX(THHKI!$A$8:$Y$62,MATCH(PDHKI!E2445,THHKI!$A$8:$A$62,0),INDEX($K$13:$K$27,MATCH(B2418,$J$13:$J$27,0),1))))</f>
        <v/>
      </c>
      <c r="E2418" s="691"/>
      <c r="J2418" s="569" t="s">
        <v>33</v>
      </c>
      <c r="K2418" s="569">
        <v>15</v>
      </c>
    </row>
    <row r="2419" spans="1:11" ht="21" customHeight="1">
      <c r="A2419" s="689">
        <v>10</v>
      </c>
      <c r="B2419" s="1008" t="s">
        <v>60</v>
      </c>
      <c r="C2419" s="1009"/>
      <c r="D2419" s="690" t="str">
        <f>IF(E2445="","",IF(INDEX(THHKI!$A$8:$Y$62,MATCH(PDHKI!E2445,THHKI!$A$8:$A$62,0),INDEX($K$13:$K$27,MATCH(B2419,$J$13:$J$27,0),1))&lt;1,"/",INDEX(THHKI!$A$8:$Y$62,MATCH(PDHKI!E2445,THHKI!$A$8:$A$62,0),INDEX($K$13:$K$27,MATCH(B2419,$J$13:$J$27,0),1))))</f>
        <v/>
      </c>
      <c r="E2419" s="691"/>
      <c r="J2419" s="569" t="s">
        <v>60</v>
      </c>
      <c r="K2419" s="569">
        <v>16</v>
      </c>
    </row>
    <row r="2420" spans="1:11" ht="21" customHeight="1">
      <c r="A2420" s="689">
        <v>11</v>
      </c>
      <c r="B2420" s="1008" t="s">
        <v>34</v>
      </c>
      <c r="C2420" s="1009"/>
      <c r="D2420" s="690" t="str">
        <f>IF(E2445="","",IF(INDEX(THHKI!$A$8:$Y$62,MATCH(PDHKI!E2445,THHKI!$A$8:$A$62,0),INDEX($K$13:$K$27,MATCH(B2420,$J$13:$J$27,0),1))&lt;1,"/",INDEX(THHKI!$A$8:$Y$62,MATCH(PDHKI!E2445,THHKI!$A$8:$A$62,0),INDEX($K$13:$K$27,MATCH(B2420,$J$13:$J$27,0),1))))</f>
        <v/>
      </c>
      <c r="E2420" s="691"/>
      <c r="J2420" s="569" t="s">
        <v>34</v>
      </c>
      <c r="K2420" s="569">
        <v>17</v>
      </c>
    </row>
    <row r="2421" spans="1:11" ht="21" customHeight="1">
      <c r="A2421" s="689">
        <v>12</v>
      </c>
      <c r="B2421" s="1008" t="s">
        <v>35</v>
      </c>
      <c r="C2421" s="1009"/>
      <c r="D2421" s="690" t="str">
        <f>IF(E2445="","",IF(INDEX(THHKI!$A$8:$Y$62,MATCH(PDHKI!E2445,THHKI!$A$8:$A$62,0),INDEX($K$13:$K$27,MATCH(B2421,$J$13:$J$27,0),1))&lt;1,"/",INDEX(THHKI!$A$8:$Y$62,MATCH(PDHKI!E2445,THHKI!$A$8:$A$62,0),INDEX($K$13:$K$27,MATCH(B2421,$J$13:$J$27,0),1))))</f>
        <v/>
      </c>
      <c r="E2421" s="691"/>
      <c r="J2421" s="569" t="s">
        <v>35</v>
      </c>
      <c r="K2421" s="569">
        <v>18</v>
      </c>
    </row>
    <row r="2422" spans="1:11" ht="21" customHeight="1">
      <c r="A2422" s="689">
        <v>13</v>
      </c>
      <c r="B2422" s="1008" t="s">
        <v>121</v>
      </c>
      <c r="C2422" s="1009"/>
      <c r="D2422" s="690" t="str">
        <f>IF(E2445="","",IF(INDEX(THHKI!$A$8:$Y$62,MATCH(PDHKI!E2445,THHKI!$A$8:$A$62,0),INDEX($K$13:$K$27,MATCH(B2422,$J$13:$J$27,0),1))&lt;1,"/",INDEX(THHKI!$A$8:$Y$62,MATCH(PDHKI!E2445,THHKI!$A$8:$A$62,0),INDEX($K$13:$K$27,MATCH(B2422,$J$13:$J$27,0),1))))</f>
        <v/>
      </c>
      <c r="E2422" s="691"/>
      <c r="J2422" s="569" t="s">
        <v>22</v>
      </c>
      <c r="K2422" s="569">
        <v>19</v>
      </c>
    </row>
    <row r="2423" spans="1:11" ht="21" customHeight="1" thickBot="1">
      <c r="A2423" s="692">
        <v>14</v>
      </c>
      <c r="B2423" s="1010" t="s">
        <v>122</v>
      </c>
      <c r="C2423" s="1011"/>
      <c r="D2423" s="693" t="str">
        <f>IF(E2445="","",IF(INDEX(THHKI!$A$8:$Y$62,MATCH(PDHKI!E2445,THHKI!$A$8:$A$62,0),INDEX($K$13:$K$27,MATCH(B2423,$J$13:$J$27,0),1))&lt;1,"/",INDEX(THHKI!$A$8:$Y$62,MATCH(PDHKI!E2445,THHKI!$A$8:$A$62,0),INDEX($K$13:$K$27,MATCH(B2423,$J$13:$J$27,0),1))))</f>
        <v/>
      </c>
      <c r="E2423" s="694"/>
      <c r="J2423" s="569" t="s">
        <v>121</v>
      </c>
      <c r="K2423" s="569">
        <v>20</v>
      </c>
    </row>
    <row r="2424" spans="1:11" ht="21" customHeight="1" thickBot="1">
      <c r="A2424" s="695">
        <v>15</v>
      </c>
      <c r="B2424" s="1006" t="s">
        <v>149</v>
      </c>
      <c r="C2424" s="1007"/>
      <c r="D2424" s="696" t="str">
        <f>IF(E2445="","",IF(INDEX(THHKI!$A$8:$Y$62,MATCH(PDHKI!E2445,THHKI!$A$8:$A$62,0),22)&lt;1,"/",INDEX(THHKI!$A$8:$Y$62,MATCH(PDHKI!E2445,THHKI!$A$8:$A$62,0),22)))</f>
        <v/>
      </c>
      <c r="E2424" s="697"/>
      <c r="J2424" s="569" t="s">
        <v>122</v>
      </c>
      <c r="K2424" s="569">
        <v>21</v>
      </c>
    </row>
    <row r="2425" spans="1:11" ht="15.75" customHeight="1" thickBot="1"/>
    <row r="2426" spans="1:11" s="570" customFormat="1" ht="21" customHeight="1">
      <c r="A2426" s="698"/>
      <c r="B2426" s="1019" t="s">
        <v>150</v>
      </c>
      <c r="C2426" s="1020"/>
      <c r="D2426" s="699" t="s">
        <v>10</v>
      </c>
      <c r="E2426" s="700" t="s">
        <v>126</v>
      </c>
    </row>
    <row r="2427" spans="1:11" ht="21" customHeight="1">
      <c r="A2427" s="701">
        <v>16</v>
      </c>
      <c r="B2427" s="1021" t="s">
        <v>151</v>
      </c>
      <c r="C2427" s="1022"/>
      <c r="D2427" s="702" t="str">
        <f>IF(E2445="","",IF(INDEX(THHKI!$A$8:$Y$62,MATCH(PDHKI!E2445,THHKI!$A$8:$A$62,0),23)="","/",INDEX(THHKI!$A$8:$Y$62,MATCH(PDHKI!E2445,THHKI!$A$8:$A$62,0),23)))</f>
        <v/>
      </c>
      <c r="E2427" s="703"/>
    </row>
    <row r="2428" spans="1:11" ht="21" customHeight="1">
      <c r="A2428" s="701">
        <v>17</v>
      </c>
      <c r="B2428" s="1021" t="s">
        <v>152</v>
      </c>
      <c r="C2428" s="1022"/>
      <c r="D2428" s="702" t="str">
        <f>IF(E2445="","",IF(INDEX(THHKI!$A$8:$Y$62,MATCH(PDHKI!E2445,THHKI!$A$8:$A$62,0),24)="","/",INDEX(THHKI!$A$8:$Y$62,MATCH(PDHKI!E2445,THHKI!$A$8:$A$62,0),24)))</f>
        <v/>
      </c>
      <c r="E2428" s="703"/>
    </row>
    <row r="2429" spans="1:11" ht="21" customHeight="1" thickBot="1">
      <c r="A2429" s="704">
        <v>18</v>
      </c>
      <c r="B2429" s="1023" t="s">
        <v>153</v>
      </c>
      <c r="C2429" s="1024"/>
      <c r="D2429" s="705" t="str">
        <f>IF(E2445="","",IF(INDEX(THHKI!$A$8:$Y$62,MATCH(PDHKI!E2445,THHKI!$A$8:$A$62,0),25)="","/",INDEX(THHKI!$A$8:$Y$62,MATCH(PDHKI!E2445,THHKI!$A$8:$A$62,0),25)))</f>
        <v/>
      </c>
      <c r="E2429" s="706"/>
    </row>
    <row r="2430" spans="1:11" ht="9.75" customHeight="1"/>
    <row r="2431" spans="1:11" ht="15.75" customHeight="1">
      <c r="A2431" s="58" t="s">
        <v>219</v>
      </c>
    </row>
    <row r="2432" spans="1:11" ht="18" customHeight="1">
      <c r="A2432" s="59" t="str">
        <f>IF(E2445="","",IF(INDEX(DiemHKI!$DE$4:$DH$58,MATCH(PDHKI!E2445,DiemHKI!$B$4:$B$58,0),1)="","","- "&amp;INDEX(DiemHKI!$DE$4:$DH$58,MATCH(PDHKI!E2445,DiemHKI!$B$4:$B$58,0),1)))</f>
        <v/>
      </c>
      <c r="H2432" s="571"/>
    </row>
    <row r="2433" spans="1:5" ht="18" customHeight="1">
      <c r="A2433" s="59" t="str">
        <f>IF(E2445="","",IF(INDEX(DiemHKI!$DE$4:$DH$58,MATCH(PDHKI!E2445,DiemHKI!$B$4:$B$58,0),2)="","","- "&amp;INDEX(DiemHKI!$DE$4:$DH$58,MATCH(PDHKI!E2445,DiemHKI!$B$4:$B$58,0),2)))</f>
        <v/>
      </c>
    </row>
    <row r="2434" spans="1:5" ht="18" customHeight="1">
      <c r="A2434" s="59" t="str">
        <f>IF(E2445="","",IF(INDEX(DiemHKI!$DE$4:$DH$58,MATCH(PDHKI!E2445,DiemHKI!$B$4:$B$58,0),3)="","","- "&amp;INDEX(DiemHKI!$DE$4:$DH$58,MATCH(PDHKI!E2445,DiemHKI!$B$4:$B$58,0),3)))</f>
        <v/>
      </c>
    </row>
    <row r="2435" spans="1:5" ht="18" customHeight="1">
      <c r="A2435" s="59" t="str">
        <f>IF(E2445="","",IF(INDEX(DiemHKI!$DE$4:$DH$58,MATCH(PDHKI!E2445,DiemHKI!$B$4:$B$58,0),4)="","","- "&amp;INDEX(DiemHKI!$DE$4:$DH$58,MATCH(PDHKI!E2445,DiemHKI!$B$4:$B$58,0),4)))</f>
        <v/>
      </c>
    </row>
    <row r="2436" spans="1:5" ht="6.75" customHeight="1"/>
    <row r="2437" spans="1:5" ht="16.5" customHeight="1">
      <c r="A2437" s="61"/>
      <c r="C2437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437" s="1026"/>
      <c r="E2437" s="1026"/>
    </row>
    <row r="2438" spans="1:5" ht="21.75" customHeight="1">
      <c r="A2438" s="923" t="str">
        <f>IF($D$41="Hiệu trưởng","Giáo viên Quản nhiệm","")</f>
        <v>Giáo viên Quản nhiệm</v>
      </c>
      <c r="B2438" s="923"/>
      <c r="C2438" s="923"/>
      <c r="D2438" s="707" t="str">
        <f>IF($G$5="","",$G$5)</f>
        <v>Hiệu trưởng</v>
      </c>
      <c r="E2438" s="708"/>
    </row>
    <row r="2439" spans="1:5" ht="15" customHeight="1">
      <c r="A2439" s="61"/>
      <c r="B2439" s="61"/>
      <c r="C2439" s="61"/>
      <c r="D2439" s="66"/>
      <c r="E2439" s="66"/>
    </row>
    <row r="2440" spans="1:5" ht="15" customHeight="1">
      <c r="A2440" s="61"/>
      <c r="B2440" s="61"/>
      <c r="C2440" s="61"/>
      <c r="D2440" s="66"/>
      <c r="E2440" s="66"/>
    </row>
    <row r="2441" spans="1:5" ht="15" customHeight="1">
      <c r="A2441" s="61"/>
      <c r="B2441" s="61"/>
      <c r="C2441" s="61"/>
    </row>
    <row r="2442" spans="1:5" ht="15" customHeight="1">
      <c r="A2442" s="61"/>
      <c r="B2442" s="61"/>
      <c r="C2442" s="61"/>
    </row>
    <row r="2443" spans="1:5" ht="16.5" customHeight="1">
      <c r="A2443" s="1012" t="str">
        <f>IF($A$41="","",PROPER('Huong dan'!$C$4))</f>
        <v/>
      </c>
      <c r="B2443" s="1012"/>
      <c r="C2443" s="1012"/>
      <c r="D2443" s="833" t="str">
        <f>IFERROR(IF($D$41="Giáo Viên Quản nhiệm",PROPER('Huong dan'!$C$4),IF($D$41="Hiệu trưởng",PROPER('Huong dan'!$E$5),"")),"")</f>
        <v/>
      </c>
      <c r="E2443" s="708"/>
    </row>
    <row r="2444" spans="1:5" ht="12.75" customHeight="1"/>
    <row r="2445" spans="1:5" ht="12.75" customHeight="1">
      <c r="A2445" s="709"/>
      <c r="B2445" s="709"/>
      <c r="C2445" s="709"/>
      <c r="D2445" s="710"/>
      <c r="E2445" s="711" t="str">
        <f>IF(E2398="","",IF(E2398&lt;MAX(DiemHKI!$B$4:$B$58),E2398+1,""))</f>
        <v/>
      </c>
    </row>
    <row r="2446" spans="1:5" ht="8.25" customHeight="1">
      <c r="A2446" s="709"/>
      <c r="B2446" s="709"/>
      <c r="C2446" s="709"/>
      <c r="D2446" s="709"/>
      <c r="E2446" s="709"/>
    </row>
    <row r="2447" spans="1:5" ht="5.25" customHeight="1"/>
    <row r="2448" spans="1:5" s="563" customFormat="1" ht="23.25" customHeight="1">
      <c r="A2448" s="931" t="str">
        <f>IF('Huong dan'!$E$3&lt;&gt;"","SỞ GIÁO DỤC VÀ ĐÀO TẠO "&amp;UPPER('Huong dan'!$E$3),"")</f>
        <v>SỞ GIÁO DỤC VÀ ĐÀO TẠO TP. HỒ CHÍ MINH</v>
      </c>
      <c r="B2448" s="931"/>
      <c r="C2448" s="931"/>
      <c r="D2448" s="923" t="s">
        <v>19</v>
      </c>
      <c r="E2448" s="923"/>
    </row>
    <row r="2449" spans="1:11" ht="17.25" customHeight="1">
      <c r="A2449" s="931" t="str">
        <f>IF('Huong dan'!$E$4&lt;&gt;"","TRƯỜNG "&amp;UPPER('Huong dan'!$E$4),"")</f>
        <v>TRƯỜNG THCS VÀ THPT NGUYỄN KHUYẾN</v>
      </c>
      <c r="B2449" s="931"/>
      <c r="C2449" s="931"/>
      <c r="D2449" s="1012" t="s">
        <v>179</v>
      </c>
      <c r="E2449" s="1012"/>
    </row>
    <row r="2450" spans="1:11" ht="24" customHeight="1">
      <c r="A2450" s="61"/>
      <c r="B2450" s="61"/>
      <c r="C2450" s="61"/>
    </row>
    <row r="2451" spans="1:11" ht="29.25" customHeight="1">
      <c r="A2451" s="1013" t="str">
        <f>"PHIẾU ĐIỂM HỌC KỲ I - NĂM HỌC "&amp;'Huong dan'!$C$5</f>
        <v>PHIẾU ĐIỂM HỌC KỲ I - NĂM HỌC 2021 - 2022</v>
      </c>
      <c r="B2451" s="1013"/>
      <c r="C2451" s="1013"/>
      <c r="D2451" s="1013"/>
      <c r="E2451" s="1013"/>
    </row>
    <row r="2452" spans="1:11" ht="15.75" customHeight="1">
      <c r="A2452" s="680"/>
      <c r="B2452" s="680"/>
    </row>
    <row r="2453" spans="1:11" ht="21" customHeight="1">
      <c r="A2453" s="1014" t="s">
        <v>145</v>
      </c>
      <c r="B2453" s="1014"/>
      <c r="C2453" s="1015" t="str">
        <f>IF(E2492="","",INDEX(DiemHKI!$D$4:$D$58,MATCH(E2492,DiemHKI!$B$4:$B$58,0),1)&amp;" "&amp;INDEX(DiemHKI!$E$4:$E$58,MATCH(E2492,DiemHKI!$B$4:$B$58,0),1))</f>
        <v/>
      </c>
      <c r="D2453" s="1015"/>
      <c r="E2453" s="62" t="str">
        <f>IF('Huong dan'!$C$3="","","Lớp: "&amp;'Huong dan'!$C$3)</f>
        <v>Lớp: 12A1</v>
      </c>
    </row>
    <row r="2454" spans="1:11" ht="23.25" customHeight="1">
      <c r="A2454" s="1014" t="s">
        <v>146</v>
      </c>
      <c r="B2454" s="1014"/>
      <c r="C2454" s="681" t="str">
        <f>IF(E2492="","",INDEX(DiemHKI!$F$4:$F$58,MATCH(PDHKI!E2492,DiemHKI!$B$4:$B$58,0),1))</f>
        <v/>
      </c>
      <c r="D2454" s="1016" t="str">
        <f>IF(E2492="","","Nơi sinh: "&amp;INDEX(DiemHKI!$G$4:$G$58,MATCH(PDHKI!E2492,DiemHKI!$B$4:$B$58,0),1))</f>
        <v/>
      </c>
      <c r="E2454" s="1016"/>
    </row>
    <row r="2455" spans="1:11" ht="13.5" customHeight="1" thickBot="1">
      <c r="A2455" s="681"/>
      <c r="B2455" s="682"/>
      <c r="D2455" s="681"/>
      <c r="E2455" s="681"/>
    </row>
    <row r="2456" spans="1:11" ht="24" customHeight="1" thickBot="1">
      <c r="A2456" s="683" t="s">
        <v>0</v>
      </c>
      <c r="B2456" s="1006" t="s">
        <v>72</v>
      </c>
      <c r="C2456" s="1007"/>
      <c r="D2456" s="684" t="s">
        <v>147</v>
      </c>
      <c r="E2456" s="685" t="s">
        <v>148</v>
      </c>
    </row>
    <row r="2457" spans="1:11" ht="21" customHeight="1">
      <c r="A2457" s="686">
        <v>1</v>
      </c>
      <c r="B2457" s="1017" t="s">
        <v>26</v>
      </c>
      <c r="C2457" s="1018"/>
      <c r="D2457" s="687" t="str">
        <f>IF(E2492="","",IF(INDEX(THHKI!$A$8:$Y$62,MATCH(PDHKI!E2492,THHKI!$A$8:$A$62,0),INDEX($K$13:$K$27,MATCH(B2457,$J$13:$J$27,0),1))&lt;1,"/",INDEX(THHKI!$A$8:$Y$62,MATCH(PDHKI!E2492,THHKI!$A$8:$A$62,0),INDEX($K$13:$K$27,MATCH(B2457,$J$13:$J$27,0),1))))</f>
        <v/>
      </c>
      <c r="E2457" s="688"/>
      <c r="J2457" s="569" t="s">
        <v>26</v>
      </c>
      <c r="K2457" s="569">
        <v>7</v>
      </c>
    </row>
    <row r="2458" spans="1:11" ht="21" customHeight="1">
      <c r="A2458" s="689">
        <v>2</v>
      </c>
      <c r="B2458" s="1008" t="s">
        <v>27</v>
      </c>
      <c r="C2458" s="1009"/>
      <c r="D2458" s="690" t="str">
        <f>IF(E2492="","",IF(INDEX(THHKI!$A$8:$Y$62,MATCH(PDHKI!E2492,THHKI!$A$8:$A$62,0),INDEX($K$13:$K$27,MATCH(B2458,$J$13:$J$27,0),1))&lt;1,"/",INDEX(THHKI!$A$8:$Y$62,MATCH(PDHKI!E2492,THHKI!$A$8:$A$62,0),INDEX($K$13:$K$27,MATCH(B2458,$J$13:$J$27,0),1))))</f>
        <v/>
      </c>
      <c r="E2458" s="691"/>
      <c r="J2458" s="569" t="s">
        <v>27</v>
      </c>
      <c r="K2458" s="569">
        <v>8</v>
      </c>
    </row>
    <row r="2459" spans="1:11" ht="21" customHeight="1">
      <c r="A2459" s="689">
        <v>3</v>
      </c>
      <c r="B2459" s="1008" t="s">
        <v>28</v>
      </c>
      <c r="C2459" s="1009"/>
      <c r="D2459" s="690" t="str">
        <f>IF(E2492="","",IF(INDEX(THHKI!$A$8:$Y$62,MATCH(PDHKI!E2492,THHKI!$A$8:$A$62,0),INDEX($K$13:$K$27,MATCH(B2459,$J$13:$J$27,0),1))&lt;1,"/",INDEX(THHKI!$A$8:$Y$62,MATCH(PDHKI!E2492,THHKI!$A$8:$A$62,0),INDEX($K$13:$K$27,MATCH(B2459,$J$13:$J$27,0),1))))</f>
        <v/>
      </c>
      <c r="E2459" s="691"/>
      <c r="J2459" s="569" t="s">
        <v>28</v>
      </c>
      <c r="K2459" s="569">
        <v>9</v>
      </c>
    </row>
    <row r="2460" spans="1:11" ht="21" customHeight="1">
      <c r="A2460" s="689">
        <v>4</v>
      </c>
      <c r="B2460" s="1008" t="s">
        <v>29</v>
      </c>
      <c r="C2460" s="1009"/>
      <c r="D2460" s="690" t="str">
        <f>IF(E2492="","",IF(INDEX(THHKI!$A$8:$Y$62,MATCH(PDHKI!E2492,THHKI!$A$8:$A$62,0),INDEX($K$13:$K$27,MATCH(B2460,$J$13:$J$27,0),1))&lt;1,"/",INDEX(THHKI!$A$8:$Y$62,MATCH(PDHKI!E2492,THHKI!$A$8:$A$62,0),INDEX($K$13:$K$27,MATCH(B2460,$J$13:$J$27,0),1))))</f>
        <v/>
      </c>
      <c r="E2460" s="691"/>
      <c r="J2460" s="569" t="s">
        <v>29</v>
      </c>
      <c r="K2460" s="569">
        <v>10</v>
      </c>
    </row>
    <row r="2461" spans="1:11" ht="21" customHeight="1">
      <c r="A2461" s="689">
        <v>5</v>
      </c>
      <c r="B2461" s="1008" t="s">
        <v>120</v>
      </c>
      <c r="C2461" s="1009"/>
      <c r="D2461" s="690" t="str">
        <f>IF(E2492="","",IF(INDEX(THHKI!$A$8:$Y$62,MATCH(PDHKI!E2492,THHKI!$A$8:$A$62,0),INDEX($K$13:$K$27,MATCH(B2461,$J$13:$J$27,0),1))&lt;1,"/",INDEX(THHKI!$A$8:$Y$62,MATCH(PDHKI!E2492,THHKI!$A$8:$A$62,0),INDEX($K$13:$K$27,MATCH(B2461,$J$13:$J$27,0),1))))</f>
        <v/>
      </c>
      <c r="E2461" s="691"/>
      <c r="J2461" s="569" t="s">
        <v>120</v>
      </c>
      <c r="K2461" s="569">
        <v>11</v>
      </c>
    </row>
    <row r="2462" spans="1:11" ht="21" customHeight="1">
      <c r="A2462" s="689">
        <v>6</v>
      </c>
      <c r="B2462" s="1008" t="s">
        <v>30</v>
      </c>
      <c r="C2462" s="1009"/>
      <c r="D2462" s="690" t="str">
        <f>IF(E2492="","",IF(INDEX(THHKI!$A$8:$Y$62,MATCH(PDHKI!E2492,THHKI!$A$8:$A$62,0),INDEX($K$13:$K$27,MATCH(B2462,$J$13:$J$27,0),1))&lt;1,"/",INDEX(THHKI!$A$8:$Y$62,MATCH(PDHKI!E2492,THHKI!$A$8:$A$62,0),INDEX($K$13:$K$27,MATCH(B2462,$J$13:$J$27,0),1))))</f>
        <v/>
      </c>
      <c r="E2462" s="691"/>
      <c r="J2462" s="569" t="s">
        <v>30</v>
      </c>
      <c r="K2462" s="569">
        <v>12</v>
      </c>
    </row>
    <row r="2463" spans="1:11" ht="21" customHeight="1">
      <c r="A2463" s="689">
        <v>7</v>
      </c>
      <c r="B2463" s="1008" t="s">
        <v>31</v>
      </c>
      <c r="C2463" s="1009"/>
      <c r="D2463" s="690" t="str">
        <f>IF(E2492="","",IF(INDEX(THHKI!$A$8:$Y$62,MATCH(PDHKI!E2492,THHKI!$A$8:$A$62,0),INDEX($K$13:$K$27,MATCH(B2463,$J$13:$J$27,0),1))&lt;1,"/",INDEX(THHKI!$A$8:$Y$62,MATCH(PDHKI!E2492,THHKI!$A$8:$A$62,0),INDEX($K$13:$K$27,MATCH(B2463,$J$13:$J$27,0),1))))</f>
        <v/>
      </c>
      <c r="E2463" s="691"/>
      <c r="J2463" s="569" t="s">
        <v>31</v>
      </c>
      <c r="K2463" s="569">
        <v>13</v>
      </c>
    </row>
    <row r="2464" spans="1:11" ht="21" customHeight="1">
      <c r="A2464" s="689">
        <v>8</v>
      </c>
      <c r="B2464" s="1008" t="s">
        <v>32</v>
      </c>
      <c r="C2464" s="1009"/>
      <c r="D2464" s="690" t="str">
        <f>IF(E2492="","",IF(INDEX(THHKI!$A$8:$Y$62,MATCH(PDHKI!E2492,THHKI!$A$8:$A$62,0),INDEX($K$13:$K$27,MATCH(B2464,$J$13:$J$27,0),1))&lt;1,"/",INDEX(THHKI!$A$8:$Y$62,MATCH(PDHKI!E2492,THHKI!$A$8:$A$62,0),INDEX($K$13:$K$27,MATCH(B2464,$J$13:$J$27,0),1))))</f>
        <v/>
      </c>
      <c r="E2464" s="691"/>
      <c r="J2464" s="569" t="s">
        <v>32</v>
      </c>
      <c r="K2464" s="569">
        <v>14</v>
      </c>
    </row>
    <row r="2465" spans="1:11" ht="21" customHeight="1">
      <c r="A2465" s="689">
        <v>9</v>
      </c>
      <c r="B2465" s="1008" t="s">
        <v>33</v>
      </c>
      <c r="C2465" s="1009"/>
      <c r="D2465" s="690" t="str">
        <f>IF(E2492="","",IF(INDEX(THHKI!$A$8:$Y$62,MATCH(PDHKI!E2492,THHKI!$A$8:$A$62,0),INDEX($K$13:$K$27,MATCH(B2465,$J$13:$J$27,0),1))&lt;1,"/",INDEX(THHKI!$A$8:$Y$62,MATCH(PDHKI!E2492,THHKI!$A$8:$A$62,0),INDEX($K$13:$K$27,MATCH(B2465,$J$13:$J$27,0),1))))</f>
        <v/>
      </c>
      <c r="E2465" s="691"/>
      <c r="J2465" s="569" t="s">
        <v>33</v>
      </c>
      <c r="K2465" s="569">
        <v>15</v>
      </c>
    </row>
    <row r="2466" spans="1:11" ht="21" customHeight="1">
      <c r="A2466" s="689">
        <v>10</v>
      </c>
      <c r="B2466" s="1008" t="s">
        <v>60</v>
      </c>
      <c r="C2466" s="1009"/>
      <c r="D2466" s="690" t="str">
        <f>IF(E2492="","",IF(INDEX(THHKI!$A$8:$Y$62,MATCH(PDHKI!E2492,THHKI!$A$8:$A$62,0),INDEX($K$13:$K$27,MATCH(B2466,$J$13:$J$27,0),1))&lt;1,"/",INDEX(THHKI!$A$8:$Y$62,MATCH(PDHKI!E2492,THHKI!$A$8:$A$62,0),INDEX($K$13:$K$27,MATCH(B2466,$J$13:$J$27,0),1))))</f>
        <v/>
      </c>
      <c r="E2466" s="691"/>
      <c r="J2466" s="569" t="s">
        <v>60</v>
      </c>
      <c r="K2466" s="569">
        <v>16</v>
      </c>
    </row>
    <row r="2467" spans="1:11" ht="21" customHeight="1">
      <c r="A2467" s="689">
        <v>11</v>
      </c>
      <c r="B2467" s="1008" t="s">
        <v>34</v>
      </c>
      <c r="C2467" s="1009"/>
      <c r="D2467" s="690" t="str">
        <f>IF(E2492="","",IF(INDEX(THHKI!$A$8:$Y$62,MATCH(PDHKI!E2492,THHKI!$A$8:$A$62,0),INDEX($K$13:$K$27,MATCH(B2467,$J$13:$J$27,0),1))&lt;1,"/",INDEX(THHKI!$A$8:$Y$62,MATCH(PDHKI!E2492,THHKI!$A$8:$A$62,0),INDEX($K$13:$K$27,MATCH(B2467,$J$13:$J$27,0),1))))</f>
        <v/>
      </c>
      <c r="E2467" s="691"/>
      <c r="J2467" s="569" t="s">
        <v>34</v>
      </c>
      <c r="K2467" s="569">
        <v>17</v>
      </c>
    </row>
    <row r="2468" spans="1:11" ht="21" customHeight="1">
      <c r="A2468" s="689">
        <v>12</v>
      </c>
      <c r="B2468" s="1008" t="s">
        <v>35</v>
      </c>
      <c r="C2468" s="1009"/>
      <c r="D2468" s="690" t="str">
        <f>IF(E2492="","",IF(INDEX(THHKI!$A$8:$Y$62,MATCH(PDHKI!E2492,THHKI!$A$8:$A$62,0),INDEX($K$13:$K$27,MATCH(B2468,$J$13:$J$27,0),1))&lt;1,"/",INDEX(THHKI!$A$8:$Y$62,MATCH(PDHKI!E2492,THHKI!$A$8:$A$62,0),INDEX($K$13:$K$27,MATCH(B2468,$J$13:$J$27,0),1))))</f>
        <v/>
      </c>
      <c r="E2468" s="691"/>
      <c r="J2468" s="569" t="s">
        <v>35</v>
      </c>
      <c r="K2468" s="569">
        <v>18</v>
      </c>
    </row>
    <row r="2469" spans="1:11" ht="21" customHeight="1">
      <c r="A2469" s="689">
        <v>13</v>
      </c>
      <c r="B2469" s="1008" t="s">
        <v>121</v>
      </c>
      <c r="C2469" s="1009"/>
      <c r="D2469" s="690" t="str">
        <f>IF(E2492="","",IF(INDEX(THHKI!$A$8:$Y$62,MATCH(PDHKI!E2492,THHKI!$A$8:$A$62,0),INDEX($K$13:$K$27,MATCH(B2469,$J$13:$J$27,0),1))&lt;1,"/",INDEX(THHKI!$A$8:$Y$62,MATCH(PDHKI!E2492,THHKI!$A$8:$A$62,0),INDEX($K$13:$K$27,MATCH(B2469,$J$13:$J$27,0),1))))</f>
        <v/>
      </c>
      <c r="E2469" s="691"/>
      <c r="J2469" s="569" t="s">
        <v>22</v>
      </c>
      <c r="K2469" s="569">
        <v>19</v>
      </c>
    </row>
    <row r="2470" spans="1:11" ht="21" customHeight="1" thickBot="1">
      <c r="A2470" s="692">
        <v>14</v>
      </c>
      <c r="B2470" s="1010" t="s">
        <v>122</v>
      </c>
      <c r="C2470" s="1011"/>
      <c r="D2470" s="693" t="str">
        <f>IF(E2492="","",IF(INDEX(THHKI!$A$8:$Y$62,MATCH(PDHKI!E2492,THHKI!$A$8:$A$62,0),INDEX($K$13:$K$27,MATCH(B2470,$J$13:$J$27,0),1))&lt;1,"/",INDEX(THHKI!$A$8:$Y$62,MATCH(PDHKI!E2492,THHKI!$A$8:$A$62,0),INDEX($K$13:$K$27,MATCH(B2470,$J$13:$J$27,0),1))))</f>
        <v/>
      </c>
      <c r="E2470" s="694"/>
      <c r="J2470" s="569" t="s">
        <v>121</v>
      </c>
      <c r="K2470" s="569">
        <v>20</v>
      </c>
    </row>
    <row r="2471" spans="1:11" ht="21" customHeight="1" thickBot="1">
      <c r="A2471" s="695">
        <v>15</v>
      </c>
      <c r="B2471" s="1006" t="s">
        <v>149</v>
      </c>
      <c r="C2471" s="1007"/>
      <c r="D2471" s="696" t="str">
        <f>IF(E2492="","",IF(INDEX(THHKI!$A$8:$Y$62,MATCH(PDHKI!E2492,THHKI!$A$8:$A$62,0),22)&lt;1,"/",INDEX(THHKI!$A$8:$Y$62,MATCH(PDHKI!E2492,THHKI!$A$8:$A$62,0),22)))</f>
        <v/>
      </c>
      <c r="E2471" s="697"/>
      <c r="J2471" s="569" t="s">
        <v>122</v>
      </c>
      <c r="K2471" s="569">
        <v>21</v>
      </c>
    </row>
    <row r="2472" spans="1:11" ht="15.75" customHeight="1" thickBot="1"/>
    <row r="2473" spans="1:11" s="570" customFormat="1" ht="21" customHeight="1">
      <c r="A2473" s="698"/>
      <c r="B2473" s="1019" t="s">
        <v>150</v>
      </c>
      <c r="C2473" s="1020"/>
      <c r="D2473" s="699" t="s">
        <v>10</v>
      </c>
      <c r="E2473" s="700" t="s">
        <v>126</v>
      </c>
    </row>
    <row r="2474" spans="1:11" ht="21" customHeight="1">
      <c r="A2474" s="701">
        <v>16</v>
      </c>
      <c r="B2474" s="1021" t="s">
        <v>151</v>
      </c>
      <c r="C2474" s="1022"/>
      <c r="D2474" s="702" t="str">
        <f>IF(E2492="","",IF(INDEX(THHKI!$A$8:$Y$62,MATCH(PDHKI!E2492,THHKI!$A$8:$A$62,0),23)="","/",INDEX(THHKI!$A$8:$Y$62,MATCH(PDHKI!E2492,THHKI!$A$8:$A$62,0),23)))</f>
        <v/>
      </c>
      <c r="E2474" s="703"/>
    </row>
    <row r="2475" spans="1:11" ht="21" customHeight="1">
      <c r="A2475" s="701">
        <v>17</v>
      </c>
      <c r="B2475" s="1021" t="s">
        <v>152</v>
      </c>
      <c r="C2475" s="1022"/>
      <c r="D2475" s="702" t="str">
        <f>IF(E2492="","",IF(INDEX(THHKI!$A$8:$Y$62,MATCH(PDHKI!E2492,THHKI!$A$8:$A$62,0),24)="","/",INDEX(THHKI!$A$8:$Y$62,MATCH(PDHKI!E2492,THHKI!$A$8:$A$62,0),24)))</f>
        <v/>
      </c>
      <c r="E2475" s="703"/>
    </row>
    <row r="2476" spans="1:11" ht="21" customHeight="1" thickBot="1">
      <c r="A2476" s="704">
        <v>18</v>
      </c>
      <c r="B2476" s="1023" t="s">
        <v>153</v>
      </c>
      <c r="C2476" s="1024"/>
      <c r="D2476" s="705" t="str">
        <f>IF(E2492="","",IF(INDEX(THHKI!$A$8:$Y$62,MATCH(PDHKI!E2492,THHKI!$A$8:$A$62,0),25)="","/",INDEX(THHKI!$A$8:$Y$62,MATCH(PDHKI!E2492,THHKI!$A$8:$A$62,0),25)))</f>
        <v/>
      </c>
      <c r="E2476" s="706"/>
    </row>
    <row r="2477" spans="1:11" ht="9.75" customHeight="1"/>
    <row r="2478" spans="1:11" ht="15.75" customHeight="1">
      <c r="A2478" s="58" t="s">
        <v>219</v>
      </c>
    </row>
    <row r="2479" spans="1:11" ht="18" customHeight="1">
      <c r="A2479" s="59" t="str">
        <f>IF(E2492="","",IF(INDEX(DiemHKI!$DE$4:$DH$58,MATCH(PDHKI!E2492,DiemHKI!$B$4:$B$58,0),1)="","","- "&amp;INDEX(DiemHKI!$DE$4:$DH$58,MATCH(PDHKI!E2492,DiemHKI!$B$4:$B$58,0),1)))</f>
        <v/>
      </c>
      <c r="H2479" s="571"/>
    </row>
    <row r="2480" spans="1:11" ht="18" customHeight="1">
      <c r="A2480" s="59" t="str">
        <f>IF(E2492="","",IF(INDEX(DiemHKI!$DE$4:$DH$58,MATCH(PDHKI!E2492,DiemHKI!$B$4:$B$58,0),2)="","","- "&amp;INDEX(DiemHKI!$DE$4:$DH$58,MATCH(PDHKI!E2492,DiemHKI!$B$4:$B$58,0),2)))</f>
        <v/>
      </c>
    </row>
    <row r="2481" spans="1:5" ht="18" customHeight="1">
      <c r="A2481" s="59" t="str">
        <f>IF(E2492="","",IF(INDEX(DiemHKI!$DE$4:$DH$58,MATCH(PDHKI!E2492,DiemHKI!$B$4:$B$58,0),3)="","","- "&amp;INDEX(DiemHKI!$DE$4:$DH$58,MATCH(PDHKI!E2492,DiemHKI!$B$4:$B$58,0),3)))</f>
        <v/>
      </c>
    </row>
    <row r="2482" spans="1:5" ht="18" customHeight="1">
      <c r="A2482" s="59" t="str">
        <f>IF(E2492="","",IF(INDEX(DiemHKI!$DE$4:$DH$58,MATCH(PDHKI!E2492,DiemHKI!$B$4:$B$58,0),4)="","","- "&amp;INDEX(DiemHKI!$DE$4:$DH$58,MATCH(PDHKI!E2492,DiemHKI!$B$4:$B$58,0),4)))</f>
        <v/>
      </c>
    </row>
    <row r="2483" spans="1:5" ht="6.75" customHeight="1"/>
    <row r="2484" spans="1:5" ht="16.5" customHeight="1">
      <c r="A2484" s="61"/>
      <c r="C2484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484" s="1026"/>
      <c r="E2484" s="1026"/>
    </row>
    <row r="2485" spans="1:5" ht="21.75" customHeight="1">
      <c r="A2485" s="923" t="str">
        <f>IF($D$41="Hiệu trưởng","Giáo viên Quản nhiệm","")</f>
        <v>Giáo viên Quản nhiệm</v>
      </c>
      <c r="B2485" s="923"/>
      <c r="C2485" s="923"/>
      <c r="D2485" s="707" t="str">
        <f>IF($G$5="","",$G$5)</f>
        <v>Hiệu trưởng</v>
      </c>
      <c r="E2485" s="708"/>
    </row>
    <row r="2486" spans="1:5" ht="15" customHeight="1">
      <c r="A2486" s="61"/>
      <c r="B2486" s="61"/>
      <c r="C2486" s="61"/>
      <c r="D2486" s="66"/>
      <c r="E2486" s="66"/>
    </row>
    <row r="2487" spans="1:5" ht="15" customHeight="1">
      <c r="A2487" s="61"/>
      <c r="B2487" s="61"/>
      <c r="C2487" s="61"/>
      <c r="D2487" s="66"/>
      <c r="E2487" s="66"/>
    </row>
    <row r="2488" spans="1:5" ht="15" customHeight="1">
      <c r="A2488" s="61"/>
      <c r="B2488" s="61"/>
      <c r="C2488" s="61"/>
    </row>
    <row r="2489" spans="1:5" ht="15" customHeight="1">
      <c r="A2489" s="61"/>
      <c r="B2489" s="61"/>
      <c r="C2489" s="61"/>
    </row>
    <row r="2490" spans="1:5" ht="16.5" customHeight="1">
      <c r="A2490" s="1012" t="str">
        <f>IF($A$41="","",PROPER('Huong dan'!$C$4))</f>
        <v/>
      </c>
      <c r="B2490" s="1012"/>
      <c r="C2490" s="1012"/>
      <c r="D2490" s="833" t="str">
        <f>IFERROR(IF($D$41="Giáo Viên Quản nhiệm",PROPER('Huong dan'!$C$4),IF($D$41="Hiệu trưởng",PROPER('Huong dan'!$E$5),"")),"")</f>
        <v/>
      </c>
      <c r="E2490" s="708"/>
    </row>
    <row r="2491" spans="1:5" ht="12.75" customHeight="1"/>
    <row r="2492" spans="1:5" ht="12.75" customHeight="1">
      <c r="A2492" s="709"/>
      <c r="B2492" s="709"/>
      <c r="C2492" s="709"/>
      <c r="D2492" s="710"/>
      <c r="E2492" s="711" t="str">
        <f>IF(E2445="","",IF(E2445&lt;MAX(DiemHKI!$B$4:$B$58),E2445+1,""))</f>
        <v/>
      </c>
    </row>
    <row r="2493" spans="1:5" ht="8.25" customHeight="1">
      <c r="A2493" s="709"/>
      <c r="B2493" s="709"/>
      <c r="C2493" s="709"/>
      <c r="D2493" s="709"/>
      <c r="E2493" s="709"/>
    </row>
    <row r="2494" spans="1:5" ht="5.25" customHeight="1"/>
    <row r="2495" spans="1:5" s="563" customFormat="1" ht="23.25" customHeight="1">
      <c r="A2495" s="931" t="str">
        <f>IF('Huong dan'!$E$3&lt;&gt;"","SỞ GIÁO DỤC VÀ ĐÀO TẠO "&amp;UPPER('Huong dan'!$E$3),"")</f>
        <v>SỞ GIÁO DỤC VÀ ĐÀO TẠO TP. HỒ CHÍ MINH</v>
      </c>
      <c r="B2495" s="931"/>
      <c r="C2495" s="931"/>
      <c r="D2495" s="923" t="s">
        <v>19</v>
      </c>
      <c r="E2495" s="923"/>
    </row>
    <row r="2496" spans="1:5" ht="17.25" customHeight="1">
      <c r="A2496" s="931" t="str">
        <f>IF('Huong dan'!$E$4&lt;&gt;"","TRƯỜNG "&amp;UPPER('Huong dan'!$E$4),"")</f>
        <v>TRƯỜNG THCS VÀ THPT NGUYỄN KHUYẾN</v>
      </c>
      <c r="B2496" s="931"/>
      <c r="C2496" s="931"/>
      <c r="D2496" s="1012" t="s">
        <v>179</v>
      </c>
      <c r="E2496" s="1012"/>
    </row>
    <row r="2497" spans="1:11" ht="24" customHeight="1">
      <c r="A2497" s="61"/>
      <c r="B2497" s="61"/>
      <c r="C2497" s="61"/>
    </row>
    <row r="2498" spans="1:11" ht="29.25" customHeight="1">
      <c r="A2498" s="1013" t="str">
        <f>"PHIẾU ĐIỂM HỌC KỲ I - NĂM HỌC "&amp;'Huong dan'!$C$5</f>
        <v>PHIẾU ĐIỂM HỌC KỲ I - NĂM HỌC 2021 - 2022</v>
      </c>
      <c r="B2498" s="1013"/>
      <c r="C2498" s="1013"/>
      <c r="D2498" s="1013"/>
      <c r="E2498" s="1013"/>
    </row>
    <row r="2499" spans="1:11" ht="15.75" customHeight="1">
      <c r="A2499" s="680"/>
      <c r="B2499" s="680"/>
    </row>
    <row r="2500" spans="1:11" ht="21" customHeight="1">
      <c r="A2500" s="1014" t="s">
        <v>145</v>
      </c>
      <c r="B2500" s="1014"/>
      <c r="C2500" s="1015" t="str">
        <f>IF(E2539="","",INDEX(DiemHKI!$D$4:$D$58,MATCH(E2539,DiemHKI!$B$4:$B$58,0),1)&amp;" "&amp;INDEX(DiemHKI!$E$4:$E$58,MATCH(E2539,DiemHKI!$B$4:$B$58,0),1))</f>
        <v/>
      </c>
      <c r="D2500" s="1015"/>
      <c r="E2500" s="62" t="str">
        <f>IF('Huong dan'!$C$3="","","Lớp: "&amp;'Huong dan'!$C$3)</f>
        <v>Lớp: 12A1</v>
      </c>
    </row>
    <row r="2501" spans="1:11" ht="23.25" customHeight="1">
      <c r="A2501" s="1014" t="s">
        <v>146</v>
      </c>
      <c r="B2501" s="1014"/>
      <c r="C2501" s="681" t="str">
        <f>IF(E2539="","",INDEX(DiemHKI!$F$4:$F$58,MATCH(PDHKI!E2539,DiemHKI!$B$4:$B$58,0),1))</f>
        <v/>
      </c>
      <c r="D2501" s="1016" t="str">
        <f>IF(E2539="","","Nơi sinh: "&amp;INDEX(DiemHKI!$G$4:$G$58,MATCH(PDHKI!E2539,DiemHKI!$B$4:$B$58,0),1))</f>
        <v/>
      </c>
      <c r="E2501" s="1016"/>
    </row>
    <row r="2502" spans="1:11" ht="13.5" customHeight="1" thickBot="1">
      <c r="A2502" s="681"/>
      <c r="B2502" s="682"/>
      <c r="D2502" s="681"/>
      <c r="E2502" s="681"/>
    </row>
    <row r="2503" spans="1:11" ht="24" customHeight="1" thickBot="1">
      <c r="A2503" s="683" t="s">
        <v>0</v>
      </c>
      <c r="B2503" s="1006" t="s">
        <v>72</v>
      </c>
      <c r="C2503" s="1007"/>
      <c r="D2503" s="684" t="s">
        <v>147</v>
      </c>
      <c r="E2503" s="685" t="s">
        <v>148</v>
      </c>
    </row>
    <row r="2504" spans="1:11" ht="21" customHeight="1">
      <c r="A2504" s="686">
        <v>1</v>
      </c>
      <c r="B2504" s="1017" t="s">
        <v>26</v>
      </c>
      <c r="C2504" s="1018"/>
      <c r="D2504" s="687" t="str">
        <f>IF(E2539="","",IF(INDEX(THHKI!$A$8:$Y$62,MATCH(PDHKI!E2539,THHKI!$A$8:$A$62,0),INDEX($K$13:$K$27,MATCH(B2504,$J$13:$J$27,0),1))&lt;1,"/",INDEX(THHKI!$A$8:$Y$62,MATCH(PDHKI!E2539,THHKI!$A$8:$A$62,0),INDEX($K$13:$K$27,MATCH(B2504,$J$13:$J$27,0),1))))</f>
        <v/>
      </c>
      <c r="E2504" s="688"/>
      <c r="J2504" s="569" t="s">
        <v>26</v>
      </c>
      <c r="K2504" s="569">
        <v>7</v>
      </c>
    </row>
    <row r="2505" spans="1:11" ht="21" customHeight="1">
      <c r="A2505" s="689">
        <v>2</v>
      </c>
      <c r="B2505" s="1008" t="s">
        <v>27</v>
      </c>
      <c r="C2505" s="1009"/>
      <c r="D2505" s="690" t="str">
        <f>IF(E2539="","",IF(INDEX(THHKI!$A$8:$Y$62,MATCH(PDHKI!E2539,THHKI!$A$8:$A$62,0),INDEX($K$13:$K$27,MATCH(B2505,$J$13:$J$27,0),1))&lt;1,"/",INDEX(THHKI!$A$8:$Y$62,MATCH(PDHKI!E2539,THHKI!$A$8:$A$62,0),INDEX($K$13:$K$27,MATCH(B2505,$J$13:$J$27,0),1))))</f>
        <v/>
      </c>
      <c r="E2505" s="691"/>
      <c r="J2505" s="569" t="s">
        <v>27</v>
      </c>
      <c r="K2505" s="569">
        <v>8</v>
      </c>
    </row>
    <row r="2506" spans="1:11" ht="21" customHeight="1">
      <c r="A2506" s="689">
        <v>3</v>
      </c>
      <c r="B2506" s="1008" t="s">
        <v>28</v>
      </c>
      <c r="C2506" s="1009"/>
      <c r="D2506" s="690" t="str">
        <f>IF(E2539="","",IF(INDEX(THHKI!$A$8:$Y$62,MATCH(PDHKI!E2539,THHKI!$A$8:$A$62,0),INDEX($K$13:$K$27,MATCH(B2506,$J$13:$J$27,0),1))&lt;1,"/",INDEX(THHKI!$A$8:$Y$62,MATCH(PDHKI!E2539,THHKI!$A$8:$A$62,0),INDEX($K$13:$K$27,MATCH(B2506,$J$13:$J$27,0),1))))</f>
        <v/>
      </c>
      <c r="E2506" s="691"/>
      <c r="J2506" s="569" t="s">
        <v>28</v>
      </c>
      <c r="K2506" s="569">
        <v>9</v>
      </c>
    </row>
    <row r="2507" spans="1:11" ht="21" customHeight="1">
      <c r="A2507" s="689">
        <v>4</v>
      </c>
      <c r="B2507" s="1008" t="s">
        <v>29</v>
      </c>
      <c r="C2507" s="1009"/>
      <c r="D2507" s="690" t="str">
        <f>IF(E2539="","",IF(INDEX(THHKI!$A$8:$Y$62,MATCH(PDHKI!E2539,THHKI!$A$8:$A$62,0),INDEX($K$13:$K$27,MATCH(B2507,$J$13:$J$27,0),1))&lt;1,"/",INDEX(THHKI!$A$8:$Y$62,MATCH(PDHKI!E2539,THHKI!$A$8:$A$62,0),INDEX($K$13:$K$27,MATCH(B2507,$J$13:$J$27,0),1))))</f>
        <v/>
      </c>
      <c r="E2507" s="691"/>
      <c r="J2507" s="569" t="s">
        <v>29</v>
      </c>
      <c r="K2507" s="569">
        <v>10</v>
      </c>
    </row>
    <row r="2508" spans="1:11" ht="21" customHeight="1">
      <c r="A2508" s="689">
        <v>5</v>
      </c>
      <c r="B2508" s="1008" t="s">
        <v>120</v>
      </c>
      <c r="C2508" s="1009"/>
      <c r="D2508" s="690" t="str">
        <f>IF(E2539="","",IF(INDEX(THHKI!$A$8:$Y$62,MATCH(PDHKI!E2539,THHKI!$A$8:$A$62,0),INDEX($K$13:$K$27,MATCH(B2508,$J$13:$J$27,0),1))&lt;1,"/",INDEX(THHKI!$A$8:$Y$62,MATCH(PDHKI!E2539,THHKI!$A$8:$A$62,0),INDEX($K$13:$K$27,MATCH(B2508,$J$13:$J$27,0),1))))</f>
        <v/>
      </c>
      <c r="E2508" s="691"/>
      <c r="J2508" s="569" t="s">
        <v>120</v>
      </c>
      <c r="K2508" s="569">
        <v>11</v>
      </c>
    </row>
    <row r="2509" spans="1:11" ht="21" customHeight="1">
      <c r="A2509" s="689">
        <v>6</v>
      </c>
      <c r="B2509" s="1008" t="s">
        <v>30</v>
      </c>
      <c r="C2509" s="1009"/>
      <c r="D2509" s="690" t="str">
        <f>IF(E2539="","",IF(INDEX(THHKI!$A$8:$Y$62,MATCH(PDHKI!E2539,THHKI!$A$8:$A$62,0),INDEX($K$13:$K$27,MATCH(B2509,$J$13:$J$27,0),1))&lt;1,"/",INDEX(THHKI!$A$8:$Y$62,MATCH(PDHKI!E2539,THHKI!$A$8:$A$62,0),INDEX($K$13:$K$27,MATCH(B2509,$J$13:$J$27,0),1))))</f>
        <v/>
      </c>
      <c r="E2509" s="691"/>
      <c r="J2509" s="569" t="s">
        <v>30</v>
      </c>
      <c r="K2509" s="569">
        <v>12</v>
      </c>
    </row>
    <row r="2510" spans="1:11" ht="21" customHeight="1">
      <c r="A2510" s="689">
        <v>7</v>
      </c>
      <c r="B2510" s="1008" t="s">
        <v>31</v>
      </c>
      <c r="C2510" s="1009"/>
      <c r="D2510" s="690" t="str">
        <f>IF(E2539="","",IF(INDEX(THHKI!$A$8:$Y$62,MATCH(PDHKI!E2539,THHKI!$A$8:$A$62,0),INDEX($K$13:$K$27,MATCH(B2510,$J$13:$J$27,0),1))&lt;1,"/",INDEX(THHKI!$A$8:$Y$62,MATCH(PDHKI!E2539,THHKI!$A$8:$A$62,0),INDEX($K$13:$K$27,MATCH(B2510,$J$13:$J$27,0),1))))</f>
        <v/>
      </c>
      <c r="E2510" s="691"/>
      <c r="J2510" s="569" t="s">
        <v>31</v>
      </c>
      <c r="K2510" s="569">
        <v>13</v>
      </c>
    </row>
    <row r="2511" spans="1:11" ht="21" customHeight="1">
      <c r="A2511" s="689">
        <v>8</v>
      </c>
      <c r="B2511" s="1008" t="s">
        <v>32</v>
      </c>
      <c r="C2511" s="1009"/>
      <c r="D2511" s="690" t="str">
        <f>IF(E2539="","",IF(INDEX(THHKI!$A$8:$Y$62,MATCH(PDHKI!E2539,THHKI!$A$8:$A$62,0),INDEX($K$13:$K$27,MATCH(B2511,$J$13:$J$27,0),1))&lt;1,"/",INDEX(THHKI!$A$8:$Y$62,MATCH(PDHKI!E2539,THHKI!$A$8:$A$62,0),INDEX($K$13:$K$27,MATCH(B2511,$J$13:$J$27,0),1))))</f>
        <v/>
      </c>
      <c r="E2511" s="691"/>
      <c r="J2511" s="569" t="s">
        <v>32</v>
      </c>
      <c r="K2511" s="569">
        <v>14</v>
      </c>
    </row>
    <row r="2512" spans="1:11" ht="21" customHeight="1">
      <c r="A2512" s="689">
        <v>9</v>
      </c>
      <c r="B2512" s="1008" t="s">
        <v>33</v>
      </c>
      <c r="C2512" s="1009"/>
      <c r="D2512" s="690" t="str">
        <f>IF(E2539="","",IF(INDEX(THHKI!$A$8:$Y$62,MATCH(PDHKI!E2539,THHKI!$A$8:$A$62,0),INDEX($K$13:$K$27,MATCH(B2512,$J$13:$J$27,0),1))&lt;1,"/",INDEX(THHKI!$A$8:$Y$62,MATCH(PDHKI!E2539,THHKI!$A$8:$A$62,0),INDEX($K$13:$K$27,MATCH(B2512,$J$13:$J$27,0),1))))</f>
        <v/>
      </c>
      <c r="E2512" s="691"/>
      <c r="J2512" s="569" t="s">
        <v>33</v>
      </c>
      <c r="K2512" s="569">
        <v>15</v>
      </c>
    </row>
    <row r="2513" spans="1:11" ht="21" customHeight="1">
      <c r="A2513" s="689">
        <v>10</v>
      </c>
      <c r="B2513" s="1008" t="s">
        <v>60</v>
      </c>
      <c r="C2513" s="1009"/>
      <c r="D2513" s="690" t="str">
        <f>IF(E2539="","",IF(INDEX(THHKI!$A$8:$Y$62,MATCH(PDHKI!E2539,THHKI!$A$8:$A$62,0),INDEX($K$13:$K$27,MATCH(B2513,$J$13:$J$27,0),1))&lt;1,"/",INDEX(THHKI!$A$8:$Y$62,MATCH(PDHKI!E2539,THHKI!$A$8:$A$62,0),INDEX($K$13:$K$27,MATCH(B2513,$J$13:$J$27,0),1))))</f>
        <v/>
      </c>
      <c r="E2513" s="691"/>
      <c r="J2513" s="569" t="s">
        <v>60</v>
      </c>
      <c r="K2513" s="569">
        <v>16</v>
      </c>
    </row>
    <row r="2514" spans="1:11" ht="21" customHeight="1">
      <c r="A2514" s="689">
        <v>11</v>
      </c>
      <c r="B2514" s="1008" t="s">
        <v>34</v>
      </c>
      <c r="C2514" s="1009"/>
      <c r="D2514" s="690" t="str">
        <f>IF(E2539="","",IF(INDEX(THHKI!$A$8:$Y$62,MATCH(PDHKI!E2539,THHKI!$A$8:$A$62,0),INDEX($K$13:$K$27,MATCH(B2514,$J$13:$J$27,0),1))&lt;1,"/",INDEX(THHKI!$A$8:$Y$62,MATCH(PDHKI!E2539,THHKI!$A$8:$A$62,0),INDEX($K$13:$K$27,MATCH(B2514,$J$13:$J$27,0),1))))</f>
        <v/>
      </c>
      <c r="E2514" s="691"/>
      <c r="J2514" s="569" t="s">
        <v>34</v>
      </c>
      <c r="K2514" s="569">
        <v>17</v>
      </c>
    </row>
    <row r="2515" spans="1:11" ht="21" customHeight="1">
      <c r="A2515" s="689">
        <v>12</v>
      </c>
      <c r="B2515" s="1008" t="s">
        <v>35</v>
      </c>
      <c r="C2515" s="1009"/>
      <c r="D2515" s="690" t="str">
        <f>IF(E2539="","",IF(INDEX(THHKI!$A$8:$Y$62,MATCH(PDHKI!E2539,THHKI!$A$8:$A$62,0),INDEX($K$13:$K$27,MATCH(B2515,$J$13:$J$27,0),1))&lt;1,"/",INDEX(THHKI!$A$8:$Y$62,MATCH(PDHKI!E2539,THHKI!$A$8:$A$62,0),INDEX($K$13:$K$27,MATCH(B2515,$J$13:$J$27,0),1))))</f>
        <v/>
      </c>
      <c r="E2515" s="691"/>
      <c r="J2515" s="569" t="s">
        <v>35</v>
      </c>
      <c r="K2515" s="569">
        <v>18</v>
      </c>
    </row>
    <row r="2516" spans="1:11" ht="21" customHeight="1">
      <c r="A2516" s="689">
        <v>13</v>
      </c>
      <c r="B2516" s="1008" t="s">
        <v>121</v>
      </c>
      <c r="C2516" s="1009"/>
      <c r="D2516" s="690" t="str">
        <f>IF(E2539="","",IF(INDEX(THHKI!$A$8:$Y$62,MATCH(PDHKI!E2539,THHKI!$A$8:$A$62,0),INDEX($K$13:$K$27,MATCH(B2516,$J$13:$J$27,0),1))&lt;1,"/",INDEX(THHKI!$A$8:$Y$62,MATCH(PDHKI!E2539,THHKI!$A$8:$A$62,0),INDEX($K$13:$K$27,MATCH(B2516,$J$13:$J$27,0),1))))</f>
        <v/>
      </c>
      <c r="E2516" s="691"/>
      <c r="J2516" s="569" t="s">
        <v>22</v>
      </c>
      <c r="K2516" s="569">
        <v>19</v>
      </c>
    </row>
    <row r="2517" spans="1:11" ht="21" customHeight="1" thickBot="1">
      <c r="A2517" s="692">
        <v>14</v>
      </c>
      <c r="B2517" s="1010" t="s">
        <v>122</v>
      </c>
      <c r="C2517" s="1011"/>
      <c r="D2517" s="693" t="str">
        <f>IF(E2539="","",IF(INDEX(THHKI!$A$8:$Y$62,MATCH(PDHKI!E2539,THHKI!$A$8:$A$62,0),INDEX($K$13:$K$27,MATCH(B2517,$J$13:$J$27,0),1))&lt;1,"/",INDEX(THHKI!$A$8:$Y$62,MATCH(PDHKI!E2539,THHKI!$A$8:$A$62,0),INDEX($K$13:$K$27,MATCH(B2517,$J$13:$J$27,0),1))))</f>
        <v/>
      </c>
      <c r="E2517" s="694"/>
      <c r="J2517" s="569" t="s">
        <v>121</v>
      </c>
      <c r="K2517" s="569">
        <v>20</v>
      </c>
    </row>
    <row r="2518" spans="1:11" ht="21" customHeight="1" thickBot="1">
      <c r="A2518" s="695">
        <v>15</v>
      </c>
      <c r="B2518" s="1006" t="s">
        <v>149</v>
      </c>
      <c r="C2518" s="1007"/>
      <c r="D2518" s="696" t="str">
        <f>IF(E2539="","",IF(INDEX(THHKI!$A$8:$Y$62,MATCH(PDHKI!E2539,THHKI!$A$8:$A$62,0),22)&lt;1,"/",INDEX(THHKI!$A$8:$Y$62,MATCH(PDHKI!E2539,THHKI!$A$8:$A$62,0),22)))</f>
        <v/>
      </c>
      <c r="E2518" s="697"/>
      <c r="J2518" s="569" t="s">
        <v>122</v>
      </c>
      <c r="K2518" s="569">
        <v>21</v>
      </c>
    </row>
    <row r="2519" spans="1:11" ht="15.75" customHeight="1" thickBot="1"/>
    <row r="2520" spans="1:11" s="570" customFormat="1" ht="21" customHeight="1">
      <c r="A2520" s="698"/>
      <c r="B2520" s="1019" t="s">
        <v>150</v>
      </c>
      <c r="C2520" s="1020"/>
      <c r="D2520" s="699" t="s">
        <v>10</v>
      </c>
      <c r="E2520" s="700" t="s">
        <v>126</v>
      </c>
    </row>
    <row r="2521" spans="1:11" ht="21" customHeight="1">
      <c r="A2521" s="701">
        <v>16</v>
      </c>
      <c r="B2521" s="1021" t="s">
        <v>151</v>
      </c>
      <c r="C2521" s="1022"/>
      <c r="D2521" s="702" t="str">
        <f>IF(E2539="","",IF(INDEX(THHKI!$A$8:$Y$62,MATCH(PDHKI!E2539,THHKI!$A$8:$A$62,0),23)="","/",INDEX(THHKI!$A$8:$Y$62,MATCH(PDHKI!E2539,THHKI!$A$8:$A$62,0),23)))</f>
        <v/>
      </c>
      <c r="E2521" s="703"/>
    </row>
    <row r="2522" spans="1:11" ht="21" customHeight="1">
      <c r="A2522" s="701">
        <v>17</v>
      </c>
      <c r="B2522" s="1021" t="s">
        <v>152</v>
      </c>
      <c r="C2522" s="1022"/>
      <c r="D2522" s="702" t="str">
        <f>IF(E2539="","",IF(INDEX(THHKI!$A$8:$Y$62,MATCH(PDHKI!E2539,THHKI!$A$8:$A$62,0),24)="","/",INDEX(THHKI!$A$8:$Y$62,MATCH(PDHKI!E2539,THHKI!$A$8:$A$62,0),24)))</f>
        <v/>
      </c>
      <c r="E2522" s="703"/>
    </row>
    <row r="2523" spans="1:11" ht="21" customHeight="1" thickBot="1">
      <c r="A2523" s="704">
        <v>18</v>
      </c>
      <c r="B2523" s="1023" t="s">
        <v>153</v>
      </c>
      <c r="C2523" s="1024"/>
      <c r="D2523" s="705" t="str">
        <f>IF(E2539="","",IF(INDEX(THHKI!$A$8:$Y$62,MATCH(PDHKI!E2539,THHKI!$A$8:$A$62,0),25)="","/",INDEX(THHKI!$A$8:$Y$62,MATCH(PDHKI!E2539,THHKI!$A$8:$A$62,0),25)))</f>
        <v/>
      </c>
      <c r="E2523" s="706"/>
    </row>
    <row r="2524" spans="1:11" ht="9.75" customHeight="1"/>
    <row r="2525" spans="1:11" ht="15.75" customHeight="1">
      <c r="A2525" s="58" t="s">
        <v>219</v>
      </c>
    </row>
    <row r="2526" spans="1:11" ht="18" customHeight="1">
      <c r="A2526" s="59" t="str">
        <f>IF(E2539="","",IF(INDEX(DiemHKI!$DE$4:$DH$58,MATCH(PDHKI!E2539,DiemHKI!$B$4:$B$58,0),1)="","","- "&amp;INDEX(DiemHKI!$DE$4:$DH$58,MATCH(PDHKI!E2539,DiemHKI!$B$4:$B$58,0),1)))</f>
        <v/>
      </c>
      <c r="H2526" s="571"/>
    </row>
    <row r="2527" spans="1:11" ht="18" customHeight="1">
      <c r="A2527" s="59" t="str">
        <f>IF(E2539="","",IF(INDEX(DiemHKI!$DE$4:$DH$58,MATCH(PDHKI!E2539,DiemHKI!$B$4:$B$58,0),2)="","","- "&amp;INDEX(DiemHKI!$DE$4:$DH$58,MATCH(PDHKI!E2539,DiemHKI!$B$4:$B$58,0),2)))</f>
        <v/>
      </c>
    </row>
    <row r="2528" spans="1:11" ht="18" customHeight="1">
      <c r="A2528" s="59" t="str">
        <f>IF(E2539="","",IF(INDEX(DiemHKI!$DE$4:$DH$58,MATCH(PDHKI!E2539,DiemHKI!$B$4:$B$58,0),3)="","","- "&amp;INDEX(DiemHKI!$DE$4:$DH$58,MATCH(PDHKI!E2539,DiemHKI!$B$4:$B$58,0),3)))</f>
        <v/>
      </c>
    </row>
    <row r="2529" spans="1:5" ht="18" customHeight="1">
      <c r="A2529" s="59" t="str">
        <f>IF(E2539="","",IF(INDEX(DiemHKI!$DE$4:$DH$58,MATCH(PDHKI!E2539,DiemHKI!$B$4:$B$58,0),4)="","","- "&amp;INDEX(DiemHKI!$DE$4:$DH$58,MATCH(PDHKI!E2539,DiemHKI!$B$4:$B$58,0),4)))</f>
        <v/>
      </c>
    </row>
    <row r="2530" spans="1:5" ht="6.75" customHeight="1"/>
    <row r="2531" spans="1:5" ht="16.5" customHeight="1">
      <c r="A2531" s="61"/>
      <c r="C2531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531" s="1026"/>
      <c r="E2531" s="1026"/>
    </row>
    <row r="2532" spans="1:5" ht="21.75" customHeight="1">
      <c r="A2532" s="923" t="str">
        <f>IF($D$41="Hiệu trưởng","Giáo viên Quản nhiệm","")</f>
        <v>Giáo viên Quản nhiệm</v>
      </c>
      <c r="B2532" s="923"/>
      <c r="C2532" s="923"/>
      <c r="D2532" s="707" t="str">
        <f>IF($G$5="","",$G$5)</f>
        <v>Hiệu trưởng</v>
      </c>
      <c r="E2532" s="708"/>
    </row>
    <row r="2533" spans="1:5" ht="15" customHeight="1">
      <c r="A2533" s="61"/>
      <c r="B2533" s="61"/>
      <c r="C2533" s="61"/>
      <c r="D2533" s="66"/>
      <c r="E2533" s="66"/>
    </row>
    <row r="2534" spans="1:5" ht="15" customHeight="1">
      <c r="A2534" s="61"/>
      <c r="B2534" s="61"/>
      <c r="C2534" s="61"/>
      <c r="D2534" s="66"/>
      <c r="E2534" s="66"/>
    </row>
    <row r="2535" spans="1:5" ht="15" customHeight="1">
      <c r="A2535" s="61"/>
      <c r="B2535" s="61"/>
      <c r="C2535" s="61"/>
    </row>
    <row r="2536" spans="1:5" ht="15" customHeight="1">
      <c r="A2536" s="61"/>
      <c r="B2536" s="61"/>
      <c r="C2536" s="61"/>
    </row>
    <row r="2537" spans="1:5" ht="16.5" customHeight="1">
      <c r="A2537" s="1012" t="str">
        <f>IF($A$41="","",PROPER('Huong dan'!$C$4))</f>
        <v/>
      </c>
      <c r="B2537" s="1012"/>
      <c r="C2537" s="1012"/>
      <c r="D2537" s="833" t="str">
        <f>IFERROR(IF($D$41="Giáo Viên Quản nhiệm",PROPER('Huong dan'!$C$4),IF($D$41="Hiệu trưởng",PROPER('Huong dan'!$E$5),"")),"")</f>
        <v/>
      </c>
      <c r="E2537" s="708"/>
    </row>
    <row r="2538" spans="1:5" ht="12.75" customHeight="1"/>
    <row r="2539" spans="1:5" ht="12.75" customHeight="1">
      <c r="A2539" s="709"/>
      <c r="B2539" s="709"/>
      <c r="C2539" s="709"/>
      <c r="D2539" s="710"/>
      <c r="E2539" s="711" t="str">
        <f>IF(E2492="","",IF(E2492&lt;MAX(DiemHKI!$B$4:$B$58),E2492+1,""))</f>
        <v/>
      </c>
    </row>
    <row r="2540" spans="1:5" ht="8.25" customHeight="1">
      <c r="A2540" s="709"/>
      <c r="B2540" s="709"/>
      <c r="C2540" s="709"/>
      <c r="D2540" s="709"/>
      <c r="E2540" s="709"/>
    </row>
    <row r="2541" spans="1:5" ht="5.25" customHeight="1"/>
    <row r="2542" spans="1:5" s="563" customFormat="1" ht="23.25" customHeight="1">
      <c r="A2542" s="931" t="str">
        <f>IF('Huong dan'!$E$3&lt;&gt;"","SỞ GIÁO DỤC VÀ ĐÀO TẠO "&amp;UPPER('Huong dan'!$E$3),"")</f>
        <v>SỞ GIÁO DỤC VÀ ĐÀO TẠO TP. HỒ CHÍ MINH</v>
      </c>
      <c r="B2542" s="931"/>
      <c r="C2542" s="931"/>
      <c r="D2542" s="923" t="s">
        <v>19</v>
      </c>
      <c r="E2542" s="923"/>
    </row>
    <row r="2543" spans="1:5" ht="17.25" customHeight="1">
      <c r="A2543" s="931" t="str">
        <f>IF('Huong dan'!$E$4&lt;&gt;"","TRƯỜNG "&amp;UPPER('Huong dan'!$E$4),"")</f>
        <v>TRƯỜNG THCS VÀ THPT NGUYỄN KHUYẾN</v>
      </c>
      <c r="B2543" s="931"/>
      <c r="C2543" s="931"/>
      <c r="D2543" s="1012" t="s">
        <v>179</v>
      </c>
      <c r="E2543" s="1012"/>
    </row>
    <row r="2544" spans="1:5" ht="24" customHeight="1">
      <c r="A2544" s="61"/>
      <c r="B2544" s="61"/>
      <c r="C2544" s="61"/>
    </row>
    <row r="2545" spans="1:11" ht="29.25" customHeight="1">
      <c r="A2545" s="1013" t="str">
        <f>"PHIẾU ĐIỂM HỌC KỲ I - NĂM HỌC "&amp;'Huong dan'!$C$5</f>
        <v>PHIẾU ĐIỂM HỌC KỲ I - NĂM HỌC 2021 - 2022</v>
      </c>
      <c r="B2545" s="1013"/>
      <c r="C2545" s="1013"/>
      <c r="D2545" s="1013"/>
      <c r="E2545" s="1013"/>
    </row>
    <row r="2546" spans="1:11" ht="15.75" customHeight="1">
      <c r="A2546" s="680"/>
      <c r="B2546" s="680"/>
    </row>
    <row r="2547" spans="1:11" ht="21" customHeight="1">
      <c r="A2547" s="1014" t="s">
        <v>145</v>
      </c>
      <c r="B2547" s="1014"/>
      <c r="C2547" s="1015" t="str">
        <f>IF(E2586="","",INDEX(DiemHKI!$D$4:$D$58,MATCH(E2586,DiemHKI!$B$4:$B$58,0),1)&amp;" "&amp;INDEX(DiemHKI!$E$4:$E$58,MATCH(E2586,DiemHKI!$B$4:$B$58,0),1))</f>
        <v/>
      </c>
      <c r="D2547" s="1015"/>
      <c r="E2547" s="62" t="str">
        <f>IF('Huong dan'!$C$3="","","Lớp: "&amp;'Huong dan'!$C$3)</f>
        <v>Lớp: 12A1</v>
      </c>
    </row>
    <row r="2548" spans="1:11" ht="23.25" customHeight="1">
      <c r="A2548" s="1014" t="s">
        <v>146</v>
      </c>
      <c r="B2548" s="1014"/>
      <c r="C2548" s="681" t="str">
        <f>IF(E2586="","",INDEX(DiemHKI!$F$4:$F$58,MATCH(PDHKI!E2586,DiemHKI!$B$4:$B$58,0),1))</f>
        <v/>
      </c>
      <c r="D2548" s="1016" t="str">
        <f>IF(E2586="","","Nơi sinh: "&amp;INDEX(DiemHKI!$G$4:$G$58,MATCH(PDHKI!E2586,DiemHKI!$B$4:$B$58,0),1))</f>
        <v/>
      </c>
      <c r="E2548" s="1016"/>
    </row>
    <row r="2549" spans="1:11" ht="13.5" customHeight="1" thickBot="1">
      <c r="A2549" s="681"/>
      <c r="B2549" s="682"/>
      <c r="D2549" s="681"/>
      <c r="E2549" s="681"/>
    </row>
    <row r="2550" spans="1:11" ht="24" customHeight="1" thickBot="1">
      <c r="A2550" s="683" t="s">
        <v>0</v>
      </c>
      <c r="B2550" s="1006" t="s">
        <v>72</v>
      </c>
      <c r="C2550" s="1007"/>
      <c r="D2550" s="684" t="s">
        <v>147</v>
      </c>
      <c r="E2550" s="685" t="s">
        <v>148</v>
      </c>
    </row>
    <row r="2551" spans="1:11" ht="21" customHeight="1">
      <c r="A2551" s="686">
        <v>1</v>
      </c>
      <c r="B2551" s="1017" t="s">
        <v>26</v>
      </c>
      <c r="C2551" s="1018"/>
      <c r="D2551" s="687" t="str">
        <f>IF(E2586="","",IF(INDEX(THHKI!$A$8:$Y$62,MATCH(PDHKI!E2586,THHKI!$A$8:$A$62,0),INDEX($K$13:$K$27,MATCH(B2551,$J$13:$J$27,0),1))&lt;1,"/",INDEX(THHKI!$A$8:$Y$62,MATCH(PDHKI!E2586,THHKI!$A$8:$A$62,0),INDEX($K$13:$K$27,MATCH(B2551,$J$13:$J$27,0),1))))</f>
        <v/>
      </c>
      <c r="E2551" s="688"/>
      <c r="J2551" s="569" t="s">
        <v>26</v>
      </c>
      <c r="K2551" s="569">
        <v>7</v>
      </c>
    </row>
    <row r="2552" spans="1:11" ht="21" customHeight="1">
      <c r="A2552" s="689">
        <v>2</v>
      </c>
      <c r="B2552" s="1008" t="s">
        <v>27</v>
      </c>
      <c r="C2552" s="1009"/>
      <c r="D2552" s="690" t="str">
        <f>IF(E2586="","",IF(INDEX(THHKI!$A$8:$Y$62,MATCH(PDHKI!E2586,THHKI!$A$8:$A$62,0),INDEX($K$13:$K$27,MATCH(B2552,$J$13:$J$27,0),1))&lt;1,"/",INDEX(THHKI!$A$8:$Y$62,MATCH(PDHKI!E2586,THHKI!$A$8:$A$62,0),INDEX($K$13:$K$27,MATCH(B2552,$J$13:$J$27,0),1))))</f>
        <v/>
      </c>
      <c r="E2552" s="691"/>
      <c r="J2552" s="569" t="s">
        <v>27</v>
      </c>
      <c r="K2552" s="569">
        <v>8</v>
      </c>
    </row>
    <row r="2553" spans="1:11" ht="21" customHeight="1">
      <c r="A2553" s="689">
        <v>3</v>
      </c>
      <c r="B2553" s="1008" t="s">
        <v>28</v>
      </c>
      <c r="C2553" s="1009"/>
      <c r="D2553" s="690" t="str">
        <f>IF(E2586="","",IF(INDEX(THHKI!$A$8:$Y$62,MATCH(PDHKI!E2586,THHKI!$A$8:$A$62,0),INDEX($K$13:$K$27,MATCH(B2553,$J$13:$J$27,0),1))&lt;1,"/",INDEX(THHKI!$A$8:$Y$62,MATCH(PDHKI!E2586,THHKI!$A$8:$A$62,0),INDEX($K$13:$K$27,MATCH(B2553,$J$13:$J$27,0),1))))</f>
        <v/>
      </c>
      <c r="E2553" s="691"/>
      <c r="J2553" s="569" t="s">
        <v>28</v>
      </c>
      <c r="K2553" s="569">
        <v>9</v>
      </c>
    </row>
    <row r="2554" spans="1:11" ht="21" customHeight="1">
      <c r="A2554" s="689">
        <v>4</v>
      </c>
      <c r="B2554" s="1008" t="s">
        <v>29</v>
      </c>
      <c r="C2554" s="1009"/>
      <c r="D2554" s="690" t="str">
        <f>IF(E2586="","",IF(INDEX(THHKI!$A$8:$Y$62,MATCH(PDHKI!E2586,THHKI!$A$8:$A$62,0),INDEX($K$13:$K$27,MATCH(B2554,$J$13:$J$27,0),1))&lt;1,"/",INDEX(THHKI!$A$8:$Y$62,MATCH(PDHKI!E2586,THHKI!$A$8:$A$62,0),INDEX($K$13:$K$27,MATCH(B2554,$J$13:$J$27,0),1))))</f>
        <v/>
      </c>
      <c r="E2554" s="691"/>
      <c r="J2554" s="569" t="s">
        <v>29</v>
      </c>
      <c r="K2554" s="569">
        <v>10</v>
      </c>
    </row>
    <row r="2555" spans="1:11" ht="21" customHeight="1">
      <c r="A2555" s="689">
        <v>5</v>
      </c>
      <c r="B2555" s="1008" t="s">
        <v>120</v>
      </c>
      <c r="C2555" s="1009"/>
      <c r="D2555" s="690" t="str">
        <f>IF(E2586="","",IF(INDEX(THHKI!$A$8:$Y$62,MATCH(PDHKI!E2586,THHKI!$A$8:$A$62,0),INDEX($K$13:$K$27,MATCH(B2555,$J$13:$J$27,0),1))&lt;1,"/",INDEX(THHKI!$A$8:$Y$62,MATCH(PDHKI!E2586,THHKI!$A$8:$A$62,0),INDEX($K$13:$K$27,MATCH(B2555,$J$13:$J$27,0),1))))</f>
        <v/>
      </c>
      <c r="E2555" s="691"/>
      <c r="J2555" s="569" t="s">
        <v>120</v>
      </c>
      <c r="K2555" s="569">
        <v>11</v>
      </c>
    </row>
    <row r="2556" spans="1:11" ht="21" customHeight="1">
      <c r="A2556" s="689">
        <v>6</v>
      </c>
      <c r="B2556" s="1008" t="s">
        <v>30</v>
      </c>
      <c r="C2556" s="1009"/>
      <c r="D2556" s="690" t="str">
        <f>IF(E2586="","",IF(INDEX(THHKI!$A$8:$Y$62,MATCH(PDHKI!E2586,THHKI!$A$8:$A$62,0),INDEX($K$13:$K$27,MATCH(B2556,$J$13:$J$27,0),1))&lt;1,"/",INDEX(THHKI!$A$8:$Y$62,MATCH(PDHKI!E2586,THHKI!$A$8:$A$62,0),INDEX($K$13:$K$27,MATCH(B2556,$J$13:$J$27,0),1))))</f>
        <v/>
      </c>
      <c r="E2556" s="691"/>
      <c r="J2556" s="569" t="s">
        <v>30</v>
      </c>
      <c r="K2556" s="569">
        <v>12</v>
      </c>
    </row>
    <row r="2557" spans="1:11" ht="21" customHeight="1">
      <c r="A2557" s="689">
        <v>7</v>
      </c>
      <c r="B2557" s="1008" t="s">
        <v>31</v>
      </c>
      <c r="C2557" s="1009"/>
      <c r="D2557" s="690" t="str">
        <f>IF(E2586="","",IF(INDEX(THHKI!$A$8:$Y$62,MATCH(PDHKI!E2586,THHKI!$A$8:$A$62,0),INDEX($K$13:$K$27,MATCH(B2557,$J$13:$J$27,0),1))&lt;1,"/",INDEX(THHKI!$A$8:$Y$62,MATCH(PDHKI!E2586,THHKI!$A$8:$A$62,0),INDEX($K$13:$K$27,MATCH(B2557,$J$13:$J$27,0),1))))</f>
        <v/>
      </c>
      <c r="E2557" s="691"/>
      <c r="J2557" s="569" t="s">
        <v>31</v>
      </c>
      <c r="K2557" s="569">
        <v>13</v>
      </c>
    </row>
    <row r="2558" spans="1:11" ht="21" customHeight="1">
      <c r="A2558" s="689">
        <v>8</v>
      </c>
      <c r="B2558" s="1008" t="s">
        <v>32</v>
      </c>
      <c r="C2558" s="1009"/>
      <c r="D2558" s="690" t="str">
        <f>IF(E2586="","",IF(INDEX(THHKI!$A$8:$Y$62,MATCH(PDHKI!E2586,THHKI!$A$8:$A$62,0),INDEX($K$13:$K$27,MATCH(B2558,$J$13:$J$27,0),1))&lt;1,"/",INDEX(THHKI!$A$8:$Y$62,MATCH(PDHKI!E2586,THHKI!$A$8:$A$62,0),INDEX($K$13:$K$27,MATCH(B2558,$J$13:$J$27,0),1))))</f>
        <v/>
      </c>
      <c r="E2558" s="691"/>
      <c r="J2558" s="569" t="s">
        <v>32</v>
      </c>
      <c r="K2558" s="569">
        <v>14</v>
      </c>
    </row>
    <row r="2559" spans="1:11" ht="21" customHeight="1">
      <c r="A2559" s="689">
        <v>9</v>
      </c>
      <c r="B2559" s="1008" t="s">
        <v>33</v>
      </c>
      <c r="C2559" s="1009"/>
      <c r="D2559" s="690" t="str">
        <f>IF(E2586="","",IF(INDEX(THHKI!$A$8:$Y$62,MATCH(PDHKI!E2586,THHKI!$A$8:$A$62,0),INDEX($K$13:$K$27,MATCH(B2559,$J$13:$J$27,0),1))&lt;1,"/",INDEX(THHKI!$A$8:$Y$62,MATCH(PDHKI!E2586,THHKI!$A$8:$A$62,0),INDEX($K$13:$K$27,MATCH(B2559,$J$13:$J$27,0),1))))</f>
        <v/>
      </c>
      <c r="E2559" s="691"/>
      <c r="J2559" s="569" t="s">
        <v>33</v>
      </c>
      <c r="K2559" s="569">
        <v>15</v>
      </c>
    </row>
    <row r="2560" spans="1:11" ht="21" customHeight="1">
      <c r="A2560" s="689">
        <v>10</v>
      </c>
      <c r="B2560" s="1008" t="s">
        <v>60</v>
      </c>
      <c r="C2560" s="1009"/>
      <c r="D2560" s="690" t="str">
        <f>IF(E2586="","",IF(INDEX(THHKI!$A$8:$Y$62,MATCH(PDHKI!E2586,THHKI!$A$8:$A$62,0),INDEX($K$13:$K$27,MATCH(B2560,$J$13:$J$27,0),1))&lt;1,"/",INDEX(THHKI!$A$8:$Y$62,MATCH(PDHKI!E2586,THHKI!$A$8:$A$62,0),INDEX($K$13:$K$27,MATCH(B2560,$J$13:$J$27,0),1))))</f>
        <v/>
      </c>
      <c r="E2560" s="691"/>
      <c r="J2560" s="569" t="s">
        <v>60</v>
      </c>
      <c r="K2560" s="569">
        <v>16</v>
      </c>
    </row>
    <row r="2561" spans="1:11" ht="21" customHeight="1">
      <c r="A2561" s="689">
        <v>11</v>
      </c>
      <c r="B2561" s="1008" t="s">
        <v>34</v>
      </c>
      <c r="C2561" s="1009"/>
      <c r="D2561" s="690" t="str">
        <f>IF(E2586="","",IF(INDEX(THHKI!$A$8:$Y$62,MATCH(PDHKI!E2586,THHKI!$A$8:$A$62,0),INDEX($K$13:$K$27,MATCH(B2561,$J$13:$J$27,0),1))&lt;1,"/",INDEX(THHKI!$A$8:$Y$62,MATCH(PDHKI!E2586,THHKI!$A$8:$A$62,0),INDEX($K$13:$K$27,MATCH(B2561,$J$13:$J$27,0),1))))</f>
        <v/>
      </c>
      <c r="E2561" s="691"/>
      <c r="J2561" s="569" t="s">
        <v>34</v>
      </c>
      <c r="K2561" s="569">
        <v>17</v>
      </c>
    </row>
    <row r="2562" spans="1:11" ht="21" customHeight="1">
      <c r="A2562" s="689">
        <v>12</v>
      </c>
      <c r="B2562" s="1008" t="s">
        <v>35</v>
      </c>
      <c r="C2562" s="1009"/>
      <c r="D2562" s="690" t="str">
        <f>IF(E2586="","",IF(INDEX(THHKI!$A$8:$Y$62,MATCH(PDHKI!E2586,THHKI!$A$8:$A$62,0),INDEX($K$13:$K$27,MATCH(B2562,$J$13:$J$27,0),1))&lt;1,"/",INDEX(THHKI!$A$8:$Y$62,MATCH(PDHKI!E2586,THHKI!$A$8:$A$62,0),INDEX($K$13:$K$27,MATCH(B2562,$J$13:$J$27,0),1))))</f>
        <v/>
      </c>
      <c r="E2562" s="691"/>
      <c r="J2562" s="569" t="s">
        <v>35</v>
      </c>
      <c r="K2562" s="569">
        <v>18</v>
      </c>
    </row>
    <row r="2563" spans="1:11" ht="21" customHeight="1">
      <c r="A2563" s="689">
        <v>13</v>
      </c>
      <c r="B2563" s="1008" t="s">
        <v>121</v>
      </c>
      <c r="C2563" s="1009"/>
      <c r="D2563" s="690" t="str">
        <f>IF(E2586="","",IF(INDEX(THHKI!$A$8:$Y$62,MATCH(PDHKI!E2586,THHKI!$A$8:$A$62,0),INDEX($K$13:$K$27,MATCH(B2563,$J$13:$J$27,0),1))&lt;1,"/",INDEX(THHKI!$A$8:$Y$62,MATCH(PDHKI!E2586,THHKI!$A$8:$A$62,0),INDEX($K$13:$K$27,MATCH(B2563,$J$13:$J$27,0),1))))</f>
        <v/>
      </c>
      <c r="E2563" s="691"/>
      <c r="J2563" s="569" t="s">
        <v>22</v>
      </c>
      <c r="K2563" s="569">
        <v>19</v>
      </c>
    </row>
    <row r="2564" spans="1:11" ht="21" customHeight="1" thickBot="1">
      <c r="A2564" s="692">
        <v>14</v>
      </c>
      <c r="B2564" s="1010" t="s">
        <v>122</v>
      </c>
      <c r="C2564" s="1011"/>
      <c r="D2564" s="693" t="str">
        <f>IF(E2586="","",IF(INDEX(THHKI!$A$8:$Y$62,MATCH(PDHKI!E2586,THHKI!$A$8:$A$62,0),INDEX($K$13:$K$27,MATCH(B2564,$J$13:$J$27,0),1))&lt;1,"/",INDEX(THHKI!$A$8:$Y$62,MATCH(PDHKI!E2586,THHKI!$A$8:$A$62,0),INDEX($K$13:$K$27,MATCH(B2564,$J$13:$J$27,0),1))))</f>
        <v/>
      </c>
      <c r="E2564" s="694"/>
      <c r="J2564" s="569" t="s">
        <v>121</v>
      </c>
      <c r="K2564" s="569">
        <v>20</v>
      </c>
    </row>
    <row r="2565" spans="1:11" ht="21" customHeight="1" thickBot="1">
      <c r="A2565" s="695">
        <v>15</v>
      </c>
      <c r="B2565" s="1006" t="s">
        <v>149</v>
      </c>
      <c r="C2565" s="1007"/>
      <c r="D2565" s="696" t="str">
        <f>IF(E2586="","",IF(INDEX(THHKI!$A$8:$Y$62,MATCH(PDHKI!E2586,THHKI!$A$8:$A$62,0),22)&lt;1,"/",INDEX(THHKI!$A$8:$Y$62,MATCH(PDHKI!E2586,THHKI!$A$8:$A$62,0),22)))</f>
        <v/>
      </c>
      <c r="E2565" s="697"/>
      <c r="J2565" s="569" t="s">
        <v>122</v>
      </c>
      <c r="K2565" s="569">
        <v>21</v>
      </c>
    </row>
    <row r="2566" spans="1:11" ht="15.75" customHeight="1" thickBot="1"/>
    <row r="2567" spans="1:11" s="570" customFormat="1" ht="21" customHeight="1">
      <c r="A2567" s="698"/>
      <c r="B2567" s="1019" t="s">
        <v>150</v>
      </c>
      <c r="C2567" s="1020"/>
      <c r="D2567" s="699" t="s">
        <v>10</v>
      </c>
      <c r="E2567" s="700" t="s">
        <v>126</v>
      </c>
    </row>
    <row r="2568" spans="1:11" ht="21" customHeight="1">
      <c r="A2568" s="701">
        <v>16</v>
      </c>
      <c r="B2568" s="1021" t="s">
        <v>151</v>
      </c>
      <c r="C2568" s="1022"/>
      <c r="D2568" s="702" t="str">
        <f>IF(E2586="","",IF(INDEX(THHKI!$A$8:$Y$62,MATCH(PDHKI!E2586,THHKI!$A$8:$A$62,0),23)="","/",INDEX(THHKI!$A$8:$Y$62,MATCH(PDHKI!E2586,THHKI!$A$8:$A$62,0),23)))</f>
        <v/>
      </c>
      <c r="E2568" s="703"/>
    </row>
    <row r="2569" spans="1:11" ht="21" customHeight="1">
      <c r="A2569" s="701">
        <v>17</v>
      </c>
      <c r="B2569" s="1021" t="s">
        <v>152</v>
      </c>
      <c r="C2569" s="1022"/>
      <c r="D2569" s="702" t="str">
        <f>IF(E2586="","",IF(INDEX(THHKI!$A$8:$Y$62,MATCH(PDHKI!E2586,THHKI!$A$8:$A$62,0),24)="","/",INDEX(THHKI!$A$8:$Y$62,MATCH(PDHKI!E2586,THHKI!$A$8:$A$62,0),24)))</f>
        <v/>
      </c>
      <c r="E2569" s="703"/>
    </row>
    <row r="2570" spans="1:11" ht="21" customHeight="1" thickBot="1">
      <c r="A2570" s="704">
        <v>18</v>
      </c>
      <c r="B2570" s="1023" t="s">
        <v>153</v>
      </c>
      <c r="C2570" s="1024"/>
      <c r="D2570" s="705" t="str">
        <f>IF(E2586="","",IF(INDEX(THHKI!$A$8:$Y$62,MATCH(PDHKI!E2586,THHKI!$A$8:$A$62,0),25)="","/",INDEX(THHKI!$A$8:$Y$62,MATCH(PDHKI!E2586,THHKI!$A$8:$A$62,0),25)))</f>
        <v/>
      </c>
      <c r="E2570" s="706"/>
    </row>
    <row r="2571" spans="1:11" ht="9.75" customHeight="1"/>
    <row r="2572" spans="1:11" ht="15.75" customHeight="1">
      <c r="A2572" s="58" t="s">
        <v>219</v>
      </c>
    </row>
    <row r="2573" spans="1:11" ht="18" customHeight="1">
      <c r="A2573" s="59" t="str">
        <f>IF(E2586="","",IF(INDEX(DiemHKI!$DE$4:$DH$58,MATCH(PDHKI!E2586,DiemHKI!$B$4:$B$58,0),1)="","","- "&amp;INDEX(DiemHKI!$DE$4:$DH$58,MATCH(PDHKI!E2586,DiemHKI!$B$4:$B$58,0),1)))</f>
        <v/>
      </c>
      <c r="H2573" s="571"/>
    </row>
    <row r="2574" spans="1:11" ht="18" customHeight="1">
      <c r="A2574" s="59" t="str">
        <f>IF(E2586="","",IF(INDEX(DiemHKI!$DE$4:$DH$58,MATCH(PDHKI!E2586,DiemHKI!$B$4:$B$58,0),2)="","","- "&amp;INDEX(DiemHKI!$DE$4:$DH$58,MATCH(PDHKI!E2586,DiemHKI!$B$4:$B$58,0),2)))</f>
        <v/>
      </c>
    </row>
    <row r="2575" spans="1:11" ht="18" customHeight="1">
      <c r="A2575" s="59" t="str">
        <f>IF(E2586="","",IF(INDEX(DiemHKI!$DE$4:$DH$58,MATCH(PDHKI!E2586,DiemHKI!$B$4:$B$58,0),3)="","","- "&amp;INDEX(DiemHKI!$DE$4:$DH$58,MATCH(PDHKI!E2586,DiemHKI!$B$4:$B$58,0),3)))</f>
        <v/>
      </c>
    </row>
    <row r="2576" spans="1:11" ht="18" customHeight="1">
      <c r="A2576" s="59" t="str">
        <f>IF(E2586="","",IF(INDEX(DiemHKI!$DE$4:$DH$58,MATCH(PDHKI!E2586,DiemHKI!$B$4:$B$58,0),4)="","","- "&amp;INDEX(DiemHKI!$DE$4:$DH$58,MATCH(PDHKI!E2586,DiemHKI!$B$4:$B$58,0),4)))</f>
        <v/>
      </c>
    </row>
    <row r="2577" spans="1:5" ht="6.75" customHeight="1"/>
    <row r="2578" spans="1:5" ht="16.5" customHeight="1">
      <c r="A2578" s="61"/>
      <c r="C2578" s="1025" t="str">
        <f ca="1">'Huong dan'!$E$3&amp;IF($G$9="",", ngày " &amp;IF(DAY(NOW())&lt;10,"0"&amp;DAY(NOW()),DAY(NOW()))&amp;"  tháng "&amp;IF(MONTH(NOW())&lt;3,"0"&amp;MONTH(NOW()),MONTH(NOW()))&amp;" năm "&amp;YEAR(NOW()),", ngày "&amp;IF(DAY($G$9)&lt;10,"0"&amp;DAY($G$9),DAY($G$9))&amp;" tháng "&amp;IF(MONTH($G$9)&lt;3,"0"&amp;MONTH($G$9),MONTH($G$9))&amp;" năm "&amp;YEAR($G$9))</f>
        <v>TP. Hồ Chí Minh, ngày 08  tháng 10 năm 2022</v>
      </c>
      <c r="D2578" s="1026"/>
      <c r="E2578" s="1026"/>
    </row>
    <row r="2579" spans="1:5" ht="21.75" customHeight="1">
      <c r="A2579" s="923" t="str">
        <f>IF($D$41="Hiệu trưởng","Giáo viên Quản nhiệm","")</f>
        <v>Giáo viên Quản nhiệm</v>
      </c>
      <c r="B2579" s="923"/>
      <c r="C2579" s="923"/>
      <c r="D2579" s="707" t="str">
        <f>IF($G$5="","",$G$5)</f>
        <v>Hiệu trưởng</v>
      </c>
      <c r="E2579" s="708"/>
    </row>
    <row r="2580" spans="1:5" ht="15" customHeight="1">
      <c r="A2580" s="61"/>
      <c r="B2580" s="61"/>
      <c r="C2580" s="61"/>
      <c r="D2580" s="66"/>
      <c r="E2580" s="66"/>
    </row>
    <row r="2581" spans="1:5" ht="15" customHeight="1">
      <c r="A2581" s="61"/>
      <c r="B2581" s="61"/>
      <c r="C2581" s="61"/>
      <c r="D2581" s="66"/>
      <c r="E2581" s="66"/>
    </row>
    <row r="2582" spans="1:5" ht="15" customHeight="1">
      <c r="A2582" s="61"/>
      <c r="B2582" s="61"/>
      <c r="C2582" s="61"/>
    </row>
    <row r="2583" spans="1:5" ht="15" customHeight="1">
      <c r="A2583" s="61"/>
      <c r="B2583" s="61"/>
      <c r="C2583" s="61"/>
    </row>
    <row r="2584" spans="1:5" ht="16.5" customHeight="1">
      <c r="A2584" s="1012" t="str">
        <f>IF($A$41="","",PROPER('Huong dan'!$C$4))</f>
        <v/>
      </c>
      <c r="B2584" s="1012"/>
      <c r="C2584" s="1012"/>
      <c r="D2584" s="833" t="str">
        <f>IFERROR(IF($D$41="Giáo Viên Quản nhiệm",PROPER('Huong dan'!$C$4),IF($D$41="Hiệu trưởng",PROPER('Huong dan'!$E$5),"")),"")</f>
        <v/>
      </c>
      <c r="E2584" s="708"/>
    </row>
    <row r="2585" spans="1:5" ht="12.75" customHeight="1"/>
    <row r="2586" spans="1:5" ht="12.75" customHeight="1">
      <c r="A2586" s="709"/>
      <c r="B2586" s="709"/>
      <c r="C2586" s="709"/>
      <c r="D2586" s="710"/>
      <c r="E2586" s="711" t="str">
        <f>IF(E2539="","",IF(E2539&lt;MAX(DiemHKI!$B$4:$B$58),E2539+1,""))</f>
        <v/>
      </c>
    </row>
    <row r="2587" spans="1:5" ht="8.25" customHeight="1">
      <c r="A2587" s="709"/>
      <c r="B2587" s="709"/>
      <c r="C2587" s="709"/>
      <c r="D2587" s="709"/>
      <c r="E2587" s="709"/>
    </row>
    <row r="2589" spans="1:5" ht="22.5" customHeight="1">
      <c r="D2589" s="90"/>
    </row>
  </sheetData>
  <sheetProtection algorithmName="SHA-512" hashValue="DxWNoL2kq5XtppNqh+tP6PVbb88cYcEWs1iRNXNWrcIx59dzPwtemOhwRpxz5yDQlO5Y1h6WrPvwQEMrjc7wGw==" saltValue="TqoY9pTZhq1NJsgRb5/SGQ==" spinCount="100000" sheet="1" objects="1" scenarios="1"/>
  <mergeCells count="1760">
    <mergeCell ref="B2569:C2569"/>
    <mergeCell ref="B2570:C2570"/>
    <mergeCell ref="C2578:E2578"/>
    <mergeCell ref="A2579:C2579"/>
    <mergeCell ref="A2584:C2584"/>
    <mergeCell ref="B2563:C2563"/>
    <mergeCell ref="B2564:C2564"/>
    <mergeCell ref="B2565:C2565"/>
    <mergeCell ref="B2567:C2567"/>
    <mergeCell ref="B2568:C2568"/>
    <mergeCell ref="B2558:C2558"/>
    <mergeCell ref="B2559:C2559"/>
    <mergeCell ref="B2560:C2560"/>
    <mergeCell ref="B2561:C2561"/>
    <mergeCell ref="B2562:C2562"/>
    <mergeCell ref="B2553:C2553"/>
    <mergeCell ref="B2554:C2554"/>
    <mergeCell ref="B2555:C2555"/>
    <mergeCell ref="B2556:C2556"/>
    <mergeCell ref="B2557:C2557"/>
    <mergeCell ref="A2548:B2548"/>
    <mergeCell ref="D2548:E2548"/>
    <mergeCell ref="B2550:C2550"/>
    <mergeCell ref="B2551:C2551"/>
    <mergeCell ref="B2552:C2552"/>
    <mergeCell ref="A2543:C2543"/>
    <mergeCell ref="D2543:E2543"/>
    <mergeCell ref="A2545:E2545"/>
    <mergeCell ref="A2547:B2547"/>
    <mergeCell ref="C2547:D2547"/>
    <mergeCell ref="C2531:E2531"/>
    <mergeCell ref="A2532:C2532"/>
    <mergeCell ref="A2537:C2537"/>
    <mergeCell ref="A2542:C2542"/>
    <mergeCell ref="D2542:E2542"/>
    <mergeCell ref="B2518:C2518"/>
    <mergeCell ref="B2520:C2520"/>
    <mergeCell ref="B2521:C2521"/>
    <mergeCell ref="B2522:C2522"/>
    <mergeCell ref="B2523:C2523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A2498:E2498"/>
    <mergeCell ref="A2500:B2500"/>
    <mergeCell ref="C2500:D2500"/>
    <mergeCell ref="A2501:B2501"/>
    <mergeCell ref="D2501:E2501"/>
    <mergeCell ref="A2485:C2485"/>
    <mergeCell ref="A2490:C2490"/>
    <mergeCell ref="A2495:C2495"/>
    <mergeCell ref="D2495:E2495"/>
    <mergeCell ref="A2496:C2496"/>
    <mergeCell ref="D2496:E2496"/>
    <mergeCell ref="B2473:C2473"/>
    <mergeCell ref="B2474:C2474"/>
    <mergeCell ref="B2475:C2475"/>
    <mergeCell ref="B2476:C2476"/>
    <mergeCell ref="C2484:E2484"/>
    <mergeCell ref="B2467:C2467"/>
    <mergeCell ref="B2468:C2468"/>
    <mergeCell ref="B2469:C2469"/>
    <mergeCell ref="B2470:C2470"/>
    <mergeCell ref="B2471:C2471"/>
    <mergeCell ref="B2462:C2462"/>
    <mergeCell ref="B2463:C2463"/>
    <mergeCell ref="B2464:C2464"/>
    <mergeCell ref="B2465:C2465"/>
    <mergeCell ref="B2466:C2466"/>
    <mergeCell ref="B2457:C2457"/>
    <mergeCell ref="B2458:C2458"/>
    <mergeCell ref="B2459:C2459"/>
    <mergeCell ref="B2460:C2460"/>
    <mergeCell ref="B2461:C2461"/>
    <mergeCell ref="A2453:B2453"/>
    <mergeCell ref="C2453:D2453"/>
    <mergeCell ref="A2454:B2454"/>
    <mergeCell ref="D2454:E2454"/>
    <mergeCell ref="B2456:C2456"/>
    <mergeCell ref="A2448:C2448"/>
    <mergeCell ref="D2448:E2448"/>
    <mergeCell ref="A2449:C2449"/>
    <mergeCell ref="D2449:E2449"/>
    <mergeCell ref="A2451:E2451"/>
    <mergeCell ref="B2428:C2428"/>
    <mergeCell ref="B2429:C2429"/>
    <mergeCell ref="C2437:E2437"/>
    <mergeCell ref="A2438:C2438"/>
    <mergeCell ref="A2443:C2443"/>
    <mergeCell ref="B2422:C2422"/>
    <mergeCell ref="B2423:C2423"/>
    <mergeCell ref="B2424:C2424"/>
    <mergeCell ref="B2426:C2426"/>
    <mergeCell ref="B2427:C2427"/>
    <mergeCell ref="B2417:C2417"/>
    <mergeCell ref="B2418:C2418"/>
    <mergeCell ref="B2419:C2419"/>
    <mergeCell ref="B2420:C2420"/>
    <mergeCell ref="B2421:C2421"/>
    <mergeCell ref="B2412:C2412"/>
    <mergeCell ref="B2413:C2413"/>
    <mergeCell ref="B2414:C2414"/>
    <mergeCell ref="B2415:C2415"/>
    <mergeCell ref="B2416:C2416"/>
    <mergeCell ref="A2407:B2407"/>
    <mergeCell ref="D2407:E2407"/>
    <mergeCell ref="B2409:C2409"/>
    <mergeCell ref="B2410:C2410"/>
    <mergeCell ref="B2411:C2411"/>
    <mergeCell ref="A2402:C2402"/>
    <mergeCell ref="D2402:E2402"/>
    <mergeCell ref="A2404:E2404"/>
    <mergeCell ref="A2406:B2406"/>
    <mergeCell ref="C2406:D2406"/>
    <mergeCell ref="C2390:E2390"/>
    <mergeCell ref="A2391:C2391"/>
    <mergeCell ref="A2396:C2396"/>
    <mergeCell ref="A2401:C2401"/>
    <mergeCell ref="D2401:E2401"/>
    <mergeCell ref="B2377:C2377"/>
    <mergeCell ref="B2379:C2379"/>
    <mergeCell ref="B2380:C2380"/>
    <mergeCell ref="B2381:C2381"/>
    <mergeCell ref="B2382:C2382"/>
    <mergeCell ref="B2372:C2372"/>
    <mergeCell ref="B2373:C2373"/>
    <mergeCell ref="B2374:C2374"/>
    <mergeCell ref="B2375:C2375"/>
    <mergeCell ref="B2376:C2376"/>
    <mergeCell ref="B2367:C2367"/>
    <mergeCell ref="B2368:C2368"/>
    <mergeCell ref="B2369:C2369"/>
    <mergeCell ref="B2370:C2370"/>
    <mergeCell ref="B2371:C2371"/>
    <mergeCell ref="B2362:C2362"/>
    <mergeCell ref="B2363:C2363"/>
    <mergeCell ref="B2364:C2364"/>
    <mergeCell ref="B2365:C2365"/>
    <mergeCell ref="B2366:C2366"/>
    <mergeCell ref="A2357:E2357"/>
    <mergeCell ref="A2359:B2359"/>
    <mergeCell ref="C2359:D2359"/>
    <mergeCell ref="A2360:B2360"/>
    <mergeCell ref="D2360:E2360"/>
    <mergeCell ref="A2344:C2344"/>
    <mergeCell ref="A2349:C2349"/>
    <mergeCell ref="A2354:C2354"/>
    <mergeCell ref="D2354:E2354"/>
    <mergeCell ref="A2355:C2355"/>
    <mergeCell ref="D2355:E2355"/>
    <mergeCell ref="B2332:C2332"/>
    <mergeCell ref="B2333:C2333"/>
    <mergeCell ref="B2334:C2334"/>
    <mergeCell ref="B2335:C2335"/>
    <mergeCell ref="C2343:E2343"/>
    <mergeCell ref="B2326:C2326"/>
    <mergeCell ref="B2327:C2327"/>
    <mergeCell ref="B2328:C2328"/>
    <mergeCell ref="B2329:C2329"/>
    <mergeCell ref="B2330:C2330"/>
    <mergeCell ref="B2321:C2321"/>
    <mergeCell ref="B2322:C2322"/>
    <mergeCell ref="B2323:C2323"/>
    <mergeCell ref="B2324:C2324"/>
    <mergeCell ref="B2325:C2325"/>
    <mergeCell ref="B2316:C2316"/>
    <mergeCell ref="B2317:C2317"/>
    <mergeCell ref="B2318:C2318"/>
    <mergeCell ref="B2319:C2319"/>
    <mergeCell ref="B2320:C2320"/>
    <mergeCell ref="A2312:B2312"/>
    <mergeCell ref="C2312:D2312"/>
    <mergeCell ref="A2313:B2313"/>
    <mergeCell ref="D2313:E2313"/>
    <mergeCell ref="B2315:C2315"/>
    <mergeCell ref="A2307:C2307"/>
    <mergeCell ref="D2307:E2307"/>
    <mergeCell ref="A2308:C2308"/>
    <mergeCell ref="D2308:E2308"/>
    <mergeCell ref="A2310:E2310"/>
    <mergeCell ref="B2287:C2287"/>
    <mergeCell ref="B2288:C2288"/>
    <mergeCell ref="C2296:E2296"/>
    <mergeCell ref="A2297:C2297"/>
    <mergeCell ref="A2302:C2302"/>
    <mergeCell ref="B2281:C2281"/>
    <mergeCell ref="B2282:C2282"/>
    <mergeCell ref="B2283:C2283"/>
    <mergeCell ref="B2285:C2285"/>
    <mergeCell ref="B2286:C2286"/>
    <mergeCell ref="B2276:C2276"/>
    <mergeCell ref="B2277:C2277"/>
    <mergeCell ref="B2278:C2278"/>
    <mergeCell ref="B2279:C2279"/>
    <mergeCell ref="B2280:C2280"/>
    <mergeCell ref="B2271:C2271"/>
    <mergeCell ref="B2272:C2272"/>
    <mergeCell ref="B2273:C2273"/>
    <mergeCell ref="B2274:C2274"/>
    <mergeCell ref="B2275:C2275"/>
    <mergeCell ref="A2266:B2266"/>
    <mergeCell ref="D2266:E2266"/>
    <mergeCell ref="B2268:C2268"/>
    <mergeCell ref="B2269:C2269"/>
    <mergeCell ref="B2270:C2270"/>
    <mergeCell ref="A2261:C2261"/>
    <mergeCell ref="D2261:E2261"/>
    <mergeCell ref="A2263:E2263"/>
    <mergeCell ref="A2265:B2265"/>
    <mergeCell ref="C2265:D2265"/>
    <mergeCell ref="C2249:E2249"/>
    <mergeCell ref="A2250:C2250"/>
    <mergeCell ref="A2255:C2255"/>
    <mergeCell ref="A2260:C2260"/>
    <mergeCell ref="D2260:E2260"/>
    <mergeCell ref="B2236:C2236"/>
    <mergeCell ref="B2238:C2238"/>
    <mergeCell ref="B2239:C2239"/>
    <mergeCell ref="B2240:C2240"/>
    <mergeCell ref="B2241:C2241"/>
    <mergeCell ref="B2231:C2231"/>
    <mergeCell ref="B2232:C2232"/>
    <mergeCell ref="B2233:C2233"/>
    <mergeCell ref="B2234:C2234"/>
    <mergeCell ref="B2235:C2235"/>
    <mergeCell ref="B2226:C2226"/>
    <mergeCell ref="B2227:C2227"/>
    <mergeCell ref="B2228:C2228"/>
    <mergeCell ref="B2229:C2229"/>
    <mergeCell ref="B2230:C2230"/>
    <mergeCell ref="B2221:C2221"/>
    <mergeCell ref="B2222:C2222"/>
    <mergeCell ref="B2223:C2223"/>
    <mergeCell ref="B2224:C2224"/>
    <mergeCell ref="B2225:C2225"/>
    <mergeCell ref="A2216:E2216"/>
    <mergeCell ref="A2218:B2218"/>
    <mergeCell ref="C2218:D2218"/>
    <mergeCell ref="A2219:B2219"/>
    <mergeCell ref="D2219:E2219"/>
    <mergeCell ref="A2203:C2203"/>
    <mergeCell ref="A2208:C2208"/>
    <mergeCell ref="A2213:C2213"/>
    <mergeCell ref="D2213:E2213"/>
    <mergeCell ref="A2214:C2214"/>
    <mergeCell ref="D2214:E2214"/>
    <mergeCell ref="B2191:C2191"/>
    <mergeCell ref="B2192:C2192"/>
    <mergeCell ref="B2193:C2193"/>
    <mergeCell ref="B2194:C2194"/>
    <mergeCell ref="C2202:E2202"/>
    <mergeCell ref="B2185:C2185"/>
    <mergeCell ref="B2186:C2186"/>
    <mergeCell ref="B2187:C2187"/>
    <mergeCell ref="B2188:C2188"/>
    <mergeCell ref="B2189:C2189"/>
    <mergeCell ref="B2180:C2180"/>
    <mergeCell ref="B2181:C2181"/>
    <mergeCell ref="B2182:C2182"/>
    <mergeCell ref="B2183:C2183"/>
    <mergeCell ref="B2184:C2184"/>
    <mergeCell ref="B2175:C2175"/>
    <mergeCell ref="B2176:C2176"/>
    <mergeCell ref="B2177:C2177"/>
    <mergeCell ref="B2178:C2178"/>
    <mergeCell ref="B2179:C2179"/>
    <mergeCell ref="A2171:B2171"/>
    <mergeCell ref="C2171:D2171"/>
    <mergeCell ref="A2172:B2172"/>
    <mergeCell ref="D2172:E2172"/>
    <mergeCell ref="B2174:C2174"/>
    <mergeCell ref="A2166:C2166"/>
    <mergeCell ref="D2166:E2166"/>
    <mergeCell ref="A2167:C2167"/>
    <mergeCell ref="D2167:E2167"/>
    <mergeCell ref="A2169:E2169"/>
    <mergeCell ref="B2146:C2146"/>
    <mergeCell ref="B2147:C2147"/>
    <mergeCell ref="C2155:E2155"/>
    <mergeCell ref="A2156:C2156"/>
    <mergeCell ref="A2161:C2161"/>
    <mergeCell ref="B2140:C2140"/>
    <mergeCell ref="B2141:C2141"/>
    <mergeCell ref="B2142:C2142"/>
    <mergeCell ref="B2144:C2144"/>
    <mergeCell ref="B2145:C2145"/>
    <mergeCell ref="B2135:C2135"/>
    <mergeCell ref="B2136:C2136"/>
    <mergeCell ref="B2137:C2137"/>
    <mergeCell ref="B2138:C2138"/>
    <mergeCell ref="B2139:C2139"/>
    <mergeCell ref="B2130:C2130"/>
    <mergeCell ref="B2131:C2131"/>
    <mergeCell ref="B2132:C2132"/>
    <mergeCell ref="B2133:C2133"/>
    <mergeCell ref="B2134:C2134"/>
    <mergeCell ref="A2125:B2125"/>
    <mergeCell ref="D2125:E2125"/>
    <mergeCell ref="B2127:C2127"/>
    <mergeCell ref="B2128:C2128"/>
    <mergeCell ref="B2129:C2129"/>
    <mergeCell ref="A2120:C2120"/>
    <mergeCell ref="D2120:E2120"/>
    <mergeCell ref="A2122:E2122"/>
    <mergeCell ref="A2124:B2124"/>
    <mergeCell ref="C2124:D2124"/>
    <mergeCell ref="C2108:E2108"/>
    <mergeCell ref="A2109:C2109"/>
    <mergeCell ref="A2114:C2114"/>
    <mergeCell ref="A2119:C2119"/>
    <mergeCell ref="D2119:E2119"/>
    <mergeCell ref="B2095:C2095"/>
    <mergeCell ref="B2097:C2097"/>
    <mergeCell ref="B2098:C2098"/>
    <mergeCell ref="B2099:C2099"/>
    <mergeCell ref="B2100:C2100"/>
    <mergeCell ref="B2090:C2090"/>
    <mergeCell ref="B2091:C2091"/>
    <mergeCell ref="B2092:C2092"/>
    <mergeCell ref="B2093:C2093"/>
    <mergeCell ref="B2094:C2094"/>
    <mergeCell ref="B2085:C2085"/>
    <mergeCell ref="B2086:C2086"/>
    <mergeCell ref="B2087:C2087"/>
    <mergeCell ref="B2088:C2088"/>
    <mergeCell ref="B2089:C2089"/>
    <mergeCell ref="B2080:C2080"/>
    <mergeCell ref="B2081:C2081"/>
    <mergeCell ref="B2082:C2082"/>
    <mergeCell ref="B2083:C2083"/>
    <mergeCell ref="B2084:C2084"/>
    <mergeCell ref="A2075:E2075"/>
    <mergeCell ref="A2077:B2077"/>
    <mergeCell ref="C2077:D2077"/>
    <mergeCell ref="A2078:B2078"/>
    <mergeCell ref="D2078:E2078"/>
    <mergeCell ref="A2062:C2062"/>
    <mergeCell ref="A2067:C2067"/>
    <mergeCell ref="A2072:C2072"/>
    <mergeCell ref="D2072:E2072"/>
    <mergeCell ref="A2073:C2073"/>
    <mergeCell ref="D2073:E2073"/>
    <mergeCell ref="B2050:C2050"/>
    <mergeCell ref="B2051:C2051"/>
    <mergeCell ref="B2052:C2052"/>
    <mergeCell ref="B2053:C2053"/>
    <mergeCell ref="C2061:E2061"/>
    <mergeCell ref="B2044:C2044"/>
    <mergeCell ref="B2045:C2045"/>
    <mergeCell ref="B2046:C2046"/>
    <mergeCell ref="B2047:C2047"/>
    <mergeCell ref="B2048:C2048"/>
    <mergeCell ref="B2039:C2039"/>
    <mergeCell ref="B2040:C2040"/>
    <mergeCell ref="B2041:C2041"/>
    <mergeCell ref="B2042:C2042"/>
    <mergeCell ref="B2043:C2043"/>
    <mergeCell ref="B2034:C2034"/>
    <mergeCell ref="B2035:C2035"/>
    <mergeCell ref="B2036:C2036"/>
    <mergeCell ref="B2037:C2037"/>
    <mergeCell ref="B2038:C2038"/>
    <mergeCell ref="A2030:B2030"/>
    <mergeCell ref="C2030:D2030"/>
    <mergeCell ref="A2031:B2031"/>
    <mergeCell ref="D2031:E2031"/>
    <mergeCell ref="B2033:C2033"/>
    <mergeCell ref="A2025:C2025"/>
    <mergeCell ref="D2025:E2025"/>
    <mergeCell ref="A2026:C2026"/>
    <mergeCell ref="D2026:E2026"/>
    <mergeCell ref="A2028:E2028"/>
    <mergeCell ref="B2005:C2005"/>
    <mergeCell ref="B2006:C2006"/>
    <mergeCell ref="C2014:E2014"/>
    <mergeCell ref="A2015:C2015"/>
    <mergeCell ref="A2020:C2020"/>
    <mergeCell ref="B1999:C1999"/>
    <mergeCell ref="B2000:C2000"/>
    <mergeCell ref="B2001:C2001"/>
    <mergeCell ref="B2003:C2003"/>
    <mergeCell ref="B2004:C2004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A1984:B1984"/>
    <mergeCell ref="D1984:E1984"/>
    <mergeCell ref="B1986:C1986"/>
    <mergeCell ref="B1987:C1987"/>
    <mergeCell ref="B1988:C1988"/>
    <mergeCell ref="A1979:C1979"/>
    <mergeCell ref="D1979:E1979"/>
    <mergeCell ref="A1981:E1981"/>
    <mergeCell ref="A1983:B1983"/>
    <mergeCell ref="C1983:D1983"/>
    <mergeCell ref="C1967:E1967"/>
    <mergeCell ref="A1968:C1968"/>
    <mergeCell ref="A1973:C1973"/>
    <mergeCell ref="A1978:C1978"/>
    <mergeCell ref="D1978:E1978"/>
    <mergeCell ref="B1954:C1954"/>
    <mergeCell ref="B1956:C1956"/>
    <mergeCell ref="B1957:C1957"/>
    <mergeCell ref="B1958:C1958"/>
    <mergeCell ref="B1959:C1959"/>
    <mergeCell ref="B1949:C1949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39:C1939"/>
    <mergeCell ref="B1940:C1940"/>
    <mergeCell ref="B1941:C1941"/>
    <mergeCell ref="B1942:C1942"/>
    <mergeCell ref="B1943:C1943"/>
    <mergeCell ref="A1934:E1934"/>
    <mergeCell ref="A1936:B1936"/>
    <mergeCell ref="C1936:D1936"/>
    <mergeCell ref="A1937:B1937"/>
    <mergeCell ref="D1937:E1937"/>
    <mergeCell ref="A1921:C1921"/>
    <mergeCell ref="A1926:C1926"/>
    <mergeCell ref="A1931:C1931"/>
    <mergeCell ref="D1931:E1931"/>
    <mergeCell ref="A1932:C1932"/>
    <mergeCell ref="D1932:E1932"/>
    <mergeCell ref="B1909:C1909"/>
    <mergeCell ref="B1910:C1910"/>
    <mergeCell ref="B1911:C1911"/>
    <mergeCell ref="B1912:C1912"/>
    <mergeCell ref="C1920:E1920"/>
    <mergeCell ref="B1903:C1903"/>
    <mergeCell ref="B1904:C1904"/>
    <mergeCell ref="B1905:C1905"/>
    <mergeCell ref="B1906:C1906"/>
    <mergeCell ref="B1907:C1907"/>
    <mergeCell ref="B1898:C1898"/>
    <mergeCell ref="B1899:C1899"/>
    <mergeCell ref="B1900:C1900"/>
    <mergeCell ref="B1901:C1901"/>
    <mergeCell ref="B1902:C1902"/>
    <mergeCell ref="B1893:C1893"/>
    <mergeCell ref="B1894:C1894"/>
    <mergeCell ref="B1895:C1895"/>
    <mergeCell ref="B1896:C1896"/>
    <mergeCell ref="B1897:C1897"/>
    <mergeCell ref="A1889:B1889"/>
    <mergeCell ref="C1889:D1889"/>
    <mergeCell ref="A1890:B1890"/>
    <mergeCell ref="D1890:E1890"/>
    <mergeCell ref="B1892:C1892"/>
    <mergeCell ref="A1884:C1884"/>
    <mergeCell ref="D1884:E1884"/>
    <mergeCell ref="A1885:C1885"/>
    <mergeCell ref="D1885:E1885"/>
    <mergeCell ref="A1887:E1887"/>
    <mergeCell ref="B1864:C1864"/>
    <mergeCell ref="B1865:C1865"/>
    <mergeCell ref="C1873:E1873"/>
    <mergeCell ref="A1874:C1874"/>
    <mergeCell ref="A1879:C1879"/>
    <mergeCell ref="B1858:C1858"/>
    <mergeCell ref="B1859:C1859"/>
    <mergeCell ref="B1860:C1860"/>
    <mergeCell ref="B1862:C1862"/>
    <mergeCell ref="B1863:C1863"/>
    <mergeCell ref="B1853:C1853"/>
    <mergeCell ref="B1854:C1854"/>
    <mergeCell ref="B1855:C1855"/>
    <mergeCell ref="B1856:C1856"/>
    <mergeCell ref="B1857:C1857"/>
    <mergeCell ref="B1848:C1848"/>
    <mergeCell ref="B1849:C1849"/>
    <mergeCell ref="B1850:C1850"/>
    <mergeCell ref="B1851:C1851"/>
    <mergeCell ref="B1852:C1852"/>
    <mergeCell ref="A1843:B1843"/>
    <mergeCell ref="D1843:E1843"/>
    <mergeCell ref="B1845:C1845"/>
    <mergeCell ref="B1846:C1846"/>
    <mergeCell ref="B1847:C1847"/>
    <mergeCell ref="A1838:C1838"/>
    <mergeCell ref="D1838:E1838"/>
    <mergeCell ref="A1840:E1840"/>
    <mergeCell ref="A1842:B1842"/>
    <mergeCell ref="C1842:D1842"/>
    <mergeCell ref="C1826:E1826"/>
    <mergeCell ref="A1827:C1827"/>
    <mergeCell ref="A1832:C1832"/>
    <mergeCell ref="A1837:C1837"/>
    <mergeCell ref="D1837:E1837"/>
    <mergeCell ref="B1813:C1813"/>
    <mergeCell ref="B1815:C1815"/>
    <mergeCell ref="B1816:C1816"/>
    <mergeCell ref="B1817:C1817"/>
    <mergeCell ref="B1818:C1818"/>
    <mergeCell ref="B1808:C1808"/>
    <mergeCell ref="B1809:C1809"/>
    <mergeCell ref="B1810:C1810"/>
    <mergeCell ref="B1811:C1811"/>
    <mergeCell ref="B1812:C1812"/>
    <mergeCell ref="B1803:C1803"/>
    <mergeCell ref="B1804:C1804"/>
    <mergeCell ref="B1805:C1805"/>
    <mergeCell ref="B1806:C1806"/>
    <mergeCell ref="B1807:C1807"/>
    <mergeCell ref="B1798:C1798"/>
    <mergeCell ref="B1799:C1799"/>
    <mergeCell ref="B1800:C1800"/>
    <mergeCell ref="B1801:C1801"/>
    <mergeCell ref="B1802:C1802"/>
    <mergeCell ref="A1793:E1793"/>
    <mergeCell ref="A1795:B1795"/>
    <mergeCell ref="C1795:D1795"/>
    <mergeCell ref="A1796:B1796"/>
    <mergeCell ref="D1796:E1796"/>
    <mergeCell ref="A1780:C1780"/>
    <mergeCell ref="A1785:C1785"/>
    <mergeCell ref="A1790:C1790"/>
    <mergeCell ref="D1790:E1790"/>
    <mergeCell ref="A1791:C1791"/>
    <mergeCell ref="D1791:E1791"/>
    <mergeCell ref="B1768:C1768"/>
    <mergeCell ref="B1769:C1769"/>
    <mergeCell ref="B1770:C1770"/>
    <mergeCell ref="B1771:C1771"/>
    <mergeCell ref="C1779:E1779"/>
    <mergeCell ref="B1762:C1762"/>
    <mergeCell ref="B1763:C1763"/>
    <mergeCell ref="B1764:C1764"/>
    <mergeCell ref="B1765:C1765"/>
    <mergeCell ref="B1766:C1766"/>
    <mergeCell ref="B1757:C1757"/>
    <mergeCell ref="B1758:C1758"/>
    <mergeCell ref="B1759:C1759"/>
    <mergeCell ref="B1760:C1760"/>
    <mergeCell ref="B1761:C1761"/>
    <mergeCell ref="B1752:C1752"/>
    <mergeCell ref="B1753:C1753"/>
    <mergeCell ref="B1754:C1754"/>
    <mergeCell ref="B1755:C1755"/>
    <mergeCell ref="B1756:C1756"/>
    <mergeCell ref="A1748:B1748"/>
    <mergeCell ref="C1748:D1748"/>
    <mergeCell ref="A1749:B1749"/>
    <mergeCell ref="D1749:E1749"/>
    <mergeCell ref="B1751:C1751"/>
    <mergeCell ref="A1743:C1743"/>
    <mergeCell ref="D1743:E1743"/>
    <mergeCell ref="A1744:C1744"/>
    <mergeCell ref="D1744:E1744"/>
    <mergeCell ref="A1746:E1746"/>
    <mergeCell ref="B1723:C1723"/>
    <mergeCell ref="B1724:C1724"/>
    <mergeCell ref="C1732:E1732"/>
    <mergeCell ref="A1733:C1733"/>
    <mergeCell ref="A1738:C1738"/>
    <mergeCell ref="B1717:C1717"/>
    <mergeCell ref="B1718:C1718"/>
    <mergeCell ref="B1719:C1719"/>
    <mergeCell ref="B1721:C1721"/>
    <mergeCell ref="B1722:C1722"/>
    <mergeCell ref="B1712:C1712"/>
    <mergeCell ref="B1713:C1713"/>
    <mergeCell ref="B1714:C1714"/>
    <mergeCell ref="B1715:C1715"/>
    <mergeCell ref="B1716:C1716"/>
    <mergeCell ref="B1707:C1707"/>
    <mergeCell ref="B1708:C1708"/>
    <mergeCell ref="B1709:C1709"/>
    <mergeCell ref="B1710:C1710"/>
    <mergeCell ref="B1711:C1711"/>
    <mergeCell ref="A1702:B1702"/>
    <mergeCell ref="D1702:E1702"/>
    <mergeCell ref="B1704:C1704"/>
    <mergeCell ref="B1705:C1705"/>
    <mergeCell ref="B1706:C1706"/>
    <mergeCell ref="A1697:C1697"/>
    <mergeCell ref="D1697:E1697"/>
    <mergeCell ref="A1699:E1699"/>
    <mergeCell ref="A1701:B1701"/>
    <mergeCell ref="C1701:D1701"/>
    <mergeCell ref="C1685:E1685"/>
    <mergeCell ref="A1686:C1686"/>
    <mergeCell ref="A1691:C1691"/>
    <mergeCell ref="A1696:C1696"/>
    <mergeCell ref="D1696:E1696"/>
    <mergeCell ref="B1672:C1672"/>
    <mergeCell ref="B1674:C1674"/>
    <mergeCell ref="B1675:C1675"/>
    <mergeCell ref="B1676:C1676"/>
    <mergeCell ref="B1677:C1677"/>
    <mergeCell ref="B1667:C1667"/>
    <mergeCell ref="B1668:C1668"/>
    <mergeCell ref="B1669:C1669"/>
    <mergeCell ref="B1670:C1670"/>
    <mergeCell ref="B1671:C1671"/>
    <mergeCell ref="B1662:C1662"/>
    <mergeCell ref="B1663:C1663"/>
    <mergeCell ref="B1664:C1664"/>
    <mergeCell ref="B1665:C1665"/>
    <mergeCell ref="B1666:C1666"/>
    <mergeCell ref="B1657:C1657"/>
    <mergeCell ref="B1658:C1658"/>
    <mergeCell ref="B1659:C1659"/>
    <mergeCell ref="B1660:C1660"/>
    <mergeCell ref="B1661:C1661"/>
    <mergeCell ref="A1652:E1652"/>
    <mergeCell ref="A1654:B1654"/>
    <mergeCell ref="C1654:D1654"/>
    <mergeCell ref="A1655:B1655"/>
    <mergeCell ref="D1655:E1655"/>
    <mergeCell ref="A1639:C1639"/>
    <mergeCell ref="A1644:C1644"/>
    <mergeCell ref="A1649:C1649"/>
    <mergeCell ref="D1649:E1649"/>
    <mergeCell ref="A1650:C1650"/>
    <mergeCell ref="D1650:E1650"/>
    <mergeCell ref="B1627:C1627"/>
    <mergeCell ref="B1628:C1628"/>
    <mergeCell ref="B1629:C1629"/>
    <mergeCell ref="B1630:C1630"/>
    <mergeCell ref="C1638:E1638"/>
    <mergeCell ref="B1621:C1621"/>
    <mergeCell ref="B1622:C1622"/>
    <mergeCell ref="B1623:C1623"/>
    <mergeCell ref="B1624:C1624"/>
    <mergeCell ref="B1625:C1625"/>
    <mergeCell ref="B1616:C1616"/>
    <mergeCell ref="B1617:C1617"/>
    <mergeCell ref="B1618:C1618"/>
    <mergeCell ref="B1619:C1619"/>
    <mergeCell ref="B1620:C1620"/>
    <mergeCell ref="B1611:C1611"/>
    <mergeCell ref="B1612:C1612"/>
    <mergeCell ref="B1613:C1613"/>
    <mergeCell ref="B1614:C1614"/>
    <mergeCell ref="B1615:C1615"/>
    <mergeCell ref="A1607:B1607"/>
    <mergeCell ref="C1607:D1607"/>
    <mergeCell ref="A1608:B1608"/>
    <mergeCell ref="D1608:E1608"/>
    <mergeCell ref="B1610:C1610"/>
    <mergeCell ref="A1602:C1602"/>
    <mergeCell ref="D1602:E1602"/>
    <mergeCell ref="A1603:C1603"/>
    <mergeCell ref="D1603:E1603"/>
    <mergeCell ref="A1605:E1605"/>
    <mergeCell ref="B1582:C1582"/>
    <mergeCell ref="B1583:C1583"/>
    <mergeCell ref="C1591:E1591"/>
    <mergeCell ref="A1592:C1592"/>
    <mergeCell ref="A1597:C1597"/>
    <mergeCell ref="B1576:C1576"/>
    <mergeCell ref="B1577:C1577"/>
    <mergeCell ref="B1578:C1578"/>
    <mergeCell ref="B1580:C1580"/>
    <mergeCell ref="B1581:C1581"/>
    <mergeCell ref="B1571:C1571"/>
    <mergeCell ref="B1572:C1572"/>
    <mergeCell ref="B1573:C1573"/>
    <mergeCell ref="B1574:C1574"/>
    <mergeCell ref="B1575:C1575"/>
    <mergeCell ref="B1566:C1566"/>
    <mergeCell ref="B1567:C1567"/>
    <mergeCell ref="B1568:C1568"/>
    <mergeCell ref="B1569:C1569"/>
    <mergeCell ref="B1570:C1570"/>
    <mergeCell ref="A1561:B1561"/>
    <mergeCell ref="D1561:E1561"/>
    <mergeCell ref="B1563:C1563"/>
    <mergeCell ref="B1564:C1564"/>
    <mergeCell ref="B1565:C1565"/>
    <mergeCell ref="A1556:C1556"/>
    <mergeCell ref="D1556:E1556"/>
    <mergeCell ref="A1558:E1558"/>
    <mergeCell ref="A1560:B1560"/>
    <mergeCell ref="C1560:D1560"/>
    <mergeCell ref="C1544:E1544"/>
    <mergeCell ref="A1545:C1545"/>
    <mergeCell ref="A1550:C1550"/>
    <mergeCell ref="A1555:C1555"/>
    <mergeCell ref="D1555:E1555"/>
    <mergeCell ref="B1531:C1531"/>
    <mergeCell ref="B1533:C1533"/>
    <mergeCell ref="B1534:C1534"/>
    <mergeCell ref="B1535:C1535"/>
    <mergeCell ref="B1536:C1536"/>
    <mergeCell ref="B1526:C1526"/>
    <mergeCell ref="B1527:C1527"/>
    <mergeCell ref="B1528:C1528"/>
    <mergeCell ref="B1529:C1529"/>
    <mergeCell ref="B1530:C1530"/>
    <mergeCell ref="B1521:C1521"/>
    <mergeCell ref="B1522:C1522"/>
    <mergeCell ref="B1523:C1523"/>
    <mergeCell ref="B1524:C1524"/>
    <mergeCell ref="B1525:C1525"/>
    <mergeCell ref="B1516:C1516"/>
    <mergeCell ref="B1517:C1517"/>
    <mergeCell ref="B1518:C1518"/>
    <mergeCell ref="B1519:C1519"/>
    <mergeCell ref="B1520:C1520"/>
    <mergeCell ref="A1511:E1511"/>
    <mergeCell ref="A1513:B1513"/>
    <mergeCell ref="C1513:D1513"/>
    <mergeCell ref="A1514:B1514"/>
    <mergeCell ref="D1514:E1514"/>
    <mergeCell ref="A1498:C1498"/>
    <mergeCell ref="A1503:C1503"/>
    <mergeCell ref="A1508:C1508"/>
    <mergeCell ref="D1508:E1508"/>
    <mergeCell ref="A1509:C1509"/>
    <mergeCell ref="D1509:E1509"/>
    <mergeCell ref="B1486:C1486"/>
    <mergeCell ref="B1487:C1487"/>
    <mergeCell ref="B1488:C1488"/>
    <mergeCell ref="B1489:C1489"/>
    <mergeCell ref="C1497:E1497"/>
    <mergeCell ref="B1480:C1480"/>
    <mergeCell ref="B1481:C1481"/>
    <mergeCell ref="B1482:C1482"/>
    <mergeCell ref="B1483:C1483"/>
    <mergeCell ref="B1484:C1484"/>
    <mergeCell ref="B1475:C1475"/>
    <mergeCell ref="B1476:C1476"/>
    <mergeCell ref="B1477:C1477"/>
    <mergeCell ref="B1478:C1478"/>
    <mergeCell ref="B1479:C1479"/>
    <mergeCell ref="B1470:C1470"/>
    <mergeCell ref="B1471:C1471"/>
    <mergeCell ref="B1472:C1472"/>
    <mergeCell ref="B1473:C1473"/>
    <mergeCell ref="B1474:C1474"/>
    <mergeCell ref="A1466:B1466"/>
    <mergeCell ref="C1466:D1466"/>
    <mergeCell ref="A1467:B1467"/>
    <mergeCell ref="D1467:E1467"/>
    <mergeCell ref="B1469:C1469"/>
    <mergeCell ref="A1461:C1461"/>
    <mergeCell ref="D1461:E1461"/>
    <mergeCell ref="A1462:C1462"/>
    <mergeCell ref="D1462:E1462"/>
    <mergeCell ref="A1464:E1464"/>
    <mergeCell ref="B1441:C1441"/>
    <mergeCell ref="B1442:C1442"/>
    <mergeCell ref="C1450:E1450"/>
    <mergeCell ref="A1451:C1451"/>
    <mergeCell ref="A1456:C1456"/>
    <mergeCell ref="B1435:C1435"/>
    <mergeCell ref="B1436:C1436"/>
    <mergeCell ref="B1437:C1437"/>
    <mergeCell ref="B1439:C1439"/>
    <mergeCell ref="B1440:C1440"/>
    <mergeCell ref="B1430:C1430"/>
    <mergeCell ref="B1431:C1431"/>
    <mergeCell ref="B1432:C1432"/>
    <mergeCell ref="B1433:C1433"/>
    <mergeCell ref="B1434:C1434"/>
    <mergeCell ref="B1425:C1425"/>
    <mergeCell ref="B1426:C1426"/>
    <mergeCell ref="B1427:C1427"/>
    <mergeCell ref="B1428:C1428"/>
    <mergeCell ref="B1429:C1429"/>
    <mergeCell ref="A1420:B1420"/>
    <mergeCell ref="D1420:E1420"/>
    <mergeCell ref="B1422:C1422"/>
    <mergeCell ref="B1423:C1423"/>
    <mergeCell ref="B1424:C1424"/>
    <mergeCell ref="A1415:C1415"/>
    <mergeCell ref="D1415:E1415"/>
    <mergeCell ref="A1417:E1417"/>
    <mergeCell ref="A1419:B1419"/>
    <mergeCell ref="C1419:D1419"/>
    <mergeCell ref="C1403:E1403"/>
    <mergeCell ref="A1404:C1404"/>
    <mergeCell ref="A1409:C1409"/>
    <mergeCell ref="A1414:C1414"/>
    <mergeCell ref="D1414:E1414"/>
    <mergeCell ref="B1390:C1390"/>
    <mergeCell ref="B1392:C1392"/>
    <mergeCell ref="B1393:C1393"/>
    <mergeCell ref="B1394:C1394"/>
    <mergeCell ref="B1395:C1395"/>
    <mergeCell ref="B1385:C1385"/>
    <mergeCell ref="B1386:C1386"/>
    <mergeCell ref="B1387:C1387"/>
    <mergeCell ref="B1388:C1388"/>
    <mergeCell ref="B1389:C1389"/>
    <mergeCell ref="B1380:C1380"/>
    <mergeCell ref="B1381:C1381"/>
    <mergeCell ref="B1382:C1382"/>
    <mergeCell ref="B1383:C1383"/>
    <mergeCell ref="B1384:C1384"/>
    <mergeCell ref="B1375:C1375"/>
    <mergeCell ref="B1376:C1376"/>
    <mergeCell ref="B1377:C1377"/>
    <mergeCell ref="B1378:C1378"/>
    <mergeCell ref="B1379:C1379"/>
    <mergeCell ref="A1370:E1370"/>
    <mergeCell ref="A1372:B1372"/>
    <mergeCell ref="C1372:D1372"/>
    <mergeCell ref="A1373:B1373"/>
    <mergeCell ref="D1373:E1373"/>
    <mergeCell ref="A1357:C1357"/>
    <mergeCell ref="A1362:C1362"/>
    <mergeCell ref="A1367:C1367"/>
    <mergeCell ref="D1367:E1367"/>
    <mergeCell ref="A1368:C1368"/>
    <mergeCell ref="D1368:E1368"/>
    <mergeCell ref="B1345:C1345"/>
    <mergeCell ref="B1346:C1346"/>
    <mergeCell ref="B1347:C1347"/>
    <mergeCell ref="B1348:C1348"/>
    <mergeCell ref="C1356:E1356"/>
    <mergeCell ref="B1339:C1339"/>
    <mergeCell ref="B1340:C1340"/>
    <mergeCell ref="B1341:C1341"/>
    <mergeCell ref="B1342:C1342"/>
    <mergeCell ref="B1343:C1343"/>
    <mergeCell ref="B1334:C1334"/>
    <mergeCell ref="B1335:C1335"/>
    <mergeCell ref="B1336:C1336"/>
    <mergeCell ref="B1337:C1337"/>
    <mergeCell ref="B1338:C1338"/>
    <mergeCell ref="B1329:C1329"/>
    <mergeCell ref="B1330:C1330"/>
    <mergeCell ref="B1331:C1331"/>
    <mergeCell ref="B1332:C1332"/>
    <mergeCell ref="B1333:C1333"/>
    <mergeCell ref="A1325:B1325"/>
    <mergeCell ref="C1325:D1325"/>
    <mergeCell ref="A1326:B1326"/>
    <mergeCell ref="D1326:E1326"/>
    <mergeCell ref="B1328:C1328"/>
    <mergeCell ref="A1320:C1320"/>
    <mergeCell ref="D1320:E1320"/>
    <mergeCell ref="A1321:C1321"/>
    <mergeCell ref="D1321:E1321"/>
    <mergeCell ref="A1323:E1323"/>
    <mergeCell ref="B1300:C1300"/>
    <mergeCell ref="B1301:C1301"/>
    <mergeCell ref="C1309:E1309"/>
    <mergeCell ref="A1310:C1310"/>
    <mergeCell ref="A1315:C1315"/>
    <mergeCell ref="B1294:C1294"/>
    <mergeCell ref="B1295:C1295"/>
    <mergeCell ref="B1296:C1296"/>
    <mergeCell ref="B1298:C1298"/>
    <mergeCell ref="B1299:C1299"/>
    <mergeCell ref="B1289:C1289"/>
    <mergeCell ref="B1290:C1290"/>
    <mergeCell ref="B1291:C1291"/>
    <mergeCell ref="B1292:C1292"/>
    <mergeCell ref="B1293:C1293"/>
    <mergeCell ref="B1284:C1284"/>
    <mergeCell ref="B1285:C1285"/>
    <mergeCell ref="B1286:C1286"/>
    <mergeCell ref="B1287:C1287"/>
    <mergeCell ref="B1288:C1288"/>
    <mergeCell ref="A1279:B1279"/>
    <mergeCell ref="D1279:E1279"/>
    <mergeCell ref="B1281:C1281"/>
    <mergeCell ref="B1282:C1282"/>
    <mergeCell ref="B1283:C1283"/>
    <mergeCell ref="A1274:C1274"/>
    <mergeCell ref="D1274:E1274"/>
    <mergeCell ref="A1276:E1276"/>
    <mergeCell ref="A1278:B1278"/>
    <mergeCell ref="C1278:D1278"/>
    <mergeCell ref="C1262:E1262"/>
    <mergeCell ref="A1263:C1263"/>
    <mergeCell ref="A1268:C1268"/>
    <mergeCell ref="A1273:C1273"/>
    <mergeCell ref="D1273:E1273"/>
    <mergeCell ref="B1249:C1249"/>
    <mergeCell ref="B1251:C1251"/>
    <mergeCell ref="B1252:C1252"/>
    <mergeCell ref="B1253:C1253"/>
    <mergeCell ref="B1254:C1254"/>
    <mergeCell ref="B1244:C1244"/>
    <mergeCell ref="B1245:C1245"/>
    <mergeCell ref="B1246:C1246"/>
    <mergeCell ref="B1247:C1247"/>
    <mergeCell ref="B1248:C1248"/>
    <mergeCell ref="B1239:C1239"/>
    <mergeCell ref="B1240:C1240"/>
    <mergeCell ref="B1241:C1241"/>
    <mergeCell ref="B1242:C1242"/>
    <mergeCell ref="B1243:C1243"/>
    <mergeCell ref="B1234:C1234"/>
    <mergeCell ref="B1235:C1235"/>
    <mergeCell ref="B1236:C1236"/>
    <mergeCell ref="B1237:C1237"/>
    <mergeCell ref="B1238:C1238"/>
    <mergeCell ref="A1229:E1229"/>
    <mergeCell ref="A1231:B1231"/>
    <mergeCell ref="C1231:D1231"/>
    <mergeCell ref="A1232:B1232"/>
    <mergeCell ref="D1232:E1232"/>
    <mergeCell ref="A1216:C1216"/>
    <mergeCell ref="A1221:C1221"/>
    <mergeCell ref="A1226:C1226"/>
    <mergeCell ref="D1226:E1226"/>
    <mergeCell ref="A1227:C1227"/>
    <mergeCell ref="D1227:E1227"/>
    <mergeCell ref="B1204:C1204"/>
    <mergeCell ref="B1205:C1205"/>
    <mergeCell ref="B1206:C1206"/>
    <mergeCell ref="B1207:C1207"/>
    <mergeCell ref="C1215:E1215"/>
    <mergeCell ref="B1198:C1198"/>
    <mergeCell ref="B1199:C1199"/>
    <mergeCell ref="B1200:C1200"/>
    <mergeCell ref="B1201:C1201"/>
    <mergeCell ref="B1202:C1202"/>
    <mergeCell ref="B1193:C1193"/>
    <mergeCell ref="B1194:C1194"/>
    <mergeCell ref="B1195:C1195"/>
    <mergeCell ref="B1196:C1196"/>
    <mergeCell ref="B1197:C1197"/>
    <mergeCell ref="B1188:C1188"/>
    <mergeCell ref="B1189:C1189"/>
    <mergeCell ref="B1190:C1190"/>
    <mergeCell ref="B1191:C1191"/>
    <mergeCell ref="B1192:C1192"/>
    <mergeCell ref="A1184:B1184"/>
    <mergeCell ref="C1184:D1184"/>
    <mergeCell ref="A1185:B1185"/>
    <mergeCell ref="D1185:E1185"/>
    <mergeCell ref="B1187:C1187"/>
    <mergeCell ref="A1179:C1179"/>
    <mergeCell ref="D1179:E1179"/>
    <mergeCell ref="A1180:C1180"/>
    <mergeCell ref="D1180:E1180"/>
    <mergeCell ref="A1182:E1182"/>
    <mergeCell ref="B1159:C1159"/>
    <mergeCell ref="B1160:C1160"/>
    <mergeCell ref="C1168:E1168"/>
    <mergeCell ref="A1169:C1169"/>
    <mergeCell ref="A1174:C1174"/>
    <mergeCell ref="B1153:C1153"/>
    <mergeCell ref="B1154:C1154"/>
    <mergeCell ref="B1155:C1155"/>
    <mergeCell ref="B1157:C1157"/>
    <mergeCell ref="B1158:C1158"/>
    <mergeCell ref="B1148:C1148"/>
    <mergeCell ref="B1149:C1149"/>
    <mergeCell ref="B1150:C1150"/>
    <mergeCell ref="B1151:C1151"/>
    <mergeCell ref="B1152:C1152"/>
    <mergeCell ref="B1143:C1143"/>
    <mergeCell ref="B1144:C1144"/>
    <mergeCell ref="B1145:C1145"/>
    <mergeCell ref="B1146:C1146"/>
    <mergeCell ref="B1147:C1147"/>
    <mergeCell ref="A1138:B1138"/>
    <mergeCell ref="D1138:E1138"/>
    <mergeCell ref="B1140:C1140"/>
    <mergeCell ref="B1141:C1141"/>
    <mergeCell ref="B1142:C1142"/>
    <mergeCell ref="A1133:C1133"/>
    <mergeCell ref="D1133:E1133"/>
    <mergeCell ref="A1135:E1135"/>
    <mergeCell ref="A1137:B1137"/>
    <mergeCell ref="C1137:D1137"/>
    <mergeCell ref="C1121:E1121"/>
    <mergeCell ref="A1122:C1122"/>
    <mergeCell ref="A1127:C1127"/>
    <mergeCell ref="A1132:C1132"/>
    <mergeCell ref="D1132:E1132"/>
    <mergeCell ref="B1108:C1108"/>
    <mergeCell ref="B1110:C1110"/>
    <mergeCell ref="B1111:C1111"/>
    <mergeCell ref="B1112:C1112"/>
    <mergeCell ref="B1113:C1113"/>
    <mergeCell ref="B1103:C1103"/>
    <mergeCell ref="B1104:C1104"/>
    <mergeCell ref="B1105:C1105"/>
    <mergeCell ref="B1106:C1106"/>
    <mergeCell ref="B1107:C1107"/>
    <mergeCell ref="B1098:C1098"/>
    <mergeCell ref="B1099:C1099"/>
    <mergeCell ref="B1100:C1100"/>
    <mergeCell ref="B1101:C1101"/>
    <mergeCell ref="B1102:C1102"/>
    <mergeCell ref="B1093:C1093"/>
    <mergeCell ref="B1094:C1094"/>
    <mergeCell ref="B1095:C1095"/>
    <mergeCell ref="B1096:C1096"/>
    <mergeCell ref="B1097:C1097"/>
    <mergeCell ref="A1088:E1088"/>
    <mergeCell ref="A1090:B1090"/>
    <mergeCell ref="C1090:D1090"/>
    <mergeCell ref="A1091:B1091"/>
    <mergeCell ref="D1091:E1091"/>
    <mergeCell ref="A1075:C1075"/>
    <mergeCell ref="A1080:C1080"/>
    <mergeCell ref="A1085:C1085"/>
    <mergeCell ref="D1085:E1085"/>
    <mergeCell ref="A1086:C1086"/>
    <mergeCell ref="D1086:E1086"/>
    <mergeCell ref="B1063:C1063"/>
    <mergeCell ref="B1064:C1064"/>
    <mergeCell ref="B1065:C1065"/>
    <mergeCell ref="B1066:C1066"/>
    <mergeCell ref="C1074:E1074"/>
    <mergeCell ref="B1057:C1057"/>
    <mergeCell ref="B1058:C1058"/>
    <mergeCell ref="B1059:C1059"/>
    <mergeCell ref="B1060:C1060"/>
    <mergeCell ref="B1061:C1061"/>
    <mergeCell ref="B1052:C1052"/>
    <mergeCell ref="B1053:C1053"/>
    <mergeCell ref="B1054:C1054"/>
    <mergeCell ref="B1055:C1055"/>
    <mergeCell ref="B1056:C1056"/>
    <mergeCell ref="B1047:C1047"/>
    <mergeCell ref="B1048:C1048"/>
    <mergeCell ref="B1049:C1049"/>
    <mergeCell ref="B1050:C1050"/>
    <mergeCell ref="B1051:C1051"/>
    <mergeCell ref="A1043:B1043"/>
    <mergeCell ref="C1043:D1043"/>
    <mergeCell ref="A1044:B1044"/>
    <mergeCell ref="D1044:E1044"/>
    <mergeCell ref="B1046:C1046"/>
    <mergeCell ref="A1038:C1038"/>
    <mergeCell ref="D1038:E1038"/>
    <mergeCell ref="A1039:C1039"/>
    <mergeCell ref="D1039:E1039"/>
    <mergeCell ref="A1041:E1041"/>
    <mergeCell ref="B1018:C1018"/>
    <mergeCell ref="B1019:C1019"/>
    <mergeCell ref="C1027:E1027"/>
    <mergeCell ref="A1028:C1028"/>
    <mergeCell ref="A1033:C1033"/>
    <mergeCell ref="B1012:C1012"/>
    <mergeCell ref="B1013:C1013"/>
    <mergeCell ref="B1014:C1014"/>
    <mergeCell ref="B1016:C1016"/>
    <mergeCell ref="B1017:C1017"/>
    <mergeCell ref="B1007:C1007"/>
    <mergeCell ref="B1008:C1008"/>
    <mergeCell ref="B1009:C1009"/>
    <mergeCell ref="B1010:C1010"/>
    <mergeCell ref="B1011:C1011"/>
    <mergeCell ref="B1002:C1002"/>
    <mergeCell ref="B1003:C1003"/>
    <mergeCell ref="B1004:C1004"/>
    <mergeCell ref="B1005:C1005"/>
    <mergeCell ref="B1006:C1006"/>
    <mergeCell ref="A997:B997"/>
    <mergeCell ref="D997:E997"/>
    <mergeCell ref="B999:C999"/>
    <mergeCell ref="B1000:C1000"/>
    <mergeCell ref="B1001:C1001"/>
    <mergeCell ref="A992:C992"/>
    <mergeCell ref="D992:E992"/>
    <mergeCell ref="A994:E994"/>
    <mergeCell ref="A996:B996"/>
    <mergeCell ref="C996:D996"/>
    <mergeCell ref="C980:E980"/>
    <mergeCell ref="A981:C981"/>
    <mergeCell ref="A986:C986"/>
    <mergeCell ref="A991:C991"/>
    <mergeCell ref="D991:E991"/>
    <mergeCell ref="B967:C967"/>
    <mergeCell ref="B969:C969"/>
    <mergeCell ref="B970:C970"/>
    <mergeCell ref="B971:C971"/>
    <mergeCell ref="B972:C972"/>
    <mergeCell ref="B962:C962"/>
    <mergeCell ref="B963:C963"/>
    <mergeCell ref="B964:C964"/>
    <mergeCell ref="B965:C965"/>
    <mergeCell ref="B966:C966"/>
    <mergeCell ref="B957:C957"/>
    <mergeCell ref="B958:C958"/>
    <mergeCell ref="B959:C959"/>
    <mergeCell ref="B960:C960"/>
    <mergeCell ref="B961:C961"/>
    <mergeCell ref="B952:C952"/>
    <mergeCell ref="B953:C953"/>
    <mergeCell ref="B954:C954"/>
    <mergeCell ref="B955:C955"/>
    <mergeCell ref="B956:C956"/>
    <mergeCell ref="A947:E947"/>
    <mergeCell ref="A949:B949"/>
    <mergeCell ref="C949:D949"/>
    <mergeCell ref="A950:B950"/>
    <mergeCell ref="D950:E950"/>
    <mergeCell ref="A934:C934"/>
    <mergeCell ref="A939:C939"/>
    <mergeCell ref="A944:C944"/>
    <mergeCell ref="D944:E944"/>
    <mergeCell ref="A945:C945"/>
    <mergeCell ref="D945:E945"/>
    <mergeCell ref="B922:C922"/>
    <mergeCell ref="B923:C923"/>
    <mergeCell ref="B924:C924"/>
    <mergeCell ref="B925:C925"/>
    <mergeCell ref="C933:E933"/>
    <mergeCell ref="B916:C916"/>
    <mergeCell ref="B917:C917"/>
    <mergeCell ref="B918:C918"/>
    <mergeCell ref="B919:C919"/>
    <mergeCell ref="B920:C920"/>
    <mergeCell ref="B911:C911"/>
    <mergeCell ref="B912:C912"/>
    <mergeCell ref="B913:C913"/>
    <mergeCell ref="B914:C914"/>
    <mergeCell ref="B915:C915"/>
    <mergeCell ref="B906:C906"/>
    <mergeCell ref="B907:C907"/>
    <mergeCell ref="B908:C908"/>
    <mergeCell ref="B909:C909"/>
    <mergeCell ref="B910:C910"/>
    <mergeCell ref="A902:B902"/>
    <mergeCell ref="C902:D902"/>
    <mergeCell ref="A903:B903"/>
    <mergeCell ref="D903:E903"/>
    <mergeCell ref="B905:C905"/>
    <mergeCell ref="A897:C897"/>
    <mergeCell ref="D897:E897"/>
    <mergeCell ref="A898:C898"/>
    <mergeCell ref="D898:E898"/>
    <mergeCell ref="A900:E900"/>
    <mergeCell ref="B877:C877"/>
    <mergeCell ref="B878:C878"/>
    <mergeCell ref="C886:E886"/>
    <mergeCell ref="A887:C887"/>
    <mergeCell ref="A892:C892"/>
    <mergeCell ref="B871:C871"/>
    <mergeCell ref="B872:C872"/>
    <mergeCell ref="B873:C873"/>
    <mergeCell ref="B875:C875"/>
    <mergeCell ref="B876:C876"/>
    <mergeCell ref="B866:C866"/>
    <mergeCell ref="B867:C867"/>
    <mergeCell ref="B868:C868"/>
    <mergeCell ref="B869:C869"/>
    <mergeCell ref="B870:C870"/>
    <mergeCell ref="B861:C861"/>
    <mergeCell ref="B862:C862"/>
    <mergeCell ref="B863:C863"/>
    <mergeCell ref="B864:C864"/>
    <mergeCell ref="B865:C865"/>
    <mergeCell ref="A856:B856"/>
    <mergeCell ref="D856:E856"/>
    <mergeCell ref="B858:C858"/>
    <mergeCell ref="B859:C859"/>
    <mergeCell ref="B860:C860"/>
    <mergeCell ref="A851:C851"/>
    <mergeCell ref="D851:E851"/>
    <mergeCell ref="A853:E853"/>
    <mergeCell ref="A855:B855"/>
    <mergeCell ref="C855:D855"/>
    <mergeCell ref="C839:E839"/>
    <mergeCell ref="A840:C840"/>
    <mergeCell ref="A845:C845"/>
    <mergeCell ref="A850:C850"/>
    <mergeCell ref="D850:E850"/>
    <mergeCell ref="B826:C826"/>
    <mergeCell ref="B828:C828"/>
    <mergeCell ref="B829:C829"/>
    <mergeCell ref="B830:C830"/>
    <mergeCell ref="B831:C831"/>
    <mergeCell ref="B821:C821"/>
    <mergeCell ref="B822:C822"/>
    <mergeCell ref="B823:C823"/>
    <mergeCell ref="B824:C824"/>
    <mergeCell ref="B825:C825"/>
    <mergeCell ref="B816:C816"/>
    <mergeCell ref="B817:C817"/>
    <mergeCell ref="B818:C818"/>
    <mergeCell ref="B819:C819"/>
    <mergeCell ref="B820:C820"/>
    <mergeCell ref="B811:C811"/>
    <mergeCell ref="B812:C812"/>
    <mergeCell ref="B813:C813"/>
    <mergeCell ref="B814:C814"/>
    <mergeCell ref="B815:C815"/>
    <mergeCell ref="A806:E806"/>
    <mergeCell ref="A808:B808"/>
    <mergeCell ref="C808:D808"/>
    <mergeCell ref="A809:B809"/>
    <mergeCell ref="D809:E809"/>
    <mergeCell ref="A793:C793"/>
    <mergeCell ref="A798:C798"/>
    <mergeCell ref="A803:C803"/>
    <mergeCell ref="D803:E803"/>
    <mergeCell ref="A804:C804"/>
    <mergeCell ref="D804:E804"/>
    <mergeCell ref="B781:C781"/>
    <mergeCell ref="B782:C782"/>
    <mergeCell ref="B783:C783"/>
    <mergeCell ref="B784:C784"/>
    <mergeCell ref="C792:E792"/>
    <mergeCell ref="B775:C775"/>
    <mergeCell ref="B776:C776"/>
    <mergeCell ref="B777:C777"/>
    <mergeCell ref="B778:C778"/>
    <mergeCell ref="B779:C779"/>
    <mergeCell ref="B770:C770"/>
    <mergeCell ref="B771:C771"/>
    <mergeCell ref="B772:C772"/>
    <mergeCell ref="B773:C773"/>
    <mergeCell ref="B774:C774"/>
    <mergeCell ref="B765:C765"/>
    <mergeCell ref="B766:C766"/>
    <mergeCell ref="B767:C767"/>
    <mergeCell ref="B768:C768"/>
    <mergeCell ref="B769:C769"/>
    <mergeCell ref="A761:B761"/>
    <mergeCell ref="C761:D761"/>
    <mergeCell ref="A762:B762"/>
    <mergeCell ref="D762:E762"/>
    <mergeCell ref="B764:C764"/>
    <mergeCell ref="A756:C756"/>
    <mergeCell ref="D756:E756"/>
    <mergeCell ref="A757:C757"/>
    <mergeCell ref="D757:E757"/>
    <mergeCell ref="A759:E759"/>
    <mergeCell ref="B736:C736"/>
    <mergeCell ref="B737:C737"/>
    <mergeCell ref="C745:E745"/>
    <mergeCell ref="A746:C746"/>
    <mergeCell ref="A751:C751"/>
    <mergeCell ref="B730:C730"/>
    <mergeCell ref="B731:C731"/>
    <mergeCell ref="B732:C732"/>
    <mergeCell ref="B734:C734"/>
    <mergeCell ref="B735:C735"/>
    <mergeCell ref="B725:C725"/>
    <mergeCell ref="B726:C726"/>
    <mergeCell ref="B727:C727"/>
    <mergeCell ref="B728:C728"/>
    <mergeCell ref="B729:C729"/>
    <mergeCell ref="B720:C720"/>
    <mergeCell ref="B721:C721"/>
    <mergeCell ref="B722:C722"/>
    <mergeCell ref="B723:C723"/>
    <mergeCell ref="B724:C724"/>
    <mergeCell ref="A715:B715"/>
    <mergeCell ref="D715:E715"/>
    <mergeCell ref="B717:C717"/>
    <mergeCell ref="B718:C718"/>
    <mergeCell ref="B719:C719"/>
    <mergeCell ref="A710:C710"/>
    <mergeCell ref="D710:E710"/>
    <mergeCell ref="A712:E712"/>
    <mergeCell ref="A714:B714"/>
    <mergeCell ref="C714:D714"/>
    <mergeCell ref="C698:E698"/>
    <mergeCell ref="A699:C699"/>
    <mergeCell ref="A704:C704"/>
    <mergeCell ref="A709:C709"/>
    <mergeCell ref="D709:E709"/>
    <mergeCell ref="B685:C685"/>
    <mergeCell ref="B687:C687"/>
    <mergeCell ref="B688:C688"/>
    <mergeCell ref="B689:C689"/>
    <mergeCell ref="B690:C690"/>
    <mergeCell ref="B680:C680"/>
    <mergeCell ref="B681:C681"/>
    <mergeCell ref="B682:C682"/>
    <mergeCell ref="B683:C683"/>
    <mergeCell ref="B684:C684"/>
    <mergeCell ref="B675:C675"/>
    <mergeCell ref="B676:C676"/>
    <mergeCell ref="B677:C677"/>
    <mergeCell ref="B678:C678"/>
    <mergeCell ref="B679:C679"/>
    <mergeCell ref="B670:C670"/>
    <mergeCell ref="B671:C671"/>
    <mergeCell ref="B672:C672"/>
    <mergeCell ref="B673:C673"/>
    <mergeCell ref="B674:C674"/>
    <mergeCell ref="A665:E665"/>
    <mergeCell ref="A667:B667"/>
    <mergeCell ref="C667:D667"/>
    <mergeCell ref="A668:B668"/>
    <mergeCell ref="D668:E668"/>
    <mergeCell ref="A652:C652"/>
    <mergeCell ref="A657:C657"/>
    <mergeCell ref="A662:C662"/>
    <mergeCell ref="D662:E662"/>
    <mergeCell ref="A663:C663"/>
    <mergeCell ref="D663:E663"/>
    <mergeCell ref="B640:C640"/>
    <mergeCell ref="B641:C641"/>
    <mergeCell ref="B642:C642"/>
    <mergeCell ref="B643:C643"/>
    <mergeCell ref="C651:E651"/>
    <mergeCell ref="B634:C634"/>
    <mergeCell ref="B635:C635"/>
    <mergeCell ref="B636:C636"/>
    <mergeCell ref="B637:C637"/>
    <mergeCell ref="B638:C638"/>
    <mergeCell ref="B629:C629"/>
    <mergeCell ref="B630:C630"/>
    <mergeCell ref="B631:C631"/>
    <mergeCell ref="B632:C632"/>
    <mergeCell ref="B633:C633"/>
    <mergeCell ref="B624:C624"/>
    <mergeCell ref="B625:C625"/>
    <mergeCell ref="B626:C626"/>
    <mergeCell ref="B627:C627"/>
    <mergeCell ref="B628:C628"/>
    <mergeCell ref="A620:B620"/>
    <mergeCell ref="C620:D620"/>
    <mergeCell ref="A621:B621"/>
    <mergeCell ref="D621:E621"/>
    <mergeCell ref="B623:C623"/>
    <mergeCell ref="A615:C615"/>
    <mergeCell ref="D615:E615"/>
    <mergeCell ref="A616:C616"/>
    <mergeCell ref="D616:E616"/>
    <mergeCell ref="A618:E618"/>
    <mergeCell ref="B595:C595"/>
    <mergeCell ref="B596:C596"/>
    <mergeCell ref="C604:E604"/>
    <mergeCell ref="A605:C605"/>
    <mergeCell ref="A610:C610"/>
    <mergeCell ref="B589:C589"/>
    <mergeCell ref="B590:C590"/>
    <mergeCell ref="B591:C591"/>
    <mergeCell ref="B593:C593"/>
    <mergeCell ref="B594:C594"/>
    <mergeCell ref="B584:C584"/>
    <mergeCell ref="B585:C585"/>
    <mergeCell ref="B586:C586"/>
    <mergeCell ref="B587:C587"/>
    <mergeCell ref="B588:C588"/>
    <mergeCell ref="B579:C579"/>
    <mergeCell ref="B580:C580"/>
    <mergeCell ref="B581:C581"/>
    <mergeCell ref="B582:C582"/>
    <mergeCell ref="B583:C583"/>
    <mergeCell ref="A574:B574"/>
    <mergeCell ref="D574:E574"/>
    <mergeCell ref="B576:C576"/>
    <mergeCell ref="B577:C577"/>
    <mergeCell ref="B578:C578"/>
    <mergeCell ref="A569:C569"/>
    <mergeCell ref="D569:E569"/>
    <mergeCell ref="A571:E571"/>
    <mergeCell ref="A573:B573"/>
    <mergeCell ref="C573:D573"/>
    <mergeCell ref="C557:E557"/>
    <mergeCell ref="A558:C558"/>
    <mergeCell ref="A563:C563"/>
    <mergeCell ref="A568:C568"/>
    <mergeCell ref="D568:E568"/>
    <mergeCell ref="B544:C544"/>
    <mergeCell ref="B546:C546"/>
    <mergeCell ref="B547:C547"/>
    <mergeCell ref="B548:C548"/>
    <mergeCell ref="B549:C549"/>
    <mergeCell ref="B539:C539"/>
    <mergeCell ref="B540:C540"/>
    <mergeCell ref="B541:C541"/>
    <mergeCell ref="B542:C542"/>
    <mergeCell ref="B543:C543"/>
    <mergeCell ref="B534:C534"/>
    <mergeCell ref="B535:C535"/>
    <mergeCell ref="B536:C536"/>
    <mergeCell ref="B537:C537"/>
    <mergeCell ref="B538:C538"/>
    <mergeCell ref="B529:C529"/>
    <mergeCell ref="B530:C530"/>
    <mergeCell ref="B531:C531"/>
    <mergeCell ref="B532:C532"/>
    <mergeCell ref="B533:C533"/>
    <mergeCell ref="A524:E524"/>
    <mergeCell ref="A526:B526"/>
    <mergeCell ref="C526:D526"/>
    <mergeCell ref="A527:B527"/>
    <mergeCell ref="D527:E527"/>
    <mergeCell ref="A511:C511"/>
    <mergeCell ref="A516:C516"/>
    <mergeCell ref="A521:C521"/>
    <mergeCell ref="D521:E521"/>
    <mergeCell ref="A522:C522"/>
    <mergeCell ref="D522:E522"/>
    <mergeCell ref="B499:C499"/>
    <mergeCell ref="B500:C500"/>
    <mergeCell ref="B501:C501"/>
    <mergeCell ref="B502:C502"/>
    <mergeCell ref="C510:E510"/>
    <mergeCell ref="B493:C493"/>
    <mergeCell ref="B494:C494"/>
    <mergeCell ref="B495:C495"/>
    <mergeCell ref="B496:C496"/>
    <mergeCell ref="B497:C497"/>
    <mergeCell ref="B488:C488"/>
    <mergeCell ref="B489:C489"/>
    <mergeCell ref="B490:C490"/>
    <mergeCell ref="B491:C491"/>
    <mergeCell ref="B492:C492"/>
    <mergeCell ref="B483:C483"/>
    <mergeCell ref="B484:C484"/>
    <mergeCell ref="B485:C485"/>
    <mergeCell ref="B486:C486"/>
    <mergeCell ref="B487:C487"/>
    <mergeCell ref="A479:B479"/>
    <mergeCell ref="C479:D479"/>
    <mergeCell ref="A480:B480"/>
    <mergeCell ref="D480:E480"/>
    <mergeCell ref="B482:C482"/>
    <mergeCell ref="A474:C474"/>
    <mergeCell ref="D474:E474"/>
    <mergeCell ref="A475:C475"/>
    <mergeCell ref="D475:E475"/>
    <mergeCell ref="A477:E477"/>
    <mergeCell ref="B454:C454"/>
    <mergeCell ref="B455:C455"/>
    <mergeCell ref="C463:E463"/>
    <mergeCell ref="A464:C464"/>
    <mergeCell ref="A469:C469"/>
    <mergeCell ref="B448:C448"/>
    <mergeCell ref="B449:C449"/>
    <mergeCell ref="B450:C450"/>
    <mergeCell ref="B452:C452"/>
    <mergeCell ref="B453:C453"/>
    <mergeCell ref="B443:C443"/>
    <mergeCell ref="B444:C444"/>
    <mergeCell ref="B445:C445"/>
    <mergeCell ref="B446:C446"/>
    <mergeCell ref="B447:C447"/>
    <mergeCell ref="B438:C438"/>
    <mergeCell ref="B439:C439"/>
    <mergeCell ref="B440:C440"/>
    <mergeCell ref="B441:C441"/>
    <mergeCell ref="B442:C442"/>
    <mergeCell ref="A433:B433"/>
    <mergeCell ref="D433:E433"/>
    <mergeCell ref="B435:C435"/>
    <mergeCell ref="B436:C436"/>
    <mergeCell ref="B437:C437"/>
    <mergeCell ref="A428:C428"/>
    <mergeCell ref="D428:E428"/>
    <mergeCell ref="A430:E430"/>
    <mergeCell ref="A432:B432"/>
    <mergeCell ref="C432:D432"/>
    <mergeCell ref="C416:E416"/>
    <mergeCell ref="A417:C417"/>
    <mergeCell ref="A422:C422"/>
    <mergeCell ref="A427:C427"/>
    <mergeCell ref="D427:E427"/>
    <mergeCell ref="B403:C403"/>
    <mergeCell ref="B405:C405"/>
    <mergeCell ref="B406:C406"/>
    <mergeCell ref="B407:C407"/>
    <mergeCell ref="B408:C408"/>
    <mergeCell ref="B398:C398"/>
    <mergeCell ref="B399:C399"/>
    <mergeCell ref="B400:C400"/>
    <mergeCell ref="B401:C401"/>
    <mergeCell ref="B402:C402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A383:E383"/>
    <mergeCell ref="A385:B385"/>
    <mergeCell ref="C385:D385"/>
    <mergeCell ref="A386:B386"/>
    <mergeCell ref="D386:E386"/>
    <mergeCell ref="A370:C370"/>
    <mergeCell ref="A375:C375"/>
    <mergeCell ref="A380:C380"/>
    <mergeCell ref="D380:E380"/>
    <mergeCell ref="A381:C381"/>
    <mergeCell ref="D381:E381"/>
    <mergeCell ref="B358:C358"/>
    <mergeCell ref="B359:C359"/>
    <mergeCell ref="B360:C360"/>
    <mergeCell ref="B361:C361"/>
    <mergeCell ref="C369:E369"/>
    <mergeCell ref="B352:C352"/>
    <mergeCell ref="B353:C353"/>
    <mergeCell ref="B354:C354"/>
    <mergeCell ref="B355:C355"/>
    <mergeCell ref="B356:C356"/>
    <mergeCell ref="B347:C347"/>
    <mergeCell ref="B348:C348"/>
    <mergeCell ref="B349:C349"/>
    <mergeCell ref="B350:C350"/>
    <mergeCell ref="B351:C351"/>
    <mergeCell ref="B342:C342"/>
    <mergeCell ref="B343:C343"/>
    <mergeCell ref="B344:C344"/>
    <mergeCell ref="B345:C345"/>
    <mergeCell ref="B346:C346"/>
    <mergeCell ref="A338:B338"/>
    <mergeCell ref="C338:D338"/>
    <mergeCell ref="A339:B339"/>
    <mergeCell ref="D339:E339"/>
    <mergeCell ref="B341:C341"/>
    <mergeCell ref="A333:C333"/>
    <mergeCell ref="D333:E333"/>
    <mergeCell ref="A334:C334"/>
    <mergeCell ref="D334:E334"/>
    <mergeCell ref="A336:E336"/>
    <mergeCell ref="B313:C313"/>
    <mergeCell ref="B314:C314"/>
    <mergeCell ref="C322:E322"/>
    <mergeCell ref="A323:C323"/>
    <mergeCell ref="A328:C328"/>
    <mergeCell ref="B307:C307"/>
    <mergeCell ref="B308:C308"/>
    <mergeCell ref="B309:C309"/>
    <mergeCell ref="B311:C311"/>
    <mergeCell ref="B312:C312"/>
    <mergeCell ref="B302:C302"/>
    <mergeCell ref="B303:C303"/>
    <mergeCell ref="B304:C304"/>
    <mergeCell ref="B305:C305"/>
    <mergeCell ref="B306:C306"/>
    <mergeCell ref="B297:C297"/>
    <mergeCell ref="B298:C298"/>
    <mergeCell ref="B299:C299"/>
    <mergeCell ref="B300:C300"/>
    <mergeCell ref="B301:C301"/>
    <mergeCell ref="A292:B292"/>
    <mergeCell ref="D292:E292"/>
    <mergeCell ref="B294:C294"/>
    <mergeCell ref="B295:C295"/>
    <mergeCell ref="B296:C296"/>
    <mergeCell ref="A287:C287"/>
    <mergeCell ref="D287:E287"/>
    <mergeCell ref="A289:E289"/>
    <mergeCell ref="A291:B291"/>
    <mergeCell ref="C291:D291"/>
    <mergeCell ref="C275:E275"/>
    <mergeCell ref="A276:C276"/>
    <mergeCell ref="A281:C281"/>
    <mergeCell ref="A286:C286"/>
    <mergeCell ref="D286:E286"/>
    <mergeCell ref="B262:C262"/>
    <mergeCell ref="B264:C264"/>
    <mergeCell ref="B265:C265"/>
    <mergeCell ref="B266:C266"/>
    <mergeCell ref="B267:C267"/>
    <mergeCell ref="B257:C257"/>
    <mergeCell ref="B258:C258"/>
    <mergeCell ref="B259:C259"/>
    <mergeCell ref="B260:C260"/>
    <mergeCell ref="B261:C261"/>
    <mergeCell ref="B252:C252"/>
    <mergeCell ref="B253:C253"/>
    <mergeCell ref="B254:C254"/>
    <mergeCell ref="B255:C255"/>
    <mergeCell ref="B256:C256"/>
    <mergeCell ref="B247:C247"/>
    <mergeCell ref="B248:C248"/>
    <mergeCell ref="B249:C249"/>
    <mergeCell ref="B250:C250"/>
    <mergeCell ref="B251:C251"/>
    <mergeCell ref="A242:E242"/>
    <mergeCell ref="A244:B244"/>
    <mergeCell ref="C244:D244"/>
    <mergeCell ref="A245:B245"/>
    <mergeCell ref="D245:E245"/>
    <mergeCell ref="A229:C229"/>
    <mergeCell ref="A234:C234"/>
    <mergeCell ref="A239:C239"/>
    <mergeCell ref="D239:E239"/>
    <mergeCell ref="A240:C240"/>
    <mergeCell ref="D240:E240"/>
    <mergeCell ref="B217:C217"/>
    <mergeCell ref="B218:C218"/>
    <mergeCell ref="B219:C219"/>
    <mergeCell ref="B220:C220"/>
    <mergeCell ref="C228:E228"/>
    <mergeCell ref="B211:C211"/>
    <mergeCell ref="B212:C212"/>
    <mergeCell ref="B213:C213"/>
    <mergeCell ref="B214:C214"/>
    <mergeCell ref="B215:C215"/>
    <mergeCell ref="B206:C206"/>
    <mergeCell ref="B207:C207"/>
    <mergeCell ref="B208:C208"/>
    <mergeCell ref="B209:C209"/>
    <mergeCell ref="B210:C210"/>
    <mergeCell ref="B201:C201"/>
    <mergeCell ref="B202:C202"/>
    <mergeCell ref="B203:C203"/>
    <mergeCell ref="B204:C204"/>
    <mergeCell ref="B205:C205"/>
    <mergeCell ref="A197:B197"/>
    <mergeCell ref="C197:D197"/>
    <mergeCell ref="A198:B198"/>
    <mergeCell ref="D198:E198"/>
    <mergeCell ref="B200:C200"/>
    <mergeCell ref="A192:C192"/>
    <mergeCell ref="D192:E192"/>
    <mergeCell ref="A193:C193"/>
    <mergeCell ref="D193:E193"/>
    <mergeCell ref="A195:E195"/>
    <mergeCell ref="B172:C172"/>
    <mergeCell ref="B173:C173"/>
    <mergeCell ref="C181:E181"/>
    <mergeCell ref="A182:C182"/>
    <mergeCell ref="A187:C187"/>
    <mergeCell ref="B166:C166"/>
    <mergeCell ref="B167:C167"/>
    <mergeCell ref="B168:C168"/>
    <mergeCell ref="B170:C170"/>
    <mergeCell ref="B171:C171"/>
    <mergeCell ref="B161:C161"/>
    <mergeCell ref="B162:C162"/>
    <mergeCell ref="B163:C163"/>
    <mergeCell ref="B164:C164"/>
    <mergeCell ref="B165:C165"/>
    <mergeCell ref="B156:C156"/>
    <mergeCell ref="B157:C157"/>
    <mergeCell ref="B158:C158"/>
    <mergeCell ref="B159:C159"/>
    <mergeCell ref="B160:C160"/>
    <mergeCell ref="A151:B151"/>
    <mergeCell ref="D151:E151"/>
    <mergeCell ref="B153:C153"/>
    <mergeCell ref="B154:C154"/>
    <mergeCell ref="B155:C155"/>
    <mergeCell ref="A146:C146"/>
    <mergeCell ref="D146:E146"/>
    <mergeCell ref="A148:E148"/>
    <mergeCell ref="A150:B150"/>
    <mergeCell ref="C150:D150"/>
    <mergeCell ref="C134:E134"/>
    <mergeCell ref="A135:C135"/>
    <mergeCell ref="A140:C140"/>
    <mergeCell ref="A145:C145"/>
    <mergeCell ref="D145:E145"/>
    <mergeCell ref="B121:C121"/>
    <mergeCell ref="B123:C123"/>
    <mergeCell ref="B124:C124"/>
    <mergeCell ref="B125:C125"/>
    <mergeCell ref="B126:C126"/>
    <mergeCell ref="B116:C116"/>
    <mergeCell ref="B117:C117"/>
    <mergeCell ref="B118:C118"/>
    <mergeCell ref="B119:C119"/>
    <mergeCell ref="B120:C120"/>
    <mergeCell ref="B111:C111"/>
    <mergeCell ref="B112:C112"/>
    <mergeCell ref="B113:C113"/>
    <mergeCell ref="B114:C114"/>
    <mergeCell ref="B115:C115"/>
    <mergeCell ref="B106:C106"/>
    <mergeCell ref="B107:C107"/>
    <mergeCell ref="B108:C108"/>
    <mergeCell ref="B109:C109"/>
    <mergeCell ref="B110:C110"/>
    <mergeCell ref="A101:E101"/>
    <mergeCell ref="A103:B103"/>
    <mergeCell ref="C103:D103"/>
    <mergeCell ref="A104:B104"/>
    <mergeCell ref="D104:E104"/>
    <mergeCell ref="A88:C88"/>
    <mergeCell ref="A93:C93"/>
    <mergeCell ref="A98:C98"/>
    <mergeCell ref="D98:E98"/>
    <mergeCell ref="A99:C99"/>
    <mergeCell ref="D99:E99"/>
    <mergeCell ref="B76:C76"/>
    <mergeCell ref="B77:C77"/>
    <mergeCell ref="B78:C78"/>
    <mergeCell ref="B79:C79"/>
    <mergeCell ref="C87:E87"/>
    <mergeCell ref="B70:C70"/>
    <mergeCell ref="B71:C71"/>
    <mergeCell ref="B72:C72"/>
    <mergeCell ref="B73:C73"/>
    <mergeCell ref="B74:C74"/>
    <mergeCell ref="B65:C65"/>
    <mergeCell ref="B66:C66"/>
    <mergeCell ref="B67:C67"/>
    <mergeCell ref="B68:C68"/>
    <mergeCell ref="B69:C69"/>
    <mergeCell ref="B60:C60"/>
    <mergeCell ref="B61:C61"/>
    <mergeCell ref="B62:C62"/>
    <mergeCell ref="B63:C63"/>
    <mergeCell ref="B64:C64"/>
    <mergeCell ref="A56:B56"/>
    <mergeCell ref="C56:D56"/>
    <mergeCell ref="A57:B57"/>
    <mergeCell ref="D57:E57"/>
    <mergeCell ref="B59:C59"/>
    <mergeCell ref="A51:C51"/>
    <mergeCell ref="D51:E51"/>
    <mergeCell ref="A52:C52"/>
    <mergeCell ref="D52:E52"/>
    <mergeCell ref="A54:E54"/>
    <mergeCell ref="A41:C41"/>
    <mergeCell ref="A46:C46"/>
    <mergeCell ref="B29:C29"/>
    <mergeCell ref="B30:C30"/>
    <mergeCell ref="B31:C31"/>
    <mergeCell ref="B32:C32"/>
    <mergeCell ref="C40:E40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15:C15"/>
    <mergeCell ref="A4:C4"/>
    <mergeCell ref="D4:E4"/>
    <mergeCell ref="A5:C5"/>
    <mergeCell ref="D5:E5"/>
    <mergeCell ref="A7:E7"/>
    <mergeCell ref="A9:B9"/>
    <mergeCell ref="C9:D9"/>
    <mergeCell ref="A10:B10"/>
    <mergeCell ref="D10:E10"/>
    <mergeCell ref="B12:C12"/>
    <mergeCell ref="B13:C13"/>
    <mergeCell ref="B14:C14"/>
  </mergeCells>
  <dataValidations count="1">
    <dataValidation type="list" allowBlank="1" showInputMessage="1" showErrorMessage="1" sqref="G5">
      <formula1>"Giáo viên Quản nhiệm, Hiệu trưởng"</formula1>
    </dataValidation>
  </dataValidations>
  <pageMargins left="0.5" right="0.25" top="0.25" bottom="0.25" header="0" footer="0"/>
  <pageSetup paperSize="9" scale="95" fitToHeight="55" orientation="portrait" blackAndWhite="1" r:id="rId1"/>
  <rowBreaks count="55" manualBreakCount="55">
    <brk id="49" max="16383" man="1"/>
    <brk id="96" max="16383" man="1"/>
    <brk id="143" max="16383" man="1"/>
    <brk id="190" max="16383" man="1"/>
    <brk id="237" max="16383" man="1"/>
    <brk id="284" max="16383" man="1"/>
    <brk id="331" max="16383" man="1"/>
    <brk id="378" max="16383" man="1"/>
    <brk id="425" max="16383" man="1"/>
    <brk id="472" max="16383" man="1"/>
    <brk id="519" max="16383" man="1"/>
    <brk id="566" max="16383" man="1"/>
    <brk id="613" max="16383" man="1"/>
    <brk id="660" max="16383" man="1"/>
    <brk id="707" max="16383" man="1"/>
    <brk id="754" max="16383" man="1"/>
    <brk id="801" max="16383" man="1"/>
    <brk id="848" max="16383" man="1"/>
    <brk id="895" max="16383" man="1"/>
    <brk id="942" max="16383" man="1"/>
    <brk id="989" max="16383" man="1"/>
    <brk id="1036" max="16383" man="1"/>
    <brk id="1083" max="16383" man="1"/>
    <brk id="1130" max="16383" man="1"/>
    <brk id="1177" max="16383" man="1"/>
    <brk id="1224" max="16383" man="1"/>
    <brk id="1271" max="16383" man="1"/>
    <brk id="1318" max="16383" man="1"/>
    <brk id="1365" max="16383" man="1"/>
    <brk id="1412" max="16383" man="1"/>
    <brk id="1459" max="16383" man="1"/>
    <brk id="1506" max="16383" man="1"/>
    <brk id="1553" max="16383" man="1"/>
    <brk id="1600" max="16383" man="1"/>
    <brk id="1647" max="16383" man="1"/>
    <brk id="1694" max="16383" man="1"/>
    <brk id="1741" max="16383" man="1"/>
    <brk id="1788" max="16383" man="1"/>
    <brk id="1835" max="16383" man="1"/>
    <brk id="1882" max="16383" man="1"/>
    <brk id="1929" max="16383" man="1"/>
    <brk id="1976" max="16383" man="1"/>
    <brk id="2023" max="16383" man="1"/>
    <brk id="2070" max="16383" man="1"/>
    <brk id="2117" max="16383" man="1"/>
    <brk id="2164" max="16383" man="1"/>
    <brk id="2211" max="16383" man="1"/>
    <brk id="2258" max="16383" man="1"/>
    <brk id="2305" max="16383" man="1"/>
    <brk id="2352" max="16383" man="1"/>
    <brk id="2399" max="16383" man="1"/>
    <brk id="2446" max="16383" man="1"/>
    <brk id="2493" max="16383" man="1"/>
    <brk id="2540" max="16383" man="1"/>
    <brk id="258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Nhapdiemhk1">
                <anchor moveWithCells="1" sizeWithCells="1">
                  <from>
                    <xdr:col>6</xdr:col>
                    <xdr:colOff>274320</xdr:colOff>
                    <xdr:row>11</xdr:row>
                    <xdr:rowOff>99060</xdr:rowOff>
                  </from>
                  <to>
                    <xdr:col>6</xdr:col>
                    <xdr:colOff>1684020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VeHDpd1">
                <anchor moveWithCells="1" sizeWithCells="1">
                  <from>
                    <xdr:col>6</xdr:col>
                    <xdr:colOff>289560</xdr:colOff>
                    <xdr:row>12</xdr:row>
                    <xdr:rowOff>190500</xdr:rowOff>
                  </from>
                  <to>
                    <xdr:col>6</xdr:col>
                    <xdr:colOff>1699260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VedautrangPd1">
                <anchor moveWithCells="1" sizeWithCells="1">
                  <from>
                    <xdr:col>3</xdr:col>
                    <xdr:colOff>342900</xdr:colOff>
                    <xdr:row>2588</xdr:row>
                    <xdr:rowOff>38100</xdr:rowOff>
                  </from>
                  <to>
                    <xdr:col>3</xdr:col>
                    <xdr:colOff>1935480</xdr:colOff>
                    <xdr:row>2588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7" name="Button 7">
              <controlPr defaultSize="0" print="0" autoFill="0" autoPict="0" macro="[0]!bamlen">
                <anchor moveWithCells="1" sizeWithCells="1">
                  <from>
                    <xdr:col>3</xdr:col>
                    <xdr:colOff>0</xdr:colOff>
                    <xdr:row>0</xdr:row>
                    <xdr:rowOff>22860</xdr:rowOff>
                  </from>
                  <to>
                    <xdr:col>3</xdr:col>
                    <xdr:colOff>1165860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8" name="Button 8">
              <controlPr defaultSize="0" print="0" autoFill="0" autoPict="0" macro="[0]!VedautrangPd1">
                <anchor moveWithCells="1" sizeWithCells="1">
                  <from>
                    <xdr:col>3</xdr:col>
                    <xdr:colOff>1173480</xdr:colOff>
                    <xdr:row>0</xdr:row>
                    <xdr:rowOff>22860</xdr:rowOff>
                  </from>
                  <to>
                    <xdr:col>4</xdr:col>
                    <xdr:colOff>106680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9" name="Button 9">
              <controlPr defaultSize="0" print="0" autoFill="0" autoPict="0" macro="[0]!Bamxuong">
                <anchor moveWithCells="1" sizeWithCells="1">
                  <from>
                    <xdr:col>4</xdr:col>
                    <xdr:colOff>121920</xdr:colOff>
                    <xdr:row>0</xdr:row>
                    <xdr:rowOff>22860</xdr:rowOff>
                  </from>
                  <to>
                    <xdr:col>5</xdr:col>
                    <xdr:colOff>83820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EK91"/>
  <sheetViews>
    <sheetView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M15" sqref="M15"/>
    </sheetView>
  </sheetViews>
  <sheetFormatPr defaultColWidth="9.109375" defaultRowHeight="13.8"/>
  <cols>
    <col min="1" max="1" width="14.109375" style="248" customWidth="1"/>
    <col min="2" max="2" width="4.44140625" style="251" customWidth="1"/>
    <col min="3" max="3" width="32.88671875" style="251" hidden="1" customWidth="1"/>
    <col min="4" max="4" width="6.44140625" style="251" customWidth="1"/>
    <col min="5" max="5" width="19.88671875" style="7" customWidth="1"/>
    <col min="6" max="6" width="8.33203125" style="7" customWidth="1"/>
    <col min="7" max="8" width="10.5546875" style="7" customWidth="1"/>
    <col min="9" max="10" width="4.5546875" style="251" customWidth="1"/>
    <col min="11" max="11" width="4.88671875" style="251" customWidth="1"/>
    <col min="12" max="15" width="6.5546875" style="251" customWidth="1"/>
    <col min="16" max="20" width="7.5546875" style="251" customWidth="1"/>
    <col min="21" max="24" width="6.5546875" style="251" customWidth="1"/>
    <col min="25" max="29" width="7.5546875" style="251" customWidth="1"/>
    <col min="30" max="33" width="6.5546875" style="251" customWidth="1"/>
    <col min="34" max="38" width="7.5546875" style="251" customWidth="1"/>
    <col min="39" max="42" width="6.5546875" style="251" customWidth="1"/>
    <col min="43" max="47" width="7.5546875" style="251" customWidth="1"/>
    <col min="48" max="51" width="6.5546875" style="251" customWidth="1"/>
    <col min="52" max="56" width="7.5546875" style="251" customWidth="1"/>
    <col min="57" max="60" width="6.5546875" style="251" customWidth="1"/>
    <col min="61" max="65" width="7.5546875" style="251" customWidth="1"/>
    <col min="66" max="69" width="6.5546875" style="251" customWidth="1"/>
    <col min="70" max="74" width="7.5546875" style="251" customWidth="1"/>
    <col min="75" max="78" width="6.5546875" style="251" customWidth="1"/>
    <col min="79" max="83" width="7.5546875" style="251" customWidth="1"/>
    <col min="84" max="87" width="6.5546875" style="251" customWidth="1"/>
    <col min="88" max="92" width="7.5546875" style="251" customWidth="1"/>
    <col min="93" max="96" width="6.5546875" style="251" customWidth="1"/>
    <col min="97" max="101" width="7.5546875" style="251" customWidth="1"/>
    <col min="102" max="105" width="6.5546875" style="251" customWidth="1"/>
    <col min="106" max="119" width="7.5546875" style="251" customWidth="1"/>
    <col min="120" max="123" width="6.5546875" style="251" customWidth="1"/>
    <col min="124" max="128" width="7.5546875" style="251" customWidth="1"/>
    <col min="129" max="132" width="6.5546875" style="251" customWidth="1"/>
    <col min="133" max="137" width="7.5546875" style="251" customWidth="1"/>
    <col min="138" max="141" width="31.5546875" style="248" customWidth="1"/>
    <col min="142" max="16384" width="9.109375" style="248"/>
  </cols>
  <sheetData>
    <row r="1" spans="1:141" s="394" customFormat="1" ht="21" customHeight="1">
      <c r="A1" s="393" t="s">
        <v>99</v>
      </c>
      <c r="B1" s="890" t="str">
        <f>"THÔNG TIN HỌC SINH LỚP: "&amp;'Huong dan'!C3</f>
        <v>THÔNG TIN HỌC SINH LỚP: 12A1</v>
      </c>
      <c r="C1" s="885"/>
      <c r="D1" s="885"/>
      <c r="E1" s="885"/>
      <c r="F1" s="885"/>
      <c r="G1" s="885"/>
      <c r="H1" s="885"/>
      <c r="I1" s="885"/>
      <c r="J1" s="885"/>
      <c r="K1" s="891"/>
      <c r="L1" s="1029" t="s">
        <v>222</v>
      </c>
      <c r="M1" s="885"/>
      <c r="N1" s="885"/>
      <c r="O1" s="885"/>
      <c r="P1" s="885"/>
      <c r="Q1" s="885"/>
      <c r="R1" s="885"/>
      <c r="S1" s="885"/>
      <c r="T1" s="887"/>
      <c r="U1" s="1030" t="s">
        <v>232</v>
      </c>
      <c r="V1" s="1031"/>
      <c r="W1" s="1031"/>
      <c r="X1" s="1031"/>
      <c r="Y1" s="1031"/>
      <c r="Z1" s="1031"/>
      <c r="AA1" s="1031"/>
      <c r="AB1" s="1031"/>
      <c r="AC1" s="1032"/>
      <c r="AD1" s="1029" t="s">
        <v>233</v>
      </c>
      <c r="AE1" s="885"/>
      <c r="AF1" s="885"/>
      <c r="AG1" s="885"/>
      <c r="AH1" s="885"/>
      <c r="AI1" s="885"/>
      <c r="AJ1" s="885"/>
      <c r="AK1" s="885"/>
      <c r="AL1" s="887"/>
      <c r="AM1" s="1030" t="s">
        <v>234</v>
      </c>
      <c r="AN1" s="1031"/>
      <c r="AO1" s="1031"/>
      <c r="AP1" s="1031"/>
      <c r="AQ1" s="1031"/>
      <c r="AR1" s="1031"/>
      <c r="AS1" s="1031"/>
      <c r="AT1" s="1031"/>
      <c r="AU1" s="1032"/>
      <c r="AV1" s="1029" t="s">
        <v>235</v>
      </c>
      <c r="AW1" s="885"/>
      <c r="AX1" s="885"/>
      <c r="AY1" s="885"/>
      <c r="AZ1" s="885"/>
      <c r="BA1" s="885"/>
      <c r="BB1" s="885"/>
      <c r="BC1" s="885"/>
      <c r="BD1" s="887"/>
      <c r="BE1" s="1030" t="s">
        <v>236</v>
      </c>
      <c r="BF1" s="1031"/>
      <c r="BG1" s="1031"/>
      <c r="BH1" s="1031"/>
      <c r="BI1" s="1031"/>
      <c r="BJ1" s="1031"/>
      <c r="BK1" s="1031"/>
      <c r="BL1" s="1031"/>
      <c r="BM1" s="1032"/>
      <c r="BN1" s="1029" t="s">
        <v>237</v>
      </c>
      <c r="BO1" s="885"/>
      <c r="BP1" s="885"/>
      <c r="BQ1" s="885"/>
      <c r="BR1" s="885"/>
      <c r="BS1" s="885"/>
      <c r="BT1" s="885"/>
      <c r="BU1" s="885"/>
      <c r="BV1" s="887"/>
      <c r="BW1" s="1029" t="s">
        <v>238</v>
      </c>
      <c r="BX1" s="885"/>
      <c r="BY1" s="885"/>
      <c r="BZ1" s="885"/>
      <c r="CA1" s="885"/>
      <c r="CB1" s="885"/>
      <c r="CC1" s="885"/>
      <c r="CD1" s="885"/>
      <c r="CE1" s="887"/>
      <c r="CF1" s="1030" t="s">
        <v>239</v>
      </c>
      <c r="CG1" s="1031"/>
      <c r="CH1" s="1031"/>
      <c r="CI1" s="1031"/>
      <c r="CJ1" s="1031"/>
      <c r="CK1" s="1031"/>
      <c r="CL1" s="1031"/>
      <c r="CM1" s="1031"/>
      <c r="CN1" s="1032"/>
      <c r="CO1" s="1029" t="s">
        <v>240</v>
      </c>
      <c r="CP1" s="885"/>
      <c r="CQ1" s="885"/>
      <c r="CR1" s="885"/>
      <c r="CS1" s="885"/>
      <c r="CT1" s="885"/>
      <c r="CU1" s="885"/>
      <c r="CV1" s="885"/>
      <c r="CW1" s="887"/>
      <c r="CX1" s="1030" t="s">
        <v>241</v>
      </c>
      <c r="CY1" s="1031"/>
      <c r="CZ1" s="1031"/>
      <c r="DA1" s="1031"/>
      <c r="DB1" s="1031"/>
      <c r="DC1" s="1031"/>
      <c r="DD1" s="1031"/>
      <c r="DE1" s="1031"/>
      <c r="DF1" s="1032"/>
      <c r="DG1" s="1029" t="s">
        <v>244</v>
      </c>
      <c r="DH1" s="885"/>
      <c r="DI1" s="885"/>
      <c r="DJ1" s="885"/>
      <c r="DK1" s="885"/>
      <c r="DL1" s="885"/>
      <c r="DM1" s="885"/>
      <c r="DN1" s="885"/>
      <c r="DO1" s="887"/>
      <c r="DP1" s="1030" t="s">
        <v>245</v>
      </c>
      <c r="DQ1" s="1031"/>
      <c r="DR1" s="1031"/>
      <c r="DS1" s="1031"/>
      <c r="DT1" s="1031"/>
      <c r="DU1" s="1031"/>
      <c r="DV1" s="1031"/>
      <c r="DW1" s="1031"/>
      <c r="DX1" s="1032"/>
      <c r="DY1" s="1029" t="s">
        <v>259</v>
      </c>
      <c r="DZ1" s="885"/>
      <c r="EA1" s="885"/>
      <c r="EB1" s="885"/>
      <c r="EC1" s="885"/>
      <c r="ED1" s="885"/>
      <c r="EE1" s="885"/>
      <c r="EF1" s="885"/>
      <c r="EG1" s="887"/>
      <c r="EH1" s="915" t="s">
        <v>87</v>
      </c>
      <c r="EI1" s="916"/>
      <c r="EJ1" s="916"/>
      <c r="EK1" s="917"/>
    </row>
    <row r="2" spans="1:141" s="396" customFormat="1" ht="16.5" customHeight="1">
      <c r="A2" s="395" t="s">
        <v>45</v>
      </c>
      <c r="B2" s="897" t="s">
        <v>0</v>
      </c>
      <c r="C2" s="633"/>
      <c r="D2" s="881" t="s">
        <v>7</v>
      </c>
      <c r="E2" s="899" t="s">
        <v>1</v>
      </c>
      <c r="F2" s="900"/>
      <c r="G2" s="468" t="s">
        <v>2</v>
      </c>
      <c r="H2" s="468"/>
      <c r="I2" s="633" t="s">
        <v>5</v>
      </c>
      <c r="J2" s="468" t="s">
        <v>50</v>
      </c>
      <c r="K2" s="468" t="s">
        <v>9</v>
      </c>
      <c r="L2" s="888" t="s">
        <v>225</v>
      </c>
      <c r="M2" s="888"/>
      <c r="N2" s="888"/>
      <c r="O2" s="888"/>
      <c r="P2" s="468" t="s">
        <v>3</v>
      </c>
      <c r="Q2" s="468" t="s">
        <v>3</v>
      </c>
      <c r="R2" s="470" t="s">
        <v>8</v>
      </c>
      <c r="S2" s="470" t="s">
        <v>8</v>
      </c>
      <c r="T2" s="91" t="s">
        <v>8</v>
      </c>
      <c r="U2" s="1033" t="s">
        <v>225</v>
      </c>
      <c r="V2" s="1033"/>
      <c r="W2" s="1033"/>
      <c r="X2" s="1033"/>
      <c r="Y2" s="424" t="s">
        <v>3</v>
      </c>
      <c r="Z2" s="424" t="s">
        <v>3</v>
      </c>
      <c r="AA2" s="425" t="s">
        <v>8</v>
      </c>
      <c r="AB2" s="425" t="s">
        <v>8</v>
      </c>
      <c r="AC2" s="426" t="s">
        <v>8</v>
      </c>
      <c r="AD2" s="888" t="s">
        <v>225</v>
      </c>
      <c r="AE2" s="888"/>
      <c r="AF2" s="888"/>
      <c r="AG2" s="888"/>
      <c r="AH2" s="468" t="s">
        <v>3</v>
      </c>
      <c r="AI2" s="468" t="s">
        <v>3</v>
      </c>
      <c r="AJ2" s="470" t="s">
        <v>8</v>
      </c>
      <c r="AK2" s="470" t="s">
        <v>8</v>
      </c>
      <c r="AL2" s="91" t="s">
        <v>8</v>
      </c>
      <c r="AM2" s="1033" t="s">
        <v>225</v>
      </c>
      <c r="AN2" s="1033"/>
      <c r="AO2" s="1033"/>
      <c r="AP2" s="1033"/>
      <c r="AQ2" s="424" t="s">
        <v>3</v>
      </c>
      <c r="AR2" s="424" t="s">
        <v>3</v>
      </c>
      <c r="AS2" s="425" t="s">
        <v>8</v>
      </c>
      <c r="AT2" s="425" t="s">
        <v>8</v>
      </c>
      <c r="AU2" s="426" t="s">
        <v>8</v>
      </c>
      <c r="AV2" s="888" t="s">
        <v>225</v>
      </c>
      <c r="AW2" s="888"/>
      <c r="AX2" s="888"/>
      <c r="AY2" s="888"/>
      <c r="AZ2" s="468" t="s">
        <v>3</v>
      </c>
      <c r="BA2" s="468" t="s">
        <v>3</v>
      </c>
      <c r="BB2" s="470" t="s">
        <v>8</v>
      </c>
      <c r="BC2" s="470" t="s">
        <v>8</v>
      </c>
      <c r="BD2" s="91" t="s">
        <v>8</v>
      </c>
      <c r="BE2" s="1033" t="s">
        <v>225</v>
      </c>
      <c r="BF2" s="1033"/>
      <c r="BG2" s="1033"/>
      <c r="BH2" s="1033"/>
      <c r="BI2" s="424" t="s">
        <v>3</v>
      </c>
      <c r="BJ2" s="424" t="s">
        <v>3</v>
      </c>
      <c r="BK2" s="425" t="s">
        <v>8</v>
      </c>
      <c r="BL2" s="425" t="s">
        <v>8</v>
      </c>
      <c r="BM2" s="426" t="s">
        <v>8</v>
      </c>
      <c r="BN2" s="888" t="s">
        <v>225</v>
      </c>
      <c r="BO2" s="888"/>
      <c r="BP2" s="888"/>
      <c r="BQ2" s="888"/>
      <c r="BR2" s="468" t="s">
        <v>3</v>
      </c>
      <c r="BS2" s="468" t="s">
        <v>3</v>
      </c>
      <c r="BT2" s="470" t="s">
        <v>8</v>
      </c>
      <c r="BU2" s="470" t="s">
        <v>8</v>
      </c>
      <c r="BV2" s="91" t="s">
        <v>8</v>
      </c>
      <c r="BW2" s="888" t="s">
        <v>225</v>
      </c>
      <c r="BX2" s="888"/>
      <c r="BY2" s="888"/>
      <c r="BZ2" s="888"/>
      <c r="CA2" s="468" t="s">
        <v>3</v>
      </c>
      <c r="CB2" s="468" t="s">
        <v>3</v>
      </c>
      <c r="CC2" s="470" t="s">
        <v>8</v>
      </c>
      <c r="CD2" s="470" t="s">
        <v>8</v>
      </c>
      <c r="CE2" s="91" t="s">
        <v>8</v>
      </c>
      <c r="CF2" s="1033" t="s">
        <v>225</v>
      </c>
      <c r="CG2" s="1033"/>
      <c r="CH2" s="1033"/>
      <c r="CI2" s="1033"/>
      <c r="CJ2" s="424" t="s">
        <v>3</v>
      </c>
      <c r="CK2" s="424" t="s">
        <v>3</v>
      </c>
      <c r="CL2" s="425" t="s">
        <v>8</v>
      </c>
      <c r="CM2" s="425" t="s">
        <v>8</v>
      </c>
      <c r="CN2" s="426" t="s">
        <v>8</v>
      </c>
      <c r="CO2" s="888" t="s">
        <v>225</v>
      </c>
      <c r="CP2" s="888"/>
      <c r="CQ2" s="888"/>
      <c r="CR2" s="888"/>
      <c r="CS2" s="468" t="s">
        <v>3</v>
      </c>
      <c r="CT2" s="468" t="s">
        <v>3</v>
      </c>
      <c r="CU2" s="470" t="s">
        <v>8</v>
      </c>
      <c r="CV2" s="470" t="s">
        <v>8</v>
      </c>
      <c r="CW2" s="91" t="s">
        <v>8</v>
      </c>
      <c r="CX2" s="1033" t="s">
        <v>225</v>
      </c>
      <c r="CY2" s="1033"/>
      <c r="CZ2" s="1033"/>
      <c r="DA2" s="1033"/>
      <c r="DB2" s="424" t="s">
        <v>3</v>
      </c>
      <c r="DC2" s="424" t="s">
        <v>3</v>
      </c>
      <c r="DD2" s="425" t="s">
        <v>8</v>
      </c>
      <c r="DE2" s="425" t="s">
        <v>8</v>
      </c>
      <c r="DF2" s="426" t="s">
        <v>8</v>
      </c>
      <c r="DG2" s="888" t="s">
        <v>242</v>
      </c>
      <c r="DH2" s="888"/>
      <c r="DI2" s="888"/>
      <c r="DJ2" s="888"/>
      <c r="DK2" s="468" t="s">
        <v>243</v>
      </c>
      <c r="DL2" s="468" t="s">
        <v>243</v>
      </c>
      <c r="DM2" s="470" t="s">
        <v>8</v>
      </c>
      <c r="DN2" s="470" t="s">
        <v>8</v>
      </c>
      <c r="DO2" s="91" t="s">
        <v>8</v>
      </c>
      <c r="DP2" s="1033" t="s">
        <v>225</v>
      </c>
      <c r="DQ2" s="1033"/>
      <c r="DR2" s="1033"/>
      <c r="DS2" s="1033"/>
      <c r="DT2" s="424" t="s">
        <v>3</v>
      </c>
      <c r="DU2" s="424" t="s">
        <v>3</v>
      </c>
      <c r="DV2" s="425" t="s">
        <v>8</v>
      </c>
      <c r="DW2" s="425" t="s">
        <v>8</v>
      </c>
      <c r="DX2" s="426" t="s">
        <v>8</v>
      </c>
      <c r="DY2" s="888" t="s">
        <v>225</v>
      </c>
      <c r="DZ2" s="888"/>
      <c r="EA2" s="888"/>
      <c r="EB2" s="888"/>
      <c r="EC2" s="468" t="s">
        <v>3</v>
      </c>
      <c r="ED2" s="468" t="s">
        <v>3</v>
      </c>
      <c r="EE2" s="470" t="s">
        <v>8</v>
      </c>
      <c r="EF2" s="470" t="s">
        <v>8</v>
      </c>
      <c r="EG2" s="91" t="s">
        <v>8</v>
      </c>
      <c r="EH2" s="918" t="s">
        <v>175</v>
      </c>
      <c r="EI2" s="919"/>
      <c r="EJ2" s="919"/>
      <c r="EK2" s="920"/>
    </row>
    <row r="3" spans="1:141" s="396" customFormat="1" ht="15.75" customHeight="1">
      <c r="A3" s="395" t="s">
        <v>46</v>
      </c>
      <c r="B3" s="898"/>
      <c r="C3" s="634"/>
      <c r="D3" s="882"/>
      <c r="E3" s="901"/>
      <c r="F3" s="902"/>
      <c r="G3" s="397" t="s">
        <v>47</v>
      </c>
      <c r="H3" s="397"/>
      <c r="I3" s="398" t="s">
        <v>6</v>
      </c>
      <c r="J3" s="469" t="s">
        <v>6</v>
      </c>
      <c r="K3" s="397" t="s">
        <v>6</v>
      </c>
      <c r="L3" s="399">
        <v>1</v>
      </c>
      <c r="M3" s="399">
        <v>2</v>
      </c>
      <c r="N3" s="399">
        <v>3</v>
      </c>
      <c r="O3" s="399">
        <v>4</v>
      </c>
      <c r="P3" s="469" t="s">
        <v>230</v>
      </c>
      <c r="Q3" s="469" t="s">
        <v>278</v>
      </c>
      <c r="R3" s="471" t="s">
        <v>4</v>
      </c>
      <c r="S3" s="471" t="s">
        <v>97</v>
      </c>
      <c r="T3" s="92" t="s">
        <v>98</v>
      </c>
      <c r="U3" s="427">
        <v>1</v>
      </c>
      <c r="V3" s="427">
        <v>2</v>
      </c>
      <c r="W3" s="427">
        <v>3</v>
      </c>
      <c r="X3" s="427">
        <v>4</v>
      </c>
      <c r="Y3" s="428" t="s">
        <v>230</v>
      </c>
      <c r="Z3" s="428" t="s">
        <v>278</v>
      </c>
      <c r="AA3" s="429" t="s">
        <v>4</v>
      </c>
      <c r="AB3" s="429" t="s">
        <v>97</v>
      </c>
      <c r="AC3" s="430" t="s">
        <v>98</v>
      </c>
      <c r="AD3" s="399">
        <v>1</v>
      </c>
      <c r="AE3" s="399">
        <v>2</v>
      </c>
      <c r="AF3" s="399">
        <v>3</v>
      </c>
      <c r="AG3" s="399">
        <v>4</v>
      </c>
      <c r="AH3" s="469" t="s">
        <v>230</v>
      </c>
      <c r="AI3" s="469" t="s">
        <v>278</v>
      </c>
      <c r="AJ3" s="471" t="s">
        <v>4</v>
      </c>
      <c r="AK3" s="471" t="s">
        <v>97</v>
      </c>
      <c r="AL3" s="92" t="s">
        <v>98</v>
      </c>
      <c r="AM3" s="427">
        <v>1</v>
      </c>
      <c r="AN3" s="427">
        <v>2</v>
      </c>
      <c r="AO3" s="427">
        <v>3</v>
      </c>
      <c r="AP3" s="427">
        <v>4</v>
      </c>
      <c r="AQ3" s="428" t="s">
        <v>230</v>
      </c>
      <c r="AR3" s="428" t="s">
        <v>278</v>
      </c>
      <c r="AS3" s="429" t="s">
        <v>4</v>
      </c>
      <c r="AT3" s="429" t="s">
        <v>97</v>
      </c>
      <c r="AU3" s="430" t="s">
        <v>98</v>
      </c>
      <c r="AV3" s="399">
        <v>1</v>
      </c>
      <c r="AW3" s="399">
        <v>2</v>
      </c>
      <c r="AX3" s="399">
        <v>3</v>
      </c>
      <c r="AY3" s="399">
        <v>4</v>
      </c>
      <c r="AZ3" s="469" t="s">
        <v>230</v>
      </c>
      <c r="BA3" s="469" t="s">
        <v>278</v>
      </c>
      <c r="BB3" s="471" t="s">
        <v>4</v>
      </c>
      <c r="BC3" s="471" t="s">
        <v>97</v>
      </c>
      <c r="BD3" s="92" t="s">
        <v>98</v>
      </c>
      <c r="BE3" s="427">
        <v>1</v>
      </c>
      <c r="BF3" s="427">
        <v>2</v>
      </c>
      <c r="BG3" s="427">
        <v>3</v>
      </c>
      <c r="BH3" s="427">
        <v>4</v>
      </c>
      <c r="BI3" s="428" t="s">
        <v>230</v>
      </c>
      <c r="BJ3" s="428" t="s">
        <v>278</v>
      </c>
      <c r="BK3" s="429" t="s">
        <v>4</v>
      </c>
      <c r="BL3" s="429" t="s">
        <v>97</v>
      </c>
      <c r="BM3" s="430" t="s">
        <v>98</v>
      </c>
      <c r="BN3" s="399">
        <v>1</v>
      </c>
      <c r="BO3" s="399">
        <v>2</v>
      </c>
      <c r="BP3" s="399">
        <v>3</v>
      </c>
      <c r="BQ3" s="399">
        <v>4</v>
      </c>
      <c r="BR3" s="469" t="s">
        <v>230</v>
      </c>
      <c r="BS3" s="469" t="s">
        <v>278</v>
      </c>
      <c r="BT3" s="471" t="s">
        <v>4</v>
      </c>
      <c r="BU3" s="471" t="s">
        <v>97</v>
      </c>
      <c r="BV3" s="92" t="s">
        <v>98</v>
      </c>
      <c r="BW3" s="399">
        <v>1</v>
      </c>
      <c r="BX3" s="399">
        <v>2</v>
      </c>
      <c r="BY3" s="399">
        <v>3</v>
      </c>
      <c r="BZ3" s="399">
        <v>4</v>
      </c>
      <c r="CA3" s="469" t="s">
        <v>230</v>
      </c>
      <c r="CB3" s="469" t="s">
        <v>278</v>
      </c>
      <c r="CC3" s="471" t="s">
        <v>4</v>
      </c>
      <c r="CD3" s="471" t="s">
        <v>97</v>
      </c>
      <c r="CE3" s="92" t="s">
        <v>98</v>
      </c>
      <c r="CF3" s="427">
        <v>1</v>
      </c>
      <c r="CG3" s="427">
        <v>2</v>
      </c>
      <c r="CH3" s="427">
        <v>3</v>
      </c>
      <c r="CI3" s="427">
        <v>4</v>
      </c>
      <c r="CJ3" s="428" t="s">
        <v>230</v>
      </c>
      <c r="CK3" s="428" t="s">
        <v>278</v>
      </c>
      <c r="CL3" s="429" t="s">
        <v>4</v>
      </c>
      <c r="CM3" s="429" t="s">
        <v>97</v>
      </c>
      <c r="CN3" s="430" t="s">
        <v>98</v>
      </c>
      <c r="CO3" s="399">
        <v>1</v>
      </c>
      <c r="CP3" s="399">
        <v>2</v>
      </c>
      <c r="CQ3" s="399">
        <v>3</v>
      </c>
      <c r="CR3" s="399">
        <v>4</v>
      </c>
      <c r="CS3" s="469" t="s">
        <v>230</v>
      </c>
      <c r="CT3" s="469" t="s">
        <v>278</v>
      </c>
      <c r="CU3" s="471" t="s">
        <v>4</v>
      </c>
      <c r="CV3" s="471" t="s">
        <v>97</v>
      </c>
      <c r="CW3" s="92" t="s">
        <v>98</v>
      </c>
      <c r="CX3" s="427">
        <v>1</v>
      </c>
      <c r="CY3" s="427">
        <v>2</v>
      </c>
      <c r="CZ3" s="427">
        <v>3</v>
      </c>
      <c r="DA3" s="427">
        <v>4</v>
      </c>
      <c r="DB3" s="428" t="s">
        <v>230</v>
      </c>
      <c r="DC3" s="428" t="s">
        <v>278</v>
      </c>
      <c r="DD3" s="429" t="s">
        <v>4</v>
      </c>
      <c r="DE3" s="429" t="s">
        <v>97</v>
      </c>
      <c r="DF3" s="430" t="s">
        <v>98</v>
      </c>
      <c r="DG3" s="399">
        <v>1</v>
      </c>
      <c r="DH3" s="399">
        <v>2</v>
      </c>
      <c r="DI3" s="399">
        <v>3</v>
      </c>
      <c r="DJ3" s="399">
        <v>4</v>
      </c>
      <c r="DK3" s="469" t="s">
        <v>230</v>
      </c>
      <c r="DL3" s="469" t="s">
        <v>278</v>
      </c>
      <c r="DM3" s="471" t="s">
        <v>4</v>
      </c>
      <c r="DN3" s="471" t="s">
        <v>97</v>
      </c>
      <c r="DO3" s="92" t="s">
        <v>98</v>
      </c>
      <c r="DP3" s="427">
        <v>1</v>
      </c>
      <c r="DQ3" s="427">
        <v>2</v>
      </c>
      <c r="DR3" s="427">
        <v>3</v>
      </c>
      <c r="DS3" s="427">
        <v>4</v>
      </c>
      <c r="DT3" s="428" t="s">
        <v>230</v>
      </c>
      <c r="DU3" s="428" t="s">
        <v>278</v>
      </c>
      <c r="DV3" s="429" t="s">
        <v>4</v>
      </c>
      <c r="DW3" s="429" t="s">
        <v>97</v>
      </c>
      <c r="DX3" s="430" t="s">
        <v>98</v>
      </c>
      <c r="DY3" s="399">
        <v>1</v>
      </c>
      <c r="DZ3" s="399">
        <v>2</v>
      </c>
      <c r="EA3" s="399">
        <v>3</v>
      </c>
      <c r="EB3" s="399">
        <v>4</v>
      </c>
      <c r="EC3" s="469" t="s">
        <v>230</v>
      </c>
      <c r="ED3" s="469" t="s">
        <v>278</v>
      </c>
      <c r="EE3" s="471" t="s">
        <v>4</v>
      </c>
      <c r="EF3" s="471" t="s">
        <v>97</v>
      </c>
      <c r="EG3" s="92" t="s">
        <v>98</v>
      </c>
      <c r="EH3" s="400" t="s">
        <v>80</v>
      </c>
      <c r="EI3" s="401" t="s">
        <v>81</v>
      </c>
      <c r="EJ3" s="402" t="s">
        <v>88</v>
      </c>
      <c r="EK3" s="403" t="s">
        <v>82</v>
      </c>
    </row>
    <row r="4" spans="1:141" s="30" customFormat="1" ht="15.9" customHeight="1">
      <c r="A4" s="404"/>
      <c r="B4" s="93">
        <f>IF(D4&lt;&gt;"",1,"")</f>
        <v>1</v>
      </c>
      <c r="C4" s="338" t="str">
        <f>UPPER(D4)&amp;TRIM(E4)&amp;TRIM(F4)&amp;TRIM(G4)</f>
        <v>12A1Phạm Huỳnh HiệpAn16/10/2004</v>
      </c>
      <c r="D4" s="151" t="s">
        <v>681</v>
      </c>
      <c r="E4" s="152" t="s">
        <v>682</v>
      </c>
      <c r="F4" s="153" t="s">
        <v>683</v>
      </c>
      <c r="G4" s="545" t="s">
        <v>684</v>
      </c>
      <c r="H4" s="545"/>
      <c r="I4" s="546"/>
      <c r="J4" s="151"/>
      <c r="K4" s="151"/>
      <c r="L4" s="157"/>
      <c r="M4" s="155"/>
      <c r="N4" s="155"/>
      <c r="O4" s="547"/>
      <c r="P4" s="548"/>
      <c r="Q4" s="157"/>
      <c r="R4" s="405">
        <f>IF($B4="","",IF(INDEX(BDHKI,MATCH(DiemHKII!$C4,DiemHKI!$DI$4:$DI$58,0),R$67)&lt;&gt;"",INDEX(BDHKI,MATCH(DiemHKII!$C4,DiemHKI!$DI$4:$DI$58,0),R$67),""))</f>
        <v>9.4</v>
      </c>
      <c r="S4" s="405" t="str">
        <f>IF(COUNTA(L4:Q4)&gt;=1,ROUND(AVERAGE(L4:Q4,P4:Q4,Q4),1),"")</f>
        <v/>
      </c>
      <c r="T4" s="406" t="str">
        <f>IF(COUNTA(L4:Q4)&gt;=1,ROUND(AVERAGE(R4:S4,S4),1),"")</f>
        <v/>
      </c>
      <c r="U4" s="157"/>
      <c r="V4" s="155"/>
      <c r="W4" s="155"/>
      <c r="X4" s="547"/>
      <c r="Y4" s="548"/>
      <c r="Z4" s="157"/>
      <c r="AA4" s="431">
        <f>IF($B4="","",IF(INDEX(BDHKI,MATCH(DiemHKII!$C4,DiemHKI!$DI$4:$DI$58,0),AA$67)&lt;&gt;"",INDEX(BDHKI,MATCH(DiemHKII!$C4,DiemHKI!$DI$4:$DI$58,0),AA$67),""))</f>
        <v>9.5</v>
      </c>
      <c r="AB4" s="431" t="str">
        <f>IF(COUNTA(U4:Z4)&gt;=1,ROUND(AVERAGE(U4:Z4,Y4:Z4,Z4),1),"")</f>
        <v/>
      </c>
      <c r="AC4" s="432" t="str">
        <f>IF(COUNTA(U4:Z4)&gt;=1,ROUND(AVERAGE(AA4:AB4,AB4),1),"")</f>
        <v/>
      </c>
      <c r="AD4" s="157"/>
      <c r="AE4" s="155"/>
      <c r="AF4" s="155"/>
      <c r="AG4" s="547"/>
      <c r="AH4" s="548"/>
      <c r="AI4" s="157"/>
      <c r="AJ4" s="405">
        <f>IF($B4="","",IF(INDEX(BDHKI,MATCH(DiemHKII!$C4,DiemHKI!$DI$4:$DI$58,0),AJ$67)&lt;&gt;"",INDEX(BDHKI,MATCH(DiemHKII!$C4,DiemHKI!$DI$4:$DI$58,0),AJ$67),""))</f>
        <v>9.3000000000000007</v>
      </c>
      <c r="AK4" s="405" t="str">
        <f>IF(COUNTA(AD4:AI4)&gt;=1,ROUND(AVERAGE(AD4:AI4,AH4:AI4,AI4),1),"")</f>
        <v/>
      </c>
      <c r="AL4" s="406" t="str">
        <f>IF(COUNTA(AD4:AI4)&gt;=1,ROUND(AVERAGE(AJ4:AK4,AK4),1),"")</f>
        <v/>
      </c>
      <c r="AM4" s="157"/>
      <c r="AN4" s="155"/>
      <c r="AO4" s="155"/>
      <c r="AP4" s="547"/>
      <c r="AQ4" s="548"/>
      <c r="AR4" s="157"/>
      <c r="AS4" s="431">
        <f>IF($B4="","",IF(INDEX(BDHKI,MATCH(DiemHKII!$C4,DiemHKI!$DI$4:$DI$58,0),AS$67)&lt;&gt;"",INDEX(BDHKI,MATCH(DiemHKII!$C4,DiemHKI!$DI$4:$DI$58,0),AS$67),""))</f>
        <v>9</v>
      </c>
      <c r="AT4" s="431" t="str">
        <f>IF(COUNTA(AM4:AR4)&gt;=1,ROUND(AVERAGE(AM4:AR4,AQ4:AR4,AR4),1),"")</f>
        <v/>
      </c>
      <c r="AU4" s="432" t="str">
        <f>IF(COUNTA(AM4:AR4)&gt;=1,ROUND(AVERAGE(AS4:AT4,AT4),1),"")</f>
        <v/>
      </c>
      <c r="AV4" s="157"/>
      <c r="AW4" s="155"/>
      <c r="AX4" s="155"/>
      <c r="AY4" s="547"/>
      <c r="AZ4" s="548"/>
      <c r="BA4" s="157"/>
      <c r="BB4" s="405">
        <f>IF($B4="","",IF(INDEX(BDHKI,MATCH(DiemHKII!$C4,DiemHKI!$DI$4:$DI$58,0),BB$67)&lt;&gt;"",INDEX(BDHKI,MATCH(DiemHKII!$C4,DiemHKI!$DI$4:$DI$58,0),BB$67),""))</f>
        <v>9.6</v>
      </c>
      <c r="BC4" s="405" t="str">
        <f>IF(COUNTA(AV4:BA4)&gt;=1,ROUND(AVERAGE(AV4:BA4,AZ4:BA4,BA4),1),"")</f>
        <v/>
      </c>
      <c r="BD4" s="406" t="str">
        <f>IF(COUNTA(AV4:BA4)&gt;=1,ROUND(AVERAGE(BB4:BC4,BC4),1),"")</f>
        <v/>
      </c>
      <c r="BE4" s="157"/>
      <c r="BF4" s="155"/>
      <c r="BG4" s="155"/>
      <c r="BH4" s="547"/>
      <c r="BI4" s="548"/>
      <c r="BJ4" s="157"/>
      <c r="BK4" s="431">
        <f>IF($B4="","",IF(INDEX(BDHKI,MATCH(DiemHKII!$C4,DiemHKI!$DI$4:$DI$58,0),BK$67)&lt;&gt;"",INDEX(BDHKI,MATCH(DiemHKII!$C4,DiemHKI!$DI$4:$DI$58,0),BK$67),""))</f>
        <v>7.8</v>
      </c>
      <c r="BL4" s="431" t="str">
        <f>IF(COUNTA(BE4:BJ4)&gt;=1,ROUND(AVERAGE(BE4:BJ4,BI4:BJ4,BJ4),1),"")</f>
        <v/>
      </c>
      <c r="BM4" s="432" t="str">
        <f>IF(COUNTA(BE4:BJ4)&gt;=1,ROUND(AVERAGE(BK4:BL4,BL4),1),"")</f>
        <v/>
      </c>
      <c r="BN4" s="157"/>
      <c r="BO4" s="155"/>
      <c r="BP4" s="155"/>
      <c r="BQ4" s="547"/>
      <c r="BR4" s="548"/>
      <c r="BS4" s="157"/>
      <c r="BT4" s="405">
        <f>IF($B4="","",IF(INDEX(BDHKI,MATCH(DiemHKII!$C4,DiemHKI!$DI$4:$DI$58,0),BT$67)&lt;&gt;"",INDEX(BDHKI,MATCH(DiemHKII!$C4,DiemHKI!$DI$4:$DI$58,0),BT$67),""))</f>
        <v>9.6</v>
      </c>
      <c r="BU4" s="405" t="str">
        <f>IF(COUNTA(BN4:BS4)&gt;=1,ROUND(AVERAGE(BN4:BS4,BR4:BS4,BS4),1),"")</f>
        <v/>
      </c>
      <c r="BV4" s="406" t="str">
        <f>IF(COUNTA(BN4:BS4)&gt;=1,ROUND(AVERAGE(BT4:BU4,BU4),1),"")</f>
        <v/>
      </c>
      <c r="BW4" s="157"/>
      <c r="BX4" s="155"/>
      <c r="BY4" s="155"/>
      <c r="BZ4" s="547"/>
      <c r="CA4" s="548"/>
      <c r="CB4" s="157"/>
      <c r="CC4" s="405">
        <f>IF($B4="","",IF(INDEX(BDHKI,MATCH(DiemHKII!$C4,DiemHKI!$DI$4:$DI$58,0),CC$67)&lt;&gt;"",INDEX(BDHKI,MATCH(DiemHKII!$C4,DiemHKI!$DI$4:$DI$58,0),CC$67),""))</f>
        <v>9.8000000000000007</v>
      </c>
      <c r="CD4" s="405" t="str">
        <f>IF(COUNTA(BW4:CB4)&gt;=1,ROUND(AVERAGE(BW4:CB4,CA4:CB4,CB4),1),"")</f>
        <v/>
      </c>
      <c r="CE4" s="406" t="str">
        <f>IF(COUNTA(BW4:CB4)&gt;=1,ROUND(AVERAGE(CC4:CD4,CD4),1),"")</f>
        <v/>
      </c>
      <c r="CF4" s="157"/>
      <c r="CG4" s="155"/>
      <c r="CH4" s="155"/>
      <c r="CI4" s="547"/>
      <c r="CJ4" s="548"/>
      <c r="CK4" s="157"/>
      <c r="CL4" s="431">
        <f>IF($B4="","",IF(INDEX(BDHKI,MATCH(DiemHKII!$C4,DiemHKI!$DI$4:$DI$58,0),CL$67)&lt;&gt;"",INDEX(BDHKI,MATCH(DiemHKII!$C4,DiemHKI!$DI$4:$DI$58,0),CL$67),""))</f>
        <v>9.6</v>
      </c>
      <c r="CM4" s="431" t="str">
        <f>IF(COUNTA(CF4:CK4)&gt;=1,ROUND(AVERAGE(CF4:CK4,CJ4:CK4,CK4),1),"")</f>
        <v/>
      </c>
      <c r="CN4" s="432" t="str">
        <f>IF(COUNTA(CF4:CK4)&gt;=1,ROUND(AVERAGE(CL4:CM4,CM4),1),"")</f>
        <v/>
      </c>
      <c r="CO4" s="157"/>
      <c r="CP4" s="155"/>
      <c r="CQ4" s="155"/>
      <c r="CR4" s="547"/>
      <c r="CS4" s="548"/>
      <c r="CT4" s="157"/>
      <c r="CU4" s="405">
        <f>IF($B4="","",IF(INDEX(BDHKI,MATCH(DiemHKII!$C4,DiemHKI!$DI$4:$DI$58,0),CU$67)&lt;&gt;"",INDEX(BDHKI,MATCH(DiemHKII!$C4,DiemHKI!$DI$4:$DI$58,0),CU$67),""))</f>
        <v>9.1</v>
      </c>
      <c r="CV4" s="405" t="str">
        <f>IF(COUNTA(CO4:CT4)&gt;=1,ROUND(AVERAGE(CO4:CT4,CS4:CT4,CT4),1),"")</f>
        <v/>
      </c>
      <c r="CW4" s="406" t="str">
        <f>IF(COUNTA(CO4:CT4)&gt;=1,ROUND(AVERAGE(CU4:CV4,CV4),1),"")</f>
        <v/>
      </c>
      <c r="CX4" s="157"/>
      <c r="CY4" s="155"/>
      <c r="CZ4" s="155"/>
      <c r="DA4" s="547"/>
      <c r="DB4" s="548"/>
      <c r="DC4" s="157"/>
      <c r="DD4" s="431">
        <f>IF($B4="","",IF(INDEX(BDHKI,MATCH(DiemHKII!$C4,DiemHKI!$DI$4:$DI$58,0),DD$67)&lt;&gt;"",INDEX(BDHKI,MATCH(DiemHKII!$C4,DiemHKI!$DI$4:$DI$58,0),DD$67),""))</f>
        <v>9.5</v>
      </c>
      <c r="DE4" s="431" t="str">
        <f>IF(COUNTA(CX4:DC4)&gt;=1,ROUND(AVERAGE(CX4:DC4,DB4:DC4,DC4),1),"")</f>
        <v/>
      </c>
      <c r="DF4" s="432" t="str">
        <f>IF(COUNTA(CX4:DC4)&gt;=1,ROUND(AVERAGE(DD4:DE4,DE4),1),"")</f>
        <v/>
      </c>
      <c r="DG4" s="158"/>
      <c r="DH4" s="159"/>
      <c r="DI4" s="159"/>
      <c r="DJ4" s="160"/>
      <c r="DK4" s="161"/>
      <c r="DL4" s="210"/>
      <c r="DM4" s="531" t="str">
        <f>IF($B4="","",IF(INDEX(BDHKI,MATCH(DiemHKII!$C4,DiemHKI!$DI$4:$DI$58,0),DM$67)&lt;&gt;"",INDEX(BDHKI,MATCH(DiemHKII!$C4,DiemHKI!$DI$4:$DI$58,0),DM$67),""))</f>
        <v>Đ</v>
      </c>
      <c r="DN4" s="531" t="str">
        <f>IF(COUNTA(DG4:DL4)&gt;=1,IF(ROUND(2/3*COUNTIF(DG4:DL4,"&lt;&gt;"),0)=0,"",IF(COUNTIF(DG4:DL4,"?")&gt;=ROUND(2/3*COUNTIF(DG4:DL4,"&lt;&gt;"),0),"Đ","CĐ")),"")</f>
        <v/>
      </c>
      <c r="DO4" s="531" t="str">
        <f>IF(DN4&lt;&gt;"",DN4,DM4)</f>
        <v>Đ</v>
      </c>
      <c r="DP4" s="157"/>
      <c r="DQ4" s="155"/>
      <c r="DR4" s="155"/>
      <c r="DS4" s="547"/>
      <c r="DT4" s="548"/>
      <c r="DU4" s="157"/>
      <c r="DV4" s="431">
        <f>IF($B4="","",IF(INDEX(BDHKI,MATCH(DiemHKII!$C4,DiemHKI!$DI$4:$DI$58,0),DV$67)&lt;&gt;"",INDEX(BDHKI,MATCH(DiemHKII!$C4,DiemHKI!$DI$4:$DI$58,0),DV$67),""))</f>
        <v>9.9</v>
      </c>
      <c r="DW4" s="431" t="str">
        <f>IF(COUNTA(DP4:DU4)&gt;=1,ROUND(AVERAGE(DP4:DU4,DT4:DU4,DU4),1),"")</f>
        <v/>
      </c>
      <c r="DX4" s="432" t="str">
        <f>IF(COUNTA(DP4:DU4)&gt;=1,ROUND(AVERAGE(DV4:DW4,DW4),1),"")</f>
        <v/>
      </c>
      <c r="DY4" s="157"/>
      <c r="DZ4" s="155"/>
      <c r="EA4" s="155"/>
      <c r="EB4" s="547"/>
      <c r="EC4" s="548"/>
      <c r="ED4" s="157"/>
      <c r="EE4" s="405" t="str">
        <f>IF($B4="","",IF(INDEX(BDHKI,MATCH(DiemHKII!$C4,DiemHKI!$DI$4:$DI$58,0),EE$67)&lt;&gt;"",INDEX(BDHKI,MATCH(DiemHKII!$C4,DiemHKI!$DI$4:$DI$58,0),EE$67),""))</f>
        <v/>
      </c>
      <c r="EF4" s="405" t="str">
        <f>IF(COUNTA(DY4:ED4)&gt;=1,ROUND(AVERAGE(DY4:ED4,EC4:ED4,ED4),1),"")</f>
        <v/>
      </c>
      <c r="EG4" s="406" t="str">
        <f>IF(COUNTA(DY4:ED4)&gt;=1,ROUND(AVERAGE(EE4:EF4,EF4),1),"")</f>
        <v/>
      </c>
      <c r="EH4" s="162"/>
      <c r="EI4" s="163"/>
      <c r="EJ4" s="164"/>
      <c r="EK4" s="165"/>
    </row>
    <row r="5" spans="1:141" s="30" customFormat="1" ht="15.9" customHeight="1">
      <c r="A5" s="407"/>
      <c r="B5" s="99">
        <f>IF(D5&lt;&gt;"",MAX($B$4:B4)+1,"")</f>
        <v>2</v>
      </c>
      <c r="C5" s="339" t="str">
        <f t="shared" ref="C5:C58" si="0">UPPER(D5)&amp;TRIM(E5)&amp;TRIM(F5)&amp;TRIM(G5)</f>
        <v>12A1Chử NgọcAnh14/04/2004</v>
      </c>
      <c r="D5" s="166" t="s">
        <v>681</v>
      </c>
      <c r="E5" s="167" t="s">
        <v>686</v>
      </c>
      <c r="F5" s="168" t="s">
        <v>687</v>
      </c>
      <c r="G5" s="163" t="s">
        <v>688</v>
      </c>
      <c r="H5" s="163"/>
      <c r="I5" s="549"/>
      <c r="J5" s="166"/>
      <c r="K5" s="166"/>
      <c r="L5" s="172"/>
      <c r="M5" s="170"/>
      <c r="N5" s="170"/>
      <c r="O5" s="550"/>
      <c r="P5" s="173"/>
      <c r="Q5" s="172"/>
      <c r="R5" s="408">
        <f>IF($B5="","",IF(INDEX(BDHKI,MATCH(DiemHKII!$C5,DiemHKI!$DI$4:$DI$58,0),R$67)&lt;&gt;"",INDEX(BDHKI,MATCH(DiemHKII!$C5,DiemHKI!$DI$4:$DI$58,0),R$67),""))</f>
        <v>9.5</v>
      </c>
      <c r="S5" s="408" t="str">
        <f t="shared" ref="S5:S58" si="1">IF(COUNTA(L5:Q5)&gt;=1,ROUND(AVERAGE(L5:Q5,P5:Q5,Q5),1),"")</f>
        <v/>
      </c>
      <c r="T5" s="409" t="str">
        <f t="shared" ref="T5:T58" si="2">IF(COUNTA(L5:Q5)&gt;=1,ROUND(AVERAGE(R5:S5,S5),1),"")</f>
        <v/>
      </c>
      <c r="U5" s="172"/>
      <c r="V5" s="170"/>
      <c r="W5" s="170"/>
      <c r="X5" s="550"/>
      <c r="Y5" s="173"/>
      <c r="Z5" s="172"/>
      <c r="AA5" s="433">
        <f>IF($B5="","",IF(INDEX(BDHKI,MATCH(DiemHKII!$C5,DiemHKI!$DI$4:$DI$58,0),AA$67)&lt;&gt;"",INDEX(BDHKI,MATCH(DiemHKII!$C5,DiemHKI!$DI$4:$DI$58,0),AA$67),""))</f>
        <v>9.6</v>
      </c>
      <c r="AB5" s="433" t="str">
        <f t="shared" ref="AB5:AB58" si="3">IF(COUNTA(U5:Z5)&gt;=1,ROUND(AVERAGE(U5:Z5,Y5:Z5,Z5),1),"")</f>
        <v/>
      </c>
      <c r="AC5" s="434" t="str">
        <f t="shared" ref="AC5:AC58" si="4">IF(COUNTA(U5:Z5)&gt;=1,ROUND(AVERAGE(AA5:AB5,AB5),1),"")</f>
        <v/>
      </c>
      <c r="AD5" s="172"/>
      <c r="AE5" s="170"/>
      <c r="AF5" s="170"/>
      <c r="AG5" s="550"/>
      <c r="AH5" s="173"/>
      <c r="AI5" s="172"/>
      <c r="AJ5" s="408">
        <f>IF($B5="","",IF(INDEX(BDHKI,MATCH(DiemHKII!$C5,DiemHKI!$DI$4:$DI$58,0),AJ$67)&lt;&gt;"",INDEX(BDHKI,MATCH(DiemHKII!$C5,DiemHKI!$DI$4:$DI$58,0),AJ$67),""))</f>
        <v>9.4</v>
      </c>
      <c r="AK5" s="408" t="str">
        <f t="shared" ref="AK5:AK58" si="5">IF(COUNTA(AD5:AI5)&gt;=1,ROUND(AVERAGE(AD5:AI5,AH5:AI5,AI5),1),"")</f>
        <v/>
      </c>
      <c r="AL5" s="409" t="str">
        <f t="shared" ref="AL5:AL58" si="6">IF(COUNTA(AD5:AI5)&gt;=1,ROUND(AVERAGE(AJ5:AK5,AK5),1),"")</f>
        <v/>
      </c>
      <c r="AM5" s="172"/>
      <c r="AN5" s="170"/>
      <c r="AO5" s="170"/>
      <c r="AP5" s="550"/>
      <c r="AQ5" s="173"/>
      <c r="AR5" s="172"/>
      <c r="AS5" s="433">
        <f>IF($B5="","",IF(INDEX(BDHKI,MATCH(DiemHKII!$C5,DiemHKI!$DI$4:$DI$58,0),AS$67)&lt;&gt;"",INDEX(BDHKI,MATCH(DiemHKII!$C5,DiemHKI!$DI$4:$DI$58,0),AS$67),""))</f>
        <v>9.6999999999999993</v>
      </c>
      <c r="AT5" s="433" t="str">
        <f t="shared" ref="AT5:AT58" si="7">IF(COUNTA(AM5:AR5)&gt;=1,ROUND(AVERAGE(AM5:AR5,AQ5:AR5,AR5),1),"")</f>
        <v/>
      </c>
      <c r="AU5" s="434" t="str">
        <f t="shared" ref="AU5:AU58" si="8">IF(COUNTA(AM5:AR5)&gt;=1,ROUND(AVERAGE(AS5:AT5,AT5),1),"")</f>
        <v/>
      </c>
      <c r="AV5" s="172"/>
      <c r="AW5" s="170"/>
      <c r="AX5" s="170"/>
      <c r="AY5" s="550"/>
      <c r="AZ5" s="173"/>
      <c r="BA5" s="172"/>
      <c r="BB5" s="408">
        <f>IF($B5="","",IF(INDEX(BDHKI,MATCH(DiemHKII!$C5,DiemHKI!$DI$4:$DI$58,0),BB$67)&lt;&gt;"",INDEX(BDHKI,MATCH(DiemHKII!$C5,DiemHKI!$DI$4:$DI$58,0),BB$67),""))</f>
        <v>9.6</v>
      </c>
      <c r="BC5" s="408" t="str">
        <f t="shared" ref="BC5:BC58" si="9">IF(COUNTA(AV5:BA5)&gt;=1,ROUND(AVERAGE(AV5:BA5,AZ5:BA5,BA5),1),"")</f>
        <v/>
      </c>
      <c r="BD5" s="409" t="str">
        <f t="shared" ref="BD5:BD58" si="10">IF(COUNTA(AV5:BA5)&gt;=1,ROUND(AVERAGE(BB5:BC5,BC5),1),"")</f>
        <v/>
      </c>
      <c r="BE5" s="172"/>
      <c r="BF5" s="170"/>
      <c r="BG5" s="170"/>
      <c r="BH5" s="550"/>
      <c r="BI5" s="173"/>
      <c r="BJ5" s="172"/>
      <c r="BK5" s="433">
        <f>IF($B5="","",IF(INDEX(BDHKI,MATCH(DiemHKII!$C5,DiemHKI!$DI$4:$DI$58,0),BK$67)&lt;&gt;"",INDEX(BDHKI,MATCH(DiemHKII!$C5,DiemHKI!$DI$4:$DI$58,0),BK$67),""))</f>
        <v>8.4</v>
      </c>
      <c r="BL5" s="433" t="str">
        <f t="shared" ref="BL5:BL58" si="11">IF(COUNTA(BE5:BJ5)&gt;=1,ROUND(AVERAGE(BE5:BJ5,BI5:BJ5,BJ5),1),"")</f>
        <v/>
      </c>
      <c r="BM5" s="434" t="str">
        <f t="shared" ref="BM5:BM58" si="12">IF(COUNTA(BE5:BJ5)&gt;=1,ROUND(AVERAGE(BK5:BL5,BL5),1),"")</f>
        <v/>
      </c>
      <c r="BN5" s="172"/>
      <c r="BO5" s="170"/>
      <c r="BP5" s="170"/>
      <c r="BQ5" s="550"/>
      <c r="BR5" s="173"/>
      <c r="BS5" s="172"/>
      <c r="BT5" s="408">
        <f>IF($B5="","",IF(INDEX(BDHKI,MATCH(DiemHKII!$C5,DiemHKI!$DI$4:$DI$58,0),BT$67)&lt;&gt;"",INDEX(BDHKI,MATCH(DiemHKII!$C5,DiemHKI!$DI$4:$DI$58,0),BT$67),""))</f>
        <v>9.6</v>
      </c>
      <c r="BU5" s="408" t="str">
        <f t="shared" ref="BU5:BU58" si="13">IF(COUNTA(BN5:BS5)&gt;=1,ROUND(AVERAGE(BN5:BS5,BR5:BS5,BS5),1),"")</f>
        <v/>
      </c>
      <c r="BV5" s="409" t="str">
        <f t="shared" ref="BV5:BV58" si="14">IF(COUNTA(BN5:BS5)&gt;=1,ROUND(AVERAGE(BT5:BU5,BU5),1),"")</f>
        <v/>
      </c>
      <c r="BW5" s="172"/>
      <c r="BX5" s="170"/>
      <c r="BY5" s="170"/>
      <c r="BZ5" s="550"/>
      <c r="CA5" s="173"/>
      <c r="CB5" s="172"/>
      <c r="CC5" s="408">
        <f>IF($B5="","",IF(INDEX(BDHKI,MATCH(DiemHKII!$C5,DiemHKI!$DI$4:$DI$58,0),CC$67)&lt;&gt;"",INDEX(BDHKI,MATCH(DiemHKII!$C5,DiemHKI!$DI$4:$DI$58,0),CC$67),""))</f>
        <v>9.8000000000000007</v>
      </c>
      <c r="CD5" s="408" t="str">
        <f t="shared" ref="CD5:CD58" si="15">IF(COUNTA(BW5:CB5)&gt;=1,ROUND(AVERAGE(BW5:CB5,CA5:CB5,CB5),1),"")</f>
        <v/>
      </c>
      <c r="CE5" s="409" t="str">
        <f t="shared" ref="CE5:CE58" si="16">IF(COUNTA(BW5:CB5)&gt;=1,ROUND(AVERAGE(CC5:CD5,CD5),1),"")</f>
        <v/>
      </c>
      <c r="CF5" s="172"/>
      <c r="CG5" s="170"/>
      <c r="CH5" s="170"/>
      <c r="CI5" s="550"/>
      <c r="CJ5" s="173"/>
      <c r="CK5" s="172"/>
      <c r="CL5" s="433">
        <f>IF($B5="","",IF(INDEX(BDHKI,MATCH(DiemHKII!$C5,DiemHKI!$DI$4:$DI$58,0),CL$67)&lt;&gt;"",INDEX(BDHKI,MATCH(DiemHKII!$C5,DiemHKI!$DI$4:$DI$58,0),CL$67),""))</f>
        <v>9</v>
      </c>
      <c r="CM5" s="433" t="str">
        <f t="shared" ref="CM5:CM58" si="17">IF(COUNTA(CF5:CK5)&gt;=1,ROUND(AVERAGE(CF5:CK5,CJ5:CK5,CK5),1),"")</f>
        <v/>
      </c>
      <c r="CN5" s="434" t="str">
        <f t="shared" ref="CN5:CN58" si="18">IF(COUNTA(CF5:CK5)&gt;=1,ROUND(AVERAGE(CL5:CM5,CM5),1),"")</f>
        <v/>
      </c>
      <c r="CO5" s="172"/>
      <c r="CP5" s="170"/>
      <c r="CQ5" s="170"/>
      <c r="CR5" s="550"/>
      <c r="CS5" s="173"/>
      <c r="CT5" s="172"/>
      <c r="CU5" s="408">
        <f>IF($B5="","",IF(INDEX(BDHKI,MATCH(DiemHKII!$C5,DiemHKI!$DI$4:$DI$58,0),CU$67)&lt;&gt;"",INDEX(BDHKI,MATCH(DiemHKII!$C5,DiemHKI!$DI$4:$DI$58,0),CU$67),""))</f>
        <v>9.1</v>
      </c>
      <c r="CV5" s="408" t="str">
        <f t="shared" ref="CV5:CV58" si="19">IF(COUNTA(CO5:CT5)&gt;=1,ROUND(AVERAGE(CO5:CT5,CS5:CT5,CT5),1),"")</f>
        <v/>
      </c>
      <c r="CW5" s="409" t="str">
        <f t="shared" ref="CW5:CW58" si="20">IF(COUNTA(CO5:CT5)&gt;=1,ROUND(AVERAGE(CU5:CV5,CV5),1),"")</f>
        <v/>
      </c>
      <c r="CX5" s="172"/>
      <c r="CY5" s="170"/>
      <c r="CZ5" s="170"/>
      <c r="DA5" s="550"/>
      <c r="DB5" s="173"/>
      <c r="DC5" s="172"/>
      <c r="DD5" s="433">
        <f>IF($B5="","",IF(INDEX(BDHKI,MATCH(DiemHKII!$C5,DiemHKI!$DI$4:$DI$58,0),DD$67)&lt;&gt;"",INDEX(BDHKI,MATCH(DiemHKII!$C5,DiemHKI!$DI$4:$DI$58,0),DD$67),""))</f>
        <v>9.8000000000000007</v>
      </c>
      <c r="DE5" s="433" t="str">
        <f t="shared" ref="DE5:DE58" si="21">IF(COUNTA(CX5:DC5)&gt;=1,ROUND(AVERAGE(CX5:DC5,DB5:DC5,DC5),1),"")</f>
        <v/>
      </c>
      <c r="DF5" s="434" t="str">
        <f t="shared" ref="DF5:DF58" si="22">IF(COUNTA(CX5:DC5)&gt;=1,ROUND(AVERAGE(DD5:DE5,DE5),1),"")</f>
        <v/>
      </c>
      <c r="DG5" s="174"/>
      <c r="DH5" s="175"/>
      <c r="DI5" s="175"/>
      <c r="DJ5" s="176"/>
      <c r="DK5" s="177"/>
      <c r="DL5" s="178"/>
      <c r="DM5" s="532" t="str">
        <f>IF($B5="","",IF(INDEX(BDHKI,MATCH(DiemHKII!$C5,DiemHKI!$DI$4:$DI$58,0),DM$67)&lt;&gt;"",INDEX(BDHKI,MATCH(DiemHKII!$C5,DiemHKI!$DI$4:$DI$58,0),DM$67),""))</f>
        <v>Đ</v>
      </c>
      <c r="DN5" s="532" t="str">
        <f t="shared" ref="DN5:DN58" si="23">IF(COUNTA(DG5:DL5)&gt;=1,IF(ROUND(2/3*COUNTIF(DG5:DL5,"&lt;&gt;"),0)=0,"",IF(COUNTIF(DG5:DL5,"?")&gt;=ROUND(2/3*COUNTIF(DG5:DL5,"&lt;&gt;"),0),"Đ","CĐ")),"")</f>
        <v/>
      </c>
      <c r="DO5" s="532" t="str">
        <f t="shared" ref="DO5:DO58" si="24">IF(DN5&lt;&gt;"",DN5,DM5)</f>
        <v>Đ</v>
      </c>
      <c r="DP5" s="172"/>
      <c r="DQ5" s="170"/>
      <c r="DR5" s="170"/>
      <c r="DS5" s="550"/>
      <c r="DT5" s="173"/>
      <c r="DU5" s="172"/>
      <c r="DV5" s="433">
        <f>IF($B5="","",IF(INDEX(BDHKI,MATCH(DiemHKII!$C5,DiemHKI!$DI$4:$DI$58,0),DV$67)&lt;&gt;"",INDEX(BDHKI,MATCH(DiemHKII!$C5,DiemHKI!$DI$4:$DI$58,0),DV$67),""))</f>
        <v>9.9</v>
      </c>
      <c r="DW5" s="433" t="str">
        <f t="shared" ref="DW5:DW58" si="25">IF(COUNTA(DP5:DU5)&gt;=1,ROUND(AVERAGE(DP5:DU5,DT5:DU5,DU5),1),"")</f>
        <v/>
      </c>
      <c r="DX5" s="434" t="str">
        <f t="shared" ref="DX5:DX58" si="26">IF(COUNTA(DP5:DU5)&gt;=1,ROUND(AVERAGE(DV5:DW5,DW5),1),"")</f>
        <v/>
      </c>
      <c r="DY5" s="172"/>
      <c r="DZ5" s="170"/>
      <c r="EA5" s="170"/>
      <c r="EB5" s="550"/>
      <c r="EC5" s="173"/>
      <c r="ED5" s="172"/>
      <c r="EE5" s="408" t="str">
        <f>IF($B5="","",IF(INDEX(BDHKI,MATCH(DiemHKII!$C5,DiemHKI!$DI$4:$DI$58,0),EE$67)&lt;&gt;"",INDEX(BDHKI,MATCH(DiemHKII!$C5,DiemHKI!$DI$4:$DI$58,0),EE$67),""))</f>
        <v/>
      </c>
      <c r="EF5" s="408" t="str">
        <f t="shared" ref="EF5:EF58" si="27">IF(COUNTA(DY5:ED5)&gt;=1,ROUND(AVERAGE(DY5:ED5,EC5:ED5,ED5),1),"")</f>
        <v/>
      </c>
      <c r="EG5" s="409" t="str">
        <f t="shared" ref="EG5:EG58" si="28">IF(COUNTA(DY5:ED5)&gt;=1,ROUND(AVERAGE(EE5:EF5,EF5),1),"")</f>
        <v/>
      </c>
      <c r="EH5" s="162"/>
      <c r="EI5" s="163"/>
      <c r="EJ5" s="164"/>
      <c r="EK5" s="165"/>
    </row>
    <row r="6" spans="1:141" s="30" customFormat="1" ht="15.9" customHeight="1">
      <c r="A6" s="407"/>
      <c r="B6" s="99">
        <f>IF(D6&lt;&gt;"",MAX($B$4:B5)+1,"")</f>
        <v>3</v>
      </c>
      <c r="C6" s="339" t="str">
        <f t="shared" si="0"/>
        <v>12A1Lê TuấnAnh20/10/2004</v>
      </c>
      <c r="D6" s="166" t="s">
        <v>681</v>
      </c>
      <c r="E6" s="167" t="s">
        <v>690</v>
      </c>
      <c r="F6" s="168" t="s">
        <v>687</v>
      </c>
      <c r="G6" s="163" t="s">
        <v>691</v>
      </c>
      <c r="H6" s="163"/>
      <c r="I6" s="549"/>
      <c r="J6" s="166"/>
      <c r="K6" s="166"/>
      <c r="L6" s="172"/>
      <c r="M6" s="170"/>
      <c r="N6" s="170"/>
      <c r="O6" s="550"/>
      <c r="P6" s="173"/>
      <c r="Q6" s="172"/>
      <c r="R6" s="408">
        <f>IF($B6="","",IF(INDEX(BDHKI,MATCH(DiemHKII!$C6,DiemHKI!$DI$4:$DI$58,0),R$67)&lt;&gt;"",INDEX(BDHKI,MATCH(DiemHKII!$C6,DiemHKI!$DI$4:$DI$58,0),R$67),""))</f>
        <v>9.6</v>
      </c>
      <c r="S6" s="408" t="str">
        <f t="shared" si="1"/>
        <v/>
      </c>
      <c r="T6" s="409" t="str">
        <f t="shared" si="2"/>
        <v/>
      </c>
      <c r="U6" s="172"/>
      <c r="V6" s="170"/>
      <c r="W6" s="170"/>
      <c r="X6" s="550"/>
      <c r="Y6" s="173"/>
      <c r="Z6" s="172"/>
      <c r="AA6" s="433">
        <f>IF($B6="","",IF(INDEX(BDHKI,MATCH(DiemHKII!$C6,DiemHKI!$DI$4:$DI$58,0),AA$67)&lt;&gt;"",INDEX(BDHKI,MATCH(DiemHKII!$C6,DiemHKI!$DI$4:$DI$58,0),AA$67),""))</f>
        <v>9.4</v>
      </c>
      <c r="AB6" s="433" t="str">
        <f t="shared" si="3"/>
        <v/>
      </c>
      <c r="AC6" s="434" t="str">
        <f t="shared" si="4"/>
        <v/>
      </c>
      <c r="AD6" s="172"/>
      <c r="AE6" s="170"/>
      <c r="AF6" s="170"/>
      <c r="AG6" s="550"/>
      <c r="AH6" s="173"/>
      <c r="AI6" s="172"/>
      <c r="AJ6" s="408">
        <f>IF($B6="","",IF(INDEX(BDHKI,MATCH(DiemHKII!$C6,DiemHKI!$DI$4:$DI$58,0),AJ$67)&lt;&gt;"",INDEX(BDHKI,MATCH(DiemHKII!$C6,DiemHKI!$DI$4:$DI$58,0),AJ$67),""))</f>
        <v>9.4</v>
      </c>
      <c r="AK6" s="408" t="str">
        <f t="shared" si="5"/>
        <v/>
      </c>
      <c r="AL6" s="409" t="str">
        <f t="shared" si="6"/>
        <v/>
      </c>
      <c r="AM6" s="172"/>
      <c r="AN6" s="170"/>
      <c r="AO6" s="170"/>
      <c r="AP6" s="550"/>
      <c r="AQ6" s="173"/>
      <c r="AR6" s="172"/>
      <c r="AS6" s="433">
        <f>IF($B6="","",IF(INDEX(BDHKI,MATCH(DiemHKII!$C6,DiemHKI!$DI$4:$DI$58,0),AS$67)&lt;&gt;"",INDEX(BDHKI,MATCH(DiemHKII!$C6,DiemHKI!$DI$4:$DI$58,0),AS$67),""))</f>
        <v>8.6</v>
      </c>
      <c r="AT6" s="433" t="str">
        <f t="shared" si="7"/>
        <v/>
      </c>
      <c r="AU6" s="434" t="str">
        <f t="shared" si="8"/>
        <v/>
      </c>
      <c r="AV6" s="172"/>
      <c r="AW6" s="170"/>
      <c r="AX6" s="170"/>
      <c r="AY6" s="550"/>
      <c r="AZ6" s="173"/>
      <c r="BA6" s="172"/>
      <c r="BB6" s="408">
        <f>IF($B6="","",IF(INDEX(BDHKI,MATCH(DiemHKII!$C6,DiemHKI!$DI$4:$DI$58,0),BB$67)&lt;&gt;"",INDEX(BDHKI,MATCH(DiemHKII!$C6,DiemHKI!$DI$4:$DI$58,0),BB$67),""))</f>
        <v>9.8000000000000007</v>
      </c>
      <c r="BC6" s="408" t="str">
        <f t="shared" si="9"/>
        <v/>
      </c>
      <c r="BD6" s="409" t="str">
        <f t="shared" si="10"/>
        <v/>
      </c>
      <c r="BE6" s="172"/>
      <c r="BF6" s="170"/>
      <c r="BG6" s="170"/>
      <c r="BH6" s="550"/>
      <c r="BI6" s="173"/>
      <c r="BJ6" s="172"/>
      <c r="BK6" s="433">
        <f>IF($B6="","",IF(INDEX(BDHKI,MATCH(DiemHKII!$C6,DiemHKI!$DI$4:$DI$58,0),BK$67)&lt;&gt;"",INDEX(BDHKI,MATCH(DiemHKII!$C6,DiemHKI!$DI$4:$DI$58,0),BK$67),""))</f>
        <v>7.1</v>
      </c>
      <c r="BL6" s="433" t="str">
        <f t="shared" si="11"/>
        <v/>
      </c>
      <c r="BM6" s="434" t="str">
        <f t="shared" si="12"/>
        <v/>
      </c>
      <c r="BN6" s="172"/>
      <c r="BO6" s="170"/>
      <c r="BP6" s="170"/>
      <c r="BQ6" s="550"/>
      <c r="BR6" s="173"/>
      <c r="BS6" s="172"/>
      <c r="BT6" s="408">
        <f>IF($B6="","",IF(INDEX(BDHKI,MATCH(DiemHKII!$C6,DiemHKI!$DI$4:$DI$58,0),BT$67)&lt;&gt;"",INDEX(BDHKI,MATCH(DiemHKII!$C6,DiemHKI!$DI$4:$DI$58,0),BT$67),""))</f>
        <v>9.4</v>
      </c>
      <c r="BU6" s="408" t="str">
        <f t="shared" si="13"/>
        <v/>
      </c>
      <c r="BV6" s="409" t="str">
        <f t="shared" si="14"/>
        <v/>
      </c>
      <c r="BW6" s="172"/>
      <c r="BX6" s="170"/>
      <c r="BY6" s="170"/>
      <c r="BZ6" s="550"/>
      <c r="CA6" s="173"/>
      <c r="CB6" s="172"/>
      <c r="CC6" s="408">
        <f>IF($B6="","",IF(INDEX(BDHKI,MATCH(DiemHKII!$C6,DiemHKI!$DI$4:$DI$58,0),CC$67)&lt;&gt;"",INDEX(BDHKI,MATCH(DiemHKII!$C6,DiemHKI!$DI$4:$DI$58,0),CC$67),""))</f>
        <v>9.6</v>
      </c>
      <c r="CD6" s="408" t="str">
        <f t="shared" si="15"/>
        <v/>
      </c>
      <c r="CE6" s="409" t="str">
        <f t="shared" si="16"/>
        <v/>
      </c>
      <c r="CF6" s="172"/>
      <c r="CG6" s="170"/>
      <c r="CH6" s="170"/>
      <c r="CI6" s="550"/>
      <c r="CJ6" s="173"/>
      <c r="CK6" s="172"/>
      <c r="CL6" s="433">
        <f>IF($B6="","",IF(INDEX(BDHKI,MATCH(DiemHKII!$C6,DiemHKI!$DI$4:$DI$58,0),CL$67)&lt;&gt;"",INDEX(BDHKI,MATCH(DiemHKII!$C6,DiemHKI!$DI$4:$DI$58,0),CL$67),""))</f>
        <v>8.1999999999999993</v>
      </c>
      <c r="CM6" s="433" t="str">
        <f t="shared" si="17"/>
        <v/>
      </c>
      <c r="CN6" s="434" t="str">
        <f t="shared" si="18"/>
        <v/>
      </c>
      <c r="CO6" s="172"/>
      <c r="CP6" s="170"/>
      <c r="CQ6" s="170"/>
      <c r="CR6" s="550"/>
      <c r="CS6" s="173"/>
      <c r="CT6" s="172"/>
      <c r="CU6" s="408">
        <f>IF($B6="","",IF(INDEX(BDHKI,MATCH(DiemHKII!$C6,DiemHKI!$DI$4:$DI$58,0),CU$67)&lt;&gt;"",INDEX(BDHKI,MATCH(DiemHKII!$C6,DiemHKI!$DI$4:$DI$58,0),CU$67),""))</f>
        <v>8.8000000000000007</v>
      </c>
      <c r="CV6" s="408" t="str">
        <f t="shared" si="19"/>
        <v/>
      </c>
      <c r="CW6" s="409" t="str">
        <f t="shared" si="20"/>
        <v/>
      </c>
      <c r="CX6" s="172"/>
      <c r="CY6" s="170"/>
      <c r="CZ6" s="170"/>
      <c r="DA6" s="550"/>
      <c r="DB6" s="173"/>
      <c r="DC6" s="172"/>
      <c r="DD6" s="433">
        <f>IF($B6="","",IF(INDEX(BDHKI,MATCH(DiemHKII!$C6,DiemHKI!$DI$4:$DI$58,0),DD$67)&lt;&gt;"",INDEX(BDHKI,MATCH(DiemHKII!$C6,DiemHKI!$DI$4:$DI$58,0),DD$67),""))</f>
        <v>9.5</v>
      </c>
      <c r="DE6" s="433" t="str">
        <f t="shared" si="21"/>
        <v/>
      </c>
      <c r="DF6" s="434" t="str">
        <f t="shared" si="22"/>
        <v/>
      </c>
      <c r="DG6" s="174"/>
      <c r="DH6" s="175"/>
      <c r="DI6" s="175"/>
      <c r="DJ6" s="176"/>
      <c r="DK6" s="177"/>
      <c r="DL6" s="178"/>
      <c r="DM6" s="532" t="str">
        <f>IF($B6="","",IF(INDEX(BDHKI,MATCH(DiemHKII!$C6,DiemHKI!$DI$4:$DI$58,0),DM$67)&lt;&gt;"",INDEX(BDHKI,MATCH(DiemHKII!$C6,DiemHKI!$DI$4:$DI$58,0),DM$67),""))</f>
        <v>Đ</v>
      </c>
      <c r="DN6" s="532" t="str">
        <f t="shared" si="23"/>
        <v/>
      </c>
      <c r="DO6" s="532" t="str">
        <f t="shared" si="24"/>
        <v>Đ</v>
      </c>
      <c r="DP6" s="172"/>
      <c r="DQ6" s="170"/>
      <c r="DR6" s="170"/>
      <c r="DS6" s="550"/>
      <c r="DT6" s="173"/>
      <c r="DU6" s="172"/>
      <c r="DV6" s="433">
        <f>IF($B6="","",IF(INDEX(BDHKI,MATCH(DiemHKII!$C6,DiemHKI!$DI$4:$DI$58,0),DV$67)&lt;&gt;"",INDEX(BDHKI,MATCH(DiemHKII!$C6,DiemHKI!$DI$4:$DI$58,0),DV$67),""))</f>
        <v>9.4</v>
      </c>
      <c r="DW6" s="433" t="str">
        <f t="shared" si="25"/>
        <v/>
      </c>
      <c r="DX6" s="434" t="str">
        <f t="shared" si="26"/>
        <v/>
      </c>
      <c r="DY6" s="172"/>
      <c r="DZ6" s="170"/>
      <c r="EA6" s="170"/>
      <c r="EB6" s="550"/>
      <c r="EC6" s="173"/>
      <c r="ED6" s="172"/>
      <c r="EE6" s="408" t="str">
        <f>IF($B6="","",IF(INDEX(BDHKI,MATCH(DiemHKII!$C6,DiemHKI!$DI$4:$DI$58,0),EE$67)&lt;&gt;"",INDEX(BDHKI,MATCH(DiemHKII!$C6,DiemHKI!$DI$4:$DI$58,0),EE$67),""))</f>
        <v/>
      </c>
      <c r="EF6" s="408" t="str">
        <f t="shared" si="27"/>
        <v/>
      </c>
      <c r="EG6" s="409" t="str">
        <f t="shared" si="28"/>
        <v/>
      </c>
      <c r="EH6" s="162"/>
      <c r="EI6" s="163"/>
      <c r="EJ6" s="164"/>
      <c r="EK6" s="165"/>
    </row>
    <row r="7" spans="1:141" s="30" customFormat="1" ht="15.9" customHeight="1">
      <c r="A7" s="407"/>
      <c r="B7" s="99">
        <f>IF(D7&lt;&gt;"",MAX($B$4:B6)+1,"")</f>
        <v>4</v>
      </c>
      <c r="C7" s="339" t="str">
        <f t="shared" si="0"/>
        <v>12A1Nguyễn Quách MaiAnh12/05/2004</v>
      </c>
      <c r="D7" s="166" t="s">
        <v>681</v>
      </c>
      <c r="E7" s="167" t="s">
        <v>693</v>
      </c>
      <c r="F7" s="168" t="s">
        <v>687</v>
      </c>
      <c r="G7" s="163" t="s">
        <v>694</v>
      </c>
      <c r="H7" s="163"/>
      <c r="I7" s="549"/>
      <c r="J7" s="166"/>
      <c r="K7" s="166"/>
      <c r="L7" s="172"/>
      <c r="M7" s="170"/>
      <c r="N7" s="170"/>
      <c r="O7" s="550"/>
      <c r="P7" s="173"/>
      <c r="Q7" s="172"/>
      <c r="R7" s="408">
        <f>IF($B7="","",IF(INDEX(BDHKI,MATCH(DiemHKII!$C7,DiemHKI!$DI$4:$DI$58,0),R$67)&lt;&gt;"",INDEX(BDHKI,MATCH(DiemHKII!$C7,DiemHKI!$DI$4:$DI$58,0),R$67),""))</f>
        <v>9.8000000000000007</v>
      </c>
      <c r="S7" s="408" t="str">
        <f t="shared" si="1"/>
        <v/>
      </c>
      <c r="T7" s="409" t="str">
        <f t="shared" si="2"/>
        <v/>
      </c>
      <c r="U7" s="172"/>
      <c r="V7" s="170"/>
      <c r="W7" s="170"/>
      <c r="X7" s="550"/>
      <c r="Y7" s="173"/>
      <c r="Z7" s="172"/>
      <c r="AA7" s="433">
        <f>IF($B7="","",IF(INDEX(BDHKI,MATCH(DiemHKII!$C7,DiemHKI!$DI$4:$DI$58,0),AA$67)&lt;&gt;"",INDEX(BDHKI,MATCH(DiemHKII!$C7,DiemHKI!$DI$4:$DI$58,0),AA$67),""))</f>
        <v>9.6999999999999993</v>
      </c>
      <c r="AB7" s="433" t="str">
        <f t="shared" si="3"/>
        <v/>
      </c>
      <c r="AC7" s="434" t="str">
        <f t="shared" si="4"/>
        <v/>
      </c>
      <c r="AD7" s="172"/>
      <c r="AE7" s="170"/>
      <c r="AF7" s="170"/>
      <c r="AG7" s="550"/>
      <c r="AH7" s="173"/>
      <c r="AI7" s="172"/>
      <c r="AJ7" s="408">
        <f>IF($B7="","",IF(INDEX(BDHKI,MATCH(DiemHKII!$C7,DiemHKI!$DI$4:$DI$58,0),AJ$67)&lt;&gt;"",INDEX(BDHKI,MATCH(DiemHKII!$C7,DiemHKI!$DI$4:$DI$58,0),AJ$67),""))</f>
        <v>9.3000000000000007</v>
      </c>
      <c r="AK7" s="408" t="str">
        <f t="shared" si="5"/>
        <v/>
      </c>
      <c r="AL7" s="409" t="str">
        <f t="shared" si="6"/>
        <v/>
      </c>
      <c r="AM7" s="172"/>
      <c r="AN7" s="170"/>
      <c r="AO7" s="170"/>
      <c r="AP7" s="550"/>
      <c r="AQ7" s="173"/>
      <c r="AR7" s="172"/>
      <c r="AS7" s="433">
        <f>IF($B7="","",IF(INDEX(BDHKI,MATCH(DiemHKII!$C7,DiemHKI!$DI$4:$DI$58,0),AS$67)&lt;&gt;"",INDEX(BDHKI,MATCH(DiemHKII!$C7,DiemHKI!$DI$4:$DI$58,0),AS$67),""))</f>
        <v>9.1999999999999993</v>
      </c>
      <c r="AT7" s="433" t="str">
        <f t="shared" si="7"/>
        <v/>
      </c>
      <c r="AU7" s="434" t="str">
        <f t="shared" si="8"/>
        <v/>
      </c>
      <c r="AV7" s="172"/>
      <c r="AW7" s="170"/>
      <c r="AX7" s="170"/>
      <c r="AY7" s="550"/>
      <c r="AZ7" s="173"/>
      <c r="BA7" s="172"/>
      <c r="BB7" s="408">
        <f>IF($B7="","",IF(INDEX(BDHKI,MATCH(DiemHKII!$C7,DiemHKI!$DI$4:$DI$58,0),BB$67)&lt;&gt;"",INDEX(BDHKI,MATCH(DiemHKII!$C7,DiemHKI!$DI$4:$DI$58,0),BB$67),""))</f>
        <v>9.8000000000000007</v>
      </c>
      <c r="BC7" s="408" t="str">
        <f t="shared" si="9"/>
        <v/>
      </c>
      <c r="BD7" s="409" t="str">
        <f t="shared" si="10"/>
        <v/>
      </c>
      <c r="BE7" s="172"/>
      <c r="BF7" s="170"/>
      <c r="BG7" s="170"/>
      <c r="BH7" s="550"/>
      <c r="BI7" s="173"/>
      <c r="BJ7" s="172"/>
      <c r="BK7" s="433">
        <f>IF($B7="","",IF(INDEX(BDHKI,MATCH(DiemHKII!$C7,DiemHKI!$DI$4:$DI$58,0),BK$67)&lt;&gt;"",INDEX(BDHKI,MATCH(DiemHKII!$C7,DiemHKI!$DI$4:$DI$58,0),BK$67),""))</f>
        <v>7.4</v>
      </c>
      <c r="BL7" s="433" t="str">
        <f t="shared" si="11"/>
        <v/>
      </c>
      <c r="BM7" s="434" t="str">
        <f t="shared" si="12"/>
        <v/>
      </c>
      <c r="BN7" s="172"/>
      <c r="BO7" s="170"/>
      <c r="BP7" s="170"/>
      <c r="BQ7" s="550"/>
      <c r="BR7" s="173"/>
      <c r="BS7" s="172"/>
      <c r="BT7" s="408">
        <f>IF($B7="","",IF(INDEX(BDHKI,MATCH(DiemHKII!$C7,DiemHKI!$DI$4:$DI$58,0),BT$67)&lt;&gt;"",INDEX(BDHKI,MATCH(DiemHKII!$C7,DiemHKI!$DI$4:$DI$58,0),BT$67),""))</f>
        <v>9.8000000000000007</v>
      </c>
      <c r="BU7" s="408" t="str">
        <f t="shared" si="13"/>
        <v/>
      </c>
      <c r="BV7" s="409" t="str">
        <f t="shared" si="14"/>
        <v/>
      </c>
      <c r="BW7" s="172"/>
      <c r="BX7" s="170"/>
      <c r="BY7" s="170"/>
      <c r="BZ7" s="550"/>
      <c r="CA7" s="173"/>
      <c r="CB7" s="172"/>
      <c r="CC7" s="408">
        <f>IF($B7="","",IF(INDEX(BDHKI,MATCH(DiemHKII!$C7,DiemHKI!$DI$4:$DI$58,0),CC$67)&lt;&gt;"",INDEX(BDHKI,MATCH(DiemHKII!$C7,DiemHKI!$DI$4:$DI$58,0),CC$67),""))</f>
        <v>9.9</v>
      </c>
      <c r="CD7" s="408" t="str">
        <f t="shared" si="15"/>
        <v/>
      </c>
      <c r="CE7" s="409" t="str">
        <f t="shared" si="16"/>
        <v/>
      </c>
      <c r="CF7" s="172"/>
      <c r="CG7" s="170"/>
      <c r="CH7" s="170"/>
      <c r="CI7" s="550"/>
      <c r="CJ7" s="173"/>
      <c r="CK7" s="172"/>
      <c r="CL7" s="433">
        <f>IF($B7="","",IF(INDEX(BDHKI,MATCH(DiemHKII!$C7,DiemHKI!$DI$4:$DI$58,0),CL$67)&lt;&gt;"",INDEX(BDHKI,MATCH(DiemHKII!$C7,DiemHKI!$DI$4:$DI$58,0),CL$67),""))</f>
        <v>8</v>
      </c>
      <c r="CM7" s="433" t="str">
        <f t="shared" si="17"/>
        <v/>
      </c>
      <c r="CN7" s="434" t="str">
        <f t="shared" si="18"/>
        <v/>
      </c>
      <c r="CO7" s="172"/>
      <c r="CP7" s="170"/>
      <c r="CQ7" s="170"/>
      <c r="CR7" s="550"/>
      <c r="CS7" s="173"/>
      <c r="CT7" s="172"/>
      <c r="CU7" s="408">
        <f>IF($B7="","",IF(INDEX(BDHKI,MATCH(DiemHKII!$C7,DiemHKI!$DI$4:$DI$58,0),CU$67)&lt;&gt;"",INDEX(BDHKI,MATCH(DiemHKII!$C7,DiemHKI!$DI$4:$DI$58,0),CU$67),""))</f>
        <v>9.5</v>
      </c>
      <c r="CV7" s="408" t="str">
        <f t="shared" si="19"/>
        <v/>
      </c>
      <c r="CW7" s="409" t="str">
        <f t="shared" si="20"/>
        <v/>
      </c>
      <c r="CX7" s="172"/>
      <c r="CY7" s="170"/>
      <c r="CZ7" s="170"/>
      <c r="DA7" s="550"/>
      <c r="DB7" s="173"/>
      <c r="DC7" s="172"/>
      <c r="DD7" s="433">
        <f>IF($B7="","",IF(INDEX(BDHKI,MATCH(DiemHKII!$C7,DiemHKI!$DI$4:$DI$58,0),DD$67)&lt;&gt;"",INDEX(BDHKI,MATCH(DiemHKII!$C7,DiemHKI!$DI$4:$DI$58,0),DD$67),""))</f>
        <v>9.9</v>
      </c>
      <c r="DE7" s="433" t="str">
        <f t="shared" si="21"/>
        <v/>
      </c>
      <c r="DF7" s="434" t="str">
        <f t="shared" si="22"/>
        <v/>
      </c>
      <c r="DG7" s="174"/>
      <c r="DH7" s="175"/>
      <c r="DI7" s="175"/>
      <c r="DJ7" s="176"/>
      <c r="DK7" s="177"/>
      <c r="DL7" s="178"/>
      <c r="DM7" s="532" t="str">
        <f>IF($B7="","",IF(INDEX(BDHKI,MATCH(DiemHKII!$C7,DiemHKI!$DI$4:$DI$58,0),DM$67)&lt;&gt;"",INDEX(BDHKI,MATCH(DiemHKII!$C7,DiemHKI!$DI$4:$DI$58,0),DM$67),""))</f>
        <v>Đ</v>
      </c>
      <c r="DN7" s="532" t="str">
        <f t="shared" si="23"/>
        <v/>
      </c>
      <c r="DO7" s="532" t="str">
        <f t="shared" si="24"/>
        <v>Đ</v>
      </c>
      <c r="DP7" s="172"/>
      <c r="DQ7" s="170"/>
      <c r="DR7" s="170"/>
      <c r="DS7" s="550"/>
      <c r="DT7" s="173"/>
      <c r="DU7" s="172"/>
      <c r="DV7" s="433">
        <f>IF($B7="","",IF(INDEX(BDHKI,MATCH(DiemHKII!$C7,DiemHKI!$DI$4:$DI$58,0),DV$67)&lt;&gt;"",INDEX(BDHKI,MATCH(DiemHKII!$C7,DiemHKI!$DI$4:$DI$58,0),DV$67),""))</f>
        <v>9.9</v>
      </c>
      <c r="DW7" s="433" t="str">
        <f t="shared" si="25"/>
        <v/>
      </c>
      <c r="DX7" s="434" t="str">
        <f t="shared" si="26"/>
        <v/>
      </c>
      <c r="DY7" s="172"/>
      <c r="DZ7" s="170"/>
      <c r="EA7" s="170"/>
      <c r="EB7" s="550"/>
      <c r="EC7" s="173"/>
      <c r="ED7" s="172"/>
      <c r="EE7" s="408" t="str">
        <f>IF($B7="","",IF(INDEX(BDHKI,MATCH(DiemHKII!$C7,DiemHKI!$DI$4:$DI$58,0),EE$67)&lt;&gt;"",INDEX(BDHKI,MATCH(DiemHKII!$C7,DiemHKI!$DI$4:$DI$58,0),EE$67),""))</f>
        <v/>
      </c>
      <c r="EF7" s="408" t="str">
        <f t="shared" si="27"/>
        <v/>
      </c>
      <c r="EG7" s="409" t="str">
        <f t="shared" si="28"/>
        <v/>
      </c>
      <c r="EH7" s="162"/>
      <c r="EI7" s="163"/>
      <c r="EJ7" s="164"/>
      <c r="EK7" s="165"/>
    </row>
    <row r="8" spans="1:141" s="30" customFormat="1" ht="15.9" customHeight="1">
      <c r="A8" s="407"/>
      <c r="B8" s="105">
        <f>IF(D8&lt;&gt;"",MAX($B$4:B7)+1,"")</f>
        <v>5</v>
      </c>
      <c r="C8" s="340" t="str">
        <f t="shared" si="0"/>
        <v>12A1Vũ SongAnh20/04/2004</v>
      </c>
      <c r="D8" s="179" t="s">
        <v>681</v>
      </c>
      <c r="E8" s="180" t="s">
        <v>695</v>
      </c>
      <c r="F8" s="181" t="s">
        <v>687</v>
      </c>
      <c r="G8" s="182" t="s">
        <v>696</v>
      </c>
      <c r="H8" s="182"/>
      <c r="I8" s="551"/>
      <c r="J8" s="179"/>
      <c r="K8" s="179"/>
      <c r="L8" s="187"/>
      <c r="M8" s="185"/>
      <c r="N8" s="185"/>
      <c r="O8" s="552"/>
      <c r="P8" s="188"/>
      <c r="Q8" s="187"/>
      <c r="R8" s="410">
        <f>IF($B8="","",IF(INDEX(BDHKI,MATCH(DiemHKII!$C8,DiemHKI!$DI$4:$DI$58,0),R$67)&lt;&gt;"",INDEX(BDHKI,MATCH(DiemHKII!$C8,DiemHKI!$DI$4:$DI$58,0),R$67),""))</f>
        <v>9.6</v>
      </c>
      <c r="S8" s="410" t="str">
        <f t="shared" si="1"/>
        <v/>
      </c>
      <c r="T8" s="411" t="str">
        <f t="shared" si="2"/>
        <v/>
      </c>
      <c r="U8" s="187"/>
      <c r="V8" s="185"/>
      <c r="W8" s="185"/>
      <c r="X8" s="552"/>
      <c r="Y8" s="188"/>
      <c r="Z8" s="187"/>
      <c r="AA8" s="435">
        <f>IF($B8="","",IF(INDEX(BDHKI,MATCH(DiemHKII!$C8,DiemHKI!$DI$4:$DI$58,0),AA$67)&lt;&gt;"",INDEX(BDHKI,MATCH(DiemHKII!$C8,DiemHKI!$DI$4:$DI$58,0),AA$67),""))</f>
        <v>9.6</v>
      </c>
      <c r="AB8" s="435" t="str">
        <f t="shared" si="3"/>
        <v/>
      </c>
      <c r="AC8" s="436" t="str">
        <f t="shared" si="4"/>
        <v/>
      </c>
      <c r="AD8" s="187"/>
      <c r="AE8" s="185"/>
      <c r="AF8" s="185"/>
      <c r="AG8" s="552"/>
      <c r="AH8" s="188"/>
      <c r="AI8" s="187"/>
      <c r="AJ8" s="410">
        <f>IF($B8="","",IF(INDEX(BDHKI,MATCH(DiemHKII!$C8,DiemHKI!$DI$4:$DI$58,0),AJ$67)&lt;&gt;"",INDEX(BDHKI,MATCH(DiemHKII!$C8,DiemHKI!$DI$4:$DI$58,0),AJ$67),""))</f>
        <v>9.3000000000000007</v>
      </c>
      <c r="AK8" s="410" t="str">
        <f t="shared" si="5"/>
        <v/>
      </c>
      <c r="AL8" s="411" t="str">
        <f t="shared" si="6"/>
        <v/>
      </c>
      <c r="AM8" s="187"/>
      <c r="AN8" s="185"/>
      <c r="AO8" s="185"/>
      <c r="AP8" s="552"/>
      <c r="AQ8" s="188"/>
      <c r="AR8" s="187"/>
      <c r="AS8" s="435">
        <f>IF($B8="","",IF(INDEX(BDHKI,MATCH(DiemHKII!$C8,DiemHKI!$DI$4:$DI$58,0),AS$67)&lt;&gt;"",INDEX(BDHKI,MATCH(DiemHKII!$C8,DiemHKI!$DI$4:$DI$58,0),AS$67),""))</f>
        <v>9</v>
      </c>
      <c r="AT8" s="435" t="str">
        <f t="shared" si="7"/>
        <v/>
      </c>
      <c r="AU8" s="436" t="str">
        <f t="shared" si="8"/>
        <v/>
      </c>
      <c r="AV8" s="187"/>
      <c r="AW8" s="185"/>
      <c r="AX8" s="185"/>
      <c r="AY8" s="552"/>
      <c r="AZ8" s="188"/>
      <c r="BA8" s="187"/>
      <c r="BB8" s="410">
        <f>IF($B8="","",IF(INDEX(BDHKI,MATCH(DiemHKII!$C8,DiemHKI!$DI$4:$DI$58,0),BB$67)&lt;&gt;"",INDEX(BDHKI,MATCH(DiemHKII!$C8,DiemHKI!$DI$4:$DI$58,0),BB$67),""))</f>
        <v>9.6</v>
      </c>
      <c r="BC8" s="410" t="str">
        <f t="shared" si="9"/>
        <v/>
      </c>
      <c r="BD8" s="411" t="str">
        <f t="shared" si="10"/>
        <v/>
      </c>
      <c r="BE8" s="187"/>
      <c r="BF8" s="185"/>
      <c r="BG8" s="185"/>
      <c r="BH8" s="552"/>
      <c r="BI8" s="188"/>
      <c r="BJ8" s="187"/>
      <c r="BK8" s="435">
        <f>IF($B8="","",IF(INDEX(BDHKI,MATCH(DiemHKII!$C8,DiemHKI!$DI$4:$DI$58,0),BK$67)&lt;&gt;"",INDEX(BDHKI,MATCH(DiemHKII!$C8,DiemHKI!$DI$4:$DI$58,0),BK$67),""))</f>
        <v>7.2</v>
      </c>
      <c r="BL8" s="435" t="str">
        <f t="shared" si="11"/>
        <v/>
      </c>
      <c r="BM8" s="436" t="str">
        <f t="shared" si="12"/>
        <v/>
      </c>
      <c r="BN8" s="187"/>
      <c r="BO8" s="185"/>
      <c r="BP8" s="185"/>
      <c r="BQ8" s="552"/>
      <c r="BR8" s="188"/>
      <c r="BS8" s="187"/>
      <c r="BT8" s="410">
        <f>IF($B8="","",IF(INDEX(BDHKI,MATCH(DiemHKII!$C8,DiemHKI!$DI$4:$DI$58,0),BT$67)&lt;&gt;"",INDEX(BDHKI,MATCH(DiemHKII!$C8,DiemHKI!$DI$4:$DI$58,0),BT$67),""))</f>
        <v>9.6</v>
      </c>
      <c r="BU8" s="410" t="str">
        <f t="shared" si="13"/>
        <v/>
      </c>
      <c r="BV8" s="411" t="str">
        <f t="shared" si="14"/>
        <v/>
      </c>
      <c r="BW8" s="187"/>
      <c r="BX8" s="185"/>
      <c r="BY8" s="185"/>
      <c r="BZ8" s="552"/>
      <c r="CA8" s="188"/>
      <c r="CB8" s="187"/>
      <c r="CC8" s="410">
        <f>IF($B8="","",IF(INDEX(BDHKI,MATCH(DiemHKII!$C8,DiemHKI!$DI$4:$DI$58,0),CC$67)&lt;&gt;"",INDEX(BDHKI,MATCH(DiemHKII!$C8,DiemHKI!$DI$4:$DI$58,0),CC$67),""))</f>
        <v>9.9</v>
      </c>
      <c r="CD8" s="410" t="str">
        <f t="shared" si="15"/>
        <v/>
      </c>
      <c r="CE8" s="411" t="str">
        <f t="shared" si="16"/>
        <v/>
      </c>
      <c r="CF8" s="187"/>
      <c r="CG8" s="185"/>
      <c r="CH8" s="185"/>
      <c r="CI8" s="552"/>
      <c r="CJ8" s="188"/>
      <c r="CK8" s="187"/>
      <c r="CL8" s="435">
        <f>IF($B8="","",IF(INDEX(BDHKI,MATCH(DiemHKII!$C8,DiemHKI!$DI$4:$DI$58,0),CL$67)&lt;&gt;"",INDEX(BDHKI,MATCH(DiemHKII!$C8,DiemHKI!$DI$4:$DI$58,0),CL$67),""))</f>
        <v>8.8000000000000007</v>
      </c>
      <c r="CM8" s="435" t="str">
        <f t="shared" si="17"/>
        <v/>
      </c>
      <c r="CN8" s="436" t="str">
        <f t="shared" si="18"/>
        <v/>
      </c>
      <c r="CO8" s="187"/>
      <c r="CP8" s="185"/>
      <c r="CQ8" s="185"/>
      <c r="CR8" s="552"/>
      <c r="CS8" s="188"/>
      <c r="CT8" s="187"/>
      <c r="CU8" s="410">
        <f>IF($B8="","",IF(INDEX(BDHKI,MATCH(DiemHKII!$C8,DiemHKI!$DI$4:$DI$58,0),CU$67)&lt;&gt;"",INDEX(BDHKI,MATCH(DiemHKII!$C8,DiemHKI!$DI$4:$DI$58,0),CU$67),""))</f>
        <v>9.4</v>
      </c>
      <c r="CV8" s="410" t="str">
        <f t="shared" si="19"/>
        <v/>
      </c>
      <c r="CW8" s="411" t="str">
        <f t="shared" si="20"/>
        <v/>
      </c>
      <c r="CX8" s="187"/>
      <c r="CY8" s="185"/>
      <c r="CZ8" s="185"/>
      <c r="DA8" s="552"/>
      <c r="DB8" s="188"/>
      <c r="DC8" s="187"/>
      <c r="DD8" s="435">
        <f>IF($B8="","",IF(INDEX(BDHKI,MATCH(DiemHKII!$C8,DiemHKI!$DI$4:$DI$58,0),DD$67)&lt;&gt;"",INDEX(BDHKI,MATCH(DiemHKII!$C8,DiemHKI!$DI$4:$DI$58,0),DD$67),""))</f>
        <v>9.9</v>
      </c>
      <c r="DE8" s="435" t="str">
        <f t="shared" si="21"/>
        <v/>
      </c>
      <c r="DF8" s="436" t="str">
        <f t="shared" si="22"/>
        <v/>
      </c>
      <c r="DG8" s="189"/>
      <c r="DH8" s="190"/>
      <c r="DI8" s="190"/>
      <c r="DJ8" s="191"/>
      <c r="DK8" s="192"/>
      <c r="DL8" s="193"/>
      <c r="DM8" s="533" t="str">
        <f>IF($B8="","",IF(INDEX(BDHKI,MATCH(DiemHKII!$C8,DiemHKI!$DI$4:$DI$58,0),DM$67)&lt;&gt;"",INDEX(BDHKI,MATCH(DiemHKII!$C8,DiemHKI!$DI$4:$DI$58,0),DM$67),""))</f>
        <v>Đ</v>
      </c>
      <c r="DN8" s="533" t="str">
        <f t="shared" si="23"/>
        <v/>
      </c>
      <c r="DO8" s="533" t="str">
        <f t="shared" si="24"/>
        <v>Đ</v>
      </c>
      <c r="DP8" s="187"/>
      <c r="DQ8" s="185"/>
      <c r="DR8" s="185"/>
      <c r="DS8" s="552"/>
      <c r="DT8" s="188"/>
      <c r="DU8" s="187"/>
      <c r="DV8" s="435">
        <f>IF($B8="","",IF(INDEX(BDHKI,MATCH(DiemHKII!$C8,DiemHKI!$DI$4:$DI$58,0),DV$67)&lt;&gt;"",INDEX(BDHKI,MATCH(DiemHKII!$C8,DiemHKI!$DI$4:$DI$58,0),DV$67),""))</f>
        <v>9.9</v>
      </c>
      <c r="DW8" s="435" t="str">
        <f t="shared" si="25"/>
        <v/>
      </c>
      <c r="DX8" s="436" t="str">
        <f t="shared" si="26"/>
        <v/>
      </c>
      <c r="DY8" s="187"/>
      <c r="DZ8" s="185"/>
      <c r="EA8" s="185"/>
      <c r="EB8" s="552"/>
      <c r="EC8" s="188"/>
      <c r="ED8" s="187"/>
      <c r="EE8" s="410" t="str">
        <f>IF($B8="","",IF(INDEX(BDHKI,MATCH(DiemHKII!$C8,DiemHKI!$DI$4:$DI$58,0),EE$67)&lt;&gt;"",INDEX(BDHKI,MATCH(DiemHKII!$C8,DiemHKI!$DI$4:$DI$58,0),EE$67),""))</f>
        <v/>
      </c>
      <c r="EF8" s="410" t="str">
        <f t="shared" si="27"/>
        <v/>
      </c>
      <c r="EG8" s="411" t="str">
        <f t="shared" si="28"/>
        <v/>
      </c>
      <c r="EH8" s="194"/>
      <c r="EI8" s="182"/>
      <c r="EJ8" s="183"/>
      <c r="EK8" s="195"/>
    </row>
    <row r="9" spans="1:141" s="30" customFormat="1" ht="15.9" customHeight="1">
      <c r="A9" s="407"/>
      <c r="B9" s="111">
        <f>IF(D9&lt;&gt;"",MAX($B$4:B8)+1,"")</f>
        <v>6</v>
      </c>
      <c r="C9" s="341" t="str">
        <f t="shared" si="0"/>
        <v>12A1Phan GiaBảo27/10/2004</v>
      </c>
      <c r="D9" s="196" t="s">
        <v>681</v>
      </c>
      <c r="E9" s="197" t="s">
        <v>697</v>
      </c>
      <c r="F9" s="198" t="s">
        <v>698</v>
      </c>
      <c r="G9" s="199" t="s">
        <v>699</v>
      </c>
      <c r="H9" s="199"/>
      <c r="I9" s="553"/>
      <c r="J9" s="196"/>
      <c r="K9" s="196"/>
      <c r="L9" s="204"/>
      <c r="M9" s="202"/>
      <c r="N9" s="202"/>
      <c r="O9" s="554"/>
      <c r="P9" s="205"/>
      <c r="Q9" s="204"/>
      <c r="R9" s="412">
        <f>IF($B9="","",IF(INDEX(BDHKI,MATCH(DiemHKII!$C9,DiemHKI!$DI$4:$DI$58,0),R$67)&lt;&gt;"",INDEX(BDHKI,MATCH(DiemHKII!$C9,DiemHKI!$DI$4:$DI$58,0),R$67),""))</f>
        <v>9.5</v>
      </c>
      <c r="S9" s="412" t="str">
        <f t="shared" si="1"/>
        <v/>
      </c>
      <c r="T9" s="413" t="str">
        <f t="shared" si="2"/>
        <v/>
      </c>
      <c r="U9" s="204"/>
      <c r="V9" s="202"/>
      <c r="W9" s="202"/>
      <c r="X9" s="554"/>
      <c r="Y9" s="205"/>
      <c r="Z9" s="204"/>
      <c r="AA9" s="437">
        <f>IF($B9="","",IF(INDEX(BDHKI,MATCH(DiemHKII!$C9,DiemHKI!$DI$4:$DI$58,0),AA$67)&lt;&gt;"",INDEX(BDHKI,MATCH(DiemHKII!$C9,DiemHKI!$DI$4:$DI$58,0),AA$67),""))</f>
        <v>9.4</v>
      </c>
      <c r="AB9" s="437" t="str">
        <f t="shared" si="3"/>
        <v/>
      </c>
      <c r="AC9" s="438" t="str">
        <f t="shared" si="4"/>
        <v/>
      </c>
      <c r="AD9" s="204"/>
      <c r="AE9" s="202"/>
      <c r="AF9" s="202"/>
      <c r="AG9" s="554"/>
      <c r="AH9" s="205"/>
      <c r="AI9" s="204"/>
      <c r="AJ9" s="412">
        <f>IF($B9="","",IF(INDEX(BDHKI,MATCH(DiemHKII!$C9,DiemHKI!$DI$4:$DI$58,0),AJ$67)&lt;&gt;"",INDEX(BDHKI,MATCH(DiemHKII!$C9,DiemHKI!$DI$4:$DI$58,0),AJ$67),""))</f>
        <v>9</v>
      </c>
      <c r="AK9" s="412" t="str">
        <f t="shared" si="5"/>
        <v/>
      </c>
      <c r="AL9" s="413" t="str">
        <f t="shared" si="6"/>
        <v/>
      </c>
      <c r="AM9" s="204"/>
      <c r="AN9" s="202"/>
      <c r="AO9" s="202"/>
      <c r="AP9" s="554"/>
      <c r="AQ9" s="205"/>
      <c r="AR9" s="204"/>
      <c r="AS9" s="437">
        <f>IF($B9="","",IF(INDEX(BDHKI,MATCH(DiemHKII!$C9,DiemHKI!$DI$4:$DI$58,0),AS$67)&lt;&gt;"",INDEX(BDHKI,MATCH(DiemHKII!$C9,DiemHKI!$DI$4:$DI$58,0),AS$67),""))</f>
        <v>8.8000000000000007</v>
      </c>
      <c r="AT9" s="437" t="str">
        <f t="shared" si="7"/>
        <v/>
      </c>
      <c r="AU9" s="438" t="str">
        <f t="shared" si="8"/>
        <v/>
      </c>
      <c r="AV9" s="204"/>
      <c r="AW9" s="202"/>
      <c r="AX9" s="202"/>
      <c r="AY9" s="554"/>
      <c r="AZ9" s="205"/>
      <c r="BA9" s="204"/>
      <c r="BB9" s="412">
        <f>IF($B9="","",IF(INDEX(BDHKI,MATCH(DiemHKII!$C9,DiemHKI!$DI$4:$DI$58,0),BB$67)&lt;&gt;"",INDEX(BDHKI,MATCH(DiemHKII!$C9,DiemHKI!$DI$4:$DI$58,0),BB$67),""))</f>
        <v>9.6</v>
      </c>
      <c r="BC9" s="412" t="str">
        <f t="shared" si="9"/>
        <v/>
      </c>
      <c r="BD9" s="413" t="str">
        <f t="shared" si="10"/>
        <v/>
      </c>
      <c r="BE9" s="204"/>
      <c r="BF9" s="202"/>
      <c r="BG9" s="202"/>
      <c r="BH9" s="554"/>
      <c r="BI9" s="205"/>
      <c r="BJ9" s="204"/>
      <c r="BK9" s="437">
        <f>IF($B9="","",IF(INDEX(BDHKI,MATCH(DiemHKII!$C9,DiemHKI!$DI$4:$DI$58,0),BK$67)&lt;&gt;"",INDEX(BDHKI,MATCH(DiemHKII!$C9,DiemHKI!$DI$4:$DI$58,0),BK$67),""))</f>
        <v>7.2</v>
      </c>
      <c r="BL9" s="437" t="str">
        <f t="shared" si="11"/>
        <v/>
      </c>
      <c r="BM9" s="438" t="str">
        <f t="shared" si="12"/>
        <v/>
      </c>
      <c r="BN9" s="204"/>
      <c r="BO9" s="202"/>
      <c r="BP9" s="202"/>
      <c r="BQ9" s="554"/>
      <c r="BR9" s="205"/>
      <c r="BS9" s="204"/>
      <c r="BT9" s="412">
        <f>IF($B9="","",IF(INDEX(BDHKI,MATCH(DiemHKII!$C9,DiemHKI!$DI$4:$DI$58,0),BT$67)&lt;&gt;"",INDEX(BDHKI,MATCH(DiemHKII!$C9,DiemHKI!$DI$4:$DI$58,0),BT$67),""))</f>
        <v>9.8000000000000007</v>
      </c>
      <c r="BU9" s="412" t="str">
        <f t="shared" si="13"/>
        <v/>
      </c>
      <c r="BV9" s="413" t="str">
        <f t="shared" si="14"/>
        <v/>
      </c>
      <c r="BW9" s="204"/>
      <c r="BX9" s="202"/>
      <c r="BY9" s="202"/>
      <c r="BZ9" s="554"/>
      <c r="CA9" s="205"/>
      <c r="CB9" s="204"/>
      <c r="CC9" s="412">
        <f>IF($B9="","",IF(INDEX(BDHKI,MATCH(DiemHKII!$C9,DiemHKI!$DI$4:$DI$58,0),CC$67)&lt;&gt;"",INDEX(BDHKI,MATCH(DiemHKII!$C9,DiemHKI!$DI$4:$DI$58,0),CC$67),""))</f>
        <v>9.9</v>
      </c>
      <c r="CD9" s="412" t="str">
        <f t="shared" si="15"/>
        <v/>
      </c>
      <c r="CE9" s="413" t="str">
        <f t="shared" si="16"/>
        <v/>
      </c>
      <c r="CF9" s="204"/>
      <c r="CG9" s="202"/>
      <c r="CH9" s="202"/>
      <c r="CI9" s="554"/>
      <c r="CJ9" s="205"/>
      <c r="CK9" s="204"/>
      <c r="CL9" s="437">
        <f>IF($B9="","",IF(INDEX(BDHKI,MATCH(DiemHKII!$C9,DiemHKI!$DI$4:$DI$58,0),CL$67)&lt;&gt;"",INDEX(BDHKI,MATCH(DiemHKII!$C9,DiemHKI!$DI$4:$DI$58,0),CL$67),""))</f>
        <v>9.6999999999999993</v>
      </c>
      <c r="CM9" s="437" t="str">
        <f t="shared" si="17"/>
        <v/>
      </c>
      <c r="CN9" s="438" t="str">
        <f t="shared" si="18"/>
        <v/>
      </c>
      <c r="CO9" s="204"/>
      <c r="CP9" s="202"/>
      <c r="CQ9" s="202"/>
      <c r="CR9" s="554"/>
      <c r="CS9" s="205"/>
      <c r="CT9" s="204"/>
      <c r="CU9" s="412">
        <f>IF($B9="","",IF(INDEX(BDHKI,MATCH(DiemHKII!$C9,DiemHKI!$DI$4:$DI$58,0),CU$67)&lt;&gt;"",INDEX(BDHKI,MATCH(DiemHKII!$C9,DiemHKI!$DI$4:$DI$58,0),CU$67),""))</f>
        <v>9.8000000000000007</v>
      </c>
      <c r="CV9" s="412" t="str">
        <f t="shared" si="19"/>
        <v/>
      </c>
      <c r="CW9" s="413" t="str">
        <f t="shared" si="20"/>
        <v/>
      </c>
      <c r="CX9" s="204"/>
      <c r="CY9" s="202"/>
      <c r="CZ9" s="202"/>
      <c r="DA9" s="554"/>
      <c r="DB9" s="205"/>
      <c r="DC9" s="204"/>
      <c r="DD9" s="437">
        <f>IF($B9="","",IF(INDEX(BDHKI,MATCH(DiemHKII!$C9,DiemHKI!$DI$4:$DI$58,0),DD$67)&lt;&gt;"",INDEX(BDHKI,MATCH(DiemHKII!$C9,DiemHKI!$DI$4:$DI$58,0),DD$67),""))</f>
        <v>9.9</v>
      </c>
      <c r="DE9" s="437" t="str">
        <f t="shared" si="21"/>
        <v/>
      </c>
      <c r="DF9" s="438" t="str">
        <f t="shared" si="22"/>
        <v/>
      </c>
      <c r="DG9" s="206"/>
      <c r="DH9" s="207"/>
      <c r="DI9" s="207"/>
      <c r="DJ9" s="208"/>
      <c r="DK9" s="209"/>
      <c r="DL9" s="210"/>
      <c r="DM9" s="531" t="str">
        <f>IF($B9="","",IF(INDEX(BDHKI,MATCH(DiemHKII!$C9,DiemHKI!$DI$4:$DI$58,0),DM$67)&lt;&gt;"",INDEX(BDHKI,MATCH(DiemHKII!$C9,DiemHKI!$DI$4:$DI$58,0),DM$67),""))</f>
        <v>Đ</v>
      </c>
      <c r="DN9" s="531" t="str">
        <f t="shared" si="23"/>
        <v/>
      </c>
      <c r="DO9" s="531" t="str">
        <f t="shared" si="24"/>
        <v>Đ</v>
      </c>
      <c r="DP9" s="204"/>
      <c r="DQ9" s="202"/>
      <c r="DR9" s="202"/>
      <c r="DS9" s="554"/>
      <c r="DT9" s="205"/>
      <c r="DU9" s="204"/>
      <c r="DV9" s="437">
        <f>IF($B9="","",IF(INDEX(BDHKI,MATCH(DiemHKII!$C9,DiemHKI!$DI$4:$DI$58,0),DV$67)&lt;&gt;"",INDEX(BDHKI,MATCH(DiemHKII!$C9,DiemHKI!$DI$4:$DI$58,0),DV$67),""))</f>
        <v>9.9</v>
      </c>
      <c r="DW9" s="437" t="str">
        <f t="shared" si="25"/>
        <v/>
      </c>
      <c r="DX9" s="438" t="str">
        <f t="shared" si="26"/>
        <v/>
      </c>
      <c r="DY9" s="204"/>
      <c r="DZ9" s="202"/>
      <c r="EA9" s="202"/>
      <c r="EB9" s="554"/>
      <c r="EC9" s="205"/>
      <c r="ED9" s="204"/>
      <c r="EE9" s="412" t="str">
        <f>IF($B9="","",IF(INDEX(BDHKI,MATCH(DiemHKII!$C9,DiemHKI!$DI$4:$DI$58,0),EE$67)&lt;&gt;"",INDEX(BDHKI,MATCH(DiemHKII!$C9,DiemHKI!$DI$4:$DI$58,0),EE$67),""))</f>
        <v/>
      </c>
      <c r="EF9" s="412" t="str">
        <f t="shared" si="27"/>
        <v/>
      </c>
      <c r="EG9" s="413" t="str">
        <f t="shared" si="28"/>
        <v/>
      </c>
      <c r="EH9" s="559"/>
      <c r="EI9" s="545"/>
      <c r="EJ9" s="560"/>
      <c r="EK9" s="561"/>
    </row>
    <row r="10" spans="1:141" s="30" customFormat="1" ht="15.9" customHeight="1">
      <c r="A10" s="407"/>
      <c r="B10" s="99">
        <f>IF(D10&lt;&gt;"",MAX($B$4:B9)+1,"")</f>
        <v>7</v>
      </c>
      <c r="C10" s="339" t="str">
        <f t="shared" si="0"/>
        <v>12A1Nguyễn PhúcBình20/06/2004</v>
      </c>
      <c r="D10" s="166" t="s">
        <v>681</v>
      </c>
      <c r="E10" s="167" t="s">
        <v>700</v>
      </c>
      <c r="F10" s="168" t="s">
        <v>701</v>
      </c>
      <c r="G10" s="163" t="s">
        <v>702</v>
      </c>
      <c r="H10" s="163"/>
      <c r="I10" s="549"/>
      <c r="J10" s="166"/>
      <c r="K10" s="166"/>
      <c r="L10" s="172"/>
      <c r="M10" s="170"/>
      <c r="N10" s="170"/>
      <c r="O10" s="550"/>
      <c r="P10" s="173"/>
      <c r="Q10" s="172"/>
      <c r="R10" s="408">
        <f>IF($B10="","",IF(INDEX(BDHKI,MATCH(DiemHKII!$C10,DiemHKI!$DI$4:$DI$58,0),R$67)&lt;&gt;"",INDEX(BDHKI,MATCH(DiemHKII!$C10,DiemHKI!$DI$4:$DI$58,0),R$67),""))</f>
        <v>9.8000000000000007</v>
      </c>
      <c r="S10" s="408" t="str">
        <f t="shared" si="1"/>
        <v/>
      </c>
      <c r="T10" s="409" t="str">
        <f t="shared" si="2"/>
        <v/>
      </c>
      <c r="U10" s="172"/>
      <c r="V10" s="170"/>
      <c r="W10" s="170"/>
      <c r="X10" s="550"/>
      <c r="Y10" s="173"/>
      <c r="Z10" s="172"/>
      <c r="AA10" s="433">
        <f>IF($B10="","",IF(INDEX(BDHKI,MATCH(DiemHKII!$C10,DiemHKI!$DI$4:$DI$58,0),AA$67)&lt;&gt;"",INDEX(BDHKI,MATCH(DiemHKII!$C10,DiemHKI!$DI$4:$DI$58,0),AA$67),""))</f>
        <v>9.9</v>
      </c>
      <c r="AB10" s="433" t="str">
        <f t="shared" si="3"/>
        <v/>
      </c>
      <c r="AC10" s="434" t="str">
        <f t="shared" si="4"/>
        <v/>
      </c>
      <c r="AD10" s="172"/>
      <c r="AE10" s="170"/>
      <c r="AF10" s="170"/>
      <c r="AG10" s="550"/>
      <c r="AH10" s="173"/>
      <c r="AI10" s="172"/>
      <c r="AJ10" s="408">
        <f>IF($B10="","",IF(INDEX(BDHKI,MATCH(DiemHKII!$C10,DiemHKI!$DI$4:$DI$58,0),AJ$67)&lt;&gt;"",INDEX(BDHKI,MATCH(DiemHKII!$C10,DiemHKI!$DI$4:$DI$58,0),AJ$67),""))</f>
        <v>9.6</v>
      </c>
      <c r="AK10" s="408" t="str">
        <f t="shared" si="5"/>
        <v/>
      </c>
      <c r="AL10" s="409" t="str">
        <f t="shared" si="6"/>
        <v/>
      </c>
      <c r="AM10" s="172"/>
      <c r="AN10" s="170"/>
      <c r="AO10" s="170"/>
      <c r="AP10" s="550"/>
      <c r="AQ10" s="173"/>
      <c r="AR10" s="172"/>
      <c r="AS10" s="433">
        <f>IF($B10="","",IF(INDEX(BDHKI,MATCH(DiemHKII!$C10,DiemHKI!$DI$4:$DI$58,0),AS$67)&lt;&gt;"",INDEX(BDHKI,MATCH(DiemHKII!$C10,DiemHKI!$DI$4:$DI$58,0),AS$67),""))</f>
        <v>9.6</v>
      </c>
      <c r="AT10" s="433" t="str">
        <f t="shared" si="7"/>
        <v/>
      </c>
      <c r="AU10" s="434" t="str">
        <f t="shared" si="8"/>
        <v/>
      </c>
      <c r="AV10" s="172"/>
      <c r="AW10" s="170"/>
      <c r="AX10" s="170"/>
      <c r="AY10" s="550"/>
      <c r="AZ10" s="173"/>
      <c r="BA10" s="172"/>
      <c r="BB10" s="408">
        <f>IF($B10="","",IF(INDEX(BDHKI,MATCH(DiemHKII!$C10,DiemHKI!$DI$4:$DI$58,0),BB$67)&lt;&gt;"",INDEX(BDHKI,MATCH(DiemHKII!$C10,DiemHKI!$DI$4:$DI$58,0),BB$67),""))</f>
        <v>9.8000000000000007</v>
      </c>
      <c r="BC10" s="408" t="str">
        <f t="shared" si="9"/>
        <v/>
      </c>
      <c r="BD10" s="409" t="str">
        <f t="shared" si="10"/>
        <v/>
      </c>
      <c r="BE10" s="172"/>
      <c r="BF10" s="170"/>
      <c r="BG10" s="170"/>
      <c r="BH10" s="550"/>
      <c r="BI10" s="173"/>
      <c r="BJ10" s="172"/>
      <c r="BK10" s="433">
        <f>IF($B10="","",IF(INDEX(BDHKI,MATCH(DiemHKII!$C10,DiemHKI!$DI$4:$DI$58,0),BK$67)&lt;&gt;"",INDEX(BDHKI,MATCH(DiemHKII!$C10,DiemHKI!$DI$4:$DI$58,0),BK$67),""))</f>
        <v>8</v>
      </c>
      <c r="BL10" s="433" t="str">
        <f t="shared" si="11"/>
        <v/>
      </c>
      <c r="BM10" s="434" t="str">
        <f t="shared" si="12"/>
        <v/>
      </c>
      <c r="BN10" s="172"/>
      <c r="BO10" s="170"/>
      <c r="BP10" s="170"/>
      <c r="BQ10" s="550"/>
      <c r="BR10" s="173"/>
      <c r="BS10" s="172"/>
      <c r="BT10" s="408">
        <f>IF($B10="","",IF(INDEX(BDHKI,MATCH(DiemHKII!$C10,DiemHKI!$DI$4:$DI$58,0),BT$67)&lt;&gt;"",INDEX(BDHKI,MATCH(DiemHKII!$C10,DiemHKI!$DI$4:$DI$58,0),BT$67),""))</f>
        <v>9.6999999999999993</v>
      </c>
      <c r="BU10" s="408" t="str">
        <f t="shared" si="13"/>
        <v/>
      </c>
      <c r="BV10" s="409" t="str">
        <f t="shared" si="14"/>
        <v/>
      </c>
      <c r="BW10" s="172"/>
      <c r="BX10" s="170"/>
      <c r="BY10" s="170"/>
      <c r="BZ10" s="550"/>
      <c r="CA10" s="173"/>
      <c r="CB10" s="172"/>
      <c r="CC10" s="408">
        <f>IF($B10="","",IF(INDEX(BDHKI,MATCH(DiemHKII!$C10,DiemHKI!$DI$4:$DI$58,0),CC$67)&lt;&gt;"",INDEX(BDHKI,MATCH(DiemHKII!$C10,DiemHKI!$DI$4:$DI$58,0),CC$67),""))</f>
        <v>9.6</v>
      </c>
      <c r="CD10" s="408" t="str">
        <f t="shared" si="15"/>
        <v/>
      </c>
      <c r="CE10" s="409" t="str">
        <f t="shared" si="16"/>
        <v/>
      </c>
      <c r="CF10" s="172"/>
      <c r="CG10" s="170"/>
      <c r="CH10" s="170"/>
      <c r="CI10" s="550"/>
      <c r="CJ10" s="173"/>
      <c r="CK10" s="172"/>
      <c r="CL10" s="433">
        <f>IF($B10="","",IF(INDEX(BDHKI,MATCH(DiemHKII!$C10,DiemHKI!$DI$4:$DI$58,0),CL$67)&lt;&gt;"",INDEX(BDHKI,MATCH(DiemHKII!$C10,DiemHKI!$DI$4:$DI$58,0),CL$67),""))</f>
        <v>9.6</v>
      </c>
      <c r="CM10" s="433" t="str">
        <f t="shared" si="17"/>
        <v/>
      </c>
      <c r="CN10" s="434" t="str">
        <f t="shared" si="18"/>
        <v/>
      </c>
      <c r="CO10" s="172"/>
      <c r="CP10" s="170"/>
      <c r="CQ10" s="170"/>
      <c r="CR10" s="550"/>
      <c r="CS10" s="173"/>
      <c r="CT10" s="172"/>
      <c r="CU10" s="408">
        <f>IF($B10="","",IF(INDEX(BDHKI,MATCH(DiemHKII!$C10,DiemHKI!$DI$4:$DI$58,0),CU$67)&lt;&gt;"",INDEX(BDHKI,MATCH(DiemHKII!$C10,DiemHKI!$DI$4:$DI$58,0),CU$67),""))</f>
        <v>9.4</v>
      </c>
      <c r="CV10" s="408" t="str">
        <f t="shared" si="19"/>
        <v/>
      </c>
      <c r="CW10" s="409" t="str">
        <f t="shared" si="20"/>
        <v/>
      </c>
      <c r="CX10" s="172"/>
      <c r="CY10" s="170"/>
      <c r="CZ10" s="170"/>
      <c r="DA10" s="550"/>
      <c r="DB10" s="173"/>
      <c r="DC10" s="172"/>
      <c r="DD10" s="433">
        <f>IF($B10="","",IF(INDEX(BDHKI,MATCH(DiemHKII!$C10,DiemHKI!$DI$4:$DI$58,0),DD$67)&lt;&gt;"",INDEX(BDHKI,MATCH(DiemHKII!$C10,DiemHKI!$DI$4:$DI$58,0),DD$67),""))</f>
        <v>9.5</v>
      </c>
      <c r="DE10" s="433" t="str">
        <f t="shared" si="21"/>
        <v/>
      </c>
      <c r="DF10" s="434" t="str">
        <f t="shared" si="22"/>
        <v/>
      </c>
      <c r="DG10" s="174"/>
      <c r="DH10" s="175"/>
      <c r="DI10" s="175"/>
      <c r="DJ10" s="176"/>
      <c r="DK10" s="177"/>
      <c r="DL10" s="178"/>
      <c r="DM10" s="532" t="str">
        <f>IF($B10="","",IF(INDEX(BDHKI,MATCH(DiemHKII!$C10,DiemHKI!$DI$4:$DI$58,0),DM$67)&lt;&gt;"",INDEX(BDHKI,MATCH(DiemHKII!$C10,DiemHKI!$DI$4:$DI$58,0),DM$67),""))</f>
        <v>Đ</v>
      </c>
      <c r="DN10" s="532" t="str">
        <f t="shared" si="23"/>
        <v/>
      </c>
      <c r="DO10" s="532" t="str">
        <f t="shared" si="24"/>
        <v>Đ</v>
      </c>
      <c r="DP10" s="172"/>
      <c r="DQ10" s="170"/>
      <c r="DR10" s="170"/>
      <c r="DS10" s="550"/>
      <c r="DT10" s="173"/>
      <c r="DU10" s="172"/>
      <c r="DV10" s="433">
        <f>IF($B10="","",IF(INDEX(BDHKI,MATCH(DiemHKII!$C10,DiemHKI!$DI$4:$DI$58,0),DV$67)&lt;&gt;"",INDEX(BDHKI,MATCH(DiemHKII!$C10,DiemHKI!$DI$4:$DI$58,0),DV$67),""))</f>
        <v>9.9</v>
      </c>
      <c r="DW10" s="433" t="str">
        <f t="shared" si="25"/>
        <v/>
      </c>
      <c r="DX10" s="434" t="str">
        <f t="shared" si="26"/>
        <v/>
      </c>
      <c r="DY10" s="172"/>
      <c r="DZ10" s="170"/>
      <c r="EA10" s="170"/>
      <c r="EB10" s="550"/>
      <c r="EC10" s="173"/>
      <c r="ED10" s="172"/>
      <c r="EE10" s="408" t="str">
        <f>IF($B10="","",IF(INDEX(BDHKI,MATCH(DiemHKII!$C10,DiemHKI!$DI$4:$DI$58,0),EE$67)&lt;&gt;"",INDEX(BDHKI,MATCH(DiemHKII!$C10,DiemHKI!$DI$4:$DI$58,0),EE$67),""))</f>
        <v/>
      </c>
      <c r="EF10" s="408" t="str">
        <f t="shared" si="27"/>
        <v/>
      </c>
      <c r="EG10" s="409" t="str">
        <f t="shared" si="28"/>
        <v/>
      </c>
      <c r="EH10" s="162"/>
      <c r="EI10" s="163"/>
      <c r="EJ10" s="164"/>
      <c r="EK10" s="165"/>
    </row>
    <row r="11" spans="1:141" s="30" customFormat="1" ht="15.9" customHeight="1">
      <c r="A11" s="407"/>
      <c r="B11" s="99">
        <f>IF(D11&lt;&gt;"",MAX($B$4:B10)+1,"")</f>
        <v>8</v>
      </c>
      <c r="C11" s="339" t="str">
        <f t="shared" si="0"/>
        <v>12A1Trần LêCường08/04/2004</v>
      </c>
      <c r="D11" s="166" t="s">
        <v>681</v>
      </c>
      <c r="E11" s="167" t="s">
        <v>704</v>
      </c>
      <c r="F11" s="168" t="s">
        <v>705</v>
      </c>
      <c r="G11" s="163" t="s">
        <v>706</v>
      </c>
      <c r="H11" s="163"/>
      <c r="I11" s="549"/>
      <c r="J11" s="166"/>
      <c r="K11" s="166"/>
      <c r="L11" s="172"/>
      <c r="M11" s="170"/>
      <c r="N11" s="170"/>
      <c r="O11" s="550"/>
      <c r="P11" s="173"/>
      <c r="Q11" s="172"/>
      <c r="R11" s="408">
        <f>IF($B11="","",IF(INDEX(BDHKI,MATCH(DiemHKII!$C11,DiemHKI!$DI$4:$DI$58,0),R$67)&lt;&gt;"",INDEX(BDHKI,MATCH(DiemHKII!$C11,DiemHKI!$DI$4:$DI$58,0),R$67),""))</f>
        <v>9.6</v>
      </c>
      <c r="S11" s="408" t="str">
        <f t="shared" si="1"/>
        <v/>
      </c>
      <c r="T11" s="409" t="str">
        <f t="shared" si="2"/>
        <v/>
      </c>
      <c r="U11" s="172"/>
      <c r="V11" s="170"/>
      <c r="W11" s="170"/>
      <c r="X11" s="550"/>
      <c r="Y11" s="173"/>
      <c r="Z11" s="172"/>
      <c r="AA11" s="433">
        <f>IF($B11="","",IF(INDEX(BDHKI,MATCH(DiemHKII!$C11,DiemHKI!$DI$4:$DI$58,0),AA$67)&lt;&gt;"",INDEX(BDHKI,MATCH(DiemHKII!$C11,DiemHKI!$DI$4:$DI$58,0),AA$67),""))</f>
        <v>9.6</v>
      </c>
      <c r="AB11" s="433" t="str">
        <f t="shared" si="3"/>
        <v/>
      </c>
      <c r="AC11" s="434" t="str">
        <f t="shared" si="4"/>
        <v/>
      </c>
      <c r="AD11" s="172"/>
      <c r="AE11" s="170"/>
      <c r="AF11" s="170"/>
      <c r="AG11" s="550"/>
      <c r="AH11" s="173"/>
      <c r="AI11" s="172"/>
      <c r="AJ11" s="408">
        <f>IF($B11="","",IF(INDEX(BDHKI,MATCH(DiemHKII!$C11,DiemHKI!$DI$4:$DI$58,0),AJ$67)&lt;&gt;"",INDEX(BDHKI,MATCH(DiemHKII!$C11,DiemHKI!$DI$4:$DI$58,0),AJ$67),""))</f>
        <v>9.1999999999999993</v>
      </c>
      <c r="AK11" s="408" t="str">
        <f t="shared" si="5"/>
        <v/>
      </c>
      <c r="AL11" s="409" t="str">
        <f t="shared" si="6"/>
        <v/>
      </c>
      <c r="AM11" s="172"/>
      <c r="AN11" s="170"/>
      <c r="AO11" s="170"/>
      <c r="AP11" s="550"/>
      <c r="AQ11" s="173"/>
      <c r="AR11" s="172"/>
      <c r="AS11" s="433">
        <f>IF($B11="","",IF(INDEX(BDHKI,MATCH(DiemHKII!$C11,DiemHKI!$DI$4:$DI$58,0),AS$67)&lt;&gt;"",INDEX(BDHKI,MATCH(DiemHKII!$C11,DiemHKI!$DI$4:$DI$58,0),AS$67),""))</f>
        <v>8.6</v>
      </c>
      <c r="AT11" s="433" t="str">
        <f t="shared" si="7"/>
        <v/>
      </c>
      <c r="AU11" s="434" t="str">
        <f t="shared" si="8"/>
        <v/>
      </c>
      <c r="AV11" s="172"/>
      <c r="AW11" s="170"/>
      <c r="AX11" s="170"/>
      <c r="AY11" s="550"/>
      <c r="AZ11" s="173"/>
      <c r="BA11" s="172"/>
      <c r="BB11" s="408">
        <f>IF($B11="","",IF(INDEX(BDHKI,MATCH(DiemHKII!$C11,DiemHKI!$DI$4:$DI$58,0),BB$67)&lt;&gt;"",INDEX(BDHKI,MATCH(DiemHKII!$C11,DiemHKI!$DI$4:$DI$58,0),BB$67),""))</f>
        <v>9.6</v>
      </c>
      <c r="BC11" s="408" t="str">
        <f t="shared" si="9"/>
        <v/>
      </c>
      <c r="BD11" s="409" t="str">
        <f t="shared" si="10"/>
        <v/>
      </c>
      <c r="BE11" s="172"/>
      <c r="BF11" s="170"/>
      <c r="BG11" s="170"/>
      <c r="BH11" s="550"/>
      <c r="BI11" s="173"/>
      <c r="BJ11" s="172"/>
      <c r="BK11" s="433">
        <f>IF($B11="","",IF(INDEX(BDHKI,MATCH(DiemHKII!$C11,DiemHKI!$DI$4:$DI$58,0),BK$67)&lt;&gt;"",INDEX(BDHKI,MATCH(DiemHKII!$C11,DiemHKI!$DI$4:$DI$58,0),BK$67),""))</f>
        <v>7.3</v>
      </c>
      <c r="BL11" s="433" t="str">
        <f t="shared" si="11"/>
        <v/>
      </c>
      <c r="BM11" s="434" t="str">
        <f t="shared" si="12"/>
        <v/>
      </c>
      <c r="BN11" s="172"/>
      <c r="BO11" s="170"/>
      <c r="BP11" s="170"/>
      <c r="BQ11" s="550"/>
      <c r="BR11" s="173"/>
      <c r="BS11" s="172"/>
      <c r="BT11" s="408">
        <f>IF($B11="","",IF(INDEX(BDHKI,MATCH(DiemHKII!$C11,DiemHKI!$DI$4:$DI$58,0),BT$67)&lt;&gt;"",INDEX(BDHKI,MATCH(DiemHKII!$C11,DiemHKI!$DI$4:$DI$58,0),BT$67),""))</f>
        <v>9.6</v>
      </c>
      <c r="BU11" s="408" t="str">
        <f t="shared" si="13"/>
        <v/>
      </c>
      <c r="BV11" s="409" t="str">
        <f t="shared" si="14"/>
        <v/>
      </c>
      <c r="BW11" s="172"/>
      <c r="BX11" s="170"/>
      <c r="BY11" s="170"/>
      <c r="BZ11" s="550"/>
      <c r="CA11" s="173"/>
      <c r="CB11" s="172"/>
      <c r="CC11" s="408">
        <f>IF($B11="","",IF(INDEX(BDHKI,MATCH(DiemHKII!$C11,DiemHKI!$DI$4:$DI$58,0),CC$67)&lt;&gt;"",INDEX(BDHKI,MATCH(DiemHKII!$C11,DiemHKI!$DI$4:$DI$58,0),CC$67),""))</f>
        <v>9.8000000000000007</v>
      </c>
      <c r="CD11" s="408" t="str">
        <f t="shared" si="15"/>
        <v/>
      </c>
      <c r="CE11" s="409" t="str">
        <f t="shared" si="16"/>
        <v/>
      </c>
      <c r="CF11" s="172"/>
      <c r="CG11" s="170"/>
      <c r="CH11" s="170"/>
      <c r="CI11" s="550"/>
      <c r="CJ11" s="173"/>
      <c r="CK11" s="172"/>
      <c r="CL11" s="433">
        <f>IF($B11="","",IF(INDEX(BDHKI,MATCH(DiemHKII!$C11,DiemHKI!$DI$4:$DI$58,0),CL$67)&lt;&gt;"",INDEX(BDHKI,MATCH(DiemHKII!$C11,DiemHKI!$DI$4:$DI$58,0),CL$67),""))</f>
        <v>9.4</v>
      </c>
      <c r="CM11" s="433" t="str">
        <f t="shared" si="17"/>
        <v/>
      </c>
      <c r="CN11" s="434" t="str">
        <f t="shared" si="18"/>
        <v/>
      </c>
      <c r="CO11" s="172"/>
      <c r="CP11" s="170"/>
      <c r="CQ11" s="170"/>
      <c r="CR11" s="550"/>
      <c r="CS11" s="173"/>
      <c r="CT11" s="172"/>
      <c r="CU11" s="408">
        <f>IF($B11="","",IF(INDEX(BDHKI,MATCH(DiemHKII!$C11,DiemHKI!$DI$4:$DI$58,0),CU$67)&lt;&gt;"",INDEX(BDHKI,MATCH(DiemHKII!$C11,DiemHKI!$DI$4:$DI$58,0),CU$67),""))</f>
        <v>9.1</v>
      </c>
      <c r="CV11" s="408" t="str">
        <f t="shared" si="19"/>
        <v/>
      </c>
      <c r="CW11" s="409" t="str">
        <f t="shared" si="20"/>
        <v/>
      </c>
      <c r="CX11" s="172"/>
      <c r="CY11" s="170"/>
      <c r="CZ11" s="170"/>
      <c r="DA11" s="550"/>
      <c r="DB11" s="173"/>
      <c r="DC11" s="172"/>
      <c r="DD11" s="433">
        <f>IF($B11="","",IF(INDEX(BDHKI,MATCH(DiemHKII!$C11,DiemHKI!$DI$4:$DI$58,0),DD$67)&lt;&gt;"",INDEX(BDHKI,MATCH(DiemHKII!$C11,DiemHKI!$DI$4:$DI$58,0),DD$67),""))</f>
        <v>9.9</v>
      </c>
      <c r="DE11" s="433" t="str">
        <f t="shared" si="21"/>
        <v/>
      </c>
      <c r="DF11" s="434" t="str">
        <f t="shared" si="22"/>
        <v/>
      </c>
      <c r="DG11" s="174"/>
      <c r="DH11" s="175"/>
      <c r="DI11" s="175"/>
      <c r="DJ11" s="176"/>
      <c r="DK11" s="177"/>
      <c r="DL11" s="178"/>
      <c r="DM11" s="532" t="str">
        <f>IF($B11="","",IF(INDEX(BDHKI,MATCH(DiemHKII!$C11,DiemHKI!$DI$4:$DI$58,0),DM$67)&lt;&gt;"",INDEX(BDHKI,MATCH(DiemHKII!$C11,DiemHKI!$DI$4:$DI$58,0),DM$67),""))</f>
        <v>Đ</v>
      </c>
      <c r="DN11" s="532" t="str">
        <f t="shared" si="23"/>
        <v/>
      </c>
      <c r="DO11" s="532" t="str">
        <f t="shared" si="24"/>
        <v>Đ</v>
      </c>
      <c r="DP11" s="172"/>
      <c r="DQ11" s="170"/>
      <c r="DR11" s="170"/>
      <c r="DS11" s="550"/>
      <c r="DT11" s="173"/>
      <c r="DU11" s="172"/>
      <c r="DV11" s="433">
        <f>IF($B11="","",IF(INDEX(BDHKI,MATCH(DiemHKII!$C11,DiemHKI!$DI$4:$DI$58,0),DV$67)&lt;&gt;"",INDEX(BDHKI,MATCH(DiemHKII!$C11,DiemHKI!$DI$4:$DI$58,0),DV$67),""))</f>
        <v>9.9</v>
      </c>
      <c r="DW11" s="433" t="str">
        <f t="shared" si="25"/>
        <v/>
      </c>
      <c r="DX11" s="434" t="str">
        <f t="shared" si="26"/>
        <v/>
      </c>
      <c r="DY11" s="172"/>
      <c r="DZ11" s="170"/>
      <c r="EA11" s="170"/>
      <c r="EB11" s="550"/>
      <c r="EC11" s="173"/>
      <c r="ED11" s="172"/>
      <c r="EE11" s="408" t="str">
        <f>IF($B11="","",IF(INDEX(BDHKI,MATCH(DiemHKII!$C11,DiemHKI!$DI$4:$DI$58,0),EE$67)&lt;&gt;"",INDEX(BDHKI,MATCH(DiemHKII!$C11,DiemHKI!$DI$4:$DI$58,0),EE$67),""))</f>
        <v/>
      </c>
      <c r="EF11" s="408" t="str">
        <f t="shared" si="27"/>
        <v/>
      </c>
      <c r="EG11" s="409" t="str">
        <f t="shared" si="28"/>
        <v/>
      </c>
      <c r="EH11" s="162"/>
      <c r="EI11" s="163"/>
      <c r="EJ11" s="164"/>
      <c r="EK11" s="165"/>
    </row>
    <row r="12" spans="1:141" s="30" customFormat="1" ht="15.9" customHeight="1">
      <c r="A12" s="407"/>
      <c r="B12" s="99">
        <f>IF(D12&lt;&gt;"",MAX($B$4:B11)+1,"")</f>
        <v>9</v>
      </c>
      <c r="C12" s="339" t="str">
        <f t="shared" si="0"/>
        <v>12A1Nguyễn ThanhDuyên16/11/2004</v>
      </c>
      <c r="D12" s="166" t="s">
        <v>681</v>
      </c>
      <c r="E12" s="167" t="s">
        <v>708</v>
      </c>
      <c r="F12" s="168" t="s">
        <v>709</v>
      </c>
      <c r="G12" s="163" t="s">
        <v>710</v>
      </c>
      <c r="H12" s="163"/>
      <c r="I12" s="549"/>
      <c r="J12" s="166"/>
      <c r="K12" s="166"/>
      <c r="L12" s="172"/>
      <c r="M12" s="170"/>
      <c r="N12" s="170"/>
      <c r="O12" s="550"/>
      <c r="P12" s="173"/>
      <c r="Q12" s="172"/>
      <c r="R12" s="408">
        <f>IF($B12="","",IF(INDEX(BDHKI,MATCH(DiemHKII!$C12,DiemHKI!$DI$4:$DI$58,0),R$67)&lt;&gt;"",INDEX(BDHKI,MATCH(DiemHKII!$C12,DiemHKI!$DI$4:$DI$58,0),R$67),""))</f>
        <v>9.4</v>
      </c>
      <c r="S12" s="408" t="str">
        <f t="shared" si="1"/>
        <v/>
      </c>
      <c r="T12" s="409" t="str">
        <f t="shared" si="2"/>
        <v/>
      </c>
      <c r="U12" s="172"/>
      <c r="V12" s="170"/>
      <c r="W12" s="170"/>
      <c r="X12" s="550"/>
      <c r="Y12" s="173"/>
      <c r="Z12" s="172"/>
      <c r="AA12" s="433">
        <f>IF($B12="","",IF(INDEX(BDHKI,MATCH(DiemHKII!$C12,DiemHKI!$DI$4:$DI$58,0),AA$67)&lt;&gt;"",INDEX(BDHKI,MATCH(DiemHKII!$C12,DiemHKI!$DI$4:$DI$58,0),AA$67),""))</f>
        <v>9.8000000000000007</v>
      </c>
      <c r="AB12" s="433" t="str">
        <f t="shared" si="3"/>
        <v/>
      </c>
      <c r="AC12" s="434" t="str">
        <f t="shared" si="4"/>
        <v/>
      </c>
      <c r="AD12" s="172"/>
      <c r="AE12" s="170"/>
      <c r="AF12" s="170"/>
      <c r="AG12" s="550"/>
      <c r="AH12" s="173"/>
      <c r="AI12" s="172"/>
      <c r="AJ12" s="408">
        <f>IF($B12="","",IF(INDEX(BDHKI,MATCH(DiemHKII!$C12,DiemHKI!$DI$4:$DI$58,0),AJ$67)&lt;&gt;"",INDEX(BDHKI,MATCH(DiemHKII!$C12,DiemHKI!$DI$4:$DI$58,0),AJ$67),""))</f>
        <v>9.5</v>
      </c>
      <c r="AK12" s="408" t="str">
        <f t="shared" si="5"/>
        <v/>
      </c>
      <c r="AL12" s="409" t="str">
        <f t="shared" si="6"/>
        <v/>
      </c>
      <c r="AM12" s="172"/>
      <c r="AN12" s="170"/>
      <c r="AO12" s="170"/>
      <c r="AP12" s="550"/>
      <c r="AQ12" s="173"/>
      <c r="AR12" s="172"/>
      <c r="AS12" s="433">
        <f>IF($B12="","",IF(INDEX(BDHKI,MATCH(DiemHKII!$C12,DiemHKI!$DI$4:$DI$58,0),AS$67)&lt;&gt;"",INDEX(BDHKI,MATCH(DiemHKII!$C12,DiemHKI!$DI$4:$DI$58,0),AS$67),""))</f>
        <v>9.5</v>
      </c>
      <c r="AT12" s="433" t="str">
        <f t="shared" si="7"/>
        <v/>
      </c>
      <c r="AU12" s="434" t="str">
        <f t="shared" si="8"/>
        <v/>
      </c>
      <c r="AV12" s="172"/>
      <c r="AW12" s="170"/>
      <c r="AX12" s="170"/>
      <c r="AY12" s="550"/>
      <c r="AZ12" s="173"/>
      <c r="BA12" s="172"/>
      <c r="BB12" s="408">
        <f>IF($B12="","",IF(INDEX(BDHKI,MATCH(DiemHKII!$C12,DiemHKI!$DI$4:$DI$58,0),BB$67)&lt;&gt;"",INDEX(BDHKI,MATCH(DiemHKII!$C12,DiemHKI!$DI$4:$DI$58,0),BB$67),""))</f>
        <v>9.8000000000000007</v>
      </c>
      <c r="BC12" s="408" t="str">
        <f t="shared" si="9"/>
        <v/>
      </c>
      <c r="BD12" s="409" t="str">
        <f t="shared" si="10"/>
        <v/>
      </c>
      <c r="BE12" s="172"/>
      <c r="BF12" s="170"/>
      <c r="BG12" s="170"/>
      <c r="BH12" s="550"/>
      <c r="BI12" s="173"/>
      <c r="BJ12" s="172"/>
      <c r="BK12" s="433">
        <f>IF($B12="","",IF(INDEX(BDHKI,MATCH(DiemHKII!$C12,DiemHKI!$DI$4:$DI$58,0),BK$67)&lt;&gt;"",INDEX(BDHKI,MATCH(DiemHKII!$C12,DiemHKI!$DI$4:$DI$58,0),BK$67),""))</f>
        <v>7.6</v>
      </c>
      <c r="BL12" s="433" t="str">
        <f t="shared" si="11"/>
        <v/>
      </c>
      <c r="BM12" s="434" t="str">
        <f t="shared" si="12"/>
        <v/>
      </c>
      <c r="BN12" s="172"/>
      <c r="BO12" s="170"/>
      <c r="BP12" s="170"/>
      <c r="BQ12" s="550"/>
      <c r="BR12" s="173"/>
      <c r="BS12" s="172"/>
      <c r="BT12" s="408">
        <f>IF($B12="","",IF(INDEX(BDHKI,MATCH(DiemHKII!$C12,DiemHKI!$DI$4:$DI$58,0),BT$67)&lt;&gt;"",INDEX(BDHKI,MATCH(DiemHKII!$C12,DiemHKI!$DI$4:$DI$58,0),BT$67),""))</f>
        <v>9.6</v>
      </c>
      <c r="BU12" s="408" t="str">
        <f t="shared" si="13"/>
        <v/>
      </c>
      <c r="BV12" s="409" t="str">
        <f t="shared" si="14"/>
        <v/>
      </c>
      <c r="BW12" s="172"/>
      <c r="BX12" s="170"/>
      <c r="BY12" s="170"/>
      <c r="BZ12" s="550"/>
      <c r="CA12" s="173"/>
      <c r="CB12" s="172"/>
      <c r="CC12" s="408">
        <f>IF($B12="","",IF(INDEX(BDHKI,MATCH(DiemHKII!$C12,DiemHKI!$DI$4:$DI$58,0),CC$67)&lt;&gt;"",INDEX(BDHKI,MATCH(DiemHKII!$C12,DiemHKI!$DI$4:$DI$58,0),CC$67),""))</f>
        <v>9.6</v>
      </c>
      <c r="CD12" s="408" t="str">
        <f t="shared" si="15"/>
        <v/>
      </c>
      <c r="CE12" s="409" t="str">
        <f t="shared" si="16"/>
        <v/>
      </c>
      <c r="CF12" s="172"/>
      <c r="CG12" s="170"/>
      <c r="CH12" s="170"/>
      <c r="CI12" s="550"/>
      <c r="CJ12" s="173"/>
      <c r="CK12" s="172"/>
      <c r="CL12" s="433">
        <f>IF($B12="","",IF(INDEX(BDHKI,MATCH(DiemHKII!$C12,DiemHKI!$DI$4:$DI$58,0),CL$67)&lt;&gt;"",INDEX(BDHKI,MATCH(DiemHKII!$C12,DiemHKI!$DI$4:$DI$58,0),CL$67),""))</f>
        <v>9.8000000000000007</v>
      </c>
      <c r="CM12" s="433" t="str">
        <f t="shared" si="17"/>
        <v/>
      </c>
      <c r="CN12" s="434" t="str">
        <f t="shared" si="18"/>
        <v/>
      </c>
      <c r="CO12" s="172"/>
      <c r="CP12" s="170"/>
      <c r="CQ12" s="170"/>
      <c r="CR12" s="550"/>
      <c r="CS12" s="173"/>
      <c r="CT12" s="172"/>
      <c r="CU12" s="408">
        <f>IF($B12="","",IF(INDEX(BDHKI,MATCH(DiemHKII!$C12,DiemHKI!$DI$4:$DI$58,0),CU$67)&lt;&gt;"",INDEX(BDHKI,MATCH(DiemHKII!$C12,DiemHKI!$DI$4:$DI$58,0),CU$67),""))</f>
        <v>9.1</v>
      </c>
      <c r="CV12" s="408" t="str">
        <f t="shared" si="19"/>
        <v/>
      </c>
      <c r="CW12" s="409" t="str">
        <f t="shared" si="20"/>
        <v/>
      </c>
      <c r="CX12" s="172"/>
      <c r="CY12" s="170"/>
      <c r="CZ12" s="170"/>
      <c r="DA12" s="550"/>
      <c r="DB12" s="173"/>
      <c r="DC12" s="172"/>
      <c r="DD12" s="433">
        <f>IF($B12="","",IF(INDEX(BDHKI,MATCH(DiemHKII!$C12,DiemHKI!$DI$4:$DI$58,0),DD$67)&lt;&gt;"",INDEX(BDHKI,MATCH(DiemHKII!$C12,DiemHKI!$DI$4:$DI$58,0),DD$67),""))</f>
        <v>9.9</v>
      </c>
      <c r="DE12" s="433" t="str">
        <f t="shared" si="21"/>
        <v/>
      </c>
      <c r="DF12" s="434" t="str">
        <f t="shared" si="22"/>
        <v/>
      </c>
      <c r="DG12" s="206"/>
      <c r="DH12" s="207"/>
      <c r="DI12" s="207"/>
      <c r="DJ12" s="208"/>
      <c r="DK12" s="209"/>
      <c r="DL12" s="178"/>
      <c r="DM12" s="532" t="str">
        <f>IF($B12="","",IF(INDEX(BDHKI,MATCH(DiemHKII!$C12,DiemHKI!$DI$4:$DI$58,0),DM$67)&lt;&gt;"",INDEX(BDHKI,MATCH(DiemHKII!$C12,DiemHKI!$DI$4:$DI$58,0),DM$67),""))</f>
        <v>Đ</v>
      </c>
      <c r="DN12" s="532" t="str">
        <f t="shared" si="23"/>
        <v/>
      </c>
      <c r="DO12" s="532" t="str">
        <f t="shared" si="24"/>
        <v>Đ</v>
      </c>
      <c r="DP12" s="172"/>
      <c r="DQ12" s="170"/>
      <c r="DR12" s="170"/>
      <c r="DS12" s="550"/>
      <c r="DT12" s="173"/>
      <c r="DU12" s="172"/>
      <c r="DV12" s="433">
        <f>IF($B12="","",IF(INDEX(BDHKI,MATCH(DiemHKII!$C12,DiemHKI!$DI$4:$DI$58,0),DV$67)&lt;&gt;"",INDEX(BDHKI,MATCH(DiemHKII!$C12,DiemHKI!$DI$4:$DI$58,0),DV$67),""))</f>
        <v>9.9</v>
      </c>
      <c r="DW12" s="433" t="str">
        <f t="shared" si="25"/>
        <v/>
      </c>
      <c r="DX12" s="434" t="str">
        <f t="shared" si="26"/>
        <v/>
      </c>
      <c r="DY12" s="172"/>
      <c r="DZ12" s="170"/>
      <c r="EA12" s="170"/>
      <c r="EB12" s="550"/>
      <c r="EC12" s="173"/>
      <c r="ED12" s="172"/>
      <c r="EE12" s="408" t="str">
        <f>IF($B12="","",IF(INDEX(BDHKI,MATCH(DiemHKII!$C12,DiemHKI!$DI$4:$DI$58,0),EE$67)&lt;&gt;"",INDEX(BDHKI,MATCH(DiemHKII!$C12,DiemHKI!$DI$4:$DI$58,0),EE$67),""))</f>
        <v/>
      </c>
      <c r="EF12" s="408" t="str">
        <f t="shared" si="27"/>
        <v/>
      </c>
      <c r="EG12" s="409" t="str">
        <f t="shared" si="28"/>
        <v/>
      </c>
      <c r="EH12" s="162"/>
      <c r="EI12" s="163"/>
      <c r="EJ12" s="164"/>
      <c r="EK12" s="165"/>
    </row>
    <row r="13" spans="1:141" s="30" customFormat="1" ht="15.9" customHeight="1">
      <c r="A13" s="407"/>
      <c r="B13" s="105">
        <f>IF(D13&lt;&gt;"",MAX($B$4:B12)+1,"")</f>
        <v>10</v>
      </c>
      <c r="C13" s="340" t="str">
        <f t="shared" si="0"/>
        <v>12A1Trương ĐắcĐiền08/05/2004</v>
      </c>
      <c r="D13" s="179" t="s">
        <v>681</v>
      </c>
      <c r="E13" s="180" t="s">
        <v>711</v>
      </c>
      <c r="F13" s="181" t="s">
        <v>712</v>
      </c>
      <c r="G13" s="182" t="s">
        <v>713</v>
      </c>
      <c r="H13" s="182"/>
      <c r="I13" s="551"/>
      <c r="J13" s="179"/>
      <c r="K13" s="179"/>
      <c r="L13" s="187"/>
      <c r="M13" s="185"/>
      <c r="N13" s="185"/>
      <c r="O13" s="552"/>
      <c r="P13" s="188"/>
      <c r="Q13" s="187"/>
      <c r="R13" s="410">
        <f>IF($B13="","",IF(INDEX(BDHKI,MATCH(DiemHKII!$C13,DiemHKI!$DI$4:$DI$58,0),R$67)&lt;&gt;"",INDEX(BDHKI,MATCH(DiemHKII!$C13,DiemHKI!$DI$4:$DI$58,0),R$67),""))</f>
        <v>9.4</v>
      </c>
      <c r="S13" s="410" t="str">
        <f t="shared" si="1"/>
        <v/>
      </c>
      <c r="T13" s="411" t="str">
        <f t="shared" si="2"/>
        <v/>
      </c>
      <c r="U13" s="187"/>
      <c r="V13" s="185"/>
      <c r="W13" s="185"/>
      <c r="X13" s="552"/>
      <c r="Y13" s="188"/>
      <c r="Z13" s="187"/>
      <c r="AA13" s="435">
        <f>IF($B13="","",IF(INDEX(BDHKI,MATCH(DiemHKII!$C13,DiemHKI!$DI$4:$DI$58,0),AA$67)&lt;&gt;"",INDEX(BDHKI,MATCH(DiemHKII!$C13,DiemHKI!$DI$4:$DI$58,0),AA$67),""))</f>
        <v>9.5</v>
      </c>
      <c r="AB13" s="435" t="str">
        <f t="shared" si="3"/>
        <v/>
      </c>
      <c r="AC13" s="436" t="str">
        <f t="shared" si="4"/>
        <v/>
      </c>
      <c r="AD13" s="187"/>
      <c r="AE13" s="185"/>
      <c r="AF13" s="185"/>
      <c r="AG13" s="552"/>
      <c r="AH13" s="188"/>
      <c r="AI13" s="187"/>
      <c r="AJ13" s="410">
        <f>IF($B13="","",IF(INDEX(BDHKI,MATCH(DiemHKII!$C13,DiemHKI!$DI$4:$DI$58,0),AJ$67)&lt;&gt;"",INDEX(BDHKI,MATCH(DiemHKII!$C13,DiemHKI!$DI$4:$DI$58,0),AJ$67),""))</f>
        <v>9.6</v>
      </c>
      <c r="AK13" s="410" t="str">
        <f t="shared" si="5"/>
        <v/>
      </c>
      <c r="AL13" s="411" t="str">
        <f t="shared" si="6"/>
        <v/>
      </c>
      <c r="AM13" s="187"/>
      <c r="AN13" s="185"/>
      <c r="AO13" s="185"/>
      <c r="AP13" s="552"/>
      <c r="AQ13" s="188"/>
      <c r="AR13" s="187"/>
      <c r="AS13" s="435">
        <f>IF($B13="","",IF(INDEX(BDHKI,MATCH(DiemHKII!$C13,DiemHKI!$DI$4:$DI$58,0),AS$67)&lt;&gt;"",INDEX(BDHKI,MATCH(DiemHKII!$C13,DiemHKI!$DI$4:$DI$58,0),AS$67),""))</f>
        <v>9.1</v>
      </c>
      <c r="AT13" s="435" t="str">
        <f t="shared" si="7"/>
        <v/>
      </c>
      <c r="AU13" s="436" t="str">
        <f t="shared" si="8"/>
        <v/>
      </c>
      <c r="AV13" s="187"/>
      <c r="AW13" s="185"/>
      <c r="AX13" s="185"/>
      <c r="AY13" s="552"/>
      <c r="AZ13" s="188"/>
      <c r="BA13" s="187"/>
      <c r="BB13" s="410">
        <f>IF($B13="","",IF(INDEX(BDHKI,MATCH(DiemHKII!$C13,DiemHKI!$DI$4:$DI$58,0),BB$67)&lt;&gt;"",INDEX(BDHKI,MATCH(DiemHKII!$C13,DiemHKI!$DI$4:$DI$58,0),BB$67),""))</f>
        <v>9.6</v>
      </c>
      <c r="BC13" s="410" t="str">
        <f t="shared" si="9"/>
        <v/>
      </c>
      <c r="BD13" s="411" t="str">
        <f t="shared" si="10"/>
        <v/>
      </c>
      <c r="BE13" s="187"/>
      <c r="BF13" s="185"/>
      <c r="BG13" s="185"/>
      <c r="BH13" s="552"/>
      <c r="BI13" s="188"/>
      <c r="BJ13" s="187"/>
      <c r="BK13" s="435">
        <f>IF($B13="","",IF(INDEX(BDHKI,MATCH(DiemHKII!$C13,DiemHKI!$DI$4:$DI$58,0),BK$67)&lt;&gt;"",INDEX(BDHKI,MATCH(DiemHKII!$C13,DiemHKI!$DI$4:$DI$58,0),BK$67),""))</f>
        <v>7.8</v>
      </c>
      <c r="BL13" s="435" t="str">
        <f t="shared" si="11"/>
        <v/>
      </c>
      <c r="BM13" s="436" t="str">
        <f t="shared" si="12"/>
        <v/>
      </c>
      <c r="BN13" s="187"/>
      <c r="BO13" s="185"/>
      <c r="BP13" s="185"/>
      <c r="BQ13" s="552"/>
      <c r="BR13" s="188"/>
      <c r="BS13" s="187"/>
      <c r="BT13" s="410">
        <f>IF($B13="","",IF(INDEX(BDHKI,MATCH(DiemHKII!$C13,DiemHKI!$DI$4:$DI$58,0),BT$67)&lt;&gt;"",INDEX(BDHKI,MATCH(DiemHKII!$C13,DiemHKI!$DI$4:$DI$58,0),BT$67),""))</f>
        <v>9.8000000000000007</v>
      </c>
      <c r="BU13" s="410" t="str">
        <f t="shared" si="13"/>
        <v/>
      </c>
      <c r="BV13" s="411" t="str">
        <f t="shared" si="14"/>
        <v/>
      </c>
      <c r="BW13" s="187"/>
      <c r="BX13" s="185"/>
      <c r="BY13" s="185"/>
      <c r="BZ13" s="552"/>
      <c r="CA13" s="188"/>
      <c r="CB13" s="187"/>
      <c r="CC13" s="410">
        <f>IF($B13="","",IF(INDEX(BDHKI,MATCH(DiemHKII!$C13,DiemHKI!$DI$4:$DI$58,0),CC$67)&lt;&gt;"",INDEX(BDHKI,MATCH(DiemHKII!$C13,DiemHKI!$DI$4:$DI$58,0),CC$67),""))</f>
        <v>9.9</v>
      </c>
      <c r="CD13" s="410" t="str">
        <f t="shared" si="15"/>
        <v/>
      </c>
      <c r="CE13" s="411" t="str">
        <f t="shared" si="16"/>
        <v/>
      </c>
      <c r="CF13" s="187"/>
      <c r="CG13" s="185"/>
      <c r="CH13" s="185"/>
      <c r="CI13" s="552"/>
      <c r="CJ13" s="188"/>
      <c r="CK13" s="187"/>
      <c r="CL13" s="435">
        <f>IF($B13="","",IF(INDEX(BDHKI,MATCH(DiemHKII!$C13,DiemHKI!$DI$4:$DI$58,0),CL$67)&lt;&gt;"",INDEX(BDHKI,MATCH(DiemHKII!$C13,DiemHKI!$DI$4:$DI$58,0),CL$67),""))</f>
        <v>9.3000000000000007</v>
      </c>
      <c r="CM13" s="435" t="str">
        <f t="shared" si="17"/>
        <v/>
      </c>
      <c r="CN13" s="436" t="str">
        <f t="shared" si="18"/>
        <v/>
      </c>
      <c r="CO13" s="187"/>
      <c r="CP13" s="185"/>
      <c r="CQ13" s="185"/>
      <c r="CR13" s="552"/>
      <c r="CS13" s="188"/>
      <c r="CT13" s="187"/>
      <c r="CU13" s="410">
        <f>IF($B13="","",IF(INDEX(BDHKI,MATCH(DiemHKII!$C13,DiemHKI!$DI$4:$DI$58,0),CU$67)&lt;&gt;"",INDEX(BDHKI,MATCH(DiemHKII!$C13,DiemHKI!$DI$4:$DI$58,0),CU$67),""))</f>
        <v>9.5</v>
      </c>
      <c r="CV13" s="410" t="str">
        <f t="shared" si="19"/>
        <v/>
      </c>
      <c r="CW13" s="411" t="str">
        <f t="shared" si="20"/>
        <v/>
      </c>
      <c r="CX13" s="187"/>
      <c r="CY13" s="185"/>
      <c r="CZ13" s="185"/>
      <c r="DA13" s="552"/>
      <c r="DB13" s="188"/>
      <c r="DC13" s="187"/>
      <c r="DD13" s="435">
        <f>IF($B13="","",IF(INDEX(BDHKI,MATCH(DiemHKII!$C13,DiemHKI!$DI$4:$DI$58,0),DD$67)&lt;&gt;"",INDEX(BDHKI,MATCH(DiemHKII!$C13,DiemHKI!$DI$4:$DI$58,0),DD$67),""))</f>
        <v>9.6</v>
      </c>
      <c r="DE13" s="435" t="str">
        <f t="shared" si="21"/>
        <v/>
      </c>
      <c r="DF13" s="436" t="str">
        <f t="shared" si="22"/>
        <v/>
      </c>
      <c r="DG13" s="213"/>
      <c r="DH13" s="214"/>
      <c r="DI13" s="214"/>
      <c r="DJ13" s="215"/>
      <c r="DK13" s="216"/>
      <c r="DL13" s="193"/>
      <c r="DM13" s="533" t="str">
        <f>IF($B13="","",IF(INDEX(BDHKI,MATCH(DiemHKII!$C13,DiemHKI!$DI$4:$DI$58,0),DM$67)&lt;&gt;"",INDEX(BDHKI,MATCH(DiemHKII!$C13,DiemHKI!$DI$4:$DI$58,0),DM$67),""))</f>
        <v>Đ</v>
      </c>
      <c r="DN13" s="533" t="str">
        <f t="shared" si="23"/>
        <v/>
      </c>
      <c r="DO13" s="533" t="str">
        <f t="shared" si="24"/>
        <v>Đ</v>
      </c>
      <c r="DP13" s="187"/>
      <c r="DQ13" s="185"/>
      <c r="DR13" s="185"/>
      <c r="DS13" s="552"/>
      <c r="DT13" s="188"/>
      <c r="DU13" s="187"/>
      <c r="DV13" s="435">
        <f>IF($B13="","",IF(INDEX(BDHKI,MATCH(DiemHKII!$C13,DiemHKI!$DI$4:$DI$58,0),DV$67)&lt;&gt;"",INDEX(BDHKI,MATCH(DiemHKII!$C13,DiemHKI!$DI$4:$DI$58,0),DV$67),""))</f>
        <v>9.9</v>
      </c>
      <c r="DW13" s="435" t="str">
        <f t="shared" si="25"/>
        <v/>
      </c>
      <c r="DX13" s="436" t="str">
        <f t="shared" si="26"/>
        <v/>
      </c>
      <c r="DY13" s="187"/>
      <c r="DZ13" s="185"/>
      <c r="EA13" s="185"/>
      <c r="EB13" s="552"/>
      <c r="EC13" s="188"/>
      <c r="ED13" s="187"/>
      <c r="EE13" s="410" t="str">
        <f>IF($B13="","",IF(INDEX(BDHKI,MATCH(DiemHKII!$C13,DiemHKI!$DI$4:$DI$58,0),EE$67)&lt;&gt;"",INDEX(BDHKI,MATCH(DiemHKII!$C13,DiemHKI!$DI$4:$DI$58,0),EE$67),""))</f>
        <v/>
      </c>
      <c r="EF13" s="410" t="str">
        <f t="shared" si="27"/>
        <v/>
      </c>
      <c r="EG13" s="411" t="str">
        <f t="shared" si="28"/>
        <v/>
      </c>
      <c r="EH13" s="194"/>
      <c r="EI13" s="182"/>
      <c r="EJ13" s="183"/>
      <c r="EK13" s="195"/>
    </row>
    <row r="14" spans="1:141" s="30" customFormat="1" ht="15.9" customHeight="1">
      <c r="A14" s="407"/>
      <c r="B14" s="111">
        <f>IF(D14&lt;&gt;"",MAX($B$4:B13)+1,"")</f>
        <v>11</v>
      </c>
      <c r="C14" s="341" t="str">
        <f t="shared" si="0"/>
        <v>12A1Hồ NgọcHải25/10/2004</v>
      </c>
      <c r="D14" s="196" t="s">
        <v>681</v>
      </c>
      <c r="E14" s="197" t="s">
        <v>714</v>
      </c>
      <c r="F14" s="198" t="s">
        <v>715</v>
      </c>
      <c r="G14" s="199" t="s">
        <v>716</v>
      </c>
      <c r="H14" s="199"/>
      <c r="I14" s="553"/>
      <c r="J14" s="196"/>
      <c r="K14" s="196"/>
      <c r="L14" s="204"/>
      <c r="M14" s="202"/>
      <c r="N14" s="202"/>
      <c r="O14" s="554"/>
      <c r="P14" s="205"/>
      <c r="Q14" s="204"/>
      <c r="R14" s="412">
        <f>IF($B14="","",IF(INDEX(BDHKI,MATCH(DiemHKII!$C14,DiemHKI!$DI$4:$DI$58,0),R$67)&lt;&gt;"",INDEX(BDHKI,MATCH(DiemHKII!$C14,DiemHKI!$DI$4:$DI$58,0),R$67),""))</f>
        <v>9.6</v>
      </c>
      <c r="S14" s="412" t="str">
        <f t="shared" si="1"/>
        <v/>
      </c>
      <c r="T14" s="413" t="str">
        <f t="shared" si="2"/>
        <v/>
      </c>
      <c r="U14" s="204"/>
      <c r="V14" s="202"/>
      <c r="W14" s="202"/>
      <c r="X14" s="554"/>
      <c r="Y14" s="205"/>
      <c r="Z14" s="204"/>
      <c r="AA14" s="437">
        <f>IF($B14="","",IF(INDEX(BDHKI,MATCH(DiemHKII!$C14,DiemHKI!$DI$4:$DI$58,0),AA$67)&lt;&gt;"",INDEX(BDHKI,MATCH(DiemHKII!$C14,DiemHKI!$DI$4:$DI$58,0),AA$67),""))</f>
        <v>9.3000000000000007</v>
      </c>
      <c r="AB14" s="437" t="str">
        <f t="shared" si="3"/>
        <v/>
      </c>
      <c r="AC14" s="438" t="str">
        <f t="shared" si="4"/>
        <v/>
      </c>
      <c r="AD14" s="204"/>
      <c r="AE14" s="202"/>
      <c r="AF14" s="202"/>
      <c r="AG14" s="554"/>
      <c r="AH14" s="205"/>
      <c r="AI14" s="204"/>
      <c r="AJ14" s="412">
        <f>IF($B14="","",IF(INDEX(BDHKI,MATCH(DiemHKII!$C14,DiemHKI!$DI$4:$DI$58,0),AJ$67)&lt;&gt;"",INDEX(BDHKI,MATCH(DiemHKII!$C14,DiemHKI!$DI$4:$DI$58,0),AJ$67),""))</f>
        <v>8.9</v>
      </c>
      <c r="AK14" s="412" t="str">
        <f t="shared" si="5"/>
        <v/>
      </c>
      <c r="AL14" s="413" t="str">
        <f t="shared" si="6"/>
        <v/>
      </c>
      <c r="AM14" s="204"/>
      <c r="AN14" s="202"/>
      <c r="AO14" s="202"/>
      <c r="AP14" s="554"/>
      <c r="AQ14" s="205"/>
      <c r="AR14" s="204"/>
      <c r="AS14" s="437">
        <f>IF($B14="","",IF(INDEX(BDHKI,MATCH(DiemHKII!$C14,DiemHKI!$DI$4:$DI$58,0),AS$67)&lt;&gt;"",INDEX(BDHKI,MATCH(DiemHKII!$C14,DiemHKI!$DI$4:$DI$58,0),AS$67),""))</f>
        <v>9.4</v>
      </c>
      <c r="AT14" s="437" t="str">
        <f t="shared" si="7"/>
        <v/>
      </c>
      <c r="AU14" s="438" t="str">
        <f t="shared" si="8"/>
        <v/>
      </c>
      <c r="AV14" s="204"/>
      <c r="AW14" s="202"/>
      <c r="AX14" s="202"/>
      <c r="AY14" s="554"/>
      <c r="AZ14" s="205"/>
      <c r="BA14" s="204"/>
      <c r="BB14" s="412">
        <f>IF($B14="","",IF(INDEX(BDHKI,MATCH(DiemHKII!$C14,DiemHKI!$DI$4:$DI$58,0),BB$67)&lt;&gt;"",INDEX(BDHKI,MATCH(DiemHKII!$C14,DiemHKI!$DI$4:$DI$58,0),BB$67),""))</f>
        <v>9.6</v>
      </c>
      <c r="BC14" s="412" t="str">
        <f t="shared" si="9"/>
        <v/>
      </c>
      <c r="BD14" s="413" t="str">
        <f t="shared" si="10"/>
        <v/>
      </c>
      <c r="BE14" s="204"/>
      <c r="BF14" s="202"/>
      <c r="BG14" s="202"/>
      <c r="BH14" s="554"/>
      <c r="BI14" s="205"/>
      <c r="BJ14" s="204"/>
      <c r="BK14" s="437">
        <f>IF($B14="","",IF(INDEX(BDHKI,MATCH(DiemHKII!$C14,DiemHKI!$DI$4:$DI$58,0),BK$67)&lt;&gt;"",INDEX(BDHKI,MATCH(DiemHKII!$C14,DiemHKI!$DI$4:$DI$58,0),BK$67),""))</f>
        <v>7.1</v>
      </c>
      <c r="BL14" s="437" t="str">
        <f t="shared" si="11"/>
        <v/>
      </c>
      <c r="BM14" s="438" t="str">
        <f t="shared" si="12"/>
        <v/>
      </c>
      <c r="BN14" s="204"/>
      <c r="BO14" s="202"/>
      <c r="BP14" s="202"/>
      <c r="BQ14" s="554"/>
      <c r="BR14" s="205"/>
      <c r="BS14" s="204"/>
      <c r="BT14" s="412">
        <f>IF($B14="","",IF(INDEX(BDHKI,MATCH(DiemHKII!$C14,DiemHKI!$DI$4:$DI$58,0),BT$67)&lt;&gt;"",INDEX(BDHKI,MATCH(DiemHKII!$C14,DiemHKI!$DI$4:$DI$58,0),BT$67),""))</f>
        <v>9.6</v>
      </c>
      <c r="BU14" s="412" t="str">
        <f t="shared" si="13"/>
        <v/>
      </c>
      <c r="BV14" s="413" t="str">
        <f t="shared" si="14"/>
        <v/>
      </c>
      <c r="BW14" s="204"/>
      <c r="BX14" s="202"/>
      <c r="BY14" s="202"/>
      <c r="BZ14" s="554"/>
      <c r="CA14" s="205"/>
      <c r="CB14" s="204"/>
      <c r="CC14" s="412">
        <f>IF($B14="","",IF(INDEX(BDHKI,MATCH(DiemHKII!$C14,DiemHKI!$DI$4:$DI$58,0),CC$67)&lt;&gt;"",INDEX(BDHKI,MATCH(DiemHKII!$C14,DiemHKI!$DI$4:$DI$58,0),CC$67),""))</f>
        <v>9.3000000000000007</v>
      </c>
      <c r="CD14" s="412" t="str">
        <f t="shared" si="15"/>
        <v/>
      </c>
      <c r="CE14" s="413" t="str">
        <f t="shared" si="16"/>
        <v/>
      </c>
      <c r="CF14" s="204"/>
      <c r="CG14" s="202"/>
      <c r="CH14" s="202"/>
      <c r="CI14" s="554"/>
      <c r="CJ14" s="205"/>
      <c r="CK14" s="204"/>
      <c r="CL14" s="437">
        <f>IF($B14="","",IF(INDEX(BDHKI,MATCH(DiemHKII!$C14,DiemHKI!$DI$4:$DI$58,0),CL$67)&lt;&gt;"",INDEX(BDHKI,MATCH(DiemHKII!$C14,DiemHKI!$DI$4:$DI$58,0),CL$67),""))</f>
        <v>9.3000000000000007</v>
      </c>
      <c r="CM14" s="437" t="str">
        <f t="shared" si="17"/>
        <v/>
      </c>
      <c r="CN14" s="438" t="str">
        <f t="shared" si="18"/>
        <v/>
      </c>
      <c r="CO14" s="204"/>
      <c r="CP14" s="202"/>
      <c r="CQ14" s="202"/>
      <c r="CR14" s="554"/>
      <c r="CS14" s="205"/>
      <c r="CT14" s="204"/>
      <c r="CU14" s="412">
        <f>IF($B14="","",IF(INDEX(BDHKI,MATCH(DiemHKII!$C14,DiemHKI!$DI$4:$DI$58,0),CU$67)&lt;&gt;"",INDEX(BDHKI,MATCH(DiemHKII!$C14,DiemHKI!$DI$4:$DI$58,0),CU$67),""))</f>
        <v>9.1</v>
      </c>
      <c r="CV14" s="412" t="str">
        <f t="shared" si="19"/>
        <v/>
      </c>
      <c r="CW14" s="413" t="str">
        <f t="shared" si="20"/>
        <v/>
      </c>
      <c r="CX14" s="204"/>
      <c r="CY14" s="202"/>
      <c r="CZ14" s="202"/>
      <c r="DA14" s="554"/>
      <c r="DB14" s="205"/>
      <c r="DC14" s="204"/>
      <c r="DD14" s="437">
        <f>IF($B14="","",IF(INDEX(BDHKI,MATCH(DiemHKII!$C14,DiemHKI!$DI$4:$DI$58,0),DD$67)&lt;&gt;"",INDEX(BDHKI,MATCH(DiemHKII!$C14,DiemHKI!$DI$4:$DI$58,0),DD$67),""))</f>
        <v>9.9</v>
      </c>
      <c r="DE14" s="437" t="str">
        <f t="shared" si="21"/>
        <v/>
      </c>
      <c r="DF14" s="438" t="str">
        <f t="shared" si="22"/>
        <v/>
      </c>
      <c r="DG14" s="206"/>
      <c r="DH14" s="207"/>
      <c r="DI14" s="207"/>
      <c r="DJ14" s="208"/>
      <c r="DK14" s="209"/>
      <c r="DL14" s="210"/>
      <c r="DM14" s="531" t="str">
        <f>IF($B14="","",IF(INDEX(BDHKI,MATCH(DiemHKII!$C14,DiemHKI!$DI$4:$DI$58,0),DM$67)&lt;&gt;"",INDEX(BDHKI,MATCH(DiemHKII!$C14,DiemHKI!$DI$4:$DI$58,0),DM$67),""))</f>
        <v>Đ</v>
      </c>
      <c r="DN14" s="531" t="str">
        <f t="shared" si="23"/>
        <v/>
      </c>
      <c r="DO14" s="531" t="str">
        <f t="shared" si="24"/>
        <v>Đ</v>
      </c>
      <c r="DP14" s="204"/>
      <c r="DQ14" s="202"/>
      <c r="DR14" s="202"/>
      <c r="DS14" s="554"/>
      <c r="DT14" s="205"/>
      <c r="DU14" s="204"/>
      <c r="DV14" s="437">
        <f>IF($B14="","",IF(INDEX(BDHKI,MATCH(DiemHKII!$C14,DiemHKI!$DI$4:$DI$58,0),DV$67)&lt;&gt;"",INDEX(BDHKI,MATCH(DiemHKII!$C14,DiemHKI!$DI$4:$DI$58,0),DV$67),""))</f>
        <v>9.4</v>
      </c>
      <c r="DW14" s="437" t="str">
        <f t="shared" si="25"/>
        <v/>
      </c>
      <c r="DX14" s="438" t="str">
        <f t="shared" si="26"/>
        <v/>
      </c>
      <c r="DY14" s="204"/>
      <c r="DZ14" s="202"/>
      <c r="EA14" s="202"/>
      <c r="EB14" s="554"/>
      <c r="EC14" s="205"/>
      <c r="ED14" s="204"/>
      <c r="EE14" s="412" t="str">
        <f>IF($B14="","",IF(INDEX(BDHKI,MATCH(DiemHKII!$C14,DiemHKI!$DI$4:$DI$58,0),EE$67)&lt;&gt;"",INDEX(BDHKI,MATCH(DiemHKII!$C14,DiemHKI!$DI$4:$DI$58,0),EE$67),""))</f>
        <v/>
      </c>
      <c r="EF14" s="412" t="str">
        <f t="shared" si="27"/>
        <v/>
      </c>
      <c r="EG14" s="413" t="str">
        <f t="shared" si="28"/>
        <v/>
      </c>
      <c r="EH14" s="559"/>
      <c r="EI14" s="545"/>
      <c r="EJ14" s="560"/>
      <c r="EK14" s="561"/>
    </row>
    <row r="15" spans="1:141" s="30" customFormat="1" ht="15.9" customHeight="1">
      <c r="A15" s="407"/>
      <c r="B15" s="99">
        <f>IF(D15&lt;&gt;"",MAX($B$4:B14)+1,"")</f>
        <v>12</v>
      </c>
      <c r="C15" s="339" t="str">
        <f t="shared" si="0"/>
        <v>12A1Hồ SơnHậu08/01/2004</v>
      </c>
      <c r="D15" s="166" t="s">
        <v>681</v>
      </c>
      <c r="E15" s="167" t="s">
        <v>718</v>
      </c>
      <c r="F15" s="168" t="s">
        <v>719</v>
      </c>
      <c r="G15" s="163" t="s">
        <v>720</v>
      </c>
      <c r="H15" s="163"/>
      <c r="I15" s="549"/>
      <c r="J15" s="166"/>
      <c r="K15" s="166"/>
      <c r="L15" s="172"/>
      <c r="M15" s="170"/>
      <c r="N15" s="170"/>
      <c r="O15" s="550"/>
      <c r="P15" s="173"/>
      <c r="Q15" s="172"/>
      <c r="R15" s="408">
        <f>IF($B15="","",IF(INDEX(BDHKI,MATCH(DiemHKII!$C15,DiemHKI!$DI$4:$DI$58,0),R$67)&lt;&gt;"",INDEX(BDHKI,MATCH(DiemHKII!$C15,DiemHKI!$DI$4:$DI$58,0),R$67),""))</f>
        <v>9.4</v>
      </c>
      <c r="S15" s="408" t="str">
        <f t="shared" si="1"/>
        <v/>
      </c>
      <c r="T15" s="409" t="str">
        <f t="shared" si="2"/>
        <v/>
      </c>
      <c r="U15" s="172"/>
      <c r="V15" s="170"/>
      <c r="W15" s="170"/>
      <c r="X15" s="550"/>
      <c r="Y15" s="173"/>
      <c r="Z15" s="172"/>
      <c r="AA15" s="433">
        <f>IF($B15="","",IF(INDEX(BDHKI,MATCH(DiemHKII!$C15,DiemHKI!$DI$4:$DI$58,0),AA$67)&lt;&gt;"",INDEX(BDHKI,MATCH(DiemHKII!$C15,DiemHKI!$DI$4:$DI$58,0),AA$67),""))</f>
        <v>9.6</v>
      </c>
      <c r="AB15" s="433" t="str">
        <f t="shared" si="3"/>
        <v/>
      </c>
      <c r="AC15" s="434" t="str">
        <f t="shared" si="4"/>
        <v/>
      </c>
      <c r="AD15" s="172"/>
      <c r="AE15" s="170"/>
      <c r="AF15" s="170"/>
      <c r="AG15" s="550"/>
      <c r="AH15" s="173"/>
      <c r="AI15" s="172"/>
      <c r="AJ15" s="408">
        <f>IF($B15="","",IF(INDEX(BDHKI,MATCH(DiemHKII!$C15,DiemHKI!$DI$4:$DI$58,0),AJ$67)&lt;&gt;"",INDEX(BDHKI,MATCH(DiemHKII!$C15,DiemHKI!$DI$4:$DI$58,0),AJ$67),""))</f>
        <v>9.1</v>
      </c>
      <c r="AK15" s="408" t="str">
        <f t="shared" si="5"/>
        <v/>
      </c>
      <c r="AL15" s="409" t="str">
        <f t="shared" si="6"/>
        <v/>
      </c>
      <c r="AM15" s="172"/>
      <c r="AN15" s="170"/>
      <c r="AO15" s="170"/>
      <c r="AP15" s="550"/>
      <c r="AQ15" s="173"/>
      <c r="AR15" s="172"/>
      <c r="AS15" s="433">
        <f>IF($B15="","",IF(INDEX(BDHKI,MATCH(DiemHKII!$C15,DiemHKI!$DI$4:$DI$58,0),AS$67)&lt;&gt;"",INDEX(BDHKI,MATCH(DiemHKII!$C15,DiemHKI!$DI$4:$DI$58,0),AS$67),""))</f>
        <v>9.1</v>
      </c>
      <c r="AT15" s="433" t="str">
        <f t="shared" si="7"/>
        <v/>
      </c>
      <c r="AU15" s="434" t="str">
        <f t="shared" si="8"/>
        <v/>
      </c>
      <c r="AV15" s="172"/>
      <c r="AW15" s="170"/>
      <c r="AX15" s="170"/>
      <c r="AY15" s="550"/>
      <c r="AZ15" s="173"/>
      <c r="BA15" s="172"/>
      <c r="BB15" s="408">
        <f>IF($B15="","",IF(INDEX(BDHKI,MATCH(DiemHKII!$C15,DiemHKI!$DI$4:$DI$58,0),BB$67)&lt;&gt;"",INDEX(BDHKI,MATCH(DiemHKII!$C15,DiemHKI!$DI$4:$DI$58,0),BB$67),""))</f>
        <v>9.6</v>
      </c>
      <c r="BC15" s="408" t="str">
        <f t="shared" si="9"/>
        <v/>
      </c>
      <c r="BD15" s="409" t="str">
        <f t="shared" si="10"/>
        <v/>
      </c>
      <c r="BE15" s="172"/>
      <c r="BF15" s="170"/>
      <c r="BG15" s="170"/>
      <c r="BH15" s="550"/>
      <c r="BI15" s="173"/>
      <c r="BJ15" s="172"/>
      <c r="BK15" s="433">
        <f>IF($B15="","",IF(INDEX(BDHKI,MATCH(DiemHKII!$C15,DiemHKI!$DI$4:$DI$58,0),BK$67)&lt;&gt;"",INDEX(BDHKI,MATCH(DiemHKII!$C15,DiemHKI!$DI$4:$DI$58,0),BK$67),""))</f>
        <v>7.4</v>
      </c>
      <c r="BL15" s="433" t="str">
        <f t="shared" si="11"/>
        <v/>
      </c>
      <c r="BM15" s="434" t="str">
        <f t="shared" si="12"/>
        <v/>
      </c>
      <c r="BN15" s="172"/>
      <c r="BO15" s="170"/>
      <c r="BP15" s="170"/>
      <c r="BQ15" s="550"/>
      <c r="BR15" s="173"/>
      <c r="BS15" s="172"/>
      <c r="BT15" s="408">
        <f>IF($B15="","",IF(INDEX(BDHKI,MATCH(DiemHKII!$C15,DiemHKI!$DI$4:$DI$58,0),BT$67)&lt;&gt;"",INDEX(BDHKI,MATCH(DiemHKII!$C15,DiemHKI!$DI$4:$DI$58,0),BT$67),""))</f>
        <v>9.8000000000000007</v>
      </c>
      <c r="BU15" s="408" t="str">
        <f t="shared" si="13"/>
        <v/>
      </c>
      <c r="BV15" s="409" t="str">
        <f t="shared" si="14"/>
        <v/>
      </c>
      <c r="BW15" s="172"/>
      <c r="BX15" s="170"/>
      <c r="BY15" s="170"/>
      <c r="BZ15" s="550"/>
      <c r="CA15" s="173"/>
      <c r="CB15" s="172"/>
      <c r="CC15" s="408">
        <f>IF($B15="","",IF(INDEX(BDHKI,MATCH(DiemHKII!$C15,DiemHKI!$DI$4:$DI$58,0),CC$67)&lt;&gt;"",INDEX(BDHKI,MATCH(DiemHKII!$C15,DiemHKI!$DI$4:$DI$58,0),CC$67),""))</f>
        <v>9.9</v>
      </c>
      <c r="CD15" s="408" t="str">
        <f t="shared" si="15"/>
        <v/>
      </c>
      <c r="CE15" s="409" t="str">
        <f t="shared" si="16"/>
        <v/>
      </c>
      <c r="CF15" s="172"/>
      <c r="CG15" s="170"/>
      <c r="CH15" s="170"/>
      <c r="CI15" s="550"/>
      <c r="CJ15" s="173"/>
      <c r="CK15" s="172"/>
      <c r="CL15" s="433">
        <f>IF($B15="","",IF(INDEX(BDHKI,MATCH(DiemHKII!$C15,DiemHKI!$DI$4:$DI$58,0),CL$67)&lt;&gt;"",INDEX(BDHKI,MATCH(DiemHKII!$C15,DiemHKI!$DI$4:$DI$58,0),CL$67),""))</f>
        <v>7.6</v>
      </c>
      <c r="CM15" s="433" t="str">
        <f t="shared" si="17"/>
        <v/>
      </c>
      <c r="CN15" s="434" t="str">
        <f t="shared" si="18"/>
        <v/>
      </c>
      <c r="CO15" s="172"/>
      <c r="CP15" s="170"/>
      <c r="CQ15" s="170"/>
      <c r="CR15" s="550"/>
      <c r="CS15" s="173"/>
      <c r="CT15" s="172"/>
      <c r="CU15" s="408">
        <f>IF($B15="","",IF(INDEX(BDHKI,MATCH(DiemHKII!$C15,DiemHKI!$DI$4:$DI$58,0),CU$67)&lt;&gt;"",INDEX(BDHKI,MATCH(DiemHKII!$C15,DiemHKI!$DI$4:$DI$58,0),CU$67),""))</f>
        <v>9.1</v>
      </c>
      <c r="CV15" s="408" t="str">
        <f t="shared" si="19"/>
        <v/>
      </c>
      <c r="CW15" s="409" t="str">
        <f t="shared" si="20"/>
        <v/>
      </c>
      <c r="CX15" s="172"/>
      <c r="CY15" s="170"/>
      <c r="CZ15" s="170"/>
      <c r="DA15" s="550"/>
      <c r="DB15" s="173"/>
      <c r="DC15" s="172"/>
      <c r="DD15" s="433">
        <f>IF($B15="","",IF(INDEX(BDHKI,MATCH(DiemHKII!$C15,DiemHKI!$DI$4:$DI$58,0),DD$67)&lt;&gt;"",INDEX(BDHKI,MATCH(DiemHKII!$C15,DiemHKI!$DI$4:$DI$58,0),DD$67),""))</f>
        <v>9.9</v>
      </c>
      <c r="DE15" s="433" t="str">
        <f t="shared" si="21"/>
        <v/>
      </c>
      <c r="DF15" s="434" t="str">
        <f t="shared" si="22"/>
        <v/>
      </c>
      <c r="DG15" s="174"/>
      <c r="DH15" s="175"/>
      <c r="DI15" s="175"/>
      <c r="DJ15" s="176"/>
      <c r="DK15" s="177"/>
      <c r="DL15" s="178"/>
      <c r="DM15" s="532" t="str">
        <f>IF($B15="","",IF(INDEX(BDHKI,MATCH(DiemHKII!$C15,DiemHKI!$DI$4:$DI$58,0),DM$67)&lt;&gt;"",INDEX(BDHKI,MATCH(DiemHKII!$C15,DiemHKI!$DI$4:$DI$58,0),DM$67),""))</f>
        <v>Đ</v>
      </c>
      <c r="DN15" s="532" t="str">
        <f t="shared" si="23"/>
        <v/>
      </c>
      <c r="DO15" s="532" t="str">
        <f t="shared" si="24"/>
        <v>Đ</v>
      </c>
      <c r="DP15" s="172"/>
      <c r="DQ15" s="170"/>
      <c r="DR15" s="170"/>
      <c r="DS15" s="550"/>
      <c r="DT15" s="173"/>
      <c r="DU15" s="172"/>
      <c r="DV15" s="433">
        <f>IF($B15="","",IF(INDEX(BDHKI,MATCH(DiemHKII!$C15,DiemHKI!$DI$4:$DI$58,0),DV$67)&lt;&gt;"",INDEX(BDHKI,MATCH(DiemHKII!$C15,DiemHKI!$DI$4:$DI$58,0),DV$67),""))</f>
        <v>9.9</v>
      </c>
      <c r="DW15" s="433" t="str">
        <f t="shared" si="25"/>
        <v/>
      </c>
      <c r="DX15" s="434" t="str">
        <f t="shared" si="26"/>
        <v/>
      </c>
      <c r="DY15" s="172"/>
      <c r="DZ15" s="170"/>
      <c r="EA15" s="170"/>
      <c r="EB15" s="550"/>
      <c r="EC15" s="173"/>
      <c r="ED15" s="172"/>
      <c r="EE15" s="408" t="str">
        <f>IF($B15="","",IF(INDEX(BDHKI,MATCH(DiemHKII!$C15,DiemHKI!$DI$4:$DI$58,0),EE$67)&lt;&gt;"",INDEX(BDHKI,MATCH(DiemHKII!$C15,DiemHKI!$DI$4:$DI$58,0),EE$67),""))</f>
        <v/>
      </c>
      <c r="EF15" s="408" t="str">
        <f t="shared" si="27"/>
        <v/>
      </c>
      <c r="EG15" s="409" t="str">
        <f t="shared" si="28"/>
        <v/>
      </c>
      <c r="EH15" s="162"/>
      <c r="EI15" s="163"/>
      <c r="EJ15" s="164"/>
      <c r="EK15" s="165"/>
    </row>
    <row r="16" spans="1:141" s="30" customFormat="1" ht="15.9" customHeight="1">
      <c r="A16" s="407"/>
      <c r="B16" s="99">
        <f>IF(D16&lt;&gt;"",MAX($B$4:B15)+1,"")</f>
        <v>13</v>
      </c>
      <c r="C16" s="339" t="str">
        <f t="shared" si="0"/>
        <v>12A1Nguyễn Thị ThuHiền20/05/2004</v>
      </c>
      <c r="D16" s="166" t="s">
        <v>681</v>
      </c>
      <c r="E16" s="167" t="s">
        <v>722</v>
      </c>
      <c r="F16" s="168" t="s">
        <v>723</v>
      </c>
      <c r="G16" s="163" t="s">
        <v>724</v>
      </c>
      <c r="H16" s="163"/>
      <c r="I16" s="549"/>
      <c r="J16" s="166"/>
      <c r="K16" s="166"/>
      <c r="L16" s="172"/>
      <c r="M16" s="170"/>
      <c r="N16" s="170"/>
      <c r="O16" s="550"/>
      <c r="P16" s="173"/>
      <c r="Q16" s="172"/>
      <c r="R16" s="408">
        <f>IF($B16="","",IF(INDEX(BDHKI,MATCH(DiemHKII!$C16,DiemHKI!$DI$4:$DI$58,0),R$67)&lt;&gt;"",INDEX(BDHKI,MATCH(DiemHKII!$C16,DiemHKI!$DI$4:$DI$58,0),R$67),""))</f>
        <v>9.8000000000000007</v>
      </c>
      <c r="S16" s="408" t="str">
        <f t="shared" si="1"/>
        <v/>
      </c>
      <c r="T16" s="409" t="str">
        <f t="shared" si="2"/>
        <v/>
      </c>
      <c r="U16" s="172"/>
      <c r="V16" s="170"/>
      <c r="W16" s="170"/>
      <c r="X16" s="550"/>
      <c r="Y16" s="173"/>
      <c r="Z16" s="172"/>
      <c r="AA16" s="433">
        <f>IF($B16="","",IF(INDEX(BDHKI,MATCH(DiemHKII!$C16,DiemHKI!$DI$4:$DI$58,0),AA$67)&lt;&gt;"",INDEX(BDHKI,MATCH(DiemHKII!$C16,DiemHKI!$DI$4:$DI$58,0),AA$67),""))</f>
        <v>9.9</v>
      </c>
      <c r="AB16" s="433" t="str">
        <f t="shared" si="3"/>
        <v/>
      </c>
      <c r="AC16" s="434" t="str">
        <f t="shared" si="4"/>
        <v/>
      </c>
      <c r="AD16" s="172"/>
      <c r="AE16" s="170"/>
      <c r="AF16" s="170"/>
      <c r="AG16" s="550"/>
      <c r="AH16" s="173"/>
      <c r="AI16" s="172"/>
      <c r="AJ16" s="408">
        <f>IF($B16="","",IF(INDEX(BDHKI,MATCH(DiemHKII!$C16,DiemHKI!$DI$4:$DI$58,0),AJ$67)&lt;&gt;"",INDEX(BDHKI,MATCH(DiemHKII!$C16,DiemHKI!$DI$4:$DI$58,0),AJ$67),""))</f>
        <v>9.6</v>
      </c>
      <c r="AK16" s="408" t="str">
        <f t="shared" si="5"/>
        <v/>
      </c>
      <c r="AL16" s="409" t="str">
        <f t="shared" si="6"/>
        <v/>
      </c>
      <c r="AM16" s="172"/>
      <c r="AN16" s="170"/>
      <c r="AO16" s="170"/>
      <c r="AP16" s="550"/>
      <c r="AQ16" s="173"/>
      <c r="AR16" s="172"/>
      <c r="AS16" s="433">
        <f>IF($B16="","",IF(INDEX(BDHKI,MATCH(DiemHKII!$C16,DiemHKI!$DI$4:$DI$58,0),AS$67)&lt;&gt;"",INDEX(BDHKI,MATCH(DiemHKII!$C16,DiemHKI!$DI$4:$DI$58,0),AS$67),""))</f>
        <v>9.3000000000000007</v>
      </c>
      <c r="AT16" s="433" t="str">
        <f t="shared" si="7"/>
        <v/>
      </c>
      <c r="AU16" s="434" t="str">
        <f t="shared" si="8"/>
        <v/>
      </c>
      <c r="AV16" s="172"/>
      <c r="AW16" s="170"/>
      <c r="AX16" s="170"/>
      <c r="AY16" s="550"/>
      <c r="AZ16" s="173"/>
      <c r="BA16" s="172"/>
      <c r="BB16" s="408">
        <f>IF($B16="","",IF(INDEX(BDHKI,MATCH(DiemHKII!$C16,DiemHKI!$DI$4:$DI$58,0),BB$67)&lt;&gt;"",INDEX(BDHKI,MATCH(DiemHKII!$C16,DiemHKI!$DI$4:$DI$58,0),BB$67),""))</f>
        <v>9.6</v>
      </c>
      <c r="BC16" s="408" t="str">
        <f t="shared" si="9"/>
        <v/>
      </c>
      <c r="BD16" s="409" t="str">
        <f t="shared" si="10"/>
        <v/>
      </c>
      <c r="BE16" s="172"/>
      <c r="BF16" s="170"/>
      <c r="BG16" s="170"/>
      <c r="BH16" s="550"/>
      <c r="BI16" s="173"/>
      <c r="BJ16" s="172"/>
      <c r="BK16" s="433">
        <f>IF($B16="","",IF(INDEX(BDHKI,MATCH(DiemHKII!$C16,DiemHKI!$DI$4:$DI$58,0),BK$67)&lt;&gt;"",INDEX(BDHKI,MATCH(DiemHKII!$C16,DiemHKI!$DI$4:$DI$58,0),BK$67),""))</f>
        <v>8.3000000000000007</v>
      </c>
      <c r="BL16" s="433" t="str">
        <f t="shared" si="11"/>
        <v/>
      </c>
      <c r="BM16" s="434" t="str">
        <f t="shared" si="12"/>
        <v/>
      </c>
      <c r="BN16" s="172"/>
      <c r="BO16" s="170"/>
      <c r="BP16" s="170"/>
      <c r="BQ16" s="550"/>
      <c r="BR16" s="173"/>
      <c r="BS16" s="172"/>
      <c r="BT16" s="408">
        <f>IF($B16="","",IF(INDEX(BDHKI,MATCH(DiemHKII!$C16,DiemHKI!$DI$4:$DI$58,0),BT$67)&lt;&gt;"",INDEX(BDHKI,MATCH(DiemHKII!$C16,DiemHKI!$DI$4:$DI$58,0),BT$67),""))</f>
        <v>9.9</v>
      </c>
      <c r="BU16" s="408" t="str">
        <f t="shared" si="13"/>
        <v/>
      </c>
      <c r="BV16" s="409" t="str">
        <f t="shared" si="14"/>
        <v/>
      </c>
      <c r="BW16" s="172"/>
      <c r="BX16" s="170"/>
      <c r="BY16" s="170"/>
      <c r="BZ16" s="550"/>
      <c r="CA16" s="173"/>
      <c r="CB16" s="172"/>
      <c r="CC16" s="408">
        <f>IF($B16="","",IF(INDEX(BDHKI,MATCH(DiemHKII!$C16,DiemHKI!$DI$4:$DI$58,0),CC$67)&lt;&gt;"",INDEX(BDHKI,MATCH(DiemHKII!$C16,DiemHKI!$DI$4:$DI$58,0),CC$67),""))</f>
        <v>9.9</v>
      </c>
      <c r="CD16" s="408" t="str">
        <f t="shared" si="15"/>
        <v/>
      </c>
      <c r="CE16" s="409" t="str">
        <f t="shared" si="16"/>
        <v/>
      </c>
      <c r="CF16" s="172"/>
      <c r="CG16" s="170"/>
      <c r="CH16" s="170"/>
      <c r="CI16" s="550"/>
      <c r="CJ16" s="173"/>
      <c r="CK16" s="172"/>
      <c r="CL16" s="433">
        <f>IF($B16="","",IF(INDEX(BDHKI,MATCH(DiemHKII!$C16,DiemHKI!$DI$4:$DI$58,0),CL$67)&lt;&gt;"",INDEX(BDHKI,MATCH(DiemHKII!$C16,DiemHKI!$DI$4:$DI$58,0),CL$67),""))</f>
        <v>9.4</v>
      </c>
      <c r="CM16" s="433" t="str">
        <f t="shared" si="17"/>
        <v/>
      </c>
      <c r="CN16" s="434" t="str">
        <f t="shared" si="18"/>
        <v/>
      </c>
      <c r="CO16" s="172"/>
      <c r="CP16" s="170"/>
      <c r="CQ16" s="170"/>
      <c r="CR16" s="550"/>
      <c r="CS16" s="173"/>
      <c r="CT16" s="172"/>
      <c r="CU16" s="408">
        <f>IF($B16="","",IF(INDEX(BDHKI,MATCH(DiemHKII!$C16,DiemHKI!$DI$4:$DI$58,0),CU$67)&lt;&gt;"",INDEX(BDHKI,MATCH(DiemHKII!$C16,DiemHKI!$DI$4:$DI$58,0),CU$67),""))</f>
        <v>9.4</v>
      </c>
      <c r="CV16" s="408" t="str">
        <f t="shared" si="19"/>
        <v/>
      </c>
      <c r="CW16" s="409" t="str">
        <f t="shared" si="20"/>
        <v/>
      </c>
      <c r="CX16" s="172"/>
      <c r="CY16" s="170"/>
      <c r="CZ16" s="170"/>
      <c r="DA16" s="550"/>
      <c r="DB16" s="173"/>
      <c r="DC16" s="172"/>
      <c r="DD16" s="433">
        <f>IF($B16="","",IF(INDEX(BDHKI,MATCH(DiemHKII!$C16,DiemHKI!$DI$4:$DI$58,0),DD$67)&lt;&gt;"",INDEX(BDHKI,MATCH(DiemHKII!$C16,DiemHKI!$DI$4:$DI$58,0),DD$67),""))</f>
        <v>9.9</v>
      </c>
      <c r="DE16" s="433" t="str">
        <f t="shared" si="21"/>
        <v/>
      </c>
      <c r="DF16" s="434" t="str">
        <f t="shared" si="22"/>
        <v/>
      </c>
      <c r="DG16" s="206"/>
      <c r="DH16" s="207"/>
      <c r="DI16" s="207"/>
      <c r="DJ16" s="208"/>
      <c r="DK16" s="209"/>
      <c r="DL16" s="178"/>
      <c r="DM16" s="532" t="str">
        <f>IF($B16="","",IF(INDEX(BDHKI,MATCH(DiemHKII!$C16,DiemHKI!$DI$4:$DI$58,0),DM$67)&lt;&gt;"",INDEX(BDHKI,MATCH(DiemHKII!$C16,DiemHKI!$DI$4:$DI$58,0),DM$67),""))</f>
        <v>Đ</v>
      </c>
      <c r="DN16" s="532" t="str">
        <f t="shared" si="23"/>
        <v/>
      </c>
      <c r="DO16" s="532" t="str">
        <f t="shared" si="24"/>
        <v>Đ</v>
      </c>
      <c r="DP16" s="172"/>
      <c r="DQ16" s="170"/>
      <c r="DR16" s="170"/>
      <c r="DS16" s="550"/>
      <c r="DT16" s="173"/>
      <c r="DU16" s="172"/>
      <c r="DV16" s="433">
        <f>IF($B16="","",IF(INDEX(BDHKI,MATCH(DiemHKII!$C16,DiemHKI!$DI$4:$DI$58,0),DV$67)&lt;&gt;"",INDEX(BDHKI,MATCH(DiemHKII!$C16,DiemHKI!$DI$4:$DI$58,0),DV$67),""))</f>
        <v>9.4</v>
      </c>
      <c r="DW16" s="433" t="str">
        <f t="shared" si="25"/>
        <v/>
      </c>
      <c r="DX16" s="434" t="str">
        <f t="shared" si="26"/>
        <v/>
      </c>
      <c r="DY16" s="172"/>
      <c r="DZ16" s="170"/>
      <c r="EA16" s="170"/>
      <c r="EB16" s="550"/>
      <c r="EC16" s="173"/>
      <c r="ED16" s="172"/>
      <c r="EE16" s="408" t="str">
        <f>IF($B16="","",IF(INDEX(BDHKI,MATCH(DiemHKII!$C16,DiemHKI!$DI$4:$DI$58,0),EE$67)&lt;&gt;"",INDEX(BDHKI,MATCH(DiemHKII!$C16,DiemHKI!$DI$4:$DI$58,0),EE$67),""))</f>
        <v/>
      </c>
      <c r="EF16" s="408" t="str">
        <f t="shared" si="27"/>
        <v/>
      </c>
      <c r="EG16" s="409" t="str">
        <f t="shared" si="28"/>
        <v/>
      </c>
      <c r="EH16" s="162"/>
      <c r="EI16" s="163"/>
      <c r="EJ16" s="164"/>
      <c r="EK16" s="165"/>
    </row>
    <row r="17" spans="1:141" s="30" customFormat="1" ht="15.9" customHeight="1">
      <c r="A17" s="407"/>
      <c r="B17" s="99">
        <f>IF(D17&lt;&gt;"",MAX($B$4:B16)+1,"")</f>
        <v>14</v>
      </c>
      <c r="C17" s="339" t="str">
        <f t="shared" si="0"/>
        <v>12A1Lê Phan NgọcHiếu01/02/2004</v>
      </c>
      <c r="D17" s="166" t="s">
        <v>681</v>
      </c>
      <c r="E17" s="167" t="s">
        <v>726</v>
      </c>
      <c r="F17" s="168" t="s">
        <v>727</v>
      </c>
      <c r="G17" s="163" t="s">
        <v>728</v>
      </c>
      <c r="H17" s="163"/>
      <c r="I17" s="549"/>
      <c r="J17" s="166"/>
      <c r="K17" s="166"/>
      <c r="L17" s="172"/>
      <c r="M17" s="170"/>
      <c r="N17" s="170"/>
      <c r="O17" s="550"/>
      <c r="P17" s="173"/>
      <c r="Q17" s="172"/>
      <c r="R17" s="408">
        <f>IF($B17="","",IF(INDEX(BDHKI,MATCH(DiemHKII!$C17,DiemHKI!$DI$4:$DI$58,0),R$67)&lt;&gt;"",INDEX(BDHKI,MATCH(DiemHKII!$C17,DiemHKI!$DI$4:$DI$58,0),R$67),""))</f>
        <v>9.9</v>
      </c>
      <c r="S17" s="408" t="str">
        <f t="shared" si="1"/>
        <v/>
      </c>
      <c r="T17" s="409" t="str">
        <f t="shared" si="2"/>
        <v/>
      </c>
      <c r="U17" s="172"/>
      <c r="V17" s="170"/>
      <c r="W17" s="170"/>
      <c r="X17" s="550"/>
      <c r="Y17" s="173"/>
      <c r="Z17" s="172"/>
      <c r="AA17" s="433">
        <f>IF($B17="","",IF(INDEX(BDHKI,MATCH(DiemHKII!$C17,DiemHKI!$DI$4:$DI$58,0),AA$67)&lt;&gt;"",INDEX(BDHKI,MATCH(DiemHKII!$C17,DiemHKI!$DI$4:$DI$58,0),AA$67),""))</f>
        <v>9.9</v>
      </c>
      <c r="AB17" s="433" t="str">
        <f t="shared" si="3"/>
        <v/>
      </c>
      <c r="AC17" s="434" t="str">
        <f t="shared" si="4"/>
        <v/>
      </c>
      <c r="AD17" s="172"/>
      <c r="AE17" s="170"/>
      <c r="AF17" s="170"/>
      <c r="AG17" s="550"/>
      <c r="AH17" s="173"/>
      <c r="AI17" s="172"/>
      <c r="AJ17" s="408">
        <f>IF($B17="","",IF(INDEX(BDHKI,MATCH(DiemHKII!$C17,DiemHKI!$DI$4:$DI$58,0),AJ$67)&lt;&gt;"",INDEX(BDHKI,MATCH(DiemHKII!$C17,DiemHKI!$DI$4:$DI$58,0),AJ$67),""))</f>
        <v>9.1999999999999993</v>
      </c>
      <c r="AK17" s="408" t="str">
        <f t="shared" si="5"/>
        <v/>
      </c>
      <c r="AL17" s="409" t="str">
        <f t="shared" si="6"/>
        <v/>
      </c>
      <c r="AM17" s="172"/>
      <c r="AN17" s="170"/>
      <c r="AO17" s="170"/>
      <c r="AP17" s="550"/>
      <c r="AQ17" s="173"/>
      <c r="AR17" s="172"/>
      <c r="AS17" s="433">
        <f>IF($B17="","",IF(INDEX(BDHKI,MATCH(DiemHKII!$C17,DiemHKI!$DI$4:$DI$58,0),AS$67)&lt;&gt;"",INDEX(BDHKI,MATCH(DiemHKII!$C17,DiemHKI!$DI$4:$DI$58,0),AS$67),""))</f>
        <v>9</v>
      </c>
      <c r="AT17" s="433" t="str">
        <f t="shared" si="7"/>
        <v/>
      </c>
      <c r="AU17" s="434" t="str">
        <f t="shared" si="8"/>
        <v/>
      </c>
      <c r="AV17" s="172"/>
      <c r="AW17" s="170"/>
      <c r="AX17" s="170"/>
      <c r="AY17" s="550"/>
      <c r="AZ17" s="173"/>
      <c r="BA17" s="172"/>
      <c r="BB17" s="408">
        <f>IF($B17="","",IF(INDEX(BDHKI,MATCH(DiemHKII!$C17,DiemHKI!$DI$4:$DI$58,0),BB$67)&lt;&gt;"",INDEX(BDHKI,MATCH(DiemHKII!$C17,DiemHKI!$DI$4:$DI$58,0),BB$67),""))</f>
        <v>9.6</v>
      </c>
      <c r="BC17" s="408" t="str">
        <f t="shared" si="9"/>
        <v/>
      </c>
      <c r="BD17" s="409" t="str">
        <f t="shared" si="10"/>
        <v/>
      </c>
      <c r="BE17" s="172"/>
      <c r="BF17" s="170"/>
      <c r="BG17" s="170"/>
      <c r="BH17" s="550"/>
      <c r="BI17" s="173"/>
      <c r="BJ17" s="172"/>
      <c r="BK17" s="433">
        <f>IF($B17="","",IF(INDEX(BDHKI,MATCH(DiemHKII!$C17,DiemHKI!$DI$4:$DI$58,0),BK$67)&lt;&gt;"",INDEX(BDHKI,MATCH(DiemHKII!$C17,DiemHKI!$DI$4:$DI$58,0),BK$67),""))</f>
        <v>7.2</v>
      </c>
      <c r="BL17" s="433" t="str">
        <f t="shared" si="11"/>
        <v/>
      </c>
      <c r="BM17" s="434" t="str">
        <f t="shared" si="12"/>
        <v/>
      </c>
      <c r="BN17" s="172"/>
      <c r="BO17" s="170"/>
      <c r="BP17" s="170"/>
      <c r="BQ17" s="550"/>
      <c r="BR17" s="173"/>
      <c r="BS17" s="172"/>
      <c r="BT17" s="408">
        <f>IF($B17="","",IF(INDEX(BDHKI,MATCH(DiemHKII!$C17,DiemHKI!$DI$4:$DI$58,0),BT$67)&lt;&gt;"",INDEX(BDHKI,MATCH(DiemHKII!$C17,DiemHKI!$DI$4:$DI$58,0),BT$67),""))</f>
        <v>9.4</v>
      </c>
      <c r="BU17" s="408" t="str">
        <f t="shared" si="13"/>
        <v/>
      </c>
      <c r="BV17" s="409" t="str">
        <f t="shared" si="14"/>
        <v/>
      </c>
      <c r="BW17" s="172"/>
      <c r="BX17" s="170"/>
      <c r="BY17" s="170"/>
      <c r="BZ17" s="550"/>
      <c r="CA17" s="173"/>
      <c r="CB17" s="172"/>
      <c r="CC17" s="408">
        <f>IF($B17="","",IF(INDEX(BDHKI,MATCH(DiemHKII!$C17,DiemHKI!$DI$4:$DI$58,0),CC$67)&lt;&gt;"",INDEX(BDHKI,MATCH(DiemHKII!$C17,DiemHKI!$DI$4:$DI$58,0),CC$67),""))</f>
        <v>9.3000000000000007</v>
      </c>
      <c r="CD17" s="408" t="str">
        <f t="shared" si="15"/>
        <v/>
      </c>
      <c r="CE17" s="409" t="str">
        <f t="shared" si="16"/>
        <v/>
      </c>
      <c r="CF17" s="172"/>
      <c r="CG17" s="170"/>
      <c r="CH17" s="170"/>
      <c r="CI17" s="550"/>
      <c r="CJ17" s="173"/>
      <c r="CK17" s="172"/>
      <c r="CL17" s="433">
        <f>IF($B17="","",IF(INDEX(BDHKI,MATCH(DiemHKII!$C17,DiemHKI!$DI$4:$DI$58,0),CL$67)&lt;&gt;"",INDEX(BDHKI,MATCH(DiemHKII!$C17,DiemHKI!$DI$4:$DI$58,0),CL$67),""))</f>
        <v>8.1999999999999993</v>
      </c>
      <c r="CM17" s="433" t="str">
        <f t="shared" si="17"/>
        <v/>
      </c>
      <c r="CN17" s="434" t="str">
        <f t="shared" si="18"/>
        <v/>
      </c>
      <c r="CO17" s="172"/>
      <c r="CP17" s="170"/>
      <c r="CQ17" s="170"/>
      <c r="CR17" s="550"/>
      <c r="CS17" s="173"/>
      <c r="CT17" s="172"/>
      <c r="CU17" s="408">
        <f>IF($B17="","",IF(INDEX(BDHKI,MATCH(DiemHKII!$C17,DiemHKI!$DI$4:$DI$58,0),CU$67)&lt;&gt;"",INDEX(BDHKI,MATCH(DiemHKII!$C17,DiemHKI!$DI$4:$DI$58,0),CU$67),""))</f>
        <v>9.4</v>
      </c>
      <c r="CV17" s="408" t="str">
        <f t="shared" si="19"/>
        <v/>
      </c>
      <c r="CW17" s="409" t="str">
        <f t="shared" si="20"/>
        <v/>
      </c>
      <c r="CX17" s="172"/>
      <c r="CY17" s="170"/>
      <c r="CZ17" s="170"/>
      <c r="DA17" s="550"/>
      <c r="DB17" s="173"/>
      <c r="DC17" s="172"/>
      <c r="DD17" s="433">
        <f>IF($B17="","",IF(INDEX(BDHKI,MATCH(DiemHKII!$C17,DiemHKI!$DI$4:$DI$58,0),DD$67)&lt;&gt;"",INDEX(BDHKI,MATCH(DiemHKII!$C17,DiemHKI!$DI$4:$DI$58,0),DD$67),""))</f>
        <v>9.9</v>
      </c>
      <c r="DE17" s="433" t="str">
        <f t="shared" si="21"/>
        <v/>
      </c>
      <c r="DF17" s="434" t="str">
        <f t="shared" si="22"/>
        <v/>
      </c>
      <c r="DG17" s="174"/>
      <c r="DH17" s="175"/>
      <c r="DI17" s="175"/>
      <c r="DJ17" s="176"/>
      <c r="DK17" s="177"/>
      <c r="DL17" s="178"/>
      <c r="DM17" s="532" t="str">
        <f>IF($B17="","",IF(INDEX(BDHKI,MATCH(DiemHKII!$C17,DiemHKI!$DI$4:$DI$58,0),DM$67)&lt;&gt;"",INDEX(BDHKI,MATCH(DiemHKII!$C17,DiemHKI!$DI$4:$DI$58,0),DM$67),""))</f>
        <v>Đ</v>
      </c>
      <c r="DN17" s="532" t="str">
        <f t="shared" si="23"/>
        <v/>
      </c>
      <c r="DO17" s="532" t="str">
        <f t="shared" si="24"/>
        <v>Đ</v>
      </c>
      <c r="DP17" s="172"/>
      <c r="DQ17" s="170"/>
      <c r="DR17" s="170"/>
      <c r="DS17" s="550"/>
      <c r="DT17" s="173"/>
      <c r="DU17" s="172"/>
      <c r="DV17" s="433">
        <f>IF($B17="","",IF(INDEX(BDHKI,MATCH(DiemHKII!$C17,DiemHKI!$DI$4:$DI$58,0),DV$67)&lt;&gt;"",INDEX(BDHKI,MATCH(DiemHKII!$C17,DiemHKI!$DI$4:$DI$58,0),DV$67),""))</f>
        <v>9.9</v>
      </c>
      <c r="DW17" s="433" t="str">
        <f t="shared" si="25"/>
        <v/>
      </c>
      <c r="DX17" s="434" t="str">
        <f t="shared" si="26"/>
        <v/>
      </c>
      <c r="DY17" s="172"/>
      <c r="DZ17" s="170"/>
      <c r="EA17" s="170"/>
      <c r="EB17" s="550"/>
      <c r="EC17" s="173"/>
      <c r="ED17" s="172"/>
      <c r="EE17" s="408" t="str">
        <f>IF($B17="","",IF(INDEX(BDHKI,MATCH(DiemHKII!$C17,DiemHKI!$DI$4:$DI$58,0),EE$67)&lt;&gt;"",INDEX(BDHKI,MATCH(DiemHKII!$C17,DiemHKI!$DI$4:$DI$58,0),EE$67),""))</f>
        <v/>
      </c>
      <c r="EF17" s="408" t="str">
        <f t="shared" si="27"/>
        <v/>
      </c>
      <c r="EG17" s="409" t="str">
        <f t="shared" si="28"/>
        <v/>
      </c>
      <c r="EH17" s="162"/>
      <c r="EI17" s="163"/>
      <c r="EJ17" s="164"/>
      <c r="EK17" s="165"/>
    </row>
    <row r="18" spans="1:141" s="30" customFormat="1" ht="15.9" customHeight="1">
      <c r="A18" s="407"/>
      <c r="B18" s="105">
        <f>IF(D18&lt;&gt;"",MAX($B$4:B17)+1,"")</f>
        <v>15</v>
      </c>
      <c r="C18" s="340" t="str">
        <f t="shared" si="0"/>
        <v>12A1Trần HoàngHưng11/06/2004</v>
      </c>
      <c r="D18" s="179" t="s">
        <v>681</v>
      </c>
      <c r="E18" s="180" t="s">
        <v>729</v>
      </c>
      <c r="F18" s="181" t="s">
        <v>730</v>
      </c>
      <c r="G18" s="182" t="s">
        <v>731</v>
      </c>
      <c r="H18" s="182"/>
      <c r="I18" s="551"/>
      <c r="J18" s="179"/>
      <c r="K18" s="179"/>
      <c r="L18" s="187"/>
      <c r="M18" s="185"/>
      <c r="N18" s="185"/>
      <c r="O18" s="552"/>
      <c r="P18" s="188"/>
      <c r="Q18" s="187"/>
      <c r="R18" s="410">
        <f>IF($B18="","",IF(INDEX(BDHKI,MATCH(DiemHKII!$C18,DiemHKI!$DI$4:$DI$58,0),R$67)&lt;&gt;"",INDEX(BDHKI,MATCH(DiemHKII!$C18,DiemHKI!$DI$4:$DI$58,0),R$67),""))</f>
        <v>9.6999999999999993</v>
      </c>
      <c r="S18" s="410" t="str">
        <f t="shared" si="1"/>
        <v/>
      </c>
      <c r="T18" s="411" t="str">
        <f t="shared" si="2"/>
        <v/>
      </c>
      <c r="U18" s="187"/>
      <c r="V18" s="185"/>
      <c r="W18" s="185"/>
      <c r="X18" s="552"/>
      <c r="Y18" s="188"/>
      <c r="Z18" s="187"/>
      <c r="AA18" s="435">
        <f>IF($B18="","",IF(INDEX(BDHKI,MATCH(DiemHKII!$C18,DiemHKI!$DI$4:$DI$58,0),AA$67)&lt;&gt;"",INDEX(BDHKI,MATCH(DiemHKII!$C18,DiemHKI!$DI$4:$DI$58,0),AA$67),""))</f>
        <v>9.8000000000000007</v>
      </c>
      <c r="AB18" s="435" t="str">
        <f t="shared" si="3"/>
        <v/>
      </c>
      <c r="AC18" s="436" t="str">
        <f t="shared" si="4"/>
        <v/>
      </c>
      <c r="AD18" s="187"/>
      <c r="AE18" s="185"/>
      <c r="AF18" s="185"/>
      <c r="AG18" s="552"/>
      <c r="AH18" s="188"/>
      <c r="AI18" s="187"/>
      <c r="AJ18" s="410">
        <f>IF($B18="","",IF(INDEX(BDHKI,MATCH(DiemHKII!$C18,DiemHKI!$DI$4:$DI$58,0),AJ$67)&lt;&gt;"",INDEX(BDHKI,MATCH(DiemHKII!$C18,DiemHKI!$DI$4:$DI$58,0),AJ$67),""))</f>
        <v>9</v>
      </c>
      <c r="AK18" s="410" t="str">
        <f t="shared" si="5"/>
        <v/>
      </c>
      <c r="AL18" s="411" t="str">
        <f t="shared" si="6"/>
        <v/>
      </c>
      <c r="AM18" s="187"/>
      <c r="AN18" s="185"/>
      <c r="AO18" s="185"/>
      <c r="AP18" s="552"/>
      <c r="AQ18" s="188"/>
      <c r="AR18" s="187"/>
      <c r="AS18" s="435">
        <f>IF($B18="","",IF(INDEX(BDHKI,MATCH(DiemHKII!$C18,DiemHKI!$DI$4:$DI$58,0),AS$67)&lt;&gt;"",INDEX(BDHKI,MATCH(DiemHKII!$C18,DiemHKI!$DI$4:$DI$58,0),AS$67),""))</f>
        <v>8.8000000000000007</v>
      </c>
      <c r="AT18" s="435" t="str">
        <f t="shared" si="7"/>
        <v/>
      </c>
      <c r="AU18" s="436" t="str">
        <f t="shared" si="8"/>
        <v/>
      </c>
      <c r="AV18" s="187"/>
      <c r="AW18" s="185"/>
      <c r="AX18" s="185"/>
      <c r="AY18" s="552"/>
      <c r="AZ18" s="188"/>
      <c r="BA18" s="187"/>
      <c r="BB18" s="410">
        <f>IF($B18="","",IF(INDEX(BDHKI,MATCH(DiemHKII!$C18,DiemHKI!$DI$4:$DI$58,0),BB$67)&lt;&gt;"",INDEX(BDHKI,MATCH(DiemHKII!$C18,DiemHKI!$DI$4:$DI$58,0),BB$67),""))</f>
        <v>9.8000000000000007</v>
      </c>
      <c r="BC18" s="410" t="str">
        <f t="shared" si="9"/>
        <v/>
      </c>
      <c r="BD18" s="411" t="str">
        <f t="shared" si="10"/>
        <v/>
      </c>
      <c r="BE18" s="187"/>
      <c r="BF18" s="185"/>
      <c r="BG18" s="185"/>
      <c r="BH18" s="552"/>
      <c r="BI18" s="188"/>
      <c r="BJ18" s="187"/>
      <c r="BK18" s="435">
        <f>IF($B18="","",IF(INDEX(BDHKI,MATCH(DiemHKII!$C18,DiemHKI!$DI$4:$DI$58,0),BK$67)&lt;&gt;"",INDEX(BDHKI,MATCH(DiemHKII!$C18,DiemHKI!$DI$4:$DI$58,0),BK$67),""))</f>
        <v>7.5</v>
      </c>
      <c r="BL18" s="435" t="str">
        <f t="shared" si="11"/>
        <v/>
      </c>
      <c r="BM18" s="436" t="str">
        <f t="shared" si="12"/>
        <v/>
      </c>
      <c r="BN18" s="187"/>
      <c r="BO18" s="185"/>
      <c r="BP18" s="185"/>
      <c r="BQ18" s="552"/>
      <c r="BR18" s="188"/>
      <c r="BS18" s="187"/>
      <c r="BT18" s="410">
        <f>IF($B18="","",IF(INDEX(BDHKI,MATCH(DiemHKII!$C18,DiemHKI!$DI$4:$DI$58,0),BT$67)&lt;&gt;"",INDEX(BDHKI,MATCH(DiemHKII!$C18,DiemHKI!$DI$4:$DI$58,0),BT$67),""))</f>
        <v>9.8000000000000007</v>
      </c>
      <c r="BU18" s="410" t="str">
        <f t="shared" si="13"/>
        <v/>
      </c>
      <c r="BV18" s="411" t="str">
        <f t="shared" si="14"/>
        <v/>
      </c>
      <c r="BW18" s="187"/>
      <c r="BX18" s="185"/>
      <c r="BY18" s="185"/>
      <c r="BZ18" s="552"/>
      <c r="CA18" s="188"/>
      <c r="CB18" s="187"/>
      <c r="CC18" s="410">
        <f>IF($B18="","",IF(INDEX(BDHKI,MATCH(DiemHKII!$C18,DiemHKI!$DI$4:$DI$58,0),CC$67)&lt;&gt;"",INDEX(BDHKI,MATCH(DiemHKII!$C18,DiemHKI!$DI$4:$DI$58,0),CC$67),""))</f>
        <v>9.1</v>
      </c>
      <c r="CD18" s="410" t="str">
        <f t="shared" si="15"/>
        <v/>
      </c>
      <c r="CE18" s="411" t="str">
        <f t="shared" si="16"/>
        <v/>
      </c>
      <c r="CF18" s="187"/>
      <c r="CG18" s="185"/>
      <c r="CH18" s="185"/>
      <c r="CI18" s="552"/>
      <c r="CJ18" s="188"/>
      <c r="CK18" s="187"/>
      <c r="CL18" s="435">
        <f>IF($B18="","",IF(INDEX(BDHKI,MATCH(DiemHKII!$C18,DiemHKI!$DI$4:$DI$58,0),CL$67)&lt;&gt;"",INDEX(BDHKI,MATCH(DiemHKII!$C18,DiemHKI!$DI$4:$DI$58,0),CL$67),""))</f>
        <v>9.5</v>
      </c>
      <c r="CM18" s="435" t="str">
        <f t="shared" si="17"/>
        <v/>
      </c>
      <c r="CN18" s="436" t="str">
        <f t="shared" si="18"/>
        <v/>
      </c>
      <c r="CO18" s="187"/>
      <c r="CP18" s="185"/>
      <c r="CQ18" s="185"/>
      <c r="CR18" s="552"/>
      <c r="CS18" s="188"/>
      <c r="CT18" s="187"/>
      <c r="CU18" s="410">
        <f>IF($B18="","",IF(INDEX(BDHKI,MATCH(DiemHKII!$C18,DiemHKI!$DI$4:$DI$58,0),CU$67)&lt;&gt;"",INDEX(BDHKI,MATCH(DiemHKII!$C18,DiemHKI!$DI$4:$DI$58,0),CU$67),""))</f>
        <v>9.1</v>
      </c>
      <c r="CV18" s="410" t="str">
        <f t="shared" si="19"/>
        <v/>
      </c>
      <c r="CW18" s="411" t="str">
        <f t="shared" si="20"/>
        <v/>
      </c>
      <c r="CX18" s="187"/>
      <c r="CY18" s="185"/>
      <c r="CZ18" s="185"/>
      <c r="DA18" s="552"/>
      <c r="DB18" s="188"/>
      <c r="DC18" s="187"/>
      <c r="DD18" s="435">
        <f>IF($B18="","",IF(INDEX(BDHKI,MATCH(DiemHKII!$C18,DiemHKI!$DI$4:$DI$58,0),DD$67)&lt;&gt;"",INDEX(BDHKI,MATCH(DiemHKII!$C18,DiemHKI!$DI$4:$DI$58,0),DD$67),""))</f>
        <v>9.9</v>
      </c>
      <c r="DE18" s="435" t="str">
        <f t="shared" si="21"/>
        <v/>
      </c>
      <c r="DF18" s="436" t="str">
        <f t="shared" si="22"/>
        <v/>
      </c>
      <c r="DG18" s="213"/>
      <c r="DH18" s="214"/>
      <c r="DI18" s="214"/>
      <c r="DJ18" s="215"/>
      <c r="DK18" s="216"/>
      <c r="DL18" s="193"/>
      <c r="DM18" s="533" t="str">
        <f>IF($B18="","",IF(INDEX(BDHKI,MATCH(DiemHKII!$C18,DiemHKI!$DI$4:$DI$58,0),DM$67)&lt;&gt;"",INDEX(BDHKI,MATCH(DiemHKII!$C18,DiemHKI!$DI$4:$DI$58,0),DM$67),""))</f>
        <v>Đ</v>
      </c>
      <c r="DN18" s="533" t="str">
        <f t="shared" si="23"/>
        <v/>
      </c>
      <c r="DO18" s="533" t="str">
        <f t="shared" si="24"/>
        <v>Đ</v>
      </c>
      <c r="DP18" s="187"/>
      <c r="DQ18" s="185"/>
      <c r="DR18" s="185"/>
      <c r="DS18" s="552"/>
      <c r="DT18" s="188"/>
      <c r="DU18" s="187"/>
      <c r="DV18" s="435">
        <f>IF($B18="","",IF(INDEX(BDHKI,MATCH(DiemHKII!$C18,DiemHKI!$DI$4:$DI$58,0),DV$67)&lt;&gt;"",INDEX(BDHKI,MATCH(DiemHKII!$C18,DiemHKI!$DI$4:$DI$58,0),DV$67),""))</f>
        <v>9.9</v>
      </c>
      <c r="DW18" s="435" t="str">
        <f t="shared" si="25"/>
        <v/>
      </c>
      <c r="DX18" s="436" t="str">
        <f t="shared" si="26"/>
        <v/>
      </c>
      <c r="DY18" s="187"/>
      <c r="DZ18" s="185"/>
      <c r="EA18" s="185"/>
      <c r="EB18" s="552"/>
      <c r="EC18" s="188"/>
      <c r="ED18" s="187"/>
      <c r="EE18" s="410" t="str">
        <f>IF($B18="","",IF(INDEX(BDHKI,MATCH(DiemHKII!$C18,DiemHKI!$DI$4:$DI$58,0),EE$67)&lt;&gt;"",INDEX(BDHKI,MATCH(DiemHKII!$C18,DiemHKI!$DI$4:$DI$58,0),EE$67),""))</f>
        <v/>
      </c>
      <c r="EF18" s="410" t="str">
        <f t="shared" si="27"/>
        <v/>
      </c>
      <c r="EG18" s="411" t="str">
        <f t="shared" si="28"/>
        <v/>
      </c>
      <c r="EH18" s="194"/>
      <c r="EI18" s="182"/>
      <c r="EJ18" s="183"/>
      <c r="EK18" s="195"/>
    </row>
    <row r="19" spans="1:141" s="30" customFormat="1" ht="15.9" customHeight="1">
      <c r="A19" s="407"/>
      <c r="B19" s="111">
        <f>IF(D19&lt;&gt;"",MAX($B$4:B18)+1,"")</f>
        <v>16</v>
      </c>
      <c r="C19" s="341" t="str">
        <f t="shared" si="0"/>
        <v>12A1Trần ĐăngKhải22/04/2004</v>
      </c>
      <c r="D19" s="196" t="s">
        <v>681</v>
      </c>
      <c r="E19" s="197" t="s">
        <v>733</v>
      </c>
      <c r="F19" s="198" t="s">
        <v>734</v>
      </c>
      <c r="G19" s="199" t="s">
        <v>735</v>
      </c>
      <c r="H19" s="199"/>
      <c r="I19" s="553"/>
      <c r="J19" s="196"/>
      <c r="K19" s="196"/>
      <c r="L19" s="204"/>
      <c r="M19" s="202"/>
      <c r="N19" s="202"/>
      <c r="O19" s="554"/>
      <c r="P19" s="205"/>
      <c r="Q19" s="204"/>
      <c r="R19" s="412">
        <f>IF($B19="","",IF(INDEX(BDHKI,MATCH(DiemHKII!$C19,DiemHKI!$DI$4:$DI$58,0),R$67)&lt;&gt;"",INDEX(BDHKI,MATCH(DiemHKII!$C19,DiemHKI!$DI$4:$DI$58,0),R$67),""))</f>
        <v>9.6</v>
      </c>
      <c r="S19" s="412" t="str">
        <f t="shared" si="1"/>
        <v/>
      </c>
      <c r="T19" s="413" t="str">
        <f t="shared" si="2"/>
        <v/>
      </c>
      <c r="U19" s="204"/>
      <c r="V19" s="202"/>
      <c r="W19" s="202"/>
      <c r="X19" s="554"/>
      <c r="Y19" s="205"/>
      <c r="Z19" s="204"/>
      <c r="AA19" s="437">
        <f>IF($B19="","",IF(INDEX(BDHKI,MATCH(DiemHKII!$C19,DiemHKI!$DI$4:$DI$58,0),AA$67)&lt;&gt;"",INDEX(BDHKI,MATCH(DiemHKII!$C19,DiemHKI!$DI$4:$DI$58,0),AA$67),""))</f>
        <v>9.4</v>
      </c>
      <c r="AB19" s="437" t="str">
        <f t="shared" si="3"/>
        <v/>
      </c>
      <c r="AC19" s="438" t="str">
        <f t="shared" si="4"/>
        <v/>
      </c>
      <c r="AD19" s="204"/>
      <c r="AE19" s="202"/>
      <c r="AF19" s="202"/>
      <c r="AG19" s="554"/>
      <c r="AH19" s="205"/>
      <c r="AI19" s="204"/>
      <c r="AJ19" s="412">
        <f>IF($B19="","",IF(INDEX(BDHKI,MATCH(DiemHKII!$C19,DiemHKI!$DI$4:$DI$58,0),AJ$67)&lt;&gt;"",INDEX(BDHKI,MATCH(DiemHKII!$C19,DiemHKI!$DI$4:$DI$58,0),AJ$67),""))</f>
        <v>9.6</v>
      </c>
      <c r="AK19" s="412" t="str">
        <f t="shared" si="5"/>
        <v/>
      </c>
      <c r="AL19" s="413" t="str">
        <f t="shared" si="6"/>
        <v/>
      </c>
      <c r="AM19" s="204"/>
      <c r="AN19" s="202"/>
      <c r="AO19" s="202"/>
      <c r="AP19" s="554"/>
      <c r="AQ19" s="205"/>
      <c r="AR19" s="204"/>
      <c r="AS19" s="437">
        <f>IF($B19="","",IF(INDEX(BDHKI,MATCH(DiemHKII!$C19,DiemHKI!$DI$4:$DI$58,0),AS$67)&lt;&gt;"",INDEX(BDHKI,MATCH(DiemHKII!$C19,DiemHKI!$DI$4:$DI$58,0),AS$67),""))</f>
        <v>9</v>
      </c>
      <c r="AT19" s="437" t="str">
        <f t="shared" si="7"/>
        <v/>
      </c>
      <c r="AU19" s="438" t="str">
        <f t="shared" si="8"/>
        <v/>
      </c>
      <c r="AV19" s="204"/>
      <c r="AW19" s="202"/>
      <c r="AX19" s="202"/>
      <c r="AY19" s="554"/>
      <c r="AZ19" s="205"/>
      <c r="BA19" s="204"/>
      <c r="BB19" s="412">
        <f>IF($B19="","",IF(INDEX(BDHKI,MATCH(DiemHKII!$C19,DiemHKI!$DI$4:$DI$58,0),BB$67)&lt;&gt;"",INDEX(BDHKI,MATCH(DiemHKII!$C19,DiemHKI!$DI$4:$DI$58,0),BB$67),""))</f>
        <v>9.8000000000000007</v>
      </c>
      <c r="BC19" s="412" t="str">
        <f t="shared" si="9"/>
        <v/>
      </c>
      <c r="BD19" s="413" t="str">
        <f t="shared" si="10"/>
        <v/>
      </c>
      <c r="BE19" s="204"/>
      <c r="BF19" s="202"/>
      <c r="BG19" s="202"/>
      <c r="BH19" s="554"/>
      <c r="BI19" s="205"/>
      <c r="BJ19" s="204"/>
      <c r="BK19" s="437">
        <f>IF($B19="","",IF(INDEX(BDHKI,MATCH(DiemHKII!$C19,DiemHKI!$DI$4:$DI$58,0),BK$67)&lt;&gt;"",INDEX(BDHKI,MATCH(DiemHKII!$C19,DiemHKI!$DI$4:$DI$58,0),BK$67),""))</f>
        <v>7.3</v>
      </c>
      <c r="BL19" s="437" t="str">
        <f t="shared" si="11"/>
        <v/>
      </c>
      <c r="BM19" s="438" t="str">
        <f t="shared" si="12"/>
        <v/>
      </c>
      <c r="BN19" s="204"/>
      <c r="BO19" s="202"/>
      <c r="BP19" s="202"/>
      <c r="BQ19" s="554"/>
      <c r="BR19" s="205"/>
      <c r="BS19" s="204"/>
      <c r="BT19" s="412">
        <f>IF($B19="","",IF(INDEX(BDHKI,MATCH(DiemHKII!$C19,DiemHKI!$DI$4:$DI$58,0),BT$67)&lt;&gt;"",INDEX(BDHKI,MATCH(DiemHKII!$C19,DiemHKI!$DI$4:$DI$58,0),BT$67),""))</f>
        <v>9.9</v>
      </c>
      <c r="BU19" s="412" t="str">
        <f t="shared" si="13"/>
        <v/>
      </c>
      <c r="BV19" s="413" t="str">
        <f t="shared" si="14"/>
        <v/>
      </c>
      <c r="BW19" s="204"/>
      <c r="BX19" s="202"/>
      <c r="BY19" s="202"/>
      <c r="BZ19" s="554"/>
      <c r="CA19" s="205"/>
      <c r="CB19" s="204"/>
      <c r="CC19" s="412">
        <f>IF($B19="","",IF(INDEX(BDHKI,MATCH(DiemHKII!$C19,DiemHKI!$DI$4:$DI$58,0),CC$67)&lt;&gt;"",INDEX(BDHKI,MATCH(DiemHKII!$C19,DiemHKI!$DI$4:$DI$58,0),CC$67),""))</f>
        <v>9.9</v>
      </c>
      <c r="CD19" s="412" t="str">
        <f t="shared" si="15"/>
        <v/>
      </c>
      <c r="CE19" s="413" t="str">
        <f t="shared" si="16"/>
        <v/>
      </c>
      <c r="CF19" s="204"/>
      <c r="CG19" s="202"/>
      <c r="CH19" s="202"/>
      <c r="CI19" s="554"/>
      <c r="CJ19" s="205"/>
      <c r="CK19" s="204"/>
      <c r="CL19" s="437">
        <f>IF($B19="","",IF(INDEX(BDHKI,MATCH(DiemHKII!$C19,DiemHKI!$DI$4:$DI$58,0),CL$67)&lt;&gt;"",INDEX(BDHKI,MATCH(DiemHKII!$C19,DiemHKI!$DI$4:$DI$58,0),CL$67),""))</f>
        <v>9.6999999999999993</v>
      </c>
      <c r="CM19" s="437" t="str">
        <f t="shared" si="17"/>
        <v/>
      </c>
      <c r="CN19" s="438" t="str">
        <f t="shared" si="18"/>
        <v/>
      </c>
      <c r="CO19" s="204"/>
      <c r="CP19" s="202"/>
      <c r="CQ19" s="202"/>
      <c r="CR19" s="554"/>
      <c r="CS19" s="205"/>
      <c r="CT19" s="204"/>
      <c r="CU19" s="412">
        <f>IF($B19="","",IF(INDEX(BDHKI,MATCH(DiemHKII!$C19,DiemHKI!$DI$4:$DI$58,0),CU$67)&lt;&gt;"",INDEX(BDHKI,MATCH(DiemHKII!$C19,DiemHKI!$DI$4:$DI$58,0),CU$67),""))</f>
        <v>9.1</v>
      </c>
      <c r="CV19" s="412" t="str">
        <f t="shared" si="19"/>
        <v/>
      </c>
      <c r="CW19" s="413" t="str">
        <f t="shared" si="20"/>
        <v/>
      </c>
      <c r="CX19" s="204"/>
      <c r="CY19" s="202"/>
      <c r="CZ19" s="202"/>
      <c r="DA19" s="554"/>
      <c r="DB19" s="205"/>
      <c r="DC19" s="204"/>
      <c r="DD19" s="437">
        <f>IF($B19="","",IF(INDEX(BDHKI,MATCH(DiemHKII!$C19,DiemHKI!$DI$4:$DI$58,0),DD$67)&lt;&gt;"",INDEX(BDHKI,MATCH(DiemHKII!$C19,DiemHKI!$DI$4:$DI$58,0),DD$67),""))</f>
        <v>9.9</v>
      </c>
      <c r="DE19" s="437" t="str">
        <f t="shared" si="21"/>
        <v/>
      </c>
      <c r="DF19" s="438" t="str">
        <f t="shared" si="22"/>
        <v/>
      </c>
      <c r="DG19" s="206"/>
      <c r="DH19" s="207"/>
      <c r="DI19" s="207"/>
      <c r="DJ19" s="208"/>
      <c r="DK19" s="209"/>
      <c r="DL19" s="210"/>
      <c r="DM19" s="531" t="str">
        <f>IF($B19="","",IF(INDEX(BDHKI,MATCH(DiemHKII!$C19,DiemHKI!$DI$4:$DI$58,0),DM$67)&lt;&gt;"",INDEX(BDHKI,MATCH(DiemHKII!$C19,DiemHKI!$DI$4:$DI$58,0),DM$67),""))</f>
        <v>Đ</v>
      </c>
      <c r="DN19" s="531" t="str">
        <f t="shared" si="23"/>
        <v/>
      </c>
      <c r="DO19" s="531" t="str">
        <f t="shared" si="24"/>
        <v>Đ</v>
      </c>
      <c r="DP19" s="204"/>
      <c r="DQ19" s="202"/>
      <c r="DR19" s="202"/>
      <c r="DS19" s="554"/>
      <c r="DT19" s="205"/>
      <c r="DU19" s="204"/>
      <c r="DV19" s="437">
        <f>IF($B19="","",IF(INDEX(BDHKI,MATCH(DiemHKII!$C19,DiemHKI!$DI$4:$DI$58,0),DV$67)&lt;&gt;"",INDEX(BDHKI,MATCH(DiemHKII!$C19,DiemHKI!$DI$4:$DI$58,0),DV$67),""))</f>
        <v>9.9</v>
      </c>
      <c r="DW19" s="437" t="str">
        <f t="shared" si="25"/>
        <v/>
      </c>
      <c r="DX19" s="438" t="str">
        <f t="shared" si="26"/>
        <v/>
      </c>
      <c r="DY19" s="204"/>
      <c r="DZ19" s="202"/>
      <c r="EA19" s="202"/>
      <c r="EB19" s="554"/>
      <c r="EC19" s="205"/>
      <c r="ED19" s="204"/>
      <c r="EE19" s="412" t="str">
        <f>IF($B19="","",IF(INDEX(BDHKI,MATCH(DiemHKII!$C19,DiemHKI!$DI$4:$DI$58,0),EE$67)&lt;&gt;"",INDEX(BDHKI,MATCH(DiemHKII!$C19,DiemHKI!$DI$4:$DI$58,0),EE$67),""))</f>
        <v/>
      </c>
      <c r="EF19" s="412" t="str">
        <f t="shared" si="27"/>
        <v/>
      </c>
      <c r="EG19" s="413" t="str">
        <f t="shared" si="28"/>
        <v/>
      </c>
      <c r="EH19" s="559"/>
      <c r="EI19" s="545"/>
      <c r="EJ19" s="560"/>
      <c r="EK19" s="561"/>
    </row>
    <row r="20" spans="1:141" s="30" customFormat="1" ht="15.9" customHeight="1">
      <c r="A20" s="407"/>
      <c r="B20" s="99">
        <f>IF(D20&lt;&gt;"",MAX($B$4:B19)+1,"")</f>
        <v>17</v>
      </c>
      <c r="C20" s="339" t="str">
        <f t="shared" si="0"/>
        <v>12A1Nguyễn Huỳnh PhúcKhang14/12/2004</v>
      </c>
      <c r="D20" s="166" t="s">
        <v>681</v>
      </c>
      <c r="E20" s="167" t="s">
        <v>736</v>
      </c>
      <c r="F20" s="168" t="s">
        <v>737</v>
      </c>
      <c r="G20" s="163" t="s">
        <v>738</v>
      </c>
      <c r="H20" s="163"/>
      <c r="I20" s="549"/>
      <c r="J20" s="166"/>
      <c r="K20" s="166"/>
      <c r="L20" s="172"/>
      <c r="M20" s="170"/>
      <c r="N20" s="170"/>
      <c r="O20" s="550"/>
      <c r="P20" s="173"/>
      <c r="Q20" s="172"/>
      <c r="R20" s="408">
        <f>IF($B20="","",IF(INDEX(BDHKI,MATCH(DiemHKII!$C20,DiemHKI!$DI$4:$DI$58,0),R$67)&lt;&gt;"",INDEX(BDHKI,MATCH(DiemHKII!$C20,DiemHKI!$DI$4:$DI$58,0),R$67),""))</f>
        <v>9</v>
      </c>
      <c r="S20" s="408" t="str">
        <f t="shared" si="1"/>
        <v/>
      </c>
      <c r="T20" s="409" t="str">
        <f t="shared" si="2"/>
        <v/>
      </c>
      <c r="U20" s="172"/>
      <c r="V20" s="170"/>
      <c r="W20" s="170"/>
      <c r="X20" s="550"/>
      <c r="Y20" s="173"/>
      <c r="Z20" s="172"/>
      <c r="AA20" s="433">
        <f>IF($B20="","",IF(INDEX(BDHKI,MATCH(DiemHKII!$C20,DiemHKI!$DI$4:$DI$58,0),AA$67)&lt;&gt;"",INDEX(BDHKI,MATCH(DiemHKII!$C20,DiemHKI!$DI$4:$DI$58,0),AA$67),""))</f>
        <v>9.3000000000000007</v>
      </c>
      <c r="AB20" s="433" t="str">
        <f t="shared" si="3"/>
        <v/>
      </c>
      <c r="AC20" s="434" t="str">
        <f t="shared" si="4"/>
        <v/>
      </c>
      <c r="AD20" s="172"/>
      <c r="AE20" s="170"/>
      <c r="AF20" s="170"/>
      <c r="AG20" s="550"/>
      <c r="AH20" s="173"/>
      <c r="AI20" s="172"/>
      <c r="AJ20" s="408">
        <f>IF($B20="","",IF(INDEX(BDHKI,MATCH(DiemHKII!$C20,DiemHKI!$DI$4:$DI$58,0),AJ$67)&lt;&gt;"",INDEX(BDHKI,MATCH(DiemHKII!$C20,DiemHKI!$DI$4:$DI$58,0),AJ$67),""))</f>
        <v>8.3000000000000007</v>
      </c>
      <c r="AK20" s="408" t="str">
        <f t="shared" si="5"/>
        <v/>
      </c>
      <c r="AL20" s="409" t="str">
        <f t="shared" si="6"/>
        <v/>
      </c>
      <c r="AM20" s="172"/>
      <c r="AN20" s="170"/>
      <c r="AO20" s="170"/>
      <c r="AP20" s="550"/>
      <c r="AQ20" s="173"/>
      <c r="AR20" s="172"/>
      <c r="AS20" s="433">
        <f>IF($B20="","",IF(INDEX(BDHKI,MATCH(DiemHKII!$C20,DiemHKI!$DI$4:$DI$58,0),AS$67)&lt;&gt;"",INDEX(BDHKI,MATCH(DiemHKII!$C20,DiemHKI!$DI$4:$DI$58,0),AS$67),""))</f>
        <v>9.1999999999999993</v>
      </c>
      <c r="AT20" s="433" t="str">
        <f t="shared" si="7"/>
        <v/>
      </c>
      <c r="AU20" s="434" t="str">
        <f t="shared" si="8"/>
        <v/>
      </c>
      <c r="AV20" s="172"/>
      <c r="AW20" s="170"/>
      <c r="AX20" s="170"/>
      <c r="AY20" s="550"/>
      <c r="AZ20" s="173"/>
      <c r="BA20" s="172"/>
      <c r="BB20" s="408">
        <f>IF($B20="","",IF(INDEX(BDHKI,MATCH(DiemHKII!$C20,DiemHKI!$DI$4:$DI$58,0),BB$67)&lt;&gt;"",INDEX(BDHKI,MATCH(DiemHKII!$C20,DiemHKI!$DI$4:$DI$58,0),BB$67),""))</f>
        <v>9.6</v>
      </c>
      <c r="BC20" s="408" t="str">
        <f t="shared" si="9"/>
        <v/>
      </c>
      <c r="BD20" s="409" t="str">
        <f t="shared" si="10"/>
        <v/>
      </c>
      <c r="BE20" s="172"/>
      <c r="BF20" s="170"/>
      <c r="BG20" s="170"/>
      <c r="BH20" s="550"/>
      <c r="BI20" s="173"/>
      <c r="BJ20" s="172"/>
      <c r="BK20" s="433">
        <f>IF($B20="","",IF(INDEX(BDHKI,MATCH(DiemHKII!$C20,DiemHKI!$DI$4:$DI$58,0),BK$67)&lt;&gt;"",INDEX(BDHKI,MATCH(DiemHKII!$C20,DiemHKI!$DI$4:$DI$58,0),BK$67),""))</f>
        <v>7.9</v>
      </c>
      <c r="BL20" s="433" t="str">
        <f t="shared" si="11"/>
        <v/>
      </c>
      <c r="BM20" s="434" t="str">
        <f t="shared" si="12"/>
        <v/>
      </c>
      <c r="BN20" s="172"/>
      <c r="BO20" s="170"/>
      <c r="BP20" s="170"/>
      <c r="BQ20" s="550"/>
      <c r="BR20" s="173"/>
      <c r="BS20" s="172"/>
      <c r="BT20" s="408">
        <f>IF($B20="","",IF(INDEX(BDHKI,MATCH(DiemHKII!$C20,DiemHKI!$DI$4:$DI$58,0),BT$67)&lt;&gt;"",INDEX(BDHKI,MATCH(DiemHKII!$C20,DiemHKI!$DI$4:$DI$58,0),BT$67),""))</f>
        <v>9.6</v>
      </c>
      <c r="BU20" s="408" t="str">
        <f t="shared" si="13"/>
        <v/>
      </c>
      <c r="BV20" s="409" t="str">
        <f t="shared" si="14"/>
        <v/>
      </c>
      <c r="BW20" s="172"/>
      <c r="BX20" s="170"/>
      <c r="BY20" s="170"/>
      <c r="BZ20" s="550"/>
      <c r="CA20" s="173"/>
      <c r="CB20" s="172"/>
      <c r="CC20" s="408">
        <f>IF($B20="","",IF(INDEX(BDHKI,MATCH(DiemHKII!$C20,DiemHKI!$DI$4:$DI$58,0),CC$67)&lt;&gt;"",INDEX(BDHKI,MATCH(DiemHKII!$C20,DiemHKI!$DI$4:$DI$58,0),CC$67),""))</f>
        <v>9.9</v>
      </c>
      <c r="CD20" s="408" t="str">
        <f t="shared" si="15"/>
        <v/>
      </c>
      <c r="CE20" s="409" t="str">
        <f t="shared" si="16"/>
        <v/>
      </c>
      <c r="CF20" s="172"/>
      <c r="CG20" s="170"/>
      <c r="CH20" s="170"/>
      <c r="CI20" s="550"/>
      <c r="CJ20" s="173"/>
      <c r="CK20" s="172"/>
      <c r="CL20" s="433">
        <f>IF($B20="","",IF(INDEX(BDHKI,MATCH(DiemHKII!$C20,DiemHKI!$DI$4:$DI$58,0),CL$67)&lt;&gt;"",INDEX(BDHKI,MATCH(DiemHKII!$C20,DiemHKI!$DI$4:$DI$58,0),CL$67),""))</f>
        <v>9.1999999999999993</v>
      </c>
      <c r="CM20" s="433" t="str">
        <f t="shared" si="17"/>
        <v/>
      </c>
      <c r="CN20" s="434" t="str">
        <f t="shared" si="18"/>
        <v/>
      </c>
      <c r="CO20" s="172"/>
      <c r="CP20" s="170"/>
      <c r="CQ20" s="170"/>
      <c r="CR20" s="550"/>
      <c r="CS20" s="173"/>
      <c r="CT20" s="172"/>
      <c r="CU20" s="408">
        <f>IF($B20="","",IF(INDEX(BDHKI,MATCH(DiemHKII!$C20,DiemHKI!$DI$4:$DI$58,0),CU$67)&lt;&gt;"",INDEX(BDHKI,MATCH(DiemHKII!$C20,DiemHKI!$DI$4:$DI$58,0),CU$67),""))</f>
        <v>9.5</v>
      </c>
      <c r="CV20" s="408" t="str">
        <f t="shared" si="19"/>
        <v/>
      </c>
      <c r="CW20" s="409" t="str">
        <f t="shared" si="20"/>
        <v/>
      </c>
      <c r="CX20" s="172"/>
      <c r="CY20" s="170"/>
      <c r="CZ20" s="170"/>
      <c r="DA20" s="550"/>
      <c r="DB20" s="173"/>
      <c r="DC20" s="172"/>
      <c r="DD20" s="433">
        <f>IF($B20="","",IF(INDEX(BDHKI,MATCH(DiemHKII!$C20,DiemHKI!$DI$4:$DI$58,0),DD$67)&lt;&gt;"",INDEX(BDHKI,MATCH(DiemHKII!$C20,DiemHKI!$DI$4:$DI$58,0),DD$67),""))</f>
        <v>9.8000000000000007</v>
      </c>
      <c r="DE20" s="433" t="str">
        <f t="shared" si="21"/>
        <v/>
      </c>
      <c r="DF20" s="434" t="str">
        <f t="shared" si="22"/>
        <v/>
      </c>
      <c r="DG20" s="206"/>
      <c r="DH20" s="207"/>
      <c r="DI20" s="207"/>
      <c r="DJ20" s="208"/>
      <c r="DK20" s="209"/>
      <c r="DL20" s="178"/>
      <c r="DM20" s="532" t="str">
        <f>IF($B20="","",IF(INDEX(BDHKI,MATCH(DiemHKII!$C20,DiemHKI!$DI$4:$DI$58,0),DM$67)&lt;&gt;"",INDEX(BDHKI,MATCH(DiemHKII!$C20,DiemHKI!$DI$4:$DI$58,0),DM$67),""))</f>
        <v>Đ</v>
      </c>
      <c r="DN20" s="532" t="str">
        <f t="shared" si="23"/>
        <v/>
      </c>
      <c r="DO20" s="532" t="str">
        <f t="shared" si="24"/>
        <v>Đ</v>
      </c>
      <c r="DP20" s="172"/>
      <c r="DQ20" s="170"/>
      <c r="DR20" s="170"/>
      <c r="DS20" s="550"/>
      <c r="DT20" s="173"/>
      <c r="DU20" s="172"/>
      <c r="DV20" s="433">
        <f>IF($B20="","",IF(INDEX(BDHKI,MATCH(DiemHKII!$C20,DiemHKI!$DI$4:$DI$58,0),DV$67)&lt;&gt;"",INDEX(BDHKI,MATCH(DiemHKII!$C20,DiemHKI!$DI$4:$DI$58,0),DV$67),""))</f>
        <v>9.9</v>
      </c>
      <c r="DW20" s="433" t="str">
        <f t="shared" si="25"/>
        <v/>
      </c>
      <c r="DX20" s="434" t="str">
        <f t="shared" si="26"/>
        <v/>
      </c>
      <c r="DY20" s="172"/>
      <c r="DZ20" s="170"/>
      <c r="EA20" s="170"/>
      <c r="EB20" s="550"/>
      <c r="EC20" s="173"/>
      <c r="ED20" s="172"/>
      <c r="EE20" s="408" t="str">
        <f>IF($B20="","",IF(INDEX(BDHKI,MATCH(DiemHKII!$C20,DiemHKI!$DI$4:$DI$58,0),EE$67)&lt;&gt;"",INDEX(BDHKI,MATCH(DiemHKII!$C20,DiemHKI!$DI$4:$DI$58,0),EE$67),""))</f>
        <v/>
      </c>
      <c r="EF20" s="408" t="str">
        <f t="shared" si="27"/>
        <v/>
      </c>
      <c r="EG20" s="409" t="str">
        <f t="shared" si="28"/>
        <v/>
      </c>
      <c r="EH20" s="162"/>
      <c r="EI20" s="163"/>
      <c r="EJ20" s="164"/>
      <c r="EK20" s="165"/>
    </row>
    <row r="21" spans="1:141" s="30" customFormat="1" ht="15.9" customHeight="1">
      <c r="A21" s="407"/>
      <c r="B21" s="99">
        <f>IF(D21&lt;&gt;"",MAX($B$4:B20)+1,"")</f>
        <v>18</v>
      </c>
      <c r="C21" s="339" t="str">
        <f t="shared" si="0"/>
        <v>12A1Nguyễn ĐăngKhoa07/11/2004</v>
      </c>
      <c r="D21" s="166" t="s">
        <v>681</v>
      </c>
      <c r="E21" s="167" t="s">
        <v>739</v>
      </c>
      <c r="F21" s="168" t="s">
        <v>740</v>
      </c>
      <c r="G21" s="163" t="s">
        <v>741</v>
      </c>
      <c r="H21" s="163"/>
      <c r="I21" s="549"/>
      <c r="J21" s="166"/>
      <c r="K21" s="166"/>
      <c r="L21" s="172"/>
      <c r="M21" s="170"/>
      <c r="N21" s="170"/>
      <c r="O21" s="550"/>
      <c r="P21" s="173"/>
      <c r="Q21" s="172"/>
      <c r="R21" s="408">
        <f>IF($B21="","",IF(INDEX(BDHKI,MATCH(DiemHKII!$C21,DiemHKI!$DI$4:$DI$58,0),R$67)&lt;&gt;"",INDEX(BDHKI,MATCH(DiemHKII!$C21,DiemHKI!$DI$4:$DI$58,0),R$67),""))</f>
        <v>9.9</v>
      </c>
      <c r="S21" s="408" t="str">
        <f t="shared" si="1"/>
        <v/>
      </c>
      <c r="T21" s="409" t="str">
        <f t="shared" si="2"/>
        <v/>
      </c>
      <c r="U21" s="172"/>
      <c r="V21" s="170"/>
      <c r="W21" s="170"/>
      <c r="X21" s="550"/>
      <c r="Y21" s="173"/>
      <c r="Z21" s="172"/>
      <c r="AA21" s="433">
        <f>IF($B21="","",IF(INDEX(BDHKI,MATCH(DiemHKII!$C21,DiemHKI!$DI$4:$DI$58,0),AA$67)&lt;&gt;"",INDEX(BDHKI,MATCH(DiemHKII!$C21,DiemHKI!$DI$4:$DI$58,0),AA$67),""))</f>
        <v>10</v>
      </c>
      <c r="AB21" s="433" t="str">
        <f t="shared" si="3"/>
        <v/>
      </c>
      <c r="AC21" s="434" t="str">
        <f t="shared" si="4"/>
        <v/>
      </c>
      <c r="AD21" s="172"/>
      <c r="AE21" s="170"/>
      <c r="AF21" s="170"/>
      <c r="AG21" s="550"/>
      <c r="AH21" s="173"/>
      <c r="AI21" s="172"/>
      <c r="AJ21" s="408">
        <f>IF($B21="","",IF(INDEX(BDHKI,MATCH(DiemHKII!$C21,DiemHKI!$DI$4:$DI$58,0),AJ$67)&lt;&gt;"",INDEX(BDHKI,MATCH(DiemHKII!$C21,DiemHKI!$DI$4:$DI$58,0),AJ$67),""))</f>
        <v>9.9</v>
      </c>
      <c r="AK21" s="408" t="str">
        <f t="shared" si="5"/>
        <v/>
      </c>
      <c r="AL21" s="409" t="str">
        <f t="shared" si="6"/>
        <v/>
      </c>
      <c r="AM21" s="172"/>
      <c r="AN21" s="170"/>
      <c r="AO21" s="170"/>
      <c r="AP21" s="550"/>
      <c r="AQ21" s="173"/>
      <c r="AR21" s="172"/>
      <c r="AS21" s="433">
        <f>IF($B21="","",IF(INDEX(BDHKI,MATCH(DiemHKII!$C21,DiemHKI!$DI$4:$DI$58,0),AS$67)&lt;&gt;"",INDEX(BDHKI,MATCH(DiemHKII!$C21,DiemHKI!$DI$4:$DI$58,0),AS$67),""))</f>
        <v>9.5</v>
      </c>
      <c r="AT21" s="433" t="str">
        <f t="shared" si="7"/>
        <v/>
      </c>
      <c r="AU21" s="434" t="str">
        <f t="shared" si="8"/>
        <v/>
      </c>
      <c r="AV21" s="172"/>
      <c r="AW21" s="170"/>
      <c r="AX21" s="170"/>
      <c r="AY21" s="550"/>
      <c r="AZ21" s="173"/>
      <c r="BA21" s="172"/>
      <c r="BB21" s="408">
        <f>IF($B21="","",IF(INDEX(BDHKI,MATCH(DiemHKII!$C21,DiemHKI!$DI$4:$DI$58,0),BB$67)&lt;&gt;"",INDEX(BDHKI,MATCH(DiemHKII!$C21,DiemHKI!$DI$4:$DI$58,0),BB$67),""))</f>
        <v>9.8000000000000007</v>
      </c>
      <c r="BC21" s="408" t="str">
        <f t="shared" si="9"/>
        <v/>
      </c>
      <c r="BD21" s="409" t="str">
        <f t="shared" si="10"/>
        <v/>
      </c>
      <c r="BE21" s="172"/>
      <c r="BF21" s="170"/>
      <c r="BG21" s="170"/>
      <c r="BH21" s="550"/>
      <c r="BI21" s="173"/>
      <c r="BJ21" s="172"/>
      <c r="BK21" s="433">
        <f>IF($B21="","",IF(INDEX(BDHKI,MATCH(DiemHKII!$C21,DiemHKI!$DI$4:$DI$58,0),BK$67)&lt;&gt;"",INDEX(BDHKI,MATCH(DiemHKII!$C21,DiemHKI!$DI$4:$DI$58,0),BK$67),""))</f>
        <v>8.1</v>
      </c>
      <c r="BL21" s="433" t="str">
        <f t="shared" si="11"/>
        <v/>
      </c>
      <c r="BM21" s="434" t="str">
        <f t="shared" si="12"/>
        <v/>
      </c>
      <c r="BN21" s="172"/>
      <c r="BO21" s="170"/>
      <c r="BP21" s="170"/>
      <c r="BQ21" s="550"/>
      <c r="BR21" s="173"/>
      <c r="BS21" s="172"/>
      <c r="BT21" s="408">
        <f>IF($B21="","",IF(INDEX(BDHKI,MATCH(DiemHKII!$C21,DiemHKI!$DI$4:$DI$58,0),BT$67)&lt;&gt;"",INDEX(BDHKI,MATCH(DiemHKII!$C21,DiemHKI!$DI$4:$DI$58,0),BT$67),""))</f>
        <v>9.8000000000000007</v>
      </c>
      <c r="BU21" s="408" t="str">
        <f t="shared" si="13"/>
        <v/>
      </c>
      <c r="BV21" s="409" t="str">
        <f t="shared" si="14"/>
        <v/>
      </c>
      <c r="BW21" s="172"/>
      <c r="BX21" s="170"/>
      <c r="BY21" s="170"/>
      <c r="BZ21" s="550"/>
      <c r="CA21" s="173"/>
      <c r="CB21" s="172"/>
      <c r="CC21" s="408">
        <f>IF($B21="","",IF(INDEX(BDHKI,MATCH(DiemHKII!$C21,DiemHKI!$DI$4:$DI$58,0),CC$67)&lt;&gt;"",INDEX(BDHKI,MATCH(DiemHKII!$C21,DiemHKI!$DI$4:$DI$58,0),CC$67),""))</f>
        <v>9.9</v>
      </c>
      <c r="CD21" s="408" t="str">
        <f t="shared" si="15"/>
        <v/>
      </c>
      <c r="CE21" s="409" t="str">
        <f t="shared" si="16"/>
        <v/>
      </c>
      <c r="CF21" s="172"/>
      <c r="CG21" s="170"/>
      <c r="CH21" s="170"/>
      <c r="CI21" s="550"/>
      <c r="CJ21" s="173"/>
      <c r="CK21" s="172"/>
      <c r="CL21" s="433">
        <f>IF($B21="","",IF(INDEX(BDHKI,MATCH(DiemHKII!$C21,DiemHKI!$DI$4:$DI$58,0),CL$67)&lt;&gt;"",INDEX(BDHKI,MATCH(DiemHKII!$C21,DiemHKI!$DI$4:$DI$58,0),CL$67),""))</f>
        <v>9.3000000000000007</v>
      </c>
      <c r="CM21" s="433" t="str">
        <f t="shared" si="17"/>
        <v/>
      </c>
      <c r="CN21" s="434" t="str">
        <f t="shared" si="18"/>
        <v/>
      </c>
      <c r="CO21" s="172"/>
      <c r="CP21" s="170"/>
      <c r="CQ21" s="170"/>
      <c r="CR21" s="550"/>
      <c r="CS21" s="173"/>
      <c r="CT21" s="172"/>
      <c r="CU21" s="408">
        <f>IF($B21="","",IF(INDEX(BDHKI,MATCH(DiemHKII!$C21,DiemHKI!$DI$4:$DI$58,0),CU$67)&lt;&gt;"",INDEX(BDHKI,MATCH(DiemHKII!$C21,DiemHKI!$DI$4:$DI$58,0),CU$67),""))</f>
        <v>9.3000000000000007</v>
      </c>
      <c r="CV21" s="408" t="str">
        <f t="shared" si="19"/>
        <v/>
      </c>
      <c r="CW21" s="409" t="str">
        <f t="shared" si="20"/>
        <v/>
      </c>
      <c r="CX21" s="172"/>
      <c r="CY21" s="170"/>
      <c r="CZ21" s="170"/>
      <c r="DA21" s="550"/>
      <c r="DB21" s="173"/>
      <c r="DC21" s="172"/>
      <c r="DD21" s="433">
        <f>IF($B21="","",IF(INDEX(BDHKI,MATCH(DiemHKII!$C21,DiemHKI!$DI$4:$DI$58,0),DD$67)&lt;&gt;"",INDEX(BDHKI,MATCH(DiemHKII!$C21,DiemHKI!$DI$4:$DI$58,0),DD$67),""))</f>
        <v>9.8000000000000007</v>
      </c>
      <c r="DE21" s="433" t="str">
        <f t="shared" si="21"/>
        <v/>
      </c>
      <c r="DF21" s="434" t="str">
        <f t="shared" si="22"/>
        <v/>
      </c>
      <c r="DG21" s="174"/>
      <c r="DH21" s="175"/>
      <c r="DI21" s="175"/>
      <c r="DJ21" s="176"/>
      <c r="DK21" s="177"/>
      <c r="DL21" s="178"/>
      <c r="DM21" s="532" t="str">
        <f>IF($B21="","",IF(INDEX(BDHKI,MATCH(DiemHKII!$C21,DiemHKI!$DI$4:$DI$58,0),DM$67)&lt;&gt;"",INDEX(BDHKI,MATCH(DiemHKII!$C21,DiemHKI!$DI$4:$DI$58,0),DM$67),""))</f>
        <v>Đ</v>
      </c>
      <c r="DN21" s="532" t="str">
        <f t="shared" si="23"/>
        <v/>
      </c>
      <c r="DO21" s="532" t="str">
        <f t="shared" si="24"/>
        <v>Đ</v>
      </c>
      <c r="DP21" s="172"/>
      <c r="DQ21" s="170"/>
      <c r="DR21" s="170"/>
      <c r="DS21" s="550"/>
      <c r="DT21" s="173"/>
      <c r="DU21" s="172"/>
      <c r="DV21" s="433">
        <f>IF($B21="","",IF(INDEX(BDHKI,MATCH(DiemHKII!$C21,DiemHKI!$DI$4:$DI$58,0),DV$67)&lt;&gt;"",INDEX(BDHKI,MATCH(DiemHKII!$C21,DiemHKI!$DI$4:$DI$58,0),DV$67),""))</f>
        <v>9.9</v>
      </c>
      <c r="DW21" s="433" t="str">
        <f t="shared" si="25"/>
        <v/>
      </c>
      <c r="DX21" s="434" t="str">
        <f t="shared" si="26"/>
        <v/>
      </c>
      <c r="DY21" s="172"/>
      <c r="DZ21" s="170"/>
      <c r="EA21" s="170"/>
      <c r="EB21" s="550"/>
      <c r="EC21" s="173"/>
      <c r="ED21" s="172"/>
      <c r="EE21" s="408" t="str">
        <f>IF($B21="","",IF(INDEX(BDHKI,MATCH(DiemHKII!$C21,DiemHKI!$DI$4:$DI$58,0),EE$67)&lt;&gt;"",INDEX(BDHKI,MATCH(DiemHKII!$C21,DiemHKI!$DI$4:$DI$58,0),EE$67),""))</f>
        <v/>
      </c>
      <c r="EF21" s="408" t="str">
        <f t="shared" si="27"/>
        <v/>
      </c>
      <c r="EG21" s="409" t="str">
        <f t="shared" si="28"/>
        <v/>
      </c>
      <c r="EH21" s="162"/>
      <c r="EI21" s="163"/>
      <c r="EJ21" s="164"/>
      <c r="EK21" s="165"/>
    </row>
    <row r="22" spans="1:141" s="30" customFormat="1" ht="15.9" customHeight="1">
      <c r="A22" s="407"/>
      <c r="B22" s="99">
        <f>IF(D22&lt;&gt;"",MAX($B$4:B21)+1,"")</f>
        <v>19</v>
      </c>
      <c r="C22" s="339" t="str">
        <f t="shared" si="0"/>
        <v>12A1Lê TiếnKhôi14/10/2004</v>
      </c>
      <c r="D22" s="166" t="s">
        <v>681</v>
      </c>
      <c r="E22" s="167" t="s">
        <v>742</v>
      </c>
      <c r="F22" s="168" t="s">
        <v>743</v>
      </c>
      <c r="G22" s="163" t="s">
        <v>744</v>
      </c>
      <c r="H22" s="163"/>
      <c r="I22" s="549"/>
      <c r="J22" s="166"/>
      <c r="K22" s="166"/>
      <c r="L22" s="172"/>
      <c r="M22" s="170"/>
      <c r="N22" s="170"/>
      <c r="O22" s="550"/>
      <c r="P22" s="173"/>
      <c r="Q22" s="172"/>
      <c r="R22" s="408">
        <f>IF($B22="","",IF(INDEX(BDHKI,MATCH(DiemHKII!$C22,DiemHKI!$DI$4:$DI$58,0),R$67)&lt;&gt;"",INDEX(BDHKI,MATCH(DiemHKII!$C22,DiemHKI!$DI$4:$DI$58,0),R$67),""))</f>
        <v>10</v>
      </c>
      <c r="S22" s="408" t="str">
        <f t="shared" si="1"/>
        <v/>
      </c>
      <c r="T22" s="409" t="str">
        <f t="shared" si="2"/>
        <v/>
      </c>
      <c r="U22" s="172"/>
      <c r="V22" s="170"/>
      <c r="W22" s="170"/>
      <c r="X22" s="550"/>
      <c r="Y22" s="173"/>
      <c r="Z22" s="172"/>
      <c r="AA22" s="433">
        <f>IF($B22="","",IF(INDEX(BDHKI,MATCH(DiemHKII!$C22,DiemHKI!$DI$4:$DI$58,0),AA$67)&lt;&gt;"",INDEX(BDHKI,MATCH(DiemHKII!$C22,DiemHKI!$DI$4:$DI$58,0),AA$67),""))</f>
        <v>10</v>
      </c>
      <c r="AB22" s="433" t="str">
        <f t="shared" si="3"/>
        <v/>
      </c>
      <c r="AC22" s="434" t="str">
        <f t="shared" si="4"/>
        <v/>
      </c>
      <c r="AD22" s="172"/>
      <c r="AE22" s="170"/>
      <c r="AF22" s="170"/>
      <c r="AG22" s="550"/>
      <c r="AH22" s="173"/>
      <c r="AI22" s="172"/>
      <c r="AJ22" s="408">
        <f>IF($B22="","",IF(INDEX(BDHKI,MATCH(DiemHKII!$C22,DiemHKI!$DI$4:$DI$58,0),AJ$67)&lt;&gt;"",INDEX(BDHKI,MATCH(DiemHKII!$C22,DiemHKI!$DI$4:$DI$58,0),AJ$67),""))</f>
        <v>9.9</v>
      </c>
      <c r="AK22" s="408" t="str">
        <f t="shared" si="5"/>
        <v/>
      </c>
      <c r="AL22" s="409" t="str">
        <f t="shared" si="6"/>
        <v/>
      </c>
      <c r="AM22" s="172"/>
      <c r="AN22" s="170"/>
      <c r="AO22" s="170"/>
      <c r="AP22" s="550"/>
      <c r="AQ22" s="173"/>
      <c r="AR22" s="172"/>
      <c r="AS22" s="433">
        <f>IF($B22="","",IF(INDEX(BDHKI,MATCH(DiemHKII!$C22,DiemHKI!$DI$4:$DI$58,0),AS$67)&lt;&gt;"",INDEX(BDHKI,MATCH(DiemHKII!$C22,DiemHKI!$DI$4:$DI$58,0),AS$67),""))</f>
        <v>9.4</v>
      </c>
      <c r="AT22" s="433" t="str">
        <f t="shared" si="7"/>
        <v/>
      </c>
      <c r="AU22" s="434" t="str">
        <f t="shared" si="8"/>
        <v/>
      </c>
      <c r="AV22" s="172"/>
      <c r="AW22" s="170"/>
      <c r="AX22" s="170"/>
      <c r="AY22" s="550"/>
      <c r="AZ22" s="173"/>
      <c r="BA22" s="172"/>
      <c r="BB22" s="408">
        <f>IF($B22="","",IF(INDEX(BDHKI,MATCH(DiemHKII!$C22,DiemHKI!$DI$4:$DI$58,0),BB$67)&lt;&gt;"",INDEX(BDHKI,MATCH(DiemHKII!$C22,DiemHKI!$DI$4:$DI$58,0),BB$67),""))</f>
        <v>9.8000000000000007</v>
      </c>
      <c r="BC22" s="408" t="str">
        <f t="shared" si="9"/>
        <v/>
      </c>
      <c r="BD22" s="409" t="str">
        <f t="shared" si="10"/>
        <v/>
      </c>
      <c r="BE22" s="172"/>
      <c r="BF22" s="170"/>
      <c r="BG22" s="170"/>
      <c r="BH22" s="550"/>
      <c r="BI22" s="173"/>
      <c r="BJ22" s="172"/>
      <c r="BK22" s="433">
        <f>IF($B22="","",IF(INDEX(BDHKI,MATCH(DiemHKII!$C22,DiemHKI!$DI$4:$DI$58,0),BK$67)&lt;&gt;"",INDEX(BDHKI,MATCH(DiemHKII!$C22,DiemHKI!$DI$4:$DI$58,0),BK$67),""))</f>
        <v>7.5</v>
      </c>
      <c r="BL22" s="433" t="str">
        <f t="shared" si="11"/>
        <v/>
      </c>
      <c r="BM22" s="434" t="str">
        <f t="shared" si="12"/>
        <v/>
      </c>
      <c r="BN22" s="172"/>
      <c r="BO22" s="170"/>
      <c r="BP22" s="170"/>
      <c r="BQ22" s="550"/>
      <c r="BR22" s="173"/>
      <c r="BS22" s="172"/>
      <c r="BT22" s="408">
        <f>IF($B22="","",IF(INDEX(BDHKI,MATCH(DiemHKII!$C22,DiemHKI!$DI$4:$DI$58,0),BT$67)&lt;&gt;"",INDEX(BDHKI,MATCH(DiemHKII!$C22,DiemHKI!$DI$4:$DI$58,0),BT$67),""))</f>
        <v>9.4</v>
      </c>
      <c r="BU22" s="408" t="str">
        <f t="shared" si="13"/>
        <v/>
      </c>
      <c r="BV22" s="409" t="str">
        <f t="shared" si="14"/>
        <v/>
      </c>
      <c r="BW22" s="172"/>
      <c r="BX22" s="170"/>
      <c r="BY22" s="170"/>
      <c r="BZ22" s="550"/>
      <c r="CA22" s="173"/>
      <c r="CB22" s="172"/>
      <c r="CC22" s="408">
        <f>IF($B22="","",IF(INDEX(BDHKI,MATCH(DiemHKII!$C22,DiemHKI!$DI$4:$DI$58,0),CC$67)&lt;&gt;"",INDEX(BDHKI,MATCH(DiemHKII!$C22,DiemHKI!$DI$4:$DI$58,0),CC$67),""))</f>
        <v>9.6</v>
      </c>
      <c r="CD22" s="408" t="str">
        <f t="shared" si="15"/>
        <v/>
      </c>
      <c r="CE22" s="409" t="str">
        <f t="shared" si="16"/>
        <v/>
      </c>
      <c r="CF22" s="172"/>
      <c r="CG22" s="170"/>
      <c r="CH22" s="170"/>
      <c r="CI22" s="550"/>
      <c r="CJ22" s="173"/>
      <c r="CK22" s="172"/>
      <c r="CL22" s="433">
        <f>IF($B22="","",IF(INDEX(BDHKI,MATCH(DiemHKII!$C22,DiemHKI!$DI$4:$DI$58,0),CL$67)&lt;&gt;"",INDEX(BDHKI,MATCH(DiemHKII!$C22,DiemHKI!$DI$4:$DI$58,0),CL$67),""))</f>
        <v>9.4</v>
      </c>
      <c r="CM22" s="433" t="str">
        <f t="shared" si="17"/>
        <v/>
      </c>
      <c r="CN22" s="434" t="str">
        <f t="shared" si="18"/>
        <v/>
      </c>
      <c r="CO22" s="172"/>
      <c r="CP22" s="170"/>
      <c r="CQ22" s="170"/>
      <c r="CR22" s="550"/>
      <c r="CS22" s="173"/>
      <c r="CT22" s="172"/>
      <c r="CU22" s="408">
        <f>IF($B22="","",IF(INDEX(BDHKI,MATCH(DiemHKII!$C22,DiemHKI!$DI$4:$DI$58,0),CU$67)&lt;&gt;"",INDEX(BDHKI,MATCH(DiemHKII!$C22,DiemHKI!$DI$4:$DI$58,0),CU$67),""))</f>
        <v>9.6</v>
      </c>
      <c r="CV22" s="408" t="str">
        <f t="shared" si="19"/>
        <v/>
      </c>
      <c r="CW22" s="409" t="str">
        <f t="shared" si="20"/>
        <v/>
      </c>
      <c r="CX22" s="172"/>
      <c r="CY22" s="170"/>
      <c r="CZ22" s="170"/>
      <c r="DA22" s="550"/>
      <c r="DB22" s="173"/>
      <c r="DC22" s="172"/>
      <c r="DD22" s="433">
        <f>IF($B22="","",IF(INDEX(BDHKI,MATCH(DiemHKII!$C22,DiemHKI!$DI$4:$DI$58,0),DD$67)&lt;&gt;"",INDEX(BDHKI,MATCH(DiemHKII!$C22,DiemHKI!$DI$4:$DI$58,0),DD$67),""))</f>
        <v>9.8000000000000007</v>
      </c>
      <c r="DE22" s="433" t="str">
        <f t="shared" si="21"/>
        <v/>
      </c>
      <c r="DF22" s="434" t="str">
        <f t="shared" si="22"/>
        <v/>
      </c>
      <c r="DG22" s="174"/>
      <c r="DH22" s="175"/>
      <c r="DI22" s="175"/>
      <c r="DJ22" s="176"/>
      <c r="DK22" s="177"/>
      <c r="DL22" s="178"/>
      <c r="DM22" s="532" t="str">
        <f>IF($B22="","",IF(INDEX(BDHKI,MATCH(DiemHKII!$C22,DiemHKI!$DI$4:$DI$58,0),DM$67)&lt;&gt;"",INDEX(BDHKI,MATCH(DiemHKII!$C22,DiemHKI!$DI$4:$DI$58,0),DM$67),""))</f>
        <v>Đ</v>
      </c>
      <c r="DN22" s="532" t="str">
        <f t="shared" si="23"/>
        <v/>
      </c>
      <c r="DO22" s="532" t="str">
        <f t="shared" si="24"/>
        <v>Đ</v>
      </c>
      <c r="DP22" s="172"/>
      <c r="DQ22" s="170"/>
      <c r="DR22" s="170"/>
      <c r="DS22" s="550"/>
      <c r="DT22" s="173"/>
      <c r="DU22" s="172"/>
      <c r="DV22" s="433">
        <f>IF($B22="","",IF(INDEX(BDHKI,MATCH(DiemHKII!$C22,DiemHKI!$DI$4:$DI$58,0),DV$67)&lt;&gt;"",INDEX(BDHKI,MATCH(DiemHKII!$C22,DiemHKI!$DI$4:$DI$58,0),DV$67),""))</f>
        <v>9.9</v>
      </c>
      <c r="DW22" s="433" t="str">
        <f t="shared" si="25"/>
        <v/>
      </c>
      <c r="DX22" s="434" t="str">
        <f t="shared" si="26"/>
        <v/>
      </c>
      <c r="DY22" s="172"/>
      <c r="DZ22" s="170"/>
      <c r="EA22" s="170"/>
      <c r="EB22" s="550"/>
      <c r="EC22" s="173"/>
      <c r="ED22" s="172"/>
      <c r="EE22" s="408" t="str">
        <f>IF($B22="","",IF(INDEX(BDHKI,MATCH(DiemHKII!$C22,DiemHKI!$DI$4:$DI$58,0),EE$67)&lt;&gt;"",INDEX(BDHKI,MATCH(DiemHKII!$C22,DiemHKI!$DI$4:$DI$58,0),EE$67),""))</f>
        <v/>
      </c>
      <c r="EF22" s="408" t="str">
        <f t="shared" si="27"/>
        <v/>
      </c>
      <c r="EG22" s="409" t="str">
        <f t="shared" si="28"/>
        <v/>
      </c>
      <c r="EH22" s="162"/>
      <c r="EI22" s="163"/>
      <c r="EJ22" s="164"/>
      <c r="EK22" s="165"/>
    </row>
    <row r="23" spans="1:141" s="30" customFormat="1" ht="15.9" customHeight="1">
      <c r="A23" s="407"/>
      <c r="B23" s="105">
        <f>IF(D23&lt;&gt;"",MAX($B$4:B22)+1,"")</f>
        <v>20</v>
      </c>
      <c r="C23" s="340" t="str">
        <f t="shared" si="0"/>
        <v>12A1Nguyễn PhúcLâm02/04/2004</v>
      </c>
      <c r="D23" s="179" t="s">
        <v>681</v>
      </c>
      <c r="E23" s="180" t="s">
        <v>700</v>
      </c>
      <c r="F23" s="181" t="s">
        <v>745</v>
      </c>
      <c r="G23" s="182" t="s">
        <v>746</v>
      </c>
      <c r="H23" s="182"/>
      <c r="I23" s="551"/>
      <c r="J23" s="179"/>
      <c r="K23" s="179"/>
      <c r="L23" s="187"/>
      <c r="M23" s="185"/>
      <c r="N23" s="185"/>
      <c r="O23" s="552"/>
      <c r="P23" s="188"/>
      <c r="Q23" s="187"/>
      <c r="R23" s="410">
        <f>IF($B23="","",IF(INDEX(BDHKI,MATCH(DiemHKII!$C23,DiemHKI!$DI$4:$DI$58,0),R$67)&lt;&gt;"",INDEX(BDHKI,MATCH(DiemHKII!$C23,DiemHKI!$DI$4:$DI$58,0),R$67),""))</f>
        <v>9.3000000000000007</v>
      </c>
      <c r="S23" s="410" t="str">
        <f t="shared" si="1"/>
        <v/>
      </c>
      <c r="T23" s="411" t="str">
        <f t="shared" si="2"/>
        <v/>
      </c>
      <c r="U23" s="187"/>
      <c r="V23" s="185"/>
      <c r="W23" s="185"/>
      <c r="X23" s="552"/>
      <c r="Y23" s="188"/>
      <c r="Z23" s="187"/>
      <c r="AA23" s="435">
        <f>IF($B23="","",IF(INDEX(BDHKI,MATCH(DiemHKII!$C23,DiemHKI!$DI$4:$DI$58,0),AA$67)&lt;&gt;"",INDEX(BDHKI,MATCH(DiemHKII!$C23,DiemHKI!$DI$4:$DI$58,0),AA$67),""))</f>
        <v>8.9</v>
      </c>
      <c r="AB23" s="435" t="str">
        <f t="shared" si="3"/>
        <v/>
      </c>
      <c r="AC23" s="436" t="str">
        <f t="shared" si="4"/>
        <v/>
      </c>
      <c r="AD23" s="187"/>
      <c r="AE23" s="185"/>
      <c r="AF23" s="185"/>
      <c r="AG23" s="552"/>
      <c r="AH23" s="188"/>
      <c r="AI23" s="187"/>
      <c r="AJ23" s="410">
        <f>IF($B23="","",IF(INDEX(BDHKI,MATCH(DiemHKII!$C23,DiemHKI!$DI$4:$DI$58,0),AJ$67)&lt;&gt;"",INDEX(BDHKI,MATCH(DiemHKII!$C23,DiemHKI!$DI$4:$DI$58,0),AJ$67),""))</f>
        <v>9.3000000000000007</v>
      </c>
      <c r="AK23" s="410" t="str">
        <f t="shared" si="5"/>
        <v/>
      </c>
      <c r="AL23" s="411" t="str">
        <f t="shared" si="6"/>
        <v/>
      </c>
      <c r="AM23" s="187"/>
      <c r="AN23" s="185"/>
      <c r="AO23" s="185"/>
      <c r="AP23" s="552"/>
      <c r="AQ23" s="188"/>
      <c r="AR23" s="187"/>
      <c r="AS23" s="435">
        <f>IF($B23="","",IF(INDEX(BDHKI,MATCH(DiemHKII!$C23,DiemHKI!$DI$4:$DI$58,0),AS$67)&lt;&gt;"",INDEX(BDHKI,MATCH(DiemHKII!$C23,DiemHKI!$DI$4:$DI$58,0),AS$67),""))</f>
        <v>8.6</v>
      </c>
      <c r="AT23" s="435" t="str">
        <f t="shared" si="7"/>
        <v/>
      </c>
      <c r="AU23" s="436" t="str">
        <f t="shared" si="8"/>
        <v/>
      </c>
      <c r="AV23" s="187"/>
      <c r="AW23" s="185"/>
      <c r="AX23" s="185"/>
      <c r="AY23" s="552"/>
      <c r="AZ23" s="188"/>
      <c r="BA23" s="187"/>
      <c r="BB23" s="410">
        <f>IF($B23="","",IF(INDEX(BDHKI,MATCH(DiemHKII!$C23,DiemHKI!$DI$4:$DI$58,0),BB$67)&lt;&gt;"",INDEX(BDHKI,MATCH(DiemHKII!$C23,DiemHKI!$DI$4:$DI$58,0),BB$67),""))</f>
        <v>9.8000000000000007</v>
      </c>
      <c r="BC23" s="410" t="str">
        <f t="shared" si="9"/>
        <v/>
      </c>
      <c r="BD23" s="411" t="str">
        <f t="shared" si="10"/>
        <v/>
      </c>
      <c r="BE23" s="187"/>
      <c r="BF23" s="185"/>
      <c r="BG23" s="185"/>
      <c r="BH23" s="552"/>
      <c r="BI23" s="188"/>
      <c r="BJ23" s="187"/>
      <c r="BK23" s="435">
        <f>IF($B23="","",IF(INDEX(BDHKI,MATCH(DiemHKII!$C23,DiemHKI!$DI$4:$DI$58,0),BK$67)&lt;&gt;"",INDEX(BDHKI,MATCH(DiemHKII!$C23,DiemHKI!$DI$4:$DI$58,0),BK$67),""))</f>
        <v>7.4</v>
      </c>
      <c r="BL23" s="435" t="str">
        <f t="shared" si="11"/>
        <v/>
      </c>
      <c r="BM23" s="436" t="str">
        <f t="shared" si="12"/>
        <v/>
      </c>
      <c r="BN23" s="187"/>
      <c r="BO23" s="185"/>
      <c r="BP23" s="185"/>
      <c r="BQ23" s="552"/>
      <c r="BR23" s="188"/>
      <c r="BS23" s="187"/>
      <c r="BT23" s="410">
        <f>IF($B23="","",IF(INDEX(BDHKI,MATCH(DiemHKII!$C23,DiemHKI!$DI$4:$DI$58,0),BT$67)&lt;&gt;"",INDEX(BDHKI,MATCH(DiemHKII!$C23,DiemHKI!$DI$4:$DI$58,0),BT$67),""))</f>
        <v>9.6</v>
      </c>
      <c r="BU23" s="410" t="str">
        <f t="shared" si="13"/>
        <v/>
      </c>
      <c r="BV23" s="411" t="str">
        <f t="shared" si="14"/>
        <v/>
      </c>
      <c r="BW23" s="187"/>
      <c r="BX23" s="185"/>
      <c r="BY23" s="185"/>
      <c r="BZ23" s="552"/>
      <c r="CA23" s="188"/>
      <c r="CB23" s="187"/>
      <c r="CC23" s="410">
        <f>IF($B23="","",IF(INDEX(BDHKI,MATCH(DiemHKII!$C23,DiemHKI!$DI$4:$DI$58,0),CC$67)&lt;&gt;"",INDEX(BDHKI,MATCH(DiemHKII!$C23,DiemHKI!$DI$4:$DI$58,0),CC$67),""))</f>
        <v>9.1</v>
      </c>
      <c r="CD23" s="410" t="str">
        <f t="shared" si="15"/>
        <v/>
      </c>
      <c r="CE23" s="411" t="str">
        <f t="shared" si="16"/>
        <v/>
      </c>
      <c r="CF23" s="187"/>
      <c r="CG23" s="185"/>
      <c r="CH23" s="185"/>
      <c r="CI23" s="552"/>
      <c r="CJ23" s="188"/>
      <c r="CK23" s="187"/>
      <c r="CL23" s="435">
        <f>IF($B23="","",IF(INDEX(BDHKI,MATCH(DiemHKII!$C23,DiemHKI!$DI$4:$DI$58,0),CL$67)&lt;&gt;"",INDEX(BDHKI,MATCH(DiemHKII!$C23,DiemHKI!$DI$4:$DI$58,0),CL$67),""))</f>
        <v>7.4</v>
      </c>
      <c r="CM23" s="435" t="str">
        <f t="shared" si="17"/>
        <v/>
      </c>
      <c r="CN23" s="436" t="str">
        <f t="shared" si="18"/>
        <v/>
      </c>
      <c r="CO23" s="187"/>
      <c r="CP23" s="185"/>
      <c r="CQ23" s="185"/>
      <c r="CR23" s="552"/>
      <c r="CS23" s="188"/>
      <c r="CT23" s="187"/>
      <c r="CU23" s="410">
        <f>IF($B23="","",IF(INDEX(BDHKI,MATCH(DiemHKII!$C23,DiemHKI!$DI$4:$DI$58,0),CU$67)&lt;&gt;"",INDEX(BDHKI,MATCH(DiemHKII!$C23,DiemHKI!$DI$4:$DI$58,0),CU$67),""))</f>
        <v>9.1</v>
      </c>
      <c r="CV23" s="410" t="str">
        <f t="shared" si="19"/>
        <v/>
      </c>
      <c r="CW23" s="411" t="str">
        <f t="shared" si="20"/>
        <v/>
      </c>
      <c r="CX23" s="187"/>
      <c r="CY23" s="185"/>
      <c r="CZ23" s="185"/>
      <c r="DA23" s="552"/>
      <c r="DB23" s="188"/>
      <c r="DC23" s="187"/>
      <c r="DD23" s="435">
        <f>IF($B23="","",IF(INDEX(BDHKI,MATCH(DiemHKII!$C23,DiemHKI!$DI$4:$DI$58,0),DD$67)&lt;&gt;"",INDEX(BDHKI,MATCH(DiemHKII!$C23,DiemHKI!$DI$4:$DI$58,0),DD$67),""))</f>
        <v>9.9</v>
      </c>
      <c r="DE23" s="435" t="str">
        <f t="shared" si="21"/>
        <v/>
      </c>
      <c r="DF23" s="436" t="str">
        <f t="shared" si="22"/>
        <v/>
      </c>
      <c r="DG23" s="213"/>
      <c r="DH23" s="214"/>
      <c r="DI23" s="214"/>
      <c r="DJ23" s="215"/>
      <c r="DK23" s="216"/>
      <c r="DL23" s="193"/>
      <c r="DM23" s="533" t="str">
        <f>IF($B23="","",IF(INDEX(BDHKI,MATCH(DiemHKII!$C23,DiemHKI!$DI$4:$DI$58,0),DM$67)&lt;&gt;"",INDEX(BDHKI,MATCH(DiemHKII!$C23,DiemHKI!$DI$4:$DI$58,0),DM$67),""))</f>
        <v>Đ</v>
      </c>
      <c r="DN23" s="533" t="str">
        <f t="shared" si="23"/>
        <v/>
      </c>
      <c r="DO23" s="533" t="str">
        <f t="shared" si="24"/>
        <v>Đ</v>
      </c>
      <c r="DP23" s="187"/>
      <c r="DQ23" s="185"/>
      <c r="DR23" s="185"/>
      <c r="DS23" s="552"/>
      <c r="DT23" s="188"/>
      <c r="DU23" s="187"/>
      <c r="DV23" s="435">
        <f>IF($B23="","",IF(INDEX(BDHKI,MATCH(DiemHKII!$C23,DiemHKI!$DI$4:$DI$58,0),DV$67)&lt;&gt;"",INDEX(BDHKI,MATCH(DiemHKII!$C23,DiemHKI!$DI$4:$DI$58,0),DV$67),""))</f>
        <v>9.9</v>
      </c>
      <c r="DW23" s="435" t="str">
        <f t="shared" si="25"/>
        <v/>
      </c>
      <c r="DX23" s="436" t="str">
        <f t="shared" si="26"/>
        <v/>
      </c>
      <c r="DY23" s="187"/>
      <c r="DZ23" s="185"/>
      <c r="EA23" s="185"/>
      <c r="EB23" s="552"/>
      <c r="EC23" s="188"/>
      <c r="ED23" s="187"/>
      <c r="EE23" s="410" t="str">
        <f>IF($B23="","",IF(INDEX(BDHKI,MATCH(DiemHKII!$C23,DiemHKI!$DI$4:$DI$58,0),EE$67)&lt;&gt;"",INDEX(BDHKI,MATCH(DiemHKII!$C23,DiemHKI!$DI$4:$DI$58,0),EE$67),""))</f>
        <v/>
      </c>
      <c r="EF23" s="410" t="str">
        <f t="shared" si="27"/>
        <v/>
      </c>
      <c r="EG23" s="411" t="str">
        <f t="shared" si="28"/>
        <v/>
      </c>
      <c r="EH23" s="194"/>
      <c r="EI23" s="182"/>
      <c r="EJ23" s="183"/>
      <c r="EK23" s="195"/>
    </row>
    <row r="24" spans="1:141" s="30" customFormat="1" ht="15.9" customHeight="1">
      <c r="A24" s="407"/>
      <c r="B24" s="111">
        <f>IF(D24&lt;&gt;"",MAX($B$4:B23)+1,"")</f>
        <v>21</v>
      </c>
      <c r="C24" s="341" t="str">
        <f t="shared" si="0"/>
        <v>12A1Phạm TấnLộc05/07/2004</v>
      </c>
      <c r="D24" s="196" t="s">
        <v>681</v>
      </c>
      <c r="E24" s="197" t="s">
        <v>748</v>
      </c>
      <c r="F24" s="198" t="s">
        <v>749</v>
      </c>
      <c r="G24" s="199" t="s">
        <v>750</v>
      </c>
      <c r="H24" s="199"/>
      <c r="I24" s="553"/>
      <c r="J24" s="196"/>
      <c r="K24" s="196"/>
      <c r="L24" s="204"/>
      <c r="M24" s="202"/>
      <c r="N24" s="202"/>
      <c r="O24" s="554"/>
      <c r="P24" s="205"/>
      <c r="Q24" s="204"/>
      <c r="R24" s="412">
        <f>IF($B24="","",IF(INDEX(BDHKI,MATCH(DiemHKII!$C24,DiemHKI!$DI$4:$DI$58,0),R$67)&lt;&gt;"",INDEX(BDHKI,MATCH(DiemHKII!$C24,DiemHKI!$DI$4:$DI$58,0),R$67),""))</f>
        <v>9.5</v>
      </c>
      <c r="S24" s="412" t="str">
        <f t="shared" si="1"/>
        <v/>
      </c>
      <c r="T24" s="413" t="str">
        <f t="shared" si="2"/>
        <v/>
      </c>
      <c r="U24" s="204"/>
      <c r="V24" s="202"/>
      <c r="W24" s="202"/>
      <c r="X24" s="554"/>
      <c r="Y24" s="205"/>
      <c r="Z24" s="204"/>
      <c r="AA24" s="437">
        <f>IF($B24="","",IF(INDEX(BDHKI,MATCH(DiemHKII!$C24,DiemHKI!$DI$4:$DI$58,0),AA$67)&lt;&gt;"",INDEX(BDHKI,MATCH(DiemHKII!$C24,DiemHKI!$DI$4:$DI$58,0),AA$67),""))</f>
        <v>9.4</v>
      </c>
      <c r="AB24" s="437" t="str">
        <f t="shared" si="3"/>
        <v/>
      </c>
      <c r="AC24" s="438" t="str">
        <f t="shared" si="4"/>
        <v/>
      </c>
      <c r="AD24" s="204"/>
      <c r="AE24" s="202"/>
      <c r="AF24" s="202"/>
      <c r="AG24" s="554"/>
      <c r="AH24" s="205"/>
      <c r="AI24" s="204"/>
      <c r="AJ24" s="412">
        <f>IF($B24="","",IF(INDEX(BDHKI,MATCH(DiemHKII!$C24,DiemHKI!$DI$4:$DI$58,0),AJ$67)&lt;&gt;"",INDEX(BDHKI,MATCH(DiemHKII!$C24,DiemHKI!$DI$4:$DI$58,0),AJ$67),""))</f>
        <v>9.1</v>
      </c>
      <c r="AK24" s="412" t="str">
        <f t="shared" si="5"/>
        <v/>
      </c>
      <c r="AL24" s="413" t="str">
        <f t="shared" si="6"/>
        <v/>
      </c>
      <c r="AM24" s="204"/>
      <c r="AN24" s="202"/>
      <c r="AO24" s="202"/>
      <c r="AP24" s="554"/>
      <c r="AQ24" s="205"/>
      <c r="AR24" s="204"/>
      <c r="AS24" s="437">
        <f>IF($B24="","",IF(INDEX(BDHKI,MATCH(DiemHKII!$C24,DiemHKI!$DI$4:$DI$58,0),AS$67)&lt;&gt;"",INDEX(BDHKI,MATCH(DiemHKII!$C24,DiemHKI!$DI$4:$DI$58,0),AS$67),""))</f>
        <v>8.8000000000000007</v>
      </c>
      <c r="AT24" s="437" t="str">
        <f t="shared" si="7"/>
        <v/>
      </c>
      <c r="AU24" s="438" t="str">
        <f t="shared" si="8"/>
        <v/>
      </c>
      <c r="AV24" s="204"/>
      <c r="AW24" s="202"/>
      <c r="AX24" s="202"/>
      <c r="AY24" s="554"/>
      <c r="AZ24" s="205"/>
      <c r="BA24" s="204"/>
      <c r="BB24" s="412">
        <f>IF($B24="","",IF(INDEX(BDHKI,MATCH(DiemHKII!$C24,DiemHKI!$DI$4:$DI$58,0),BB$67)&lt;&gt;"",INDEX(BDHKI,MATCH(DiemHKII!$C24,DiemHKI!$DI$4:$DI$58,0),BB$67),""))</f>
        <v>9.8000000000000007</v>
      </c>
      <c r="BC24" s="412" t="str">
        <f t="shared" si="9"/>
        <v/>
      </c>
      <c r="BD24" s="413" t="str">
        <f t="shared" si="10"/>
        <v/>
      </c>
      <c r="BE24" s="204"/>
      <c r="BF24" s="202"/>
      <c r="BG24" s="202"/>
      <c r="BH24" s="554"/>
      <c r="BI24" s="205"/>
      <c r="BJ24" s="204"/>
      <c r="BK24" s="437">
        <f>IF($B24="","",IF(INDEX(BDHKI,MATCH(DiemHKII!$C24,DiemHKI!$DI$4:$DI$58,0),BK$67)&lt;&gt;"",INDEX(BDHKI,MATCH(DiemHKII!$C24,DiemHKI!$DI$4:$DI$58,0),BK$67),""))</f>
        <v>7.3</v>
      </c>
      <c r="BL24" s="437" t="str">
        <f t="shared" si="11"/>
        <v/>
      </c>
      <c r="BM24" s="438" t="str">
        <f t="shared" si="12"/>
        <v/>
      </c>
      <c r="BN24" s="204"/>
      <c r="BO24" s="202"/>
      <c r="BP24" s="202"/>
      <c r="BQ24" s="554"/>
      <c r="BR24" s="205"/>
      <c r="BS24" s="204"/>
      <c r="BT24" s="412">
        <f>IF($B24="","",IF(INDEX(BDHKI,MATCH(DiemHKII!$C24,DiemHKI!$DI$4:$DI$58,0),BT$67)&lt;&gt;"",INDEX(BDHKI,MATCH(DiemHKII!$C24,DiemHKI!$DI$4:$DI$58,0),BT$67),""))</f>
        <v>9.8000000000000007</v>
      </c>
      <c r="BU24" s="412" t="str">
        <f t="shared" si="13"/>
        <v/>
      </c>
      <c r="BV24" s="413" t="str">
        <f t="shared" si="14"/>
        <v/>
      </c>
      <c r="BW24" s="204"/>
      <c r="BX24" s="202"/>
      <c r="BY24" s="202"/>
      <c r="BZ24" s="554"/>
      <c r="CA24" s="205"/>
      <c r="CB24" s="204"/>
      <c r="CC24" s="412">
        <f>IF($B24="","",IF(INDEX(BDHKI,MATCH(DiemHKII!$C24,DiemHKI!$DI$4:$DI$58,0),CC$67)&lt;&gt;"",INDEX(BDHKI,MATCH(DiemHKII!$C24,DiemHKI!$DI$4:$DI$58,0),CC$67),""))</f>
        <v>9.9</v>
      </c>
      <c r="CD24" s="412" t="str">
        <f t="shared" si="15"/>
        <v/>
      </c>
      <c r="CE24" s="413" t="str">
        <f t="shared" si="16"/>
        <v/>
      </c>
      <c r="CF24" s="204"/>
      <c r="CG24" s="202"/>
      <c r="CH24" s="202"/>
      <c r="CI24" s="554"/>
      <c r="CJ24" s="205"/>
      <c r="CK24" s="204"/>
      <c r="CL24" s="437">
        <f>IF($B24="","",IF(INDEX(BDHKI,MATCH(DiemHKII!$C24,DiemHKI!$DI$4:$DI$58,0),CL$67)&lt;&gt;"",INDEX(BDHKI,MATCH(DiemHKII!$C24,DiemHKI!$DI$4:$DI$58,0),CL$67),""))</f>
        <v>8.8000000000000007</v>
      </c>
      <c r="CM24" s="437" t="str">
        <f t="shared" si="17"/>
        <v/>
      </c>
      <c r="CN24" s="438" t="str">
        <f t="shared" si="18"/>
        <v/>
      </c>
      <c r="CO24" s="204"/>
      <c r="CP24" s="202"/>
      <c r="CQ24" s="202"/>
      <c r="CR24" s="554"/>
      <c r="CS24" s="205"/>
      <c r="CT24" s="204"/>
      <c r="CU24" s="412">
        <f>IF($B24="","",IF(INDEX(BDHKI,MATCH(DiemHKII!$C24,DiemHKI!$DI$4:$DI$58,0),CU$67)&lt;&gt;"",INDEX(BDHKI,MATCH(DiemHKII!$C24,DiemHKI!$DI$4:$DI$58,0),CU$67),""))</f>
        <v>8.8000000000000007</v>
      </c>
      <c r="CV24" s="412" t="str">
        <f t="shared" si="19"/>
        <v/>
      </c>
      <c r="CW24" s="413" t="str">
        <f t="shared" si="20"/>
        <v/>
      </c>
      <c r="CX24" s="204"/>
      <c r="CY24" s="202"/>
      <c r="CZ24" s="202"/>
      <c r="DA24" s="554"/>
      <c r="DB24" s="205"/>
      <c r="DC24" s="204"/>
      <c r="DD24" s="437">
        <f>IF($B24="","",IF(INDEX(BDHKI,MATCH(DiemHKII!$C24,DiemHKI!$DI$4:$DI$58,0),DD$67)&lt;&gt;"",INDEX(BDHKI,MATCH(DiemHKII!$C24,DiemHKI!$DI$4:$DI$58,0),DD$67),""))</f>
        <v>9.8000000000000007</v>
      </c>
      <c r="DE24" s="437" t="str">
        <f t="shared" si="21"/>
        <v/>
      </c>
      <c r="DF24" s="438" t="str">
        <f t="shared" si="22"/>
        <v/>
      </c>
      <c r="DG24" s="206"/>
      <c r="DH24" s="207"/>
      <c r="DI24" s="207"/>
      <c r="DJ24" s="208"/>
      <c r="DK24" s="209"/>
      <c r="DL24" s="210"/>
      <c r="DM24" s="531" t="str">
        <f>IF($B24="","",IF(INDEX(BDHKI,MATCH(DiemHKII!$C24,DiemHKI!$DI$4:$DI$58,0),DM$67)&lt;&gt;"",INDEX(BDHKI,MATCH(DiemHKII!$C24,DiemHKI!$DI$4:$DI$58,0),DM$67),""))</f>
        <v>Đ</v>
      </c>
      <c r="DN24" s="531" t="str">
        <f t="shared" si="23"/>
        <v/>
      </c>
      <c r="DO24" s="531" t="str">
        <f t="shared" si="24"/>
        <v>Đ</v>
      </c>
      <c r="DP24" s="204"/>
      <c r="DQ24" s="202"/>
      <c r="DR24" s="202"/>
      <c r="DS24" s="554"/>
      <c r="DT24" s="205"/>
      <c r="DU24" s="204"/>
      <c r="DV24" s="437">
        <f>IF($B24="","",IF(INDEX(BDHKI,MATCH(DiemHKII!$C24,DiemHKI!$DI$4:$DI$58,0),DV$67)&lt;&gt;"",INDEX(BDHKI,MATCH(DiemHKII!$C24,DiemHKI!$DI$4:$DI$58,0),DV$67),""))</f>
        <v>9.9</v>
      </c>
      <c r="DW24" s="437" t="str">
        <f t="shared" si="25"/>
        <v/>
      </c>
      <c r="DX24" s="438" t="str">
        <f t="shared" si="26"/>
        <v/>
      </c>
      <c r="DY24" s="204"/>
      <c r="DZ24" s="202"/>
      <c r="EA24" s="202"/>
      <c r="EB24" s="554"/>
      <c r="EC24" s="205"/>
      <c r="ED24" s="204"/>
      <c r="EE24" s="412" t="str">
        <f>IF($B24="","",IF(INDEX(BDHKI,MATCH(DiemHKII!$C24,DiemHKI!$DI$4:$DI$58,0),EE$67)&lt;&gt;"",INDEX(BDHKI,MATCH(DiemHKII!$C24,DiemHKI!$DI$4:$DI$58,0),EE$67),""))</f>
        <v/>
      </c>
      <c r="EF24" s="412" t="str">
        <f t="shared" si="27"/>
        <v/>
      </c>
      <c r="EG24" s="413" t="str">
        <f t="shared" si="28"/>
        <v/>
      </c>
      <c r="EH24" s="211"/>
      <c r="EI24" s="199"/>
      <c r="EJ24" s="200"/>
      <c r="EK24" s="212"/>
    </row>
    <row r="25" spans="1:141" s="30" customFormat="1" ht="15.9" customHeight="1">
      <c r="A25" s="407"/>
      <c r="B25" s="99">
        <f>IF(D25&lt;&gt;"",MAX($B$4:B24)+1,"")</f>
        <v>22</v>
      </c>
      <c r="C25" s="339" t="str">
        <f t="shared" si="0"/>
        <v>12A1Phạm Thị KhảMy28/02/2004</v>
      </c>
      <c r="D25" s="166" t="s">
        <v>681</v>
      </c>
      <c r="E25" s="167" t="s">
        <v>752</v>
      </c>
      <c r="F25" s="168" t="s">
        <v>753</v>
      </c>
      <c r="G25" s="163" t="s">
        <v>754</v>
      </c>
      <c r="H25" s="163"/>
      <c r="I25" s="549"/>
      <c r="J25" s="166"/>
      <c r="K25" s="166"/>
      <c r="L25" s="172"/>
      <c r="M25" s="170"/>
      <c r="N25" s="170"/>
      <c r="O25" s="550"/>
      <c r="P25" s="173"/>
      <c r="Q25" s="172"/>
      <c r="R25" s="408">
        <f>IF($B25="","",IF(INDEX(BDHKI,MATCH(DiemHKII!$C25,DiemHKI!$DI$4:$DI$58,0),R$67)&lt;&gt;"",INDEX(BDHKI,MATCH(DiemHKII!$C25,DiemHKI!$DI$4:$DI$58,0),R$67),""))</f>
        <v>9.5</v>
      </c>
      <c r="S25" s="408" t="str">
        <f t="shared" si="1"/>
        <v/>
      </c>
      <c r="T25" s="409" t="str">
        <f t="shared" si="2"/>
        <v/>
      </c>
      <c r="U25" s="172"/>
      <c r="V25" s="170"/>
      <c r="W25" s="170"/>
      <c r="X25" s="550"/>
      <c r="Y25" s="173"/>
      <c r="Z25" s="172"/>
      <c r="AA25" s="433">
        <f>IF($B25="","",IF(INDEX(BDHKI,MATCH(DiemHKII!$C25,DiemHKI!$DI$4:$DI$58,0),AA$67)&lt;&gt;"",INDEX(BDHKI,MATCH(DiemHKII!$C25,DiemHKI!$DI$4:$DI$58,0),AA$67),""))</f>
        <v>9.5</v>
      </c>
      <c r="AB25" s="433" t="str">
        <f t="shared" si="3"/>
        <v/>
      </c>
      <c r="AC25" s="434" t="str">
        <f t="shared" si="4"/>
        <v/>
      </c>
      <c r="AD25" s="172"/>
      <c r="AE25" s="170"/>
      <c r="AF25" s="170"/>
      <c r="AG25" s="550"/>
      <c r="AH25" s="173"/>
      <c r="AI25" s="172"/>
      <c r="AJ25" s="408">
        <f>IF($B25="","",IF(INDEX(BDHKI,MATCH(DiemHKII!$C25,DiemHKI!$DI$4:$DI$58,0),AJ$67)&lt;&gt;"",INDEX(BDHKI,MATCH(DiemHKII!$C25,DiemHKI!$DI$4:$DI$58,0),AJ$67),""))</f>
        <v>9.4</v>
      </c>
      <c r="AK25" s="408" t="str">
        <f t="shared" si="5"/>
        <v/>
      </c>
      <c r="AL25" s="409" t="str">
        <f t="shared" si="6"/>
        <v/>
      </c>
      <c r="AM25" s="172"/>
      <c r="AN25" s="170"/>
      <c r="AO25" s="170"/>
      <c r="AP25" s="550"/>
      <c r="AQ25" s="173"/>
      <c r="AR25" s="172"/>
      <c r="AS25" s="433">
        <f>IF($B25="","",IF(INDEX(BDHKI,MATCH(DiemHKII!$C25,DiemHKI!$DI$4:$DI$58,0),AS$67)&lt;&gt;"",INDEX(BDHKI,MATCH(DiemHKII!$C25,DiemHKI!$DI$4:$DI$58,0),AS$67),""))</f>
        <v>9.5</v>
      </c>
      <c r="AT25" s="433" t="str">
        <f t="shared" si="7"/>
        <v/>
      </c>
      <c r="AU25" s="434" t="str">
        <f t="shared" si="8"/>
        <v/>
      </c>
      <c r="AV25" s="172"/>
      <c r="AW25" s="170"/>
      <c r="AX25" s="170"/>
      <c r="AY25" s="550"/>
      <c r="AZ25" s="173"/>
      <c r="BA25" s="172"/>
      <c r="BB25" s="408">
        <f>IF($B25="","",IF(INDEX(BDHKI,MATCH(DiemHKII!$C25,DiemHKI!$DI$4:$DI$58,0),BB$67)&lt;&gt;"",INDEX(BDHKI,MATCH(DiemHKII!$C25,DiemHKI!$DI$4:$DI$58,0),BB$67),""))</f>
        <v>9.8000000000000007</v>
      </c>
      <c r="BC25" s="408" t="str">
        <f t="shared" si="9"/>
        <v/>
      </c>
      <c r="BD25" s="409" t="str">
        <f t="shared" si="10"/>
        <v/>
      </c>
      <c r="BE25" s="172"/>
      <c r="BF25" s="170"/>
      <c r="BG25" s="170"/>
      <c r="BH25" s="550"/>
      <c r="BI25" s="173"/>
      <c r="BJ25" s="172"/>
      <c r="BK25" s="433">
        <f>IF($B25="","",IF(INDEX(BDHKI,MATCH(DiemHKII!$C25,DiemHKI!$DI$4:$DI$58,0),BK$67)&lt;&gt;"",INDEX(BDHKI,MATCH(DiemHKII!$C25,DiemHKI!$DI$4:$DI$58,0),BK$67),""))</f>
        <v>7.4</v>
      </c>
      <c r="BL25" s="433" t="str">
        <f t="shared" si="11"/>
        <v/>
      </c>
      <c r="BM25" s="434" t="str">
        <f t="shared" si="12"/>
        <v/>
      </c>
      <c r="BN25" s="172"/>
      <c r="BO25" s="170"/>
      <c r="BP25" s="170"/>
      <c r="BQ25" s="550"/>
      <c r="BR25" s="173"/>
      <c r="BS25" s="172"/>
      <c r="BT25" s="408">
        <f>IF($B25="","",IF(INDEX(BDHKI,MATCH(DiemHKII!$C25,DiemHKI!$DI$4:$DI$58,0),BT$67)&lt;&gt;"",INDEX(BDHKI,MATCH(DiemHKII!$C25,DiemHKI!$DI$4:$DI$58,0),BT$67),""))</f>
        <v>9.6</v>
      </c>
      <c r="BU25" s="408" t="str">
        <f t="shared" si="13"/>
        <v/>
      </c>
      <c r="BV25" s="409" t="str">
        <f t="shared" si="14"/>
        <v/>
      </c>
      <c r="BW25" s="172"/>
      <c r="BX25" s="170"/>
      <c r="BY25" s="170"/>
      <c r="BZ25" s="550"/>
      <c r="CA25" s="173"/>
      <c r="CB25" s="172"/>
      <c r="CC25" s="408">
        <f>IF($B25="","",IF(INDEX(BDHKI,MATCH(DiemHKII!$C25,DiemHKI!$DI$4:$DI$58,0),CC$67)&lt;&gt;"",INDEX(BDHKI,MATCH(DiemHKII!$C25,DiemHKI!$DI$4:$DI$58,0),CC$67),""))</f>
        <v>9.8000000000000007</v>
      </c>
      <c r="CD25" s="408" t="str">
        <f t="shared" si="15"/>
        <v/>
      </c>
      <c r="CE25" s="409" t="str">
        <f t="shared" si="16"/>
        <v/>
      </c>
      <c r="CF25" s="172"/>
      <c r="CG25" s="170"/>
      <c r="CH25" s="170"/>
      <c r="CI25" s="550"/>
      <c r="CJ25" s="173"/>
      <c r="CK25" s="172"/>
      <c r="CL25" s="433">
        <f>IF($B25="","",IF(INDEX(BDHKI,MATCH(DiemHKII!$C25,DiemHKI!$DI$4:$DI$58,0),CL$67)&lt;&gt;"",INDEX(BDHKI,MATCH(DiemHKII!$C25,DiemHKI!$DI$4:$DI$58,0),CL$67),""))</f>
        <v>9.1999999999999993</v>
      </c>
      <c r="CM25" s="433" t="str">
        <f t="shared" si="17"/>
        <v/>
      </c>
      <c r="CN25" s="434" t="str">
        <f t="shared" si="18"/>
        <v/>
      </c>
      <c r="CO25" s="172"/>
      <c r="CP25" s="170"/>
      <c r="CQ25" s="170"/>
      <c r="CR25" s="550"/>
      <c r="CS25" s="173"/>
      <c r="CT25" s="172"/>
      <c r="CU25" s="408">
        <f>IF($B25="","",IF(INDEX(BDHKI,MATCH(DiemHKII!$C25,DiemHKI!$DI$4:$DI$58,0),CU$67)&lt;&gt;"",INDEX(BDHKI,MATCH(DiemHKII!$C25,DiemHKI!$DI$4:$DI$58,0),CU$67),""))</f>
        <v>9.8000000000000007</v>
      </c>
      <c r="CV25" s="408" t="str">
        <f t="shared" si="19"/>
        <v/>
      </c>
      <c r="CW25" s="409" t="str">
        <f t="shared" si="20"/>
        <v/>
      </c>
      <c r="CX25" s="172"/>
      <c r="CY25" s="170"/>
      <c r="CZ25" s="170"/>
      <c r="DA25" s="550"/>
      <c r="DB25" s="173"/>
      <c r="DC25" s="172"/>
      <c r="DD25" s="433">
        <f>IF($B25="","",IF(INDEX(BDHKI,MATCH(DiemHKII!$C25,DiemHKI!$DI$4:$DI$58,0),DD$67)&lt;&gt;"",INDEX(BDHKI,MATCH(DiemHKII!$C25,DiemHKI!$DI$4:$DI$58,0),DD$67),""))</f>
        <v>9.8000000000000007</v>
      </c>
      <c r="DE25" s="433" t="str">
        <f t="shared" si="21"/>
        <v/>
      </c>
      <c r="DF25" s="434" t="str">
        <f t="shared" si="22"/>
        <v/>
      </c>
      <c r="DG25" s="174"/>
      <c r="DH25" s="175"/>
      <c r="DI25" s="175"/>
      <c r="DJ25" s="176"/>
      <c r="DK25" s="177"/>
      <c r="DL25" s="178"/>
      <c r="DM25" s="532" t="str">
        <f>IF($B25="","",IF(INDEX(BDHKI,MATCH(DiemHKII!$C25,DiemHKI!$DI$4:$DI$58,0),DM$67)&lt;&gt;"",INDEX(BDHKI,MATCH(DiemHKII!$C25,DiemHKI!$DI$4:$DI$58,0),DM$67),""))</f>
        <v>Đ</v>
      </c>
      <c r="DN25" s="532" t="str">
        <f t="shared" si="23"/>
        <v/>
      </c>
      <c r="DO25" s="532" t="str">
        <f t="shared" si="24"/>
        <v>Đ</v>
      </c>
      <c r="DP25" s="172"/>
      <c r="DQ25" s="170"/>
      <c r="DR25" s="170"/>
      <c r="DS25" s="550"/>
      <c r="DT25" s="173"/>
      <c r="DU25" s="172"/>
      <c r="DV25" s="433">
        <f>IF($B25="","",IF(INDEX(BDHKI,MATCH(DiemHKII!$C25,DiemHKI!$DI$4:$DI$58,0),DV$67)&lt;&gt;"",INDEX(BDHKI,MATCH(DiemHKII!$C25,DiemHKI!$DI$4:$DI$58,0),DV$67),""))</f>
        <v>9.9</v>
      </c>
      <c r="DW25" s="433" t="str">
        <f t="shared" si="25"/>
        <v/>
      </c>
      <c r="DX25" s="434" t="str">
        <f t="shared" si="26"/>
        <v/>
      </c>
      <c r="DY25" s="172"/>
      <c r="DZ25" s="170"/>
      <c r="EA25" s="170"/>
      <c r="EB25" s="550"/>
      <c r="EC25" s="173"/>
      <c r="ED25" s="172"/>
      <c r="EE25" s="408" t="str">
        <f>IF($B25="","",IF(INDEX(BDHKI,MATCH(DiemHKII!$C25,DiemHKI!$DI$4:$DI$58,0),EE$67)&lt;&gt;"",INDEX(BDHKI,MATCH(DiemHKII!$C25,DiemHKI!$DI$4:$DI$58,0),EE$67),""))</f>
        <v/>
      </c>
      <c r="EF25" s="408" t="str">
        <f t="shared" si="27"/>
        <v/>
      </c>
      <c r="EG25" s="409" t="str">
        <f t="shared" si="28"/>
        <v/>
      </c>
      <c r="EH25" s="162"/>
      <c r="EI25" s="163"/>
      <c r="EJ25" s="164"/>
      <c r="EK25" s="165"/>
    </row>
    <row r="26" spans="1:141" s="30" customFormat="1" ht="15.9" customHeight="1">
      <c r="A26" s="407"/>
      <c r="B26" s="99">
        <f>IF(D26&lt;&gt;"",MAX($B$4:B25)+1,"")</f>
        <v>23</v>
      </c>
      <c r="C26" s="339" t="str">
        <f t="shared" si="0"/>
        <v>12A1LêNa29/02/2004</v>
      </c>
      <c r="D26" s="166" t="s">
        <v>681</v>
      </c>
      <c r="E26" s="167" t="s">
        <v>755</v>
      </c>
      <c r="F26" s="168" t="s">
        <v>756</v>
      </c>
      <c r="G26" s="163" t="s">
        <v>757</v>
      </c>
      <c r="H26" s="163"/>
      <c r="I26" s="549"/>
      <c r="J26" s="166"/>
      <c r="K26" s="166"/>
      <c r="L26" s="172"/>
      <c r="M26" s="170"/>
      <c r="N26" s="170"/>
      <c r="O26" s="550"/>
      <c r="P26" s="173"/>
      <c r="Q26" s="172"/>
      <c r="R26" s="408">
        <f>IF($B26="","",IF(INDEX(BDHKI,MATCH(DiemHKII!$C26,DiemHKI!$DI$4:$DI$58,0),R$67)&lt;&gt;"",INDEX(BDHKI,MATCH(DiemHKII!$C26,DiemHKI!$DI$4:$DI$58,0),R$67),""))</f>
        <v>9.4</v>
      </c>
      <c r="S26" s="408" t="str">
        <f t="shared" si="1"/>
        <v/>
      </c>
      <c r="T26" s="409" t="str">
        <f t="shared" si="2"/>
        <v/>
      </c>
      <c r="U26" s="172"/>
      <c r="V26" s="170"/>
      <c r="W26" s="170"/>
      <c r="X26" s="550"/>
      <c r="Y26" s="173"/>
      <c r="Z26" s="172"/>
      <c r="AA26" s="433">
        <f>IF($B26="","",IF(INDEX(BDHKI,MATCH(DiemHKII!$C26,DiemHKI!$DI$4:$DI$58,0),AA$67)&lt;&gt;"",INDEX(BDHKI,MATCH(DiemHKII!$C26,DiemHKI!$DI$4:$DI$58,0),AA$67),""))</f>
        <v>9.6999999999999993</v>
      </c>
      <c r="AB26" s="433" t="str">
        <f t="shared" si="3"/>
        <v/>
      </c>
      <c r="AC26" s="434" t="str">
        <f t="shared" si="4"/>
        <v/>
      </c>
      <c r="AD26" s="172"/>
      <c r="AE26" s="170"/>
      <c r="AF26" s="170"/>
      <c r="AG26" s="550"/>
      <c r="AH26" s="173"/>
      <c r="AI26" s="172"/>
      <c r="AJ26" s="408">
        <f>IF($B26="","",IF(INDEX(BDHKI,MATCH(DiemHKII!$C26,DiemHKI!$DI$4:$DI$58,0),AJ$67)&lt;&gt;"",INDEX(BDHKI,MATCH(DiemHKII!$C26,DiemHKI!$DI$4:$DI$58,0),AJ$67),""))</f>
        <v>9</v>
      </c>
      <c r="AK26" s="408" t="str">
        <f t="shared" si="5"/>
        <v/>
      </c>
      <c r="AL26" s="409" t="str">
        <f t="shared" si="6"/>
        <v/>
      </c>
      <c r="AM26" s="172"/>
      <c r="AN26" s="170"/>
      <c r="AO26" s="170"/>
      <c r="AP26" s="550"/>
      <c r="AQ26" s="173"/>
      <c r="AR26" s="172"/>
      <c r="AS26" s="433">
        <f>IF($B26="","",IF(INDEX(BDHKI,MATCH(DiemHKII!$C26,DiemHKI!$DI$4:$DI$58,0),AS$67)&lt;&gt;"",INDEX(BDHKI,MATCH(DiemHKII!$C26,DiemHKI!$DI$4:$DI$58,0),AS$67),""))</f>
        <v>9.1</v>
      </c>
      <c r="AT26" s="433" t="str">
        <f t="shared" si="7"/>
        <v/>
      </c>
      <c r="AU26" s="434" t="str">
        <f t="shared" si="8"/>
        <v/>
      </c>
      <c r="AV26" s="172"/>
      <c r="AW26" s="170"/>
      <c r="AX26" s="170"/>
      <c r="AY26" s="550"/>
      <c r="AZ26" s="173"/>
      <c r="BA26" s="172"/>
      <c r="BB26" s="408">
        <f>IF($B26="","",IF(INDEX(BDHKI,MATCH(DiemHKII!$C26,DiemHKI!$DI$4:$DI$58,0),BB$67)&lt;&gt;"",INDEX(BDHKI,MATCH(DiemHKII!$C26,DiemHKI!$DI$4:$DI$58,0),BB$67),""))</f>
        <v>9.6</v>
      </c>
      <c r="BC26" s="408" t="str">
        <f t="shared" si="9"/>
        <v/>
      </c>
      <c r="BD26" s="409" t="str">
        <f t="shared" si="10"/>
        <v/>
      </c>
      <c r="BE26" s="172"/>
      <c r="BF26" s="170"/>
      <c r="BG26" s="170"/>
      <c r="BH26" s="550"/>
      <c r="BI26" s="173"/>
      <c r="BJ26" s="172"/>
      <c r="BK26" s="433">
        <f>IF($B26="","",IF(INDEX(BDHKI,MATCH(DiemHKII!$C26,DiemHKI!$DI$4:$DI$58,0),BK$67)&lt;&gt;"",INDEX(BDHKI,MATCH(DiemHKII!$C26,DiemHKI!$DI$4:$DI$58,0),BK$67),""))</f>
        <v>7.7</v>
      </c>
      <c r="BL26" s="433" t="str">
        <f t="shared" si="11"/>
        <v/>
      </c>
      <c r="BM26" s="434" t="str">
        <f t="shared" si="12"/>
        <v/>
      </c>
      <c r="BN26" s="172"/>
      <c r="BO26" s="170"/>
      <c r="BP26" s="170"/>
      <c r="BQ26" s="550"/>
      <c r="BR26" s="173"/>
      <c r="BS26" s="172"/>
      <c r="BT26" s="408">
        <f>IF($B26="","",IF(INDEX(BDHKI,MATCH(DiemHKII!$C26,DiemHKI!$DI$4:$DI$58,0),BT$67)&lt;&gt;"",INDEX(BDHKI,MATCH(DiemHKII!$C26,DiemHKI!$DI$4:$DI$58,0),BT$67),""))</f>
        <v>9.8000000000000007</v>
      </c>
      <c r="BU26" s="408" t="str">
        <f t="shared" si="13"/>
        <v/>
      </c>
      <c r="BV26" s="409" t="str">
        <f t="shared" si="14"/>
        <v/>
      </c>
      <c r="BW26" s="172"/>
      <c r="BX26" s="170"/>
      <c r="BY26" s="170"/>
      <c r="BZ26" s="550"/>
      <c r="CA26" s="173"/>
      <c r="CB26" s="172"/>
      <c r="CC26" s="408">
        <f>IF($B26="","",IF(INDEX(BDHKI,MATCH(DiemHKII!$C26,DiemHKI!$DI$4:$DI$58,0),CC$67)&lt;&gt;"",INDEX(BDHKI,MATCH(DiemHKII!$C26,DiemHKI!$DI$4:$DI$58,0),CC$67),""))</f>
        <v>9.9</v>
      </c>
      <c r="CD26" s="408" t="str">
        <f t="shared" si="15"/>
        <v/>
      </c>
      <c r="CE26" s="409" t="str">
        <f t="shared" si="16"/>
        <v/>
      </c>
      <c r="CF26" s="172"/>
      <c r="CG26" s="170"/>
      <c r="CH26" s="170"/>
      <c r="CI26" s="550"/>
      <c r="CJ26" s="173"/>
      <c r="CK26" s="172"/>
      <c r="CL26" s="433">
        <f>IF($B26="","",IF(INDEX(BDHKI,MATCH(DiemHKII!$C26,DiemHKI!$DI$4:$DI$58,0),CL$67)&lt;&gt;"",INDEX(BDHKI,MATCH(DiemHKII!$C26,DiemHKI!$DI$4:$DI$58,0),CL$67),""))</f>
        <v>8.6</v>
      </c>
      <c r="CM26" s="433" t="str">
        <f t="shared" si="17"/>
        <v/>
      </c>
      <c r="CN26" s="434" t="str">
        <f t="shared" si="18"/>
        <v/>
      </c>
      <c r="CO26" s="172"/>
      <c r="CP26" s="170"/>
      <c r="CQ26" s="170"/>
      <c r="CR26" s="550"/>
      <c r="CS26" s="173"/>
      <c r="CT26" s="172"/>
      <c r="CU26" s="408">
        <f>IF($B26="","",IF(INDEX(BDHKI,MATCH(DiemHKII!$C26,DiemHKI!$DI$4:$DI$58,0),CU$67)&lt;&gt;"",INDEX(BDHKI,MATCH(DiemHKII!$C26,DiemHKI!$DI$4:$DI$58,0),CU$67),""))</f>
        <v>9.4</v>
      </c>
      <c r="CV26" s="408" t="str">
        <f t="shared" si="19"/>
        <v/>
      </c>
      <c r="CW26" s="409" t="str">
        <f t="shared" si="20"/>
        <v/>
      </c>
      <c r="CX26" s="172"/>
      <c r="CY26" s="170"/>
      <c r="CZ26" s="170"/>
      <c r="DA26" s="550"/>
      <c r="DB26" s="173"/>
      <c r="DC26" s="172"/>
      <c r="DD26" s="433">
        <f>IF($B26="","",IF(INDEX(BDHKI,MATCH(DiemHKII!$C26,DiemHKI!$DI$4:$DI$58,0),DD$67)&lt;&gt;"",INDEX(BDHKI,MATCH(DiemHKII!$C26,DiemHKI!$DI$4:$DI$58,0),DD$67),""))</f>
        <v>9.9</v>
      </c>
      <c r="DE26" s="433" t="str">
        <f t="shared" si="21"/>
        <v/>
      </c>
      <c r="DF26" s="434" t="str">
        <f t="shared" si="22"/>
        <v/>
      </c>
      <c r="DG26" s="174"/>
      <c r="DH26" s="175"/>
      <c r="DI26" s="175"/>
      <c r="DJ26" s="176"/>
      <c r="DK26" s="177"/>
      <c r="DL26" s="178"/>
      <c r="DM26" s="532" t="str">
        <f>IF($B26="","",IF(INDEX(BDHKI,MATCH(DiemHKII!$C26,DiemHKI!$DI$4:$DI$58,0),DM$67)&lt;&gt;"",INDEX(BDHKI,MATCH(DiemHKII!$C26,DiemHKI!$DI$4:$DI$58,0),DM$67),""))</f>
        <v>Đ</v>
      </c>
      <c r="DN26" s="532" t="str">
        <f t="shared" si="23"/>
        <v/>
      </c>
      <c r="DO26" s="532" t="str">
        <f t="shared" si="24"/>
        <v>Đ</v>
      </c>
      <c r="DP26" s="172"/>
      <c r="DQ26" s="170"/>
      <c r="DR26" s="170"/>
      <c r="DS26" s="550"/>
      <c r="DT26" s="173"/>
      <c r="DU26" s="172"/>
      <c r="DV26" s="433">
        <f>IF($B26="","",IF(INDEX(BDHKI,MATCH(DiemHKII!$C26,DiemHKI!$DI$4:$DI$58,0),DV$67)&lt;&gt;"",INDEX(BDHKI,MATCH(DiemHKII!$C26,DiemHKI!$DI$4:$DI$58,0),DV$67),""))</f>
        <v>9.4</v>
      </c>
      <c r="DW26" s="433" t="str">
        <f t="shared" si="25"/>
        <v/>
      </c>
      <c r="DX26" s="434" t="str">
        <f t="shared" si="26"/>
        <v/>
      </c>
      <c r="DY26" s="172"/>
      <c r="DZ26" s="170"/>
      <c r="EA26" s="170"/>
      <c r="EB26" s="550"/>
      <c r="EC26" s="173"/>
      <c r="ED26" s="172"/>
      <c r="EE26" s="408" t="str">
        <f>IF($B26="","",IF(INDEX(BDHKI,MATCH(DiemHKII!$C26,DiemHKI!$DI$4:$DI$58,0),EE$67)&lt;&gt;"",INDEX(BDHKI,MATCH(DiemHKII!$C26,DiemHKI!$DI$4:$DI$58,0),EE$67),""))</f>
        <v/>
      </c>
      <c r="EF26" s="408" t="str">
        <f t="shared" si="27"/>
        <v/>
      </c>
      <c r="EG26" s="409" t="str">
        <f t="shared" si="28"/>
        <v/>
      </c>
      <c r="EH26" s="162"/>
      <c r="EI26" s="163"/>
      <c r="EJ26" s="164"/>
      <c r="EK26" s="165"/>
    </row>
    <row r="27" spans="1:141" s="30" customFormat="1" ht="15.9" customHeight="1">
      <c r="A27" s="892"/>
      <c r="B27" s="99">
        <f>IF(D27&lt;&gt;"",MAX($B$4:B26)+1,"")</f>
        <v>24</v>
      </c>
      <c r="C27" s="339" t="str">
        <f t="shared" si="0"/>
        <v>12A1Quách Tống MinhNhật01/12/2004</v>
      </c>
      <c r="D27" s="166" t="s">
        <v>681</v>
      </c>
      <c r="E27" s="167" t="s">
        <v>759</v>
      </c>
      <c r="F27" s="168" t="s">
        <v>760</v>
      </c>
      <c r="G27" s="163" t="s">
        <v>761</v>
      </c>
      <c r="H27" s="163"/>
      <c r="I27" s="549"/>
      <c r="J27" s="166"/>
      <c r="K27" s="166"/>
      <c r="L27" s="172"/>
      <c r="M27" s="170"/>
      <c r="N27" s="170"/>
      <c r="O27" s="550"/>
      <c r="P27" s="173"/>
      <c r="Q27" s="172"/>
      <c r="R27" s="408">
        <f>IF($B27="","",IF(INDEX(BDHKI,MATCH(DiemHKII!$C27,DiemHKI!$DI$4:$DI$58,0),R$67)&lt;&gt;"",INDEX(BDHKI,MATCH(DiemHKII!$C27,DiemHKI!$DI$4:$DI$58,0),R$67),""))</f>
        <v>9.3000000000000007</v>
      </c>
      <c r="S27" s="408" t="str">
        <f t="shared" si="1"/>
        <v/>
      </c>
      <c r="T27" s="409" t="str">
        <f t="shared" si="2"/>
        <v/>
      </c>
      <c r="U27" s="172"/>
      <c r="V27" s="170"/>
      <c r="W27" s="170"/>
      <c r="X27" s="550"/>
      <c r="Y27" s="173"/>
      <c r="Z27" s="172"/>
      <c r="AA27" s="433">
        <f>IF($B27="","",IF(INDEX(BDHKI,MATCH(DiemHKII!$C27,DiemHKI!$DI$4:$DI$58,0),AA$67)&lt;&gt;"",INDEX(BDHKI,MATCH(DiemHKII!$C27,DiemHKI!$DI$4:$DI$58,0),AA$67),""))</f>
        <v>9.1999999999999993</v>
      </c>
      <c r="AB27" s="433" t="str">
        <f t="shared" si="3"/>
        <v/>
      </c>
      <c r="AC27" s="434" t="str">
        <f t="shared" si="4"/>
        <v/>
      </c>
      <c r="AD27" s="172"/>
      <c r="AE27" s="170"/>
      <c r="AF27" s="170"/>
      <c r="AG27" s="550"/>
      <c r="AH27" s="173"/>
      <c r="AI27" s="172"/>
      <c r="AJ27" s="408">
        <f>IF($B27="","",IF(INDEX(BDHKI,MATCH(DiemHKII!$C27,DiemHKI!$DI$4:$DI$58,0),AJ$67)&lt;&gt;"",INDEX(BDHKI,MATCH(DiemHKII!$C27,DiemHKI!$DI$4:$DI$58,0),AJ$67),""))</f>
        <v>8.9</v>
      </c>
      <c r="AK27" s="408" t="str">
        <f t="shared" si="5"/>
        <v/>
      </c>
      <c r="AL27" s="409" t="str">
        <f t="shared" si="6"/>
        <v/>
      </c>
      <c r="AM27" s="172"/>
      <c r="AN27" s="170"/>
      <c r="AO27" s="170"/>
      <c r="AP27" s="550"/>
      <c r="AQ27" s="173"/>
      <c r="AR27" s="172"/>
      <c r="AS27" s="433">
        <f>IF($B27="","",IF(INDEX(BDHKI,MATCH(DiemHKII!$C27,DiemHKI!$DI$4:$DI$58,0),AS$67)&lt;&gt;"",INDEX(BDHKI,MATCH(DiemHKII!$C27,DiemHKI!$DI$4:$DI$58,0),AS$67),""))</f>
        <v>8.4</v>
      </c>
      <c r="AT27" s="433" t="str">
        <f t="shared" si="7"/>
        <v/>
      </c>
      <c r="AU27" s="434" t="str">
        <f t="shared" si="8"/>
        <v/>
      </c>
      <c r="AV27" s="172"/>
      <c r="AW27" s="170"/>
      <c r="AX27" s="170"/>
      <c r="AY27" s="550"/>
      <c r="AZ27" s="173"/>
      <c r="BA27" s="172"/>
      <c r="BB27" s="408">
        <f>IF($B27="","",IF(INDEX(BDHKI,MATCH(DiemHKII!$C27,DiemHKI!$DI$4:$DI$58,0),BB$67)&lt;&gt;"",INDEX(BDHKI,MATCH(DiemHKII!$C27,DiemHKI!$DI$4:$DI$58,0),BB$67),""))</f>
        <v>9.8000000000000007</v>
      </c>
      <c r="BC27" s="408" t="str">
        <f t="shared" si="9"/>
        <v/>
      </c>
      <c r="BD27" s="409" t="str">
        <f t="shared" si="10"/>
        <v/>
      </c>
      <c r="BE27" s="172"/>
      <c r="BF27" s="170"/>
      <c r="BG27" s="170"/>
      <c r="BH27" s="550"/>
      <c r="BI27" s="173"/>
      <c r="BJ27" s="172"/>
      <c r="BK27" s="433">
        <f>IF($B27="","",IF(INDEX(BDHKI,MATCH(DiemHKII!$C27,DiemHKI!$DI$4:$DI$58,0),BK$67)&lt;&gt;"",INDEX(BDHKI,MATCH(DiemHKII!$C27,DiemHKI!$DI$4:$DI$58,0),BK$67),""))</f>
        <v>6.9</v>
      </c>
      <c r="BL27" s="433" t="str">
        <f t="shared" si="11"/>
        <v/>
      </c>
      <c r="BM27" s="434" t="str">
        <f t="shared" si="12"/>
        <v/>
      </c>
      <c r="BN27" s="172"/>
      <c r="BO27" s="170"/>
      <c r="BP27" s="170"/>
      <c r="BQ27" s="550"/>
      <c r="BR27" s="173"/>
      <c r="BS27" s="172"/>
      <c r="BT27" s="408">
        <f>IF($B27="","",IF(INDEX(BDHKI,MATCH(DiemHKII!$C27,DiemHKI!$DI$4:$DI$58,0),BT$67)&lt;&gt;"",INDEX(BDHKI,MATCH(DiemHKII!$C27,DiemHKI!$DI$4:$DI$58,0),BT$67),""))</f>
        <v>9.8000000000000007</v>
      </c>
      <c r="BU27" s="408" t="str">
        <f t="shared" si="13"/>
        <v/>
      </c>
      <c r="BV27" s="409" t="str">
        <f t="shared" si="14"/>
        <v/>
      </c>
      <c r="BW27" s="172"/>
      <c r="BX27" s="170"/>
      <c r="BY27" s="170"/>
      <c r="BZ27" s="550"/>
      <c r="CA27" s="173"/>
      <c r="CB27" s="172"/>
      <c r="CC27" s="408">
        <f>IF($B27="","",IF(INDEX(BDHKI,MATCH(DiemHKII!$C27,DiemHKI!$DI$4:$DI$58,0),CC$67)&lt;&gt;"",INDEX(BDHKI,MATCH(DiemHKII!$C27,DiemHKI!$DI$4:$DI$58,0),CC$67),""))</f>
        <v>9.6</v>
      </c>
      <c r="CD27" s="408" t="str">
        <f t="shared" si="15"/>
        <v/>
      </c>
      <c r="CE27" s="409" t="str">
        <f t="shared" si="16"/>
        <v/>
      </c>
      <c r="CF27" s="172"/>
      <c r="CG27" s="170"/>
      <c r="CH27" s="170"/>
      <c r="CI27" s="550"/>
      <c r="CJ27" s="173"/>
      <c r="CK27" s="172"/>
      <c r="CL27" s="433">
        <f>IF($B27="","",IF(INDEX(BDHKI,MATCH(DiemHKII!$C27,DiemHKI!$DI$4:$DI$58,0),CL$67)&lt;&gt;"",INDEX(BDHKI,MATCH(DiemHKII!$C27,DiemHKI!$DI$4:$DI$58,0),CL$67),""))</f>
        <v>9.4</v>
      </c>
      <c r="CM27" s="433" t="str">
        <f t="shared" si="17"/>
        <v/>
      </c>
      <c r="CN27" s="434" t="str">
        <f t="shared" si="18"/>
        <v/>
      </c>
      <c r="CO27" s="172"/>
      <c r="CP27" s="170"/>
      <c r="CQ27" s="170"/>
      <c r="CR27" s="550"/>
      <c r="CS27" s="173"/>
      <c r="CT27" s="172"/>
      <c r="CU27" s="408">
        <f>IF($B27="","",IF(INDEX(BDHKI,MATCH(DiemHKII!$C27,DiemHKI!$DI$4:$DI$58,0),CU$67)&lt;&gt;"",INDEX(BDHKI,MATCH(DiemHKII!$C27,DiemHKI!$DI$4:$DI$58,0),CU$67),""))</f>
        <v>9.4</v>
      </c>
      <c r="CV27" s="408" t="str">
        <f t="shared" si="19"/>
        <v/>
      </c>
      <c r="CW27" s="409" t="str">
        <f t="shared" si="20"/>
        <v/>
      </c>
      <c r="CX27" s="172"/>
      <c r="CY27" s="170"/>
      <c r="CZ27" s="170"/>
      <c r="DA27" s="550"/>
      <c r="DB27" s="173"/>
      <c r="DC27" s="172"/>
      <c r="DD27" s="433">
        <f>IF($B27="","",IF(INDEX(BDHKI,MATCH(DiemHKII!$C27,DiemHKI!$DI$4:$DI$58,0),DD$67)&lt;&gt;"",INDEX(BDHKI,MATCH(DiemHKII!$C27,DiemHKI!$DI$4:$DI$58,0),DD$67),""))</f>
        <v>9.8000000000000007</v>
      </c>
      <c r="DE27" s="433" t="str">
        <f t="shared" si="21"/>
        <v/>
      </c>
      <c r="DF27" s="434" t="str">
        <f t="shared" si="22"/>
        <v/>
      </c>
      <c r="DG27" s="174"/>
      <c r="DH27" s="175"/>
      <c r="DI27" s="175"/>
      <c r="DJ27" s="176"/>
      <c r="DK27" s="177"/>
      <c r="DL27" s="178"/>
      <c r="DM27" s="532" t="str">
        <f>IF($B27="","",IF(INDEX(BDHKI,MATCH(DiemHKII!$C27,DiemHKI!$DI$4:$DI$58,0),DM$67)&lt;&gt;"",INDEX(BDHKI,MATCH(DiemHKII!$C27,DiemHKI!$DI$4:$DI$58,0),DM$67),""))</f>
        <v>Đ</v>
      </c>
      <c r="DN27" s="532" t="str">
        <f t="shared" si="23"/>
        <v/>
      </c>
      <c r="DO27" s="532" t="str">
        <f t="shared" si="24"/>
        <v>Đ</v>
      </c>
      <c r="DP27" s="172"/>
      <c r="DQ27" s="170"/>
      <c r="DR27" s="170"/>
      <c r="DS27" s="550"/>
      <c r="DT27" s="173"/>
      <c r="DU27" s="172"/>
      <c r="DV27" s="433">
        <f>IF($B27="","",IF(INDEX(BDHKI,MATCH(DiemHKII!$C27,DiemHKI!$DI$4:$DI$58,0),DV$67)&lt;&gt;"",INDEX(BDHKI,MATCH(DiemHKII!$C27,DiemHKI!$DI$4:$DI$58,0),DV$67),""))</f>
        <v>9.9</v>
      </c>
      <c r="DW27" s="433" t="str">
        <f t="shared" si="25"/>
        <v/>
      </c>
      <c r="DX27" s="434" t="str">
        <f t="shared" si="26"/>
        <v/>
      </c>
      <c r="DY27" s="172"/>
      <c r="DZ27" s="170"/>
      <c r="EA27" s="170"/>
      <c r="EB27" s="550"/>
      <c r="EC27" s="173"/>
      <c r="ED27" s="172"/>
      <c r="EE27" s="408" t="str">
        <f>IF($B27="","",IF(INDEX(BDHKI,MATCH(DiemHKII!$C27,DiemHKI!$DI$4:$DI$58,0),EE$67)&lt;&gt;"",INDEX(BDHKI,MATCH(DiemHKII!$C27,DiemHKI!$DI$4:$DI$58,0),EE$67),""))</f>
        <v/>
      </c>
      <c r="EF27" s="408" t="str">
        <f t="shared" si="27"/>
        <v/>
      </c>
      <c r="EG27" s="409" t="str">
        <f t="shared" si="28"/>
        <v/>
      </c>
      <c r="EH27" s="162"/>
      <c r="EI27" s="163"/>
      <c r="EJ27" s="164"/>
      <c r="EK27" s="165"/>
    </row>
    <row r="28" spans="1:141" s="30" customFormat="1" ht="15.9" customHeight="1">
      <c r="A28" s="892"/>
      <c r="B28" s="105">
        <f>IF(D28&lt;&gt;"",MAX($B$4:B27)+1,"")</f>
        <v>25</v>
      </c>
      <c r="C28" s="340" t="str">
        <f t="shared" si="0"/>
        <v>12A1Nguyễn ThụcNhi04/10/2004</v>
      </c>
      <c r="D28" s="179" t="s">
        <v>681</v>
      </c>
      <c r="E28" s="180" t="s">
        <v>762</v>
      </c>
      <c r="F28" s="181" t="s">
        <v>763</v>
      </c>
      <c r="G28" s="182" t="s">
        <v>764</v>
      </c>
      <c r="H28" s="182"/>
      <c r="I28" s="551"/>
      <c r="J28" s="179"/>
      <c r="K28" s="179"/>
      <c r="L28" s="187"/>
      <c r="M28" s="185"/>
      <c r="N28" s="185"/>
      <c r="O28" s="552"/>
      <c r="P28" s="188"/>
      <c r="Q28" s="187"/>
      <c r="R28" s="410">
        <f>IF($B28="","",IF(INDEX(BDHKI,MATCH(DiemHKII!$C28,DiemHKI!$DI$4:$DI$58,0),R$67)&lt;&gt;"",INDEX(BDHKI,MATCH(DiemHKII!$C28,DiemHKI!$DI$4:$DI$58,0),R$67),""))</f>
        <v>9.8000000000000007</v>
      </c>
      <c r="S28" s="410" t="str">
        <f t="shared" si="1"/>
        <v/>
      </c>
      <c r="T28" s="411" t="str">
        <f t="shared" si="2"/>
        <v/>
      </c>
      <c r="U28" s="187"/>
      <c r="V28" s="185"/>
      <c r="W28" s="185"/>
      <c r="X28" s="552"/>
      <c r="Y28" s="188"/>
      <c r="Z28" s="187"/>
      <c r="AA28" s="435">
        <f>IF($B28="","",IF(INDEX(BDHKI,MATCH(DiemHKII!$C28,DiemHKI!$DI$4:$DI$58,0),AA$67)&lt;&gt;"",INDEX(BDHKI,MATCH(DiemHKII!$C28,DiemHKI!$DI$4:$DI$58,0),AA$67),""))</f>
        <v>9.6999999999999993</v>
      </c>
      <c r="AB28" s="435" t="str">
        <f t="shared" si="3"/>
        <v/>
      </c>
      <c r="AC28" s="436" t="str">
        <f t="shared" si="4"/>
        <v/>
      </c>
      <c r="AD28" s="187"/>
      <c r="AE28" s="185"/>
      <c r="AF28" s="185"/>
      <c r="AG28" s="552"/>
      <c r="AH28" s="188"/>
      <c r="AI28" s="187"/>
      <c r="AJ28" s="410">
        <f>IF($B28="","",IF(INDEX(BDHKI,MATCH(DiemHKII!$C28,DiemHKI!$DI$4:$DI$58,0),AJ$67)&lt;&gt;"",INDEX(BDHKI,MATCH(DiemHKII!$C28,DiemHKI!$DI$4:$DI$58,0),AJ$67),""))</f>
        <v>9.8000000000000007</v>
      </c>
      <c r="AK28" s="410" t="str">
        <f t="shared" si="5"/>
        <v/>
      </c>
      <c r="AL28" s="411" t="str">
        <f t="shared" si="6"/>
        <v/>
      </c>
      <c r="AM28" s="187"/>
      <c r="AN28" s="185"/>
      <c r="AO28" s="185"/>
      <c r="AP28" s="552"/>
      <c r="AQ28" s="188"/>
      <c r="AR28" s="187"/>
      <c r="AS28" s="435">
        <f>IF($B28="","",IF(INDEX(BDHKI,MATCH(DiemHKII!$C28,DiemHKI!$DI$4:$DI$58,0),AS$67)&lt;&gt;"",INDEX(BDHKI,MATCH(DiemHKII!$C28,DiemHKI!$DI$4:$DI$58,0),AS$67),""))</f>
        <v>8.9</v>
      </c>
      <c r="AT28" s="435" t="str">
        <f t="shared" si="7"/>
        <v/>
      </c>
      <c r="AU28" s="436" t="str">
        <f t="shared" si="8"/>
        <v/>
      </c>
      <c r="AV28" s="187"/>
      <c r="AW28" s="185"/>
      <c r="AX28" s="185"/>
      <c r="AY28" s="552"/>
      <c r="AZ28" s="188"/>
      <c r="BA28" s="187"/>
      <c r="BB28" s="410">
        <f>IF($B28="","",IF(INDEX(BDHKI,MATCH(DiemHKII!$C28,DiemHKI!$DI$4:$DI$58,0),BB$67)&lt;&gt;"",INDEX(BDHKI,MATCH(DiemHKII!$C28,DiemHKI!$DI$4:$DI$58,0),BB$67),""))</f>
        <v>9.8000000000000007</v>
      </c>
      <c r="BC28" s="410" t="str">
        <f t="shared" si="9"/>
        <v/>
      </c>
      <c r="BD28" s="411" t="str">
        <f t="shared" si="10"/>
        <v/>
      </c>
      <c r="BE28" s="187"/>
      <c r="BF28" s="185"/>
      <c r="BG28" s="185"/>
      <c r="BH28" s="552"/>
      <c r="BI28" s="188"/>
      <c r="BJ28" s="187"/>
      <c r="BK28" s="435">
        <f>IF($B28="","",IF(INDEX(BDHKI,MATCH(DiemHKII!$C28,DiemHKI!$DI$4:$DI$58,0),BK$67)&lt;&gt;"",INDEX(BDHKI,MATCH(DiemHKII!$C28,DiemHKI!$DI$4:$DI$58,0),BK$67),""))</f>
        <v>7.9</v>
      </c>
      <c r="BL28" s="435" t="str">
        <f t="shared" si="11"/>
        <v/>
      </c>
      <c r="BM28" s="436" t="str">
        <f t="shared" si="12"/>
        <v/>
      </c>
      <c r="BN28" s="187"/>
      <c r="BO28" s="185"/>
      <c r="BP28" s="185"/>
      <c r="BQ28" s="552"/>
      <c r="BR28" s="188"/>
      <c r="BS28" s="187"/>
      <c r="BT28" s="410">
        <f>IF($B28="","",IF(INDEX(BDHKI,MATCH(DiemHKII!$C28,DiemHKI!$DI$4:$DI$58,0),BT$67)&lt;&gt;"",INDEX(BDHKI,MATCH(DiemHKII!$C28,DiemHKI!$DI$4:$DI$58,0),BT$67),""))</f>
        <v>9.8000000000000007</v>
      </c>
      <c r="BU28" s="410" t="str">
        <f t="shared" si="13"/>
        <v/>
      </c>
      <c r="BV28" s="411" t="str">
        <f t="shared" si="14"/>
        <v/>
      </c>
      <c r="BW28" s="187"/>
      <c r="BX28" s="185"/>
      <c r="BY28" s="185"/>
      <c r="BZ28" s="552"/>
      <c r="CA28" s="188"/>
      <c r="CB28" s="187"/>
      <c r="CC28" s="410">
        <f>IF($B28="","",IF(INDEX(BDHKI,MATCH(DiemHKII!$C28,DiemHKI!$DI$4:$DI$58,0),CC$67)&lt;&gt;"",INDEX(BDHKI,MATCH(DiemHKII!$C28,DiemHKI!$DI$4:$DI$58,0),CC$67),""))</f>
        <v>9.8000000000000007</v>
      </c>
      <c r="CD28" s="410" t="str">
        <f t="shared" si="15"/>
        <v/>
      </c>
      <c r="CE28" s="411" t="str">
        <f t="shared" si="16"/>
        <v/>
      </c>
      <c r="CF28" s="187"/>
      <c r="CG28" s="185"/>
      <c r="CH28" s="185"/>
      <c r="CI28" s="552"/>
      <c r="CJ28" s="188"/>
      <c r="CK28" s="187"/>
      <c r="CL28" s="435">
        <f>IF($B28="","",IF(INDEX(BDHKI,MATCH(DiemHKII!$C28,DiemHKI!$DI$4:$DI$58,0),CL$67)&lt;&gt;"",INDEX(BDHKI,MATCH(DiemHKII!$C28,DiemHKI!$DI$4:$DI$58,0),CL$67),""))</f>
        <v>9.6</v>
      </c>
      <c r="CM28" s="435" t="str">
        <f t="shared" si="17"/>
        <v/>
      </c>
      <c r="CN28" s="436" t="str">
        <f t="shared" si="18"/>
        <v/>
      </c>
      <c r="CO28" s="187"/>
      <c r="CP28" s="185"/>
      <c r="CQ28" s="185"/>
      <c r="CR28" s="552"/>
      <c r="CS28" s="188"/>
      <c r="CT28" s="187"/>
      <c r="CU28" s="410">
        <f>IF($B28="","",IF(INDEX(BDHKI,MATCH(DiemHKII!$C28,DiemHKI!$DI$4:$DI$58,0),CU$67)&lt;&gt;"",INDEX(BDHKI,MATCH(DiemHKII!$C28,DiemHKI!$DI$4:$DI$58,0),CU$67),""))</f>
        <v>9.1</v>
      </c>
      <c r="CV28" s="410" t="str">
        <f t="shared" si="19"/>
        <v/>
      </c>
      <c r="CW28" s="411" t="str">
        <f t="shared" si="20"/>
        <v/>
      </c>
      <c r="CX28" s="187"/>
      <c r="CY28" s="185"/>
      <c r="CZ28" s="185"/>
      <c r="DA28" s="552"/>
      <c r="DB28" s="188"/>
      <c r="DC28" s="187"/>
      <c r="DD28" s="435">
        <f>IF($B28="","",IF(INDEX(BDHKI,MATCH(DiemHKII!$C28,DiemHKI!$DI$4:$DI$58,0),DD$67)&lt;&gt;"",INDEX(BDHKI,MATCH(DiemHKII!$C28,DiemHKI!$DI$4:$DI$58,0),DD$67),""))</f>
        <v>9.5</v>
      </c>
      <c r="DE28" s="435" t="str">
        <f t="shared" si="21"/>
        <v/>
      </c>
      <c r="DF28" s="436" t="str">
        <f t="shared" si="22"/>
        <v/>
      </c>
      <c r="DG28" s="213"/>
      <c r="DH28" s="214"/>
      <c r="DI28" s="214"/>
      <c r="DJ28" s="215"/>
      <c r="DK28" s="216"/>
      <c r="DL28" s="193"/>
      <c r="DM28" s="533" t="str">
        <f>IF($B28="","",IF(INDEX(BDHKI,MATCH(DiemHKII!$C28,DiemHKI!$DI$4:$DI$58,0),DM$67)&lt;&gt;"",INDEX(BDHKI,MATCH(DiemHKII!$C28,DiemHKI!$DI$4:$DI$58,0),DM$67),""))</f>
        <v>Đ</v>
      </c>
      <c r="DN28" s="533" t="str">
        <f t="shared" si="23"/>
        <v/>
      </c>
      <c r="DO28" s="533" t="str">
        <f t="shared" si="24"/>
        <v>Đ</v>
      </c>
      <c r="DP28" s="187"/>
      <c r="DQ28" s="185"/>
      <c r="DR28" s="185"/>
      <c r="DS28" s="552"/>
      <c r="DT28" s="188"/>
      <c r="DU28" s="187"/>
      <c r="DV28" s="435">
        <f>IF($B28="","",IF(INDEX(BDHKI,MATCH(DiemHKII!$C28,DiemHKI!$DI$4:$DI$58,0),DV$67)&lt;&gt;"",INDEX(BDHKI,MATCH(DiemHKII!$C28,DiemHKI!$DI$4:$DI$58,0),DV$67),""))</f>
        <v>9.9</v>
      </c>
      <c r="DW28" s="435" t="str">
        <f t="shared" si="25"/>
        <v/>
      </c>
      <c r="DX28" s="436" t="str">
        <f t="shared" si="26"/>
        <v/>
      </c>
      <c r="DY28" s="187"/>
      <c r="DZ28" s="185"/>
      <c r="EA28" s="185"/>
      <c r="EB28" s="552"/>
      <c r="EC28" s="188"/>
      <c r="ED28" s="187"/>
      <c r="EE28" s="410" t="str">
        <f>IF($B28="","",IF(INDEX(BDHKI,MATCH(DiemHKII!$C28,DiemHKI!$DI$4:$DI$58,0),EE$67)&lt;&gt;"",INDEX(BDHKI,MATCH(DiemHKII!$C28,DiemHKI!$DI$4:$DI$58,0),EE$67),""))</f>
        <v/>
      </c>
      <c r="EF28" s="410" t="str">
        <f t="shared" si="27"/>
        <v/>
      </c>
      <c r="EG28" s="411" t="str">
        <f t="shared" si="28"/>
        <v/>
      </c>
      <c r="EH28" s="194"/>
      <c r="EI28" s="182"/>
      <c r="EJ28" s="183"/>
      <c r="EK28" s="195"/>
    </row>
    <row r="29" spans="1:141" s="30" customFormat="1" ht="15.9" customHeight="1">
      <c r="A29" s="414"/>
      <c r="B29" s="111">
        <f>IF(D29&lt;&gt;"",MAX($B$4:B28)+1,"")</f>
        <v>26</v>
      </c>
      <c r="C29" s="341" t="str">
        <f t="shared" si="0"/>
        <v>12A1Trần Thị HảiNhư17/08/2004</v>
      </c>
      <c r="D29" s="196" t="s">
        <v>681</v>
      </c>
      <c r="E29" s="197" t="s">
        <v>765</v>
      </c>
      <c r="F29" s="198" t="s">
        <v>766</v>
      </c>
      <c r="G29" s="199" t="s">
        <v>767</v>
      </c>
      <c r="H29" s="199"/>
      <c r="I29" s="553"/>
      <c r="J29" s="196"/>
      <c r="K29" s="196"/>
      <c r="L29" s="204"/>
      <c r="M29" s="202"/>
      <c r="N29" s="202"/>
      <c r="O29" s="554"/>
      <c r="P29" s="205"/>
      <c r="Q29" s="204"/>
      <c r="R29" s="412">
        <f>IF($B29="","",IF(INDEX(BDHKI,MATCH(DiemHKII!$C29,DiemHKI!$DI$4:$DI$58,0),R$67)&lt;&gt;"",INDEX(BDHKI,MATCH(DiemHKII!$C29,DiemHKI!$DI$4:$DI$58,0),R$67),""))</f>
        <v>9.3000000000000007</v>
      </c>
      <c r="S29" s="412" t="str">
        <f t="shared" si="1"/>
        <v/>
      </c>
      <c r="T29" s="413" t="str">
        <f t="shared" si="2"/>
        <v/>
      </c>
      <c r="U29" s="204"/>
      <c r="V29" s="202"/>
      <c r="W29" s="202"/>
      <c r="X29" s="554"/>
      <c r="Y29" s="205"/>
      <c r="Z29" s="204"/>
      <c r="AA29" s="437">
        <f>IF($B29="","",IF(INDEX(BDHKI,MATCH(DiemHKII!$C29,DiemHKI!$DI$4:$DI$58,0),AA$67)&lt;&gt;"",INDEX(BDHKI,MATCH(DiemHKII!$C29,DiemHKI!$DI$4:$DI$58,0),AA$67),""))</f>
        <v>9.6999999999999993</v>
      </c>
      <c r="AB29" s="437" t="str">
        <f t="shared" si="3"/>
        <v/>
      </c>
      <c r="AC29" s="438" t="str">
        <f t="shared" si="4"/>
        <v/>
      </c>
      <c r="AD29" s="204"/>
      <c r="AE29" s="202"/>
      <c r="AF29" s="202"/>
      <c r="AG29" s="554"/>
      <c r="AH29" s="205"/>
      <c r="AI29" s="204"/>
      <c r="AJ29" s="412">
        <f>IF($B29="","",IF(INDEX(BDHKI,MATCH(DiemHKII!$C29,DiemHKI!$DI$4:$DI$58,0),AJ$67)&lt;&gt;"",INDEX(BDHKI,MATCH(DiemHKII!$C29,DiemHKI!$DI$4:$DI$58,0),AJ$67),""))</f>
        <v>9.5</v>
      </c>
      <c r="AK29" s="412" t="str">
        <f t="shared" si="5"/>
        <v/>
      </c>
      <c r="AL29" s="413" t="str">
        <f t="shared" si="6"/>
        <v/>
      </c>
      <c r="AM29" s="204"/>
      <c r="AN29" s="202"/>
      <c r="AO29" s="202"/>
      <c r="AP29" s="554"/>
      <c r="AQ29" s="205"/>
      <c r="AR29" s="204"/>
      <c r="AS29" s="437">
        <f>IF($B29="","",IF(INDEX(BDHKI,MATCH(DiemHKII!$C29,DiemHKI!$DI$4:$DI$58,0),AS$67)&lt;&gt;"",INDEX(BDHKI,MATCH(DiemHKII!$C29,DiemHKI!$DI$4:$DI$58,0),AS$67),""))</f>
        <v>9</v>
      </c>
      <c r="AT29" s="437" t="str">
        <f t="shared" si="7"/>
        <v/>
      </c>
      <c r="AU29" s="438" t="str">
        <f t="shared" si="8"/>
        <v/>
      </c>
      <c r="AV29" s="204"/>
      <c r="AW29" s="202"/>
      <c r="AX29" s="202"/>
      <c r="AY29" s="554"/>
      <c r="AZ29" s="205"/>
      <c r="BA29" s="204"/>
      <c r="BB29" s="412">
        <f>IF($B29="","",IF(INDEX(BDHKI,MATCH(DiemHKII!$C29,DiemHKI!$DI$4:$DI$58,0),BB$67)&lt;&gt;"",INDEX(BDHKI,MATCH(DiemHKII!$C29,DiemHKI!$DI$4:$DI$58,0),BB$67),""))</f>
        <v>9.6</v>
      </c>
      <c r="BC29" s="412" t="str">
        <f t="shared" si="9"/>
        <v/>
      </c>
      <c r="BD29" s="413" t="str">
        <f t="shared" si="10"/>
        <v/>
      </c>
      <c r="BE29" s="204"/>
      <c r="BF29" s="202"/>
      <c r="BG29" s="202"/>
      <c r="BH29" s="554"/>
      <c r="BI29" s="205"/>
      <c r="BJ29" s="204"/>
      <c r="BK29" s="437">
        <f>IF($B29="","",IF(INDEX(BDHKI,MATCH(DiemHKII!$C29,DiemHKI!$DI$4:$DI$58,0),BK$67)&lt;&gt;"",INDEX(BDHKI,MATCH(DiemHKII!$C29,DiemHKI!$DI$4:$DI$58,0),BK$67),""))</f>
        <v>7.3</v>
      </c>
      <c r="BL29" s="437" t="str">
        <f t="shared" si="11"/>
        <v/>
      </c>
      <c r="BM29" s="438" t="str">
        <f t="shared" si="12"/>
        <v/>
      </c>
      <c r="BN29" s="204"/>
      <c r="BO29" s="202"/>
      <c r="BP29" s="202"/>
      <c r="BQ29" s="554"/>
      <c r="BR29" s="205"/>
      <c r="BS29" s="204"/>
      <c r="BT29" s="412">
        <f>IF($B29="","",IF(INDEX(BDHKI,MATCH(DiemHKII!$C29,DiemHKI!$DI$4:$DI$58,0),BT$67)&lt;&gt;"",INDEX(BDHKI,MATCH(DiemHKII!$C29,DiemHKI!$DI$4:$DI$58,0),BT$67),""))</f>
        <v>9.4</v>
      </c>
      <c r="BU29" s="412" t="str">
        <f t="shared" si="13"/>
        <v/>
      </c>
      <c r="BV29" s="413" t="str">
        <f t="shared" si="14"/>
        <v/>
      </c>
      <c r="BW29" s="204"/>
      <c r="BX29" s="202"/>
      <c r="BY29" s="202"/>
      <c r="BZ29" s="554"/>
      <c r="CA29" s="205"/>
      <c r="CB29" s="204"/>
      <c r="CC29" s="412">
        <f>IF($B29="","",IF(INDEX(BDHKI,MATCH(DiemHKII!$C29,DiemHKI!$DI$4:$DI$58,0),CC$67)&lt;&gt;"",INDEX(BDHKI,MATCH(DiemHKII!$C29,DiemHKI!$DI$4:$DI$58,0),CC$67),""))</f>
        <v>9.8000000000000007</v>
      </c>
      <c r="CD29" s="412" t="str">
        <f t="shared" si="15"/>
        <v/>
      </c>
      <c r="CE29" s="413" t="str">
        <f t="shared" si="16"/>
        <v/>
      </c>
      <c r="CF29" s="204"/>
      <c r="CG29" s="202"/>
      <c r="CH29" s="202"/>
      <c r="CI29" s="554"/>
      <c r="CJ29" s="205"/>
      <c r="CK29" s="204"/>
      <c r="CL29" s="437">
        <f>IF($B29="","",IF(INDEX(BDHKI,MATCH(DiemHKII!$C29,DiemHKI!$DI$4:$DI$58,0),CL$67)&lt;&gt;"",INDEX(BDHKI,MATCH(DiemHKII!$C29,DiemHKI!$DI$4:$DI$58,0),CL$67),""))</f>
        <v>9.3000000000000007</v>
      </c>
      <c r="CM29" s="437" t="str">
        <f t="shared" si="17"/>
        <v/>
      </c>
      <c r="CN29" s="438" t="str">
        <f t="shared" si="18"/>
        <v/>
      </c>
      <c r="CO29" s="204"/>
      <c r="CP29" s="202"/>
      <c r="CQ29" s="202"/>
      <c r="CR29" s="554"/>
      <c r="CS29" s="205"/>
      <c r="CT29" s="204"/>
      <c r="CU29" s="412">
        <f>IF($B29="","",IF(INDEX(BDHKI,MATCH(DiemHKII!$C29,DiemHKI!$DI$4:$DI$58,0),CU$67)&lt;&gt;"",INDEX(BDHKI,MATCH(DiemHKII!$C29,DiemHKI!$DI$4:$DI$58,0),CU$67),""))</f>
        <v>8.8000000000000007</v>
      </c>
      <c r="CV29" s="412" t="str">
        <f t="shared" si="19"/>
        <v/>
      </c>
      <c r="CW29" s="413" t="str">
        <f t="shared" si="20"/>
        <v/>
      </c>
      <c r="CX29" s="204"/>
      <c r="CY29" s="202"/>
      <c r="CZ29" s="202"/>
      <c r="DA29" s="554"/>
      <c r="DB29" s="205"/>
      <c r="DC29" s="204"/>
      <c r="DD29" s="437">
        <f>IF($B29="","",IF(INDEX(BDHKI,MATCH(DiemHKII!$C29,DiemHKI!$DI$4:$DI$58,0),DD$67)&lt;&gt;"",INDEX(BDHKI,MATCH(DiemHKII!$C29,DiemHKI!$DI$4:$DI$58,0),DD$67),""))</f>
        <v>9.4</v>
      </c>
      <c r="DE29" s="437" t="str">
        <f t="shared" si="21"/>
        <v/>
      </c>
      <c r="DF29" s="438" t="str">
        <f t="shared" si="22"/>
        <v/>
      </c>
      <c r="DG29" s="206"/>
      <c r="DH29" s="207"/>
      <c r="DI29" s="207"/>
      <c r="DJ29" s="208"/>
      <c r="DK29" s="209"/>
      <c r="DL29" s="210"/>
      <c r="DM29" s="531" t="str">
        <f>IF($B29="","",IF(INDEX(BDHKI,MATCH(DiemHKII!$C29,DiemHKI!$DI$4:$DI$58,0),DM$67)&lt;&gt;"",INDEX(BDHKI,MATCH(DiemHKII!$C29,DiemHKI!$DI$4:$DI$58,0),DM$67),""))</f>
        <v>Đ</v>
      </c>
      <c r="DN29" s="531" t="str">
        <f t="shared" si="23"/>
        <v/>
      </c>
      <c r="DO29" s="531" t="str">
        <f t="shared" si="24"/>
        <v>Đ</v>
      </c>
      <c r="DP29" s="204"/>
      <c r="DQ29" s="202"/>
      <c r="DR29" s="202"/>
      <c r="DS29" s="554"/>
      <c r="DT29" s="205"/>
      <c r="DU29" s="204"/>
      <c r="DV29" s="437">
        <f>IF($B29="","",IF(INDEX(BDHKI,MATCH(DiemHKII!$C29,DiemHKI!$DI$4:$DI$58,0),DV$67)&lt;&gt;"",INDEX(BDHKI,MATCH(DiemHKII!$C29,DiemHKI!$DI$4:$DI$58,0),DV$67),""))</f>
        <v>9.9</v>
      </c>
      <c r="DW29" s="437" t="str">
        <f t="shared" si="25"/>
        <v/>
      </c>
      <c r="DX29" s="438" t="str">
        <f t="shared" si="26"/>
        <v/>
      </c>
      <c r="DY29" s="204"/>
      <c r="DZ29" s="202"/>
      <c r="EA29" s="202"/>
      <c r="EB29" s="554"/>
      <c r="EC29" s="205"/>
      <c r="ED29" s="204"/>
      <c r="EE29" s="412" t="str">
        <f>IF($B29="","",IF(INDEX(BDHKI,MATCH(DiemHKII!$C29,DiemHKI!$DI$4:$DI$58,0),EE$67)&lt;&gt;"",INDEX(BDHKI,MATCH(DiemHKII!$C29,DiemHKI!$DI$4:$DI$58,0),EE$67),""))</f>
        <v/>
      </c>
      <c r="EF29" s="412" t="str">
        <f t="shared" si="27"/>
        <v/>
      </c>
      <c r="EG29" s="413" t="str">
        <f t="shared" si="28"/>
        <v/>
      </c>
      <c r="EH29" s="211"/>
      <c r="EI29" s="199"/>
      <c r="EJ29" s="200"/>
      <c r="EK29" s="212"/>
    </row>
    <row r="30" spans="1:141" s="30" customFormat="1" ht="15.9" customHeight="1">
      <c r="A30" s="414"/>
      <c r="B30" s="99">
        <f>IF(D30&lt;&gt;"",MAX($B$4:B29)+1,"")</f>
        <v>27</v>
      </c>
      <c r="C30" s="339" t="str">
        <f t="shared" si="0"/>
        <v>12A1Nguyễn Bá NhậtQuang18/07/2004</v>
      </c>
      <c r="D30" s="166" t="s">
        <v>681</v>
      </c>
      <c r="E30" s="167" t="s">
        <v>768</v>
      </c>
      <c r="F30" s="168" t="s">
        <v>769</v>
      </c>
      <c r="G30" s="163" t="s">
        <v>770</v>
      </c>
      <c r="H30" s="163"/>
      <c r="I30" s="549"/>
      <c r="J30" s="166"/>
      <c r="K30" s="166"/>
      <c r="L30" s="172"/>
      <c r="M30" s="170"/>
      <c r="N30" s="170"/>
      <c r="O30" s="550"/>
      <c r="P30" s="173"/>
      <c r="Q30" s="172"/>
      <c r="R30" s="408">
        <f>IF($B30="","",IF(INDEX(BDHKI,MATCH(DiemHKII!$C30,DiemHKI!$DI$4:$DI$58,0),R$67)&lt;&gt;"",INDEX(BDHKI,MATCH(DiemHKII!$C30,DiemHKI!$DI$4:$DI$58,0),R$67),""))</f>
        <v>9.6</v>
      </c>
      <c r="S30" s="408" t="str">
        <f t="shared" si="1"/>
        <v/>
      </c>
      <c r="T30" s="409" t="str">
        <f t="shared" si="2"/>
        <v/>
      </c>
      <c r="U30" s="172"/>
      <c r="V30" s="170"/>
      <c r="W30" s="170"/>
      <c r="X30" s="550"/>
      <c r="Y30" s="173"/>
      <c r="Z30" s="172"/>
      <c r="AA30" s="433">
        <f>IF($B30="","",IF(INDEX(BDHKI,MATCH(DiemHKII!$C30,DiemHKI!$DI$4:$DI$58,0),AA$67)&lt;&gt;"",INDEX(BDHKI,MATCH(DiemHKII!$C30,DiemHKI!$DI$4:$DI$58,0),AA$67),""))</f>
        <v>9.9</v>
      </c>
      <c r="AB30" s="433" t="str">
        <f t="shared" si="3"/>
        <v/>
      </c>
      <c r="AC30" s="434" t="str">
        <f t="shared" si="4"/>
        <v/>
      </c>
      <c r="AD30" s="172"/>
      <c r="AE30" s="170"/>
      <c r="AF30" s="170"/>
      <c r="AG30" s="550"/>
      <c r="AH30" s="173"/>
      <c r="AI30" s="172"/>
      <c r="AJ30" s="408">
        <f>IF($B30="","",IF(INDEX(BDHKI,MATCH(DiemHKII!$C30,DiemHKI!$DI$4:$DI$58,0),AJ$67)&lt;&gt;"",INDEX(BDHKI,MATCH(DiemHKII!$C30,DiemHKI!$DI$4:$DI$58,0),AJ$67),""))</f>
        <v>9.4</v>
      </c>
      <c r="AK30" s="408" t="str">
        <f t="shared" si="5"/>
        <v/>
      </c>
      <c r="AL30" s="409" t="str">
        <f t="shared" si="6"/>
        <v/>
      </c>
      <c r="AM30" s="172"/>
      <c r="AN30" s="170"/>
      <c r="AO30" s="170"/>
      <c r="AP30" s="550"/>
      <c r="AQ30" s="173"/>
      <c r="AR30" s="172"/>
      <c r="AS30" s="433">
        <f>IF($B30="","",IF(INDEX(BDHKI,MATCH(DiemHKII!$C30,DiemHKI!$DI$4:$DI$58,0),AS$67)&lt;&gt;"",INDEX(BDHKI,MATCH(DiemHKII!$C30,DiemHKI!$DI$4:$DI$58,0),AS$67),""))</f>
        <v>8.9</v>
      </c>
      <c r="AT30" s="433" t="str">
        <f t="shared" si="7"/>
        <v/>
      </c>
      <c r="AU30" s="434" t="str">
        <f t="shared" si="8"/>
        <v/>
      </c>
      <c r="AV30" s="172"/>
      <c r="AW30" s="170"/>
      <c r="AX30" s="170"/>
      <c r="AY30" s="550"/>
      <c r="AZ30" s="173"/>
      <c r="BA30" s="172"/>
      <c r="BB30" s="408">
        <f>IF($B30="","",IF(INDEX(BDHKI,MATCH(DiemHKII!$C30,DiemHKI!$DI$4:$DI$58,0),BB$67)&lt;&gt;"",INDEX(BDHKI,MATCH(DiemHKII!$C30,DiemHKI!$DI$4:$DI$58,0),BB$67),""))</f>
        <v>9.8000000000000007</v>
      </c>
      <c r="BC30" s="408" t="str">
        <f t="shared" si="9"/>
        <v/>
      </c>
      <c r="BD30" s="409" t="str">
        <f t="shared" si="10"/>
        <v/>
      </c>
      <c r="BE30" s="172"/>
      <c r="BF30" s="170"/>
      <c r="BG30" s="170"/>
      <c r="BH30" s="550"/>
      <c r="BI30" s="173"/>
      <c r="BJ30" s="172"/>
      <c r="BK30" s="433">
        <f>IF($B30="","",IF(INDEX(BDHKI,MATCH(DiemHKII!$C30,DiemHKI!$DI$4:$DI$58,0),BK$67)&lt;&gt;"",INDEX(BDHKI,MATCH(DiemHKII!$C30,DiemHKI!$DI$4:$DI$58,0),BK$67),""))</f>
        <v>7.6</v>
      </c>
      <c r="BL30" s="433" t="str">
        <f t="shared" si="11"/>
        <v/>
      </c>
      <c r="BM30" s="434" t="str">
        <f t="shared" si="12"/>
        <v/>
      </c>
      <c r="BN30" s="172"/>
      <c r="BO30" s="170"/>
      <c r="BP30" s="170"/>
      <c r="BQ30" s="550"/>
      <c r="BR30" s="173"/>
      <c r="BS30" s="172"/>
      <c r="BT30" s="408">
        <f>IF($B30="","",IF(INDEX(BDHKI,MATCH(DiemHKII!$C30,DiemHKI!$DI$4:$DI$58,0),BT$67)&lt;&gt;"",INDEX(BDHKI,MATCH(DiemHKII!$C30,DiemHKI!$DI$4:$DI$58,0),BT$67),""))</f>
        <v>9.9</v>
      </c>
      <c r="BU30" s="408" t="str">
        <f t="shared" si="13"/>
        <v/>
      </c>
      <c r="BV30" s="409" t="str">
        <f t="shared" si="14"/>
        <v/>
      </c>
      <c r="BW30" s="172"/>
      <c r="BX30" s="170"/>
      <c r="BY30" s="170"/>
      <c r="BZ30" s="550"/>
      <c r="CA30" s="173"/>
      <c r="CB30" s="172"/>
      <c r="CC30" s="408">
        <f>IF($B30="","",IF(INDEX(BDHKI,MATCH(DiemHKII!$C30,DiemHKI!$DI$4:$DI$58,0),CC$67)&lt;&gt;"",INDEX(BDHKI,MATCH(DiemHKII!$C30,DiemHKI!$DI$4:$DI$58,0),CC$67),""))</f>
        <v>9.9</v>
      </c>
      <c r="CD30" s="408" t="str">
        <f t="shared" si="15"/>
        <v/>
      </c>
      <c r="CE30" s="409" t="str">
        <f t="shared" si="16"/>
        <v/>
      </c>
      <c r="CF30" s="172"/>
      <c r="CG30" s="170"/>
      <c r="CH30" s="170"/>
      <c r="CI30" s="550"/>
      <c r="CJ30" s="173"/>
      <c r="CK30" s="172"/>
      <c r="CL30" s="433">
        <f>IF($B30="","",IF(INDEX(BDHKI,MATCH(DiemHKII!$C30,DiemHKI!$DI$4:$DI$58,0),CL$67)&lt;&gt;"",INDEX(BDHKI,MATCH(DiemHKII!$C30,DiemHKI!$DI$4:$DI$58,0),CL$67),""))</f>
        <v>9.1999999999999993</v>
      </c>
      <c r="CM30" s="433" t="str">
        <f t="shared" si="17"/>
        <v/>
      </c>
      <c r="CN30" s="434" t="str">
        <f t="shared" si="18"/>
        <v/>
      </c>
      <c r="CO30" s="172"/>
      <c r="CP30" s="170"/>
      <c r="CQ30" s="170"/>
      <c r="CR30" s="550"/>
      <c r="CS30" s="173"/>
      <c r="CT30" s="172"/>
      <c r="CU30" s="408">
        <f>IF($B30="","",IF(INDEX(BDHKI,MATCH(DiemHKII!$C30,DiemHKI!$DI$4:$DI$58,0),CU$67)&lt;&gt;"",INDEX(BDHKI,MATCH(DiemHKII!$C30,DiemHKI!$DI$4:$DI$58,0),CU$67),""))</f>
        <v>9.5</v>
      </c>
      <c r="CV30" s="408" t="str">
        <f t="shared" si="19"/>
        <v/>
      </c>
      <c r="CW30" s="409" t="str">
        <f t="shared" si="20"/>
        <v/>
      </c>
      <c r="CX30" s="172"/>
      <c r="CY30" s="170"/>
      <c r="CZ30" s="170"/>
      <c r="DA30" s="550"/>
      <c r="DB30" s="173"/>
      <c r="DC30" s="172"/>
      <c r="DD30" s="433">
        <f>IF($B30="","",IF(INDEX(BDHKI,MATCH(DiemHKII!$C30,DiemHKI!$DI$4:$DI$58,0),DD$67)&lt;&gt;"",INDEX(BDHKI,MATCH(DiemHKII!$C30,DiemHKI!$DI$4:$DI$58,0),DD$67),""))</f>
        <v>9.9</v>
      </c>
      <c r="DE30" s="433" t="str">
        <f t="shared" si="21"/>
        <v/>
      </c>
      <c r="DF30" s="434" t="str">
        <f t="shared" si="22"/>
        <v/>
      </c>
      <c r="DG30" s="174"/>
      <c r="DH30" s="175"/>
      <c r="DI30" s="175"/>
      <c r="DJ30" s="176"/>
      <c r="DK30" s="177"/>
      <c r="DL30" s="178"/>
      <c r="DM30" s="532" t="str">
        <f>IF($B30="","",IF(INDEX(BDHKI,MATCH(DiemHKII!$C30,DiemHKI!$DI$4:$DI$58,0),DM$67)&lt;&gt;"",INDEX(BDHKI,MATCH(DiemHKII!$C30,DiemHKI!$DI$4:$DI$58,0),DM$67),""))</f>
        <v>Đ</v>
      </c>
      <c r="DN30" s="532" t="str">
        <f t="shared" si="23"/>
        <v/>
      </c>
      <c r="DO30" s="532" t="str">
        <f t="shared" si="24"/>
        <v>Đ</v>
      </c>
      <c r="DP30" s="172"/>
      <c r="DQ30" s="170"/>
      <c r="DR30" s="170"/>
      <c r="DS30" s="550"/>
      <c r="DT30" s="173"/>
      <c r="DU30" s="172"/>
      <c r="DV30" s="433">
        <f>IF($B30="","",IF(INDEX(BDHKI,MATCH(DiemHKII!$C30,DiemHKI!$DI$4:$DI$58,0),DV$67)&lt;&gt;"",INDEX(BDHKI,MATCH(DiemHKII!$C30,DiemHKI!$DI$4:$DI$58,0),DV$67),""))</f>
        <v>9.9</v>
      </c>
      <c r="DW30" s="433" t="str">
        <f t="shared" si="25"/>
        <v/>
      </c>
      <c r="DX30" s="434" t="str">
        <f t="shared" si="26"/>
        <v/>
      </c>
      <c r="DY30" s="172"/>
      <c r="DZ30" s="170"/>
      <c r="EA30" s="170"/>
      <c r="EB30" s="550"/>
      <c r="EC30" s="173"/>
      <c r="ED30" s="172"/>
      <c r="EE30" s="408" t="str">
        <f>IF($B30="","",IF(INDEX(BDHKI,MATCH(DiemHKII!$C30,DiemHKI!$DI$4:$DI$58,0),EE$67)&lt;&gt;"",INDEX(BDHKI,MATCH(DiemHKII!$C30,DiemHKI!$DI$4:$DI$58,0),EE$67),""))</f>
        <v/>
      </c>
      <c r="EF30" s="408" t="str">
        <f t="shared" si="27"/>
        <v/>
      </c>
      <c r="EG30" s="409" t="str">
        <f t="shared" si="28"/>
        <v/>
      </c>
      <c r="EH30" s="162"/>
      <c r="EI30" s="163"/>
      <c r="EJ30" s="164"/>
      <c r="EK30" s="165"/>
    </row>
    <row r="31" spans="1:141" s="30" customFormat="1" ht="15.9" customHeight="1">
      <c r="A31" s="414"/>
      <c r="B31" s="99">
        <f>IF(D31&lt;&gt;"",MAX($B$4:B30)+1,"")</f>
        <v>28</v>
      </c>
      <c r="C31" s="339" t="str">
        <f t="shared" si="0"/>
        <v>12A1Phan Trương KiếnQuốc03/12/2004</v>
      </c>
      <c r="D31" s="166" t="s">
        <v>681</v>
      </c>
      <c r="E31" s="167" t="s">
        <v>771</v>
      </c>
      <c r="F31" s="168" t="s">
        <v>772</v>
      </c>
      <c r="G31" s="163" t="s">
        <v>773</v>
      </c>
      <c r="H31" s="163"/>
      <c r="I31" s="549"/>
      <c r="J31" s="166"/>
      <c r="K31" s="166"/>
      <c r="L31" s="172"/>
      <c r="M31" s="170"/>
      <c r="N31" s="170"/>
      <c r="O31" s="550"/>
      <c r="P31" s="173"/>
      <c r="Q31" s="172"/>
      <c r="R31" s="408">
        <f>IF($B31="","",IF(INDEX(BDHKI,MATCH(DiemHKII!$C31,DiemHKI!$DI$4:$DI$58,0),R$67)&lt;&gt;"",INDEX(BDHKI,MATCH(DiemHKII!$C31,DiemHKI!$DI$4:$DI$58,0),R$67),""))</f>
        <v>9.5</v>
      </c>
      <c r="S31" s="408" t="str">
        <f t="shared" si="1"/>
        <v/>
      </c>
      <c r="T31" s="409" t="str">
        <f t="shared" si="2"/>
        <v/>
      </c>
      <c r="U31" s="172"/>
      <c r="V31" s="170"/>
      <c r="W31" s="170"/>
      <c r="X31" s="550"/>
      <c r="Y31" s="173"/>
      <c r="Z31" s="172"/>
      <c r="AA31" s="433">
        <f>IF($B31="","",IF(INDEX(BDHKI,MATCH(DiemHKII!$C31,DiemHKI!$DI$4:$DI$58,0),AA$67)&lt;&gt;"",INDEX(BDHKI,MATCH(DiemHKII!$C31,DiemHKI!$DI$4:$DI$58,0),AA$67),""))</f>
        <v>9.1999999999999993</v>
      </c>
      <c r="AB31" s="433" t="str">
        <f t="shared" si="3"/>
        <v/>
      </c>
      <c r="AC31" s="434" t="str">
        <f t="shared" si="4"/>
        <v/>
      </c>
      <c r="AD31" s="172"/>
      <c r="AE31" s="170"/>
      <c r="AF31" s="170"/>
      <c r="AG31" s="550"/>
      <c r="AH31" s="173"/>
      <c r="AI31" s="172"/>
      <c r="AJ31" s="408">
        <f>IF($B31="","",IF(INDEX(BDHKI,MATCH(DiemHKII!$C31,DiemHKI!$DI$4:$DI$58,0),AJ$67)&lt;&gt;"",INDEX(BDHKI,MATCH(DiemHKII!$C31,DiemHKI!$DI$4:$DI$58,0),AJ$67),""))</f>
        <v>8.9</v>
      </c>
      <c r="AK31" s="408" t="str">
        <f t="shared" si="5"/>
        <v/>
      </c>
      <c r="AL31" s="409" t="str">
        <f t="shared" si="6"/>
        <v/>
      </c>
      <c r="AM31" s="172"/>
      <c r="AN31" s="170"/>
      <c r="AO31" s="170"/>
      <c r="AP31" s="550"/>
      <c r="AQ31" s="173"/>
      <c r="AR31" s="172"/>
      <c r="AS31" s="433">
        <f>IF($B31="","",IF(INDEX(BDHKI,MATCH(DiemHKII!$C31,DiemHKI!$DI$4:$DI$58,0),AS$67)&lt;&gt;"",INDEX(BDHKI,MATCH(DiemHKII!$C31,DiemHKI!$DI$4:$DI$58,0),AS$67),""))</f>
        <v>9.5</v>
      </c>
      <c r="AT31" s="433" t="str">
        <f t="shared" si="7"/>
        <v/>
      </c>
      <c r="AU31" s="434" t="str">
        <f t="shared" si="8"/>
        <v/>
      </c>
      <c r="AV31" s="172"/>
      <c r="AW31" s="170"/>
      <c r="AX31" s="170"/>
      <c r="AY31" s="550"/>
      <c r="AZ31" s="173"/>
      <c r="BA31" s="172"/>
      <c r="BB31" s="408">
        <f>IF($B31="","",IF(INDEX(BDHKI,MATCH(DiemHKII!$C31,DiemHKI!$DI$4:$DI$58,0),BB$67)&lt;&gt;"",INDEX(BDHKI,MATCH(DiemHKII!$C31,DiemHKI!$DI$4:$DI$58,0),BB$67),""))</f>
        <v>9.8000000000000007</v>
      </c>
      <c r="BC31" s="408" t="str">
        <f t="shared" si="9"/>
        <v/>
      </c>
      <c r="BD31" s="409" t="str">
        <f t="shared" si="10"/>
        <v/>
      </c>
      <c r="BE31" s="172"/>
      <c r="BF31" s="170"/>
      <c r="BG31" s="170"/>
      <c r="BH31" s="550"/>
      <c r="BI31" s="173"/>
      <c r="BJ31" s="172"/>
      <c r="BK31" s="433">
        <f>IF($B31="","",IF(INDEX(BDHKI,MATCH(DiemHKII!$C31,DiemHKI!$DI$4:$DI$58,0),BK$67)&lt;&gt;"",INDEX(BDHKI,MATCH(DiemHKII!$C31,DiemHKI!$DI$4:$DI$58,0),BK$67),""))</f>
        <v>7.7</v>
      </c>
      <c r="BL31" s="433" t="str">
        <f t="shared" si="11"/>
        <v/>
      </c>
      <c r="BM31" s="434" t="str">
        <f t="shared" si="12"/>
        <v/>
      </c>
      <c r="BN31" s="172"/>
      <c r="BO31" s="170"/>
      <c r="BP31" s="170"/>
      <c r="BQ31" s="550"/>
      <c r="BR31" s="173"/>
      <c r="BS31" s="172"/>
      <c r="BT31" s="408">
        <f>IF($B31="","",IF(INDEX(BDHKI,MATCH(DiemHKII!$C31,DiemHKI!$DI$4:$DI$58,0),BT$67)&lt;&gt;"",INDEX(BDHKI,MATCH(DiemHKII!$C31,DiemHKI!$DI$4:$DI$58,0),BT$67),""))</f>
        <v>9.6</v>
      </c>
      <c r="BU31" s="408" t="str">
        <f t="shared" si="13"/>
        <v/>
      </c>
      <c r="BV31" s="409" t="str">
        <f t="shared" si="14"/>
        <v/>
      </c>
      <c r="BW31" s="172"/>
      <c r="BX31" s="170"/>
      <c r="BY31" s="170"/>
      <c r="BZ31" s="550"/>
      <c r="CA31" s="173"/>
      <c r="CB31" s="172"/>
      <c r="CC31" s="408">
        <f>IF($B31="","",IF(INDEX(BDHKI,MATCH(DiemHKII!$C31,DiemHKI!$DI$4:$DI$58,0),CC$67)&lt;&gt;"",INDEX(BDHKI,MATCH(DiemHKII!$C31,DiemHKI!$DI$4:$DI$58,0),CC$67),""))</f>
        <v>9.9</v>
      </c>
      <c r="CD31" s="408" t="str">
        <f t="shared" si="15"/>
        <v/>
      </c>
      <c r="CE31" s="409" t="str">
        <f t="shared" si="16"/>
        <v/>
      </c>
      <c r="CF31" s="172"/>
      <c r="CG31" s="170"/>
      <c r="CH31" s="170"/>
      <c r="CI31" s="550"/>
      <c r="CJ31" s="173"/>
      <c r="CK31" s="172"/>
      <c r="CL31" s="433">
        <f>IF($B31="","",IF(INDEX(BDHKI,MATCH(DiemHKII!$C31,DiemHKI!$DI$4:$DI$58,0),CL$67)&lt;&gt;"",INDEX(BDHKI,MATCH(DiemHKII!$C31,DiemHKI!$DI$4:$DI$58,0),CL$67),""))</f>
        <v>7.5</v>
      </c>
      <c r="CM31" s="433" t="str">
        <f t="shared" si="17"/>
        <v/>
      </c>
      <c r="CN31" s="434" t="str">
        <f t="shared" si="18"/>
        <v/>
      </c>
      <c r="CO31" s="172"/>
      <c r="CP31" s="170"/>
      <c r="CQ31" s="170"/>
      <c r="CR31" s="550"/>
      <c r="CS31" s="173"/>
      <c r="CT31" s="172"/>
      <c r="CU31" s="408">
        <f>IF($B31="","",IF(INDEX(BDHKI,MATCH(DiemHKII!$C31,DiemHKI!$DI$4:$DI$58,0),CU$67)&lt;&gt;"",INDEX(BDHKI,MATCH(DiemHKII!$C31,DiemHKI!$DI$4:$DI$58,0),CU$67),""))</f>
        <v>9.1</v>
      </c>
      <c r="CV31" s="408" t="str">
        <f t="shared" si="19"/>
        <v/>
      </c>
      <c r="CW31" s="409" t="str">
        <f t="shared" si="20"/>
        <v/>
      </c>
      <c r="CX31" s="172"/>
      <c r="CY31" s="170"/>
      <c r="CZ31" s="170"/>
      <c r="DA31" s="550"/>
      <c r="DB31" s="173"/>
      <c r="DC31" s="172"/>
      <c r="DD31" s="433">
        <f>IF($B31="","",IF(INDEX(BDHKI,MATCH(DiemHKII!$C31,DiemHKI!$DI$4:$DI$58,0),DD$67)&lt;&gt;"",INDEX(BDHKI,MATCH(DiemHKII!$C31,DiemHKI!$DI$4:$DI$58,0),DD$67),""))</f>
        <v>9.8000000000000007</v>
      </c>
      <c r="DE31" s="433" t="str">
        <f t="shared" si="21"/>
        <v/>
      </c>
      <c r="DF31" s="434" t="str">
        <f t="shared" si="22"/>
        <v/>
      </c>
      <c r="DG31" s="174"/>
      <c r="DH31" s="175"/>
      <c r="DI31" s="175"/>
      <c r="DJ31" s="176"/>
      <c r="DK31" s="177"/>
      <c r="DL31" s="178"/>
      <c r="DM31" s="532" t="str">
        <f>IF($B31="","",IF(INDEX(BDHKI,MATCH(DiemHKII!$C31,DiemHKI!$DI$4:$DI$58,0),DM$67)&lt;&gt;"",INDEX(BDHKI,MATCH(DiemHKII!$C31,DiemHKI!$DI$4:$DI$58,0),DM$67),""))</f>
        <v>Đ</v>
      </c>
      <c r="DN31" s="532" t="str">
        <f t="shared" si="23"/>
        <v/>
      </c>
      <c r="DO31" s="532" t="str">
        <f t="shared" si="24"/>
        <v>Đ</v>
      </c>
      <c r="DP31" s="172"/>
      <c r="DQ31" s="170"/>
      <c r="DR31" s="170"/>
      <c r="DS31" s="550"/>
      <c r="DT31" s="173"/>
      <c r="DU31" s="172"/>
      <c r="DV31" s="433">
        <f>IF($B31="","",IF(INDEX(BDHKI,MATCH(DiemHKII!$C31,DiemHKI!$DI$4:$DI$58,0),DV$67)&lt;&gt;"",INDEX(BDHKI,MATCH(DiemHKII!$C31,DiemHKI!$DI$4:$DI$58,0),DV$67),""))</f>
        <v>9.9</v>
      </c>
      <c r="DW31" s="433" t="str">
        <f t="shared" si="25"/>
        <v/>
      </c>
      <c r="DX31" s="434" t="str">
        <f t="shared" si="26"/>
        <v/>
      </c>
      <c r="DY31" s="172"/>
      <c r="DZ31" s="170"/>
      <c r="EA31" s="170"/>
      <c r="EB31" s="550"/>
      <c r="EC31" s="173"/>
      <c r="ED31" s="172"/>
      <c r="EE31" s="408" t="str">
        <f>IF($B31="","",IF(INDEX(BDHKI,MATCH(DiemHKII!$C31,DiemHKI!$DI$4:$DI$58,0),EE$67)&lt;&gt;"",INDEX(BDHKI,MATCH(DiemHKII!$C31,DiemHKI!$DI$4:$DI$58,0),EE$67),""))</f>
        <v/>
      </c>
      <c r="EF31" s="408" t="str">
        <f t="shared" si="27"/>
        <v/>
      </c>
      <c r="EG31" s="409" t="str">
        <f t="shared" si="28"/>
        <v/>
      </c>
      <c r="EH31" s="162"/>
      <c r="EI31" s="163"/>
      <c r="EJ31" s="164"/>
      <c r="EK31" s="165"/>
    </row>
    <row r="32" spans="1:141" s="30" customFormat="1" ht="15.9" customHeight="1">
      <c r="A32" s="415"/>
      <c r="B32" s="99">
        <f>IF(D32&lt;&gt;"",MAX($B$4:B31)+1,"")</f>
        <v>29</v>
      </c>
      <c r="C32" s="339" t="str">
        <f t="shared" si="0"/>
        <v>12A1Trần Thị NhưQuỳnh28/01/2004</v>
      </c>
      <c r="D32" s="217" t="s">
        <v>681</v>
      </c>
      <c r="E32" s="167" t="s">
        <v>774</v>
      </c>
      <c r="F32" s="168" t="s">
        <v>775</v>
      </c>
      <c r="G32" s="163" t="s">
        <v>776</v>
      </c>
      <c r="H32" s="163"/>
      <c r="I32" s="549"/>
      <c r="J32" s="166"/>
      <c r="K32" s="166"/>
      <c r="L32" s="172"/>
      <c r="M32" s="170"/>
      <c r="N32" s="170"/>
      <c r="O32" s="550"/>
      <c r="P32" s="173"/>
      <c r="Q32" s="172"/>
      <c r="R32" s="408">
        <f>IF($B32="","",IF(INDEX(BDHKI,MATCH(DiemHKII!$C32,DiemHKI!$DI$4:$DI$58,0),R$67)&lt;&gt;"",INDEX(BDHKI,MATCH(DiemHKII!$C32,DiemHKI!$DI$4:$DI$58,0),R$67),""))</f>
        <v>9.8000000000000007</v>
      </c>
      <c r="S32" s="408" t="str">
        <f t="shared" si="1"/>
        <v/>
      </c>
      <c r="T32" s="409" t="str">
        <f t="shared" si="2"/>
        <v/>
      </c>
      <c r="U32" s="172"/>
      <c r="V32" s="170"/>
      <c r="W32" s="170"/>
      <c r="X32" s="550"/>
      <c r="Y32" s="173"/>
      <c r="Z32" s="172"/>
      <c r="AA32" s="433">
        <f>IF($B32="","",IF(INDEX(BDHKI,MATCH(DiemHKII!$C32,DiemHKI!$DI$4:$DI$58,0),AA$67)&lt;&gt;"",INDEX(BDHKI,MATCH(DiemHKII!$C32,DiemHKI!$DI$4:$DI$58,0),AA$67),""))</f>
        <v>9.9</v>
      </c>
      <c r="AB32" s="433" t="str">
        <f t="shared" si="3"/>
        <v/>
      </c>
      <c r="AC32" s="434" t="str">
        <f t="shared" si="4"/>
        <v/>
      </c>
      <c r="AD32" s="172"/>
      <c r="AE32" s="170"/>
      <c r="AF32" s="170"/>
      <c r="AG32" s="550"/>
      <c r="AH32" s="173"/>
      <c r="AI32" s="172"/>
      <c r="AJ32" s="408">
        <f>IF($B32="","",IF(INDEX(BDHKI,MATCH(DiemHKII!$C32,DiemHKI!$DI$4:$DI$58,0),AJ$67)&lt;&gt;"",INDEX(BDHKI,MATCH(DiemHKII!$C32,DiemHKI!$DI$4:$DI$58,0),AJ$67),""))</f>
        <v>9.4</v>
      </c>
      <c r="AK32" s="408" t="str">
        <f t="shared" si="5"/>
        <v/>
      </c>
      <c r="AL32" s="409" t="str">
        <f t="shared" si="6"/>
        <v/>
      </c>
      <c r="AM32" s="172"/>
      <c r="AN32" s="170"/>
      <c r="AO32" s="170"/>
      <c r="AP32" s="550"/>
      <c r="AQ32" s="173"/>
      <c r="AR32" s="172"/>
      <c r="AS32" s="433">
        <f>IF($B32="","",IF(INDEX(BDHKI,MATCH(DiemHKII!$C32,DiemHKI!$DI$4:$DI$58,0),AS$67)&lt;&gt;"",INDEX(BDHKI,MATCH(DiemHKII!$C32,DiemHKI!$DI$4:$DI$58,0),AS$67),""))</f>
        <v>9.3000000000000007</v>
      </c>
      <c r="AT32" s="433" t="str">
        <f t="shared" si="7"/>
        <v/>
      </c>
      <c r="AU32" s="434" t="str">
        <f t="shared" si="8"/>
        <v/>
      </c>
      <c r="AV32" s="172"/>
      <c r="AW32" s="170"/>
      <c r="AX32" s="170"/>
      <c r="AY32" s="550"/>
      <c r="AZ32" s="173"/>
      <c r="BA32" s="172"/>
      <c r="BB32" s="408">
        <f>IF($B32="","",IF(INDEX(BDHKI,MATCH(DiemHKII!$C32,DiemHKI!$DI$4:$DI$58,0),BB$67)&lt;&gt;"",INDEX(BDHKI,MATCH(DiemHKII!$C32,DiemHKI!$DI$4:$DI$58,0),BB$67),""))</f>
        <v>9.9</v>
      </c>
      <c r="BC32" s="408" t="str">
        <f t="shared" si="9"/>
        <v/>
      </c>
      <c r="BD32" s="409" t="str">
        <f t="shared" si="10"/>
        <v/>
      </c>
      <c r="BE32" s="172"/>
      <c r="BF32" s="170"/>
      <c r="BG32" s="170"/>
      <c r="BH32" s="550"/>
      <c r="BI32" s="173"/>
      <c r="BJ32" s="172"/>
      <c r="BK32" s="433">
        <f>IF($B32="","",IF(INDEX(BDHKI,MATCH(DiemHKII!$C32,DiemHKI!$DI$4:$DI$58,0),BK$67)&lt;&gt;"",INDEX(BDHKI,MATCH(DiemHKII!$C32,DiemHKI!$DI$4:$DI$58,0),BK$67),""))</f>
        <v>7.8</v>
      </c>
      <c r="BL32" s="433" t="str">
        <f t="shared" si="11"/>
        <v/>
      </c>
      <c r="BM32" s="434" t="str">
        <f t="shared" si="12"/>
        <v/>
      </c>
      <c r="BN32" s="172"/>
      <c r="BO32" s="170"/>
      <c r="BP32" s="170"/>
      <c r="BQ32" s="550"/>
      <c r="BR32" s="173"/>
      <c r="BS32" s="172"/>
      <c r="BT32" s="408">
        <f>IF($B32="","",IF(INDEX(BDHKI,MATCH(DiemHKII!$C32,DiemHKI!$DI$4:$DI$58,0),BT$67)&lt;&gt;"",INDEX(BDHKI,MATCH(DiemHKII!$C32,DiemHKI!$DI$4:$DI$58,0),BT$67),""))</f>
        <v>9.6</v>
      </c>
      <c r="BU32" s="408" t="str">
        <f t="shared" si="13"/>
        <v/>
      </c>
      <c r="BV32" s="409" t="str">
        <f t="shared" si="14"/>
        <v/>
      </c>
      <c r="BW32" s="172"/>
      <c r="BX32" s="170"/>
      <c r="BY32" s="170"/>
      <c r="BZ32" s="550"/>
      <c r="CA32" s="173"/>
      <c r="CB32" s="172"/>
      <c r="CC32" s="408">
        <f>IF($B32="","",IF(INDEX(BDHKI,MATCH(DiemHKII!$C32,DiemHKI!$DI$4:$DI$58,0),CC$67)&lt;&gt;"",INDEX(BDHKI,MATCH(DiemHKII!$C32,DiemHKI!$DI$4:$DI$58,0),CC$67),""))</f>
        <v>9.6</v>
      </c>
      <c r="CD32" s="408" t="str">
        <f t="shared" si="15"/>
        <v/>
      </c>
      <c r="CE32" s="409" t="str">
        <f t="shared" si="16"/>
        <v/>
      </c>
      <c r="CF32" s="172"/>
      <c r="CG32" s="170"/>
      <c r="CH32" s="170"/>
      <c r="CI32" s="550"/>
      <c r="CJ32" s="173"/>
      <c r="CK32" s="172"/>
      <c r="CL32" s="433">
        <f>IF($B32="","",IF(INDEX(BDHKI,MATCH(DiemHKII!$C32,DiemHKI!$DI$4:$DI$58,0),CL$67)&lt;&gt;"",INDEX(BDHKI,MATCH(DiemHKII!$C32,DiemHKI!$DI$4:$DI$58,0),CL$67),""))</f>
        <v>8.6999999999999993</v>
      </c>
      <c r="CM32" s="433" t="str">
        <f t="shared" si="17"/>
        <v/>
      </c>
      <c r="CN32" s="434" t="str">
        <f t="shared" si="18"/>
        <v/>
      </c>
      <c r="CO32" s="172"/>
      <c r="CP32" s="170"/>
      <c r="CQ32" s="170"/>
      <c r="CR32" s="550"/>
      <c r="CS32" s="173"/>
      <c r="CT32" s="172"/>
      <c r="CU32" s="408">
        <f>IF($B32="","",IF(INDEX(BDHKI,MATCH(DiemHKII!$C32,DiemHKI!$DI$4:$DI$58,0),CU$67)&lt;&gt;"",INDEX(BDHKI,MATCH(DiemHKII!$C32,DiemHKI!$DI$4:$DI$58,0),CU$67),""))</f>
        <v>9.5</v>
      </c>
      <c r="CV32" s="408" t="str">
        <f t="shared" si="19"/>
        <v/>
      </c>
      <c r="CW32" s="409" t="str">
        <f t="shared" si="20"/>
        <v/>
      </c>
      <c r="CX32" s="172"/>
      <c r="CY32" s="170"/>
      <c r="CZ32" s="170"/>
      <c r="DA32" s="550"/>
      <c r="DB32" s="173"/>
      <c r="DC32" s="172"/>
      <c r="DD32" s="433">
        <f>IF($B32="","",IF(INDEX(BDHKI,MATCH(DiemHKII!$C32,DiemHKI!$DI$4:$DI$58,0),DD$67)&lt;&gt;"",INDEX(BDHKI,MATCH(DiemHKII!$C32,DiemHKI!$DI$4:$DI$58,0),DD$67),""))</f>
        <v>9.8000000000000007</v>
      </c>
      <c r="DE32" s="433" t="str">
        <f t="shared" si="21"/>
        <v/>
      </c>
      <c r="DF32" s="434" t="str">
        <f t="shared" si="22"/>
        <v/>
      </c>
      <c r="DG32" s="206"/>
      <c r="DH32" s="207"/>
      <c r="DI32" s="207"/>
      <c r="DJ32" s="208"/>
      <c r="DK32" s="209"/>
      <c r="DL32" s="178"/>
      <c r="DM32" s="532" t="str">
        <f>IF($B32="","",IF(INDEX(BDHKI,MATCH(DiemHKII!$C32,DiemHKI!$DI$4:$DI$58,0),DM$67)&lt;&gt;"",INDEX(BDHKI,MATCH(DiemHKII!$C32,DiemHKI!$DI$4:$DI$58,0),DM$67),""))</f>
        <v>Đ</v>
      </c>
      <c r="DN32" s="532" t="str">
        <f t="shared" si="23"/>
        <v/>
      </c>
      <c r="DO32" s="532" t="str">
        <f t="shared" si="24"/>
        <v>Đ</v>
      </c>
      <c r="DP32" s="172"/>
      <c r="DQ32" s="170"/>
      <c r="DR32" s="170"/>
      <c r="DS32" s="550"/>
      <c r="DT32" s="173"/>
      <c r="DU32" s="172"/>
      <c r="DV32" s="433">
        <f>IF($B32="","",IF(INDEX(BDHKI,MATCH(DiemHKII!$C32,DiemHKI!$DI$4:$DI$58,0),DV$67)&lt;&gt;"",INDEX(BDHKI,MATCH(DiemHKII!$C32,DiemHKI!$DI$4:$DI$58,0),DV$67),""))</f>
        <v>9.9</v>
      </c>
      <c r="DW32" s="433" t="str">
        <f t="shared" si="25"/>
        <v/>
      </c>
      <c r="DX32" s="434" t="str">
        <f t="shared" si="26"/>
        <v/>
      </c>
      <c r="DY32" s="172"/>
      <c r="DZ32" s="170"/>
      <c r="EA32" s="170"/>
      <c r="EB32" s="550"/>
      <c r="EC32" s="173"/>
      <c r="ED32" s="172"/>
      <c r="EE32" s="408" t="str">
        <f>IF($B32="","",IF(INDEX(BDHKI,MATCH(DiemHKII!$C32,DiemHKI!$DI$4:$DI$58,0),EE$67)&lt;&gt;"",INDEX(BDHKI,MATCH(DiemHKII!$C32,DiemHKI!$DI$4:$DI$58,0),EE$67),""))</f>
        <v/>
      </c>
      <c r="EF32" s="408" t="str">
        <f t="shared" si="27"/>
        <v/>
      </c>
      <c r="EG32" s="409" t="str">
        <f t="shared" si="28"/>
        <v/>
      </c>
      <c r="EH32" s="162"/>
      <c r="EI32" s="163"/>
      <c r="EJ32" s="164"/>
      <c r="EK32" s="165"/>
    </row>
    <row r="33" spans="1:141" s="30" customFormat="1" ht="15.9" customHeight="1">
      <c r="A33" s="415"/>
      <c r="B33" s="105">
        <f>IF(D33&lt;&gt;"",MAX($B$4:B32)+1,"")</f>
        <v>30</v>
      </c>
      <c r="C33" s="340" t="str">
        <f t="shared" si="0"/>
        <v>12A1Nguyễn TháiSơn14/04/2004</v>
      </c>
      <c r="D33" s="179" t="s">
        <v>681</v>
      </c>
      <c r="E33" s="180" t="s">
        <v>777</v>
      </c>
      <c r="F33" s="181" t="s">
        <v>778</v>
      </c>
      <c r="G33" s="182" t="s">
        <v>688</v>
      </c>
      <c r="H33" s="182"/>
      <c r="I33" s="551"/>
      <c r="J33" s="179"/>
      <c r="K33" s="179"/>
      <c r="L33" s="187"/>
      <c r="M33" s="185"/>
      <c r="N33" s="185"/>
      <c r="O33" s="552"/>
      <c r="P33" s="188"/>
      <c r="Q33" s="187"/>
      <c r="R33" s="410">
        <f>IF($B33="","",IF(INDEX(BDHKI,MATCH(DiemHKII!$C33,DiemHKI!$DI$4:$DI$58,0),R$67)&lt;&gt;"",INDEX(BDHKI,MATCH(DiemHKII!$C33,DiemHKI!$DI$4:$DI$58,0),R$67),""))</f>
        <v>9.8000000000000007</v>
      </c>
      <c r="S33" s="410" t="str">
        <f t="shared" si="1"/>
        <v/>
      </c>
      <c r="T33" s="411" t="str">
        <f t="shared" si="2"/>
        <v/>
      </c>
      <c r="U33" s="187"/>
      <c r="V33" s="185"/>
      <c r="W33" s="185"/>
      <c r="X33" s="552"/>
      <c r="Y33" s="188"/>
      <c r="Z33" s="187"/>
      <c r="AA33" s="435">
        <f>IF($B33="","",IF(INDEX(BDHKI,MATCH(DiemHKII!$C33,DiemHKI!$DI$4:$DI$58,0),AA$67)&lt;&gt;"",INDEX(BDHKI,MATCH(DiemHKII!$C33,DiemHKI!$DI$4:$DI$58,0),AA$67),""))</f>
        <v>9.6</v>
      </c>
      <c r="AB33" s="435" t="str">
        <f t="shared" si="3"/>
        <v/>
      </c>
      <c r="AC33" s="436" t="str">
        <f t="shared" si="4"/>
        <v/>
      </c>
      <c r="AD33" s="187"/>
      <c r="AE33" s="185"/>
      <c r="AF33" s="185"/>
      <c r="AG33" s="552"/>
      <c r="AH33" s="188"/>
      <c r="AI33" s="187"/>
      <c r="AJ33" s="410">
        <f>IF($B33="","",IF(INDEX(BDHKI,MATCH(DiemHKII!$C33,DiemHKI!$DI$4:$DI$58,0),AJ$67)&lt;&gt;"",INDEX(BDHKI,MATCH(DiemHKII!$C33,DiemHKI!$DI$4:$DI$58,0),AJ$67),""))</f>
        <v>9</v>
      </c>
      <c r="AK33" s="410" t="str">
        <f t="shared" si="5"/>
        <v/>
      </c>
      <c r="AL33" s="411" t="str">
        <f t="shared" si="6"/>
        <v/>
      </c>
      <c r="AM33" s="187"/>
      <c r="AN33" s="185"/>
      <c r="AO33" s="185"/>
      <c r="AP33" s="552"/>
      <c r="AQ33" s="188"/>
      <c r="AR33" s="187"/>
      <c r="AS33" s="435">
        <f>IF($B33="","",IF(INDEX(BDHKI,MATCH(DiemHKII!$C33,DiemHKI!$DI$4:$DI$58,0),AS$67)&lt;&gt;"",INDEX(BDHKI,MATCH(DiemHKII!$C33,DiemHKI!$DI$4:$DI$58,0),AS$67),""))</f>
        <v>8.5</v>
      </c>
      <c r="AT33" s="435" t="str">
        <f t="shared" si="7"/>
        <v/>
      </c>
      <c r="AU33" s="436" t="str">
        <f t="shared" si="8"/>
        <v/>
      </c>
      <c r="AV33" s="187"/>
      <c r="AW33" s="185"/>
      <c r="AX33" s="185"/>
      <c r="AY33" s="552"/>
      <c r="AZ33" s="188"/>
      <c r="BA33" s="187"/>
      <c r="BB33" s="410">
        <f>IF($B33="","",IF(INDEX(BDHKI,MATCH(DiemHKII!$C33,DiemHKI!$DI$4:$DI$58,0),BB$67)&lt;&gt;"",INDEX(BDHKI,MATCH(DiemHKII!$C33,DiemHKI!$DI$4:$DI$58,0),BB$67),""))</f>
        <v>9.8000000000000007</v>
      </c>
      <c r="BC33" s="410" t="str">
        <f t="shared" si="9"/>
        <v/>
      </c>
      <c r="BD33" s="411" t="str">
        <f t="shared" si="10"/>
        <v/>
      </c>
      <c r="BE33" s="187"/>
      <c r="BF33" s="185"/>
      <c r="BG33" s="185"/>
      <c r="BH33" s="552"/>
      <c r="BI33" s="188"/>
      <c r="BJ33" s="187"/>
      <c r="BK33" s="435">
        <f>IF($B33="","",IF(INDEX(BDHKI,MATCH(DiemHKII!$C33,DiemHKI!$DI$4:$DI$58,0),BK$67)&lt;&gt;"",INDEX(BDHKI,MATCH(DiemHKII!$C33,DiemHKI!$DI$4:$DI$58,0),BK$67),""))</f>
        <v>6.7</v>
      </c>
      <c r="BL33" s="435" t="str">
        <f t="shared" si="11"/>
        <v/>
      </c>
      <c r="BM33" s="436" t="str">
        <f t="shared" si="12"/>
        <v/>
      </c>
      <c r="BN33" s="187"/>
      <c r="BO33" s="185"/>
      <c r="BP33" s="185"/>
      <c r="BQ33" s="552"/>
      <c r="BR33" s="188"/>
      <c r="BS33" s="187"/>
      <c r="BT33" s="410">
        <f>IF($B33="","",IF(INDEX(BDHKI,MATCH(DiemHKII!$C33,DiemHKI!$DI$4:$DI$58,0),BT$67)&lt;&gt;"",INDEX(BDHKI,MATCH(DiemHKII!$C33,DiemHKI!$DI$4:$DI$58,0),BT$67),""))</f>
        <v>9.4</v>
      </c>
      <c r="BU33" s="410" t="str">
        <f t="shared" si="13"/>
        <v/>
      </c>
      <c r="BV33" s="411" t="str">
        <f t="shared" si="14"/>
        <v/>
      </c>
      <c r="BW33" s="187"/>
      <c r="BX33" s="185"/>
      <c r="BY33" s="185"/>
      <c r="BZ33" s="552"/>
      <c r="CA33" s="188"/>
      <c r="CB33" s="187"/>
      <c r="CC33" s="410">
        <f>IF($B33="","",IF(INDEX(BDHKI,MATCH(DiemHKII!$C33,DiemHKI!$DI$4:$DI$58,0),CC$67)&lt;&gt;"",INDEX(BDHKI,MATCH(DiemHKII!$C33,DiemHKI!$DI$4:$DI$58,0),CC$67),""))</f>
        <v>9.8000000000000007</v>
      </c>
      <c r="CD33" s="410" t="str">
        <f t="shared" si="15"/>
        <v/>
      </c>
      <c r="CE33" s="411" t="str">
        <f t="shared" si="16"/>
        <v/>
      </c>
      <c r="CF33" s="187"/>
      <c r="CG33" s="185"/>
      <c r="CH33" s="185"/>
      <c r="CI33" s="552"/>
      <c r="CJ33" s="188"/>
      <c r="CK33" s="187"/>
      <c r="CL33" s="435">
        <f>IF($B33="","",IF(INDEX(BDHKI,MATCH(DiemHKII!$C33,DiemHKI!$DI$4:$DI$58,0),CL$67)&lt;&gt;"",INDEX(BDHKI,MATCH(DiemHKII!$C33,DiemHKI!$DI$4:$DI$58,0),CL$67),""))</f>
        <v>8.6</v>
      </c>
      <c r="CM33" s="435" t="str">
        <f t="shared" si="17"/>
        <v/>
      </c>
      <c r="CN33" s="436" t="str">
        <f t="shared" si="18"/>
        <v/>
      </c>
      <c r="CO33" s="187"/>
      <c r="CP33" s="185"/>
      <c r="CQ33" s="185"/>
      <c r="CR33" s="552"/>
      <c r="CS33" s="188"/>
      <c r="CT33" s="187"/>
      <c r="CU33" s="410">
        <f>IF($B33="","",IF(INDEX(BDHKI,MATCH(DiemHKII!$C33,DiemHKI!$DI$4:$DI$58,0),CU$67)&lt;&gt;"",INDEX(BDHKI,MATCH(DiemHKII!$C33,DiemHKI!$DI$4:$DI$58,0),CU$67),""))</f>
        <v>9.1</v>
      </c>
      <c r="CV33" s="410" t="str">
        <f t="shared" si="19"/>
        <v/>
      </c>
      <c r="CW33" s="411" t="str">
        <f t="shared" si="20"/>
        <v/>
      </c>
      <c r="CX33" s="187"/>
      <c r="CY33" s="185"/>
      <c r="CZ33" s="185"/>
      <c r="DA33" s="552"/>
      <c r="DB33" s="188"/>
      <c r="DC33" s="187"/>
      <c r="DD33" s="435">
        <f>IF($B33="","",IF(INDEX(BDHKI,MATCH(DiemHKII!$C33,DiemHKI!$DI$4:$DI$58,0),DD$67)&lt;&gt;"",INDEX(BDHKI,MATCH(DiemHKII!$C33,DiemHKI!$DI$4:$DI$58,0),DD$67),""))</f>
        <v>9.8000000000000007</v>
      </c>
      <c r="DE33" s="435" t="str">
        <f t="shared" si="21"/>
        <v/>
      </c>
      <c r="DF33" s="436" t="str">
        <f t="shared" si="22"/>
        <v/>
      </c>
      <c r="DG33" s="213"/>
      <c r="DH33" s="214"/>
      <c r="DI33" s="214"/>
      <c r="DJ33" s="215"/>
      <c r="DK33" s="216"/>
      <c r="DL33" s="193"/>
      <c r="DM33" s="533" t="str">
        <f>IF($B33="","",IF(INDEX(BDHKI,MATCH(DiemHKII!$C33,DiemHKI!$DI$4:$DI$58,0),DM$67)&lt;&gt;"",INDEX(BDHKI,MATCH(DiemHKII!$C33,DiemHKI!$DI$4:$DI$58,0),DM$67),""))</f>
        <v>Đ</v>
      </c>
      <c r="DN33" s="533" t="str">
        <f t="shared" si="23"/>
        <v/>
      </c>
      <c r="DO33" s="533" t="str">
        <f t="shared" si="24"/>
        <v>Đ</v>
      </c>
      <c r="DP33" s="187"/>
      <c r="DQ33" s="185"/>
      <c r="DR33" s="185"/>
      <c r="DS33" s="552"/>
      <c r="DT33" s="188"/>
      <c r="DU33" s="187"/>
      <c r="DV33" s="435">
        <f>IF($B33="","",IF(INDEX(BDHKI,MATCH(DiemHKII!$C33,DiemHKI!$DI$4:$DI$58,0),DV$67)&lt;&gt;"",INDEX(BDHKI,MATCH(DiemHKII!$C33,DiemHKI!$DI$4:$DI$58,0),DV$67),""))</f>
        <v>9.9</v>
      </c>
      <c r="DW33" s="435" t="str">
        <f t="shared" si="25"/>
        <v/>
      </c>
      <c r="DX33" s="436" t="str">
        <f t="shared" si="26"/>
        <v/>
      </c>
      <c r="DY33" s="187"/>
      <c r="DZ33" s="185"/>
      <c r="EA33" s="185"/>
      <c r="EB33" s="552"/>
      <c r="EC33" s="188"/>
      <c r="ED33" s="187"/>
      <c r="EE33" s="410" t="str">
        <f>IF($B33="","",IF(INDEX(BDHKI,MATCH(DiemHKII!$C33,DiemHKI!$DI$4:$DI$58,0),EE$67)&lt;&gt;"",INDEX(BDHKI,MATCH(DiemHKII!$C33,DiemHKI!$DI$4:$DI$58,0),EE$67),""))</f>
        <v/>
      </c>
      <c r="EF33" s="410" t="str">
        <f t="shared" si="27"/>
        <v/>
      </c>
      <c r="EG33" s="411" t="str">
        <f t="shared" si="28"/>
        <v/>
      </c>
      <c r="EH33" s="194"/>
      <c r="EI33" s="182"/>
      <c r="EJ33" s="183"/>
      <c r="EK33" s="195"/>
    </row>
    <row r="34" spans="1:141" s="30" customFormat="1" ht="15.9" customHeight="1">
      <c r="A34" s="893"/>
      <c r="B34" s="111">
        <f>IF(D34&lt;&gt;"",MAX($B$4:B33)+1,"")</f>
        <v>31</v>
      </c>
      <c r="C34" s="341" t="str">
        <f t="shared" si="0"/>
        <v>12A1Đặng HoàngTân26/09/2004</v>
      </c>
      <c r="D34" s="196" t="s">
        <v>681</v>
      </c>
      <c r="E34" s="197" t="s">
        <v>780</v>
      </c>
      <c r="F34" s="198" t="s">
        <v>781</v>
      </c>
      <c r="G34" s="199" t="s">
        <v>782</v>
      </c>
      <c r="H34" s="199"/>
      <c r="I34" s="553"/>
      <c r="J34" s="196"/>
      <c r="K34" s="196"/>
      <c r="L34" s="204"/>
      <c r="M34" s="202"/>
      <c r="N34" s="202"/>
      <c r="O34" s="554"/>
      <c r="P34" s="205"/>
      <c r="Q34" s="204"/>
      <c r="R34" s="412">
        <f>IF($B34="","",IF(INDEX(BDHKI,MATCH(DiemHKII!$C34,DiemHKI!$DI$4:$DI$58,0),R$67)&lt;&gt;"",INDEX(BDHKI,MATCH(DiemHKII!$C34,DiemHKI!$DI$4:$DI$58,0),R$67),""))</f>
        <v>9.4</v>
      </c>
      <c r="S34" s="412" t="str">
        <f t="shared" si="1"/>
        <v/>
      </c>
      <c r="T34" s="413" t="str">
        <f t="shared" si="2"/>
        <v/>
      </c>
      <c r="U34" s="204"/>
      <c r="V34" s="202"/>
      <c r="W34" s="202"/>
      <c r="X34" s="554"/>
      <c r="Y34" s="205"/>
      <c r="Z34" s="204"/>
      <c r="AA34" s="437">
        <f>IF($B34="","",IF(INDEX(BDHKI,MATCH(DiemHKII!$C34,DiemHKI!$DI$4:$DI$58,0),AA$67)&lt;&gt;"",INDEX(BDHKI,MATCH(DiemHKII!$C34,DiemHKI!$DI$4:$DI$58,0),AA$67),""))</f>
        <v>9.6999999999999993</v>
      </c>
      <c r="AB34" s="437" t="str">
        <f t="shared" si="3"/>
        <v/>
      </c>
      <c r="AC34" s="438" t="str">
        <f t="shared" si="4"/>
        <v/>
      </c>
      <c r="AD34" s="204"/>
      <c r="AE34" s="202"/>
      <c r="AF34" s="202"/>
      <c r="AG34" s="554"/>
      <c r="AH34" s="205"/>
      <c r="AI34" s="204"/>
      <c r="AJ34" s="412">
        <f>IF($B34="","",IF(INDEX(BDHKI,MATCH(DiemHKII!$C34,DiemHKI!$DI$4:$DI$58,0),AJ$67)&lt;&gt;"",INDEX(BDHKI,MATCH(DiemHKII!$C34,DiemHKI!$DI$4:$DI$58,0),AJ$67),""))</f>
        <v>9.3000000000000007</v>
      </c>
      <c r="AK34" s="412" t="str">
        <f t="shared" si="5"/>
        <v/>
      </c>
      <c r="AL34" s="413" t="str">
        <f t="shared" si="6"/>
        <v/>
      </c>
      <c r="AM34" s="204"/>
      <c r="AN34" s="202"/>
      <c r="AO34" s="202"/>
      <c r="AP34" s="554"/>
      <c r="AQ34" s="205"/>
      <c r="AR34" s="204"/>
      <c r="AS34" s="437">
        <f>IF($B34="","",IF(INDEX(BDHKI,MATCH(DiemHKII!$C34,DiemHKI!$DI$4:$DI$58,0),AS$67)&lt;&gt;"",INDEX(BDHKI,MATCH(DiemHKII!$C34,DiemHKI!$DI$4:$DI$58,0),AS$67),""))</f>
        <v>8.1</v>
      </c>
      <c r="AT34" s="437" t="str">
        <f t="shared" si="7"/>
        <v/>
      </c>
      <c r="AU34" s="438" t="str">
        <f t="shared" si="8"/>
        <v/>
      </c>
      <c r="AV34" s="204"/>
      <c r="AW34" s="202"/>
      <c r="AX34" s="202"/>
      <c r="AY34" s="554"/>
      <c r="AZ34" s="205"/>
      <c r="BA34" s="204"/>
      <c r="BB34" s="412">
        <f>IF($B34="","",IF(INDEX(BDHKI,MATCH(DiemHKII!$C34,DiemHKI!$DI$4:$DI$58,0),BB$67)&lt;&gt;"",INDEX(BDHKI,MATCH(DiemHKII!$C34,DiemHKI!$DI$4:$DI$58,0),BB$67),""))</f>
        <v>9.8000000000000007</v>
      </c>
      <c r="BC34" s="412" t="str">
        <f t="shared" si="9"/>
        <v/>
      </c>
      <c r="BD34" s="413" t="str">
        <f t="shared" si="10"/>
        <v/>
      </c>
      <c r="BE34" s="204"/>
      <c r="BF34" s="202"/>
      <c r="BG34" s="202"/>
      <c r="BH34" s="554"/>
      <c r="BI34" s="205"/>
      <c r="BJ34" s="204"/>
      <c r="BK34" s="437">
        <f>IF($B34="","",IF(INDEX(BDHKI,MATCH(DiemHKII!$C34,DiemHKI!$DI$4:$DI$58,0),BK$67)&lt;&gt;"",INDEX(BDHKI,MATCH(DiemHKII!$C34,DiemHKI!$DI$4:$DI$58,0),BK$67),""))</f>
        <v>7.3</v>
      </c>
      <c r="BL34" s="437" t="str">
        <f t="shared" si="11"/>
        <v/>
      </c>
      <c r="BM34" s="438" t="str">
        <f t="shared" si="12"/>
        <v/>
      </c>
      <c r="BN34" s="204"/>
      <c r="BO34" s="202"/>
      <c r="BP34" s="202"/>
      <c r="BQ34" s="554"/>
      <c r="BR34" s="205"/>
      <c r="BS34" s="204"/>
      <c r="BT34" s="412">
        <f>IF($B34="","",IF(INDEX(BDHKI,MATCH(DiemHKII!$C34,DiemHKI!$DI$4:$DI$58,0),BT$67)&lt;&gt;"",INDEX(BDHKI,MATCH(DiemHKII!$C34,DiemHKI!$DI$4:$DI$58,0),BT$67),""))</f>
        <v>9.6</v>
      </c>
      <c r="BU34" s="412" t="str">
        <f t="shared" si="13"/>
        <v/>
      </c>
      <c r="BV34" s="413" t="str">
        <f t="shared" si="14"/>
        <v/>
      </c>
      <c r="BW34" s="204"/>
      <c r="BX34" s="202"/>
      <c r="BY34" s="202"/>
      <c r="BZ34" s="554"/>
      <c r="CA34" s="205"/>
      <c r="CB34" s="204"/>
      <c r="CC34" s="412">
        <f>IF($B34="","",IF(INDEX(BDHKI,MATCH(DiemHKII!$C34,DiemHKI!$DI$4:$DI$58,0),CC$67)&lt;&gt;"",INDEX(BDHKI,MATCH(DiemHKII!$C34,DiemHKI!$DI$4:$DI$58,0),CC$67),""))</f>
        <v>9.8000000000000007</v>
      </c>
      <c r="CD34" s="412" t="str">
        <f t="shared" si="15"/>
        <v/>
      </c>
      <c r="CE34" s="413" t="str">
        <f t="shared" si="16"/>
        <v/>
      </c>
      <c r="CF34" s="204"/>
      <c r="CG34" s="202"/>
      <c r="CH34" s="202"/>
      <c r="CI34" s="554"/>
      <c r="CJ34" s="205"/>
      <c r="CK34" s="204"/>
      <c r="CL34" s="437">
        <f>IF($B34="","",IF(INDEX(BDHKI,MATCH(DiemHKII!$C34,DiemHKI!$DI$4:$DI$58,0),CL$67)&lt;&gt;"",INDEX(BDHKI,MATCH(DiemHKII!$C34,DiemHKI!$DI$4:$DI$58,0),CL$67),""))</f>
        <v>9.1</v>
      </c>
      <c r="CM34" s="437" t="str">
        <f t="shared" si="17"/>
        <v/>
      </c>
      <c r="CN34" s="438" t="str">
        <f t="shared" si="18"/>
        <v/>
      </c>
      <c r="CO34" s="204"/>
      <c r="CP34" s="202"/>
      <c r="CQ34" s="202"/>
      <c r="CR34" s="554"/>
      <c r="CS34" s="205"/>
      <c r="CT34" s="204"/>
      <c r="CU34" s="412">
        <f>IF($B34="","",IF(INDEX(BDHKI,MATCH(DiemHKII!$C34,DiemHKI!$DI$4:$DI$58,0),CU$67)&lt;&gt;"",INDEX(BDHKI,MATCH(DiemHKII!$C34,DiemHKI!$DI$4:$DI$58,0),CU$67),""))</f>
        <v>8.8000000000000007</v>
      </c>
      <c r="CV34" s="412" t="str">
        <f t="shared" si="19"/>
        <v/>
      </c>
      <c r="CW34" s="413" t="str">
        <f t="shared" si="20"/>
        <v/>
      </c>
      <c r="CX34" s="204"/>
      <c r="CY34" s="202"/>
      <c r="CZ34" s="202"/>
      <c r="DA34" s="554"/>
      <c r="DB34" s="205"/>
      <c r="DC34" s="204"/>
      <c r="DD34" s="437">
        <f>IF($B34="","",IF(INDEX(BDHKI,MATCH(DiemHKII!$C34,DiemHKI!$DI$4:$DI$58,0),DD$67)&lt;&gt;"",INDEX(BDHKI,MATCH(DiemHKII!$C34,DiemHKI!$DI$4:$DI$58,0),DD$67),""))</f>
        <v>9.9</v>
      </c>
      <c r="DE34" s="437" t="str">
        <f t="shared" si="21"/>
        <v/>
      </c>
      <c r="DF34" s="438" t="str">
        <f t="shared" si="22"/>
        <v/>
      </c>
      <c r="DG34" s="206"/>
      <c r="DH34" s="207"/>
      <c r="DI34" s="207"/>
      <c r="DJ34" s="208"/>
      <c r="DK34" s="209"/>
      <c r="DL34" s="210"/>
      <c r="DM34" s="531" t="str">
        <f>IF($B34="","",IF(INDEX(BDHKI,MATCH(DiemHKII!$C34,DiemHKI!$DI$4:$DI$58,0),DM$67)&lt;&gt;"",INDEX(BDHKI,MATCH(DiemHKII!$C34,DiemHKI!$DI$4:$DI$58,0),DM$67),""))</f>
        <v>Đ</v>
      </c>
      <c r="DN34" s="531" t="str">
        <f t="shared" si="23"/>
        <v/>
      </c>
      <c r="DO34" s="531" t="str">
        <f t="shared" si="24"/>
        <v>Đ</v>
      </c>
      <c r="DP34" s="204"/>
      <c r="DQ34" s="202"/>
      <c r="DR34" s="202"/>
      <c r="DS34" s="554"/>
      <c r="DT34" s="205"/>
      <c r="DU34" s="204"/>
      <c r="DV34" s="437">
        <f>IF($B34="","",IF(INDEX(BDHKI,MATCH(DiemHKII!$C34,DiemHKI!$DI$4:$DI$58,0),DV$67)&lt;&gt;"",INDEX(BDHKI,MATCH(DiemHKII!$C34,DiemHKI!$DI$4:$DI$58,0),DV$67),""))</f>
        <v>9.9</v>
      </c>
      <c r="DW34" s="437" t="str">
        <f t="shared" si="25"/>
        <v/>
      </c>
      <c r="DX34" s="438" t="str">
        <f t="shared" si="26"/>
        <v/>
      </c>
      <c r="DY34" s="204"/>
      <c r="DZ34" s="202"/>
      <c r="EA34" s="202"/>
      <c r="EB34" s="554"/>
      <c r="EC34" s="205"/>
      <c r="ED34" s="204"/>
      <c r="EE34" s="412" t="str">
        <f>IF($B34="","",IF(INDEX(BDHKI,MATCH(DiemHKII!$C34,DiemHKI!$DI$4:$DI$58,0),EE$67)&lt;&gt;"",INDEX(BDHKI,MATCH(DiemHKII!$C34,DiemHKI!$DI$4:$DI$58,0),EE$67),""))</f>
        <v/>
      </c>
      <c r="EF34" s="412" t="str">
        <f t="shared" si="27"/>
        <v/>
      </c>
      <c r="EG34" s="413" t="str">
        <f t="shared" si="28"/>
        <v/>
      </c>
      <c r="EH34" s="211"/>
      <c r="EI34" s="199"/>
      <c r="EJ34" s="200"/>
      <c r="EK34" s="212"/>
    </row>
    <row r="35" spans="1:141" s="30" customFormat="1" ht="15.9" customHeight="1">
      <c r="A35" s="893"/>
      <c r="B35" s="99">
        <f>IF(D35&lt;&gt;"",MAX($B$4:B34)+1,"")</f>
        <v>32</v>
      </c>
      <c r="C35" s="339" t="str">
        <f t="shared" si="0"/>
        <v>12A1Hồ QuangThành28/02/2004</v>
      </c>
      <c r="D35" s="166" t="s">
        <v>681</v>
      </c>
      <c r="E35" s="167" t="s">
        <v>784</v>
      </c>
      <c r="F35" s="168" t="s">
        <v>785</v>
      </c>
      <c r="G35" s="163" t="s">
        <v>754</v>
      </c>
      <c r="H35" s="163"/>
      <c r="I35" s="549"/>
      <c r="J35" s="166"/>
      <c r="K35" s="166"/>
      <c r="L35" s="172"/>
      <c r="M35" s="170"/>
      <c r="N35" s="170"/>
      <c r="O35" s="550"/>
      <c r="P35" s="173"/>
      <c r="Q35" s="172"/>
      <c r="R35" s="408">
        <f>IF($B35="","",IF(INDEX(BDHKI,MATCH(DiemHKII!$C35,DiemHKI!$DI$4:$DI$58,0),R$67)&lt;&gt;"",INDEX(BDHKI,MATCH(DiemHKII!$C35,DiemHKI!$DI$4:$DI$58,0),R$67),""))</f>
        <v>9.5</v>
      </c>
      <c r="S35" s="408" t="str">
        <f t="shared" si="1"/>
        <v/>
      </c>
      <c r="T35" s="409" t="str">
        <f t="shared" si="2"/>
        <v/>
      </c>
      <c r="U35" s="172"/>
      <c r="V35" s="170"/>
      <c r="W35" s="170"/>
      <c r="X35" s="550"/>
      <c r="Y35" s="173"/>
      <c r="Z35" s="172"/>
      <c r="AA35" s="433">
        <f>IF($B35="","",IF(INDEX(BDHKI,MATCH(DiemHKII!$C35,DiemHKI!$DI$4:$DI$58,0),AA$67)&lt;&gt;"",INDEX(BDHKI,MATCH(DiemHKII!$C35,DiemHKI!$DI$4:$DI$58,0),AA$67),""))</f>
        <v>9.5</v>
      </c>
      <c r="AB35" s="433" t="str">
        <f t="shared" si="3"/>
        <v/>
      </c>
      <c r="AC35" s="434" t="str">
        <f t="shared" si="4"/>
        <v/>
      </c>
      <c r="AD35" s="172"/>
      <c r="AE35" s="170"/>
      <c r="AF35" s="170"/>
      <c r="AG35" s="550"/>
      <c r="AH35" s="173"/>
      <c r="AI35" s="172"/>
      <c r="AJ35" s="408">
        <f>IF($B35="","",IF(INDEX(BDHKI,MATCH(DiemHKII!$C35,DiemHKI!$DI$4:$DI$58,0),AJ$67)&lt;&gt;"",INDEX(BDHKI,MATCH(DiemHKII!$C35,DiemHKI!$DI$4:$DI$58,0),AJ$67),""))</f>
        <v>8.8000000000000007</v>
      </c>
      <c r="AK35" s="408" t="str">
        <f t="shared" si="5"/>
        <v/>
      </c>
      <c r="AL35" s="409" t="str">
        <f t="shared" si="6"/>
        <v/>
      </c>
      <c r="AM35" s="172"/>
      <c r="AN35" s="170"/>
      <c r="AO35" s="170"/>
      <c r="AP35" s="550"/>
      <c r="AQ35" s="173"/>
      <c r="AR35" s="172"/>
      <c r="AS35" s="433">
        <f>IF($B35="","",IF(INDEX(BDHKI,MATCH(DiemHKII!$C35,DiemHKI!$DI$4:$DI$58,0),AS$67)&lt;&gt;"",INDEX(BDHKI,MATCH(DiemHKII!$C35,DiemHKI!$DI$4:$DI$58,0),AS$67),""))</f>
        <v>9.8000000000000007</v>
      </c>
      <c r="AT35" s="433" t="str">
        <f t="shared" si="7"/>
        <v/>
      </c>
      <c r="AU35" s="434" t="str">
        <f t="shared" si="8"/>
        <v/>
      </c>
      <c r="AV35" s="172"/>
      <c r="AW35" s="170"/>
      <c r="AX35" s="170"/>
      <c r="AY35" s="550"/>
      <c r="AZ35" s="173"/>
      <c r="BA35" s="172"/>
      <c r="BB35" s="408">
        <f>IF($B35="","",IF(INDEX(BDHKI,MATCH(DiemHKII!$C35,DiemHKI!$DI$4:$DI$58,0),BB$67)&lt;&gt;"",INDEX(BDHKI,MATCH(DiemHKII!$C35,DiemHKI!$DI$4:$DI$58,0),BB$67),""))</f>
        <v>9.8000000000000007</v>
      </c>
      <c r="BC35" s="408" t="str">
        <f t="shared" si="9"/>
        <v/>
      </c>
      <c r="BD35" s="409" t="str">
        <f t="shared" si="10"/>
        <v/>
      </c>
      <c r="BE35" s="172"/>
      <c r="BF35" s="170"/>
      <c r="BG35" s="170"/>
      <c r="BH35" s="550"/>
      <c r="BI35" s="173"/>
      <c r="BJ35" s="172"/>
      <c r="BK35" s="433">
        <f>IF($B35="","",IF(INDEX(BDHKI,MATCH(DiemHKII!$C35,DiemHKI!$DI$4:$DI$58,0),BK$67)&lt;&gt;"",INDEX(BDHKI,MATCH(DiemHKII!$C35,DiemHKI!$DI$4:$DI$58,0),BK$67),""))</f>
        <v>7.9</v>
      </c>
      <c r="BL35" s="433" t="str">
        <f t="shared" si="11"/>
        <v/>
      </c>
      <c r="BM35" s="434" t="str">
        <f t="shared" si="12"/>
        <v/>
      </c>
      <c r="BN35" s="172"/>
      <c r="BO35" s="170"/>
      <c r="BP35" s="170"/>
      <c r="BQ35" s="550"/>
      <c r="BR35" s="173"/>
      <c r="BS35" s="172"/>
      <c r="BT35" s="408">
        <f>IF($B35="","",IF(INDEX(BDHKI,MATCH(DiemHKII!$C35,DiemHKI!$DI$4:$DI$58,0),BT$67)&lt;&gt;"",INDEX(BDHKI,MATCH(DiemHKII!$C35,DiemHKI!$DI$4:$DI$58,0),BT$67),""))</f>
        <v>9.6</v>
      </c>
      <c r="BU35" s="408" t="str">
        <f t="shared" si="13"/>
        <v/>
      </c>
      <c r="BV35" s="409" t="str">
        <f t="shared" si="14"/>
        <v/>
      </c>
      <c r="BW35" s="172"/>
      <c r="BX35" s="170"/>
      <c r="BY35" s="170"/>
      <c r="BZ35" s="550"/>
      <c r="CA35" s="173"/>
      <c r="CB35" s="172"/>
      <c r="CC35" s="408">
        <f>IF($B35="","",IF(INDEX(BDHKI,MATCH(DiemHKII!$C35,DiemHKI!$DI$4:$DI$58,0),CC$67)&lt;&gt;"",INDEX(BDHKI,MATCH(DiemHKII!$C35,DiemHKI!$DI$4:$DI$58,0),CC$67),""))</f>
        <v>9.8000000000000007</v>
      </c>
      <c r="CD35" s="408" t="str">
        <f t="shared" si="15"/>
        <v/>
      </c>
      <c r="CE35" s="409" t="str">
        <f t="shared" si="16"/>
        <v/>
      </c>
      <c r="CF35" s="172"/>
      <c r="CG35" s="170"/>
      <c r="CH35" s="170"/>
      <c r="CI35" s="550"/>
      <c r="CJ35" s="173"/>
      <c r="CK35" s="172"/>
      <c r="CL35" s="433">
        <f>IF($B35="","",IF(INDEX(BDHKI,MATCH(DiemHKII!$C35,DiemHKI!$DI$4:$DI$58,0),CL$67)&lt;&gt;"",INDEX(BDHKI,MATCH(DiemHKII!$C35,DiemHKI!$DI$4:$DI$58,0),CL$67),""))</f>
        <v>9</v>
      </c>
      <c r="CM35" s="433" t="str">
        <f t="shared" si="17"/>
        <v/>
      </c>
      <c r="CN35" s="434" t="str">
        <f t="shared" si="18"/>
        <v/>
      </c>
      <c r="CO35" s="172"/>
      <c r="CP35" s="170"/>
      <c r="CQ35" s="170"/>
      <c r="CR35" s="550"/>
      <c r="CS35" s="173"/>
      <c r="CT35" s="172"/>
      <c r="CU35" s="408">
        <f>IF($B35="","",IF(INDEX(BDHKI,MATCH(DiemHKII!$C35,DiemHKI!$DI$4:$DI$58,0),CU$67)&lt;&gt;"",INDEX(BDHKI,MATCH(DiemHKII!$C35,DiemHKI!$DI$4:$DI$58,0),CU$67),""))</f>
        <v>9.8000000000000007</v>
      </c>
      <c r="CV35" s="408" t="str">
        <f t="shared" si="19"/>
        <v/>
      </c>
      <c r="CW35" s="409" t="str">
        <f t="shared" si="20"/>
        <v/>
      </c>
      <c r="CX35" s="172"/>
      <c r="CY35" s="170"/>
      <c r="CZ35" s="170"/>
      <c r="DA35" s="550"/>
      <c r="DB35" s="173"/>
      <c r="DC35" s="172"/>
      <c r="DD35" s="433">
        <f>IF($B35="","",IF(INDEX(BDHKI,MATCH(DiemHKII!$C35,DiemHKI!$DI$4:$DI$58,0),DD$67)&lt;&gt;"",INDEX(BDHKI,MATCH(DiemHKII!$C35,DiemHKI!$DI$4:$DI$58,0),DD$67),""))</f>
        <v>9.4</v>
      </c>
      <c r="DE35" s="433" t="str">
        <f t="shared" si="21"/>
        <v/>
      </c>
      <c r="DF35" s="434" t="str">
        <f t="shared" si="22"/>
        <v/>
      </c>
      <c r="DG35" s="174"/>
      <c r="DH35" s="175"/>
      <c r="DI35" s="175"/>
      <c r="DJ35" s="176"/>
      <c r="DK35" s="177"/>
      <c r="DL35" s="178"/>
      <c r="DM35" s="532" t="str">
        <f>IF($B35="","",IF(INDEX(BDHKI,MATCH(DiemHKII!$C35,DiemHKI!$DI$4:$DI$58,0),DM$67)&lt;&gt;"",INDEX(BDHKI,MATCH(DiemHKII!$C35,DiemHKI!$DI$4:$DI$58,0),DM$67),""))</f>
        <v>Đ</v>
      </c>
      <c r="DN35" s="532" t="str">
        <f t="shared" si="23"/>
        <v/>
      </c>
      <c r="DO35" s="532" t="str">
        <f t="shared" si="24"/>
        <v>Đ</v>
      </c>
      <c r="DP35" s="172"/>
      <c r="DQ35" s="170"/>
      <c r="DR35" s="170"/>
      <c r="DS35" s="550"/>
      <c r="DT35" s="173"/>
      <c r="DU35" s="172"/>
      <c r="DV35" s="433">
        <f>IF($B35="","",IF(INDEX(BDHKI,MATCH(DiemHKII!$C35,DiemHKI!$DI$4:$DI$58,0),DV$67)&lt;&gt;"",INDEX(BDHKI,MATCH(DiemHKII!$C35,DiemHKI!$DI$4:$DI$58,0),DV$67),""))</f>
        <v>9.9</v>
      </c>
      <c r="DW35" s="433" t="str">
        <f t="shared" si="25"/>
        <v/>
      </c>
      <c r="DX35" s="434" t="str">
        <f t="shared" si="26"/>
        <v/>
      </c>
      <c r="DY35" s="172"/>
      <c r="DZ35" s="170"/>
      <c r="EA35" s="170"/>
      <c r="EB35" s="550"/>
      <c r="EC35" s="173"/>
      <c r="ED35" s="172"/>
      <c r="EE35" s="408" t="str">
        <f>IF($B35="","",IF(INDEX(BDHKI,MATCH(DiemHKII!$C35,DiemHKI!$DI$4:$DI$58,0),EE$67)&lt;&gt;"",INDEX(BDHKI,MATCH(DiemHKII!$C35,DiemHKI!$DI$4:$DI$58,0),EE$67),""))</f>
        <v/>
      </c>
      <c r="EF35" s="408" t="str">
        <f t="shared" si="27"/>
        <v/>
      </c>
      <c r="EG35" s="409" t="str">
        <f t="shared" si="28"/>
        <v/>
      </c>
      <c r="EH35" s="162"/>
      <c r="EI35" s="163"/>
      <c r="EJ35" s="164"/>
      <c r="EK35" s="165"/>
    </row>
    <row r="36" spans="1:141" s="30" customFormat="1" ht="15.9" customHeight="1">
      <c r="B36" s="99">
        <f>IF(D36&lt;&gt;"",MAX($B$4:B35)+1,"")</f>
        <v>33</v>
      </c>
      <c r="C36" s="339" t="str">
        <f t="shared" si="0"/>
        <v>12A1Trần ThịnhThịnh18/08/2004</v>
      </c>
      <c r="D36" s="166" t="s">
        <v>681</v>
      </c>
      <c r="E36" s="167" t="s">
        <v>787</v>
      </c>
      <c r="F36" s="168" t="s">
        <v>788</v>
      </c>
      <c r="G36" s="163" t="s">
        <v>789</v>
      </c>
      <c r="H36" s="163"/>
      <c r="I36" s="549"/>
      <c r="J36" s="166"/>
      <c r="K36" s="166"/>
      <c r="L36" s="172"/>
      <c r="M36" s="170"/>
      <c r="N36" s="170"/>
      <c r="O36" s="550"/>
      <c r="P36" s="173"/>
      <c r="Q36" s="172"/>
      <c r="R36" s="408">
        <f>IF($B36="","",IF(INDEX(BDHKI,MATCH(DiemHKII!$C36,DiemHKI!$DI$4:$DI$58,0),R$67)&lt;&gt;"",INDEX(BDHKI,MATCH(DiemHKII!$C36,DiemHKI!$DI$4:$DI$58,0),R$67),""))</f>
        <v>9.8000000000000007</v>
      </c>
      <c r="S36" s="408" t="str">
        <f t="shared" si="1"/>
        <v/>
      </c>
      <c r="T36" s="409" t="str">
        <f t="shared" si="2"/>
        <v/>
      </c>
      <c r="U36" s="172"/>
      <c r="V36" s="170"/>
      <c r="W36" s="170"/>
      <c r="X36" s="550"/>
      <c r="Y36" s="173"/>
      <c r="Z36" s="172"/>
      <c r="AA36" s="433">
        <f>IF($B36="","",IF(INDEX(BDHKI,MATCH(DiemHKII!$C36,DiemHKI!$DI$4:$DI$58,0),AA$67)&lt;&gt;"",INDEX(BDHKI,MATCH(DiemHKII!$C36,DiemHKI!$DI$4:$DI$58,0),AA$67),""))</f>
        <v>9.6</v>
      </c>
      <c r="AB36" s="433" t="str">
        <f t="shared" si="3"/>
        <v/>
      </c>
      <c r="AC36" s="434" t="str">
        <f t="shared" si="4"/>
        <v/>
      </c>
      <c r="AD36" s="172"/>
      <c r="AE36" s="170"/>
      <c r="AF36" s="170"/>
      <c r="AG36" s="550"/>
      <c r="AH36" s="173"/>
      <c r="AI36" s="172"/>
      <c r="AJ36" s="408">
        <f>IF($B36="","",IF(INDEX(BDHKI,MATCH(DiemHKII!$C36,DiemHKI!$DI$4:$DI$58,0),AJ$67)&lt;&gt;"",INDEX(BDHKI,MATCH(DiemHKII!$C36,DiemHKI!$DI$4:$DI$58,0),AJ$67),""))</f>
        <v>9.5</v>
      </c>
      <c r="AK36" s="408" t="str">
        <f t="shared" si="5"/>
        <v/>
      </c>
      <c r="AL36" s="409" t="str">
        <f t="shared" si="6"/>
        <v/>
      </c>
      <c r="AM36" s="172"/>
      <c r="AN36" s="170"/>
      <c r="AO36" s="170"/>
      <c r="AP36" s="550"/>
      <c r="AQ36" s="173"/>
      <c r="AR36" s="172"/>
      <c r="AS36" s="433">
        <f>IF($B36="","",IF(INDEX(BDHKI,MATCH(DiemHKII!$C36,DiemHKI!$DI$4:$DI$58,0),AS$67)&lt;&gt;"",INDEX(BDHKI,MATCH(DiemHKII!$C36,DiemHKI!$DI$4:$DI$58,0),AS$67),""))</f>
        <v>9.3000000000000007</v>
      </c>
      <c r="AT36" s="433" t="str">
        <f t="shared" si="7"/>
        <v/>
      </c>
      <c r="AU36" s="434" t="str">
        <f t="shared" si="8"/>
        <v/>
      </c>
      <c r="AV36" s="172"/>
      <c r="AW36" s="170"/>
      <c r="AX36" s="170"/>
      <c r="AY36" s="550"/>
      <c r="AZ36" s="173"/>
      <c r="BA36" s="172"/>
      <c r="BB36" s="408">
        <f>IF($B36="","",IF(INDEX(BDHKI,MATCH(DiemHKII!$C36,DiemHKI!$DI$4:$DI$58,0),BB$67)&lt;&gt;"",INDEX(BDHKI,MATCH(DiemHKII!$C36,DiemHKI!$DI$4:$DI$58,0),BB$67),""))</f>
        <v>9.6</v>
      </c>
      <c r="BC36" s="408" t="str">
        <f t="shared" si="9"/>
        <v/>
      </c>
      <c r="BD36" s="409" t="str">
        <f t="shared" si="10"/>
        <v/>
      </c>
      <c r="BE36" s="172"/>
      <c r="BF36" s="170"/>
      <c r="BG36" s="170"/>
      <c r="BH36" s="550"/>
      <c r="BI36" s="173"/>
      <c r="BJ36" s="172"/>
      <c r="BK36" s="433">
        <f>IF($B36="","",IF(INDEX(BDHKI,MATCH(DiemHKII!$C36,DiemHKI!$DI$4:$DI$58,0),BK$67)&lt;&gt;"",INDEX(BDHKI,MATCH(DiemHKII!$C36,DiemHKI!$DI$4:$DI$58,0),BK$67),""))</f>
        <v>7.3</v>
      </c>
      <c r="BL36" s="433" t="str">
        <f t="shared" si="11"/>
        <v/>
      </c>
      <c r="BM36" s="434" t="str">
        <f t="shared" si="12"/>
        <v/>
      </c>
      <c r="BN36" s="172"/>
      <c r="BO36" s="170"/>
      <c r="BP36" s="170"/>
      <c r="BQ36" s="550"/>
      <c r="BR36" s="173"/>
      <c r="BS36" s="172"/>
      <c r="BT36" s="408">
        <f>IF($B36="","",IF(INDEX(BDHKI,MATCH(DiemHKII!$C36,DiemHKI!$DI$4:$DI$58,0),BT$67)&lt;&gt;"",INDEX(BDHKI,MATCH(DiemHKII!$C36,DiemHKI!$DI$4:$DI$58,0),BT$67),""))</f>
        <v>9.1</v>
      </c>
      <c r="BU36" s="408" t="str">
        <f t="shared" si="13"/>
        <v/>
      </c>
      <c r="BV36" s="409" t="str">
        <f t="shared" si="14"/>
        <v/>
      </c>
      <c r="BW36" s="172"/>
      <c r="BX36" s="170"/>
      <c r="BY36" s="170"/>
      <c r="BZ36" s="550"/>
      <c r="CA36" s="173"/>
      <c r="CB36" s="172"/>
      <c r="CC36" s="408">
        <f>IF($B36="","",IF(INDEX(BDHKI,MATCH(DiemHKII!$C36,DiemHKI!$DI$4:$DI$58,0),CC$67)&lt;&gt;"",INDEX(BDHKI,MATCH(DiemHKII!$C36,DiemHKI!$DI$4:$DI$58,0),CC$67),""))</f>
        <v>9.1</v>
      </c>
      <c r="CD36" s="408" t="str">
        <f t="shared" si="15"/>
        <v/>
      </c>
      <c r="CE36" s="409" t="str">
        <f t="shared" si="16"/>
        <v/>
      </c>
      <c r="CF36" s="172"/>
      <c r="CG36" s="170"/>
      <c r="CH36" s="170"/>
      <c r="CI36" s="550"/>
      <c r="CJ36" s="173"/>
      <c r="CK36" s="172"/>
      <c r="CL36" s="433">
        <f>IF($B36="","",IF(INDEX(BDHKI,MATCH(DiemHKII!$C36,DiemHKI!$DI$4:$DI$58,0),CL$67)&lt;&gt;"",INDEX(BDHKI,MATCH(DiemHKII!$C36,DiemHKI!$DI$4:$DI$58,0),CL$67),""))</f>
        <v>8.9</v>
      </c>
      <c r="CM36" s="433" t="str">
        <f t="shared" si="17"/>
        <v/>
      </c>
      <c r="CN36" s="434" t="str">
        <f t="shared" si="18"/>
        <v/>
      </c>
      <c r="CO36" s="172"/>
      <c r="CP36" s="170"/>
      <c r="CQ36" s="170"/>
      <c r="CR36" s="550"/>
      <c r="CS36" s="173"/>
      <c r="CT36" s="172"/>
      <c r="CU36" s="408">
        <f>IF($B36="","",IF(INDEX(BDHKI,MATCH(DiemHKII!$C36,DiemHKI!$DI$4:$DI$58,0),CU$67)&lt;&gt;"",INDEX(BDHKI,MATCH(DiemHKII!$C36,DiemHKI!$DI$4:$DI$58,0),CU$67),""))</f>
        <v>9.1</v>
      </c>
      <c r="CV36" s="408" t="str">
        <f t="shared" si="19"/>
        <v/>
      </c>
      <c r="CW36" s="409" t="str">
        <f t="shared" si="20"/>
        <v/>
      </c>
      <c r="CX36" s="172"/>
      <c r="CY36" s="170"/>
      <c r="CZ36" s="170"/>
      <c r="DA36" s="550"/>
      <c r="DB36" s="173"/>
      <c r="DC36" s="172"/>
      <c r="DD36" s="433">
        <f>IF($B36="","",IF(INDEX(BDHKI,MATCH(DiemHKII!$C36,DiemHKI!$DI$4:$DI$58,0),DD$67)&lt;&gt;"",INDEX(BDHKI,MATCH(DiemHKII!$C36,DiemHKI!$DI$4:$DI$58,0),DD$67),""))</f>
        <v>9.8000000000000007</v>
      </c>
      <c r="DE36" s="433" t="str">
        <f t="shared" si="21"/>
        <v/>
      </c>
      <c r="DF36" s="434" t="str">
        <f t="shared" si="22"/>
        <v/>
      </c>
      <c r="DG36" s="206"/>
      <c r="DH36" s="207"/>
      <c r="DI36" s="207"/>
      <c r="DJ36" s="208"/>
      <c r="DK36" s="209"/>
      <c r="DL36" s="178"/>
      <c r="DM36" s="532" t="str">
        <f>IF($B36="","",IF(INDEX(BDHKI,MATCH(DiemHKII!$C36,DiemHKI!$DI$4:$DI$58,0),DM$67)&lt;&gt;"",INDEX(BDHKI,MATCH(DiemHKII!$C36,DiemHKI!$DI$4:$DI$58,0),DM$67),""))</f>
        <v>Đ</v>
      </c>
      <c r="DN36" s="532" t="str">
        <f t="shared" si="23"/>
        <v/>
      </c>
      <c r="DO36" s="532" t="str">
        <f t="shared" si="24"/>
        <v>Đ</v>
      </c>
      <c r="DP36" s="172"/>
      <c r="DQ36" s="170"/>
      <c r="DR36" s="170"/>
      <c r="DS36" s="550"/>
      <c r="DT36" s="173"/>
      <c r="DU36" s="172"/>
      <c r="DV36" s="433">
        <f>IF($B36="","",IF(INDEX(BDHKI,MATCH(DiemHKII!$C36,DiemHKI!$DI$4:$DI$58,0),DV$67)&lt;&gt;"",INDEX(BDHKI,MATCH(DiemHKII!$C36,DiemHKI!$DI$4:$DI$58,0),DV$67),""))</f>
        <v>9.9</v>
      </c>
      <c r="DW36" s="433" t="str">
        <f t="shared" si="25"/>
        <v/>
      </c>
      <c r="DX36" s="434" t="str">
        <f t="shared" si="26"/>
        <v/>
      </c>
      <c r="DY36" s="172"/>
      <c r="DZ36" s="170"/>
      <c r="EA36" s="170"/>
      <c r="EB36" s="550"/>
      <c r="EC36" s="173"/>
      <c r="ED36" s="172"/>
      <c r="EE36" s="408" t="str">
        <f>IF($B36="","",IF(INDEX(BDHKI,MATCH(DiemHKII!$C36,DiemHKI!$DI$4:$DI$58,0),EE$67)&lt;&gt;"",INDEX(BDHKI,MATCH(DiemHKII!$C36,DiemHKI!$DI$4:$DI$58,0),EE$67),""))</f>
        <v/>
      </c>
      <c r="EF36" s="408" t="str">
        <f t="shared" si="27"/>
        <v/>
      </c>
      <c r="EG36" s="409" t="str">
        <f t="shared" si="28"/>
        <v/>
      </c>
      <c r="EH36" s="162"/>
      <c r="EI36" s="163"/>
      <c r="EJ36" s="164"/>
      <c r="EK36" s="165"/>
    </row>
    <row r="37" spans="1:141" s="30" customFormat="1" ht="15.9" customHeight="1">
      <c r="B37" s="99">
        <f>IF(D37&lt;&gt;"",MAX($B$4:B36)+1,"")</f>
        <v>34</v>
      </c>
      <c r="C37" s="339" t="str">
        <f t="shared" si="0"/>
        <v>12A1Trần Kim BảoTrân05/06/2004</v>
      </c>
      <c r="D37" s="166" t="s">
        <v>681</v>
      </c>
      <c r="E37" s="167" t="s">
        <v>791</v>
      </c>
      <c r="F37" s="168" t="s">
        <v>792</v>
      </c>
      <c r="G37" s="163" t="s">
        <v>793</v>
      </c>
      <c r="H37" s="163"/>
      <c r="I37" s="549"/>
      <c r="J37" s="166"/>
      <c r="K37" s="166"/>
      <c r="L37" s="172"/>
      <c r="M37" s="170"/>
      <c r="N37" s="170"/>
      <c r="O37" s="550"/>
      <c r="P37" s="173"/>
      <c r="Q37" s="172"/>
      <c r="R37" s="408">
        <f>IF($B37="","",IF(INDEX(BDHKI,MATCH(DiemHKII!$C37,DiemHKI!$DI$4:$DI$58,0),R$67)&lt;&gt;"",INDEX(BDHKI,MATCH(DiemHKII!$C37,DiemHKI!$DI$4:$DI$58,0),R$67),""))</f>
        <v>9.1999999999999993</v>
      </c>
      <c r="S37" s="408" t="str">
        <f t="shared" si="1"/>
        <v/>
      </c>
      <c r="T37" s="409" t="str">
        <f t="shared" si="2"/>
        <v/>
      </c>
      <c r="U37" s="172"/>
      <c r="V37" s="170"/>
      <c r="W37" s="170"/>
      <c r="X37" s="550"/>
      <c r="Y37" s="173"/>
      <c r="Z37" s="172"/>
      <c r="AA37" s="433">
        <f>IF($B37="","",IF(INDEX(BDHKI,MATCH(DiemHKII!$C37,DiemHKI!$DI$4:$DI$58,0),AA$67)&lt;&gt;"",INDEX(BDHKI,MATCH(DiemHKII!$C37,DiemHKI!$DI$4:$DI$58,0),AA$67),""))</f>
        <v>8.6999999999999993</v>
      </c>
      <c r="AB37" s="433" t="str">
        <f t="shared" si="3"/>
        <v/>
      </c>
      <c r="AC37" s="434" t="str">
        <f t="shared" si="4"/>
        <v/>
      </c>
      <c r="AD37" s="172"/>
      <c r="AE37" s="170"/>
      <c r="AF37" s="170"/>
      <c r="AG37" s="550"/>
      <c r="AH37" s="173"/>
      <c r="AI37" s="172"/>
      <c r="AJ37" s="408">
        <f>IF($B37="","",IF(INDEX(BDHKI,MATCH(DiemHKII!$C37,DiemHKI!$DI$4:$DI$58,0),AJ$67)&lt;&gt;"",INDEX(BDHKI,MATCH(DiemHKII!$C37,DiemHKI!$DI$4:$DI$58,0),AJ$67),""))</f>
        <v>9.1999999999999993</v>
      </c>
      <c r="AK37" s="408" t="str">
        <f t="shared" si="5"/>
        <v/>
      </c>
      <c r="AL37" s="409" t="str">
        <f t="shared" si="6"/>
        <v/>
      </c>
      <c r="AM37" s="172"/>
      <c r="AN37" s="170"/>
      <c r="AO37" s="170"/>
      <c r="AP37" s="550"/>
      <c r="AQ37" s="173"/>
      <c r="AR37" s="172"/>
      <c r="AS37" s="433">
        <f>IF($B37="","",IF(INDEX(BDHKI,MATCH(DiemHKII!$C37,DiemHKI!$DI$4:$DI$58,0),AS$67)&lt;&gt;"",INDEX(BDHKI,MATCH(DiemHKII!$C37,DiemHKI!$DI$4:$DI$58,0),AS$67),""))</f>
        <v>8.8000000000000007</v>
      </c>
      <c r="AT37" s="433" t="str">
        <f t="shared" si="7"/>
        <v/>
      </c>
      <c r="AU37" s="434" t="str">
        <f t="shared" si="8"/>
        <v/>
      </c>
      <c r="AV37" s="172"/>
      <c r="AW37" s="170"/>
      <c r="AX37" s="170"/>
      <c r="AY37" s="550"/>
      <c r="AZ37" s="173"/>
      <c r="BA37" s="172"/>
      <c r="BB37" s="408">
        <f>IF($B37="","",IF(INDEX(BDHKI,MATCH(DiemHKII!$C37,DiemHKI!$DI$4:$DI$58,0),BB$67)&lt;&gt;"",INDEX(BDHKI,MATCH(DiemHKII!$C37,DiemHKI!$DI$4:$DI$58,0),BB$67),""))</f>
        <v>9.6</v>
      </c>
      <c r="BC37" s="408" t="str">
        <f t="shared" si="9"/>
        <v/>
      </c>
      <c r="BD37" s="409" t="str">
        <f t="shared" si="10"/>
        <v/>
      </c>
      <c r="BE37" s="172"/>
      <c r="BF37" s="170"/>
      <c r="BG37" s="170"/>
      <c r="BH37" s="550"/>
      <c r="BI37" s="173"/>
      <c r="BJ37" s="172"/>
      <c r="BK37" s="433">
        <f>IF($B37="","",IF(INDEX(BDHKI,MATCH(DiemHKII!$C37,DiemHKI!$DI$4:$DI$58,0),BK$67)&lt;&gt;"",INDEX(BDHKI,MATCH(DiemHKII!$C37,DiemHKI!$DI$4:$DI$58,0),BK$67),""))</f>
        <v>8</v>
      </c>
      <c r="BL37" s="433" t="str">
        <f t="shared" si="11"/>
        <v/>
      </c>
      <c r="BM37" s="434" t="str">
        <f t="shared" si="12"/>
        <v/>
      </c>
      <c r="BN37" s="172"/>
      <c r="BO37" s="170"/>
      <c r="BP37" s="170"/>
      <c r="BQ37" s="550"/>
      <c r="BR37" s="173"/>
      <c r="BS37" s="172"/>
      <c r="BT37" s="408">
        <f>IF($B37="","",IF(INDEX(BDHKI,MATCH(DiemHKII!$C37,DiemHKI!$DI$4:$DI$58,0),BT$67)&lt;&gt;"",INDEX(BDHKI,MATCH(DiemHKII!$C37,DiemHKI!$DI$4:$DI$58,0),BT$67),""))</f>
        <v>9.8000000000000007</v>
      </c>
      <c r="BU37" s="408" t="str">
        <f t="shared" si="13"/>
        <v/>
      </c>
      <c r="BV37" s="409" t="str">
        <f t="shared" si="14"/>
        <v/>
      </c>
      <c r="BW37" s="172"/>
      <c r="BX37" s="170"/>
      <c r="BY37" s="170"/>
      <c r="BZ37" s="550"/>
      <c r="CA37" s="173"/>
      <c r="CB37" s="172"/>
      <c r="CC37" s="408">
        <f>IF($B37="","",IF(INDEX(BDHKI,MATCH(DiemHKII!$C37,DiemHKI!$DI$4:$DI$58,0),CC$67)&lt;&gt;"",INDEX(BDHKI,MATCH(DiemHKII!$C37,DiemHKI!$DI$4:$DI$58,0),CC$67),""))</f>
        <v>9.9</v>
      </c>
      <c r="CD37" s="408" t="str">
        <f t="shared" si="15"/>
        <v/>
      </c>
      <c r="CE37" s="409" t="str">
        <f t="shared" si="16"/>
        <v/>
      </c>
      <c r="CF37" s="172"/>
      <c r="CG37" s="170"/>
      <c r="CH37" s="170"/>
      <c r="CI37" s="550"/>
      <c r="CJ37" s="173"/>
      <c r="CK37" s="172"/>
      <c r="CL37" s="433">
        <f>IF($B37="","",IF(INDEX(BDHKI,MATCH(DiemHKII!$C37,DiemHKI!$DI$4:$DI$58,0),CL$67)&lt;&gt;"",INDEX(BDHKI,MATCH(DiemHKII!$C37,DiemHKI!$DI$4:$DI$58,0),CL$67),""))</f>
        <v>8.8000000000000007</v>
      </c>
      <c r="CM37" s="433" t="str">
        <f t="shared" si="17"/>
        <v/>
      </c>
      <c r="CN37" s="434" t="str">
        <f t="shared" si="18"/>
        <v/>
      </c>
      <c r="CO37" s="172"/>
      <c r="CP37" s="170"/>
      <c r="CQ37" s="170"/>
      <c r="CR37" s="550"/>
      <c r="CS37" s="173"/>
      <c r="CT37" s="172"/>
      <c r="CU37" s="408">
        <f>IF($B37="","",IF(INDEX(BDHKI,MATCH(DiemHKII!$C37,DiemHKI!$DI$4:$DI$58,0),CU$67)&lt;&gt;"",INDEX(BDHKI,MATCH(DiemHKII!$C37,DiemHKI!$DI$4:$DI$58,0),CU$67),""))</f>
        <v>9.4</v>
      </c>
      <c r="CV37" s="408" t="str">
        <f t="shared" si="19"/>
        <v/>
      </c>
      <c r="CW37" s="409" t="str">
        <f t="shared" si="20"/>
        <v/>
      </c>
      <c r="CX37" s="172"/>
      <c r="CY37" s="170"/>
      <c r="CZ37" s="170"/>
      <c r="DA37" s="550"/>
      <c r="DB37" s="173"/>
      <c r="DC37" s="172"/>
      <c r="DD37" s="433">
        <f>IF($B37="","",IF(INDEX(BDHKI,MATCH(DiemHKII!$C37,DiemHKI!$DI$4:$DI$58,0),DD$67)&lt;&gt;"",INDEX(BDHKI,MATCH(DiemHKII!$C37,DiemHKI!$DI$4:$DI$58,0),DD$67),""))</f>
        <v>9.9</v>
      </c>
      <c r="DE37" s="433" t="str">
        <f t="shared" si="21"/>
        <v/>
      </c>
      <c r="DF37" s="434" t="str">
        <f t="shared" si="22"/>
        <v/>
      </c>
      <c r="DG37" s="174"/>
      <c r="DH37" s="175"/>
      <c r="DI37" s="175"/>
      <c r="DJ37" s="176"/>
      <c r="DK37" s="177"/>
      <c r="DL37" s="178"/>
      <c r="DM37" s="532" t="str">
        <f>IF($B37="","",IF(INDEX(BDHKI,MATCH(DiemHKII!$C37,DiemHKI!$DI$4:$DI$58,0),DM$67)&lt;&gt;"",INDEX(BDHKI,MATCH(DiemHKII!$C37,DiemHKI!$DI$4:$DI$58,0),DM$67),""))</f>
        <v>Đ</v>
      </c>
      <c r="DN37" s="532" t="str">
        <f t="shared" si="23"/>
        <v/>
      </c>
      <c r="DO37" s="532" t="str">
        <f t="shared" si="24"/>
        <v>Đ</v>
      </c>
      <c r="DP37" s="172"/>
      <c r="DQ37" s="170"/>
      <c r="DR37" s="170"/>
      <c r="DS37" s="550"/>
      <c r="DT37" s="173"/>
      <c r="DU37" s="172"/>
      <c r="DV37" s="433">
        <f>IF($B37="","",IF(INDEX(BDHKI,MATCH(DiemHKII!$C37,DiemHKI!$DI$4:$DI$58,0),DV$67)&lt;&gt;"",INDEX(BDHKI,MATCH(DiemHKII!$C37,DiemHKI!$DI$4:$DI$58,0),DV$67),""))</f>
        <v>9.9</v>
      </c>
      <c r="DW37" s="433" t="str">
        <f t="shared" si="25"/>
        <v/>
      </c>
      <c r="DX37" s="434" t="str">
        <f t="shared" si="26"/>
        <v/>
      </c>
      <c r="DY37" s="172"/>
      <c r="DZ37" s="170"/>
      <c r="EA37" s="170"/>
      <c r="EB37" s="550"/>
      <c r="EC37" s="173"/>
      <c r="ED37" s="172"/>
      <c r="EE37" s="408" t="str">
        <f>IF($B37="","",IF(INDEX(BDHKI,MATCH(DiemHKII!$C37,DiemHKI!$DI$4:$DI$58,0),EE$67)&lt;&gt;"",INDEX(BDHKI,MATCH(DiemHKII!$C37,DiemHKI!$DI$4:$DI$58,0),EE$67),""))</f>
        <v/>
      </c>
      <c r="EF37" s="408" t="str">
        <f t="shared" si="27"/>
        <v/>
      </c>
      <c r="EG37" s="409" t="str">
        <f t="shared" si="28"/>
        <v/>
      </c>
      <c r="EH37" s="162"/>
      <c r="EI37" s="163"/>
      <c r="EJ37" s="164"/>
      <c r="EK37" s="165"/>
    </row>
    <row r="38" spans="1:141" s="30" customFormat="1" ht="15.9" customHeight="1">
      <c r="B38" s="105">
        <f>IF(D38&lt;&gt;"",MAX($B$4:B37)+1,"")</f>
        <v>35</v>
      </c>
      <c r="C38" s="340" t="str">
        <f t="shared" si="0"/>
        <v>12A1Phạm ĐứcTrung07/10/2004</v>
      </c>
      <c r="D38" s="179" t="s">
        <v>681</v>
      </c>
      <c r="E38" s="180" t="s">
        <v>794</v>
      </c>
      <c r="F38" s="181" t="s">
        <v>795</v>
      </c>
      <c r="G38" s="182" t="s">
        <v>796</v>
      </c>
      <c r="H38" s="182"/>
      <c r="I38" s="551"/>
      <c r="J38" s="179"/>
      <c r="K38" s="179"/>
      <c r="L38" s="187"/>
      <c r="M38" s="185"/>
      <c r="N38" s="185"/>
      <c r="O38" s="552"/>
      <c r="P38" s="188"/>
      <c r="Q38" s="187"/>
      <c r="R38" s="410">
        <f>IF($B38="","",IF(INDEX(BDHKI,MATCH(DiemHKII!$C38,DiemHKI!$DI$4:$DI$58,0),R$67)&lt;&gt;"",INDEX(BDHKI,MATCH(DiemHKII!$C38,DiemHKI!$DI$4:$DI$58,0),R$67),""))</f>
        <v>9.9</v>
      </c>
      <c r="S38" s="410" t="str">
        <f t="shared" si="1"/>
        <v/>
      </c>
      <c r="T38" s="411" t="str">
        <f t="shared" si="2"/>
        <v/>
      </c>
      <c r="U38" s="187"/>
      <c r="V38" s="185"/>
      <c r="W38" s="185"/>
      <c r="X38" s="552"/>
      <c r="Y38" s="188"/>
      <c r="Z38" s="187"/>
      <c r="AA38" s="435">
        <f>IF($B38="","",IF(INDEX(BDHKI,MATCH(DiemHKII!$C38,DiemHKI!$DI$4:$DI$58,0),AA$67)&lt;&gt;"",INDEX(BDHKI,MATCH(DiemHKII!$C38,DiemHKI!$DI$4:$DI$58,0),AA$67),""))</f>
        <v>9.6</v>
      </c>
      <c r="AB38" s="435" t="str">
        <f t="shared" si="3"/>
        <v/>
      </c>
      <c r="AC38" s="436" t="str">
        <f t="shared" si="4"/>
        <v/>
      </c>
      <c r="AD38" s="187"/>
      <c r="AE38" s="185"/>
      <c r="AF38" s="185"/>
      <c r="AG38" s="552"/>
      <c r="AH38" s="188"/>
      <c r="AI38" s="187"/>
      <c r="AJ38" s="410">
        <f>IF($B38="","",IF(INDEX(BDHKI,MATCH(DiemHKII!$C38,DiemHKI!$DI$4:$DI$58,0),AJ$67)&lt;&gt;"",INDEX(BDHKI,MATCH(DiemHKII!$C38,DiemHKI!$DI$4:$DI$58,0),AJ$67),""))</f>
        <v>9.8000000000000007</v>
      </c>
      <c r="AK38" s="410" t="str">
        <f t="shared" si="5"/>
        <v/>
      </c>
      <c r="AL38" s="411" t="str">
        <f t="shared" si="6"/>
        <v/>
      </c>
      <c r="AM38" s="187"/>
      <c r="AN38" s="185"/>
      <c r="AO38" s="185"/>
      <c r="AP38" s="552"/>
      <c r="AQ38" s="188"/>
      <c r="AR38" s="187"/>
      <c r="AS38" s="435">
        <f>IF($B38="","",IF(INDEX(BDHKI,MATCH(DiemHKII!$C38,DiemHKI!$DI$4:$DI$58,0),AS$67)&lt;&gt;"",INDEX(BDHKI,MATCH(DiemHKII!$C38,DiemHKI!$DI$4:$DI$58,0),AS$67),""))</f>
        <v>9.8000000000000007</v>
      </c>
      <c r="AT38" s="435" t="str">
        <f t="shared" si="7"/>
        <v/>
      </c>
      <c r="AU38" s="436" t="str">
        <f t="shared" si="8"/>
        <v/>
      </c>
      <c r="AV38" s="187"/>
      <c r="AW38" s="185"/>
      <c r="AX38" s="185"/>
      <c r="AY38" s="552"/>
      <c r="AZ38" s="188"/>
      <c r="BA38" s="187"/>
      <c r="BB38" s="410">
        <f>IF($B38="","",IF(INDEX(BDHKI,MATCH(DiemHKII!$C38,DiemHKI!$DI$4:$DI$58,0),BB$67)&lt;&gt;"",INDEX(BDHKI,MATCH(DiemHKII!$C38,DiemHKI!$DI$4:$DI$58,0),BB$67),""))</f>
        <v>9.8000000000000007</v>
      </c>
      <c r="BC38" s="410" t="str">
        <f t="shared" si="9"/>
        <v/>
      </c>
      <c r="BD38" s="411" t="str">
        <f t="shared" si="10"/>
        <v/>
      </c>
      <c r="BE38" s="187"/>
      <c r="BF38" s="185"/>
      <c r="BG38" s="185"/>
      <c r="BH38" s="552"/>
      <c r="BI38" s="188"/>
      <c r="BJ38" s="187"/>
      <c r="BK38" s="435">
        <f>IF($B38="","",IF(INDEX(BDHKI,MATCH(DiemHKII!$C38,DiemHKI!$DI$4:$DI$58,0),BK$67)&lt;&gt;"",INDEX(BDHKI,MATCH(DiemHKII!$C38,DiemHKI!$DI$4:$DI$58,0),BK$67),""))</f>
        <v>7.5</v>
      </c>
      <c r="BL38" s="435" t="str">
        <f t="shared" si="11"/>
        <v/>
      </c>
      <c r="BM38" s="436" t="str">
        <f t="shared" si="12"/>
        <v/>
      </c>
      <c r="BN38" s="187"/>
      <c r="BO38" s="185"/>
      <c r="BP38" s="185"/>
      <c r="BQ38" s="552"/>
      <c r="BR38" s="188"/>
      <c r="BS38" s="187"/>
      <c r="BT38" s="410">
        <f>IF($B38="","",IF(INDEX(BDHKI,MATCH(DiemHKII!$C38,DiemHKI!$DI$4:$DI$58,0),BT$67)&lt;&gt;"",INDEX(BDHKI,MATCH(DiemHKII!$C38,DiemHKI!$DI$4:$DI$58,0),BT$67),""))</f>
        <v>9.8000000000000007</v>
      </c>
      <c r="BU38" s="410" t="str">
        <f t="shared" si="13"/>
        <v/>
      </c>
      <c r="BV38" s="411" t="str">
        <f t="shared" si="14"/>
        <v/>
      </c>
      <c r="BW38" s="187"/>
      <c r="BX38" s="185"/>
      <c r="BY38" s="185"/>
      <c r="BZ38" s="552"/>
      <c r="CA38" s="188"/>
      <c r="CB38" s="187"/>
      <c r="CC38" s="410">
        <f>IF($B38="","",IF(INDEX(BDHKI,MATCH(DiemHKII!$C38,DiemHKI!$DI$4:$DI$58,0),CC$67)&lt;&gt;"",INDEX(BDHKI,MATCH(DiemHKII!$C38,DiemHKI!$DI$4:$DI$58,0),CC$67),""))</f>
        <v>9.6</v>
      </c>
      <c r="CD38" s="410" t="str">
        <f t="shared" si="15"/>
        <v/>
      </c>
      <c r="CE38" s="411" t="str">
        <f t="shared" si="16"/>
        <v/>
      </c>
      <c r="CF38" s="187"/>
      <c r="CG38" s="185"/>
      <c r="CH38" s="185"/>
      <c r="CI38" s="552"/>
      <c r="CJ38" s="188"/>
      <c r="CK38" s="187"/>
      <c r="CL38" s="435">
        <f>IF($B38="","",IF(INDEX(BDHKI,MATCH(DiemHKII!$C38,DiemHKI!$DI$4:$DI$58,0),CL$67)&lt;&gt;"",INDEX(BDHKI,MATCH(DiemHKII!$C38,DiemHKI!$DI$4:$DI$58,0),CL$67),""))</f>
        <v>8.6</v>
      </c>
      <c r="CM38" s="435" t="str">
        <f t="shared" si="17"/>
        <v/>
      </c>
      <c r="CN38" s="436" t="str">
        <f t="shared" si="18"/>
        <v/>
      </c>
      <c r="CO38" s="187"/>
      <c r="CP38" s="185"/>
      <c r="CQ38" s="185"/>
      <c r="CR38" s="552"/>
      <c r="CS38" s="188"/>
      <c r="CT38" s="187"/>
      <c r="CU38" s="410">
        <f>IF($B38="","",IF(INDEX(BDHKI,MATCH(DiemHKII!$C38,DiemHKI!$DI$4:$DI$58,0),CU$67)&lt;&gt;"",INDEX(BDHKI,MATCH(DiemHKII!$C38,DiemHKI!$DI$4:$DI$58,0),CU$67),""))</f>
        <v>9.1</v>
      </c>
      <c r="CV38" s="410" t="str">
        <f t="shared" si="19"/>
        <v/>
      </c>
      <c r="CW38" s="411" t="str">
        <f t="shared" si="20"/>
        <v/>
      </c>
      <c r="CX38" s="187"/>
      <c r="CY38" s="185"/>
      <c r="CZ38" s="185"/>
      <c r="DA38" s="552"/>
      <c r="DB38" s="188"/>
      <c r="DC38" s="187"/>
      <c r="DD38" s="435">
        <f>IF($B38="","",IF(INDEX(BDHKI,MATCH(DiemHKII!$C38,DiemHKI!$DI$4:$DI$58,0),DD$67)&lt;&gt;"",INDEX(BDHKI,MATCH(DiemHKII!$C38,DiemHKI!$DI$4:$DI$58,0),DD$67),""))</f>
        <v>9.9</v>
      </c>
      <c r="DE38" s="435" t="str">
        <f t="shared" si="21"/>
        <v/>
      </c>
      <c r="DF38" s="436" t="str">
        <f t="shared" si="22"/>
        <v/>
      </c>
      <c r="DG38" s="213"/>
      <c r="DH38" s="214"/>
      <c r="DI38" s="214"/>
      <c r="DJ38" s="215"/>
      <c r="DK38" s="216"/>
      <c r="DL38" s="193"/>
      <c r="DM38" s="533" t="str">
        <f>IF($B38="","",IF(INDEX(BDHKI,MATCH(DiemHKII!$C38,DiemHKI!$DI$4:$DI$58,0),DM$67)&lt;&gt;"",INDEX(BDHKI,MATCH(DiemHKII!$C38,DiemHKI!$DI$4:$DI$58,0),DM$67),""))</f>
        <v>Đ</v>
      </c>
      <c r="DN38" s="533" t="str">
        <f t="shared" si="23"/>
        <v/>
      </c>
      <c r="DO38" s="533" t="str">
        <f t="shared" si="24"/>
        <v>Đ</v>
      </c>
      <c r="DP38" s="187"/>
      <c r="DQ38" s="185"/>
      <c r="DR38" s="185"/>
      <c r="DS38" s="552"/>
      <c r="DT38" s="188"/>
      <c r="DU38" s="187"/>
      <c r="DV38" s="435">
        <f>IF($B38="","",IF(INDEX(BDHKI,MATCH(DiemHKII!$C38,DiemHKI!$DI$4:$DI$58,0),DV$67)&lt;&gt;"",INDEX(BDHKI,MATCH(DiemHKII!$C38,DiemHKI!$DI$4:$DI$58,0),DV$67),""))</f>
        <v>9.9</v>
      </c>
      <c r="DW38" s="435" t="str">
        <f t="shared" si="25"/>
        <v/>
      </c>
      <c r="DX38" s="436" t="str">
        <f t="shared" si="26"/>
        <v/>
      </c>
      <c r="DY38" s="187"/>
      <c r="DZ38" s="185"/>
      <c r="EA38" s="185"/>
      <c r="EB38" s="552"/>
      <c r="EC38" s="188"/>
      <c r="ED38" s="187"/>
      <c r="EE38" s="410" t="str">
        <f>IF($B38="","",IF(INDEX(BDHKI,MATCH(DiemHKII!$C38,DiemHKI!$DI$4:$DI$58,0),EE$67)&lt;&gt;"",INDEX(BDHKI,MATCH(DiemHKII!$C38,DiemHKI!$DI$4:$DI$58,0),EE$67),""))</f>
        <v/>
      </c>
      <c r="EF38" s="410" t="str">
        <f t="shared" si="27"/>
        <v/>
      </c>
      <c r="EG38" s="411" t="str">
        <f t="shared" si="28"/>
        <v/>
      </c>
      <c r="EH38" s="194"/>
      <c r="EI38" s="182"/>
      <c r="EJ38" s="183"/>
      <c r="EK38" s="195"/>
    </row>
    <row r="39" spans="1:141" s="30" customFormat="1" ht="15.9" customHeight="1">
      <c r="B39" s="111">
        <f>IF(D39&lt;&gt;"",MAX($B$4:B38)+1,"")</f>
        <v>36</v>
      </c>
      <c r="C39" s="341" t="str">
        <f t="shared" si="0"/>
        <v>12A1Võ ThủyVân30/10/2004</v>
      </c>
      <c r="D39" s="196" t="s">
        <v>681</v>
      </c>
      <c r="E39" s="197" t="s">
        <v>797</v>
      </c>
      <c r="F39" s="198" t="s">
        <v>798</v>
      </c>
      <c r="G39" s="199" t="s">
        <v>799</v>
      </c>
      <c r="H39" s="199"/>
      <c r="I39" s="553"/>
      <c r="J39" s="196"/>
      <c r="K39" s="196"/>
      <c r="L39" s="204"/>
      <c r="M39" s="202"/>
      <c r="N39" s="202"/>
      <c r="O39" s="554"/>
      <c r="P39" s="205"/>
      <c r="Q39" s="204"/>
      <c r="R39" s="412">
        <f>IF($B39="","",IF(INDEX(BDHKI,MATCH(DiemHKII!$C39,DiemHKI!$DI$4:$DI$58,0),R$67)&lt;&gt;"",INDEX(BDHKI,MATCH(DiemHKII!$C39,DiemHKI!$DI$4:$DI$58,0),R$67),""))</f>
        <v>9.6999999999999993</v>
      </c>
      <c r="S39" s="412" t="str">
        <f t="shared" si="1"/>
        <v/>
      </c>
      <c r="T39" s="413" t="str">
        <f t="shared" si="2"/>
        <v/>
      </c>
      <c r="U39" s="204"/>
      <c r="V39" s="202"/>
      <c r="W39" s="202"/>
      <c r="X39" s="554"/>
      <c r="Y39" s="205"/>
      <c r="Z39" s="204"/>
      <c r="AA39" s="437">
        <f>IF($B39="","",IF(INDEX(BDHKI,MATCH(DiemHKII!$C39,DiemHKI!$DI$4:$DI$58,0),AA$67)&lt;&gt;"",INDEX(BDHKI,MATCH(DiemHKII!$C39,DiemHKI!$DI$4:$DI$58,0),AA$67),""))</f>
        <v>9.9</v>
      </c>
      <c r="AB39" s="437" t="str">
        <f t="shared" si="3"/>
        <v/>
      </c>
      <c r="AC39" s="438" t="str">
        <f t="shared" si="4"/>
        <v/>
      </c>
      <c r="AD39" s="204"/>
      <c r="AE39" s="202"/>
      <c r="AF39" s="202"/>
      <c r="AG39" s="554"/>
      <c r="AH39" s="205"/>
      <c r="AI39" s="204"/>
      <c r="AJ39" s="412">
        <f>IF($B39="","",IF(INDEX(BDHKI,MATCH(DiemHKII!$C39,DiemHKI!$DI$4:$DI$58,0),AJ$67)&lt;&gt;"",INDEX(BDHKI,MATCH(DiemHKII!$C39,DiemHKI!$DI$4:$DI$58,0),AJ$67),""))</f>
        <v>9.6999999999999993</v>
      </c>
      <c r="AK39" s="412" t="str">
        <f t="shared" si="5"/>
        <v/>
      </c>
      <c r="AL39" s="413" t="str">
        <f t="shared" si="6"/>
        <v/>
      </c>
      <c r="AM39" s="204"/>
      <c r="AN39" s="202"/>
      <c r="AO39" s="202"/>
      <c r="AP39" s="554"/>
      <c r="AQ39" s="205"/>
      <c r="AR39" s="204"/>
      <c r="AS39" s="437">
        <f>IF($B39="","",IF(INDEX(BDHKI,MATCH(DiemHKII!$C39,DiemHKI!$DI$4:$DI$58,0),AS$67)&lt;&gt;"",INDEX(BDHKI,MATCH(DiemHKII!$C39,DiemHKI!$DI$4:$DI$58,0),AS$67),""))</f>
        <v>9.4</v>
      </c>
      <c r="AT39" s="437" t="str">
        <f t="shared" si="7"/>
        <v/>
      </c>
      <c r="AU39" s="438" t="str">
        <f t="shared" si="8"/>
        <v/>
      </c>
      <c r="AV39" s="204"/>
      <c r="AW39" s="202"/>
      <c r="AX39" s="202"/>
      <c r="AY39" s="554"/>
      <c r="AZ39" s="205"/>
      <c r="BA39" s="204"/>
      <c r="BB39" s="412">
        <f>IF($B39="","",IF(INDEX(BDHKI,MATCH(DiemHKII!$C39,DiemHKI!$DI$4:$DI$58,0),BB$67)&lt;&gt;"",INDEX(BDHKI,MATCH(DiemHKII!$C39,DiemHKI!$DI$4:$DI$58,0),BB$67),""))</f>
        <v>9.8000000000000007</v>
      </c>
      <c r="BC39" s="412" t="str">
        <f t="shared" si="9"/>
        <v/>
      </c>
      <c r="BD39" s="413" t="str">
        <f t="shared" si="10"/>
        <v/>
      </c>
      <c r="BE39" s="204"/>
      <c r="BF39" s="202"/>
      <c r="BG39" s="202"/>
      <c r="BH39" s="554"/>
      <c r="BI39" s="205"/>
      <c r="BJ39" s="204"/>
      <c r="BK39" s="437">
        <f>IF($B39="","",IF(INDEX(BDHKI,MATCH(DiemHKII!$C39,DiemHKI!$DI$4:$DI$58,0),BK$67)&lt;&gt;"",INDEX(BDHKI,MATCH(DiemHKII!$C39,DiemHKI!$DI$4:$DI$58,0),BK$67),""))</f>
        <v>7.8</v>
      </c>
      <c r="BL39" s="437" t="str">
        <f t="shared" si="11"/>
        <v/>
      </c>
      <c r="BM39" s="438" t="str">
        <f t="shared" si="12"/>
        <v/>
      </c>
      <c r="BN39" s="204"/>
      <c r="BO39" s="202"/>
      <c r="BP39" s="202"/>
      <c r="BQ39" s="554"/>
      <c r="BR39" s="205"/>
      <c r="BS39" s="204"/>
      <c r="BT39" s="412">
        <f>IF($B39="","",IF(INDEX(BDHKI,MATCH(DiemHKII!$C39,DiemHKI!$DI$4:$DI$58,0),BT$67)&lt;&gt;"",INDEX(BDHKI,MATCH(DiemHKII!$C39,DiemHKI!$DI$4:$DI$58,0),BT$67),""))</f>
        <v>9.8000000000000007</v>
      </c>
      <c r="BU39" s="412" t="str">
        <f t="shared" si="13"/>
        <v/>
      </c>
      <c r="BV39" s="413" t="str">
        <f t="shared" si="14"/>
        <v/>
      </c>
      <c r="BW39" s="204"/>
      <c r="BX39" s="202"/>
      <c r="BY39" s="202"/>
      <c r="BZ39" s="554"/>
      <c r="CA39" s="205"/>
      <c r="CB39" s="204"/>
      <c r="CC39" s="412">
        <f>IF($B39="","",IF(INDEX(BDHKI,MATCH(DiemHKII!$C39,DiemHKI!$DI$4:$DI$58,0),CC$67)&lt;&gt;"",INDEX(BDHKI,MATCH(DiemHKII!$C39,DiemHKI!$DI$4:$DI$58,0),CC$67),""))</f>
        <v>9.9</v>
      </c>
      <c r="CD39" s="412" t="str">
        <f t="shared" si="15"/>
        <v/>
      </c>
      <c r="CE39" s="413" t="str">
        <f t="shared" si="16"/>
        <v/>
      </c>
      <c r="CF39" s="204"/>
      <c r="CG39" s="202"/>
      <c r="CH39" s="202"/>
      <c r="CI39" s="554"/>
      <c r="CJ39" s="205"/>
      <c r="CK39" s="204"/>
      <c r="CL39" s="437">
        <f>IF($B39="","",IF(INDEX(BDHKI,MATCH(DiemHKII!$C39,DiemHKI!$DI$4:$DI$58,0),CL$67)&lt;&gt;"",INDEX(BDHKI,MATCH(DiemHKII!$C39,DiemHKI!$DI$4:$DI$58,0),CL$67),""))</f>
        <v>9.6</v>
      </c>
      <c r="CM39" s="437" t="str">
        <f t="shared" si="17"/>
        <v/>
      </c>
      <c r="CN39" s="438" t="str">
        <f t="shared" si="18"/>
        <v/>
      </c>
      <c r="CO39" s="204"/>
      <c r="CP39" s="202"/>
      <c r="CQ39" s="202"/>
      <c r="CR39" s="554"/>
      <c r="CS39" s="205"/>
      <c r="CT39" s="204"/>
      <c r="CU39" s="412">
        <f>IF($B39="","",IF(INDEX(BDHKI,MATCH(DiemHKII!$C39,DiemHKI!$DI$4:$DI$58,0),CU$67)&lt;&gt;"",INDEX(BDHKI,MATCH(DiemHKII!$C39,DiemHKI!$DI$4:$DI$58,0),CU$67),""))</f>
        <v>9.8000000000000007</v>
      </c>
      <c r="CV39" s="412" t="str">
        <f t="shared" si="19"/>
        <v/>
      </c>
      <c r="CW39" s="413" t="str">
        <f t="shared" si="20"/>
        <v/>
      </c>
      <c r="CX39" s="204"/>
      <c r="CY39" s="202"/>
      <c r="CZ39" s="202"/>
      <c r="DA39" s="554"/>
      <c r="DB39" s="205"/>
      <c r="DC39" s="204"/>
      <c r="DD39" s="437">
        <f>IF($B39="","",IF(INDEX(BDHKI,MATCH(DiemHKII!$C39,DiemHKI!$DI$4:$DI$58,0),DD$67)&lt;&gt;"",INDEX(BDHKI,MATCH(DiemHKII!$C39,DiemHKI!$DI$4:$DI$58,0),DD$67),""))</f>
        <v>9.9</v>
      </c>
      <c r="DE39" s="437" t="str">
        <f t="shared" si="21"/>
        <v/>
      </c>
      <c r="DF39" s="438" t="str">
        <f t="shared" si="22"/>
        <v/>
      </c>
      <c r="DG39" s="206"/>
      <c r="DH39" s="207"/>
      <c r="DI39" s="207"/>
      <c r="DJ39" s="208"/>
      <c r="DK39" s="209"/>
      <c r="DL39" s="210"/>
      <c r="DM39" s="531" t="str">
        <f>IF($B39="","",IF(INDEX(BDHKI,MATCH(DiemHKII!$C39,DiemHKI!$DI$4:$DI$58,0),DM$67)&lt;&gt;"",INDEX(BDHKI,MATCH(DiemHKII!$C39,DiemHKI!$DI$4:$DI$58,0),DM$67),""))</f>
        <v>Đ</v>
      </c>
      <c r="DN39" s="531" t="str">
        <f t="shared" si="23"/>
        <v/>
      </c>
      <c r="DO39" s="531" t="str">
        <f t="shared" si="24"/>
        <v>Đ</v>
      </c>
      <c r="DP39" s="204"/>
      <c r="DQ39" s="202"/>
      <c r="DR39" s="202"/>
      <c r="DS39" s="554"/>
      <c r="DT39" s="205"/>
      <c r="DU39" s="204"/>
      <c r="DV39" s="437">
        <f>IF($B39="","",IF(INDEX(BDHKI,MATCH(DiemHKII!$C39,DiemHKI!$DI$4:$DI$58,0),DV$67)&lt;&gt;"",INDEX(BDHKI,MATCH(DiemHKII!$C39,DiemHKI!$DI$4:$DI$58,0),DV$67),""))</f>
        <v>9.9</v>
      </c>
      <c r="DW39" s="437" t="str">
        <f t="shared" si="25"/>
        <v/>
      </c>
      <c r="DX39" s="438" t="str">
        <f t="shared" si="26"/>
        <v/>
      </c>
      <c r="DY39" s="204"/>
      <c r="DZ39" s="202"/>
      <c r="EA39" s="202"/>
      <c r="EB39" s="554"/>
      <c r="EC39" s="205"/>
      <c r="ED39" s="204"/>
      <c r="EE39" s="412" t="str">
        <f>IF($B39="","",IF(INDEX(BDHKI,MATCH(DiemHKII!$C39,DiemHKI!$DI$4:$DI$58,0),EE$67)&lt;&gt;"",INDEX(BDHKI,MATCH(DiemHKII!$C39,DiemHKI!$DI$4:$DI$58,0),EE$67),""))</f>
        <v/>
      </c>
      <c r="EF39" s="412" t="str">
        <f t="shared" si="27"/>
        <v/>
      </c>
      <c r="EG39" s="413" t="str">
        <f t="shared" si="28"/>
        <v/>
      </c>
      <c r="EH39" s="211"/>
      <c r="EI39" s="199"/>
      <c r="EJ39" s="200"/>
      <c r="EK39" s="212"/>
    </row>
    <row r="40" spans="1:141" s="30" customFormat="1" ht="15.9" customHeight="1">
      <c r="B40" s="99" t="str">
        <f>IF(D40&lt;&gt;"",MAX($B$4:B39)+1,"")</f>
        <v/>
      </c>
      <c r="C40" s="339" t="str">
        <f t="shared" si="0"/>
        <v/>
      </c>
      <c r="D40" s="166"/>
      <c r="E40" s="167"/>
      <c r="F40" s="168"/>
      <c r="G40" s="163"/>
      <c r="H40" s="163"/>
      <c r="I40" s="549"/>
      <c r="J40" s="166"/>
      <c r="K40" s="166"/>
      <c r="L40" s="172"/>
      <c r="M40" s="170"/>
      <c r="N40" s="170"/>
      <c r="O40" s="550"/>
      <c r="P40" s="173"/>
      <c r="Q40" s="172"/>
      <c r="R40" s="408" t="str">
        <f>IF($B40="","",IF(INDEX(BDHKI,MATCH(DiemHKII!$C40,DiemHKI!$DI$4:$DI$58,0),R$67)&lt;&gt;"",INDEX(BDHKI,MATCH(DiemHKII!$C40,DiemHKI!$DI$4:$DI$58,0),R$67),""))</f>
        <v/>
      </c>
      <c r="S40" s="408" t="str">
        <f t="shared" si="1"/>
        <v/>
      </c>
      <c r="T40" s="409" t="str">
        <f t="shared" si="2"/>
        <v/>
      </c>
      <c r="U40" s="172"/>
      <c r="V40" s="170"/>
      <c r="W40" s="170"/>
      <c r="X40" s="550"/>
      <c r="Y40" s="173"/>
      <c r="Z40" s="172"/>
      <c r="AA40" s="433" t="str">
        <f>IF($B40="","",IF(INDEX(BDHKI,MATCH(DiemHKII!$C40,DiemHKI!$DI$4:$DI$58,0),AA$67)&lt;&gt;"",INDEX(BDHKI,MATCH(DiemHKII!$C40,DiemHKI!$DI$4:$DI$58,0),AA$67),""))</f>
        <v/>
      </c>
      <c r="AB40" s="433" t="str">
        <f t="shared" si="3"/>
        <v/>
      </c>
      <c r="AC40" s="434" t="str">
        <f t="shared" si="4"/>
        <v/>
      </c>
      <c r="AD40" s="172"/>
      <c r="AE40" s="170"/>
      <c r="AF40" s="170"/>
      <c r="AG40" s="550"/>
      <c r="AH40" s="173"/>
      <c r="AI40" s="172"/>
      <c r="AJ40" s="408" t="str">
        <f>IF($B40="","",IF(INDEX(BDHKI,MATCH(DiemHKII!$C40,DiemHKI!$DI$4:$DI$58,0),AJ$67)&lt;&gt;"",INDEX(BDHKI,MATCH(DiemHKII!$C40,DiemHKI!$DI$4:$DI$58,0),AJ$67),""))</f>
        <v/>
      </c>
      <c r="AK40" s="408" t="str">
        <f t="shared" si="5"/>
        <v/>
      </c>
      <c r="AL40" s="409" t="str">
        <f t="shared" si="6"/>
        <v/>
      </c>
      <c r="AM40" s="172"/>
      <c r="AN40" s="170"/>
      <c r="AO40" s="170"/>
      <c r="AP40" s="550"/>
      <c r="AQ40" s="173"/>
      <c r="AR40" s="172"/>
      <c r="AS40" s="433" t="str">
        <f>IF($B40="","",IF(INDEX(BDHKI,MATCH(DiemHKII!$C40,DiemHKI!$DI$4:$DI$58,0),AS$67)&lt;&gt;"",INDEX(BDHKI,MATCH(DiemHKII!$C40,DiemHKI!$DI$4:$DI$58,0),AS$67),""))</f>
        <v/>
      </c>
      <c r="AT40" s="433" t="str">
        <f t="shared" si="7"/>
        <v/>
      </c>
      <c r="AU40" s="434" t="str">
        <f t="shared" si="8"/>
        <v/>
      </c>
      <c r="AV40" s="172"/>
      <c r="AW40" s="170"/>
      <c r="AX40" s="170"/>
      <c r="AY40" s="550"/>
      <c r="AZ40" s="173"/>
      <c r="BA40" s="172"/>
      <c r="BB40" s="408" t="str">
        <f>IF($B40="","",IF(INDEX(BDHKI,MATCH(DiemHKII!$C40,DiemHKI!$DI$4:$DI$58,0),BB$67)&lt;&gt;"",INDEX(BDHKI,MATCH(DiemHKII!$C40,DiemHKI!$DI$4:$DI$58,0),BB$67),""))</f>
        <v/>
      </c>
      <c r="BC40" s="408" t="str">
        <f t="shared" si="9"/>
        <v/>
      </c>
      <c r="BD40" s="409" t="str">
        <f t="shared" si="10"/>
        <v/>
      </c>
      <c r="BE40" s="172"/>
      <c r="BF40" s="170"/>
      <c r="BG40" s="170"/>
      <c r="BH40" s="550"/>
      <c r="BI40" s="173"/>
      <c r="BJ40" s="172"/>
      <c r="BK40" s="433" t="str">
        <f>IF($B40="","",IF(INDEX(BDHKI,MATCH(DiemHKII!$C40,DiemHKI!$DI$4:$DI$58,0),BK$67)&lt;&gt;"",INDEX(BDHKI,MATCH(DiemHKII!$C40,DiemHKI!$DI$4:$DI$58,0),BK$67),""))</f>
        <v/>
      </c>
      <c r="BL40" s="433" t="str">
        <f t="shared" si="11"/>
        <v/>
      </c>
      <c r="BM40" s="434" t="str">
        <f t="shared" si="12"/>
        <v/>
      </c>
      <c r="BN40" s="172"/>
      <c r="BO40" s="170"/>
      <c r="BP40" s="170"/>
      <c r="BQ40" s="550"/>
      <c r="BR40" s="173"/>
      <c r="BS40" s="172"/>
      <c r="BT40" s="408" t="str">
        <f>IF($B40="","",IF(INDEX(BDHKI,MATCH(DiemHKII!$C40,DiemHKI!$DI$4:$DI$58,0),BT$67)&lt;&gt;"",INDEX(BDHKI,MATCH(DiemHKII!$C40,DiemHKI!$DI$4:$DI$58,0),BT$67),""))</f>
        <v/>
      </c>
      <c r="BU40" s="408" t="str">
        <f t="shared" si="13"/>
        <v/>
      </c>
      <c r="BV40" s="409" t="str">
        <f t="shared" si="14"/>
        <v/>
      </c>
      <c r="BW40" s="172"/>
      <c r="BX40" s="170"/>
      <c r="BY40" s="170"/>
      <c r="BZ40" s="550"/>
      <c r="CA40" s="173"/>
      <c r="CB40" s="172"/>
      <c r="CC40" s="408" t="str">
        <f>IF($B40="","",IF(INDEX(BDHKI,MATCH(DiemHKII!$C40,DiemHKI!$DI$4:$DI$58,0),CC$67)&lt;&gt;"",INDEX(BDHKI,MATCH(DiemHKII!$C40,DiemHKI!$DI$4:$DI$58,0),CC$67),""))</f>
        <v/>
      </c>
      <c r="CD40" s="408" t="str">
        <f t="shared" si="15"/>
        <v/>
      </c>
      <c r="CE40" s="409" t="str">
        <f t="shared" si="16"/>
        <v/>
      </c>
      <c r="CF40" s="172"/>
      <c r="CG40" s="170"/>
      <c r="CH40" s="170"/>
      <c r="CI40" s="550"/>
      <c r="CJ40" s="173"/>
      <c r="CK40" s="172"/>
      <c r="CL40" s="433" t="str">
        <f>IF($B40="","",IF(INDEX(BDHKI,MATCH(DiemHKII!$C40,DiemHKI!$DI$4:$DI$58,0),CL$67)&lt;&gt;"",INDEX(BDHKI,MATCH(DiemHKII!$C40,DiemHKI!$DI$4:$DI$58,0),CL$67),""))</f>
        <v/>
      </c>
      <c r="CM40" s="433" t="str">
        <f t="shared" si="17"/>
        <v/>
      </c>
      <c r="CN40" s="434" t="str">
        <f t="shared" si="18"/>
        <v/>
      </c>
      <c r="CO40" s="172"/>
      <c r="CP40" s="170"/>
      <c r="CQ40" s="170"/>
      <c r="CR40" s="550"/>
      <c r="CS40" s="173"/>
      <c r="CT40" s="172"/>
      <c r="CU40" s="408" t="str">
        <f>IF($B40="","",IF(INDEX(BDHKI,MATCH(DiemHKII!$C40,DiemHKI!$DI$4:$DI$58,0),CU$67)&lt;&gt;"",INDEX(BDHKI,MATCH(DiemHKII!$C40,DiemHKI!$DI$4:$DI$58,0),CU$67),""))</f>
        <v/>
      </c>
      <c r="CV40" s="408" t="str">
        <f t="shared" si="19"/>
        <v/>
      </c>
      <c r="CW40" s="409" t="str">
        <f t="shared" si="20"/>
        <v/>
      </c>
      <c r="CX40" s="172"/>
      <c r="CY40" s="170"/>
      <c r="CZ40" s="170"/>
      <c r="DA40" s="550"/>
      <c r="DB40" s="173"/>
      <c r="DC40" s="172"/>
      <c r="DD40" s="433" t="str">
        <f>IF($B40="","",IF(INDEX(BDHKI,MATCH(DiemHKII!$C40,DiemHKI!$DI$4:$DI$58,0),DD$67)&lt;&gt;"",INDEX(BDHKI,MATCH(DiemHKII!$C40,DiemHKI!$DI$4:$DI$58,0),DD$67),""))</f>
        <v/>
      </c>
      <c r="DE40" s="433" t="str">
        <f t="shared" si="21"/>
        <v/>
      </c>
      <c r="DF40" s="434" t="str">
        <f t="shared" si="22"/>
        <v/>
      </c>
      <c r="DG40" s="206"/>
      <c r="DH40" s="207"/>
      <c r="DI40" s="207"/>
      <c r="DJ40" s="208"/>
      <c r="DK40" s="209"/>
      <c r="DL40" s="178"/>
      <c r="DM40" s="532" t="str">
        <f>IF($B40="","",IF(INDEX(BDHKI,MATCH(DiemHKII!$C40,DiemHKI!$DI$4:$DI$58,0),DM$67)&lt;&gt;"",INDEX(BDHKI,MATCH(DiemHKII!$C40,DiemHKI!$DI$4:$DI$58,0),DM$67),""))</f>
        <v/>
      </c>
      <c r="DN40" s="532" t="str">
        <f t="shared" si="23"/>
        <v/>
      </c>
      <c r="DO40" s="532" t="str">
        <f t="shared" si="24"/>
        <v/>
      </c>
      <c r="DP40" s="172"/>
      <c r="DQ40" s="170"/>
      <c r="DR40" s="170"/>
      <c r="DS40" s="550"/>
      <c r="DT40" s="173"/>
      <c r="DU40" s="172"/>
      <c r="DV40" s="433" t="str">
        <f>IF($B40="","",IF(INDEX(BDHKI,MATCH(DiemHKII!$C40,DiemHKI!$DI$4:$DI$58,0),DV$67)&lt;&gt;"",INDEX(BDHKI,MATCH(DiemHKII!$C40,DiemHKI!$DI$4:$DI$58,0),DV$67),""))</f>
        <v/>
      </c>
      <c r="DW40" s="433" t="str">
        <f t="shared" si="25"/>
        <v/>
      </c>
      <c r="DX40" s="434" t="str">
        <f t="shared" si="26"/>
        <v/>
      </c>
      <c r="DY40" s="172"/>
      <c r="DZ40" s="170"/>
      <c r="EA40" s="170"/>
      <c r="EB40" s="550"/>
      <c r="EC40" s="173"/>
      <c r="ED40" s="172"/>
      <c r="EE40" s="408" t="str">
        <f>IF($B40="","",IF(INDEX(BDHKI,MATCH(DiemHKII!$C40,DiemHKI!$DI$4:$DI$58,0),EE$67)&lt;&gt;"",INDEX(BDHKI,MATCH(DiemHKII!$C40,DiemHKI!$DI$4:$DI$58,0),EE$67),""))</f>
        <v/>
      </c>
      <c r="EF40" s="408" t="str">
        <f t="shared" si="27"/>
        <v/>
      </c>
      <c r="EG40" s="409" t="str">
        <f t="shared" si="28"/>
        <v/>
      </c>
      <c r="EH40" s="162"/>
      <c r="EI40" s="163"/>
      <c r="EJ40" s="164"/>
      <c r="EK40" s="165"/>
    </row>
    <row r="41" spans="1:141" s="30" customFormat="1" ht="15.9" customHeight="1">
      <c r="B41" s="99" t="str">
        <f>IF(D41&lt;&gt;"",MAX($B$4:B40)+1,"")</f>
        <v/>
      </c>
      <c r="C41" s="339" t="str">
        <f t="shared" si="0"/>
        <v/>
      </c>
      <c r="D41" s="166"/>
      <c r="E41" s="167"/>
      <c r="F41" s="168"/>
      <c r="G41" s="163"/>
      <c r="H41" s="163"/>
      <c r="I41" s="549"/>
      <c r="J41" s="166"/>
      <c r="K41" s="166"/>
      <c r="L41" s="172"/>
      <c r="M41" s="170"/>
      <c r="N41" s="170"/>
      <c r="O41" s="550"/>
      <c r="P41" s="173"/>
      <c r="Q41" s="172"/>
      <c r="R41" s="408" t="str">
        <f>IF($B41="","",IF(INDEX(BDHKI,MATCH(DiemHKII!$C41,DiemHKI!$DI$4:$DI$58,0),R$67)&lt;&gt;"",INDEX(BDHKI,MATCH(DiemHKII!$C41,DiemHKI!$DI$4:$DI$58,0),R$67),""))</f>
        <v/>
      </c>
      <c r="S41" s="408" t="str">
        <f t="shared" si="1"/>
        <v/>
      </c>
      <c r="T41" s="409" t="str">
        <f t="shared" si="2"/>
        <v/>
      </c>
      <c r="U41" s="172"/>
      <c r="V41" s="170"/>
      <c r="W41" s="170"/>
      <c r="X41" s="550"/>
      <c r="Y41" s="173"/>
      <c r="Z41" s="172"/>
      <c r="AA41" s="433" t="str">
        <f>IF($B41="","",IF(INDEX(BDHKI,MATCH(DiemHKII!$C41,DiemHKI!$DI$4:$DI$58,0),AA$67)&lt;&gt;"",INDEX(BDHKI,MATCH(DiemHKII!$C41,DiemHKI!$DI$4:$DI$58,0),AA$67),""))</f>
        <v/>
      </c>
      <c r="AB41" s="433" t="str">
        <f t="shared" si="3"/>
        <v/>
      </c>
      <c r="AC41" s="434" t="str">
        <f t="shared" si="4"/>
        <v/>
      </c>
      <c r="AD41" s="172"/>
      <c r="AE41" s="170"/>
      <c r="AF41" s="170"/>
      <c r="AG41" s="550"/>
      <c r="AH41" s="173"/>
      <c r="AI41" s="172"/>
      <c r="AJ41" s="408" t="str">
        <f>IF($B41="","",IF(INDEX(BDHKI,MATCH(DiemHKII!$C41,DiemHKI!$DI$4:$DI$58,0),AJ$67)&lt;&gt;"",INDEX(BDHKI,MATCH(DiemHKII!$C41,DiemHKI!$DI$4:$DI$58,0),AJ$67),""))</f>
        <v/>
      </c>
      <c r="AK41" s="408" t="str">
        <f t="shared" si="5"/>
        <v/>
      </c>
      <c r="AL41" s="409" t="str">
        <f t="shared" si="6"/>
        <v/>
      </c>
      <c r="AM41" s="172"/>
      <c r="AN41" s="170"/>
      <c r="AO41" s="170"/>
      <c r="AP41" s="550"/>
      <c r="AQ41" s="173"/>
      <c r="AR41" s="172"/>
      <c r="AS41" s="433" t="str">
        <f>IF($B41="","",IF(INDEX(BDHKI,MATCH(DiemHKII!$C41,DiemHKI!$DI$4:$DI$58,0),AS$67)&lt;&gt;"",INDEX(BDHKI,MATCH(DiemHKII!$C41,DiemHKI!$DI$4:$DI$58,0),AS$67),""))</f>
        <v/>
      </c>
      <c r="AT41" s="433" t="str">
        <f t="shared" si="7"/>
        <v/>
      </c>
      <c r="AU41" s="434" t="str">
        <f t="shared" si="8"/>
        <v/>
      </c>
      <c r="AV41" s="172"/>
      <c r="AW41" s="170"/>
      <c r="AX41" s="170"/>
      <c r="AY41" s="550"/>
      <c r="AZ41" s="173"/>
      <c r="BA41" s="172"/>
      <c r="BB41" s="408" t="str">
        <f>IF($B41="","",IF(INDEX(BDHKI,MATCH(DiemHKII!$C41,DiemHKI!$DI$4:$DI$58,0),BB$67)&lt;&gt;"",INDEX(BDHKI,MATCH(DiemHKII!$C41,DiemHKI!$DI$4:$DI$58,0),BB$67),""))</f>
        <v/>
      </c>
      <c r="BC41" s="408" t="str">
        <f t="shared" si="9"/>
        <v/>
      </c>
      <c r="BD41" s="409" t="str">
        <f t="shared" si="10"/>
        <v/>
      </c>
      <c r="BE41" s="172"/>
      <c r="BF41" s="170"/>
      <c r="BG41" s="170"/>
      <c r="BH41" s="550"/>
      <c r="BI41" s="173"/>
      <c r="BJ41" s="172"/>
      <c r="BK41" s="433" t="str">
        <f>IF($B41="","",IF(INDEX(BDHKI,MATCH(DiemHKII!$C41,DiemHKI!$DI$4:$DI$58,0),BK$67)&lt;&gt;"",INDEX(BDHKI,MATCH(DiemHKII!$C41,DiemHKI!$DI$4:$DI$58,0),BK$67),""))</f>
        <v/>
      </c>
      <c r="BL41" s="433" t="str">
        <f t="shared" si="11"/>
        <v/>
      </c>
      <c r="BM41" s="434" t="str">
        <f t="shared" si="12"/>
        <v/>
      </c>
      <c r="BN41" s="172"/>
      <c r="BO41" s="170"/>
      <c r="BP41" s="170"/>
      <c r="BQ41" s="550"/>
      <c r="BR41" s="173"/>
      <c r="BS41" s="172"/>
      <c r="BT41" s="408" t="str">
        <f>IF($B41="","",IF(INDEX(BDHKI,MATCH(DiemHKII!$C41,DiemHKI!$DI$4:$DI$58,0),BT$67)&lt;&gt;"",INDEX(BDHKI,MATCH(DiemHKII!$C41,DiemHKI!$DI$4:$DI$58,0),BT$67),""))</f>
        <v/>
      </c>
      <c r="BU41" s="408" t="str">
        <f t="shared" si="13"/>
        <v/>
      </c>
      <c r="BV41" s="409" t="str">
        <f t="shared" si="14"/>
        <v/>
      </c>
      <c r="BW41" s="172"/>
      <c r="BX41" s="170"/>
      <c r="BY41" s="170"/>
      <c r="BZ41" s="550"/>
      <c r="CA41" s="173"/>
      <c r="CB41" s="172"/>
      <c r="CC41" s="408" t="str">
        <f>IF($B41="","",IF(INDEX(BDHKI,MATCH(DiemHKII!$C41,DiemHKI!$DI$4:$DI$58,0),CC$67)&lt;&gt;"",INDEX(BDHKI,MATCH(DiemHKII!$C41,DiemHKI!$DI$4:$DI$58,0),CC$67),""))</f>
        <v/>
      </c>
      <c r="CD41" s="408" t="str">
        <f t="shared" si="15"/>
        <v/>
      </c>
      <c r="CE41" s="409" t="str">
        <f t="shared" si="16"/>
        <v/>
      </c>
      <c r="CF41" s="172"/>
      <c r="CG41" s="170"/>
      <c r="CH41" s="170"/>
      <c r="CI41" s="550"/>
      <c r="CJ41" s="173"/>
      <c r="CK41" s="172"/>
      <c r="CL41" s="433" t="str">
        <f>IF($B41="","",IF(INDEX(BDHKI,MATCH(DiemHKII!$C41,DiemHKI!$DI$4:$DI$58,0),CL$67)&lt;&gt;"",INDEX(BDHKI,MATCH(DiemHKII!$C41,DiemHKI!$DI$4:$DI$58,0),CL$67),""))</f>
        <v/>
      </c>
      <c r="CM41" s="433" t="str">
        <f t="shared" si="17"/>
        <v/>
      </c>
      <c r="CN41" s="434" t="str">
        <f t="shared" si="18"/>
        <v/>
      </c>
      <c r="CO41" s="172"/>
      <c r="CP41" s="170"/>
      <c r="CQ41" s="170"/>
      <c r="CR41" s="550"/>
      <c r="CS41" s="173"/>
      <c r="CT41" s="172"/>
      <c r="CU41" s="408" t="str">
        <f>IF($B41="","",IF(INDEX(BDHKI,MATCH(DiemHKII!$C41,DiemHKI!$DI$4:$DI$58,0),CU$67)&lt;&gt;"",INDEX(BDHKI,MATCH(DiemHKII!$C41,DiemHKI!$DI$4:$DI$58,0),CU$67),""))</f>
        <v/>
      </c>
      <c r="CV41" s="408" t="str">
        <f t="shared" si="19"/>
        <v/>
      </c>
      <c r="CW41" s="409" t="str">
        <f t="shared" si="20"/>
        <v/>
      </c>
      <c r="CX41" s="172"/>
      <c r="CY41" s="170"/>
      <c r="CZ41" s="170"/>
      <c r="DA41" s="550"/>
      <c r="DB41" s="173"/>
      <c r="DC41" s="172"/>
      <c r="DD41" s="433" t="str">
        <f>IF($B41="","",IF(INDEX(BDHKI,MATCH(DiemHKII!$C41,DiemHKI!$DI$4:$DI$58,0),DD$67)&lt;&gt;"",INDEX(BDHKI,MATCH(DiemHKII!$C41,DiemHKI!$DI$4:$DI$58,0),DD$67),""))</f>
        <v/>
      </c>
      <c r="DE41" s="433" t="str">
        <f t="shared" si="21"/>
        <v/>
      </c>
      <c r="DF41" s="434" t="str">
        <f t="shared" si="22"/>
        <v/>
      </c>
      <c r="DG41" s="174"/>
      <c r="DH41" s="175"/>
      <c r="DI41" s="175"/>
      <c r="DJ41" s="176"/>
      <c r="DK41" s="177"/>
      <c r="DL41" s="178"/>
      <c r="DM41" s="532" t="str">
        <f>IF($B41="","",IF(INDEX(BDHKI,MATCH(DiemHKII!$C41,DiemHKI!$DI$4:$DI$58,0),DM$67)&lt;&gt;"",INDEX(BDHKI,MATCH(DiemHKII!$C41,DiemHKI!$DI$4:$DI$58,0),DM$67),""))</f>
        <v/>
      </c>
      <c r="DN41" s="532" t="str">
        <f t="shared" si="23"/>
        <v/>
      </c>
      <c r="DO41" s="532" t="str">
        <f t="shared" si="24"/>
        <v/>
      </c>
      <c r="DP41" s="172"/>
      <c r="DQ41" s="170"/>
      <c r="DR41" s="170"/>
      <c r="DS41" s="550"/>
      <c r="DT41" s="173"/>
      <c r="DU41" s="172"/>
      <c r="DV41" s="433" t="str">
        <f>IF($B41="","",IF(INDEX(BDHKI,MATCH(DiemHKII!$C41,DiemHKI!$DI$4:$DI$58,0),DV$67)&lt;&gt;"",INDEX(BDHKI,MATCH(DiemHKII!$C41,DiemHKI!$DI$4:$DI$58,0),DV$67),""))</f>
        <v/>
      </c>
      <c r="DW41" s="433" t="str">
        <f t="shared" si="25"/>
        <v/>
      </c>
      <c r="DX41" s="434" t="str">
        <f t="shared" si="26"/>
        <v/>
      </c>
      <c r="DY41" s="172"/>
      <c r="DZ41" s="170"/>
      <c r="EA41" s="170"/>
      <c r="EB41" s="550"/>
      <c r="EC41" s="173"/>
      <c r="ED41" s="172"/>
      <c r="EE41" s="408" t="str">
        <f>IF($B41="","",IF(INDEX(BDHKI,MATCH(DiemHKII!$C41,DiemHKI!$DI$4:$DI$58,0),EE$67)&lt;&gt;"",INDEX(BDHKI,MATCH(DiemHKII!$C41,DiemHKI!$DI$4:$DI$58,0),EE$67),""))</f>
        <v/>
      </c>
      <c r="EF41" s="408" t="str">
        <f t="shared" si="27"/>
        <v/>
      </c>
      <c r="EG41" s="409" t="str">
        <f t="shared" si="28"/>
        <v/>
      </c>
      <c r="EH41" s="162"/>
      <c r="EI41" s="163"/>
      <c r="EJ41" s="164"/>
      <c r="EK41" s="165"/>
    </row>
    <row r="42" spans="1:141" s="30" customFormat="1" ht="15.9" customHeight="1">
      <c r="B42" s="99" t="str">
        <f>IF(D42&lt;&gt;"",MAX($B$4:B41)+1,"")</f>
        <v/>
      </c>
      <c r="C42" s="339" t="str">
        <f t="shared" si="0"/>
        <v/>
      </c>
      <c r="D42" s="166"/>
      <c r="E42" s="167"/>
      <c r="F42" s="168"/>
      <c r="G42" s="163"/>
      <c r="H42" s="163"/>
      <c r="I42" s="549"/>
      <c r="J42" s="166"/>
      <c r="K42" s="166"/>
      <c r="L42" s="172"/>
      <c r="M42" s="170"/>
      <c r="N42" s="170"/>
      <c r="O42" s="550"/>
      <c r="P42" s="173"/>
      <c r="Q42" s="172"/>
      <c r="R42" s="408" t="str">
        <f>IF($B42="","",IF(INDEX(BDHKI,MATCH(DiemHKII!$C42,DiemHKI!$DI$4:$DI$58,0),R$67)&lt;&gt;"",INDEX(BDHKI,MATCH(DiemHKII!$C42,DiemHKI!$DI$4:$DI$58,0),R$67),""))</f>
        <v/>
      </c>
      <c r="S42" s="408" t="str">
        <f t="shared" si="1"/>
        <v/>
      </c>
      <c r="T42" s="409" t="str">
        <f t="shared" si="2"/>
        <v/>
      </c>
      <c r="U42" s="172"/>
      <c r="V42" s="170"/>
      <c r="W42" s="170"/>
      <c r="X42" s="550"/>
      <c r="Y42" s="173"/>
      <c r="Z42" s="172"/>
      <c r="AA42" s="433" t="str">
        <f>IF($B42="","",IF(INDEX(BDHKI,MATCH(DiemHKII!$C42,DiemHKI!$DI$4:$DI$58,0),AA$67)&lt;&gt;"",INDEX(BDHKI,MATCH(DiemHKII!$C42,DiemHKI!$DI$4:$DI$58,0),AA$67),""))</f>
        <v/>
      </c>
      <c r="AB42" s="433" t="str">
        <f t="shared" si="3"/>
        <v/>
      </c>
      <c r="AC42" s="434" t="str">
        <f t="shared" si="4"/>
        <v/>
      </c>
      <c r="AD42" s="172"/>
      <c r="AE42" s="170"/>
      <c r="AF42" s="170"/>
      <c r="AG42" s="550"/>
      <c r="AH42" s="173"/>
      <c r="AI42" s="172"/>
      <c r="AJ42" s="408" t="str">
        <f>IF($B42="","",IF(INDEX(BDHKI,MATCH(DiemHKII!$C42,DiemHKI!$DI$4:$DI$58,0),AJ$67)&lt;&gt;"",INDEX(BDHKI,MATCH(DiemHKII!$C42,DiemHKI!$DI$4:$DI$58,0),AJ$67),""))</f>
        <v/>
      </c>
      <c r="AK42" s="408" t="str">
        <f t="shared" si="5"/>
        <v/>
      </c>
      <c r="AL42" s="409" t="str">
        <f t="shared" si="6"/>
        <v/>
      </c>
      <c r="AM42" s="172"/>
      <c r="AN42" s="170"/>
      <c r="AO42" s="170"/>
      <c r="AP42" s="550"/>
      <c r="AQ42" s="173"/>
      <c r="AR42" s="172"/>
      <c r="AS42" s="433" t="str">
        <f>IF($B42="","",IF(INDEX(BDHKI,MATCH(DiemHKII!$C42,DiemHKI!$DI$4:$DI$58,0),AS$67)&lt;&gt;"",INDEX(BDHKI,MATCH(DiemHKII!$C42,DiemHKI!$DI$4:$DI$58,0),AS$67),""))</f>
        <v/>
      </c>
      <c r="AT42" s="433" t="str">
        <f t="shared" si="7"/>
        <v/>
      </c>
      <c r="AU42" s="434" t="str">
        <f t="shared" si="8"/>
        <v/>
      </c>
      <c r="AV42" s="172"/>
      <c r="AW42" s="170"/>
      <c r="AX42" s="170"/>
      <c r="AY42" s="550"/>
      <c r="AZ42" s="173"/>
      <c r="BA42" s="172"/>
      <c r="BB42" s="408" t="str">
        <f>IF($B42="","",IF(INDEX(BDHKI,MATCH(DiemHKII!$C42,DiemHKI!$DI$4:$DI$58,0),BB$67)&lt;&gt;"",INDEX(BDHKI,MATCH(DiemHKII!$C42,DiemHKI!$DI$4:$DI$58,0),BB$67),""))</f>
        <v/>
      </c>
      <c r="BC42" s="408" t="str">
        <f t="shared" si="9"/>
        <v/>
      </c>
      <c r="BD42" s="409" t="str">
        <f t="shared" si="10"/>
        <v/>
      </c>
      <c r="BE42" s="172"/>
      <c r="BF42" s="170"/>
      <c r="BG42" s="170"/>
      <c r="BH42" s="550"/>
      <c r="BI42" s="173"/>
      <c r="BJ42" s="172"/>
      <c r="BK42" s="433" t="str">
        <f>IF($B42="","",IF(INDEX(BDHKI,MATCH(DiemHKII!$C42,DiemHKI!$DI$4:$DI$58,0),BK$67)&lt;&gt;"",INDEX(BDHKI,MATCH(DiemHKII!$C42,DiemHKI!$DI$4:$DI$58,0),BK$67),""))</f>
        <v/>
      </c>
      <c r="BL42" s="433" t="str">
        <f t="shared" si="11"/>
        <v/>
      </c>
      <c r="BM42" s="434" t="str">
        <f t="shared" si="12"/>
        <v/>
      </c>
      <c r="BN42" s="172"/>
      <c r="BO42" s="170"/>
      <c r="BP42" s="170"/>
      <c r="BQ42" s="550"/>
      <c r="BR42" s="173"/>
      <c r="BS42" s="172"/>
      <c r="BT42" s="408" t="str">
        <f>IF($B42="","",IF(INDEX(BDHKI,MATCH(DiemHKII!$C42,DiemHKI!$DI$4:$DI$58,0),BT$67)&lt;&gt;"",INDEX(BDHKI,MATCH(DiemHKII!$C42,DiemHKI!$DI$4:$DI$58,0),BT$67),""))</f>
        <v/>
      </c>
      <c r="BU42" s="408" t="str">
        <f t="shared" si="13"/>
        <v/>
      </c>
      <c r="BV42" s="409" t="str">
        <f t="shared" si="14"/>
        <v/>
      </c>
      <c r="BW42" s="172"/>
      <c r="BX42" s="170"/>
      <c r="BY42" s="170"/>
      <c r="BZ42" s="550"/>
      <c r="CA42" s="173"/>
      <c r="CB42" s="172"/>
      <c r="CC42" s="408" t="str">
        <f>IF($B42="","",IF(INDEX(BDHKI,MATCH(DiemHKII!$C42,DiemHKI!$DI$4:$DI$58,0),CC$67)&lt;&gt;"",INDEX(BDHKI,MATCH(DiemHKII!$C42,DiemHKI!$DI$4:$DI$58,0),CC$67),""))</f>
        <v/>
      </c>
      <c r="CD42" s="408" t="str">
        <f t="shared" si="15"/>
        <v/>
      </c>
      <c r="CE42" s="409" t="str">
        <f t="shared" si="16"/>
        <v/>
      </c>
      <c r="CF42" s="172"/>
      <c r="CG42" s="170"/>
      <c r="CH42" s="170"/>
      <c r="CI42" s="550"/>
      <c r="CJ42" s="173"/>
      <c r="CK42" s="172"/>
      <c r="CL42" s="433" t="str">
        <f>IF($B42="","",IF(INDEX(BDHKI,MATCH(DiemHKII!$C42,DiemHKI!$DI$4:$DI$58,0),CL$67)&lt;&gt;"",INDEX(BDHKI,MATCH(DiemHKII!$C42,DiemHKI!$DI$4:$DI$58,0),CL$67),""))</f>
        <v/>
      </c>
      <c r="CM42" s="433" t="str">
        <f t="shared" si="17"/>
        <v/>
      </c>
      <c r="CN42" s="434" t="str">
        <f t="shared" si="18"/>
        <v/>
      </c>
      <c r="CO42" s="172"/>
      <c r="CP42" s="170"/>
      <c r="CQ42" s="170"/>
      <c r="CR42" s="550"/>
      <c r="CS42" s="173"/>
      <c r="CT42" s="172"/>
      <c r="CU42" s="408" t="str">
        <f>IF($B42="","",IF(INDEX(BDHKI,MATCH(DiemHKII!$C42,DiemHKI!$DI$4:$DI$58,0),CU$67)&lt;&gt;"",INDEX(BDHKI,MATCH(DiemHKII!$C42,DiemHKI!$DI$4:$DI$58,0),CU$67),""))</f>
        <v/>
      </c>
      <c r="CV42" s="408" t="str">
        <f t="shared" si="19"/>
        <v/>
      </c>
      <c r="CW42" s="409" t="str">
        <f t="shared" si="20"/>
        <v/>
      </c>
      <c r="CX42" s="172"/>
      <c r="CY42" s="170"/>
      <c r="CZ42" s="170"/>
      <c r="DA42" s="550"/>
      <c r="DB42" s="173"/>
      <c r="DC42" s="172"/>
      <c r="DD42" s="433" t="str">
        <f>IF($B42="","",IF(INDEX(BDHKI,MATCH(DiemHKII!$C42,DiemHKI!$DI$4:$DI$58,0),DD$67)&lt;&gt;"",INDEX(BDHKI,MATCH(DiemHKII!$C42,DiemHKI!$DI$4:$DI$58,0),DD$67),""))</f>
        <v/>
      </c>
      <c r="DE42" s="433" t="str">
        <f t="shared" si="21"/>
        <v/>
      </c>
      <c r="DF42" s="434" t="str">
        <f t="shared" si="22"/>
        <v/>
      </c>
      <c r="DG42" s="174"/>
      <c r="DH42" s="175"/>
      <c r="DI42" s="175"/>
      <c r="DJ42" s="176"/>
      <c r="DK42" s="177"/>
      <c r="DL42" s="178"/>
      <c r="DM42" s="532" t="str">
        <f>IF($B42="","",IF(INDEX(BDHKI,MATCH(DiemHKII!$C42,DiemHKI!$DI$4:$DI$58,0),DM$67)&lt;&gt;"",INDEX(BDHKI,MATCH(DiemHKII!$C42,DiemHKI!$DI$4:$DI$58,0),DM$67),""))</f>
        <v/>
      </c>
      <c r="DN42" s="532" t="str">
        <f t="shared" si="23"/>
        <v/>
      </c>
      <c r="DO42" s="532" t="str">
        <f t="shared" si="24"/>
        <v/>
      </c>
      <c r="DP42" s="172"/>
      <c r="DQ42" s="170"/>
      <c r="DR42" s="170"/>
      <c r="DS42" s="550"/>
      <c r="DT42" s="173"/>
      <c r="DU42" s="172"/>
      <c r="DV42" s="433" t="str">
        <f>IF($B42="","",IF(INDEX(BDHKI,MATCH(DiemHKII!$C42,DiemHKI!$DI$4:$DI$58,0),DV$67)&lt;&gt;"",INDEX(BDHKI,MATCH(DiemHKII!$C42,DiemHKI!$DI$4:$DI$58,0),DV$67),""))</f>
        <v/>
      </c>
      <c r="DW42" s="433" t="str">
        <f t="shared" si="25"/>
        <v/>
      </c>
      <c r="DX42" s="434" t="str">
        <f t="shared" si="26"/>
        <v/>
      </c>
      <c r="DY42" s="172"/>
      <c r="DZ42" s="170"/>
      <c r="EA42" s="170"/>
      <c r="EB42" s="550"/>
      <c r="EC42" s="173"/>
      <c r="ED42" s="172"/>
      <c r="EE42" s="408" t="str">
        <f>IF($B42="","",IF(INDEX(BDHKI,MATCH(DiemHKII!$C42,DiemHKI!$DI$4:$DI$58,0),EE$67)&lt;&gt;"",INDEX(BDHKI,MATCH(DiemHKII!$C42,DiemHKI!$DI$4:$DI$58,0),EE$67),""))</f>
        <v/>
      </c>
      <c r="EF42" s="408" t="str">
        <f t="shared" si="27"/>
        <v/>
      </c>
      <c r="EG42" s="409" t="str">
        <f t="shared" si="28"/>
        <v/>
      </c>
      <c r="EH42" s="162"/>
      <c r="EI42" s="163"/>
      <c r="EJ42" s="164"/>
      <c r="EK42" s="165"/>
    </row>
    <row r="43" spans="1:141" s="30" customFormat="1" ht="15.9" customHeight="1">
      <c r="B43" s="105" t="str">
        <f>IF(D43&lt;&gt;"",MAX($B$4:B42)+1,"")</f>
        <v/>
      </c>
      <c r="C43" s="340" t="str">
        <f t="shared" si="0"/>
        <v/>
      </c>
      <c r="D43" s="179"/>
      <c r="E43" s="180"/>
      <c r="F43" s="181"/>
      <c r="G43" s="182"/>
      <c r="H43" s="182"/>
      <c r="I43" s="551"/>
      <c r="J43" s="179"/>
      <c r="K43" s="179"/>
      <c r="L43" s="187"/>
      <c r="M43" s="185"/>
      <c r="N43" s="185"/>
      <c r="O43" s="552"/>
      <c r="P43" s="188"/>
      <c r="Q43" s="187"/>
      <c r="R43" s="410" t="str">
        <f>IF($B43="","",IF(INDEX(BDHKI,MATCH(DiemHKII!$C43,DiemHKI!$DI$4:$DI$58,0),R$67)&lt;&gt;"",INDEX(BDHKI,MATCH(DiemHKII!$C43,DiemHKI!$DI$4:$DI$58,0),R$67),""))</f>
        <v/>
      </c>
      <c r="S43" s="410" t="str">
        <f t="shared" si="1"/>
        <v/>
      </c>
      <c r="T43" s="411" t="str">
        <f t="shared" si="2"/>
        <v/>
      </c>
      <c r="U43" s="187"/>
      <c r="V43" s="185"/>
      <c r="W43" s="185"/>
      <c r="X43" s="552"/>
      <c r="Y43" s="188"/>
      <c r="Z43" s="187"/>
      <c r="AA43" s="435" t="str">
        <f>IF($B43="","",IF(INDEX(BDHKI,MATCH(DiemHKII!$C43,DiemHKI!$DI$4:$DI$58,0),AA$67)&lt;&gt;"",INDEX(BDHKI,MATCH(DiemHKII!$C43,DiemHKI!$DI$4:$DI$58,0),AA$67),""))</f>
        <v/>
      </c>
      <c r="AB43" s="435" t="str">
        <f t="shared" si="3"/>
        <v/>
      </c>
      <c r="AC43" s="436" t="str">
        <f t="shared" si="4"/>
        <v/>
      </c>
      <c r="AD43" s="187"/>
      <c r="AE43" s="185"/>
      <c r="AF43" s="185"/>
      <c r="AG43" s="552"/>
      <c r="AH43" s="188"/>
      <c r="AI43" s="187"/>
      <c r="AJ43" s="410" t="str">
        <f>IF($B43="","",IF(INDEX(BDHKI,MATCH(DiemHKII!$C43,DiemHKI!$DI$4:$DI$58,0),AJ$67)&lt;&gt;"",INDEX(BDHKI,MATCH(DiemHKII!$C43,DiemHKI!$DI$4:$DI$58,0),AJ$67),""))</f>
        <v/>
      </c>
      <c r="AK43" s="410" t="str">
        <f t="shared" si="5"/>
        <v/>
      </c>
      <c r="AL43" s="411" t="str">
        <f t="shared" si="6"/>
        <v/>
      </c>
      <c r="AM43" s="187"/>
      <c r="AN43" s="185"/>
      <c r="AO43" s="185"/>
      <c r="AP43" s="552"/>
      <c r="AQ43" s="188"/>
      <c r="AR43" s="187"/>
      <c r="AS43" s="435" t="str">
        <f>IF($B43="","",IF(INDEX(BDHKI,MATCH(DiemHKII!$C43,DiemHKI!$DI$4:$DI$58,0),AS$67)&lt;&gt;"",INDEX(BDHKI,MATCH(DiemHKII!$C43,DiemHKI!$DI$4:$DI$58,0),AS$67),""))</f>
        <v/>
      </c>
      <c r="AT43" s="435" t="str">
        <f t="shared" si="7"/>
        <v/>
      </c>
      <c r="AU43" s="436" t="str">
        <f t="shared" si="8"/>
        <v/>
      </c>
      <c r="AV43" s="187"/>
      <c r="AW43" s="185"/>
      <c r="AX43" s="185"/>
      <c r="AY43" s="552"/>
      <c r="AZ43" s="188"/>
      <c r="BA43" s="187"/>
      <c r="BB43" s="410" t="str">
        <f>IF($B43="","",IF(INDEX(BDHKI,MATCH(DiemHKII!$C43,DiemHKI!$DI$4:$DI$58,0),BB$67)&lt;&gt;"",INDEX(BDHKI,MATCH(DiemHKII!$C43,DiemHKI!$DI$4:$DI$58,0),BB$67),""))</f>
        <v/>
      </c>
      <c r="BC43" s="410" t="str">
        <f t="shared" si="9"/>
        <v/>
      </c>
      <c r="BD43" s="411" t="str">
        <f t="shared" si="10"/>
        <v/>
      </c>
      <c r="BE43" s="187"/>
      <c r="BF43" s="185"/>
      <c r="BG43" s="185"/>
      <c r="BH43" s="552"/>
      <c r="BI43" s="188"/>
      <c r="BJ43" s="187"/>
      <c r="BK43" s="435" t="str">
        <f>IF($B43="","",IF(INDEX(BDHKI,MATCH(DiemHKII!$C43,DiemHKI!$DI$4:$DI$58,0),BK$67)&lt;&gt;"",INDEX(BDHKI,MATCH(DiemHKII!$C43,DiemHKI!$DI$4:$DI$58,0),BK$67),""))</f>
        <v/>
      </c>
      <c r="BL43" s="435" t="str">
        <f t="shared" si="11"/>
        <v/>
      </c>
      <c r="BM43" s="436" t="str">
        <f t="shared" si="12"/>
        <v/>
      </c>
      <c r="BN43" s="187"/>
      <c r="BO43" s="185"/>
      <c r="BP43" s="185"/>
      <c r="BQ43" s="552"/>
      <c r="BR43" s="188"/>
      <c r="BS43" s="187"/>
      <c r="BT43" s="410" t="str">
        <f>IF($B43="","",IF(INDEX(BDHKI,MATCH(DiemHKII!$C43,DiemHKI!$DI$4:$DI$58,0),BT$67)&lt;&gt;"",INDEX(BDHKI,MATCH(DiemHKII!$C43,DiemHKI!$DI$4:$DI$58,0),BT$67),""))</f>
        <v/>
      </c>
      <c r="BU43" s="410" t="str">
        <f t="shared" si="13"/>
        <v/>
      </c>
      <c r="BV43" s="411" t="str">
        <f t="shared" si="14"/>
        <v/>
      </c>
      <c r="BW43" s="187"/>
      <c r="BX43" s="185"/>
      <c r="BY43" s="185"/>
      <c r="BZ43" s="552"/>
      <c r="CA43" s="188"/>
      <c r="CB43" s="187"/>
      <c r="CC43" s="410" t="str">
        <f>IF($B43="","",IF(INDEX(BDHKI,MATCH(DiemHKII!$C43,DiemHKI!$DI$4:$DI$58,0),CC$67)&lt;&gt;"",INDEX(BDHKI,MATCH(DiemHKII!$C43,DiemHKI!$DI$4:$DI$58,0),CC$67),""))</f>
        <v/>
      </c>
      <c r="CD43" s="410" t="str">
        <f t="shared" si="15"/>
        <v/>
      </c>
      <c r="CE43" s="411" t="str">
        <f t="shared" si="16"/>
        <v/>
      </c>
      <c r="CF43" s="187"/>
      <c r="CG43" s="185"/>
      <c r="CH43" s="185"/>
      <c r="CI43" s="552"/>
      <c r="CJ43" s="188"/>
      <c r="CK43" s="187"/>
      <c r="CL43" s="435" t="str">
        <f>IF($B43="","",IF(INDEX(BDHKI,MATCH(DiemHKII!$C43,DiemHKI!$DI$4:$DI$58,0),CL$67)&lt;&gt;"",INDEX(BDHKI,MATCH(DiemHKII!$C43,DiemHKI!$DI$4:$DI$58,0),CL$67),""))</f>
        <v/>
      </c>
      <c r="CM43" s="435" t="str">
        <f t="shared" si="17"/>
        <v/>
      </c>
      <c r="CN43" s="436" t="str">
        <f t="shared" si="18"/>
        <v/>
      </c>
      <c r="CO43" s="187"/>
      <c r="CP43" s="185"/>
      <c r="CQ43" s="185"/>
      <c r="CR43" s="552"/>
      <c r="CS43" s="188"/>
      <c r="CT43" s="187"/>
      <c r="CU43" s="410" t="str">
        <f>IF($B43="","",IF(INDEX(BDHKI,MATCH(DiemHKII!$C43,DiemHKI!$DI$4:$DI$58,0),CU$67)&lt;&gt;"",INDEX(BDHKI,MATCH(DiemHKII!$C43,DiemHKI!$DI$4:$DI$58,0),CU$67),""))</f>
        <v/>
      </c>
      <c r="CV43" s="410" t="str">
        <f t="shared" si="19"/>
        <v/>
      </c>
      <c r="CW43" s="411" t="str">
        <f t="shared" si="20"/>
        <v/>
      </c>
      <c r="CX43" s="187"/>
      <c r="CY43" s="185"/>
      <c r="CZ43" s="185"/>
      <c r="DA43" s="552"/>
      <c r="DB43" s="188"/>
      <c r="DC43" s="187"/>
      <c r="DD43" s="435" t="str">
        <f>IF($B43="","",IF(INDEX(BDHKI,MATCH(DiemHKII!$C43,DiemHKI!$DI$4:$DI$58,0),DD$67)&lt;&gt;"",INDEX(BDHKI,MATCH(DiemHKII!$C43,DiemHKI!$DI$4:$DI$58,0),DD$67),""))</f>
        <v/>
      </c>
      <c r="DE43" s="435" t="str">
        <f t="shared" si="21"/>
        <v/>
      </c>
      <c r="DF43" s="436" t="str">
        <f t="shared" si="22"/>
        <v/>
      </c>
      <c r="DG43" s="213"/>
      <c r="DH43" s="214"/>
      <c r="DI43" s="214"/>
      <c r="DJ43" s="215"/>
      <c r="DK43" s="216"/>
      <c r="DL43" s="193"/>
      <c r="DM43" s="533" t="str">
        <f>IF($B43="","",IF(INDEX(BDHKI,MATCH(DiemHKII!$C43,DiemHKI!$DI$4:$DI$58,0),DM$67)&lt;&gt;"",INDEX(BDHKI,MATCH(DiemHKII!$C43,DiemHKI!$DI$4:$DI$58,0),DM$67),""))</f>
        <v/>
      </c>
      <c r="DN43" s="533" t="str">
        <f t="shared" si="23"/>
        <v/>
      </c>
      <c r="DO43" s="533" t="str">
        <f t="shared" si="24"/>
        <v/>
      </c>
      <c r="DP43" s="187"/>
      <c r="DQ43" s="185"/>
      <c r="DR43" s="185"/>
      <c r="DS43" s="552"/>
      <c r="DT43" s="188"/>
      <c r="DU43" s="187"/>
      <c r="DV43" s="435" t="str">
        <f>IF($B43="","",IF(INDEX(BDHKI,MATCH(DiemHKII!$C43,DiemHKI!$DI$4:$DI$58,0),DV$67)&lt;&gt;"",INDEX(BDHKI,MATCH(DiemHKII!$C43,DiemHKI!$DI$4:$DI$58,0),DV$67),""))</f>
        <v/>
      </c>
      <c r="DW43" s="435" t="str">
        <f t="shared" si="25"/>
        <v/>
      </c>
      <c r="DX43" s="436" t="str">
        <f t="shared" si="26"/>
        <v/>
      </c>
      <c r="DY43" s="187"/>
      <c r="DZ43" s="185"/>
      <c r="EA43" s="185"/>
      <c r="EB43" s="552"/>
      <c r="EC43" s="188"/>
      <c r="ED43" s="187"/>
      <c r="EE43" s="410" t="str">
        <f>IF($B43="","",IF(INDEX(BDHKI,MATCH(DiemHKII!$C43,DiemHKI!$DI$4:$DI$58,0),EE$67)&lt;&gt;"",INDEX(BDHKI,MATCH(DiemHKII!$C43,DiemHKI!$DI$4:$DI$58,0),EE$67),""))</f>
        <v/>
      </c>
      <c r="EF43" s="410" t="str">
        <f t="shared" si="27"/>
        <v/>
      </c>
      <c r="EG43" s="411" t="str">
        <f t="shared" si="28"/>
        <v/>
      </c>
      <c r="EH43" s="194"/>
      <c r="EI43" s="182"/>
      <c r="EJ43" s="183"/>
      <c r="EK43" s="195"/>
    </row>
    <row r="44" spans="1:141" s="30" customFormat="1" ht="15.9" customHeight="1">
      <c r="B44" s="111" t="str">
        <f>IF(D44&lt;&gt;"",MAX($B$4:B43)+1,"")</f>
        <v/>
      </c>
      <c r="C44" s="341" t="str">
        <f t="shared" si="0"/>
        <v/>
      </c>
      <c r="D44" s="196"/>
      <c r="E44" s="197"/>
      <c r="F44" s="198"/>
      <c r="G44" s="199"/>
      <c r="H44" s="199"/>
      <c r="I44" s="553"/>
      <c r="J44" s="196"/>
      <c r="K44" s="196"/>
      <c r="L44" s="204"/>
      <c r="M44" s="202"/>
      <c r="N44" s="202"/>
      <c r="O44" s="554"/>
      <c r="P44" s="205"/>
      <c r="Q44" s="204"/>
      <c r="R44" s="412" t="str">
        <f>IF($B44="","",IF(INDEX(BDHKI,MATCH(DiemHKII!$C44,DiemHKI!$DI$4:$DI$58,0),R$67)&lt;&gt;"",INDEX(BDHKI,MATCH(DiemHKII!$C44,DiemHKI!$DI$4:$DI$58,0),R$67),""))</f>
        <v/>
      </c>
      <c r="S44" s="412" t="str">
        <f t="shared" si="1"/>
        <v/>
      </c>
      <c r="T44" s="413" t="str">
        <f t="shared" si="2"/>
        <v/>
      </c>
      <c r="U44" s="204"/>
      <c r="V44" s="202"/>
      <c r="W44" s="202"/>
      <c r="X44" s="554"/>
      <c r="Y44" s="205"/>
      <c r="Z44" s="204"/>
      <c r="AA44" s="437" t="str">
        <f>IF($B44="","",IF(INDEX(BDHKI,MATCH(DiemHKII!$C44,DiemHKI!$DI$4:$DI$58,0),AA$67)&lt;&gt;"",INDEX(BDHKI,MATCH(DiemHKII!$C44,DiemHKI!$DI$4:$DI$58,0),AA$67),""))</f>
        <v/>
      </c>
      <c r="AB44" s="437" t="str">
        <f t="shared" si="3"/>
        <v/>
      </c>
      <c r="AC44" s="438" t="str">
        <f t="shared" si="4"/>
        <v/>
      </c>
      <c r="AD44" s="204"/>
      <c r="AE44" s="202"/>
      <c r="AF44" s="202"/>
      <c r="AG44" s="554"/>
      <c r="AH44" s="205"/>
      <c r="AI44" s="204"/>
      <c r="AJ44" s="412" t="str">
        <f>IF($B44="","",IF(INDEX(BDHKI,MATCH(DiemHKII!$C44,DiemHKI!$DI$4:$DI$58,0),AJ$67)&lt;&gt;"",INDEX(BDHKI,MATCH(DiemHKII!$C44,DiemHKI!$DI$4:$DI$58,0),AJ$67),""))</f>
        <v/>
      </c>
      <c r="AK44" s="412" t="str">
        <f t="shared" si="5"/>
        <v/>
      </c>
      <c r="AL44" s="413" t="str">
        <f t="shared" si="6"/>
        <v/>
      </c>
      <c r="AM44" s="204"/>
      <c r="AN44" s="202"/>
      <c r="AO44" s="202"/>
      <c r="AP44" s="554"/>
      <c r="AQ44" s="205"/>
      <c r="AR44" s="204"/>
      <c r="AS44" s="437" t="str">
        <f>IF($B44="","",IF(INDEX(BDHKI,MATCH(DiemHKII!$C44,DiemHKI!$DI$4:$DI$58,0),AS$67)&lt;&gt;"",INDEX(BDHKI,MATCH(DiemHKII!$C44,DiemHKI!$DI$4:$DI$58,0),AS$67),""))</f>
        <v/>
      </c>
      <c r="AT44" s="437" t="str">
        <f t="shared" si="7"/>
        <v/>
      </c>
      <c r="AU44" s="438" t="str">
        <f t="shared" si="8"/>
        <v/>
      </c>
      <c r="AV44" s="204"/>
      <c r="AW44" s="202"/>
      <c r="AX44" s="202"/>
      <c r="AY44" s="554"/>
      <c r="AZ44" s="205"/>
      <c r="BA44" s="204"/>
      <c r="BB44" s="412" t="str">
        <f>IF($B44="","",IF(INDEX(BDHKI,MATCH(DiemHKII!$C44,DiemHKI!$DI$4:$DI$58,0),BB$67)&lt;&gt;"",INDEX(BDHKI,MATCH(DiemHKII!$C44,DiemHKI!$DI$4:$DI$58,0),BB$67),""))</f>
        <v/>
      </c>
      <c r="BC44" s="412" t="str">
        <f t="shared" si="9"/>
        <v/>
      </c>
      <c r="BD44" s="413" t="str">
        <f t="shared" si="10"/>
        <v/>
      </c>
      <c r="BE44" s="204"/>
      <c r="BF44" s="202"/>
      <c r="BG44" s="202"/>
      <c r="BH44" s="554"/>
      <c r="BI44" s="205"/>
      <c r="BJ44" s="204"/>
      <c r="BK44" s="437" t="str">
        <f>IF($B44="","",IF(INDEX(BDHKI,MATCH(DiemHKII!$C44,DiemHKI!$DI$4:$DI$58,0),BK$67)&lt;&gt;"",INDEX(BDHKI,MATCH(DiemHKII!$C44,DiemHKI!$DI$4:$DI$58,0),BK$67),""))</f>
        <v/>
      </c>
      <c r="BL44" s="437" t="str">
        <f t="shared" si="11"/>
        <v/>
      </c>
      <c r="BM44" s="438" t="str">
        <f t="shared" si="12"/>
        <v/>
      </c>
      <c r="BN44" s="204"/>
      <c r="BO44" s="202"/>
      <c r="BP44" s="202"/>
      <c r="BQ44" s="554"/>
      <c r="BR44" s="205"/>
      <c r="BS44" s="204"/>
      <c r="BT44" s="412" t="str">
        <f>IF($B44="","",IF(INDEX(BDHKI,MATCH(DiemHKII!$C44,DiemHKI!$DI$4:$DI$58,0),BT$67)&lt;&gt;"",INDEX(BDHKI,MATCH(DiemHKII!$C44,DiemHKI!$DI$4:$DI$58,0),BT$67),""))</f>
        <v/>
      </c>
      <c r="BU44" s="412" t="str">
        <f t="shared" si="13"/>
        <v/>
      </c>
      <c r="BV44" s="413" t="str">
        <f t="shared" si="14"/>
        <v/>
      </c>
      <c r="BW44" s="204"/>
      <c r="BX44" s="202"/>
      <c r="BY44" s="202"/>
      <c r="BZ44" s="554"/>
      <c r="CA44" s="205"/>
      <c r="CB44" s="204"/>
      <c r="CC44" s="412" t="str">
        <f>IF($B44="","",IF(INDEX(BDHKI,MATCH(DiemHKII!$C44,DiemHKI!$DI$4:$DI$58,0),CC$67)&lt;&gt;"",INDEX(BDHKI,MATCH(DiemHKII!$C44,DiemHKI!$DI$4:$DI$58,0),CC$67),""))</f>
        <v/>
      </c>
      <c r="CD44" s="412" t="str">
        <f t="shared" si="15"/>
        <v/>
      </c>
      <c r="CE44" s="413" t="str">
        <f t="shared" si="16"/>
        <v/>
      </c>
      <c r="CF44" s="204"/>
      <c r="CG44" s="202"/>
      <c r="CH44" s="202"/>
      <c r="CI44" s="554"/>
      <c r="CJ44" s="205"/>
      <c r="CK44" s="204"/>
      <c r="CL44" s="437" t="str">
        <f>IF($B44="","",IF(INDEX(BDHKI,MATCH(DiemHKII!$C44,DiemHKI!$DI$4:$DI$58,0),CL$67)&lt;&gt;"",INDEX(BDHKI,MATCH(DiemHKII!$C44,DiemHKI!$DI$4:$DI$58,0),CL$67),""))</f>
        <v/>
      </c>
      <c r="CM44" s="437" t="str">
        <f t="shared" si="17"/>
        <v/>
      </c>
      <c r="CN44" s="438" t="str">
        <f t="shared" si="18"/>
        <v/>
      </c>
      <c r="CO44" s="204"/>
      <c r="CP44" s="202"/>
      <c r="CQ44" s="202"/>
      <c r="CR44" s="554"/>
      <c r="CS44" s="205"/>
      <c r="CT44" s="204"/>
      <c r="CU44" s="412" t="str">
        <f>IF($B44="","",IF(INDEX(BDHKI,MATCH(DiemHKII!$C44,DiemHKI!$DI$4:$DI$58,0),CU$67)&lt;&gt;"",INDEX(BDHKI,MATCH(DiemHKII!$C44,DiemHKI!$DI$4:$DI$58,0),CU$67),""))</f>
        <v/>
      </c>
      <c r="CV44" s="412" t="str">
        <f t="shared" si="19"/>
        <v/>
      </c>
      <c r="CW44" s="413" t="str">
        <f t="shared" si="20"/>
        <v/>
      </c>
      <c r="CX44" s="204"/>
      <c r="CY44" s="202"/>
      <c r="CZ44" s="202"/>
      <c r="DA44" s="554"/>
      <c r="DB44" s="205"/>
      <c r="DC44" s="204"/>
      <c r="DD44" s="437" t="str">
        <f>IF($B44="","",IF(INDEX(BDHKI,MATCH(DiemHKII!$C44,DiemHKI!$DI$4:$DI$58,0),DD$67)&lt;&gt;"",INDEX(BDHKI,MATCH(DiemHKII!$C44,DiemHKI!$DI$4:$DI$58,0),DD$67),""))</f>
        <v/>
      </c>
      <c r="DE44" s="437" t="str">
        <f t="shared" si="21"/>
        <v/>
      </c>
      <c r="DF44" s="438" t="str">
        <f t="shared" si="22"/>
        <v/>
      </c>
      <c r="DG44" s="206"/>
      <c r="DH44" s="207"/>
      <c r="DI44" s="207"/>
      <c r="DJ44" s="208"/>
      <c r="DK44" s="209"/>
      <c r="DL44" s="210"/>
      <c r="DM44" s="531" t="str">
        <f>IF($B44="","",IF(INDEX(BDHKI,MATCH(DiemHKII!$C44,DiemHKI!$DI$4:$DI$58,0),DM$67)&lt;&gt;"",INDEX(BDHKI,MATCH(DiemHKII!$C44,DiemHKI!$DI$4:$DI$58,0),DM$67),""))</f>
        <v/>
      </c>
      <c r="DN44" s="531" t="str">
        <f t="shared" si="23"/>
        <v/>
      </c>
      <c r="DO44" s="531" t="str">
        <f t="shared" si="24"/>
        <v/>
      </c>
      <c r="DP44" s="204"/>
      <c r="DQ44" s="202"/>
      <c r="DR44" s="202"/>
      <c r="DS44" s="554"/>
      <c r="DT44" s="205"/>
      <c r="DU44" s="204"/>
      <c r="DV44" s="437" t="str">
        <f>IF($B44="","",IF(INDEX(BDHKI,MATCH(DiemHKII!$C44,DiemHKI!$DI$4:$DI$58,0),DV$67)&lt;&gt;"",INDEX(BDHKI,MATCH(DiemHKII!$C44,DiemHKI!$DI$4:$DI$58,0),DV$67),""))</f>
        <v/>
      </c>
      <c r="DW44" s="437" t="str">
        <f t="shared" si="25"/>
        <v/>
      </c>
      <c r="DX44" s="438" t="str">
        <f t="shared" si="26"/>
        <v/>
      </c>
      <c r="DY44" s="204"/>
      <c r="DZ44" s="202"/>
      <c r="EA44" s="202"/>
      <c r="EB44" s="554"/>
      <c r="EC44" s="205"/>
      <c r="ED44" s="204"/>
      <c r="EE44" s="412" t="str">
        <f>IF($B44="","",IF(INDEX(BDHKI,MATCH(DiemHKII!$C44,DiemHKI!$DI$4:$DI$58,0),EE$67)&lt;&gt;"",INDEX(BDHKI,MATCH(DiemHKII!$C44,DiemHKI!$DI$4:$DI$58,0),EE$67),""))</f>
        <v/>
      </c>
      <c r="EF44" s="412" t="str">
        <f t="shared" si="27"/>
        <v/>
      </c>
      <c r="EG44" s="413" t="str">
        <f t="shared" si="28"/>
        <v/>
      </c>
      <c r="EH44" s="211"/>
      <c r="EI44" s="199"/>
      <c r="EJ44" s="200"/>
      <c r="EK44" s="212"/>
    </row>
    <row r="45" spans="1:141" s="30" customFormat="1" ht="15.9" customHeight="1">
      <c r="B45" s="99" t="str">
        <f>IF(D45&lt;&gt;"",MAX($B$4:B44)+1,"")</f>
        <v/>
      </c>
      <c r="C45" s="339" t="str">
        <f t="shared" si="0"/>
        <v/>
      </c>
      <c r="D45" s="166"/>
      <c r="E45" s="167"/>
      <c r="F45" s="168"/>
      <c r="G45" s="163"/>
      <c r="H45" s="163"/>
      <c r="I45" s="549"/>
      <c r="J45" s="166"/>
      <c r="K45" s="166"/>
      <c r="L45" s="172"/>
      <c r="M45" s="170"/>
      <c r="N45" s="170"/>
      <c r="O45" s="550"/>
      <c r="P45" s="173"/>
      <c r="Q45" s="172"/>
      <c r="R45" s="408" t="str">
        <f>IF($B45="","",IF(INDEX(BDHKI,MATCH(DiemHKII!$C45,DiemHKI!$DI$4:$DI$58,0),R$67)&lt;&gt;"",INDEX(BDHKI,MATCH(DiemHKII!$C45,DiemHKI!$DI$4:$DI$58,0),R$67),""))</f>
        <v/>
      </c>
      <c r="S45" s="408" t="str">
        <f t="shared" si="1"/>
        <v/>
      </c>
      <c r="T45" s="409" t="str">
        <f t="shared" si="2"/>
        <v/>
      </c>
      <c r="U45" s="172"/>
      <c r="V45" s="170"/>
      <c r="W45" s="170"/>
      <c r="X45" s="550"/>
      <c r="Y45" s="173"/>
      <c r="Z45" s="172"/>
      <c r="AA45" s="433" t="str">
        <f>IF($B45="","",IF(INDEX(BDHKI,MATCH(DiemHKII!$C45,DiemHKI!$DI$4:$DI$58,0),AA$67)&lt;&gt;"",INDEX(BDHKI,MATCH(DiemHKII!$C45,DiemHKI!$DI$4:$DI$58,0),AA$67),""))</f>
        <v/>
      </c>
      <c r="AB45" s="433" t="str">
        <f t="shared" si="3"/>
        <v/>
      </c>
      <c r="AC45" s="434" t="str">
        <f t="shared" si="4"/>
        <v/>
      </c>
      <c r="AD45" s="172"/>
      <c r="AE45" s="170"/>
      <c r="AF45" s="170"/>
      <c r="AG45" s="550"/>
      <c r="AH45" s="173"/>
      <c r="AI45" s="172"/>
      <c r="AJ45" s="408" t="str">
        <f>IF($B45="","",IF(INDEX(BDHKI,MATCH(DiemHKII!$C45,DiemHKI!$DI$4:$DI$58,0),AJ$67)&lt;&gt;"",INDEX(BDHKI,MATCH(DiemHKII!$C45,DiemHKI!$DI$4:$DI$58,0),AJ$67),""))</f>
        <v/>
      </c>
      <c r="AK45" s="408" t="str">
        <f t="shared" si="5"/>
        <v/>
      </c>
      <c r="AL45" s="409" t="str">
        <f t="shared" si="6"/>
        <v/>
      </c>
      <c r="AM45" s="172"/>
      <c r="AN45" s="170"/>
      <c r="AO45" s="170"/>
      <c r="AP45" s="550"/>
      <c r="AQ45" s="173"/>
      <c r="AR45" s="172"/>
      <c r="AS45" s="433" t="str">
        <f>IF($B45="","",IF(INDEX(BDHKI,MATCH(DiemHKII!$C45,DiemHKI!$DI$4:$DI$58,0),AS$67)&lt;&gt;"",INDEX(BDHKI,MATCH(DiemHKII!$C45,DiemHKI!$DI$4:$DI$58,0),AS$67),""))</f>
        <v/>
      </c>
      <c r="AT45" s="433" t="str">
        <f t="shared" si="7"/>
        <v/>
      </c>
      <c r="AU45" s="434" t="str">
        <f t="shared" si="8"/>
        <v/>
      </c>
      <c r="AV45" s="172"/>
      <c r="AW45" s="170"/>
      <c r="AX45" s="170"/>
      <c r="AY45" s="550"/>
      <c r="AZ45" s="173"/>
      <c r="BA45" s="172"/>
      <c r="BB45" s="408" t="str">
        <f>IF($B45="","",IF(INDEX(BDHKI,MATCH(DiemHKII!$C45,DiemHKI!$DI$4:$DI$58,0),BB$67)&lt;&gt;"",INDEX(BDHKI,MATCH(DiemHKII!$C45,DiemHKI!$DI$4:$DI$58,0),BB$67),""))</f>
        <v/>
      </c>
      <c r="BC45" s="408" t="str">
        <f t="shared" si="9"/>
        <v/>
      </c>
      <c r="BD45" s="409" t="str">
        <f t="shared" si="10"/>
        <v/>
      </c>
      <c r="BE45" s="172"/>
      <c r="BF45" s="170"/>
      <c r="BG45" s="170"/>
      <c r="BH45" s="550"/>
      <c r="BI45" s="173"/>
      <c r="BJ45" s="172"/>
      <c r="BK45" s="433" t="str">
        <f>IF($B45="","",IF(INDEX(BDHKI,MATCH(DiemHKII!$C45,DiemHKI!$DI$4:$DI$58,0),BK$67)&lt;&gt;"",INDEX(BDHKI,MATCH(DiemHKII!$C45,DiemHKI!$DI$4:$DI$58,0),BK$67),""))</f>
        <v/>
      </c>
      <c r="BL45" s="433" t="str">
        <f t="shared" si="11"/>
        <v/>
      </c>
      <c r="BM45" s="434" t="str">
        <f t="shared" si="12"/>
        <v/>
      </c>
      <c r="BN45" s="172"/>
      <c r="BO45" s="170"/>
      <c r="BP45" s="170"/>
      <c r="BQ45" s="550"/>
      <c r="BR45" s="173"/>
      <c r="BS45" s="172"/>
      <c r="BT45" s="408" t="str">
        <f>IF($B45="","",IF(INDEX(BDHKI,MATCH(DiemHKII!$C45,DiemHKI!$DI$4:$DI$58,0),BT$67)&lt;&gt;"",INDEX(BDHKI,MATCH(DiemHKII!$C45,DiemHKI!$DI$4:$DI$58,0),BT$67),""))</f>
        <v/>
      </c>
      <c r="BU45" s="408" t="str">
        <f t="shared" si="13"/>
        <v/>
      </c>
      <c r="BV45" s="409" t="str">
        <f t="shared" si="14"/>
        <v/>
      </c>
      <c r="BW45" s="172"/>
      <c r="BX45" s="170"/>
      <c r="BY45" s="170"/>
      <c r="BZ45" s="550"/>
      <c r="CA45" s="173"/>
      <c r="CB45" s="172"/>
      <c r="CC45" s="408" t="str">
        <f>IF($B45="","",IF(INDEX(BDHKI,MATCH(DiemHKII!$C45,DiemHKI!$DI$4:$DI$58,0),CC$67)&lt;&gt;"",INDEX(BDHKI,MATCH(DiemHKII!$C45,DiemHKI!$DI$4:$DI$58,0),CC$67),""))</f>
        <v/>
      </c>
      <c r="CD45" s="408" t="str">
        <f t="shared" si="15"/>
        <v/>
      </c>
      <c r="CE45" s="409" t="str">
        <f t="shared" si="16"/>
        <v/>
      </c>
      <c r="CF45" s="172"/>
      <c r="CG45" s="170"/>
      <c r="CH45" s="170"/>
      <c r="CI45" s="550"/>
      <c r="CJ45" s="173"/>
      <c r="CK45" s="172"/>
      <c r="CL45" s="433" t="str">
        <f>IF($B45="","",IF(INDEX(BDHKI,MATCH(DiemHKII!$C45,DiemHKI!$DI$4:$DI$58,0),CL$67)&lt;&gt;"",INDEX(BDHKI,MATCH(DiemHKII!$C45,DiemHKI!$DI$4:$DI$58,0),CL$67),""))</f>
        <v/>
      </c>
      <c r="CM45" s="433" t="str">
        <f t="shared" si="17"/>
        <v/>
      </c>
      <c r="CN45" s="434" t="str">
        <f t="shared" si="18"/>
        <v/>
      </c>
      <c r="CO45" s="172"/>
      <c r="CP45" s="170"/>
      <c r="CQ45" s="170"/>
      <c r="CR45" s="550"/>
      <c r="CS45" s="173"/>
      <c r="CT45" s="172"/>
      <c r="CU45" s="408" t="str">
        <f>IF($B45="","",IF(INDEX(BDHKI,MATCH(DiemHKII!$C45,DiemHKI!$DI$4:$DI$58,0),CU$67)&lt;&gt;"",INDEX(BDHKI,MATCH(DiemHKII!$C45,DiemHKI!$DI$4:$DI$58,0),CU$67),""))</f>
        <v/>
      </c>
      <c r="CV45" s="408" t="str">
        <f t="shared" si="19"/>
        <v/>
      </c>
      <c r="CW45" s="409" t="str">
        <f t="shared" si="20"/>
        <v/>
      </c>
      <c r="CX45" s="172"/>
      <c r="CY45" s="170"/>
      <c r="CZ45" s="170"/>
      <c r="DA45" s="550"/>
      <c r="DB45" s="173"/>
      <c r="DC45" s="172"/>
      <c r="DD45" s="433" t="str">
        <f>IF($B45="","",IF(INDEX(BDHKI,MATCH(DiemHKII!$C45,DiemHKI!$DI$4:$DI$58,0),DD$67)&lt;&gt;"",INDEX(BDHKI,MATCH(DiemHKII!$C45,DiemHKI!$DI$4:$DI$58,0),DD$67),""))</f>
        <v/>
      </c>
      <c r="DE45" s="433" t="str">
        <f t="shared" si="21"/>
        <v/>
      </c>
      <c r="DF45" s="434" t="str">
        <f t="shared" si="22"/>
        <v/>
      </c>
      <c r="DG45" s="174"/>
      <c r="DH45" s="175"/>
      <c r="DI45" s="175"/>
      <c r="DJ45" s="176"/>
      <c r="DK45" s="177"/>
      <c r="DL45" s="178"/>
      <c r="DM45" s="532" t="str">
        <f>IF($B45="","",IF(INDEX(BDHKI,MATCH(DiemHKII!$C45,DiemHKI!$DI$4:$DI$58,0),DM$67)&lt;&gt;"",INDEX(BDHKI,MATCH(DiemHKII!$C45,DiemHKI!$DI$4:$DI$58,0),DM$67),""))</f>
        <v/>
      </c>
      <c r="DN45" s="532" t="str">
        <f t="shared" si="23"/>
        <v/>
      </c>
      <c r="DO45" s="532" t="str">
        <f t="shared" si="24"/>
        <v/>
      </c>
      <c r="DP45" s="172"/>
      <c r="DQ45" s="170"/>
      <c r="DR45" s="170"/>
      <c r="DS45" s="550"/>
      <c r="DT45" s="173"/>
      <c r="DU45" s="172"/>
      <c r="DV45" s="433" t="str">
        <f>IF($B45="","",IF(INDEX(BDHKI,MATCH(DiemHKII!$C45,DiemHKI!$DI$4:$DI$58,0),DV$67)&lt;&gt;"",INDEX(BDHKI,MATCH(DiemHKII!$C45,DiemHKI!$DI$4:$DI$58,0),DV$67),""))</f>
        <v/>
      </c>
      <c r="DW45" s="433" t="str">
        <f t="shared" si="25"/>
        <v/>
      </c>
      <c r="DX45" s="434" t="str">
        <f t="shared" si="26"/>
        <v/>
      </c>
      <c r="DY45" s="172"/>
      <c r="DZ45" s="170"/>
      <c r="EA45" s="170"/>
      <c r="EB45" s="550"/>
      <c r="EC45" s="173"/>
      <c r="ED45" s="172"/>
      <c r="EE45" s="408" t="str">
        <f>IF($B45="","",IF(INDEX(BDHKI,MATCH(DiemHKII!$C45,DiemHKI!$DI$4:$DI$58,0),EE$67)&lt;&gt;"",INDEX(BDHKI,MATCH(DiemHKII!$C45,DiemHKI!$DI$4:$DI$58,0),EE$67),""))</f>
        <v/>
      </c>
      <c r="EF45" s="408" t="str">
        <f t="shared" si="27"/>
        <v/>
      </c>
      <c r="EG45" s="409" t="str">
        <f t="shared" si="28"/>
        <v/>
      </c>
      <c r="EH45" s="162"/>
      <c r="EI45" s="163"/>
      <c r="EJ45" s="164"/>
      <c r="EK45" s="165"/>
    </row>
    <row r="46" spans="1:141" s="30" customFormat="1" ht="15.9" customHeight="1">
      <c r="B46" s="99" t="str">
        <f>IF(D46&lt;&gt;"",MAX($B$4:B45)+1,"")</f>
        <v/>
      </c>
      <c r="C46" s="339" t="str">
        <f t="shared" si="0"/>
        <v/>
      </c>
      <c r="D46" s="166"/>
      <c r="E46" s="167"/>
      <c r="F46" s="168"/>
      <c r="G46" s="163"/>
      <c r="H46" s="163"/>
      <c r="I46" s="549"/>
      <c r="J46" s="166"/>
      <c r="K46" s="166"/>
      <c r="L46" s="172"/>
      <c r="M46" s="170"/>
      <c r="N46" s="170"/>
      <c r="O46" s="550"/>
      <c r="P46" s="173"/>
      <c r="Q46" s="172"/>
      <c r="R46" s="408" t="str">
        <f>IF($B46="","",IF(INDEX(BDHKI,MATCH(DiemHKII!$C46,DiemHKI!$DI$4:$DI$58,0),R$67)&lt;&gt;"",INDEX(BDHKI,MATCH(DiemHKII!$C46,DiemHKI!$DI$4:$DI$58,0),R$67),""))</f>
        <v/>
      </c>
      <c r="S46" s="408" t="str">
        <f t="shared" si="1"/>
        <v/>
      </c>
      <c r="T46" s="409" t="str">
        <f t="shared" si="2"/>
        <v/>
      </c>
      <c r="U46" s="172"/>
      <c r="V46" s="170"/>
      <c r="W46" s="170"/>
      <c r="X46" s="550"/>
      <c r="Y46" s="173"/>
      <c r="Z46" s="172"/>
      <c r="AA46" s="433" t="str">
        <f>IF($B46="","",IF(INDEX(BDHKI,MATCH(DiemHKII!$C46,DiemHKI!$DI$4:$DI$58,0),AA$67)&lt;&gt;"",INDEX(BDHKI,MATCH(DiemHKII!$C46,DiemHKI!$DI$4:$DI$58,0),AA$67),""))</f>
        <v/>
      </c>
      <c r="AB46" s="433" t="str">
        <f t="shared" si="3"/>
        <v/>
      </c>
      <c r="AC46" s="434" t="str">
        <f t="shared" si="4"/>
        <v/>
      </c>
      <c r="AD46" s="172"/>
      <c r="AE46" s="170"/>
      <c r="AF46" s="170"/>
      <c r="AG46" s="550"/>
      <c r="AH46" s="173"/>
      <c r="AI46" s="172"/>
      <c r="AJ46" s="408" t="str">
        <f>IF($B46="","",IF(INDEX(BDHKI,MATCH(DiemHKII!$C46,DiemHKI!$DI$4:$DI$58,0),AJ$67)&lt;&gt;"",INDEX(BDHKI,MATCH(DiemHKII!$C46,DiemHKI!$DI$4:$DI$58,0),AJ$67),""))</f>
        <v/>
      </c>
      <c r="AK46" s="408" t="str">
        <f t="shared" si="5"/>
        <v/>
      </c>
      <c r="AL46" s="409" t="str">
        <f t="shared" si="6"/>
        <v/>
      </c>
      <c r="AM46" s="172"/>
      <c r="AN46" s="170"/>
      <c r="AO46" s="170"/>
      <c r="AP46" s="550"/>
      <c r="AQ46" s="173"/>
      <c r="AR46" s="172"/>
      <c r="AS46" s="433" t="str">
        <f>IF($B46="","",IF(INDEX(BDHKI,MATCH(DiemHKII!$C46,DiemHKI!$DI$4:$DI$58,0),AS$67)&lt;&gt;"",INDEX(BDHKI,MATCH(DiemHKII!$C46,DiemHKI!$DI$4:$DI$58,0),AS$67),""))</f>
        <v/>
      </c>
      <c r="AT46" s="433" t="str">
        <f t="shared" si="7"/>
        <v/>
      </c>
      <c r="AU46" s="434" t="str">
        <f t="shared" si="8"/>
        <v/>
      </c>
      <c r="AV46" s="172"/>
      <c r="AW46" s="170"/>
      <c r="AX46" s="170"/>
      <c r="AY46" s="550"/>
      <c r="AZ46" s="173"/>
      <c r="BA46" s="172"/>
      <c r="BB46" s="408" t="str">
        <f>IF($B46="","",IF(INDEX(BDHKI,MATCH(DiemHKII!$C46,DiemHKI!$DI$4:$DI$58,0),BB$67)&lt;&gt;"",INDEX(BDHKI,MATCH(DiemHKII!$C46,DiemHKI!$DI$4:$DI$58,0),BB$67),""))</f>
        <v/>
      </c>
      <c r="BC46" s="408" t="str">
        <f t="shared" si="9"/>
        <v/>
      </c>
      <c r="BD46" s="409" t="str">
        <f t="shared" si="10"/>
        <v/>
      </c>
      <c r="BE46" s="172"/>
      <c r="BF46" s="170"/>
      <c r="BG46" s="170"/>
      <c r="BH46" s="550"/>
      <c r="BI46" s="173"/>
      <c r="BJ46" s="172"/>
      <c r="BK46" s="433" t="str">
        <f>IF($B46="","",IF(INDEX(BDHKI,MATCH(DiemHKII!$C46,DiemHKI!$DI$4:$DI$58,0),BK$67)&lt;&gt;"",INDEX(BDHKI,MATCH(DiemHKII!$C46,DiemHKI!$DI$4:$DI$58,0),BK$67),""))</f>
        <v/>
      </c>
      <c r="BL46" s="433" t="str">
        <f t="shared" si="11"/>
        <v/>
      </c>
      <c r="BM46" s="434" t="str">
        <f t="shared" si="12"/>
        <v/>
      </c>
      <c r="BN46" s="172"/>
      <c r="BO46" s="170"/>
      <c r="BP46" s="170"/>
      <c r="BQ46" s="550"/>
      <c r="BR46" s="173"/>
      <c r="BS46" s="172"/>
      <c r="BT46" s="408" t="str">
        <f>IF($B46="","",IF(INDEX(BDHKI,MATCH(DiemHKII!$C46,DiemHKI!$DI$4:$DI$58,0),BT$67)&lt;&gt;"",INDEX(BDHKI,MATCH(DiemHKII!$C46,DiemHKI!$DI$4:$DI$58,0),BT$67),""))</f>
        <v/>
      </c>
      <c r="BU46" s="408" t="str">
        <f t="shared" si="13"/>
        <v/>
      </c>
      <c r="BV46" s="409" t="str">
        <f t="shared" si="14"/>
        <v/>
      </c>
      <c r="BW46" s="172"/>
      <c r="BX46" s="170"/>
      <c r="BY46" s="170"/>
      <c r="BZ46" s="550"/>
      <c r="CA46" s="173"/>
      <c r="CB46" s="172"/>
      <c r="CC46" s="408" t="str">
        <f>IF($B46="","",IF(INDEX(BDHKI,MATCH(DiemHKII!$C46,DiemHKI!$DI$4:$DI$58,0),CC$67)&lt;&gt;"",INDEX(BDHKI,MATCH(DiemHKII!$C46,DiemHKI!$DI$4:$DI$58,0),CC$67),""))</f>
        <v/>
      </c>
      <c r="CD46" s="408" t="str">
        <f t="shared" si="15"/>
        <v/>
      </c>
      <c r="CE46" s="409" t="str">
        <f t="shared" si="16"/>
        <v/>
      </c>
      <c r="CF46" s="172"/>
      <c r="CG46" s="170"/>
      <c r="CH46" s="170"/>
      <c r="CI46" s="550"/>
      <c r="CJ46" s="173"/>
      <c r="CK46" s="172"/>
      <c r="CL46" s="433" t="str">
        <f>IF($B46="","",IF(INDEX(BDHKI,MATCH(DiemHKII!$C46,DiemHKI!$DI$4:$DI$58,0),CL$67)&lt;&gt;"",INDEX(BDHKI,MATCH(DiemHKII!$C46,DiemHKI!$DI$4:$DI$58,0),CL$67),""))</f>
        <v/>
      </c>
      <c r="CM46" s="433" t="str">
        <f t="shared" si="17"/>
        <v/>
      </c>
      <c r="CN46" s="434" t="str">
        <f t="shared" si="18"/>
        <v/>
      </c>
      <c r="CO46" s="172"/>
      <c r="CP46" s="170"/>
      <c r="CQ46" s="170"/>
      <c r="CR46" s="550"/>
      <c r="CS46" s="173"/>
      <c r="CT46" s="172"/>
      <c r="CU46" s="408" t="str">
        <f>IF($B46="","",IF(INDEX(BDHKI,MATCH(DiemHKII!$C46,DiemHKI!$DI$4:$DI$58,0),CU$67)&lt;&gt;"",INDEX(BDHKI,MATCH(DiemHKII!$C46,DiemHKI!$DI$4:$DI$58,0),CU$67),""))</f>
        <v/>
      </c>
      <c r="CV46" s="408" t="str">
        <f t="shared" si="19"/>
        <v/>
      </c>
      <c r="CW46" s="409" t="str">
        <f t="shared" si="20"/>
        <v/>
      </c>
      <c r="CX46" s="172"/>
      <c r="CY46" s="170"/>
      <c r="CZ46" s="170"/>
      <c r="DA46" s="550"/>
      <c r="DB46" s="173"/>
      <c r="DC46" s="172"/>
      <c r="DD46" s="433" t="str">
        <f>IF($B46="","",IF(INDEX(BDHKI,MATCH(DiemHKII!$C46,DiemHKI!$DI$4:$DI$58,0),DD$67)&lt;&gt;"",INDEX(BDHKI,MATCH(DiemHKII!$C46,DiemHKI!$DI$4:$DI$58,0),DD$67),""))</f>
        <v/>
      </c>
      <c r="DE46" s="433" t="str">
        <f t="shared" si="21"/>
        <v/>
      </c>
      <c r="DF46" s="434" t="str">
        <f t="shared" si="22"/>
        <v/>
      </c>
      <c r="DG46" s="174"/>
      <c r="DH46" s="175"/>
      <c r="DI46" s="175"/>
      <c r="DJ46" s="176"/>
      <c r="DK46" s="177"/>
      <c r="DL46" s="178"/>
      <c r="DM46" s="532" t="str">
        <f>IF($B46="","",IF(INDEX(BDHKI,MATCH(DiemHKII!$C46,DiemHKI!$DI$4:$DI$58,0),DM$67)&lt;&gt;"",INDEX(BDHKI,MATCH(DiemHKII!$C46,DiemHKI!$DI$4:$DI$58,0),DM$67),""))</f>
        <v/>
      </c>
      <c r="DN46" s="532" t="str">
        <f t="shared" si="23"/>
        <v/>
      </c>
      <c r="DO46" s="532" t="str">
        <f t="shared" si="24"/>
        <v/>
      </c>
      <c r="DP46" s="172"/>
      <c r="DQ46" s="170"/>
      <c r="DR46" s="170"/>
      <c r="DS46" s="550"/>
      <c r="DT46" s="173"/>
      <c r="DU46" s="172"/>
      <c r="DV46" s="433" t="str">
        <f>IF($B46="","",IF(INDEX(BDHKI,MATCH(DiemHKII!$C46,DiemHKI!$DI$4:$DI$58,0),DV$67)&lt;&gt;"",INDEX(BDHKI,MATCH(DiemHKII!$C46,DiemHKI!$DI$4:$DI$58,0),DV$67),""))</f>
        <v/>
      </c>
      <c r="DW46" s="433" t="str">
        <f t="shared" si="25"/>
        <v/>
      </c>
      <c r="DX46" s="434" t="str">
        <f t="shared" si="26"/>
        <v/>
      </c>
      <c r="DY46" s="172"/>
      <c r="DZ46" s="170"/>
      <c r="EA46" s="170"/>
      <c r="EB46" s="550"/>
      <c r="EC46" s="173"/>
      <c r="ED46" s="172"/>
      <c r="EE46" s="408" t="str">
        <f>IF($B46="","",IF(INDEX(BDHKI,MATCH(DiemHKII!$C46,DiemHKI!$DI$4:$DI$58,0),EE$67)&lt;&gt;"",INDEX(BDHKI,MATCH(DiemHKII!$C46,DiemHKI!$DI$4:$DI$58,0),EE$67),""))</f>
        <v/>
      </c>
      <c r="EF46" s="408" t="str">
        <f t="shared" si="27"/>
        <v/>
      </c>
      <c r="EG46" s="409" t="str">
        <f t="shared" si="28"/>
        <v/>
      </c>
      <c r="EH46" s="162"/>
      <c r="EI46" s="163"/>
      <c r="EJ46" s="164"/>
      <c r="EK46" s="165"/>
    </row>
    <row r="47" spans="1:141" s="30" customFormat="1" ht="15.9" customHeight="1">
      <c r="B47" s="99" t="str">
        <f>IF(D47&lt;&gt;"",MAX($B$4:B46)+1,"")</f>
        <v/>
      </c>
      <c r="C47" s="339" t="str">
        <f t="shared" si="0"/>
        <v/>
      </c>
      <c r="D47" s="166"/>
      <c r="E47" s="167"/>
      <c r="F47" s="168"/>
      <c r="G47" s="163"/>
      <c r="H47" s="163"/>
      <c r="I47" s="549"/>
      <c r="J47" s="166"/>
      <c r="K47" s="166"/>
      <c r="L47" s="172"/>
      <c r="M47" s="170"/>
      <c r="N47" s="170"/>
      <c r="O47" s="550"/>
      <c r="P47" s="173"/>
      <c r="Q47" s="172"/>
      <c r="R47" s="408" t="str">
        <f>IF($B47="","",IF(INDEX(BDHKI,MATCH(DiemHKII!$C47,DiemHKI!$DI$4:$DI$58,0),R$67)&lt;&gt;"",INDEX(BDHKI,MATCH(DiemHKII!$C47,DiemHKI!$DI$4:$DI$58,0),R$67),""))</f>
        <v/>
      </c>
      <c r="S47" s="408" t="str">
        <f t="shared" si="1"/>
        <v/>
      </c>
      <c r="T47" s="409" t="str">
        <f t="shared" si="2"/>
        <v/>
      </c>
      <c r="U47" s="172"/>
      <c r="V47" s="170"/>
      <c r="W47" s="170"/>
      <c r="X47" s="550"/>
      <c r="Y47" s="173"/>
      <c r="Z47" s="172"/>
      <c r="AA47" s="433" t="str">
        <f>IF($B47="","",IF(INDEX(BDHKI,MATCH(DiemHKII!$C47,DiemHKI!$DI$4:$DI$58,0),AA$67)&lt;&gt;"",INDEX(BDHKI,MATCH(DiemHKII!$C47,DiemHKI!$DI$4:$DI$58,0),AA$67),""))</f>
        <v/>
      </c>
      <c r="AB47" s="433" t="str">
        <f t="shared" si="3"/>
        <v/>
      </c>
      <c r="AC47" s="434" t="str">
        <f t="shared" si="4"/>
        <v/>
      </c>
      <c r="AD47" s="172"/>
      <c r="AE47" s="170"/>
      <c r="AF47" s="170"/>
      <c r="AG47" s="550"/>
      <c r="AH47" s="173"/>
      <c r="AI47" s="172"/>
      <c r="AJ47" s="408" t="str">
        <f>IF($B47="","",IF(INDEX(BDHKI,MATCH(DiemHKII!$C47,DiemHKI!$DI$4:$DI$58,0),AJ$67)&lt;&gt;"",INDEX(BDHKI,MATCH(DiemHKII!$C47,DiemHKI!$DI$4:$DI$58,0),AJ$67),""))</f>
        <v/>
      </c>
      <c r="AK47" s="408" t="str">
        <f t="shared" si="5"/>
        <v/>
      </c>
      <c r="AL47" s="409" t="str">
        <f t="shared" si="6"/>
        <v/>
      </c>
      <c r="AM47" s="172"/>
      <c r="AN47" s="170"/>
      <c r="AO47" s="170"/>
      <c r="AP47" s="550"/>
      <c r="AQ47" s="173"/>
      <c r="AR47" s="172"/>
      <c r="AS47" s="433" t="str">
        <f>IF($B47="","",IF(INDEX(BDHKI,MATCH(DiemHKII!$C47,DiemHKI!$DI$4:$DI$58,0),AS$67)&lt;&gt;"",INDEX(BDHKI,MATCH(DiemHKII!$C47,DiemHKI!$DI$4:$DI$58,0),AS$67),""))</f>
        <v/>
      </c>
      <c r="AT47" s="433" t="str">
        <f t="shared" si="7"/>
        <v/>
      </c>
      <c r="AU47" s="434" t="str">
        <f t="shared" si="8"/>
        <v/>
      </c>
      <c r="AV47" s="172"/>
      <c r="AW47" s="170"/>
      <c r="AX47" s="170"/>
      <c r="AY47" s="550"/>
      <c r="AZ47" s="173"/>
      <c r="BA47" s="172"/>
      <c r="BB47" s="408" t="str">
        <f>IF($B47="","",IF(INDEX(BDHKI,MATCH(DiemHKII!$C47,DiemHKI!$DI$4:$DI$58,0),BB$67)&lt;&gt;"",INDEX(BDHKI,MATCH(DiemHKII!$C47,DiemHKI!$DI$4:$DI$58,0),BB$67),""))</f>
        <v/>
      </c>
      <c r="BC47" s="408" t="str">
        <f t="shared" si="9"/>
        <v/>
      </c>
      <c r="BD47" s="409" t="str">
        <f t="shared" si="10"/>
        <v/>
      </c>
      <c r="BE47" s="172"/>
      <c r="BF47" s="170"/>
      <c r="BG47" s="170"/>
      <c r="BH47" s="550"/>
      <c r="BI47" s="173"/>
      <c r="BJ47" s="172"/>
      <c r="BK47" s="433" t="str">
        <f>IF($B47="","",IF(INDEX(BDHKI,MATCH(DiemHKII!$C47,DiemHKI!$DI$4:$DI$58,0),BK$67)&lt;&gt;"",INDEX(BDHKI,MATCH(DiemHKII!$C47,DiemHKI!$DI$4:$DI$58,0),BK$67),""))</f>
        <v/>
      </c>
      <c r="BL47" s="433" t="str">
        <f t="shared" si="11"/>
        <v/>
      </c>
      <c r="BM47" s="434" t="str">
        <f t="shared" si="12"/>
        <v/>
      </c>
      <c r="BN47" s="172"/>
      <c r="BO47" s="170"/>
      <c r="BP47" s="170"/>
      <c r="BQ47" s="550"/>
      <c r="BR47" s="173"/>
      <c r="BS47" s="172"/>
      <c r="BT47" s="408" t="str">
        <f>IF($B47="","",IF(INDEX(BDHKI,MATCH(DiemHKII!$C47,DiemHKI!$DI$4:$DI$58,0),BT$67)&lt;&gt;"",INDEX(BDHKI,MATCH(DiemHKII!$C47,DiemHKI!$DI$4:$DI$58,0),BT$67),""))</f>
        <v/>
      </c>
      <c r="BU47" s="408" t="str">
        <f t="shared" si="13"/>
        <v/>
      </c>
      <c r="BV47" s="409" t="str">
        <f t="shared" si="14"/>
        <v/>
      </c>
      <c r="BW47" s="172"/>
      <c r="BX47" s="170"/>
      <c r="BY47" s="170"/>
      <c r="BZ47" s="550"/>
      <c r="CA47" s="173"/>
      <c r="CB47" s="172"/>
      <c r="CC47" s="408" t="str">
        <f>IF($B47="","",IF(INDEX(BDHKI,MATCH(DiemHKII!$C47,DiemHKI!$DI$4:$DI$58,0),CC$67)&lt;&gt;"",INDEX(BDHKI,MATCH(DiemHKII!$C47,DiemHKI!$DI$4:$DI$58,0),CC$67),""))</f>
        <v/>
      </c>
      <c r="CD47" s="408" t="str">
        <f t="shared" si="15"/>
        <v/>
      </c>
      <c r="CE47" s="409" t="str">
        <f t="shared" si="16"/>
        <v/>
      </c>
      <c r="CF47" s="172"/>
      <c r="CG47" s="170"/>
      <c r="CH47" s="170"/>
      <c r="CI47" s="550"/>
      <c r="CJ47" s="173"/>
      <c r="CK47" s="172"/>
      <c r="CL47" s="433" t="str">
        <f>IF($B47="","",IF(INDEX(BDHKI,MATCH(DiemHKII!$C47,DiemHKI!$DI$4:$DI$58,0),CL$67)&lt;&gt;"",INDEX(BDHKI,MATCH(DiemHKII!$C47,DiemHKI!$DI$4:$DI$58,0),CL$67),""))</f>
        <v/>
      </c>
      <c r="CM47" s="433" t="str">
        <f t="shared" si="17"/>
        <v/>
      </c>
      <c r="CN47" s="434" t="str">
        <f t="shared" si="18"/>
        <v/>
      </c>
      <c r="CO47" s="172"/>
      <c r="CP47" s="170"/>
      <c r="CQ47" s="170"/>
      <c r="CR47" s="550"/>
      <c r="CS47" s="173"/>
      <c r="CT47" s="172"/>
      <c r="CU47" s="408" t="str">
        <f>IF($B47="","",IF(INDEX(BDHKI,MATCH(DiemHKII!$C47,DiemHKI!$DI$4:$DI$58,0),CU$67)&lt;&gt;"",INDEX(BDHKI,MATCH(DiemHKII!$C47,DiemHKI!$DI$4:$DI$58,0),CU$67),""))</f>
        <v/>
      </c>
      <c r="CV47" s="408" t="str">
        <f t="shared" si="19"/>
        <v/>
      </c>
      <c r="CW47" s="409" t="str">
        <f t="shared" si="20"/>
        <v/>
      </c>
      <c r="CX47" s="172"/>
      <c r="CY47" s="170"/>
      <c r="CZ47" s="170"/>
      <c r="DA47" s="550"/>
      <c r="DB47" s="173"/>
      <c r="DC47" s="172"/>
      <c r="DD47" s="433" t="str">
        <f>IF($B47="","",IF(INDEX(BDHKI,MATCH(DiemHKII!$C47,DiemHKI!$DI$4:$DI$58,0),DD$67)&lt;&gt;"",INDEX(BDHKI,MATCH(DiemHKII!$C47,DiemHKI!$DI$4:$DI$58,0),DD$67),""))</f>
        <v/>
      </c>
      <c r="DE47" s="433" t="str">
        <f t="shared" si="21"/>
        <v/>
      </c>
      <c r="DF47" s="434" t="str">
        <f t="shared" si="22"/>
        <v/>
      </c>
      <c r="DG47" s="174"/>
      <c r="DH47" s="175"/>
      <c r="DI47" s="175"/>
      <c r="DJ47" s="176"/>
      <c r="DK47" s="177"/>
      <c r="DL47" s="178"/>
      <c r="DM47" s="532" t="str">
        <f>IF($B47="","",IF(INDEX(BDHKI,MATCH(DiemHKII!$C47,DiemHKI!$DI$4:$DI$58,0),DM$67)&lt;&gt;"",INDEX(BDHKI,MATCH(DiemHKII!$C47,DiemHKI!$DI$4:$DI$58,0),DM$67),""))</f>
        <v/>
      </c>
      <c r="DN47" s="532" t="str">
        <f t="shared" si="23"/>
        <v/>
      </c>
      <c r="DO47" s="532" t="str">
        <f t="shared" si="24"/>
        <v/>
      </c>
      <c r="DP47" s="172"/>
      <c r="DQ47" s="170"/>
      <c r="DR47" s="170"/>
      <c r="DS47" s="550"/>
      <c r="DT47" s="173"/>
      <c r="DU47" s="172"/>
      <c r="DV47" s="433" t="str">
        <f>IF($B47="","",IF(INDEX(BDHKI,MATCH(DiemHKII!$C47,DiemHKI!$DI$4:$DI$58,0),DV$67)&lt;&gt;"",INDEX(BDHKI,MATCH(DiemHKII!$C47,DiemHKI!$DI$4:$DI$58,0),DV$67),""))</f>
        <v/>
      </c>
      <c r="DW47" s="433" t="str">
        <f t="shared" si="25"/>
        <v/>
      </c>
      <c r="DX47" s="434" t="str">
        <f t="shared" si="26"/>
        <v/>
      </c>
      <c r="DY47" s="172"/>
      <c r="DZ47" s="170"/>
      <c r="EA47" s="170"/>
      <c r="EB47" s="550"/>
      <c r="EC47" s="173"/>
      <c r="ED47" s="172"/>
      <c r="EE47" s="408" t="str">
        <f>IF($B47="","",IF(INDEX(BDHKI,MATCH(DiemHKII!$C47,DiemHKI!$DI$4:$DI$58,0),EE$67)&lt;&gt;"",INDEX(BDHKI,MATCH(DiemHKII!$C47,DiemHKI!$DI$4:$DI$58,0),EE$67),""))</f>
        <v/>
      </c>
      <c r="EF47" s="408" t="str">
        <f t="shared" si="27"/>
        <v/>
      </c>
      <c r="EG47" s="409" t="str">
        <f t="shared" si="28"/>
        <v/>
      </c>
      <c r="EH47" s="162"/>
      <c r="EI47" s="163"/>
      <c r="EJ47" s="164"/>
      <c r="EK47" s="165"/>
    </row>
    <row r="48" spans="1:141" s="30" customFormat="1" ht="15.9" customHeight="1">
      <c r="B48" s="105" t="str">
        <f>IF(D48&lt;&gt;"",MAX($B$4:B47)+1,"")</f>
        <v/>
      </c>
      <c r="C48" s="340" t="str">
        <f t="shared" si="0"/>
        <v/>
      </c>
      <c r="D48" s="179"/>
      <c r="E48" s="180"/>
      <c r="F48" s="181"/>
      <c r="G48" s="182"/>
      <c r="H48" s="182"/>
      <c r="I48" s="551"/>
      <c r="J48" s="179"/>
      <c r="K48" s="179"/>
      <c r="L48" s="187"/>
      <c r="M48" s="185"/>
      <c r="N48" s="185"/>
      <c r="O48" s="552"/>
      <c r="P48" s="188"/>
      <c r="Q48" s="187"/>
      <c r="R48" s="410" t="str">
        <f>IF($B48="","",IF(INDEX(BDHKI,MATCH(DiemHKII!$C48,DiemHKI!$DI$4:$DI$58,0),R$67)&lt;&gt;"",INDEX(BDHKI,MATCH(DiemHKII!$C48,DiemHKI!$DI$4:$DI$58,0),R$67),""))</f>
        <v/>
      </c>
      <c r="S48" s="410" t="str">
        <f t="shared" si="1"/>
        <v/>
      </c>
      <c r="T48" s="411" t="str">
        <f t="shared" si="2"/>
        <v/>
      </c>
      <c r="U48" s="187"/>
      <c r="V48" s="185"/>
      <c r="W48" s="185"/>
      <c r="X48" s="552"/>
      <c r="Y48" s="188"/>
      <c r="Z48" s="187"/>
      <c r="AA48" s="435" t="str">
        <f>IF($B48="","",IF(INDEX(BDHKI,MATCH(DiemHKII!$C48,DiemHKI!$DI$4:$DI$58,0),AA$67)&lt;&gt;"",INDEX(BDHKI,MATCH(DiemHKII!$C48,DiemHKI!$DI$4:$DI$58,0),AA$67),""))</f>
        <v/>
      </c>
      <c r="AB48" s="435" t="str">
        <f t="shared" si="3"/>
        <v/>
      </c>
      <c r="AC48" s="436" t="str">
        <f t="shared" si="4"/>
        <v/>
      </c>
      <c r="AD48" s="187"/>
      <c r="AE48" s="185"/>
      <c r="AF48" s="185"/>
      <c r="AG48" s="552"/>
      <c r="AH48" s="188"/>
      <c r="AI48" s="187"/>
      <c r="AJ48" s="410" t="str">
        <f>IF($B48="","",IF(INDEX(BDHKI,MATCH(DiemHKII!$C48,DiemHKI!$DI$4:$DI$58,0),AJ$67)&lt;&gt;"",INDEX(BDHKI,MATCH(DiemHKII!$C48,DiemHKI!$DI$4:$DI$58,0),AJ$67),""))</f>
        <v/>
      </c>
      <c r="AK48" s="410" t="str">
        <f t="shared" si="5"/>
        <v/>
      </c>
      <c r="AL48" s="411" t="str">
        <f t="shared" si="6"/>
        <v/>
      </c>
      <c r="AM48" s="187"/>
      <c r="AN48" s="185"/>
      <c r="AO48" s="185"/>
      <c r="AP48" s="552"/>
      <c r="AQ48" s="188"/>
      <c r="AR48" s="187"/>
      <c r="AS48" s="435" t="str">
        <f>IF($B48="","",IF(INDEX(BDHKI,MATCH(DiemHKII!$C48,DiemHKI!$DI$4:$DI$58,0),AS$67)&lt;&gt;"",INDEX(BDHKI,MATCH(DiemHKII!$C48,DiemHKI!$DI$4:$DI$58,0),AS$67),""))</f>
        <v/>
      </c>
      <c r="AT48" s="435" t="str">
        <f t="shared" si="7"/>
        <v/>
      </c>
      <c r="AU48" s="436" t="str">
        <f t="shared" si="8"/>
        <v/>
      </c>
      <c r="AV48" s="187"/>
      <c r="AW48" s="185"/>
      <c r="AX48" s="185"/>
      <c r="AY48" s="552"/>
      <c r="AZ48" s="188"/>
      <c r="BA48" s="187"/>
      <c r="BB48" s="410" t="str">
        <f>IF($B48="","",IF(INDEX(BDHKI,MATCH(DiemHKII!$C48,DiemHKI!$DI$4:$DI$58,0),BB$67)&lt;&gt;"",INDEX(BDHKI,MATCH(DiemHKII!$C48,DiemHKI!$DI$4:$DI$58,0),BB$67),""))</f>
        <v/>
      </c>
      <c r="BC48" s="410" t="str">
        <f t="shared" si="9"/>
        <v/>
      </c>
      <c r="BD48" s="411" t="str">
        <f t="shared" si="10"/>
        <v/>
      </c>
      <c r="BE48" s="187"/>
      <c r="BF48" s="185"/>
      <c r="BG48" s="185"/>
      <c r="BH48" s="552"/>
      <c r="BI48" s="188"/>
      <c r="BJ48" s="187"/>
      <c r="BK48" s="435" t="str">
        <f>IF($B48="","",IF(INDEX(BDHKI,MATCH(DiemHKII!$C48,DiemHKI!$DI$4:$DI$58,0),BK$67)&lt;&gt;"",INDEX(BDHKI,MATCH(DiemHKII!$C48,DiemHKI!$DI$4:$DI$58,0),BK$67),""))</f>
        <v/>
      </c>
      <c r="BL48" s="435" t="str">
        <f t="shared" si="11"/>
        <v/>
      </c>
      <c r="BM48" s="436" t="str">
        <f t="shared" si="12"/>
        <v/>
      </c>
      <c r="BN48" s="187"/>
      <c r="BO48" s="185"/>
      <c r="BP48" s="185"/>
      <c r="BQ48" s="552"/>
      <c r="BR48" s="188"/>
      <c r="BS48" s="187"/>
      <c r="BT48" s="410" t="str">
        <f>IF($B48="","",IF(INDEX(BDHKI,MATCH(DiemHKII!$C48,DiemHKI!$DI$4:$DI$58,0),BT$67)&lt;&gt;"",INDEX(BDHKI,MATCH(DiemHKII!$C48,DiemHKI!$DI$4:$DI$58,0),BT$67),""))</f>
        <v/>
      </c>
      <c r="BU48" s="410" t="str">
        <f t="shared" si="13"/>
        <v/>
      </c>
      <c r="BV48" s="411" t="str">
        <f t="shared" si="14"/>
        <v/>
      </c>
      <c r="BW48" s="187"/>
      <c r="BX48" s="185"/>
      <c r="BY48" s="185"/>
      <c r="BZ48" s="552"/>
      <c r="CA48" s="188"/>
      <c r="CB48" s="187"/>
      <c r="CC48" s="410" t="str">
        <f>IF($B48="","",IF(INDEX(BDHKI,MATCH(DiemHKII!$C48,DiemHKI!$DI$4:$DI$58,0),CC$67)&lt;&gt;"",INDEX(BDHKI,MATCH(DiemHKII!$C48,DiemHKI!$DI$4:$DI$58,0),CC$67),""))</f>
        <v/>
      </c>
      <c r="CD48" s="410" t="str">
        <f t="shared" si="15"/>
        <v/>
      </c>
      <c r="CE48" s="411" t="str">
        <f t="shared" si="16"/>
        <v/>
      </c>
      <c r="CF48" s="187"/>
      <c r="CG48" s="185"/>
      <c r="CH48" s="185"/>
      <c r="CI48" s="552"/>
      <c r="CJ48" s="188"/>
      <c r="CK48" s="187"/>
      <c r="CL48" s="435" t="str">
        <f>IF($B48="","",IF(INDEX(BDHKI,MATCH(DiemHKII!$C48,DiemHKI!$DI$4:$DI$58,0),CL$67)&lt;&gt;"",INDEX(BDHKI,MATCH(DiemHKII!$C48,DiemHKI!$DI$4:$DI$58,0),CL$67),""))</f>
        <v/>
      </c>
      <c r="CM48" s="435" t="str">
        <f t="shared" si="17"/>
        <v/>
      </c>
      <c r="CN48" s="436" t="str">
        <f t="shared" si="18"/>
        <v/>
      </c>
      <c r="CO48" s="187"/>
      <c r="CP48" s="185"/>
      <c r="CQ48" s="185"/>
      <c r="CR48" s="552"/>
      <c r="CS48" s="188"/>
      <c r="CT48" s="187"/>
      <c r="CU48" s="410" t="str">
        <f>IF($B48="","",IF(INDEX(BDHKI,MATCH(DiemHKII!$C48,DiemHKI!$DI$4:$DI$58,0),CU$67)&lt;&gt;"",INDEX(BDHKI,MATCH(DiemHKII!$C48,DiemHKI!$DI$4:$DI$58,0),CU$67),""))</f>
        <v/>
      </c>
      <c r="CV48" s="410" t="str">
        <f t="shared" si="19"/>
        <v/>
      </c>
      <c r="CW48" s="411" t="str">
        <f t="shared" si="20"/>
        <v/>
      </c>
      <c r="CX48" s="187"/>
      <c r="CY48" s="185"/>
      <c r="CZ48" s="185"/>
      <c r="DA48" s="552"/>
      <c r="DB48" s="188"/>
      <c r="DC48" s="187"/>
      <c r="DD48" s="435" t="str">
        <f>IF($B48="","",IF(INDEX(BDHKI,MATCH(DiemHKII!$C48,DiemHKI!$DI$4:$DI$58,0),DD$67)&lt;&gt;"",INDEX(BDHKI,MATCH(DiemHKII!$C48,DiemHKI!$DI$4:$DI$58,0),DD$67),""))</f>
        <v/>
      </c>
      <c r="DE48" s="435" t="str">
        <f t="shared" si="21"/>
        <v/>
      </c>
      <c r="DF48" s="436" t="str">
        <f t="shared" si="22"/>
        <v/>
      </c>
      <c r="DG48" s="213"/>
      <c r="DH48" s="214"/>
      <c r="DI48" s="214"/>
      <c r="DJ48" s="215"/>
      <c r="DK48" s="216"/>
      <c r="DL48" s="193"/>
      <c r="DM48" s="533" t="str">
        <f>IF($B48="","",IF(INDEX(BDHKI,MATCH(DiemHKII!$C48,DiemHKI!$DI$4:$DI$58,0),DM$67)&lt;&gt;"",INDEX(BDHKI,MATCH(DiemHKII!$C48,DiemHKI!$DI$4:$DI$58,0),DM$67),""))</f>
        <v/>
      </c>
      <c r="DN48" s="533" t="str">
        <f t="shared" si="23"/>
        <v/>
      </c>
      <c r="DO48" s="533" t="str">
        <f t="shared" si="24"/>
        <v/>
      </c>
      <c r="DP48" s="187"/>
      <c r="DQ48" s="185"/>
      <c r="DR48" s="185"/>
      <c r="DS48" s="552"/>
      <c r="DT48" s="188"/>
      <c r="DU48" s="187"/>
      <c r="DV48" s="435" t="str">
        <f>IF($B48="","",IF(INDEX(BDHKI,MATCH(DiemHKII!$C48,DiemHKI!$DI$4:$DI$58,0),DV$67)&lt;&gt;"",INDEX(BDHKI,MATCH(DiemHKII!$C48,DiemHKI!$DI$4:$DI$58,0),DV$67),""))</f>
        <v/>
      </c>
      <c r="DW48" s="435" t="str">
        <f t="shared" si="25"/>
        <v/>
      </c>
      <c r="DX48" s="436" t="str">
        <f t="shared" si="26"/>
        <v/>
      </c>
      <c r="DY48" s="187"/>
      <c r="DZ48" s="185"/>
      <c r="EA48" s="185"/>
      <c r="EB48" s="552"/>
      <c r="EC48" s="188"/>
      <c r="ED48" s="187"/>
      <c r="EE48" s="410" t="str">
        <f>IF($B48="","",IF(INDEX(BDHKI,MATCH(DiemHKII!$C48,DiemHKI!$DI$4:$DI$58,0),EE$67)&lt;&gt;"",INDEX(BDHKI,MATCH(DiemHKII!$C48,DiemHKI!$DI$4:$DI$58,0),EE$67),""))</f>
        <v/>
      </c>
      <c r="EF48" s="410" t="str">
        <f t="shared" si="27"/>
        <v/>
      </c>
      <c r="EG48" s="411" t="str">
        <f t="shared" si="28"/>
        <v/>
      </c>
      <c r="EH48" s="194"/>
      <c r="EI48" s="182"/>
      <c r="EJ48" s="183"/>
      <c r="EK48" s="195"/>
    </row>
    <row r="49" spans="2:141" s="30" customFormat="1" ht="15.9" customHeight="1">
      <c r="B49" s="111" t="str">
        <f>IF(D49&lt;&gt;"",MAX($B$4:B48)+1,"")</f>
        <v/>
      </c>
      <c r="C49" s="341" t="str">
        <f t="shared" si="0"/>
        <v/>
      </c>
      <c r="D49" s="196"/>
      <c r="E49" s="197"/>
      <c r="F49" s="198"/>
      <c r="G49" s="199"/>
      <c r="H49" s="199"/>
      <c r="I49" s="553"/>
      <c r="J49" s="196"/>
      <c r="K49" s="196"/>
      <c r="L49" s="204"/>
      <c r="M49" s="202"/>
      <c r="N49" s="202"/>
      <c r="O49" s="554"/>
      <c r="P49" s="205"/>
      <c r="Q49" s="204"/>
      <c r="R49" s="412" t="str">
        <f>IF($B49="","",IF(INDEX(BDHKI,MATCH(DiemHKII!$C49,DiemHKI!$DI$4:$DI$58,0),R$67)&lt;&gt;"",INDEX(BDHKI,MATCH(DiemHKII!$C49,DiemHKI!$DI$4:$DI$58,0),R$67),""))</f>
        <v/>
      </c>
      <c r="S49" s="412" t="str">
        <f t="shared" si="1"/>
        <v/>
      </c>
      <c r="T49" s="413" t="str">
        <f t="shared" si="2"/>
        <v/>
      </c>
      <c r="U49" s="204"/>
      <c r="V49" s="202"/>
      <c r="W49" s="202"/>
      <c r="X49" s="554"/>
      <c r="Y49" s="205"/>
      <c r="Z49" s="204"/>
      <c r="AA49" s="437" t="str">
        <f>IF($B49="","",IF(INDEX(BDHKI,MATCH(DiemHKII!$C49,DiemHKI!$DI$4:$DI$58,0),AA$67)&lt;&gt;"",INDEX(BDHKI,MATCH(DiemHKII!$C49,DiemHKI!$DI$4:$DI$58,0),AA$67),""))</f>
        <v/>
      </c>
      <c r="AB49" s="437" t="str">
        <f t="shared" si="3"/>
        <v/>
      </c>
      <c r="AC49" s="438" t="str">
        <f t="shared" si="4"/>
        <v/>
      </c>
      <c r="AD49" s="204"/>
      <c r="AE49" s="202"/>
      <c r="AF49" s="202"/>
      <c r="AG49" s="554"/>
      <c r="AH49" s="205"/>
      <c r="AI49" s="204"/>
      <c r="AJ49" s="412" t="str">
        <f>IF($B49="","",IF(INDEX(BDHKI,MATCH(DiemHKII!$C49,DiemHKI!$DI$4:$DI$58,0),AJ$67)&lt;&gt;"",INDEX(BDHKI,MATCH(DiemHKII!$C49,DiemHKI!$DI$4:$DI$58,0),AJ$67),""))</f>
        <v/>
      </c>
      <c r="AK49" s="412" t="str">
        <f t="shared" si="5"/>
        <v/>
      </c>
      <c r="AL49" s="413" t="str">
        <f t="shared" si="6"/>
        <v/>
      </c>
      <c r="AM49" s="204"/>
      <c r="AN49" s="202"/>
      <c r="AO49" s="202"/>
      <c r="AP49" s="554"/>
      <c r="AQ49" s="205"/>
      <c r="AR49" s="204"/>
      <c r="AS49" s="437" t="str">
        <f>IF($B49="","",IF(INDEX(BDHKI,MATCH(DiemHKII!$C49,DiemHKI!$DI$4:$DI$58,0),AS$67)&lt;&gt;"",INDEX(BDHKI,MATCH(DiemHKII!$C49,DiemHKI!$DI$4:$DI$58,0),AS$67),""))</f>
        <v/>
      </c>
      <c r="AT49" s="437" t="str">
        <f t="shared" si="7"/>
        <v/>
      </c>
      <c r="AU49" s="438" t="str">
        <f t="shared" si="8"/>
        <v/>
      </c>
      <c r="AV49" s="204"/>
      <c r="AW49" s="202"/>
      <c r="AX49" s="202"/>
      <c r="AY49" s="554"/>
      <c r="AZ49" s="205"/>
      <c r="BA49" s="204"/>
      <c r="BB49" s="412" t="str">
        <f>IF($B49="","",IF(INDEX(BDHKI,MATCH(DiemHKII!$C49,DiemHKI!$DI$4:$DI$58,0),BB$67)&lt;&gt;"",INDEX(BDHKI,MATCH(DiemHKII!$C49,DiemHKI!$DI$4:$DI$58,0),BB$67),""))</f>
        <v/>
      </c>
      <c r="BC49" s="412" t="str">
        <f t="shared" si="9"/>
        <v/>
      </c>
      <c r="BD49" s="413" t="str">
        <f t="shared" si="10"/>
        <v/>
      </c>
      <c r="BE49" s="204"/>
      <c r="BF49" s="202"/>
      <c r="BG49" s="202"/>
      <c r="BH49" s="554"/>
      <c r="BI49" s="205"/>
      <c r="BJ49" s="204"/>
      <c r="BK49" s="437" t="str">
        <f>IF($B49="","",IF(INDEX(BDHKI,MATCH(DiemHKII!$C49,DiemHKI!$DI$4:$DI$58,0),BK$67)&lt;&gt;"",INDEX(BDHKI,MATCH(DiemHKII!$C49,DiemHKI!$DI$4:$DI$58,0),BK$67),""))</f>
        <v/>
      </c>
      <c r="BL49" s="437" t="str">
        <f t="shared" si="11"/>
        <v/>
      </c>
      <c r="BM49" s="438" t="str">
        <f t="shared" si="12"/>
        <v/>
      </c>
      <c r="BN49" s="204"/>
      <c r="BO49" s="202"/>
      <c r="BP49" s="202"/>
      <c r="BQ49" s="554"/>
      <c r="BR49" s="205"/>
      <c r="BS49" s="204"/>
      <c r="BT49" s="412" t="str">
        <f>IF($B49="","",IF(INDEX(BDHKI,MATCH(DiemHKII!$C49,DiemHKI!$DI$4:$DI$58,0),BT$67)&lt;&gt;"",INDEX(BDHKI,MATCH(DiemHKII!$C49,DiemHKI!$DI$4:$DI$58,0),BT$67),""))</f>
        <v/>
      </c>
      <c r="BU49" s="412" t="str">
        <f t="shared" si="13"/>
        <v/>
      </c>
      <c r="BV49" s="413" t="str">
        <f t="shared" si="14"/>
        <v/>
      </c>
      <c r="BW49" s="204"/>
      <c r="BX49" s="202"/>
      <c r="BY49" s="202"/>
      <c r="BZ49" s="554"/>
      <c r="CA49" s="205"/>
      <c r="CB49" s="204"/>
      <c r="CC49" s="412" t="str">
        <f>IF($B49="","",IF(INDEX(BDHKI,MATCH(DiemHKII!$C49,DiemHKI!$DI$4:$DI$58,0),CC$67)&lt;&gt;"",INDEX(BDHKI,MATCH(DiemHKII!$C49,DiemHKI!$DI$4:$DI$58,0),CC$67),""))</f>
        <v/>
      </c>
      <c r="CD49" s="412" t="str">
        <f t="shared" si="15"/>
        <v/>
      </c>
      <c r="CE49" s="413" t="str">
        <f t="shared" si="16"/>
        <v/>
      </c>
      <c r="CF49" s="204"/>
      <c r="CG49" s="202"/>
      <c r="CH49" s="202"/>
      <c r="CI49" s="554"/>
      <c r="CJ49" s="205"/>
      <c r="CK49" s="204"/>
      <c r="CL49" s="437" t="str">
        <f>IF($B49="","",IF(INDEX(BDHKI,MATCH(DiemHKII!$C49,DiemHKI!$DI$4:$DI$58,0),CL$67)&lt;&gt;"",INDEX(BDHKI,MATCH(DiemHKII!$C49,DiemHKI!$DI$4:$DI$58,0),CL$67),""))</f>
        <v/>
      </c>
      <c r="CM49" s="437" t="str">
        <f t="shared" si="17"/>
        <v/>
      </c>
      <c r="CN49" s="438" t="str">
        <f t="shared" si="18"/>
        <v/>
      </c>
      <c r="CO49" s="204"/>
      <c r="CP49" s="202"/>
      <c r="CQ49" s="202"/>
      <c r="CR49" s="554"/>
      <c r="CS49" s="205"/>
      <c r="CT49" s="204"/>
      <c r="CU49" s="412" t="str">
        <f>IF($B49="","",IF(INDEX(BDHKI,MATCH(DiemHKII!$C49,DiemHKI!$DI$4:$DI$58,0),CU$67)&lt;&gt;"",INDEX(BDHKI,MATCH(DiemHKII!$C49,DiemHKI!$DI$4:$DI$58,0),CU$67),""))</f>
        <v/>
      </c>
      <c r="CV49" s="412" t="str">
        <f t="shared" si="19"/>
        <v/>
      </c>
      <c r="CW49" s="413" t="str">
        <f t="shared" si="20"/>
        <v/>
      </c>
      <c r="CX49" s="204"/>
      <c r="CY49" s="202"/>
      <c r="CZ49" s="202"/>
      <c r="DA49" s="554"/>
      <c r="DB49" s="205"/>
      <c r="DC49" s="204"/>
      <c r="DD49" s="437" t="str">
        <f>IF($B49="","",IF(INDEX(BDHKI,MATCH(DiemHKII!$C49,DiemHKI!$DI$4:$DI$58,0),DD$67)&lt;&gt;"",INDEX(BDHKI,MATCH(DiemHKII!$C49,DiemHKI!$DI$4:$DI$58,0),DD$67),""))</f>
        <v/>
      </c>
      <c r="DE49" s="437" t="str">
        <f t="shared" si="21"/>
        <v/>
      </c>
      <c r="DF49" s="438" t="str">
        <f t="shared" si="22"/>
        <v/>
      </c>
      <c r="DG49" s="206"/>
      <c r="DH49" s="207"/>
      <c r="DI49" s="207"/>
      <c r="DJ49" s="208"/>
      <c r="DK49" s="209"/>
      <c r="DL49" s="210"/>
      <c r="DM49" s="531" t="str">
        <f>IF($B49="","",IF(INDEX(BDHKI,MATCH(DiemHKII!$C49,DiemHKI!$DI$4:$DI$58,0),DM$67)&lt;&gt;"",INDEX(BDHKI,MATCH(DiemHKII!$C49,DiemHKI!$DI$4:$DI$58,0),DM$67),""))</f>
        <v/>
      </c>
      <c r="DN49" s="531" t="str">
        <f t="shared" si="23"/>
        <v/>
      </c>
      <c r="DO49" s="531" t="str">
        <f t="shared" si="24"/>
        <v/>
      </c>
      <c r="DP49" s="204"/>
      <c r="DQ49" s="202"/>
      <c r="DR49" s="202"/>
      <c r="DS49" s="554"/>
      <c r="DT49" s="205"/>
      <c r="DU49" s="204"/>
      <c r="DV49" s="437" t="str">
        <f>IF($B49="","",IF(INDEX(BDHKI,MATCH(DiemHKII!$C49,DiemHKI!$DI$4:$DI$58,0),DV$67)&lt;&gt;"",INDEX(BDHKI,MATCH(DiemHKII!$C49,DiemHKI!$DI$4:$DI$58,0),DV$67),""))</f>
        <v/>
      </c>
      <c r="DW49" s="437" t="str">
        <f t="shared" si="25"/>
        <v/>
      </c>
      <c r="DX49" s="438" t="str">
        <f t="shared" si="26"/>
        <v/>
      </c>
      <c r="DY49" s="204"/>
      <c r="DZ49" s="202"/>
      <c r="EA49" s="202"/>
      <c r="EB49" s="554"/>
      <c r="EC49" s="205"/>
      <c r="ED49" s="204"/>
      <c r="EE49" s="412" t="str">
        <f>IF($B49="","",IF(INDEX(BDHKI,MATCH(DiemHKII!$C49,DiemHKI!$DI$4:$DI$58,0),EE$67)&lt;&gt;"",INDEX(BDHKI,MATCH(DiemHKII!$C49,DiemHKI!$DI$4:$DI$58,0),EE$67),""))</f>
        <v/>
      </c>
      <c r="EF49" s="412" t="str">
        <f t="shared" si="27"/>
        <v/>
      </c>
      <c r="EG49" s="413" t="str">
        <f t="shared" si="28"/>
        <v/>
      </c>
      <c r="EH49" s="211"/>
      <c r="EI49" s="199"/>
      <c r="EJ49" s="200"/>
      <c r="EK49" s="212"/>
    </row>
    <row r="50" spans="2:141" s="30" customFormat="1" ht="15.9" customHeight="1">
      <c r="B50" s="99" t="str">
        <f>IF(D50&lt;&gt;"",MAX($B$4:B49)+1,"")</f>
        <v/>
      </c>
      <c r="C50" s="339" t="str">
        <f t="shared" si="0"/>
        <v/>
      </c>
      <c r="D50" s="166"/>
      <c r="E50" s="167"/>
      <c r="F50" s="168"/>
      <c r="G50" s="163"/>
      <c r="H50" s="163"/>
      <c r="I50" s="549"/>
      <c r="J50" s="166"/>
      <c r="K50" s="166"/>
      <c r="L50" s="172"/>
      <c r="M50" s="170"/>
      <c r="N50" s="170"/>
      <c r="O50" s="550"/>
      <c r="P50" s="173"/>
      <c r="Q50" s="172"/>
      <c r="R50" s="408" t="str">
        <f>IF($B50="","",IF(INDEX(BDHKI,MATCH(DiemHKII!$C50,DiemHKI!$DI$4:$DI$58,0),R$67)&lt;&gt;"",INDEX(BDHKI,MATCH(DiemHKII!$C50,DiemHKI!$DI$4:$DI$58,0),R$67),""))</f>
        <v/>
      </c>
      <c r="S50" s="408" t="str">
        <f t="shared" si="1"/>
        <v/>
      </c>
      <c r="T50" s="409" t="str">
        <f t="shared" si="2"/>
        <v/>
      </c>
      <c r="U50" s="172"/>
      <c r="V50" s="170"/>
      <c r="W50" s="170"/>
      <c r="X50" s="550"/>
      <c r="Y50" s="173"/>
      <c r="Z50" s="172"/>
      <c r="AA50" s="433" t="str">
        <f>IF($B50="","",IF(INDEX(BDHKI,MATCH(DiemHKII!$C50,DiemHKI!$DI$4:$DI$58,0),AA$67)&lt;&gt;"",INDEX(BDHKI,MATCH(DiemHKII!$C50,DiemHKI!$DI$4:$DI$58,0),AA$67),""))</f>
        <v/>
      </c>
      <c r="AB50" s="433" t="str">
        <f t="shared" si="3"/>
        <v/>
      </c>
      <c r="AC50" s="434" t="str">
        <f t="shared" si="4"/>
        <v/>
      </c>
      <c r="AD50" s="172"/>
      <c r="AE50" s="170"/>
      <c r="AF50" s="170"/>
      <c r="AG50" s="550"/>
      <c r="AH50" s="173"/>
      <c r="AI50" s="172"/>
      <c r="AJ50" s="408" t="str">
        <f>IF($B50="","",IF(INDEX(BDHKI,MATCH(DiemHKII!$C50,DiemHKI!$DI$4:$DI$58,0),AJ$67)&lt;&gt;"",INDEX(BDHKI,MATCH(DiemHKII!$C50,DiemHKI!$DI$4:$DI$58,0),AJ$67),""))</f>
        <v/>
      </c>
      <c r="AK50" s="408" t="str">
        <f t="shared" si="5"/>
        <v/>
      </c>
      <c r="AL50" s="409" t="str">
        <f t="shared" si="6"/>
        <v/>
      </c>
      <c r="AM50" s="172"/>
      <c r="AN50" s="170"/>
      <c r="AO50" s="170"/>
      <c r="AP50" s="550"/>
      <c r="AQ50" s="173"/>
      <c r="AR50" s="172"/>
      <c r="AS50" s="433" t="str">
        <f>IF($B50="","",IF(INDEX(BDHKI,MATCH(DiemHKII!$C50,DiemHKI!$DI$4:$DI$58,0),AS$67)&lt;&gt;"",INDEX(BDHKI,MATCH(DiemHKII!$C50,DiemHKI!$DI$4:$DI$58,0),AS$67),""))</f>
        <v/>
      </c>
      <c r="AT50" s="433" t="str">
        <f t="shared" si="7"/>
        <v/>
      </c>
      <c r="AU50" s="434" t="str">
        <f t="shared" si="8"/>
        <v/>
      </c>
      <c r="AV50" s="172"/>
      <c r="AW50" s="170"/>
      <c r="AX50" s="170"/>
      <c r="AY50" s="550"/>
      <c r="AZ50" s="173"/>
      <c r="BA50" s="172"/>
      <c r="BB50" s="408" t="str">
        <f>IF($B50="","",IF(INDEX(BDHKI,MATCH(DiemHKII!$C50,DiemHKI!$DI$4:$DI$58,0),BB$67)&lt;&gt;"",INDEX(BDHKI,MATCH(DiemHKII!$C50,DiemHKI!$DI$4:$DI$58,0),BB$67),""))</f>
        <v/>
      </c>
      <c r="BC50" s="408" t="str">
        <f t="shared" si="9"/>
        <v/>
      </c>
      <c r="BD50" s="409" t="str">
        <f t="shared" si="10"/>
        <v/>
      </c>
      <c r="BE50" s="172"/>
      <c r="BF50" s="170"/>
      <c r="BG50" s="170"/>
      <c r="BH50" s="550"/>
      <c r="BI50" s="173"/>
      <c r="BJ50" s="172"/>
      <c r="BK50" s="433" t="str">
        <f>IF($B50="","",IF(INDEX(BDHKI,MATCH(DiemHKII!$C50,DiemHKI!$DI$4:$DI$58,0),BK$67)&lt;&gt;"",INDEX(BDHKI,MATCH(DiemHKII!$C50,DiemHKI!$DI$4:$DI$58,0),BK$67),""))</f>
        <v/>
      </c>
      <c r="BL50" s="433" t="str">
        <f t="shared" si="11"/>
        <v/>
      </c>
      <c r="BM50" s="434" t="str">
        <f t="shared" si="12"/>
        <v/>
      </c>
      <c r="BN50" s="172"/>
      <c r="BO50" s="170"/>
      <c r="BP50" s="170"/>
      <c r="BQ50" s="550"/>
      <c r="BR50" s="173"/>
      <c r="BS50" s="172"/>
      <c r="BT50" s="408" t="str">
        <f>IF($B50="","",IF(INDEX(BDHKI,MATCH(DiemHKII!$C50,DiemHKI!$DI$4:$DI$58,0),BT$67)&lt;&gt;"",INDEX(BDHKI,MATCH(DiemHKII!$C50,DiemHKI!$DI$4:$DI$58,0),BT$67),""))</f>
        <v/>
      </c>
      <c r="BU50" s="408" t="str">
        <f t="shared" si="13"/>
        <v/>
      </c>
      <c r="BV50" s="409" t="str">
        <f t="shared" si="14"/>
        <v/>
      </c>
      <c r="BW50" s="172"/>
      <c r="BX50" s="170"/>
      <c r="BY50" s="170"/>
      <c r="BZ50" s="550"/>
      <c r="CA50" s="173"/>
      <c r="CB50" s="172"/>
      <c r="CC50" s="408" t="str">
        <f>IF($B50="","",IF(INDEX(BDHKI,MATCH(DiemHKII!$C50,DiemHKI!$DI$4:$DI$58,0),CC$67)&lt;&gt;"",INDEX(BDHKI,MATCH(DiemHKII!$C50,DiemHKI!$DI$4:$DI$58,0),CC$67),""))</f>
        <v/>
      </c>
      <c r="CD50" s="408" t="str">
        <f t="shared" si="15"/>
        <v/>
      </c>
      <c r="CE50" s="409" t="str">
        <f t="shared" si="16"/>
        <v/>
      </c>
      <c r="CF50" s="172"/>
      <c r="CG50" s="170"/>
      <c r="CH50" s="170"/>
      <c r="CI50" s="550"/>
      <c r="CJ50" s="173"/>
      <c r="CK50" s="172"/>
      <c r="CL50" s="433" t="str">
        <f>IF($B50="","",IF(INDEX(BDHKI,MATCH(DiemHKII!$C50,DiemHKI!$DI$4:$DI$58,0),CL$67)&lt;&gt;"",INDEX(BDHKI,MATCH(DiemHKII!$C50,DiemHKI!$DI$4:$DI$58,0),CL$67),""))</f>
        <v/>
      </c>
      <c r="CM50" s="433" t="str">
        <f t="shared" si="17"/>
        <v/>
      </c>
      <c r="CN50" s="434" t="str">
        <f t="shared" si="18"/>
        <v/>
      </c>
      <c r="CO50" s="172"/>
      <c r="CP50" s="170"/>
      <c r="CQ50" s="170"/>
      <c r="CR50" s="550"/>
      <c r="CS50" s="173"/>
      <c r="CT50" s="172"/>
      <c r="CU50" s="408" t="str">
        <f>IF($B50="","",IF(INDEX(BDHKI,MATCH(DiemHKII!$C50,DiemHKI!$DI$4:$DI$58,0),CU$67)&lt;&gt;"",INDEX(BDHKI,MATCH(DiemHKII!$C50,DiemHKI!$DI$4:$DI$58,0),CU$67),""))</f>
        <v/>
      </c>
      <c r="CV50" s="408" t="str">
        <f t="shared" si="19"/>
        <v/>
      </c>
      <c r="CW50" s="409" t="str">
        <f t="shared" si="20"/>
        <v/>
      </c>
      <c r="CX50" s="172"/>
      <c r="CY50" s="170"/>
      <c r="CZ50" s="170"/>
      <c r="DA50" s="550"/>
      <c r="DB50" s="173"/>
      <c r="DC50" s="172"/>
      <c r="DD50" s="433" t="str">
        <f>IF($B50="","",IF(INDEX(BDHKI,MATCH(DiemHKII!$C50,DiemHKI!$DI$4:$DI$58,0),DD$67)&lt;&gt;"",INDEX(BDHKI,MATCH(DiemHKII!$C50,DiemHKI!$DI$4:$DI$58,0),DD$67),""))</f>
        <v/>
      </c>
      <c r="DE50" s="433" t="str">
        <f t="shared" si="21"/>
        <v/>
      </c>
      <c r="DF50" s="434" t="str">
        <f t="shared" si="22"/>
        <v/>
      </c>
      <c r="DG50" s="174"/>
      <c r="DH50" s="175"/>
      <c r="DI50" s="175"/>
      <c r="DJ50" s="176"/>
      <c r="DK50" s="177"/>
      <c r="DL50" s="178"/>
      <c r="DM50" s="532" t="str">
        <f>IF($B50="","",IF(INDEX(BDHKI,MATCH(DiemHKII!$C50,DiemHKI!$DI$4:$DI$58,0),DM$67)&lt;&gt;"",INDEX(BDHKI,MATCH(DiemHKII!$C50,DiemHKI!$DI$4:$DI$58,0),DM$67),""))</f>
        <v/>
      </c>
      <c r="DN50" s="532" t="str">
        <f t="shared" si="23"/>
        <v/>
      </c>
      <c r="DO50" s="532" t="str">
        <f t="shared" si="24"/>
        <v/>
      </c>
      <c r="DP50" s="172"/>
      <c r="DQ50" s="170"/>
      <c r="DR50" s="170"/>
      <c r="DS50" s="550"/>
      <c r="DT50" s="173"/>
      <c r="DU50" s="172"/>
      <c r="DV50" s="433" t="str">
        <f>IF($B50="","",IF(INDEX(BDHKI,MATCH(DiemHKII!$C50,DiemHKI!$DI$4:$DI$58,0),DV$67)&lt;&gt;"",INDEX(BDHKI,MATCH(DiemHKII!$C50,DiemHKI!$DI$4:$DI$58,0),DV$67),""))</f>
        <v/>
      </c>
      <c r="DW50" s="433" t="str">
        <f t="shared" si="25"/>
        <v/>
      </c>
      <c r="DX50" s="434" t="str">
        <f t="shared" si="26"/>
        <v/>
      </c>
      <c r="DY50" s="172"/>
      <c r="DZ50" s="170"/>
      <c r="EA50" s="170"/>
      <c r="EB50" s="550"/>
      <c r="EC50" s="173"/>
      <c r="ED50" s="172"/>
      <c r="EE50" s="408" t="str">
        <f>IF($B50="","",IF(INDEX(BDHKI,MATCH(DiemHKII!$C50,DiemHKI!$DI$4:$DI$58,0),EE$67)&lt;&gt;"",INDEX(BDHKI,MATCH(DiemHKII!$C50,DiemHKI!$DI$4:$DI$58,0),EE$67),""))</f>
        <v/>
      </c>
      <c r="EF50" s="408" t="str">
        <f t="shared" si="27"/>
        <v/>
      </c>
      <c r="EG50" s="409" t="str">
        <f t="shared" si="28"/>
        <v/>
      </c>
      <c r="EH50" s="162"/>
      <c r="EI50" s="163"/>
      <c r="EJ50" s="164"/>
      <c r="EK50" s="165"/>
    </row>
    <row r="51" spans="2:141" s="30" customFormat="1" ht="15.9" customHeight="1">
      <c r="B51" s="99" t="str">
        <f>IF(D51&lt;&gt;"",MAX($B$4:B50)+1,"")</f>
        <v/>
      </c>
      <c r="C51" s="339" t="str">
        <f t="shared" si="0"/>
        <v/>
      </c>
      <c r="D51" s="166"/>
      <c r="E51" s="167"/>
      <c r="F51" s="168"/>
      <c r="G51" s="163"/>
      <c r="H51" s="163"/>
      <c r="I51" s="549"/>
      <c r="J51" s="166"/>
      <c r="K51" s="166"/>
      <c r="L51" s="172"/>
      <c r="M51" s="170"/>
      <c r="N51" s="170"/>
      <c r="O51" s="550"/>
      <c r="P51" s="173"/>
      <c r="Q51" s="172"/>
      <c r="R51" s="408" t="str">
        <f>IF($B51="","",IF(INDEX(BDHKI,MATCH(DiemHKII!$C51,DiemHKI!$DI$4:$DI$58,0),R$67)&lt;&gt;"",INDEX(BDHKI,MATCH(DiemHKII!$C51,DiemHKI!$DI$4:$DI$58,0),R$67),""))</f>
        <v/>
      </c>
      <c r="S51" s="408" t="str">
        <f t="shared" si="1"/>
        <v/>
      </c>
      <c r="T51" s="409" t="str">
        <f t="shared" si="2"/>
        <v/>
      </c>
      <c r="U51" s="172"/>
      <c r="V51" s="170"/>
      <c r="W51" s="170"/>
      <c r="X51" s="550"/>
      <c r="Y51" s="173"/>
      <c r="Z51" s="172"/>
      <c r="AA51" s="433" t="str">
        <f>IF($B51="","",IF(INDEX(BDHKI,MATCH(DiemHKII!$C51,DiemHKI!$DI$4:$DI$58,0),AA$67)&lt;&gt;"",INDEX(BDHKI,MATCH(DiemHKII!$C51,DiemHKI!$DI$4:$DI$58,0),AA$67),""))</f>
        <v/>
      </c>
      <c r="AB51" s="433" t="str">
        <f t="shared" si="3"/>
        <v/>
      </c>
      <c r="AC51" s="434" t="str">
        <f t="shared" si="4"/>
        <v/>
      </c>
      <c r="AD51" s="172"/>
      <c r="AE51" s="170"/>
      <c r="AF51" s="170"/>
      <c r="AG51" s="550"/>
      <c r="AH51" s="173"/>
      <c r="AI51" s="172"/>
      <c r="AJ51" s="408" t="str">
        <f>IF($B51="","",IF(INDEX(BDHKI,MATCH(DiemHKII!$C51,DiemHKI!$DI$4:$DI$58,0),AJ$67)&lt;&gt;"",INDEX(BDHKI,MATCH(DiemHKII!$C51,DiemHKI!$DI$4:$DI$58,0),AJ$67),""))</f>
        <v/>
      </c>
      <c r="AK51" s="408" t="str">
        <f t="shared" si="5"/>
        <v/>
      </c>
      <c r="AL51" s="409" t="str">
        <f t="shared" si="6"/>
        <v/>
      </c>
      <c r="AM51" s="172"/>
      <c r="AN51" s="170"/>
      <c r="AO51" s="170"/>
      <c r="AP51" s="550"/>
      <c r="AQ51" s="173"/>
      <c r="AR51" s="172"/>
      <c r="AS51" s="433" t="str">
        <f>IF($B51="","",IF(INDEX(BDHKI,MATCH(DiemHKII!$C51,DiemHKI!$DI$4:$DI$58,0),AS$67)&lt;&gt;"",INDEX(BDHKI,MATCH(DiemHKII!$C51,DiemHKI!$DI$4:$DI$58,0),AS$67),""))</f>
        <v/>
      </c>
      <c r="AT51" s="433" t="str">
        <f t="shared" si="7"/>
        <v/>
      </c>
      <c r="AU51" s="434" t="str">
        <f t="shared" si="8"/>
        <v/>
      </c>
      <c r="AV51" s="172"/>
      <c r="AW51" s="170"/>
      <c r="AX51" s="170"/>
      <c r="AY51" s="550"/>
      <c r="AZ51" s="173"/>
      <c r="BA51" s="172"/>
      <c r="BB51" s="408" t="str">
        <f>IF($B51="","",IF(INDEX(BDHKI,MATCH(DiemHKII!$C51,DiemHKI!$DI$4:$DI$58,0),BB$67)&lt;&gt;"",INDEX(BDHKI,MATCH(DiemHKII!$C51,DiemHKI!$DI$4:$DI$58,0),BB$67),""))</f>
        <v/>
      </c>
      <c r="BC51" s="408" t="str">
        <f t="shared" si="9"/>
        <v/>
      </c>
      <c r="BD51" s="409" t="str">
        <f t="shared" si="10"/>
        <v/>
      </c>
      <c r="BE51" s="172"/>
      <c r="BF51" s="170"/>
      <c r="BG51" s="170"/>
      <c r="BH51" s="550"/>
      <c r="BI51" s="173"/>
      <c r="BJ51" s="172"/>
      <c r="BK51" s="433" t="str">
        <f>IF($B51="","",IF(INDEX(BDHKI,MATCH(DiemHKII!$C51,DiemHKI!$DI$4:$DI$58,0),BK$67)&lt;&gt;"",INDEX(BDHKI,MATCH(DiemHKII!$C51,DiemHKI!$DI$4:$DI$58,0),BK$67),""))</f>
        <v/>
      </c>
      <c r="BL51" s="433" t="str">
        <f t="shared" si="11"/>
        <v/>
      </c>
      <c r="BM51" s="434" t="str">
        <f t="shared" si="12"/>
        <v/>
      </c>
      <c r="BN51" s="172"/>
      <c r="BO51" s="170"/>
      <c r="BP51" s="170"/>
      <c r="BQ51" s="550"/>
      <c r="BR51" s="173"/>
      <c r="BS51" s="172"/>
      <c r="BT51" s="408" t="str">
        <f>IF($B51="","",IF(INDEX(BDHKI,MATCH(DiemHKII!$C51,DiemHKI!$DI$4:$DI$58,0),BT$67)&lt;&gt;"",INDEX(BDHKI,MATCH(DiemHKII!$C51,DiemHKI!$DI$4:$DI$58,0),BT$67),""))</f>
        <v/>
      </c>
      <c r="BU51" s="408" t="str">
        <f t="shared" si="13"/>
        <v/>
      </c>
      <c r="BV51" s="409" t="str">
        <f t="shared" si="14"/>
        <v/>
      </c>
      <c r="BW51" s="172"/>
      <c r="BX51" s="170"/>
      <c r="BY51" s="170"/>
      <c r="BZ51" s="550"/>
      <c r="CA51" s="173"/>
      <c r="CB51" s="172"/>
      <c r="CC51" s="408" t="str">
        <f>IF($B51="","",IF(INDEX(BDHKI,MATCH(DiemHKII!$C51,DiemHKI!$DI$4:$DI$58,0),CC$67)&lt;&gt;"",INDEX(BDHKI,MATCH(DiemHKII!$C51,DiemHKI!$DI$4:$DI$58,0),CC$67),""))</f>
        <v/>
      </c>
      <c r="CD51" s="408" t="str">
        <f t="shared" si="15"/>
        <v/>
      </c>
      <c r="CE51" s="409" t="str">
        <f t="shared" si="16"/>
        <v/>
      </c>
      <c r="CF51" s="172"/>
      <c r="CG51" s="170"/>
      <c r="CH51" s="170"/>
      <c r="CI51" s="550"/>
      <c r="CJ51" s="173"/>
      <c r="CK51" s="172"/>
      <c r="CL51" s="433" t="str">
        <f>IF($B51="","",IF(INDEX(BDHKI,MATCH(DiemHKII!$C51,DiemHKI!$DI$4:$DI$58,0),CL$67)&lt;&gt;"",INDEX(BDHKI,MATCH(DiemHKII!$C51,DiemHKI!$DI$4:$DI$58,0),CL$67),""))</f>
        <v/>
      </c>
      <c r="CM51" s="433" t="str">
        <f t="shared" si="17"/>
        <v/>
      </c>
      <c r="CN51" s="434" t="str">
        <f t="shared" si="18"/>
        <v/>
      </c>
      <c r="CO51" s="172"/>
      <c r="CP51" s="170"/>
      <c r="CQ51" s="170"/>
      <c r="CR51" s="550"/>
      <c r="CS51" s="173"/>
      <c r="CT51" s="172"/>
      <c r="CU51" s="408" t="str">
        <f>IF($B51="","",IF(INDEX(BDHKI,MATCH(DiemHKII!$C51,DiemHKI!$DI$4:$DI$58,0),CU$67)&lt;&gt;"",INDEX(BDHKI,MATCH(DiemHKII!$C51,DiemHKI!$DI$4:$DI$58,0),CU$67),""))</f>
        <v/>
      </c>
      <c r="CV51" s="408" t="str">
        <f t="shared" si="19"/>
        <v/>
      </c>
      <c r="CW51" s="409" t="str">
        <f t="shared" si="20"/>
        <v/>
      </c>
      <c r="CX51" s="172"/>
      <c r="CY51" s="170"/>
      <c r="CZ51" s="170"/>
      <c r="DA51" s="550"/>
      <c r="DB51" s="173"/>
      <c r="DC51" s="172"/>
      <c r="DD51" s="433" t="str">
        <f>IF($B51="","",IF(INDEX(BDHKI,MATCH(DiemHKII!$C51,DiemHKI!$DI$4:$DI$58,0),DD$67)&lt;&gt;"",INDEX(BDHKI,MATCH(DiemHKII!$C51,DiemHKI!$DI$4:$DI$58,0),DD$67),""))</f>
        <v/>
      </c>
      <c r="DE51" s="433" t="str">
        <f t="shared" si="21"/>
        <v/>
      </c>
      <c r="DF51" s="434" t="str">
        <f t="shared" si="22"/>
        <v/>
      </c>
      <c r="DG51" s="174"/>
      <c r="DH51" s="175"/>
      <c r="DI51" s="175"/>
      <c r="DJ51" s="176"/>
      <c r="DK51" s="177"/>
      <c r="DL51" s="178"/>
      <c r="DM51" s="532" t="str">
        <f>IF($B51="","",IF(INDEX(BDHKI,MATCH(DiemHKII!$C51,DiemHKI!$DI$4:$DI$58,0),DM$67)&lt;&gt;"",INDEX(BDHKI,MATCH(DiemHKII!$C51,DiemHKI!$DI$4:$DI$58,0),DM$67),""))</f>
        <v/>
      </c>
      <c r="DN51" s="532" t="str">
        <f t="shared" si="23"/>
        <v/>
      </c>
      <c r="DO51" s="532" t="str">
        <f t="shared" si="24"/>
        <v/>
      </c>
      <c r="DP51" s="172"/>
      <c r="DQ51" s="170"/>
      <c r="DR51" s="170"/>
      <c r="DS51" s="550"/>
      <c r="DT51" s="173"/>
      <c r="DU51" s="172"/>
      <c r="DV51" s="433" t="str">
        <f>IF($B51="","",IF(INDEX(BDHKI,MATCH(DiemHKII!$C51,DiemHKI!$DI$4:$DI$58,0),DV$67)&lt;&gt;"",INDEX(BDHKI,MATCH(DiemHKII!$C51,DiemHKI!$DI$4:$DI$58,0),DV$67),""))</f>
        <v/>
      </c>
      <c r="DW51" s="433" t="str">
        <f t="shared" si="25"/>
        <v/>
      </c>
      <c r="DX51" s="434" t="str">
        <f t="shared" si="26"/>
        <v/>
      </c>
      <c r="DY51" s="172"/>
      <c r="DZ51" s="170"/>
      <c r="EA51" s="170"/>
      <c r="EB51" s="550"/>
      <c r="EC51" s="173"/>
      <c r="ED51" s="172"/>
      <c r="EE51" s="408" t="str">
        <f>IF($B51="","",IF(INDEX(BDHKI,MATCH(DiemHKII!$C51,DiemHKI!$DI$4:$DI$58,0),EE$67)&lt;&gt;"",INDEX(BDHKI,MATCH(DiemHKII!$C51,DiemHKI!$DI$4:$DI$58,0),EE$67),""))</f>
        <v/>
      </c>
      <c r="EF51" s="408" t="str">
        <f t="shared" si="27"/>
        <v/>
      </c>
      <c r="EG51" s="409" t="str">
        <f t="shared" si="28"/>
        <v/>
      </c>
      <c r="EH51" s="162"/>
      <c r="EI51" s="163"/>
      <c r="EJ51" s="164"/>
      <c r="EK51" s="165"/>
    </row>
    <row r="52" spans="2:141" s="30" customFormat="1" ht="15.9" customHeight="1">
      <c r="B52" s="99" t="str">
        <f>IF(D52&lt;&gt;"",MAX($B$4:B51)+1,"")</f>
        <v/>
      </c>
      <c r="C52" s="339" t="str">
        <f t="shared" si="0"/>
        <v/>
      </c>
      <c r="D52" s="166"/>
      <c r="E52" s="167"/>
      <c r="F52" s="168"/>
      <c r="G52" s="163"/>
      <c r="H52" s="163"/>
      <c r="I52" s="549"/>
      <c r="J52" s="166"/>
      <c r="K52" s="166"/>
      <c r="L52" s="172"/>
      <c r="M52" s="170"/>
      <c r="N52" s="170"/>
      <c r="O52" s="550"/>
      <c r="P52" s="173"/>
      <c r="Q52" s="172"/>
      <c r="R52" s="408" t="str">
        <f>IF($B52="","",IF(INDEX(BDHKI,MATCH(DiemHKII!$C52,DiemHKI!$DI$4:$DI$58,0),R$67)&lt;&gt;"",INDEX(BDHKI,MATCH(DiemHKII!$C52,DiemHKI!$DI$4:$DI$58,0),R$67),""))</f>
        <v/>
      </c>
      <c r="S52" s="408" t="str">
        <f t="shared" si="1"/>
        <v/>
      </c>
      <c r="T52" s="409" t="str">
        <f t="shared" si="2"/>
        <v/>
      </c>
      <c r="U52" s="172"/>
      <c r="V52" s="170"/>
      <c r="W52" s="170"/>
      <c r="X52" s="550"/>
      <c r="Y52" s="173"/>
      <c r="Z52" s="172"/>
      <c r="AA52" s="433" t="str">
        <f>IF($B52="","",IF(INDEX(BDHKI,MATCH(DiemHKII!$C52,DiemHKI!$DI$4:$DI$58,0),AA$67)&lt;&gt;"",INDEX(BDHKI,MATCH(DiemHKII!$C52,DiemHKI!$DI$4:$DI$58,0),AA$67),""))</f>
        <v/>
      </c>
      <c r="AB52" s="433" t="str">
        <f t="shared" si="3"/>
        <v/>
      </c>
      <c r="AC52" s="434" t="str">
        <f t="shared" si="4"/>
        <v/>
      </c>
      <c r="AD52" s="172"/>
      <c r="AE52" s="170"/>
      <c r="AF52" s="170"/>
      <c r="AG52" s="550"/>
      <c r="AH52" s="173"/>
      <c r="AI52" s="172"/>
      <c r="AJ52" s="408" t="str">
        <f>IF($B52="","",IF(INDEX(BDHKI,MATCH(DiemHKII!$C52,DiemHKI!$DI$4:$DI$58,0),AJ$67)&lt;&gt;"",INDEX(BDHKI,MATCH(DiemHKII!$C52,DiemHKI!$DI$4:$DI$58,0),AJ$67),""))</f>
        <v/>
      </c>
      <c r="AK52" s="408" t="str">
        <f t="shared" si="5"/>
        <v/>
      </c>
      <c r="AL52" s="409" t="str">
        <f t="shared" si="6"/>
        <v/>
      </c>
      <c r="AM52" s="172"/>
      <c r="AN52" s="170"/>
      <c r="AO52" s="170"/>
      <c r="AP52" s="550"/>
      <c r="AQ52" s="173"/>
      <c r="AR52" s="172"/>
      <c r="AS52" s="433" t="str">
        <f>IF($B52="","",IF(INDEX(BDHKI,MATCH(DiemHKII!$C52,DiemHKI!$DI$4:$DI$58,0),AS$67)&lt;&gt;"",INDEX(BDHKI,MATCH(DiemHKII!$C52,DiemHKI!$DI$4:$DI$58,0),AS$67),""))</f>
        <v/>
      </c>
      <c r="AT52" s="433" t="str">
        <f t="shared" si="7"/>
        <v/>
      </c>
      <c r="AU52" s="434" t="str">
        <f t="shared" si="8"/>
        <v/>
      </c>
      <c r="AV52" s="172"/>
      <c r="AW52" s="170"/>
      <c r="AX52" s="170"/>
      <c r="AY52" s="550"/>
      <c r="AZ52" s="173"/>
      <c r="BA52" s="172"/>
      <c r="BB52" s="408" t="str">
        <f>IF($B52="","",IF(INDEX(BDHKI,MATCH(DiemHKII!$C52,DiemHKI!$DI$4:$DI$58,0),BB$67)&lt;&gt;"",INDEX(BDHKI,MATCH(DiemHKII!$C52,DiemHKI!$DI$4:$DI$58,0),BB$67),""))</f>
        <v/>
      </c>
      <c r="BC52" s="408" t="str">
        <f t="shared" si="9"/>
        <v/>
      </c>
      <c r="BD52" s="409" t="str">
        <f t="shared" si="10"/>
        <v/>
      </c>
      <c r="BE52" s="172"/>
      <c r="BF52" s="170"/>
      <c r="BG52" s="170"/>
      <c r="BH52" s="550"/>
      <c r="BI52" s="173"/>
      <c r="BJ52" s="172"/>
      <c r="BK52" s="433" t="str">
        <f>IF($B52="","",IF(INDEX(BDHKI,MATCH(DiemHKII!$C52,DiemHKI!$DI$4:$DI$58,0),BK$67)&lt;&gt;"",INDEX(BDHKI,MATCH(DiemHKII!$C52,DiemHKI!$DI$4:$DI$58,0),BK$67),""))</f>
        <v/>
      </c>
      <c r="BL52" s="433" t="str">
        <f t="shared" si="11"/>
        <v/>
      </c>
      <c r="BM52" s="434" t="str">
        <f t="shared" si="12"/>
        <v/>
      </c>
      <c r="BN52" s="172"/>
      <c r="BO52" s="170"/>
      <c r="BP52" s="170"/>
      <c r="BQ52" s="550"/>
      <c r="BR52" s="173"/>
      <c r="BS52" s="172"/>
      <c r="BT52" s="408" t="str">
        <f>IF($B52="","",IF(INDEX(BDHKI,MATCH(DiemHKII!$C52,DiemHKI!$DI$4:$DI$58,0),BT$67)&lt;&gt;"",INDEX(BDHKI,MATCH(DiemHKII!$C52,DiemHKI!$DI$4:$DI$58,0),BT$67),""))</f>
        <v/>
      </c>
      <c r="BU52" s="408" t="str">
        <f t="shared" si="13"/>
        <v/>
      </c>
      <c r="BV52" s="409" t="str">
        <f t="shared" si="14"/>
        <v/>
      </c>
      <c r="BW52" s="172"/>
      <c r="BX52" s="170"/>
      <c r="BY52" s="170"/>
      <c r="BZ52" s="550"/>
      <c r="CA52" s="173"/>
      <c r="CB52" s="172"/>
      <c r="CC52" s="408" t="str">
        <f>IF($B52="","",IF(INDEX(BDHKI,MATCH(DiemHKII!$C52,DiemHKI!$DI$4:$DI$58,0),CC$67)&lt;&gt;"",INDEX(BDHKI,MATCH(DiemHKII!$C52,DiemHKI!$DI$4:$DI$58,0),CC$67),""))</f>
        <v/>
      </c>
      <c r="CD52" s="408" t="str">
        <f t="shared" si="15"/>
        <v/>
      </c>
      <c r="CE52" s="409" t="str">
        <f t="shared" si="16"/>
        <v/>
      </c>
      <c r="CF52" s="172"/>
      <c r="CG52" s="170"/>
      <c r="CH52" s="170"/>
      <c r="CI52" s="550"/>
      <c r="CJ52" s="173"/>
      <c r="CK52" s="172"/>
      <c r="CL52" s="433" t="str">
        <f>IF($B52="","",IF(INDEX(BDHKI,MATCH(DiemHKII!$C52,DiemHKI!$DI$4:$DI$58,0),CL$67)&lt;&gt;"",INDEX(BDHKI,MATCH(DiemHKII!$C52,DiemHKI!$DI$4:$DI$58,0),CL$67),""))</f>
        <v/>
      </c>
      <c r="CM52" s="433" t="str">
        <f t="shared" si="17"/>
        <v/>
      </c>
      <c r="CN52" s="434" t="str">
        <f t="shared" si="18"/>
        <v/>
      </c>
      <c r="CO52" s="172"/>
      <c r="CP52" s="170"/>
      <c r="CQ52" s="170"/>
      <c r="CR52" s="550"/>
      <c r="CS52" s="173"/>
      <c r="CT52" s="172"/>
      <c r="CU52" s="408" t="str">
        <f>IF($B52="","",IF(INDEX(BDHKI,MATCH(DiemHKII!$C52,DiemHKI!$DI$4:$DI$58,0),CU$67)&lt;&gt;"",INDEX(BDHKI,MATCH(DiemHKII!$C52,DiemHKI!$DI$4:$DI$58,0),CU$67),""))</f>
        <v/>
      </c>
      <c r="CV52" s="408" t="str">
        <f t="shared" si="19"/>
        <v/>
      </c>
      <c r="CW52" s="409" t="str">
        <f t="shared" si="20"/>
        <v/>
      </c>
      <c r="CX52" s="172"/>
      <c r="CY52" s="170"/>
      <c r="CZ52" s="170"/>
      <c r="DA52" s="550"/>
      <c r="DB52" s="173"/>
      <c r="DC52" s="172"/>
      <c r="DD52" s="433" t="str">
        <f>IF($B52="","",IF(INDEX(BDHKI,MATCH(DiemHKII!$C52,DiemHKI!$DI$4:$DI$58,0),DD$67)&lt;&gt;"",INDEX(BDHKI,MATCH(DiemHKII!$C52,DiemHKI!$DI$4:$DI$58,0),DD$67),""))</f>
        <v/>
      </c>
      <c r="DE52" s="433" t="str">
        <f t="shared" si="21"/>
        <v/>
      </c>
      <c r="DF52" s="434" t="str">
        <f t="shared" si="22"/>
        <v/>
      </c>
      <c r="DG52" s="206"/>
      <c r="DH52" s="207"/>
      <c r="DI52" s="207"/>
      <c r="DJ52" s="208"/>
      <c r="DK52" s="209"/>
      <c r="DL52" s="178"/>
      <c r="DM52" s="532" t="str">
        <f>IF($B52="","",IF(INDEX(BDHKI,MATCH(DiemHKII!$C52,DiemHKI!$DI$4:$DI$58,0),DM$67)&lt;&gt;"",INDEX(BDHKI,MATCH(DiemHKII!$C52,DiemHKI!$DI$4:$DI$58,0),DM$67),""))</f>
        <v/>
      </c>
      <c r="DN52" s="532" t="str">
        <f t="shared" si="23"/>
        <v/>
      </c>
      <c r="DO52" s="532" t="str">
        <f t="shared" si="24"/>
        <v/>
      </c>
      <c r="DP52" s="172"/>
      <c r="DQ52" s="170"/>
      <c r="DR52" s="170"/>
      <c r="DS52" s="550"/>
      <c r="DT52" s="173"/>
      <c r="DU52" s="172"/>
      <c r="DV52" s="433" t="str">
        <f>IF($B52="","",IF(INDEX(BDHKI,MATCH(DiemHKII!$C52,DiemHKI!$DI$4:$DI$58,0),DV$67)&lt;&gt;"",INDEX(BDHKI,MATCH(DiemHKII!$C52,DiemHKI!$DI$4:$DI$58,0),DV$67),""))</f>
        <v/>
      </c>
      <c r="DW52" s="433" t="str">
        <f t="shared" si="25"/>
        <v/>
      </c>
      <c r="DX52" s="434" t="str">
        <f t="shared" si="26"/>
        <v/>
      </c>
      <c r="DY52" s="172"/>
      <c r="DZ52" s="170"/>
      <c r="EA52" s="170"/>
      <c r="EB52" s="550"/>
      <c r="EC52" s="173"/>
      <c r="ED52" s="172"/>
      <c r="EE52" s="408" t="str">
        <f>IF($B52="","",IF(INDEX(BDHKI,MATCH(DiemHKII!$C52,DiemHKI!$DI$4:$DI$58,0),EE$67)&lt;&gt;"",INDEX(BDHKI,MATCH(DiemHKII!$C52,DiemHKI!$DI$4:$DI$58,0),EE$67),""))</f>
        <v/>
      </c>
      <c r="EF52" s="408" t="str">
        <f t="shared" si="27"/>
        <v/>
      </c>
      <c r="EG52" s="409" t="str">
        <f t="shared" si="28"/>
        <v/>
      </c>
      <c r="EH52" s="162"/>
      <c r="EI52" s="163"/>
      <c r="EJ52" s="164"/>
      <c r="EK52" s="165"/>
    </row>
    <row r="53" spans="2:141" s="30" customFormat="1" ht="15.9" customHeight="1">
      <c r="B53" s="105" t="str">
        <f>IF(D53&lt;&gt;"",MAX($B$4:B52)+1,"")</f>
        <v/>
      </c>
      <c r="C53" s="340" t="str">
        <f t="shared" si="0"/>
        <v/>
      </c>
      <c r="D53" s="179"/>
      <c r="E53" s="180"/>
      <c r="F53" s="181"/>
      <c r="G53" s="182"/>
      <c r="H53" s="182"/>
      <c r="I53" s="551"/>
      <c r="J53" s="179"/>
      <c r="K53" s="179"/>
      <c r="L53" s="187"/>
      <c r="M53" s="185"/>
      <c r="N53" s="185"/>
      <c r="O53" s="552"/>
      <c r="P53" s="188"/>
      <c r="Q53" s="187"/>
      <c r="R53" s="410" t="str">
        <f>IF($B53="","",IF(INDEX(BDHKI,MATCH(DiemHKII!$C53,DiemHKI!$DI$4:$DI$58,0),R$67)&lt;&gt;"",INDEX(BDHKI,MATCH(DiemHKII!$C53,DiemHKI!$DI$4:$DI$58,0),R$67),""))</f>
        <v/>
      </c>
      <c r="S53" s="410" t="str">
        <f t="shared" si="1"/>
        <v/>
      </c>
      <c r="T53" s="411" t="str">
        <f t="shared" si="2"/>
        <v/>
      </c>
      <c r="U53" s="187"/>
      <c r="V53" s="185"/>
      <c r="W53" s="185"/>
      <c r="X53" s="552"/>
      <c r="Y53" s="188"/>
      <c r="Z53" s="187"/>
      <c r="AA53" s="435" t="str">
        <f>IF($B53="","",IF(INDEX(BDHKI,MATCH(DiemHKII!$C53,DiemHKI!$DI$4:$DI$58,0),AA$67)&lt;&gt;"",INDEX(BDHKI,MATCH(DiemHKII!$C53,DiemHKI!$DI$4:$DI$58,0),AA$67),""))</f>
        <v/>
      </c>
      <c r="AB53" s="435" t="str">
        <f t="shared" si="3"/>
        <v/>
      </c>
      <c r="AC53" s="436" t="str">
        <f t="shared" si="4"/>
        <v/>
      </c>
      <c r="AD53" s="187"/>
      <c r="AE53" s="185"/>
      <c r="AF53" s="185"/>
      <c r="AG53" s="552"/>
      <c r="AH53" s="188"/>
      <c r="AI53" s="187"/>
      <c r="AJ53" s="410" t="str">
        <f>IF($B53="","",IF(INDEX(BDHKI,MATCH(DiemHKII!$C53,DiemHKI!$DI$4:$DI$58,0),AJ$67)&lt;&gt;"",INDEX(BDHKI,MATCH(DiemHKII!$C53,DiemHKI!$DI$4:$DI$58,0),AJ$67),""))</f>
        <v/>
      </c>
      <c r="AK53" s="410" t="str">
        <f t="shared" si="5"/>
        <v/>
      </c>
      <c r="AL53" s="411" t="str">
        <f t="shared" si="6"/>
        <v/>
      </c>
      <c r="AM53" s="187"/>
      <c r="AN53" s="185"/>
      <c r="AO53" s="185"/>
      <c r="AP53" s="552"/>
      <c r="AQ53" s="188"/>
      <c r="AR53" s="187"/>
      <c r="AS53" s="435" t="str">
        <f>IF($B53="","",IF(INDEX(BDHKI,MATCH(DiemHKII!$C53,DiemHKI!$DI$4:$DI$58,0),AS$67)&lt;&gt;"",INDEX(BDHKI,MATCH(DiemHKII!$C53,DiemHKI!$DI$4:$DI$58,0),AS$67),""))</f>
        <v/>
      </c>
      <c r="AT53" s="435" t="str">
        <f t="shared" si="7"/>
        <v/>
      </c>
      <c r="AU53" s="436" t="str">
        <f t="shared" si="8"/>
        <v/>
      </c>
      <c r="AV53" s="187"/>
      <c r="AW53" s="185"/>
      <c r="AX53" s="185"/>
      <c r="AY53" s="552"/>
      <c r="AZ53" s="188"/>
      <c r="BA53" s="187"/>
      <c r="BB53" s="410" t="str">
        <f>IF($B53="","",IF(INDEX(BDHKI,MATCH(DiemHKII!$C53,DiemHKI!$DI$4:$DI$58,0),BB$67)&lt;&gt;"",INDEX(BDHKI,MATCH(DiemHKII!$C53,DiemHKI!$DI$4:$DI$58,0),BB$67),""))</f>
        <v/>
      </c>
      <c r="BC53" s="410" t="str">
        <f t="shared" si="9"/>
        <v/>
      </c>
      <c r="BD53" s="411" t="str">
        <f t="shared" si="10"/>
        <v/>
      </c>
      <c r="BE53" s="187"/>
      <c r="BF53" s="185"/>
      <c r="BG53" s="185"/>
      <c r="BH53" s="552"/>
      <c r="BI53" s="188"/>
      <c r="BJ53" s="187"/>
      <c r="BK53" s="435" t="str">
        <f>IF($B53="","",IF(INDEX(BDHKI,MATCH(DiemHKII!$C53,DiemHKI!$DI$4:$DI$58,0),BK$67)&lt;&gt;"",INDEX(BDHKI,MATCH(DiemHKII!$C53,DiemHKI!$DI$4:$DI$58,0),BK$67),""))</f>
        <v/>
      </c>
      <c r="BL53" s="435" t="str">
        <f t="shared" si="11"/>
        <v/>
      </c>
      <c r="BM53" s="436" t="str">
        <f t="shared" si="12"/>
        <v/>
      </c>
      <c r="BN53" s="187"/>
      <c r="BO53" s="185"/>
      <c r="BP53" s="185"/>
      <c r="BQ53" s="552"/>
      <c r="BR53" s="188"/>
      <c r="BS53" s="187"/>
      <c r="BT53" s="410" t="str">
        <f>IF($B53="","",IF(INDEX(BDHKI,MATCH(DiemHKII!$C53,DiemHKI!$DI$4:$DI$58,0),BT$67)&lt;&gt;"",INDEX(BDHKI,MATCH(DiemHKII!$C53,DiemHKI!$DI$4:$DI$58,0),BT$67),""))</f>
        <v/>
      </c>
      <c r="BU53" s="410" t="str">
        <f t="shared" si="13"/>
        <v/>
      </c>
      <c r="BV53" s="411" t="str">
        <f t="shared" si="14"/>
        <v/>
      </c>
      <c r="BW53" s="187"/>
      <c r="BX53" s="185"/>
      <c r="BY53" s="185"/>
      <c r="BZ53" s="552"/>
      <c r="CA53" s="188"/>
      <c r="CB53" s="187"/>
      <c r="CC53" s="410" t="str">
        <f>IF($B53="","",IF(INDEX(BDHKI,MATCH(DiemHKII!$C53,DiemHKI!$DI$4:$DI$58,0),CC$67)&lt;&gt;"",INDEX(BDHKI,MATCH(DiemHKII!$C53,DiemHKI!$DI$4:$DI$58,0),CC$67),""))</f>
        <v/>
      </c>
      <c r="CD53" s="410" t="str">
        <f t="shared" si="15"/>
        <v/>
      </c>
      <c r="CE53" s="411" t="str">
        <f t="shared" si="16"/>
        <v/>
      </c>
      <c r="CF53" s="187"/>
      <c r="CG53" s="185"/>
      <c r="CH53" s="185"/>
      <c r="CI53" s="552"/>
      <c r="CJ53" s="188"/>
      <c r="CK53" s="187"/>
      <c r="CL53" s="435" t="str">
        <f>IF($B53="","",IF(INDEX(BDHKI,MATCH(DiemHKII!$C53,DiemHKI!$DI$4:$DI$58,0),CL$67)&lt;&gt;"",INDEX(BDHKI,MATCH(DiemHKII!$C53,DiemHKI!$DI$4:$DI$58,0),CL$67),""))</f>
        <v/>
      </c>
      <c r="CM53" s="435" t="str">
        <f t="shared" si="17"/>
        <v/>
      </c>
      <c r="CN53" s="436" t="str">
        <f t="shared" si="18"/>
        <v/>
      </c>
      <c r="CO53" s="187"/>
      <c r="CP53" s="185"/>
      <c r="CQ53" s="185"/>
      <c r="CR53" s="552"/>
      <c r="CS53" s="188"/>
      <c r="CT53" s="187"/>
      <c r="CU53" s="410" t="str">
        <f>IF($B53="","",IF(INDEX(BDHKI,MATCH(DiemHKII!$C53,DiemHKI!$DI$4:$DI$58,0),CU$67)&lt;&gt;"",INDEX(BDHKI,MATCH(DiemHKII!$C53,DiemHKI!$DI$4:$DI$58,0),CU$67),""))</f>
        <v/>
      </c>
      <c r="CV53" s="410" t="str">
        <f t="shared" si="19"/>
        <v/>
      </c>
      <c r="CW53" s="411" t="str">
        <f t="shared" si="20"/>
        <v/>
      </c>
      <c r="CX53" s="187"/>
      <c r="CY53" s="185"/>
      <c r="CZ53" s="185"/>
      <c r="DA53" s="552"/>
      <c r="DB53" s="188"/>
      <c r="DC53" s="187"/>
      <c r="DD53" s="435" t="str">
        <f>IF($B53="","",IF(INDEX(BDHKI,MATCH(DiemHKII!$C53,DiemHKI!$DI$4:$DI$58,0),DD$67)&lt;&gt;"",INDEX(BDHKI,MATCH(DiemHKII!$C53,DiemHKI!$DI$4:$DI$58,0),DD$67),""))</f>
        <v/>
      </c>
      <c r="DE53" s="435" t="str">
        <f t="shared" si="21"/>
        <v/>
      </c>
      <c r="DF53" s="436" t="str">
        <f t="shared" si="22"/>
        <v/>
      </c>
      <c r="DG53" s="213"/>
      <c r="DH53" s="214"/>
      <c r="DI53" s="214"/>
      <c r="DJ53" s="215"/>
      <c r="DK53" s="216"/>
      <c r="DL53" s="193"/>
      <c r="DM53" s="533" t="str">
        <f>IF($B53="","",IF(INDEX(BDHKI,MATCH(DiemHKII!$C53,DiemHKI!$DI$4:$DI$58,0),DM$67)&lt;&gt;"",INDEX(BDHKI,MATCH(DiemHKII!$C53,DiemHKI!$DI$4:$DI$58,0),DM$67),""))</f>
        <v/>
      </c>
      <c r="DN53" s="533" t="str">
        <f t="shared" si="23"/>
        <v/>
      </c>
      <c r="DO53" s="533" t="str">
        <f t="shared" si="24"/>
        <v/>
      </c>
      <c r="DP53" s="187"/>
      <c r="DQ53" s="185"/>
      <c r="DR53" s="185"/>
      <c r="DS53" s="552"/>
      <c r="DT53" s="188"/>
      <c r="DU53" s="187"/>
      <c r="DV53" s="435" t="str">
        <f>IF($B53="","",IF(INDEX(BDHKI,MATCH(DiemHKII!$C53,DiemHKI!$DI$4:$DI$58,0),DV$67)&lt;&gt;"",INDEX(BDHKI,MATCH(DiemHKII!$C53,DiemHKI!$DI$4:$DI$58,0),DV$67),""))</f>
        <v/>
      </c>
      <c r="DW53" s="435" t="str">
        <f t="shared" si="25"/>
        <v/>
      </c>
      <c r="DX53" s="436" t="str">
        <f t="shared" si="26"/>
        <v/>
      </c>
      <c r="DY53" s="187"/>
      <c r="DZ53" s="185"/>
      <c r="EA53" s="185"/>
      <c r="EB53" s="552"/>
      <c r="EC53" s="188"/>
      <c r="ED53" s="187"/>
      <c r="EE53" s="410" t="str">
        <f>IF($B53="","",IF(INDEX(BDHKI,MATCH(DiemHKII!$C53,DiemHKI!$DI$4:$DI$58,0),EE$67)&lt;&gt;"",INDEX(BDHKI,MATCH(DiemHKII!$C53,DiemHKI!$DI$4:$DI$58,0),EE$67),""))</f>
        <v/>
      </c>
      <c r="EF53" s="410" t="str">
        <f t="shared" si="27"/>
        <v/>
      </c>
      <c r="EG53" s="411" t="str">
        <f t="shared" si="28"/>
        <v/>
      </c>
      <c r="EH53" s="194"/>
      <c r="EI53" s="182"/>
      <c r="EJ53" s="183"/>
      <c r="EK53" s="195"/>
    </row>
    <row r="54" spans="2:141" s="30" customFormat="1" ht="15.9" customHeight="1">
      <c r="B54" s="111" t="str">
        <f>IF(D54&lt;&gt;"",MAX($B$4:B53)+1,"")</f>
        <v/>
      </c>
      <c r="C54" s="341" t="str">
        <f t="shared" si="0"/>
        <v/>
      </c>
      <c r="D54" s="196"/>
      <c r="E54" s="197"/>
      <c r="F54" s="198"/>
      <c r="G54" s="199"/>
      <c r="H54" s="199"/>
      <c r="I54" s="553"/>
      <c r="J54" s="196"/>
      <c r="K54" s="196"/>
      <c r="L54" s="204"/>
      <c r="M54" s="202"/>
      <c r="N54" s="202"/>
      <c r="O54" s="554"/>
      <c r="P54" s="205"/>
      <c r="Q54" s="204"/>
      <c r="R54" s="412" t="str">
        <f>IF($B54="","",IF(INDEX(BDHKI,MATCH(DiemHKII!$C54,DiemHKI!$DI$4:$DI$58,0),R$67)&lt;&gt;"",INDEX(BDHKI,MATCH(DiemHKII!$C54,DiemHKI!$DI$4:$DI$58,0),R$67),""))</f>
        <v/>
      </c>
      <c r="S54" s="412" t="str">
        <f t="shared" si="1"/>
        <v/>
      </c>
      <c r="T54" s="413" t="str">
        <f t="shared" si="2"/>
        <v/>
      </c>
      <c r="U54" s="204"/>
      <c r="V54" s="202"/>
      <c r="W54" s="202"/>
      <c r="X54" s="554"/>
      <c r="Y54" s="205"/>
      <c r="Z54" s="204"/>
      <c r="AA54" s="437" t="str">
        <f>IF($B54="","",IF(INDEX(BDHKI,MATCH(DiemHKII!$C54,DiemHKI!$DI$4:$DI$58,0),AA$67)&lt;&gt;"",INDEX(BDHKI,MATCH(DiemHKII!$C54,DiemHKI!$DI$4:$DI$58,0),AA$67),""))</f>
        <v/>
      </c>
      <c r="AB54" s="437" t="str">
        <f t="shared" si="3"/>
        <v/>
      </c>
      <c r="AC54" s="438" t="str">
        <f t="shared" si="4"/>
        <v/>
      </c>
      <c r="AD54" s="204"/>
      <c r="AE54" s="202"/>
      <c r="AF54" s="202"/>
      <c r="AG54" s="554"/>
      <c r="AH54" s="205"/>
      <c r="AI54" s="204"/>
      <c r="AJ54" s="412" t="str">
        <f>IF($B54="","",IF(INDEX(BDHKI,MATCH(DiemHKII!$C54,DiemHKI!$DI$4:$DI$58,0),AJ$67)&lt;&gt;"",INDEX(BDHKI,MATCH(DiemHKII!$C54,DiemHKI!$DI$4:$DI$58,0),AJ$67),""))</f>
        <v/>
      </c>
      <c r="AK54" s="412" t="str">
        <f t="shared" si="5"/>
        <v/>
      </c>
      <c r="AL54" s="413" t="str">
        <f t="shared" si="6"/>
        <v/>
      </c>
      <c r="AM54" s="204"/>
      <c r="AN54" s="202"/>
      <c r="AO54" s="202"/>
      <c r="AP54" s="554"/>
      <c r="AQ54" s="205"/>
      <c r="AR54" s="204"/>
      <c r="AS54" s="437" t="str">
        <f>IF($B54="","",IF(INDEX(BDHKI,MATCH(DiemHKII!$C54,DiemHKI!$DI$4:$DI$58,0),AS$67)&lt;&gt;"",INDEX(BDHKI,MATCH(DiemHKII!$C54,DiemHKI!$DI$4:$DI$58,0),AS$67),""))</f>
        <v/>
      </c>
      <c r="AT54" s="437" t="str">
        <f t="shared" si="7"/>
        <v/>
      </c>
      <c r="AU54" s="438" t="str">
        <f t="shared" si="8"/>
        <v/>
      </c>
      <c r="AV54" s="204"/>
      <c r="AW54" s="202"/>
      <c r="AX54" s="202"/>
      <c r="AY54" s="554"/>
      <c r="AZ54" s="205"/>
      <c r="BA54" s="204"/>
      <c r="BB54" s="412" t="str">
        <f>IF($B54="","",IF(INDEX(BDHKI,MATCH(DiemHKII!$C54,DiemHKI!$DI$4:$DI$58,0),BB$67)&lt;&gt;"",INDEX(BDHKI,MATCH(DiemHKII!$C54,DiemHKI!$DI$4:$DI$58,0),BB$67),""))</f>
        <v/>
      </c>
      <c r="BC54" s="412" t="str">
        <f t="shared" si="9"/>
        <v/>
      </c>
      <c r="BD54" s="413" t="str">
        <f t="shared" si="10"/>
        <v/>
      </c>
      <c r="BE54" s="204"/>
      <c r="BF54" s="202"/>
      <c r="BG54" s="202"/>
      <c r="BH54" s="554"/>
      <c r="BI54" s="205"/>
      <c r="BJ54" s="204"/>
      <c r="BK54" s="437" t="str">
        <f>IF($B54="","",IF(INDEX(BDHKI,MATCH(DiemHKII!$C54,DiemHKI!$DI$4:$DI$58,0),BK$67)&lt;&gt;"",INDEX(BDHKI,MATCH(DiemHKII!$C54,DiemHKI!$DI$4:$DI$58,0),BK$67),""))</f>
        <v/>
      </c>
      <c r="BL54" s="437" t="str">
        <f t="shared" si="11"/>
        <v/>
      </c>
      <c r="BM54" s="438" t="str">
        <f t="shared" si="12"/>
        <v/>
      </c>
      <c r="BN54" s="204"/>
      <c r="BO54" s="202"/>
      <c r="BP54" s="202"/>
      <c r="BQ54" s="554"/>
      <c r="BR54" s="205"/>
      <c r="BS54" s="204"/>
      <c r="BT54" s="412" t="str">
        <f>IF($B54="","",IF(INDEX(BDHKI,MATCH(DiemHKII!$C54,DiemHKI!$DI$4:$DI$58,0),BT$67)&lt;&gt;"",INDEX(BDHKI,MATCH(DiemHKII!$C54,DiemHKI!$DI$4:$DI$58,0),BT$67),""))</f>
        <v/>
      </c>
      <c r="BU54" s="412" t="str">
        <f t="shared" si="13"/>
        <v/>
      </c>
      <c r="BV54" s="413" t="str">
        <f t="shared" si="14"/>
        <v/>
      </c>
      <c r="BW54" s="204"/>
      <c r="BX54" s="202"/>
      <c r="BY54" s="202"/>
      <c r="BZ54" s="554"/>
      <c r="CA54" s="205"/>
      <c r="CB54" s="204"/>
      <c r="CC54" s="412" t="str">
        <f>IF($B54="","",IF(INDEX(BDHKI,MATCH(DiemHKII!$C54,DiemHKI!$DI$4:$DI$58,0),CC$67)&lt;&gt;"",INDEX(BDHKI,MATCH(DiemHKII!$C54,DiemHKI!$DI$4:$DI$58,0),CC$67),""))</f>
        <v/>
      </c>
      <c r="CD54" s="412" t="str">
        <f t="shared" si="15"/>
        <v/>
      </c>
      <c r="CE54" s="413" t="str">
        <f t="shared" si="16"/>
        <v/>
      </c>
      <c r="CF54" s="204"/>
      <c r="CG54" s="202"/>
      <c r="CH54" s="202"/>
      <c r="CI54" s="554"/>
      <c r="CJ54" s="205"/>
      <c r="CK54" s="204"/>
      <c r="CL54" s="437" t="str">
        <f>IF($B54="","",IF(INDEX(BDHKI,MATCH(DiemHKII!$C54,DiemHKI!$DI$4:$DI$58,0),CL$67)&lt;&gt;"",INDEX(BDHKI,MATCH(DiemHKII!$C54,DiemHKI!$DI$4:$DI$58,0),CL$67),""))</f>
        <v/>
      </c>
      <c r="CM54" s="437" t="str">
        <f t="shared" si="17"/>
        <v/>
      </c>
      <c r="CN54" s="438" t="str">
        <f t="shared" si="18"/>
        <v/>
      </c>
      <c r="CO54" s="204"/>
      <c r="CP54" s="202"/>
      <c r="CQ54" s="202"/>
      <c r="CR54" s="554"/>
      <c r="CS54" s="205"/>
      <c r="CT54" s="204"/>
      <c r="CU54" s="412" t="str">
        <f>IF($B54="","",IF(INDEX(BDHKI,MATCH(DiemHKII!$C54,DiemHKI!$DI$4:$DI$58,0),CU$67)&lt;&gt;"",INDEX(BDHKI,MATCH(DiemHKII!$C54,DiemHKI!$DI$4:$DI$58,0),CU$67),""))</f>
        <v/>
      </c>
      <c r="CV54" s="412" t="str">
        <f t="shared" si="19"/>
        <v/>
      </c>
      <c r="CW54" s="413" t="str">
        <f t="shared" si="20"/>
        <v/>
      </c>
      <c r="CX54" s="204"/>
      <c r="CY54" s="202"/>
      <c r="CZ54" s="202"/>
      <c r="DA54" s="554"/>
      <c r="DB54" s="205"/>
      <c r="DC54" s="204"/>
      <c r="DD54" s="437" t="str">
        <f>IF($B54="","",IF(INDEX(BDHKI,MATCH(DiemHKII!$C54,DiemHKI!$DI$4:$DI$58,0),DD$67)&lt;&gt;"",INDEX(BDHKI,MATCH(DiemHKII!$C54,DiemHKI!$DI$4:$DI$58,0),DD$67),""))</f>
        <v/>
      </c>
      <c r="DE54" s="437" t="str">
        <f t="shared" si="21"/>
        <v/>
      </c>
      <c r="DF54" s="438" t="str">
        <f t="shared" si="22"/>
        <v/>
      </c>
      <c r="DG54" s="206"/>
      <c r="DH54" s="207"/>
      <c r="DI54" s="207"/>
      <c r="DJ54" s="208"/>
      <c r="DK54" s="209"/>
      <c r="DL54" s="210"/>
      <c r="DM54" s="531" t="str">
        <f>IF($B54="","",IF(INDEX(BDHKI,MATCH(DiemHKII!$C54,DiemHKI!$DI$4:$DI$58,0),DM$67)&lt;&gt;"",INDEX(BDHKI,MATCH(DiemHKII!$C54,DiemHKI!$DI$4:$DI$58,0),DM$67),""))</f>
        <v/>
      </c>
      <c r="DN54" s="531" t="str">
        <f t="shared" si="23"/>
        <v/>
      </c>
      <c r="DO54" s="531" t="str">
        <f t="shared" si="24"/>
        <v/>
      </c>
      <c r="DP54" s="204"/>
      <c r="DQ54" s="202"/>
      <c r="DR54" s="202"/>
      <c r="DS54" s="554"/>
      <c r="DT54" s="205"/>
      <c r="DU54" s="204"/>
      <c r="DV54" s="437" t="str">
        <f>IF($B54="","",IF(INDEX(BDHKI,MATCH(DiemHKII!$C54,DiemHKI!$DI$4:$DI$58,0),DV$67)&lt;&gt;"",INDEX(BDHKI,MATCH(DiemHKII!$C54,DiemHKI!$DI$4:$DI$58,0),DV$67),""))</f>
        <v/>
      </c>
      <c r="DW54" s="437" t="str">
        <f t="shared" si="25"/>
        <v/>
      </c>
      <c r="DX54" s="438" t="str">
        <f t="shared" si="26"/>
        <v/>
      </c>
      <c r="DY54" s="204"/>
      <c r="DZ54" s="202"/>
      <c r="EA54" s="202"/>
      <c r="EB54" s="554"/>
      <c r="EC54" s="205"/>
      <c r="ED54" s="204"/>
      <c r="EE54" s="412" t="str">
        <f>IF($B54="","",IF(INDEX(BDHKI,MATCH(DiemHKII!$C54,DiemHKI!$DI$4:$DI$58,0),EE$67)&lt;&gt;"",INDEX(BDHKI,MATCH(DiemHKII!$C54,DiemHKI!$DI$4:$DI$58,0),EE$67),""))</f>
        <v/>
      </c>
      <c r="EF54" s="412" t="str">
        <f t="shared" si="27"/>
        <v/>
      </c>
      <c r="EG54" s="413" t="str">
        <f t="shared" si="28"/>
        <v/>
      </c>
      <c r="EH54" s="211"/>
      <c r="EI54" s="199"/>
      <c r="EJ54" s="200"/>
      <c r="EK54" s="212"/>
    </row>
    <row r="55" spans="2:141" s="30" customFormat="1" ht="15.9" customHeight="1">
      <c r="B55" s="99" t="str">
        <f>IF(D55&lt;&gt;"",MAX($B$4:B54)+1,"")</f>
        <v/>
      </c>
      <c r="C55" s="339" t="str">
        <f t="shared" si="0"/>
        <v/>
      </c>
      <c r="D55" s="166"/>
      <c r="E55" s="167"/>
      <c r="F55" s="168"/>
      <c r="G55" s="163"/>
      <c r="H55" s="163"/>
      <c r="I55" s="549"/>
      <c r="J55" s="166"/>
      <c r="K55" s="166"/>
      <c r="L55" s="172"/>
      <c r="M55" s="170"/>
      <c r="N55" s="170"/>
      <c r="O55" s="550"/>
      <c r="P55" s="173"/>
      <c r="Q55" s="172"/>
      <c r="R55" s="408" t="str">
        <f>IF($B55="","",IF(INDEX(BDHKI,MATCH(DiemHKII!$C55,DiemHKI!$DI$4:$DI$58,0),R$67)&lt;&gt;"",INDEX(BDHKI,MATCH(DiemHKII!$C55,DiemHKI!$DI$4:$DI$58,0),R$67),""))</f>
        <v/>
      </c>
      <c r="S55" s="408" t="str">
        <f t="shared" si="1"/>
        <v/>
      </c>
      <c r="T55" s="409" t="str">
        <f t="shared" si="2"/>
        <v/>
      </c>
      <c r="U55" s="172"/>
      <c r="V55" s="170"/>
      <c r="W55" s="170"/>
      <c r="X55" s="550"/>
      <c r="Y55" s="173"/>
      <c r="Z55" s="172"/>
      <c r="AA55" s="433" t="str">
        <f>IF($B55="","",IF(INDEX(BDHKI,MATCH(DiemHKII!$C55,DiemHKI!$DI$4:$DI$58,0),AA$67)&lt;&gt;"",INDEX(BDHKI,MATCH(DiemHKII!$C55,DiemHKI!$DI$4:$DI$58,0),AA$67),""))</f>
        <v/>
      </c>
      <c r="AB55" s="433" t="str">
        <f t="shared" si="3"/>
        <v/>
      </c>
      <c r="AC55" s="434" t="str">
        <f t="shared" si="4"/>
        <v/>
      </c>
      <c r="AD55" s="172"/>
      <c r="AE55" s="170"/>
      <c r="AF55" s="170"/>
      <c r="AG55" s="550"/>
      <c r="AH55" s="173"/>
      <c r="AI55" s="172"/>
      <c r="AJ55" s="408" t="str">
        <f>IF($B55="","",IF(INDEX(BDHKI,MATCH(DiemHKII!$C55,DiemHKI!$DI$4:$DI$58,0),AJ$67)&lt;&gt;"",INDEX(BDHKI,MATCH(DiemHKII!$C55,DiemHKI!$DI$4:$DI$58,0),AJ$67),""))</f>
        <v/>
      </c>
      <c r="AK55" s="408" t="str">
        <f t="shared" si="5"/>
        <v/>
      </c>
      <c r="AL55" s="409" t="str">
        <f t="shared" si="6"/>
        <v/>
      </c>
      <c r="AM55" s="172"/>
      <c r="AN55" s="170"/>
      <c r="AO55" s="170"/>
      <c r="AP55" s="550"/>
      <c r="AQ55" s="173"/>
      <c r="AR55" s="172"/>
      <c r="AS55" s="433" t="str">
        <f>IF($B55="","",IF(INDEX(BDHKI,MATCH(DiemHKII!$C55,DiemHKI!$DI$4:$DI$58,0),AS$67)&lt;&gt;"",INDEX(BDHKI,MATCH(DiemHKII!$C55,DiemHKI!$DI$4:$DI$58,0),AS$67),""))</f>
        <v/>
      </c>
      <c r="AT55" s="433" t="str">
        <f t="shared" si="7"/>
        <v/>
      </c>
      <c r="AU55" s="434" t="str">
        <f t="shared" si="8"/>
        <v/>
      </c>
      <c r="AV55" s="172"/>
      <c r="AW55" s="170"/>
      <c r="AX55" s="170"/>
      <c r="AY55" s="550"/>
      <c r="AZ55" s="173"/>
      <c r="BA55" s="172"/>
      <c r="BB55" s="408" t="str">
        <f>IF($B55="","",IF(INDEX(BDHKI,MATCH(DiemHKII!$C55,DiemHKI!$DI$4:$DI$58,0),BB$67)&lt;&gt;"",INDEX(BDHKI,MATCH(DiemHKII!$C55,DiemHKI!$DI$4:$DI$58,0),BB$67),""))</f>
        <v/>
      </c>
      <c r="BC55" s="408" t="str">
        <f t="shared" si="9"/>
        <v/>
      </c>
      <c r="BD55" s="409" t="str">
        <f t="shared" si="10"/>
        <v/>
      </c>
      <c r="BE55" s="172"/>
      <c r="BF55" s="170"/>
      <c r="BG55" s="170"/>
      <c r="BH55" s="550"/>
      <c r="BI55" s="173"/>
      <c r="BJ55" s="172"/>
      <c r="BK55" s="433" t="str">
        <f>IF($B55="","",IF(INDEX(BDHKI,MATCH(DiemHKII!$C55,DiemHKI!$DI$4:$DI$58,0),BK$67)&lt;&gt;"",INDEX(BDHKI,MATCH(DiemHKII!$C55,DiemHKI!$DI$4:$DI$58,0),BK$67),""))</f>
        <v/>
      </c>
      <c r="BL55" s="433" t="str">
        <f t="shared" si="11"/>
        <v/>
      </c>
      <c r="BM55" s="434" t="str">
        <f t="shared" si="12"/>
        <v/>
      </c>
      <c r="BN55" s="172"/>
      <c r="BO55" s="170"/>
      <c r="BP55" s="170"/>
      <c r="BQ55" s="550"/>
      <c r="BR55" s="173"/>
      <c r="BS55" s="172"/>
      <c r="BT55" s="408" t="str">
        <f>IF($B55="","",IF(INDEX(BDHKI,MATCH(DiemHKII!$C55,DiemHKI!$DI$4:$DI$58,0),BT$67)&lt;&gt;"",INDEX(BDHKI,MATCH(DiemHKII!$C55,DiemHKI!$DI$4:$DI$58,0),BT$67),""))</f>
        <v/>
      </c>
      <c r="BU55" s="408" t="str">
        <f t="shared" si="13"/>
        <v/>
      </c>
      <c r="BV55" s="409" t="str">
        <f t="shared" si="14"/>
        <v/>
      </c>
      <c r="BW55" s="172"/>
      <c r="BX55" s="170"/>
      <c r="BY55" s="170"/>
      <c r="BZ55" s="550"/>
      <c r="CA55" s="173"/>
      <c r="CB55" s="172"/>
      <c r="CC55" s="408" t="str">
        <f>IF($B55="","",IF(INDEX(BDHKI,MATCH(DiemHKII!$C55,DiemHKI!$DI$4:$DI$58,0),CC$67)&lt;&gt;"",INDEX(BDHKI,MATCH(DiemHKII!$C55,DiemHKI!$DI$4:$DI$58,0),CC$67),""))</f>
        <v/>
      </c>
      <c r="CD55" s="408" t="str">
        <f t="shared" si="15"/>
        <v/>
      </c>
      <c r="CE55" s="409" t="str">
        <f t="shared" si="16"/>
        <v/>
      </c>
      <c r="CF55" s="172"/>
      <c r="CG55" s="170"/>
      <c r="CH55" s="170"/>
      <c r="CI55" s="550"/>
      <c r="CJ55" s="173"/>
      <c r="CK55" s="172"/>
      <c r="CL55" s="433" t="str">
        <f>IF($B55="","",IF(INDEX(BDHKI,MATCH(DiemHKII!$C55,DiemHKI!$DI$4:$DI$58,0),CL$67)&lt;&gt;"",INDEX(BDHKI,MATCH(DiemHKII!$C55,DiemHKI!$DI$4:$DI$58,0),CL$67),""))</f>
        <v/>
      </c>
      <c r="CM55" s="433" t="str">
        <f t="shared" si="17"/>
        <v/>
      </c>
      <c r="CN55" s="434" t="str">
        <f t="shared" si="18"/>
        <v/>
      </c>
      <c r="CO55" s="172"/>
      <c r="CP55" s="170"/>
      <c r="CQ55" s="170"/>
      <c r="CR55" s="550"/>
      <c r="CS55" s="173"/>
      <c r="CT55" s="172"/>
      <c r="CU55" s="408" t="str">
        <f>IF($B55="","",IF(INDEX(BDHKI,MATCH(DiemHKII!$C55,DiemHKI!$DI$4:$DI$58,0),CU$67)&lt;&gt;"",INDEX(BDHKI,MATCH(DiemHKII!$C55,DiemHKI!$DI$4:$DI$58,0),CU$67),""))</f>
        <v/>
      </c>
      <c r="CV55" s="408" t="str">
        <f t="shared" si="19"/>
        <v/>
      </c>
      <c r="CW55" s="409" t="str">
        <f t="shared" si="20"/>
        <v/>
      </c>
      <c r="CX55" s="172"/>
      <c r="CY55" s="170"/>
      <c r="CZ55" s="170"/>
      <c r="DA55" s="550"/>
      <c r="DB55" s="173"/>
      <c r="DC55" s="172"/>
      <c r="DD55" s="433" t="str">
        <f>IF($B55="","",IF(INDEX(BDHKI,MATCH(DiemHKII!$C55,DiemHKI!$DI$4:$DI$58,0),DD$67)&lt;&gt;"",INDEX(BDHKI,MATCH(DiemHKII!$C55,DiemHKI!$DI$4:$DI$58,0),DD$67),""))</f>
        <v/>
      </c>
      <c r="DE55" s="433" t="str">
        <f t="shared" si="21"/>
        <v/>
      </c>
      <c r="DF55" s="434" t="str">
        <f t="shared" si="22"/>
        <v/>
      </c>
      <c r="DG55" s="174"/>
      <c r="DH55" s="175"/>
      <c r="DI55" s="175"/>
      <c r="DJ55" s="176"/>
      <c r="DK55" s="177"/>
      <c r="DL55" s="178"/>
      <c r="DM55" s="532" t="str">
        <f>IF($B55="","",IF(INDEX(BDHKI,MATCH(DiemHKII!$C55,DiemHKI!$DI$4:$DI$58,0),DM$67)&lt;&gt;"",INDEX(BDHKI,MATCH(DiemHKII!$C55,DiemHKI!$DI$4:$DI$58,0),DM$67),""))</f>
        <v/>
      </c>
      <c r="DN55" s="532" t="str">
        <f t="shared" si="23"/>
        <v/>
      </c>
      <c r="DO55" s="532" t="str">
        <f t="shared" si="24"/>
        <v/>
      </c>
      <c r="DP55" s="172"/>
      <c r="DQ55" s="170"/>
      <c r="DR55" s="170"/>
      <c r="DS55" s="550"/>
      <c r="DT55" s="173"/>
      <c r="DU55" s="172"/>
      <c r="DV55" s="433" t="str">
        <f>IF($B55="","",IF(INDEX(BDHKI,MATCH(DiemHKII!$C55,DiemHKI!$DI$4:$DI$58,0),DV$67)&lt;&gt;"",INDEX(BDHKI,MATCH(DiemHKII!$C55,DiemHKI!$DI$4:$DI$58,0),DV$67),""))</f>
        <v/>
      </c>
      <c r="DW55" s="433" t="str">
        <f t="shared" si="25"/>
        <v/>
      </c>
      <c r="DX55" s="434" t="str">
        <f t="shared" si="26"/>
        <v/>
      </c>
      <c r="DY55" s="172"/>
      <c r="DZ55" s="170"/>
      <c r="EA55" s="170"/>
      <c r="EB55" s="550"/>
      <c r="EC55" s="173"/>
      <c r="ED55" s="172"/>
      <c r="EE55" s="408" t="str">
        <f>IF($B55="","",IF(INDEX(BDHKI,MATCH(DiemHKII!$C55,DiemHKI!$DI$4:$DI$58,0),EE$67)&lt;&gt;"",INDEX(BDHKI,MATCH(DiemHKII!$C55,DiemHKI!$DI$4:$DI$58,0),EE$67),""))</f>
        <v/>
      </c>
      <c r="EF55" s="408" t="str">
        <f t="shared" si="27"/>
        <v/>
      </c>
      <c r="EG55" s="409" t="str">
        <f t="shared" si="28"/>
        <v/>
      </c>
      <c r="EH55" s="162"/>
      <c r="EI55" s="163"/>
      <c r="EJ55" s="164"/>
      <c r="EK55" s="165"/>
    </row>
    <row r="56" spans="2:141" s="30" customFormat="1" ht="15.9" customHeight="1">
      <c r="B56" s="99" t="str">
        <f>IF(D56&lt;&gt;"",MAX($B$4:B55)+1,"")</f>
        <v/>
      </c>
      <c r="C56" s="339" t="str">
        <f t="shared" si="0"/>
        <v/>
      </c>
      <c r="D56" s="166"/>
      <c r="E56" s="167"/>
      <c r="F56" s="168"/>
      <c r="G56" s="163"/>
      <c r="H56" s="163"/>
      <c r="I56" s="549"/>
      <c r="J56" s="166"/>
      <c r="K56" s="166"/>
      <c r="L56" s="172"/>
      <c r="M56" s="170"/>
      <c r="N56" s="170"/>
      <c r="O56" s="550"/>
      <c r="P56" s="173"/>
      <c r="Q56" s="172"/>
      <c r="R56" s="408" t="str">
        <f>IF($B56="","",IF(INDEX(BDHKI,MATCH(DiemHKII!$C56,DiemHKI!$DI$4:$DI$58,0),R$67)&lt;&gt;"",INDEX(BDHKI,MATCH(DiemHKII!$C56,DiemHKI!$DI$4:$DI$58,0),R$67),""))</f>
        <v/>
      </c>
      <c r="S56" s="408" t="str">
        <f t="shared" si="1"/>
        <v/>
      </c>
      <c r="T56" s="409" t="str">
        <f t="shared" si="2"/>
        <v/>
      </c>
      <c r="U56" s="172"/>
      <c r="V56" s="170"/>
      <c r="W56" s="170"/>
      <c r="X56" s="550"/>
      <c r="Y56" s="173"/>
      <c r="Z56" s="172"/>
      <c r="AA56" s="433" t="str">
        <f>IF($B56="","",IF(INDEX(BDHKI,MATCH(DiemHKII!$C56,DiemHKI!$DI$4:$DI$58,0),AA$67)&lt;&gt;"",INDEX(BDHKI,MATCH(DiemHKII!$C56,DiemHKI!$DI$4:$DI$58,0),AA$67),""))</f>
        <v/>
      </c>
      <c r="AB56" s="433" t="str">
        <f t="shared" si="3"/>
        <v/>
      </c>
      <c r="AC56" s="434" t="str">
        <f t="shared" si="4"/>
        <v/>
      </c>
      <c r="AD56" s="172"/>
      <c r="AE56" s="170"/>
      <c r="AF56" s="170"/>
      <c r="AG56" s="550"/>
      <c r="AH56" s="173"/>
      <c r="AI56" s="172"/>
      <c r="AJ56" s="408" t="str">
        <f>IF($B56="","",IF(INDEX(BDHKI,MATCH(DiemHKII!$C56,DiemHKI!$DI$4:$DI$58,0),AJ$67)&lt;&gt;"",INDEX(BDHKI,MATCH(DiemHKII!$C56,DiemHKI!$DI$4:$DI$58,0),AJ$67),""))</f>
        <v/>
      </c>
      <c r="AK56" s="408" t="str">
        <f t="shared" si="5"/>
        <v/>
      </c>
      <c r="AL56" s="409" t="str">
        <f t="shared" si="6"/>
        <v/>
      </c>
      <c r="AM56" s="172"/>
      <c r="AN56" s="170"/>
      <c r="AO56" s="170"/>
      <c r="AP56" s="550"/>
      <c r="AQ56" s="173"/>
      <c r="AR56" s="172"/>
      <c r="AS56" s="433" t="str">
        <f>IF($B56="","",IF(INDEX(BDHKI,MATCH(DiemHKII!$C56,DiemHKI!$DI$4:$DI$58,0),AS$67)&lt;&gt;"",INDEX(BDHKI,MATCH(DiemHKII!$C56,DiemHKI!$DI$4:$DI$58,0),AS$67),""))</f>
        <v/>
      </c>
      <c r="AT56" s="433" t="str">
        <f t="shared" si="7"/>
        <v/>
      </c>
      <c r="AU56" s="434" t="str">
        <f t="shared" si="8"/>
        <v/>
      </c>
      <c r="AV56" s="172"/>
      <c r="AW56" s="170"/>
      <c r="AX56" s="170"/>
      <c r="AY56" s="550"/>
      <c r="AZ56" s="173"/>
      <c r="BA56" s="172"/>
      <c r="BB56" s="408" t="str">
        <f>IF($B56="","",IF(INDEX(BDHKI,MATCH(DiemHKII!$C56,DiemHKI!$DI$4:$DI$58,0),BB$67)&lt;&gt;"",INDEX(BDHKI,MATCH(DiemHKII!$C56,DiemHKI!$DI$4:$DI$58,0),BB$67),""))</f>
        <v/>
      </c>
      <c r="BC56" s="408" t="str">
        <f t="shared" si="9"/>
        <v/>
      </c>
      <c r="BD56" s="409" t="str">
        <f t="shared" si="10"/>
        <v/>
      </c>
      <c r="BE56" s="172"/>
      <c r="BF56" s="170"/>
      <c r="BG56" s="170"/>
      <c r="BH56" s="550"/>
      <c r="BI56" s="173"/>
      <c r="BJ56" s="172"/>
      <c r="BK56" s="433" t="str">
        <f>IF($B56="","",IF(INDEX(BDHKI,MATCH(DiemHKII!$C56,DiemHKI!$DI$4:$DI$58,0),BK$67)&lt;&gt;"",INDEX(BDHKI,MATCH(DiemHKII!$C56,DiemHKI!$DI$4:$DI$58,0),BK$67),""))</f>
        <v/>
      </c>
      <c r="BL56" s="433" t="str">
        <f t="shared" si="11"/>
        <v/>
      </c>
      <c r="BM56" s="434" t="str">
        <f t="shared" si="12"/>
        <v/>
      </c>
      <c r="BN56" s="172"/>
      <c r="BO56" s="170"/>
      <c r="BP56" s="170"/>
      <c r="BQ56" s="550"/>
      <c r="BR56" s="173"/>
      <c r="BS56" s="172"/>
      <c r="BT56" s="408" t="str">
        <f>IF($B56="","",IF(INDEX(BDHKI,MATCH(DiemHKII!$C56,DiemHKI!$DI$4:$DI$58,0),BT$67)&lt;&gt;"",INDEX(BDHKI,MATCH(DiemHKII!$C56,DiemHKI!$DI$4:$DI$58,0),BT$67),""))</f>
        <v/>
      </c>
      <c r="BU56" s="408" t="str">
        <f t="shared" si="13"/>
        <v/>
      </c>
      <c r="BV56" s="409" t="str">
        <f t="shared" si="14"/>
        <v/>
      </c>
      <c r="BW56" s="172"/>
      <c r="BX56" s="170"/>
      <c r="BY56" s="170"/>
      <c r="BZ56" s="550"/>
      <c r="CA56" s="173"/>
      <c r="CB56" s="172"/>
      <c r="CC56" s="408" t="str">
        <f>IF($B56="","",IF(INDEX(BDHKI,MATCH(DiemHKII!$C56,DiemHKI!$DI$4:$DI$58,0),CC$67)&lt;&gt;"",INDEX(BDHKI,MATCH(DiemHKII!$C56,DiemHKI!$DI$4:$DI$58,0),CC$67),""))</f>
        <v/>
      </c>
      <c r="CD56" s="408" t="str">
        <f t="shared" si="15"/>
        <v/>
      </c>
      <c r="CE56" s="409" t="str">
        <f t="shared" si="16"/>
        <v/>
      </c>
      <c r="CF56" s="172"/>
      <c r="CG56" s="170"/>
      <c r="CH56" s="170"/>
      <c r="CI56" s="550"/>
      <c r="CJ56" s="173"/>
      <c r="CK56" s="172"/>
      <c r="CL56" s="433" t="str">
        <f>IF($B56="","",IF(INDEX(BDHKI,MATCH(DiemHKII!$C56,DiemHKI!$DI$4:$DI$58,0),CL$67)&lt;&gt;"",INDEX(BDHKI,MATCH(DiemHKII!$C56,DiemHKI!$DI$4:$DI$58,0),CL$67),""))</f>
        <v/>
      </c>
      <c r="CM56" s="433" t="str">
        <f t="shared" si="17"/>
        <v/>
      </c>
      <c r="CN56" s="434" t="str">
        <f t="shared" si="18"/>
        <v/>
      </c>
      <c r="CO56" s="172"/>
      <c r="CP56" s="170"/>
      <c r="CQ56" s="170"/>
      <c r="CR56" s="550"/>
      <c r="CS56" s="173"/>
      <c r="CT56" s="172"/>
      <c r="CU56" s="408" t="str">
        <f>IF($B56="","",IF(INDEX(BDHKI,MATCH(DiemHKII!$C56,DiemHKI!$DI$4:$DI$58,0),CU$67)&lt;&gt;"",INDEX(BDHKI,MATCH(DiemHKII!$C56,DiemHKI!$DI$4:$DI$58,0),CU$67),""))</f>
        <v/>
      </c>
      <c r="CV56" s="408" t="str">
        <f t="shared" si="19"/>
        <v/>
      </c>
      <c r="CW56" s="409" t="str">
        <f t="shared" si="20"/>
        <v/>
      </c>
      <c r="CX56" s="172"/>
      <c r="CY56" s="170"/>
      <c r="CZ56" s="170"/>
      <c r="DA56" s="550"/>
      <c r="DB56" s="173"/>
      <c r="DC56" s="172"/>
      <c r="DD56" s="433" t="str">
        <f>IF($B56="","",IF(INDEX(BDHKI,MATCH(DiemHKII!$C56,DiemHKI!$DI$4:$DI$58,0),DD$67)&lt;&gt;"",INDEX(BDHKI,MATCH(DiemHKII!$C56,DiemHKI!$DI$4:$DI$58,0),DD$67),""))</f>
        <v/>
      </c>
      <c r="DE56" s="433" t="str">
        <f t="shared" si="21"/>
        <v/>
      </c>
      <c r="DF56" s="434" t="str">
        <f t="shared" si="22"/>
        <v/>
      </c>
      <c r="DG56" s="174"/>
      <c r="DH56" s="175"/>
      <c r="DI56" s="175"/>
      <c r="DJ56" s="176"/>
      <c r="DK56" s="177"/>
      <c r="DL56" s="178"/>
      <c r="DM56" s="532" t="str">
        <f>IF($B56="","",IF(INDEX(BDHKI,MATCH(DiemHKII!$C56,DiemHKI!$DI$4:$DI$58,0),DM$67)&lt;&gt;"",INDEX(BDHKI,MATCH(DiemHKII!$C56,DiemHKI!$DI$4:$DI$58,0),DM$67),""))</f>
        <v/>
      </c>
      <c r="DN56" s="532" t="str">
        <f t="shared" si="23"/>
        <v/>
      </c>
      <c r="DO56" s="532" t="str">
        <f t="shared" si="24"/>
        <v/>
      </c>
      <c r="DP56" s="172"/>
      <c r="DQ56" s="170"/>
      <c r="DR56" s="170"/>
      <c r="DS56" s="550"/>
      <c r="DT56" s="173"/>
      <c r="DU56" s="172"/>
      <c r="DV56" s="433" t="str">
        <f>IF($B56="","",IF(INDEX(BDHKI,MATCH(DiemHKII!$C56,DiemHKI!$DI$4:$DI$58,0),DV$67)&lt;&gt;"",INDEX(BDHKI,MATCH(DiemHKII!$C56,DiemHKI!$DI$4:$DI$58,0),DV$67),""))</f>
        <v/>
      </c>
      <c r="DW56" s="433" t="str">
        <f t="shared" si="25"/>
        <v/>
      </c>
      <c r="DX56" s="434" t="str">
        <f t="shared" si="26"/>
        <v/>
      </c>
      <c r="DY56" s="172"/>
      <c r="DZ56" s="170"/>
      <c r="EA56" s="170"/>
      <c r="EB56" s="550"/>
      <c r="EC56" s="173"/>
      <c r="ED56" s="172"/>
      <c r="EE56" s="408" t="str">
        <f>IF($B56="","",IF(INDEX(BDHKI,MATCH(DiemHKII!$C56,DiemHKI!$DI$4:$DI$58,0),EE$67)&lt;&gt;"",INDEX(BDHKI,MATCH(DiemHKII!$C56,DiemHKI!$DI$4:$DI$58,0),EE$67),""))</f>
        <v/>
      </c>
      <c r="EF56" s="408" t="str">
        <f t="shared" si="27"/>
        <v/>
      </c>
      <c r="EG56" s="409" t="str">
        <f t="shared" si="28"/>
        <v/>
      </c>
      <c r="EH56" s="162"/>
      <c r="EI56" s="163"/>
      <c r="EJ56" s="164"/>
      <c r="EK56" s="165"/>
    </row>
    <row r="57" spans="2:141" s="30" customFormat="1" ht="15.9" customHeight="1">
      <c r="B57" s="99" t="str">
        <f>IF(D57&lt;&gt;"",MAX($B$4:B56)+1,"")</f>
        <v/>
      </c>
      <c r="C57" s="339" t="str">
        <f t="shared" si="0"/>
        <v/>
      </c>
      <c r="D57" s="166"/>
      <c r="E57" s="167"/>
      <c r="F57" s="168"/>
      <c r="G57" s="163"/>
      <c r="H57" s="163"/>
      <c r="I57" s="549"/>
      <c r="J57" s="166"/>
      <c r="K57" s="166"/>
      <c r="L57" s="172"/>
      <c r="M57" s="170"/>
      <c r="N57" s="170"/>
      <c r="O57" s="550"/>
      <c r="P57" s="173"/>
      <c r="Q57" s="172"/>
      <c r="R57" s="408" t="str">
        <f>IF($B57="","",IF(INDEX(BDHKI,MATCH(DiemHKII!$C57,DiemHKI!$DI$4:$DI$58,0),R$67)&lt;&gt;"",INDEX(BDHKI,MATCH(DiemHKII!$C57,DiemHKI!$DI$4:$DI$58,0),R$67),""))</f>
        <v/>
      </c>
      <c r="S57" s="408" t="str">
        <f t="shared" si="1"/>
        <v/>
      </c>
      <c r="T57" s="409" t="str">
        <f t="shared" si="2"/>
        <v/>
      </c>
      <c r="U57" s="172"/>
      <c r="V57" s="170"/>
      <c r="W57" s="170"/>
      <c r="X57" s="550"/>
      <c r="Y57" s="173"/>
      <c r="Z57" s="172"/>
      <c r="AA57" s="433" t="str">
        <f>IF($B57="","",IF(INDEX(BDHKI,MATCH(DiemHKII!$C57,DiemHKI!$DI$4:$DI$58,0),AA$67)&lt;&gt;"",INDEX(BDHKI,MATCH(DiemHKII!$C57,DiemHKI!$DI$4:$DI$58,0),AA$67),""))</f>
        <v/>
      </c>
      <c r="AB57" s="433" t="str">
        <f t="shared" si="3"/>
        <v/>
      </c>
      <c r="AC57" s="434" t="str">
        <f t="shared" si="4"/>
        <v/>
      </c>
      <c r="AD57" s="172"/>
      <c r="AE57" s="170"/>
      <c r="AF57" s="170"/>
      <c r="AG57" s="550"/>
      <c r="AH57" s="173"/>
      <c r="AI57" s="172"/>
      <c r="AJ57" s="408" t="str">
        <f>IF($B57="","",IF(INDEX(BDHKI,MATCH(DiemHKII!$C57,DiemHKI!$DI$4:$DI$58,0),AJ$67)&lt;&gt;"",INDEX(BDHKI,MATCH(DiemHKII!$C57,DiemHKI!$DI$4:$DI$58,0),AJ$67),""))</f>
        <v/>
      </c>
      <c r="AK57" s="408" t="str">
        <f t="shared" si="5"/>
        <v/>
      </c>
      <c r="AL57" s="409" t="str">
        <f t="shared" si="6"/>
        <v/>
      </c>
      <c r="AM57" s="172"/>
      <c r="AN57" s="170"/>
      <c r="AO57" s="170"/>
      <c r="AP57" s="550"/>
      <c r="AQ57" s="173"/>
      <c r="AR57" s="172"/>
      <c r="AS57" s="433" t="str">
        <f>IF($B57="","",IF(INDEX(BDHKI,MATCH(DiemHKII!$C57,DiemHKI!$DI$4:$DI$58,0),AS$67)&lt;&gt;"",INDEX(BDHKI,MATCH(DiemHKII!$C57,DiemHKI!$DI$4:$DI$58,0),AS$67),""))</f>
        <v/>
      </c>
      <c r="AT57" s="433" t="str">
        <f t="shared" si="7"/>
        <v/>
      </c>
      <c r="AU57" s="434" t="str">
        <f t="shared" si="8"/>
        <v/>
      </c>
      <c r="AV57" s="172"/>
      <c r="AW57" s="170"/>
      <c r="AX57" s="170"/>
      <c r="AY57" s="550"/>
      <c r="AZ57" s="173"/>
      <c r="BA57" s="172"/>
      <c r="BB57" s="408" t="str">
        <f>IF($B57="","",IF(INDEX(BDHKI,MATCH(DiemHKII!$C57,DiemHKI!$DI$4:$DI$58,0),BB$67)&lt;&gt;"",INDEX(BDHKI,MATCH(DiemHKII!$C57,DiemHKI!$DI$4:$DI$58,0),BB$67),""))</f>
        <v/>
      </c>
      <c r="BC57" s="408" t="str">
        <f t="shared" si="9"/>
        <v/>
      </c>
      <c r="BD57" s="409" t="str">
        <f t="shared" si="10"/>
        <v/>
      </c>
      <c r="BE57" s="172"/>
      <c r="BF57" s="170"/>
      <c r="BG57" s="170"/>
      <c r="BH57" s="550"/>
      <c r="BI57" s="173"/>
      <c r="BJ57" s="172"/>
      <c r="BK57" s="433" t="str">
        <f>IF($B57="","",IF(INDEX(BDHKI,MATCH(DiemHKII!$C57,DiemHKI!$DI$4:$DI$58,0),BK$67)&lt;&gt;"",INDEX(BDHKI,MATCH(DiemHKII!$C57,DiemHKI!$DI$4:$DI$58,0),BK$67),""))</f>
        <v/>
      </c>
      <c r="BL57" s="433" t="str">
        <f t="shared" si="11"/>
        <v/>
      </c>
      <c r="BM57" s="434" t="str">
        <f t="shared" si="12"/>
        <v/>
      </c>
      <c r="BN57" s="172"/>
      <c r="BO57" s="170"/>
      <c r="BP57" s="170"/>
      <c r="BQ57" s="550"/>
      <c r="BR57" s="173"/>
      <c r="BS57" s="172"/>
      <c r="BT57" s="408" t="str">
        <f>IF($B57="","",IF(INDEX(BDHKI,MATCH(DiemHKII!$C57,DiemHKI!$DI$4:$DI$58,0),BT$67)&lt;&gt;"",INDEX(BDHKI,MATCH(DiemHKII!$C57,DiemHKI!$DI$4:$DI$58,0),BT$67),""))</f>
        <v/>
      </c>
      <c r="BU57" s="408" t="str">
        <f t="shared" si="13"/>
        <v/>
      </c>
      <c r="BV57" s="409" t="str">
        <f t="shared" si="14"/>
        <v/>
      </c>
      <c r="BW57" s="172"/>
      <c r="BX57" s="170"/>
      <c r="BY57" s="170"/>
      <c r="BZ57" s="550"/>
      <c r="CA57" s="173"/>
      <c r="CB57" s="172"/>
      <c r="CC57" s="408" t="str">
        <f>IF($B57="","",IF(INDEX(BDHKI,MATCH(DiemHKII!$C57,DiemHKI!$DI$4:$DI$58,0),CC$67)&lt;&gt;"",INDEX(BDHKI,MATCH(DiemHKII!$C57,DiemHKI!$DI$4:$DI$58,0),CC$67),""))</f>
        <v/>
      </c>
      <c r="CD57" s="408" t="str">
        <f t="shared" si="15"/>
        <v/>
      </c>
      <c r="CE57" s="409" t="str">
        <f t="shared" si="16"/>
        <v/>
      </c>
      <c r="CF57" s="172"/>
      <c r="CG57" s="170"/>
      <c r="CH57" s="170"/>
      <c r="CI57" s="550"/>
      <c r="CJ57" s="173"/>
      <c r="CK57" s="172"/>
      <c r="CL57" s="433" t="str">
        <f>IF($B57="","",IF(INDEX(BDHKI,MATCH(DiemHKII!$C57,DiemHKI!$DI$4:$DI$58,0),CL$67)&lt;&gt;"",INDEX(BDHKI,MATCH(DiemHKII!$C57,DiemHKI!$DI$4:$DI$58,0),CL$67),""))</f>
        <v/>
      </c>
      <c r="CM57" s="433" t="str">
        <f t="shared" si="17"/>
        <v/>
      </c>
      <c r="CN57" s="434" t="str">
        <f t="shared" si="18"/>
        <v/>
      </c>
      <c r="CO57" s="172"/>
      <c r="CP57" s="170"/>
      <c r="CQ57" s="170"/>
      <c r="CR57" s="550"/>
      <c r="CS57" s="173"/>
      <c r="CT57" s="172"/>
      <c r="CU57" s="408" t="str">
        <f>IF($B57="","",IF(INDEX(BDHKI,MATCH(DiemHKII!$C57,DiemHKI!$DI$4:$DI$58,0),CU$67)&lt;&gt;"",INDEX(BDHKI,MATCH(DiemHKII!$C57,DiemHKI!$DI$4:$DI$58,0),CU$67),""))</f>
        <v/>
      </c>
      <c r="CV57" s="408" t="str">
        <f t="shared" si="19"/>
        <v/>
      </c>
      <c r="CW57" s="409" t="str">
        <f t="shared" si="20"/>
        <v/>
      </c>
      <c r="CX57" s="172"/>
      <c r="CY57" s="170"/>
      <c r="CZ57" s="170"/>
      <c r="DA57" s="550"/>
      <c r="DB57" s="173"/>
      <c r="DC57" s="172"/>
      <c r="DD57" s="433" t="str">
        <f>IF($B57="","",IF(INDEX(BDHKI,MATCH(DiemHKII!$C57,DiemHKI!$DI$4:$DI$58,0),DD$67)&lt;&gt;"",INDEX(BDHKI,MATCH(DiemHKII!$C57,DiemHKI!$DI$4:$DI$58,0),DD$67),""))</f>
        <v/>
      </c>
      <c r="DE57" s="433" t="str">
        <f t="shared" si="21"/>
        <v/>
      </c>
      <c r="DF57" s="434" t="str">
        <f t="shared" si="22"/>
        <v/>
      </c>
      <c r="DG57" s="174"/>
      <c r="DH57" s="175"/>
      <c r="DI57" s="175"/>
      <c r="DJ57" s="176"/>
      <c r="DK57" s="177"/>
      <c r="DL57" s="178"/>
      <c r="DM57" s="532" t="str">
        <f>IF($B57="","",IF(INDEX(BDHKI,MATCH(DiemHKII!$C57,DiemHKI!$DI$4:$DI$58,0),DM$67)&lt;&gt;"",INDEX(BDHKI,MATCH(DiemHKII!$C57,DiemHKI!$DI$4:$DI$58,0),DM$67),""))</f>
        <v/>
      </c>
      <c r="DN57" s="532" t="str">
        <f t="shared" si="23"/>
        <v/>
      </c>
      <c r="DO57" s="532" t="str">
        <f t="shared" si="24"/>
        <v/>
      </c>
      <c r="DP57" s="172"/>
      <c r="DQ57" s="170"/>
      <c r="DR57" s="170"/>
      <c r="DS57" s="550"/>
      <c r="DT57" s="173"/>
      <c r="DU57" s="172"/>
      <c r="DV57" s="433" t="str">
        <f>IF($B57="","",IF(INDEX(BDHKI,MATCH(DiemHKII!$C57,DiemHKI!$DI$4:$DI$58,0),DV$67)&lt;&gt;"",INDEX(BDHKI,MATCH(DiemHKII!$C57,DiemHKI!$DI$4:$DI$58,0),DV$67),""))</f>
        <v/>
      </c>
      <c r="DW57" s="433" t="str">
        <f t="shared" si="25"/>
        <v/>
      </c>
      <c r="DX57" s="434" t="str">
        <f t="shared" si="26"/>
        <v/>
      </c>
      <c r="DY57" s="172"/>
      <c r="DZ57" s="170"/>
      <c r="EA57" s="170"/>
      <c r="EB57" s="550"/>
      <c r="EC57" s="173"/>
      <c r="ED57" s="172"/>
      <c r="EE57" s="408" t="str">
        <f>IF($B57="","",IF(INDEX(BDHKI,MATCH(DiemHKII!$C57,DiemHKI!$DI$4:$DI$58,0),EE$67)&lt;&gt;"",INDEX(BDHKI,MATCH(DiemHKII!$C57,DiemHKI!$DI$4:$DI$58,0),EE$67),""))</f>
        <v/>
      </c>
      <c r="EF57" s="408" t="str">
        <f t="shared" si="27"/>
        <v/>
      </c>
      <c r="EG57" s="409" t="str">
        <f t="shared" si="28"/>
        <v/>
      </c>
      <c r="EH57" s="162"/>
      <c r="EI57" s="163"/>
      <c r="EJ57" s="164"/>
      <c r="EK57" s="165"/>
    </row>
    <row r="58" spans="2:141" s="30" customFormat="1" ht="15.9" customHeight="1" thickBot="1">
      <c r="B58" s="118" t="str">
        <f>IF(D58&lt;&gt;"",MAX($B$4:B57)+1,"")</f>
        <v/>
      </c>
      <c r="C58" s="342" t="str">
        <f t="shared" si="0"/>
        <v/>
      </c>
      <c r="D58" s="218"/>
      <c r="E58" s="219"/>
      <c r="F58" s="220"/>
      <c r="G58" s="221"/>
      <c r="H58" s="233"/>
      <c r="I58" s="555"/>
      <c r="J58" s="556"/>
      <c r="K58" s="218"/>
      <c r="L58" s="225"/>
      <c r="M58" s="223"/>
      <c r="N58" s="223"/>
      <c r="O58" s="557"/>
      <c r="P58" s="558"/>
      <c r="Q58" s="225"/>
      <c r="R58" s="416" t="str">
        <f>IF($B58="","",IF(INDEX(BDHKI,MATCH(DiemHKII!$C58,DiemHKI!$DI$4:$DI$58,0),R$67)&lt;&gt;"",INDEX(BDHKI,MATCH(DiemHKII!$C58,DiemHKI!$DI$4:$DI$58,0),R$67),""))</f>
        <v/>
      </c>
      <c r="S58" s="416" t="str">
        <f t="shared" si="1"/>
        <v/>
      </c>
      <c r="T58" s="417" t="str">
        <f t="shared" si="2"/>
        <v/>
      </c>
      <c r="U58" s="225"/>
      <c r="V58" s="223"/>
      <c r="W58" s="223"/>
      <c r="X58" s="557"/>
      <c r="Y58" s="558"/>
      <c r="Z58" s="225"/>
      <c r="AA58" s="439" t="str">
        <f>IF($B58="","",IF(INDEX(BDHKI,MATCH(DiemHKII!$C58,DiemHKI!$DI$4:$DI$58,0),AA$67)&lt;&gt;"",INDEX(BDHKI,MATCH(DiemHKII!$C58,DiemHKI!$DI$4:$DI$58,0),AA$67),""))</f>
        <v/>
      </c>
      <c r="AB58" s="439" t="str">
        <f t="shared" si="3"/>
        <v/>
      </c>
      <c r="AC58" s="440" t="str">
        <f t="shared" si="4"/>
        <v/>
      </c>
      <c r="AD58" s="225"/>
      <c r="AE58" s="223"/>
      <c r="AF58" s="223"/>
      <c r="AG58" s="557"/>
      <c r="AH58" s="558"/>
      <c r="AI58" s="225"/>
      <c r="AJ58" s="416" t="str">
        <f>IF($B58="","",IF(INDEX(BDHKI,MATCH(DiemHKII!$C58,DiemHKI!$DI$4:$DI$58,0),AJ$67)&lt;&gt;"",INDEX(BDHKI,MATCH(DiemHKII!$C58,DiemHKI!$DI$4:$DI$58,0),AJ$67),""))</f>
        <v/>
      </c>
      <c r="AK58" s="416" t="str">
        <f t="shared" si="5"/>
        <v/>
      </c>
      <c r="AL58" s="417" t="str">
        <f t="shared" si="6"/>
        <v/>
      </c>
      <c r="AM58" s="225"/>
      <c r="AN58" s="223"/>
      <c r="AO58" s="223"/>
      <c r="AP58" s="557"/>
      <c r="AQ58" s="558"/>
      <c r="AR58" s="225"/>
      <c r="AS58" s="439" t="str">
        <f>IF($B58="","",IF(INDEX(BDHKI,MATCH(DiemHKII!$C58,DiemHKI!$DI$4:$DI$58,0),AS$67)&lt;&gt;"",INDEX(BDHKI,MATCH(DiemHKII!$C58,DiemHKI!$DI$4:$DI$58,0),AS$67),""))</f>
        <v/>
      </c>
      <c r="AT58" s="439" t="str">
        <f t="shared" si="7"/>
        <v/>
      </c>
      <c r="AU58" s="440" t="str">
        <f t="shared" si="8"/>
        <v/>
      </c>
      <c r="AV58" s="225"/>
      <c r="AW58" s="223"/>
      <c r="AX58" s="223"/>
      <c r="AY58" s="557"/>
      <c r="AZ58" s="558"/>
      <c r="BA58" s="225"/>
      <c r="BB58" s="416" t="str">
        <f>IF($B58="","",IF(INDEX(BDHKI,MATCH(DiemHKII!$C58,DiemHKI!$DI$4:$DI$58,0),BB$67)&lt;&gt;"",INDEX(BDHKI,MATCH(DiemHKII!$C58,DiemHKI!$DI$4:$DI$58,0),BB$67),""))</f>
        <v/>
      </c>
      <c r="BC58" s="416" t="str">
        <f t="shared" si="9"/>
        <v/>
      </c>
      <c r="BD58" s="417" t="str">
        <f t="shared" si="10"/>
        <v/>
      </c>
      <c r="BE58" s="225"/>
      <c r="BF58" s="223"/>
      <c r="BG58" s="223"/>
      <c r="BH58" s="557"/>
      <c r="BI58" s="558"/>
      <c r="BJ58" s="225"/>
      <c r="BK58" s="439" t="str">
        <f>IF($B58="","",IF(INDEX(BDHKI,MATCH(DiemHKII!$C58,DiemHKI!$DI$4:$DI$58,0),BK$67)&lt;&gt;"",INDEX(BDHKI,MATCH(DiemHKII!$C58,DiemHKI!$DI$4:$DI$58,0),BK$67),""))</f>
        <v/>
      </c>
      <c r="BL58" s="439" t="str">
        <f t="shared" si="11"/>
        <v/>
      </c>
      <c r="BM58" s="440" t="str">
        <f t="shared" si="12"/>
        <v/>
      </c>
      <c r="BN58" s="225"/>
      <c r="BO58" s="223"/>
      <c r="BP58" s="223"/>
      <c r="BQ58" s="557"/>
      <c r="BR58" s="558"/>
      <c r="BS58" s="225"/>
      <c r="BT58" s="416" t="str">
        <f>IF($B58="","",IF(INDEX(BDHKI,MATCH(DiemHKII!$C58,DiemHKI!$DI$4:$DI$58,0),BT$67)&lt;&gt;"",INDEX(BDHKI,MATCH(DiemHKII!$C58,DiemHKI!$DI$4:$DI$58,0),BT$67),""))</f>
        <v/>
      </c>
      <c r="BU58" s="416" t="str">
        <f t="shared" si="13"/>
        <v/>
      </c>
      <c r="BV58" s="417" t="str">
        <f t="shared" si="14"/>
        <v/>
      </c>
      <c r="BW58" s="225"/>
      <c r="BX58" s="223"/>
      <c r="BY58" s="223"/>
      <c r="BZ58" s="557"/>
      <c r="CA58" s="558"/>
      <c r="CB58" s="225"/>
      <c r="CC58" s="416" t="str">
        <f>IF($B58="","",IF(INDEX(BDHKI,MATCH(DiemHKII!$C58,DiemHKI!$DI$4:$DI$58,0),CC$67)&lt;&gt;"",INDEX(BDHKI,MATCH(DiemHKII!$C58,DiemHKI!$DI$4:$DI$58,0),CC$67),""))</f>
        <v/>
      </c>
      <c r="CD58" s="416" t="str">
        <f t="shared" si="15"/>
        <v/>
      </c>
      <c r="CE58" s="417" t="str">
        <f t="shared" si="16"/>
        <v/>
      </c>
      <c r="CF58" s="225"/>
      <c r="CG58" s="223"/>
      <c r="CH58" s="223"/>
      <c r="CI58" s="557"/>
      <c r="CJ58" s="558"/>
      <c r="CK58" s="225"/>
      <c r="CL58" s="439" t="str">
        <f>IF($B58="","",IF(INDEX(BDHKI,MATCH(DiemHKII!$C58,DiemHKI!$DI$4:$DI$58,0),CL$67)&lt;&gt;"",INDEX(BDHKI,MATCH(DiemHKII!$C58,DiemHKI!$DI$4:$DI$58,0),CL$67),""))</f>
        <v/>
      </c>
      <c r="CM58" s="439" t="str">
        <f t="shared" si="17"/>
        <v/>
      </c>
      <c r="CN58" s="440" t="str">
        <f t="shared" si="18"/>
        <v/>
      </c>
      <c r="CO58" s="225"/>
      <c r="CP58" s="223"/>
      <c r="CQ58" s="223"/>
      <c r="CR58" s="557"/>
      <c r="CS58" s="558"/>
      <c r="CT58" s="225"/>
      <c r="CU58" s="416" t="str">
        <f>IF($B58="","",IF(INDEX(BDHKI,MATCH(DiemHKII!$C58,DiemHKI!$DI$4:$DI$58,0),CU$67)&lt;&gt;"",INDEX(BDHKI,MATCH(DiemHKII!$C58,DiemHKI!$DI$4:$DI$58,0),CU$67),""))</f>
        <v/>
      </c>
      <c r="CV58" s="416" t="str">
        <f t="shared" si="19"/>
        <v/>
      </c>
      <c r="CW58" s="417" t="str">
        <f t="shared" si="20"/>
        <v/>
      </c>
      <c r="CX58" s="225"/>
      <c r="CY58" s="223"/>
      <c r="CZ58" s="223"/>
      <c r="DA58" s="557"/>
      <c r="DB58" s="558"/>
      <c r="DC58" s="225"/>
      <c r="DD58" s="439" t="str">
        <f>IF($B58="","",IF(INDEX(BDHKI,MATCH(DiemHKII!$C58,DiemHKI!$DI$4:$DI$58,0),DD$67)&lt;&gt;"",INDEX(BDHKI,MATCH(DiemHKII!$C58,DiemHKI!$DI$4:$DI$58,0),DD$67),""))</f>
        <v/>
      </c>
      <c r="DE58" s="439" t="str">
        <f t="shared" si="21"/>
        <v/>
      </c>
      <c r="DF58" s="440" t="str">
        <f t="shared" si="22"/>
        <v/>
      </c>
      <c r="DG58" s="227"/>
      <c r="DH58" s="228"/>
      <c r="DI58" s="228"/>
      <c r="DJ58" s="229"/>
      <c r="DK58" s="230"/>
      <c r="DL58" s="231"/>
      <c r="DM58" s="534" t="str">
        <f>IF($B58="","",IF(INDEX(BDHKI,MATCH(DiemHKII!$C58,DiemHKI!$DI$4:$DI$58,0),DM$67)&lt;&gt;"",INDEX(BDHKI,MATCH(DiemHKII!$C58,DiemHKI!$DI$4:$DI$58,0),DM$67),""))</f>
        <v/>
      </c>
      <c r="DN58" s="534" t="str">
        <f t="shared" si="23"/>
        <v/>
      </c>
      <c r="DO58" s="534" t="str">
        <f t="shared" si="24"/>
        <v/>
      </c>
      <c r="DP58" s="225"/>
      <c r="DQ58" s="223"/>
      <c r="DR58" s="223"/>
      <c r="DS58" s="557"/>
      <c r="DT58" s="558"/>
      <c r="DU58" s="225"/>
      <c r="DV58" s="439" t="str">
        <f>IF($B58="","",IF(INDEX(BDHKI,MATCH(DiemHKII!$C58,DiemHKI!$DI$4:$DI$58,0),DV$67)&lt;&gt;"",INDEX(BDHKI,MATCH(DiemHKII!$C58,DiemHKI!$DI$4:$DI$58,0),DV$67),""))</f>
        <v/>
      </c>
      <c r="DW58" s="439" t="str">
        <f t="shared" si="25"/>
        <v/>
      </c>
      <c r="DX58" s="440" t="str">
        <f t="shared" si="26"/>
        <v/>
      </c>
      <c r="DY58" s="225"/>
      <c r="DZ58" s="223"/>
      <c r="EA58" s="223"/>
      <c r="EB58" s="557"/>
      <c r="EC58" s="558"/>
      <c r="ED58" s="225"/>
      <c r="EE58" s="416" t="str">
        <f>IF($B58="","",IF(INDEX(BDHKI,MATCH(DiemHKII!$C58,DiemHKI!$DI$4:$DI$58,0),EE$67)&lt;&gt;"",INDEX(BDHKI,MATCH(DiemHKII!$C58,DiemHKI!$DI$4:$DI$58,0),EE$67),""))</f>
        <v/>
      </c>
      <c r="EF58" s="416" t="str">
        <f t="shared" si="27"/>
        <v/>
      </c>
      <c r="EG58" s="417" t="str">
        <f t="shared" si="28"/>
        <v/>
      </c>
      <c r="EH58" s="232"/>
      <c r="EI58" s="233"/>
      <c r="EJ58" s="234"/>
      <c r="EK58" s="235"/>
    </row>
    <row r="59" spans="2:141" s="129" customFormat="1" ht="15.9" customHeight="1" thickBot="1">
      <c r="B59" s="119" t="s">
        <v>51</v>
      </c>
      <c r="C59" s="343"/>
      <c r="D59" s="120">
        <f>COUNTA(D4:D58)</f>
        <v>36</v>
      </c>
      <c r="E59" s="121"/>
      <c r="F59" s="122"/>
      <c r="G59" s="120"/>
      <c r="H59" s="344"/>
      <c r="I59" s="120">
        <f>COUNTIFS($D$4:$D$58,"?*",$I$4:$I$58,"x")</f>
        <v>0</v>
      </c>
      <c r="J59" s="120">
        <f>COUNTIFS($D$4:$D$58,"?*",$J$4:$J$58,"x")</f>
        <v>0</v>
      </c>
      <c r="K59" s="120">
        <f>COUNTIFS($D$4:$D$58,"?*",$J$4:$J$58,"x")</f>
        <v>0</v>
      </c>
      <c r="L59" s="123" t="str">
        <f>IFERROR(IF(COUNTA(L4:L58)&gt;=1,ROUND(AVERAGEIFS(L4:L58,$D$4:$D$58,"?*"),1),""),"")</f>
        <v/>
      </c>
      <c r="M59" s="123" t="str">
        <f t="shared" ref="M59:R59" si="29">IFERROR(IF(COUNTA(M4:M58)&gt;=1,ROUND(AVERAGEIFS(M4:M58,$D$4:$D$58,"?*"),1),""),"")</f>
        <v/>
      </c>
      <c r="N59" s="123" t="str">
        <f t="shared" si="29"/>
        <v/>
      </c>
      <c r="O59" s="123" t="str">
        <f t="shared" si="29"/>
        <v/>
      </c>
      <c r="P59" s="123" t="str">
        <f t="shared" si="29"/>
        <v/>
      </c>
      <c r="Q59" s="123" t="str">
        <f t="shared" si="29"/>
        <v/>
      </c>
      <c r="R59" s="345">
        <f t="shared" si="29"/>
        <v>9.6</v>
      </c>
      <c r="S59" s="345" t="str">
        <f>IFERROR(IF(COUNTA(S4:S58)&gt;=1,ROUND(AVERAGEIFS(S4:S58,$D$4:$D$58,"?*"),1),""),"")</f>
        <v/>
      </c>
      <c r="T59" s="124" t="s">
        <v>8</v>
      </c>
      <c r="U59" s="123" t="str">
        <f>IFERROR(IF(COUNTA(U4:U58)&gt;=1,ROUND(AVERAGEIFS(U4:U58,$D$4:$D$58,"?*"),1),""),"")</f>
        <v/>
      </c>
      <c r="V59" s="123" t="str">
        <f t="shared" ref="V59:AA59" si="30">IFERROR(IF(COUNTA(V4:V58)&gt;=1,ROUND(AVERAGEIFS(V4:V58,$D$4:$D$58,"?*"),1),""),"")</f>
        <v/>
      </c>
      <c r="W59" s="123" t="str">
        <f t="shared" si="30"/>
        <v/>
      </c>
      <c r="X59" s="123" t="str">
        <f t="shared" si="30"/>
        <v/>
      </c>
      <c r="Y59" s="123" t="str">
        <f t="shared" si="30"/>
        <v/>
      </c>
      <c r="Z59" s="123" t="str">
        <f t="shared" si="30"/>
        <v/>
      </c>
      <c r="AA59" s="345">
        <f t="shared" si="30"/>
        <v>9.6</v>
      </c>
      <c r="AB59" s="345" t="str">
        <f>IFERROR(IF(COUNTA(AB4:AB58)&gt;=1,ROUND(AVERAGEIFS(AB4:AB58,$D$4:$D$58,"?*"),1),""),"")</f>
        <v/>
      </c>
      <c r="AC59" s="124" t="s">
        <v>8</v>
      </c>
      <c r="AD59" s="123" t="str">
        <f>IFERROR(IF(COUNTA(AD4:AD58)&gt;=1,ROUND(AVERAGEIFS(AD4:AD58,$D$4:$D$58,"?*"),1),""),"")</f>
        <v/>
      </c>
      <c r="AE59" s="123" t="str">
        <f t="shared" ref="AE59:AJ59" si="31">IFERROR(IF(COUNTA(AE4:AE58)&gt;=1,ROUND(AVERAGEIFS(AE4:AE58,$D$4:$D$58,"?*"),1),""),"")</f>
        <v/>
      </c>
      <c r="AF59" s="123" t="str">
        <f t="shared" si="31"/>
        <v/>
      </c>
      <c r="AG59" s="123" t="str">
        <f t="shared" si="31"/>
        <v/>
      </c>
      <c r="AH59" s="123" t="str">
        <f t="shared" si="31"/>
        <v/>
      </c>
      <c r="AI59" s="123" t="str">
        <f t="shared" si="31"/>
        <v/>
      </c>
      <c r="AJ59" s="345">
        <f t="shared" si="31"/>
        <v>9.3000000000000007</v>
      </c>
      <c r="AK59" s="345" t="str">
        <f>IFERROR(IF(COUNTA(AK4:AK58)&gt;=1,ROUND(AVERAGEIFS(AK4:AK58,$D$4:$D$58,"?*"),1),""),"")</f>
        <v/>
      </c>
      <c r="AL59" s="124" t="s">
        <v>8</v>
      </c>
      <c r="AM59" s="123" t="str">
        <f>IFERROR(IF(COUNTA(AM4:AM58)&gt;=1,ROUND(AVERAGEIFS(AM4:AM58,$D$4:$D$58,"?*"),1),""),"")</f>
        <v/>
      </c>
      <c r="AN59" s="123" t="str">
        <f t="shared" ref="AN59:AS59" si="32">IFERROR(IF(COUNTA(AN4:AN58)&gt;=1,ROUND(AVERAGEIFS(AN4:AN58,$D$4:$D$58,"?*"),1),""),"")</f>
        <v/>
      </c>
      <c r="AO59" s="123" t="str">
        <f t="shared" si="32"/>
        <v/>
      </c>
      <c r="AP59" s="123" t="str">
        <f t="shared" si="32"/>
        <v/>
      </c>
      <c r="AQ59" s="123" t="str">
        <f t="shared" si="32"/>
        <v/>
      </c>
      <c r="AR59" s="123" t="str">
        <f t="shared" si="32"/>
        <v/>
      </c>
      <c r="AS59" s="345">
        <f t="shared" si="32"/>
        <v>9.1</v>
      </c>
      <c r="AT59" s="345" t="str">
        <f>IFERROR(IF(COUNTA(AT4:AT58)&gt;=1,ROUND(AVERAGEIFS(AT4:AT58,$D$4:$D$58,"?*"),1),""),"")</f>
        <v/>
      </c>
      <c r="AU59" s="124" t="s">
        <v>8</v>
      </c>
      <c r="AV59" s="123" t="str">
        <f>IFERROR(IF(COUNTA(AV4:AV58)&gt;=1,ROUND(AVERAGEIFS(AV4:AV58,$D$4:$D$58,"?*"),1),""),"")</f>
        <v/>
      </c>
      <c r="AW59" s="123" t="str">
        <f t="shared" ref="AW59:BB59" si="33">IFERROR(IF(COUNTA(AW4:AW58)&gt;=1,ROUND(AVERAGEIFS(AW4:AW58,$D$4:$D$58,"?*"),1),""),"")</f>
        <v/>
      </c>
      <c r="AX59" s="123" t="str">
        <f t="shared" si="33"/>
        <v/>
      </c>
      <c r="AY59" s="123" t="str">
        <f t="shared" si="33"/>
        <v/>
      </c>
      <c r="AZ59" s="123" t="str">
        <f t="shared" si="33"/>
        <v/>
      </c>
      <c r="BA59" s="123" t="str">
        <f t="shared" si="33"/>
        <v/>
      </c>
      <c r="BB59" s="345">
        <f t="shared" si="33"/>
        <v>9.6999999999999993</v>
      </c>
      <c r="BC59" s="345" t="str">
        <f>IFERROR(IF(COUNTA(BC4:BC58)&gt;=1,ROUND(AVERAGEIFS(BC4:BC58,$D$4:$D$58,"?*"),1),""),"")</f>
        <v/>
      </c>
      <c r="BD59" s="124" t="s">
        <v>8</v>
      </c>
      <c r="BE59" s="123" t="str">
        <f>IFERROR(IF(COUNTA(BE4:BE58)&gt;=1,ROUND(AVERAGEIFS(BE4:BE58,$D$4:$D$58,"?*"),1),""),"")</f>
        <v/>
      </c>
      <c r="BF59" s="123" t="str">
        <f t="shared" ref="BF59:BK59" si="34">IFERROR(IF(COUNTA(BF4:BF58)&gt;=1,ROUND(AVERAGEIFS(BF4:BF58,$D$4:$D$58,"?*"),1),""),"")</f>
        <v/>
      </c>
      <c r="BG59" s="123" t="str">
        <f t="shared" si="34"/>
        <v/>
      </c>
      <c r="BH59" s="123" t="str">
        <f t="shared" si="34"/>
        <v/>
      </c>
      <c r="BI59" s="123" t="str">
        <f t="shared" si="34"/>
        <v/>
      </c>
      <c r="BJ59" s="123" t="str">
        <f t="shared" si="34"/>
        <v/>
      </c>
      <c r="BK59" s="345">
        <f t="shared" si="34"/>
        <v>7.5</v>
      </c>
      <c r="BL59" s="345" t="str">
        <f>IFERROR(IF(COUNTA(BL4:BL58)&gt;=1,ROUND(AVERAGEIFS(BL4:BL58,$D$4:$D$58,"?*"),1),""),"")</f>
        <v/>
      </c>
      <c r="BM59" s="124" t="s">
        <v>8</v>
      </c>
      <c r="BN59" s="123" t="str">
        <f>IFERROR(IF(COUNTA(BN4:BN58)&gt;=1,ROUND(AVERAGEIFS(BN4:BN58,$D$4:$D$58,"?*"),1),""),"")</f>
        <v/>
      </c>
      <c r="BO59" s="123" t="str">
        <f t="shared" ref="BO59:BT59" si="35">IFERROR(IF(COUNTA(BO4:BO58)&gt;=1,ROUND(AVERAGEIFS(BO4:BO58,$D$4:$D$58,"?*"),1),""),"")</f>
        <v/>
      </c>
      <c r="BP59" s="123" t="str">
        <f t="shared" si="35"/>
        <v/>
      </c>
      <c r="BQ59" s="123" t="str">
        <f t="shared" si="35"/>
        <v/>
      </c>
      <c r="BR59" s="123" t="str">
        <f t="shared" si="35"/>
        <v/>
      </c>
      <c r="BS59" s="123" t="str">
        <f t="shared" si="35"/>
        <v/>
      </c>
      <c r="BT59" s="345">
        <f t="shared" si="35"/>
        <v>9.6999999999999993</v>
      </c>
      <c r="BU59" s="345" t="str">
        <f>IFERROR(IF(COUNTA(BU4:BU58)&gt;=1,ROUND(AVERAGEIFS(BU4:BU58,$D$4:$D$58,"?*"),1),""),"")</f>
        <v/>
      </c>
      <c r="BV59" s="124" t="s">
        <v>8</v>
      </c>
      <c r="BW59" s="123" t="str">
        <f>IFERROR(IF(COUNTA(BW4:BW58)&gt;=1,ROUND(AVERAGEIFS(BW4:BW58,$D$4:$D$58,"?*"),1),""),"")</f>
        <v/>
      </c>
      <c r="BX59" s="123" t="str">
        <f t="shared" ref="BX59:CC59" si="36">IFERROR(IF(COUNTA(BX4:BX58)&gt;=1,ROUND(AVERAGEIFS(BX4:BX58,$D$4:$D$58,"?*"),1),""),"")</f>
        <v/>
      </c>
      <c r="BY59" s="123" t="str">
        <f t="shared" si="36"/>
        <v/>
      </c>
      <c r="BZ59" s="123" t="str">
        <f t="shared" si="36"/>
        <v/>
      </c>
      <c r="CA59" s="123" t="str">
        <f t="shared" si="36"/>
        <v/>
      </c>
      <c r="CB59" s="123" t="str">
        <f t="shared" si="36"/>
        <v/>
      </c>
      <c r="CC59" s="345">
        <f t="shared" si="36"/>
        <v>9.6999999999999993</v>
      </c>
      <c r="CD59" s="345" t="str">
        <f>IFERROR(IF(COUNTA(CD4:CD58)&gt;=1,ROUND(AVERAGEIFS(CD4:CD58,$D$4:$D$58,"?*"),1),""),"")</f>
        <v/>
      </c>
      <c r="CE59" s="124" t="s">
        <v>8</v>
      </c>
      <c r="CF59" s="123" t="str">
        <f>IFERROR(IF(COUNTA(CF4:CF58)&gt;=1,ROUND(AVERAGEIFS(CF4:CF58,$D$4:$D$58,"?*"),1),""),"")</f>
        <v/>
      </c>
      <c r="CG59" s="123" t="str">
        <f t="shared" ref="CG59:CL59" si="37">IFERROR(IF(COUNTA(CG4:CG58)&gt;=1,ROUND(AVERAGEIFS(CG4:CG58,$D$4:$D$58,"?*"),1),""),"")</f>
        <v/>
      </c>
      <c r="CH59" s="123" t="str">
        <f t="shared" si="37"/>
        <v/>
      </c>
      <c r="CI59" s="123" t="str">
        <f t="shared" si="37"/>
        <v/>
      </c>
      <c r="CJ59" s="123" t="str">
        <f t="shared" si="37"/>
        <v/>
      </c>
      <c r="CK59" s="123" t="str">
        <f t="shared" si="37"/>
        <v/>
      </c>
      <c r="CL59" s="345">
        <f t="shared" si="37"/>
        <v>9</v>
      </c>
      <c r="CM59" s="345" t="str">
        <f>IFERROR(IF(COUNTA(CM4:CM58)&gt;=1,ROUND(AVERAGEIFS(CM4:CM58,$D$4:$D$58,"?*"),1),""),"")</f>
        <v/>
      </c>
      <c r="CN59" s="124" t="s">
        <v>8</v>
      </c>
      <c r="CO59" s="123" t="str">
        <f>IFERROR(IF(COUNTA(CO4:CO58)&gt;=1,ROUND(AVERAGEIFS(CO4:CO58,$D$4:$D$58,"?*"),1),""),"")</f>
        <v/>
      </c>
      <c r="CP59" s="123" t="str">
        <f t="shared" ref="CP59:CU59" si="38">IFERROR(IF(COUNTA(CP4:CP58)&gt;=1,ROUND(AVERAGEIFS(CP4:CP58,$D$4:$D$58,"?*"),1),""),"")</f>
        <v/>
      </c>
      <c r="CQ59" s="123" t="str">
        <f t="shared" si="38"/>
        <v/>
      </c>
      <c r="CR59" s="123" t="str">
        <f t="shared" si="38"/>
        <v/>
      </c>
      <c r="CS59" s="123" t="str">
        <f t="shared" si="38"/>
        <v/>
      </c>
      <c r="CT59" s="123" t="str">
        <f t="shared" si="38"/>
        <v/>
      </c>
      <c r="CU59" s="345">
        <f t="shared" si="38"/>
        <v>9.3000000000000007</v>
      </c>
      <c r="CV59" s="345" t="str">
        <f>IFERROR(IF(COUNTA(CV4:CV58)&gt;=1,ROUND(AVERAGEIFS(CV4:CV58,$D$4:$D$58,"?*"),1),""),"")</f>
        <v/>
      </c>
      <c r="CW59" s="124" t="s">
        <v>8</v>
      </c>
      <c r="CX59" s="123" t="str">
        <f>IFERROR(IF(COUNTA(CX4:CX58)&gt;=1,ROUND(AVERAGEIFS(CX4:CX58,$D$4:$D$58,"?*"),1),""),"")</f>
        <v/>
      </c>
      <c r="CY59" s="123" t="str">
        <f t="shared" ref="CY59:DD59" si="39">IFERROR(IF(COUNTA(CY4:CY58)&gt;=1,ROUND(AVERAGEIFS(CY4:CY58,$D$4:$D$58,"?*"),1),""),"")</f>
        <v/>
      </c>
      <c r="CZ59" s="123" t="str">
        <f t="shared" si="39"/>
        <v/>
      </c>
      <c r="DA59" s="123" t="str">
        <f t="shared" si="39"/>
        <v/>
      </c>
      <c r="DB59" s="123" t="str">
        <f t="shared" si="39"/>
        <v/>
      </c>
      <c r="DC59" s="123" t="str">
        <f t="shared" si="39"/>
        <v/>
      </c>
      <c r="DD59" s="345">
        <f t="shared" si="39"/>
        <v>9.8000000000000007</v>
      </c>
      <c r="DE59" s="345" t="str">
        <f>IFERROR(IF(COUNTA(DE4:DE58)&gt;=1,ROUND(AVERAGEIFS(DE4:DE58,$D$4:$D$58,"?*"),1),""),"")</f>
        <v/>
      </c>
      <c r="DF59" s="124" t="s">
        <v>8</v>
      </c>
      <c r="DG59" s="343"/>
      <c r="DH59" s="343"/>
      <c r="DI59" s="343"/>
      <c r="DJ59" s="343"/>
      <c r="DK59" s="343"/>
      <c r="DL59" s="343"/>
      <c r="DM59" s="343"/>
      <c r="DN59" s="343"/>
      <c r="DO59" s="343"/>
      <c r="DP59" s="123" t="str">
        <f>IFERROR(IF(COUNTA(DP4:DP58)&gt;=1,ROUND(AVERAGEIFS(DP4:DP58,$D$4:$D$58,"?*"),1),""),"")</f>
        <v/>
      </c>
      <c r="DQ59" s="123" t="str">
        <f t="shared" ref="DQ59:DV59" si="40">IFERROR(IF(COUNTA(DQ4:DQ58)&gt;=1,ROUND(AVERAGEIFS(DQ4:DQ58,$D$4:$D$58,"?*"),1),""),"")</f>
        <v/>
      </c>
      <c r="DR59" s="123" t="str">
        <f t="shared" si="40"/>
        <v/>
      </c>
      <c r="DS59" s="123" t="str">
        <f t="shared" si="40"/>
        <v/>
      </c>
      <c r="DT59" s="123" t="str">
        <f t="shared" si="40"/>
        <v/>
      </c>
      <c r="DU59" s="123" t="str">
        <f t="shared" si="40"/>
        <v/>
      </c>
      <c r="DV59" s="345">
        <f t="shared" si="40"/>
        <v>9.8000000000000007</v>
      </c>
      <c r="DW59" s="345" t="str">
        <f>IFERROR(IF(COUNTA(DW4:DW58)&gt;=1,ROUND(AVERAGEIFS(DW4:DW58,$D$4:$D$58,"?*"),1),""),"")</f>
        <v/>
      </c>
      <c r="DX59" s="124" t="s">
        <v>8</v>
      </c>
      <c r="DY59" s="123" t="str">
        <f>IFERROR(IF(COUNTA(DY4:DY58)&gt;=1,ROUND(AVERAGEIFS(DY4:DY58,$D$4:$D$58,"?*"),1),""),"")</f>
        <v/>
      </c>
      <c r="DZ59" s="123" t="str">
        <f t="shared" ref="DZ59:EE59" si="41">IFERROR(IF(COUNTA(DZ4:DZ58)&gt;=1,ROUND(AVERAGEIFS(DZ4:DZ58,$D$4:$D$58,"?*"),1),""),"")</f>
        <v/>
      </c>
      <c r="EA59" s="123" t="str">
        <f t="shared" si="41"/>
        <v/>
      </c>
      <c r="EB59" s="123" t="str">
        <f t="shared" si="41"/>
        <v/>
      </c>
      <c r="EC59" s="123" t="str">
        <f t="shared" si="41"/>
        <v/>
      </c>
      <c r="ED59" s="123" t="str">
        <f t="shared" si="41"/>
        <v/>
      </c>
      <c r="EE59" s="345" t="str">
        <f t="shared" si="41"/>
        <v/>
      </c>
      <c r="EF59" s="345" t="str">
        <f>IFERROR(IF(COUNTA(EF4:EF58)&gt;=1,ROUND(AVERAGEIFS(EF4:EF58,$D$4:$D$58,"?*"),1),""),"")</f>
        <v/>
      </c>
      <c r="EG59" s="124" t="s">
        <v>8</v>
      </c>
      <c r="EH59" s="125"/>
      <c r="EI59" s="126"/>
      <c r="EJ59" s="127"/>
      <c r="EK59" s="128"/>
    </row>
    <row r="60" spans="2:141" s="129" customFormat="1" ht="15.9" customHeight="1">
      <c r="B60" s="129">
        <v>1</v>
      </c>
      <c r="C60" s="129">
        <v>2</v>
      </c>
      <c r="D60" s="129">
        <v>3</v>
      </c>
      <c r="E60" s="129">
        <v>4</v>
      </c>
      <c r="F60" s="129">
        <v>5</v>
      </c>
      <c r="G60" s="129">
        <v>6</v>
      </c>
      <c r="H60" s="129">
        <v>7</v>
      </c>
      <c r="I60" s="129">
        <v>8</v>
      </c>
      <c r="J60" s="129">
        <v>9</v>
      </c>
      <c r="K60" s="129">
        <v>10</v>
      </c>
      <c r="L60" s="129">
        <v>11</v>
      </c>
      <c r="M60" s="129">
        <v>12</v>
      </c>
      <c r="N60" s="129">
        <v>13</v>
      </c>
      <c r="O60" s="129">
        <v>14</v>
      </c>
      <c r="P60" s="129">
        <v>15</v>
      </c>
      <c r="Q60" s="129">
        <v>16</v>
      </c>
      <c r="R60" s="129">
        <v>17</v>
      </c>
      <c r="S60" s="129">
        <v>18</v>
      </c>
      <c r="T60" s="129">
        <v>19</v>
      </c>
      <c r="U60" s="129">
        <v>20</v>
      </c>
      <c r="V60" s="129">
        <v>21</v>
      </c>
      <c r="W60" s="129">
        <v>22</v>
      </c>
      <c r="X60" s="129">
        <v>23</v>
      </c>
      <c r="Y60" s="129">
        <v>24</v>
      </c>
      <c r="Z60" s="129">
        <v>25</v>
      </c>
      <c r="AA60" s="129">
        <v>26</v>
      </c>
      <c r="AB60" s="129">
        <v>27</v>
      </c>
      <c r="AC60" s="129">
        <v>28</v>
      </c>
      <c r="AD60" s="129">
        <v>29</v>
      </c>
      <c r="AE60" s="129">
        <v>30</v>
      </c>
      <c r="AF60" s="129">
        <v>31</v>
      </c>
      <c r="AG60" s="129">
        <v>32</v>
      </c>
      <c r="AH60" s="129">
        <v>33</v>
      </c>
      <c r="AI60" s="129">
        <v>34</v>
      </c>
      <c r="AJ60" s="129">
        <v>35</v>
      </c>
      <c r="AK60" s="129">
        <v>36</v>
      </c>
      <c r="AL60" s="129">
        <v>37</v>
      </c>
      <c r="AM60" s="129">
        <v>38</v>
      </c>
      <c r="AN60" s="129">
        <v>39</v>
      </c>
      <c r="AO60" s="129">
        <v>40</v>
      </c>
      <c r="AP60" s="129">
        <v>41</v>
      </c>
      <c r="AQ60" s="129">
        <v>42</v>
      </c>
      <c r="AR60" s="129">
        <v>43</v>
      </c>
      <c r="AS60" s="129">
        <v>44</v>
      </c>
      <c r="AT60" s="129">
        <v>45</v>
      </c>
      <c r="AU60" s="129">
        <v>46</v>
      </c>
      <c r="AV60" s="129">
        <v>47</v>
      </c>
      <c r="AW60" s="129">
        <v>48</v>
      </c>
      <c r="AX60" s="129">
        <v>49</v>
      </c>
      <c r="AY60" s="129">
        <v>50</v>
      </c>
      <c r="AZ60" s="129">
        <v>51</v>
      </c>
      <c r="BA60" s="129">
        <v>52</v>
      </c>
      <c r="BB60" s="129">
        <v>53</v>
      </c>
      <c r="BC60" s="129">
        <v>54</v>
      </c>
      <c r="BD60" s="129">
        <v>55</v>
      </c>
      <c r="BE60" s="129">
        <v>56</v>
      </c>
      <c r="BF60" s="129">
        <v>57</v>
      </c>
      <c r="BG60" s="129">
        <v>58</v>
      </c>
      <c r="BH60" s="129">
        <v>59</v>
      </c>
      <c r="BI60" s="129">
        <v>60</v>
      </c>
      <c r="BJ60" s="129">
        <v>61</v>
      </c>
      <c r="BK60" s="129">
        <v>62</v>
      </c>
      <c r="BL60" s="129">
        <v>63</v>
      </c>
      <c r="BM60" s="129">
        <v>64</v>
      </c>
      <c r="BN60" s="129">
        <v>65</v>
      </c>
      <c r="BO60" s="129">
        <v>66</v>
      </c>
      <c r="BP60" s="129">
        <v>67</v>
      </c>
      <c r="BQ60" s="129">
        <v>68</v>
      </c>
      <c r="BR60" s="129">
        <v>69</v>
      </c>
      <c r="BS60" s="129">
        <v>70</v>
      </c>
      <c r="BT60" s="129">
        <v>71</v>
      </c>
      <c r="BU60" s="129">
        <v>72</v>
      </c>
      <c r="BV60" s="129">
        <v>73</v>
      </c>
      <c r="BW60" s="129">
        <v>74</v>
      </c>
      <c r="BX60" s="129">
        <v>75</v>
      </c>
      <c r="BY60" s="129">
        <v>76</v>
      </c>
      <c r="BZ60" s="129">
        <v>77</v>
      </c>
      <c r="CA60" s="129">
        <v>78</v>
      </c>
      <c r="CB60" s="129">
        <v>79</v>
      </c>
      <c r="CC60" s="129">
        <v>80</v>
      </c>
      <c r="CD60" s="129">
        <v>81</v>
      </c>
      <c r="CE60" s="129">
        <v>82</v>
      </c>
      <c r="CF60" s="129">
        <v>83</v>
      </c>
      <c r="CG60" s="129">
        <v>84</v>
      </c>
      <c r="CH60" s="129">
        <v>85</v>
      </c>
      <c r="CI60" s="129">
        <v>86</v>
      </c>
      <c r="CJ60" s="129">
        <v>87</v>
      </c>
      <c r="CK60" s="129">
        <v>88</v>
      </c>
      <c r="CL60" s="129">
        <v>89</v>
      </c>
      <c r="CM60" s="129">
        <v>90</v>
      </c>
      <c r="CN60" s="129">
        <v>91</v>
      </c>
      <c r="CO60" s="129">
        <v>92</v>
      </c>
      <c r="CP60" s="129">
        <v>93</v>
      </c>
      <c r="CQ60" s="129">
        <v>94</v>
      </c>
      <c r="CR60" s="129">
        <v>95</v>
      </c>
      <c r="CS60" s="129">
        <v>96</v>
      </c>
      <c r="CT60" s="129">
        <v>97</v>
      </c>
      <c r="CU60" s="129">
        <v>98</v>
      </c>
      <c r="CV60" s="129">
        <v>99</v>
      </c>
      <c r="CW60" s="129">
        <v>100</v>
      </c>
      <c r="CX60" s="129">
        <v>101</v>
      </c>
      <c r="CY60" s="129">
        <v>102</v>
      </c>
      <c r="CZ60" s="129">
        <v>103</v>
      </c>
      <c r="DA60" s="129">
        <v>104</v>
      </c>
      <c r="DB60" s="129">
        <v>105</v>
      </c>
      <c r="DC60" s="129">
        <v>106</v>
      </c>
      <c r="DD60" s="129">
        <v>107</v>
      </c>
      <c r="DE60" s="129">
        <v>108</v>
      </c>
      <c r="DF60" s="129">
        <v>109</v>
      </c>
      <c r="DG60" s="129">
        <v>110</v>
      </c>
      <c r="DH60" s="129">
        <v>111</v>
      </c>
      <c r="DI60" s="129">
        <v>112</v>
      </c>
      <c r="DJ60" s="129">
        <v>113</v>
      </c>
      <c r="DK60" s="129">
        <v>114</v>
      </c>
      <c r="DL60" s="129">
        <v>115</v>
      </c>
      <c r="DM60" s="129">
        <v>116</v>
      </c>
      <c r="DN60" s="129">
        <v>117</v>
      </c>
      <c r="DO60" s="129">
        <v>118</v>
      </c>
      <c r="DP60" s="129">
        <v>119</v>
      </c>
      <c r="DQ60" s="129">
        <v>120</v>
      </c>
      <c r="DR60" s="129">
        <v>121</v>
      </c>
      <c r="DS60" s="129">
        <v>122</v>
      </c>
      <c r="DT60" s="129">
        <v>123</v>
      </c>
      <c r="DU60" s="129">
        <v>124</v>
      </c>
      <c r="DV60" s="129">
        <v>125</v>
      </c>
      <c r="DW60" s="129">
        <v>126</v>
      </c>
      <c r="DX60" s="129">
        <v>127</v>
      </c>
      <c r="DY60" s="129">
        <v>128</v>
      </c>
      <c r="DZ60" s="129">
        <v>129</v>
      </c>
      <c r="EA60" s="129">
        <v>130</v>
      </c>
      <c r="EB60" s="129">
        <v>131</v>
      </c>
      <c r="EC60" s="129">
        <v>132</v>
      </c>
      <c r="ED60" s="129">
        <v>133</v>
      </c>
      <c r="EE60" s="129">
        <v>134</v>
      </c>
      <c r="EF60" s="129">
        <v>135</v>
      </c>
      <c r="EG60" s="129">
        <v>136</v>
      </c>
      <c r="EH60" s="129">
        <v>137</v>
      </c>
      <c r="EI60" s="129">
        <v>138</v>
      </c>
      <c r="EJ60" s="129">
        <v>139</v>
      </c>
      <c r="EK60" s="129">
        <v>140</v>
      </c>
    </row>
    <row r="61" spans="2:141" s="129" customFormat="1" ht="15.9" customHeight="1">
      <c r="B61" s="1034" t="s">
        <v>116</v>
      </c>
      <c r="C61" s="1035"/>
      <c r="D61" s="1035"/>
      <c r="E61" s="1035"/>
      <c r="F61" s="1036"/>
      <c r="G61" s="889" t="s">
        <v>16</v>
      </c>
      <c r="H61" s="883"/>
      <c r="I61" s="883"/>
      <c r="J61" s="883"/>
      <c r="K61" s="884"/>
      <c r="L61" s="889" t="str">
        <f>PROPER(L1)</f>
        <v>Môn Toán</v>
      </c>
      <c r="M61" s="883"/>
      <c r="N61" s="883"/>
      <c r="O61" s="883"/>
      <c r="P61" s="883"/>
      <c r="Q61" s="883"/>
      <c r="R61" s="883"/>
      <c r="S61" s="883"/>
      <c r="T61" s="884"/>
      <c r="U61" s="889" t="str">
        <f>PROPER(U1)</f>
        <v>Môn Vật Lí</v>
      </c>
      <c r="V61" s="883"/>
      <c r="W61" s="883"/>
      <c r="X61" s="883"/>
      <c r="Y61" s="883"/>
      <c r="Z61" s="883"/>
      <c r="AA61" s="883"/>
      <c r="AB61" s="883"/>
      <c r="AC61" s="884"/>
      <c r="AD61" s="889" t="str">
        <f>PROPER(AD1)</f>
        <v>Môn Hóa Học</v>
      </c>
      <c r="AE61" s="883"/>
      <c r="AF61" s="883"/>
      <c r="AG61" s="883"/>
      <c r="AH61" s="883"/>
      <c r="AI61" s="883"/>
      <c r="AJ61" s="883"/>
      <c r="AK61" s="883"/>
      <c r="AL61" s="884"/>
      <c r="AM61" s="889" t="str">
        <f>PROPER(AM1)</f>
        <v>Môn Sinh Học</v>
      </c>
      <c r="AN61" s="883"/>
      <c r="AO61" s="883"/>
      <c r="AP61" s="883"/>
      <c r="AQ61" s="883"/>
      <c r="AR61" s="883"/>
      <c r="AS61" s="883"/>
      <c r="AT61" s="883"/>
      <c r="AU61" s="884"/>
      <c r="AV61" s="889" t="str">
        <f>PROPER(AV1)</f>
        <v>Môn Tin Học</v>
      </c>
      <c r="AW61" s="883"/>
      <c r="AX61" s="883"/>
      <c r="AY61" s="883"/>
      <c r="AZ61" s="883"/>
      <c r="BA61" s="883"/>
      <c r="BB61" s="883"/>
      <c r="BC61" s="883"/>
      <c r="BD61" s="884"/>
      <c r="BE61" s="889" t="str">
        <f>PROPER(BE1)</f>
        <v>Môn Ngữ Văn</v>
      </c>
      <c r="BF61" s="883"/>
      <c r="BG61" s="883"/>
      <c r="BH61" s="883"/>
      <c r="BI61" s="883"/>
      <c r="BJ61" s="883"/>
      <c r="BK61" s="883"/>
      <c r="BL61" s="883"/>
      <c r="BM61" s="884"/>
      <c r="BN61" s="889" t="str">
        <f>PROPER(BN1)</f>
        <v>Môn Lịch Sử</v>
      </c>
      <c r="BO61" s="883"/>
      <c r="BP61" s="883"/>
      <c r="BQ61" s="883"/>
      <c r="BR61" s="883"/>
      <c r="BS61" s="883"/>
      <c r="BT61" s="883"/>
      <c r="BU61" s="883"/>
      <c r="BV61" s="884"/>
      <c r="BW61" s="889" t="str">
        <f>PROPER(BW1)</f>
        <v>Môn Địa Lí</v>
      </c>
      <c r="BX61" s="883"/>
      <c r="BY61" s="883"/>
      <c r="BZ61" s="883"/>
      <c r="CA61" s="883"/>
      <c r="CB61" s="883"/>
      <c r="CC61" s="883"/>
      <c r="CD61" s="883"/>
      <c r="CE61" s="884"/>
      <c r="CF61" s="889" t="str">
        <f>PROPER(CF1)</f>
        <v>Môn Anh Văn</v>
      </c>
      <c r="CG61" s="883"/>
      <c r="CH61" s="883"/>
      <c r="CI61" s="883"/>
      <c r="CJ61" s="883"/>
      <c r="CK61" s="883"/>
      <c r="CL61" s="883"/>
      <c r="CM61" s="883"/>
      <c r="CN61" s="884"/>
      <c r="CO61" s="889" t="str">
        <f>PROPER(CO1)</f>
        <v>Môn Gdcd</v>
      </c>
      <c r="CP61" s="883"/>
      <c r="CQ61" s="883"/>
      <c r="CR61" s="883"/>
      <c r="CS61" s="883"/>
      <c r="CT61" s="883"/>
      <c r="CU61" s="883"/>
      <c r="CV61" s="883"/>
      <c r="CW61" s="884"/>
      <c r="CX61" s="889" t="str">
        <f>PROPER(CX1)</f>
        <v>Môn Công Nghệ</v>
      </c>
      <c r="CY61" s="883"/>
      <c r="CZ61" s="883"/>
      <c r="DA61" s="883"/>
      <c r="DB61" s="883"/>
      <c r="DC61" s="883"/>
      <c r="DD61" s="883"/>
      <c r="DE61" s="883"/>
      <c r="DF61" s="884"/>
      <c r="DG61" s="422"/>
      <c r="DH61" s="422"/>
      <c r="DI61" s="422"/>
      <c r="DJ61" s="422"/>
      <c r="DK61" s="422"/>
      <c r="DL61" s="422"/>
      <c r="DM61" s="422"/>
      <c r="DN61" s="422"/>
      <c r="DO61" s="422"/>
      <c r="DP61" s="889" t="str">
        <f>PROPER(DP1)</f>
        <v>Môn Gdqp-An</v>
      </c>
      <c r="DQ61" s="883"/>
      <c r="DR61" s="883"/>
      <c r="DS61" s="883"/>
      <c r="DT61" s="883"/>
      <c r="DU61" s="883"/>
      <c r="DV61" s="883"/>
      <c r="DW61" s="883"/>
      <c r="DX61" s="884"/>
      <c r="DY61" s="889" t="str">
        <f>PROPER(DY1)</f>
        <v>Môn Nghề Pt</v>
      </c>
      <c r="DZ61" s="883"/>
      <c r="EA61" s="883"/>
      <c r="EB61" s="883"/>
      <c r="EC61" s="883"/>
      <c r="ED61" s="883"/>
      <c r="EE61" s="883"/>
      <c r="EF61" s="883"/>
      <c r="EG61" s="884"/>
    </row>
    <row r="62" spans="2:141" s="129" customFormat="1" ht="15.9" customHeight="1">
      <c r="B62" s="903" t="s">
        <v>77</v>
      </c>
      <c r="C62" s="904"/>
      <c r="D62" s="904"/>
      <c r="E62" s="904"/>
      <c r="F62" s="905"/>
      <c r="G62" s="130" t="s">
        <v>11</v>
      </c>
      <c r="H62" s="130"/>
      <c r="I62" s="131" t="s">
        <v>40</v>
      </c>
      <c r="J62" s="132">
        <v>10</v>
      </c>
      <c r="K62" s="133"/>
      <c r="L62" s="134">
        <f>COUNTIFS($D$4:$D$58,"?*",L4:L58,"&lt;=10") - COUNTIFS($D$4:$D$58,"?*",L4:L58,"&lt;=7.9")</f>
        <v>0</v>
      </c>
      <c r="M62" s="135">
        <f>COUNTIFS($D$4:$D$58,"?*",M4:M58,"&lt;=10") - COUNTIFS($D$4:$D$58,"?*",M4:M58,"&lt;=7.9")</f>
        <v>0</v>
      </c>
      <c r="N62" s="135">
        <f t="shared" ref="N62" si="42">COUNTIFS($D$4:$D$58,"?*",N4:N58,"&lt;=10") - COUNTIFS($D$4:$D$58,"?*",N4:N58,"&lt;=7.9")</f>
        <v>0</v>
      </c>
      <c r="O62" s="135">
        <f t="shared" ref="O62:T62" si="43">COUNTIFS($D$4:$D$58,"?*",O4:O58,"&lt;=10") - COUNTIFS($D$4:$D$58,"?*",O4:O58,"&lt;=7.9")</f>
        <v>0</v>
      </c>
      <c r="P62" s="135">
        <f t="shared" si="43"/>
        <v>0</v>
      </c>
      <c r="Q62" s="135">
        <f t="shared" si="43"/>
        <v>0</v>
      </c>
      <c r="R62" s="346">
        <f t="shared" si="43"/>
        <v>36</v>
      </c>
      <c r="S62" s="346">
        <f t="shared" si="43"/>
        <v>0</v>
      </c>
      <c r="T62" s="136">
        <f t="shared" si="43"/>
        <v>0</v>
      </c>
      <c r="U62" s="134">
        <f>COUNTIFS($D$4:$D$58,"?*",U4:U58,"&lt;=10") - COUNTIFS($D$4:$D$58,"?*",U4:U58,"&lt;=7.9")</f>
        <v>0</v>
      </c>
      <c r="V62" s="135">
        <f>COUNTIFS($D$4:$D$58,"?*",V4:V58,"&lt;=10") - COUNTIFS($D$4:$D$58,"?*",V4:V58,"&lt;=7.9")</f>
        <v>0</v>
      </c>
      <c r="W62" s="135">
        <f t="shared" ref="W62:AC62" si="44">COUNTIFS($D$4:$D$58,"?*",W4:W58,"&lt;=10") - COUNTIFS($D$4:$D$58,"?*",W4:W58,"&lt;=7.9")</f>
        <v>0</v>
      </c>
      <c r="X62" s="135">
        <f t="shared" si="44"/>
        <v>0</v>
      </c>
      <c r="Y62" s="135">
        <f t="shared" si="44"/>
        <v>0</v>
      </c>
      <c r="Z62" s="135">
        <f t="shared" si="44"/>
        <v>0</v>
      </c>
      <c r="AA62" s="346">
        <f t="shared" si="44"/>
        <v>36</v>
      </c>
      <c r="AB62" s="346">
        <f t="shared" si="44"/>
        <v>0</v>
      </c>
      <c r="AC62" s="136">
        <f t="shared" si="44"/>
        <v>0</v>
      </c>
      <c r="AD62" s="134">
        <f>COUNTIFS($D$4:$D$58,"?*",AD4:AD58,"&lt;=10") - COUNTIFS($D$4:$D$58,"?*",AD4:AD58,"&lt;=7.9")</f>
        <v>0</v>
      </c>
      <c r="AE62" s="135">
        <f>COUNTIFS($D$4:$D$58,"?*",AE4:AE58,"&lt;=10") - COUNTIFS($D$4:$D$58,"?*",AE4:AE58,"&lt;=7.9")</f>
        <v>0</v>
      </c>
      <c r="AF62" s="135">
        <f t="shared" ref="AF62:AL62" si="45">COUNTIFS($D$4:$D$58,"?*",AF4:AF58,"&lt;=10") - COUNTIFS($D$4:$D$58,"?*",AF4:AF58,"&lt;=7.9")</f>
        <v>0</v>
      </c>
      <c r="AG62" s="135">
        <f t="shared" si="45"/>
        <v>0</v>
      </c>
      <c r="AH62" s="135">
        <f t="shared" si="45"/>
        <v>0</v>
      </c>
      <c r="AI62" s="135">
        <f t="shared" si="45"/>
        <v>0</v>
      </c>
      <c r="AJ62" s="346">
        <f t="shared" si="45"/>
        <v>36</v>
      </c>
      <c r="AK62" s="346">
        <f t="shared" si="45"/>
        <v>0</v>
      </c>
      <c r="AL62" s="136">
        <f t="shared" si="45"/>
        <v>0</v>
      </c>
      <c r="AM62" s="134">
        <f>COUNTIFS($D$4:$D$58,"?*",AM4:AM58,"&lt;=10") - COUNTIFS($D$4:$D$58,"?*",AM4:AM58,"&lt;=7.9")</f>
        <v>0</v>
      </c>
      <c r="AN62" s="135">
        <f>COUNTIFS($D$4:$D$58,"?*",AN4:AN58,"&lt;=10") - COUNTIFS($D$4:$D$58,"?*",AN4:AN58,"&lt;=7.9")</f>
        <v>0</v>
      </c>
      <c r="AO62" s="135">
        <f t="shared" ref="AO62:AU62" si="46">COUNTIFS($D$4:$D$58,"?*",AO4:AO58,"&lt;=10") - COUNTIFS($D$4:$D$58,"?*",AO4:AO58,"&lt;=7.9")</f>
        <v>0</v>
      </c>
      <c r="AP62" s="135">
        <f t="shared" si="46"/>
        <v>0</v>
      </c>
      <c r="AQ62" s="135">
        <f t="shared" si="46"/>
        <v>0</v>
      </c>
      <c r="AR62" s="135">
        <f t="shared" si="46"/>
        <v>0</v>
      </c>
      <c r="AS62" s="346">
        <f t="shared" si="46"/>
        <v>36</v>
      </c>
      <c r="AT62" s="346">
        <f t="shared" si="46"/>
        <v>0</v>
      </c>
      <c r="AU62" s="136">
        <f t="shared" si="46"/>
        <v>0</v>
      </c>
      <c r="AV62" s="134">
        <f>COUNTIFS($D$4:$D$58,"?*",AV4:AV58,"&lt;=10") - COUNTIFS($D$4:$D$58,"?*",AV4:AV58,"&lt;=7.9")</f>
        <v>0</v>
      </c>
      <c r="AW62" s="135">
        <f>COUNTIFS($D$4:$D$58,"?*",AW4:AW58,"&lt;=10") - COUNTIFS($D$4:$D$58,"?*",AW4:AW58,"&lt;=7.9")</f>
        <v>0</v>
      </c>
      <c r="AX62" s="135">
        <f t="shared" ref="AX62:BD62" si="47">COUNTIFS($D$4:$D$58,"?*",AX4:AX58,"&lt;=10") - COUNTIFS($D$4:$D$58,"?*",AX4:AX58,"&lt;=7.9")</f>
        <v>0</v>
      </c>
      <c r="AY62" s="135">
        <f t="shared" si="47"/>
        <v>0</v>
      </c>
      <c r="AZ62" s="135">
        <f t="shared" si="47"/>
        <v>0</v>
      </c>
      <c r="BA62" s="135">
        <f t="shared" si="47"/>
        <v>0</v>
      </c>
      <c r="BB62" s="346">
        <f t="shared" si="47"/>
        <v>36</v>
      </c>
      <c r="BC62" s="346">
        <f t="shared" si="47"/>
        <v>0</v>
      </c>
      <c r="BD62" s="136">
        <f t="shared" si="47"/>
        <v>0</v>
      </c>
      <c r="BE62" s="134">
        <f>COUNTIFS($D$4:$D$58,"?*",BE4:BE58,"&lt;=10") - COUNTIFS($D$4:$D$58,"?*",BE4:BE58,"&lt;=7.9")</f>
        <v>0</v>
      </c>
      <c r="BF62" s="135">
        <f>COUNTIFS($D$4:$D$58,"?*",BF4:BF58,"&lt;=10") - COUNTIFS($D$4:$D$58,"?*",BF4:BF58,"&lt;=7.9")</f>
        <v>0</v>
      </c>
      <c r="BG62" s="135">
        <f t="shared" ref="BG62:BM62" si="48">COUNTIFS($D$4:$D$58,"?*",BG4:BG58,"&lt;=10") - COUNTIFS($D$4:$D$58,"?*",BG4:BG58,"&lt;=7.9")</f>
        <v>0</v>
      </c>
      <c r="BH62" s="135">
        <f t="shared" si="48"/>
        <v>0</v>
      </c>
      <c r="BI62" s="135">
        <f t="shared" si="48"/>
        <v>0</v>
      </c>
      <c r="BJ62" s="135">
        <f t="shared" si="48"/>
        <v>0</v>
      </c>
      <c r="BK62" s="346">
        <f t="shared" si="48"/>
        <v>5</v>
      </c>
      <c r="BL62" s="346">
        <f t="shared" si="48"/>
        <v>0</v>
      </c>
      <c r="BM62" s="136">
        <f t="shared" si="48"/>
        <v>0</v>
      </c>
      <c r="BN62" s="134">
        <f>COUNTIFS($D$4:$D$58,"?*",BN4:BN58,"&lt;=10") - COUNTIFS($D$4:$D$58,"?*",BN4:BN58,"&lt;=7.9")</f>
        <v>0</v>
      </c>
      <c r="BO62" s="135">
        <f>COUNTIFS($D$4:$D$58,"?*",BO4:BO58,"&lt;=10") - COUNTIFS($D$4:$D$58,"?*",BO4:BO58,"&lt;=7.9")</f>
        <v>0</v>
      </c>
      <c r="BP62" s="135">
        <f t="shared" ref="BP62:BV62" si="49">COUNTIFS($D$4:$D$58,"?*",BP4:BP58,"&lt;=10") - COUNTIFS($D$4:$D$58,"?*",BP4:BP58,"&lt;=7.9")</f>
        <v>0</v>
      </c>
      <c r="BQ62" s="135">
        <f t="shared" si="49"/>
        <v>0</v>
      </c>
      <c r="BR62" s="135">
        <f t="shared" si="49"/>
        <v>0</v>
      </c>
      <c r="BS62" s="135">
        <f t="shared" si="49"/>
        <v>0</v>
      </c>
      <c r="BT62" s="346">
        <f t="shared" si="49"/>
        <v>36</v>
      </c>
      <c r="BU62" s="346">
        <f t="shared" si="49"/>
        <v>0</v>
      </c>
      <c r="BV62" s="136">
        <f t="shared" si="49"/>
        <v>0</v>
      </c>
      <c r="BW62" s="134">
        <f>COUNTIFS($D$4:$D$58,"?*",BW4:BW58,"&lt;=10") - COUNTIFS($D$4:$D$58,"?*",BW4:BW58,"&lt;=7.9")</f>
        <v>0</v>
      </c>
      <c r="BX62" s="135">
        <f>COUNTIFS($D$4:$D$58,"?*",BX4:BX58,"&lt;=10") - COUNTIFS($D$4:$D$58,"?*",BX4:BX58,"&lt;=7.9")</f>
        <v>0</v>
      </c>
      <c r="BY62" s="135">
        <f t="shared" ref="BY62:CE62" si="50">COUNTIFS($D$4:$D$58,"?*",BY4:BY58,"&lt;=10") - COUNTIFS($D$4:$D$58,"?*",BY4:BY58,"&lt;=7.9")</f>
        <v>0</v>
      </c>
      <c r="BZ62" s="135">
        <f t="shared" si="50"/>
        <v>0</v>
      </c>
      <c r="CA62" s="135">
        <f t="shared" si="50"/>
        <v>0</v>
      </c>
      <c r="CB62" s="135">
        <f t="shared" si="50"/>
        <v>0</v>
      </c>
      <c r="CC62" s="346">
        <f t="shared" si="50"/>
        <v>36</v>
      </c>
      <c r="CD62" s="346">
        <f t="shared" si="50"/>
        <v>0</v>
      </c>
      <c r="CE62" s="136">
        <f t="shared" si="50"/>
        <v>0</v>
      </c>
      <c r="CF62" s="134">
        <f>COUNTIFS($D$4:$D$58,"?*",CF4:CF58,"&lt;=10") - COUNTIFS($D$4:$D$58,"?*",CF4:CF58,"&lt;=7.9")</f>
        <v>0</v>
      </c>
      <c r="CG62" s="135">
        <f>COUNTIFS($D$4:$D$58,"?*",CG4:CG58,"&lt;=10") - COUNTIFS($D$4:$D$58,"?*",CG4:CG58,"&lt;=7.9")</f>
        <v>0</v>
      </c>
      <c r="CH62" s="135">
        <f t="shared" ref="CH62:CN62" si="51">COUNTIFS($D$4:$D$58,"?*",CH4:CH58,"&lt;=10") - COUNTIFS($D$4:$D$58,"?*",CH4:CH58,"&lt;=7.9")</f>
        <v>0</v>
      </c>
      <c r="CI62" s="135">
        <f t="shared" si="51"/>
        <v>0</v>
      </c>
      <c r="CJ62" s="135">
        <f t="shared" si="51"/>
        <v>0</v>
      </c>
      <c r="CK62" s="135">
        <f t="shared" si="51"/>
        <v>0</v>
      </c>
      <c r="CL62" s="346">
        <f t="shared" si="51"/>
        <v>33</v>
      </c>
      <c r="CM62" s="346">
        <f t="shared" si="51"/>
        <v>0</v>
      </c>
      <c r="CN62" s="136">
        <f t="shared" si="51"/>
        <v>0</v>
      </c>
      <c r="CO62" s="134">
        <f>COUNTIFS($D$4:$D$58,"?*",CO4:CO58,"&lt;=10") - COUNTIFS($D$4:$D$58,"?*",CO4:CO58,"&lt;=7.9")</f>
        <v>0</v>
      </c>
      <c r="CP62" s="135">
        <f>COUNTIFS($D$4:$D$58,"?*",CP4:CP58,"&lt;=10") - COUNTIFS($D$4:$D$58,"?*",CP4:CP58,"&lt;=7.9")</f>
        <v>0</v>
      </c>
      <c r="CQ62" s="135">
        <f t="shared" ref="CQ62:CW62" si="52">COUNTIFS($D$4:$D$58,"?*",CQ4:CQ58,"&lt;=10") - COUNTIFS($D$4:$D$58,"?*",CQ4:CQ58,"&lt;=7.9")</f>
        <v>0</v>
      </c>
      <c r="CR62" s="135">
        <f t="shared" si="52"/>
        <v>0</v>
      </c>
      <c r="CS62" s="135">
        <f t="shared" si="52"/>
        <v>0</v>
      </c>
      <c r="CT62" s="135">
        <f t="shared" si="52"/>
        <v>0</v>
      </c>
      <c r="CU62" s="346">
        <f t="shared" si="52"/>
        <v>36</v>
      </c>
      <c r="CV62" s="346">
        <f t="shared" si="52"/>
        <v>0</v>
      </c>
      <c r="CW62" s="136">
        <f t="shared" si="52"/>
        <v>0</v>
      </c>
      <c r="CX62" s="134">
        <f>COUNTIFS($D$4:$D$58,"?*",CX4:CX58,"&lt;=10") - COUNTIFS($D$4:$D$58,"?*",CX4:CX58,"&lt;=7.9")</f>
        <v>0</v>
      </c>
      <c r="CY62" s="135">
        <f>COUNTIFS($D$4:$D$58,"?*",CY4:CY58,"&lt;=10") - COUNTIFS($D$4:$D$58,"?*",CY4:CY58,"&lt;=7.9")</f>
        <v>0</v>
      </c>
      <c r="CZ62" s="135">
        <f t="shared" ref="CZ62:DF62" si="53">COUNTIFS($D$4:$D$58,"?*",CZ4:CZ58,"&lt;=10") - COUNTIFS($D$4:$D$58,"?*",CZ4:CZ58,"&lt;=7.9")</f>
        <v>0</v>
      </c>
      <c r="DA62" s="135">
        <f t="shared" si="53"/>
        <v>0</v>
      </c>
      <c r="DB62" s="135">
        <f t="shared" si="53"/>
        <v>0</v>
      </c>
      <c r="DC62" s="135">
        <f t="shared" si="53"/>
        <v>0</v>
      </c>
      <c r="DD62" s="346">
        <f t="shared" si="53"/>
        <v>36</v>
      </c>
      <c r="DE62" s="346">
        <f t="shared" si="53"/>
        <v>0</v>
      </c>
      <c r="DF62" s="136">
        <f t="shared" si="53"/>
        <v>0</v>
      </c>
      <c r="DG62" s="423"/>
      <c r="DH62" s="423"/>
      <c r="DI62" s="423"/>
      <c r="DJ62" s="423"/>
      <c r="DK62" s="423"/>
      <c r="DL62" s="423"/>
      <c r="DM62" s="423"/>
      <c r="DN62" s="423"/>
      <c r="DO62" s="423"/>
      <c r="DP62" s="134">
        <f>COUNTIFS($D$4:$D$58,"?*",DP4:DP58,"&lt;=10") - COUNTIFS($D$4:$D$58,"?*",DP4:DP58,"&lt;=7.9")</f>
        <v>0</v>
      </c>
      <c r="DQ62" s="135">
        <f>COUNTIFS($D$4:$D$58,"?*",DQ4:DQ58,"&lt;=10") - COUNTIFS($D$4:$D$58,"?*",DQ4:DQ58,"&lt;=7.9")</f>
        <v>0</v>
      </c>
      <c r="DR62" s="135">
        <f t="shared" ref="DR62:DX62" si="54">COUNTIFS($D$4:$D$58,"?*",DR4:DR58,"&lt;=10") - COUNTIFS($D$4:$D$58,"?*",DR4:DR58,"&lt;=7.9")</f>
        <v>0</v>
      </c>
      <c r="DS62" s="135">
        <f t="shared" si="54"/>
        <v>0</v>
      </c>
      <c r="DT62" s="135">
        <f t="shared" si="54"/>
        <v>0</v>
      </c>
      <c r="DU62" s="135">
        <f t="shared" si="54"/>
        <v>0</v>
      </c>
      <c r="DV62" s="346">
        <f t="shared" si="54"/>
        <v>36</v>
      </c>
      <c r="DW62" s="346">
        <f t="shared" si="54"/>
        <v>0</v>
      </c>
      <c r="DX62" s="136">
        <f t="shared" si="54"/>
        <v>0</v>
      </c>
      <c r="DY62" s="134">
        <f>COUNTIFS($D$4:$D$58,"?*",DY4:DY58,"&lt;=10") - COUNTIFS($D$4:$D$58,"?*",DY4:DY58,"&lt;=7.9")</f>
        <v>0</v>
      </c>
      <c r="DZ62" s="135">
        <f>COUNTIFS($D$4:$D$58,"?*",DZ4:DZ58,"&lt;=10") - COUNTIFS($D$4:$D$58,"?*",DZ4:DZ58,"&lt;=7.9")</f>
        <v>0</v>
      </c>
      <c r="EA62" s="135">
        <f t="shared" ref="EA62:EG62" si="55">COUNTIFS($D$4:$D$58,"?*",EA4:EA58,"&lt;=10") - COUNTIFS($D$4:$D$58,"?*",EA4:EA58,"&lt;=7.9")</f>
        <v>0</v>
      </c>
      <c r="EB62" s="135">
        <f t="shared" si="55"/>
        <v>0</v>
      </c>
      <c r="EC62" s="135">
        <f t="shared" si="55"/>
        <v>0</v>
      </c>
      <c r="ED62" s="135">
        <f t="shared" si="55"/>
        <v>0</v>
      </c>
      <c r="EE62" s="346">
        <f t="shared" si="55"/>
        <v>0</v>
      </c>
      <c r="EF62" s="346">
        <f t="shared" si="55"/>
        <v>0</v>
      </c>
      <c r="EG62" s="136">
        <f t="shared" si="55"/>
        <v>0</v>
      </c>
    </row>
    <row r="63" spans="2:141" s="129" customFormat="1" ht="15.9" customHeight="1">
      <c r="B63" s="906"/>
      <c r="C63" s="907"/>
      <c r="D63" s="907"/>
      <c r="E63" s="907"/>
      <c r="F63" s="908"/>
      <c r="G63" s="137" t="s">
        <v>12</v>
      </c>
      <c r="H63" s="137"/>
      <c r="I63" s="138" t="s">
        <v>41</v>
      </c>
      <c r="J63" s="139">
        <v>7.9</v>
      </c>
      <c r="K63" s="140"/>
      <c r="L63" s="141">
        <f>COUNTIFS($D$4:$D$58,"?*",L4:L58,"&lt;=7.9") - COUNTIFS($D$4:$D$58,"?*",L4:L58,"&lt;=6.4")</f>
        <v>0</v>
      </c>
      <c r="M63" s="142">
        <f t="shared" ref="M63:N63" si="56">COUNTIFS($D$4:$D$58,"?*",M4:M58,"&lt;=7.9") - COUNTIFS($D$4:$D$58,"?*",M4:M58,"&lt;=6.4")</f>
        <v>0</v>
      </c>
      <c r="N63" s="142">
        <f t="shared" si="56"/>
        <v>0</v>
      </c>
      <c r="O63" s="142">
        <f t="shared" ref="O63:T63" si="57">COUNTIFS($D$4:$D$58,"?*",O4:O58,"&lt;=7.9") - COUNTIFS($D$4:$D$58,"?*",O4:O58,"&lt;=6.4")</f>
        <v>0</v>
      </c>
      <c r="P63" s="142">
        <f t="shared" si="57"/>
        <v>0</v>
      </c>
      <c r="Q63" s="142">
        <f t="shared" si="57"/>
        <v>0</v>
      </c>
      <c r="R63" s="347">
        <f t="shared" si="57"/>
        <v>0</v>
      </c>
      <c r="S63" s="347">
        <f t="shared" si="57"/>
        <v>0</v>
      </c>
      <c r="T63" s="143">
        <f t="shared" si="57"/>
        <v>0</v>
      </c>
      <c r="U63" s="141">
        <f>COUNTIFS($D$4:$D$58,"?*",U4:U58,"&lt;=7.9") - COUNTIFS($D$4:$D$58,"?*",U4:U58,"&lt;=6.4")</f>
        <v>0</v>
      </c>
      <c r="V63" s="142">
        <f t="shared" ref="V63:AC63" si="58">COUNTIFS($D$4:$D$58,"?*",V4:V58,"&lt;=7.9") - COUNTIFS($D$4:$D$58,"?*",V4:V58,"&lt;=6.4")</f>
        <v>0</v>
      </c>
      <c r="W63" s="142">
        <f t="shared" si="58"/>
        <v>0</v>
      </c>
      <c r="X63" s="142">
        <f t="shared" si="58"/>
        <v>0</v>
      </c>
      <c r="Y63" s="142">
        <f t="shared" si="58"/>
        <v>0</v>
      </c>
      <c r="Z63" s="142">
        <f t="shared" si="58"/>
        <v>0</v>
      </c>
      <c r="AA63" s="347">
        <f t="shared" si="58"/>
        <v>0</v>
      </c>
      <c r="AB63" s="347">
        <f t="shared" si="58"/>
        <v>0</v>
      </c>
      <c r="AC63" s="143">
        <f t="shared" si="58"/>
        <v>0</v>
      </c>
      <c r="AD63" s="141">
        <f>COUNTIFS($D$4:$D$58,"?*",AD4:AD58,"&lt;=7.9") - COUNTIFS($D$4:$D$58,"?*",AD4:AD58,"&lt;=6.4")</f>
        <v>0</v>
      </c>
      <c r="AE63" s="142">
        <f t="shared" ref="AE63:AL63" si="59">COUNTIFS($D$4:$D$58,"?*",AE4:AE58,"&lt;=7.9") - COUNTIFS($D$4:$D$58,"?*",AE4:AE58,"&lt;=6.4")</f>
        <v>0</v>
      </c>
      <c r="AF63" s="142">
        <f t="shared" si="59"/>
        <v>0</v>
      </c>
      <c r="AG63" s="142">
        <f t="shared" si="59"/>
        <v>0</v>
      </c>
      <c r="AH63" s="142">
        <f t="shared" si="59"/>
        <v>0</v>
      </c>
      <c r="AI63" s="142">
        <f t="shared" si="59"/>
        <v>0</v>
      </c>
      <c r="AJ63" s="347">
        <f t="shared" si="59"/>
        <v>0</v>
      </c>
      <c r="AK63" s="347">
        <f t="shared" si="59"/>
        <v>0</v>
      </c>
      <c r="AL63" s="143">
        <f t="shared" si="59"/>
        <v>0</v>
      </c>
      <c r="AM63" s="141">
        <f>COUNTIFS($D$4:$D$58,"?*",AM4:AM58,"&lt;=7.9") - COUNTIFS($D$4:$D$58,"?*",AM4:AM58,"&lt;=6.4")</f>
        <v>0</v>
      </c>
      <c r="AN63" s="142">
        <f t="shared" ref="AN63:AU63" si="60">COUNTIFS($D$4:$D$58,"?*",AN4:AN58,"&lt;=7.9") - COUNTIFS($D$4:$D$58,"?*",AN4:AN58,"&lt;=6.4")</f>
        <v>0</v>
      </c>
      <c r="AO63" s="142">
        <f t="shared" si="60"/>
        <v>0</v>
      </c>
      <c r="AP63" s="142">
        <f t="shared" si="60"/>
        <v>0</v>
      </c>
      <c r="AQ63" s="142">
        <f t="shared" si="60"/>
        <v>0</v>
      </c>
      <c r="AR63" s="142">
        <f t="shared" si="60"/>
        <v>0</v>
      </c>
      <c r="AS63" s="347">
        <f t="shared" si="60"/>
        <v>0</v>
      </c>
      <c r="AT63" s="347">
        <f t="shared" si="60"/>
        <v>0</v>
      </c>
      <c r="AU63" s="143">
        <f t="shared" si="60"/>
        <v>0</v>
      </c>
      <c r="AV63" s="141">
        <f>COUNTIFS($D$4:$D$58,"?*",AV4:AV58,"&lt;=7.9") - COUNTIFS($D$4:$D$58,"?*",AV4:AV58,"&lt;=6.4")</f>
        <v>0</v>
      </c>
      <c r="AW63" s="142">
        <f t="shared" ref="AW63:BD63" si="61">COUNTIFS($D$4:$D$58,"?*",AW4:AW58,"&lt;=7.9") - COUNTIFS($D$4:$D$58,"?*",AW4:AW58,"&lt;=6.4")</f>
        <v>0</v>
      </c>
      <c r="AX63" s="142">
        <f t="shared" si="61"/>
        <v>0</v>
      </c>
      <c r="AY63" s="142">
        <f t="shared" si="61"/>
        <v>0</v>
      </c>
      <c r="AZ63" s="142">
        <f t="shared" si="61"/>
        <v>0</v>
      </c>
      <c r="BA63" s="142">
        <f t="shared" si="61"/>
        <v>0</v>
      </c>
      <c r="BB63" s="347">
        <f t="shared" si="61"/>
        <v>0</v>
      </c>
      <c r="BC63" s="347">
        <f t="shared" si="61"/>
        <v>0</v>
      </c>
      <c r="BD63" s="143">
        <f t="shared" si="61"/>
        <v>0</v>
      </c>
      <c r="BE63" s="141">
        <f>COUNTIFS($D$4:$D$58,"?*",BE4:BE58,"&lt;=7.9") - COUNTIFS($D$4:$D$58,"?*",BE4:BE58,"&lt;=6.4")</f>
        <v>0</v>
      </c>
      <c r="BF63" s="142">
        <f t="shared" ref="BF63:BM63" si="62">COUNTIFS($D$4:$D$58,"?*",BF4:BF58,"&lt;=7.9") - COUNTIFS($D$4:$D$58,"?*",BF4:BF58,"&lt;=6.4")</f>
        <v>0</v>
      </c>
      <c r="BG63" s="142">
        <f t="shared" si="62"/>
        <v>0</v>
      </c>
      <c r="BH63" s="142">
        <f t="shared" si="62"/>
        <v>0</v>
      </c>
      <c r="BI63" s="142">
        <f t="shared" si="62"/>
        <v>0</v>
      </c>
      <c r="BJ63" s="142">
        <f t="shared" si="62"/>
        <v>0</v>
      </c>
      <c r="BK63" s="347">
        <f t="shared" si="62"/>
        <v>31</v>
      </c>
      <c r="BL63" s="347">
        <f t="shared" si="62"/>
        <v>0</v>
      </c>
      <c r="BM63" s="143">
        <f t="shared" si="62"/>
        <v>0</v>
      </c>
      <c r="BN63" s="141">
        <f>COUNTIFS($D$4:$D$58,"?*",BN4:BN58,"&lt;=7.9") - COUNTIFS($D$4:$D$58,"?*",BN4:BN58,"&lt;=6.4")</f>
        <v>0</v>
      </c>
      <c r="BO63" s="142">
        <f t="shared" ref="BO63:BV63" si="63">COUNTIFS($D$4:$D$58,"?*",BO4:BO58,"&lt;=7.9") - COUNTIFS($D$4:$D$58,"?*",BO4:BO58,"&lt;=6.4")</f>
        <v>0</v>
      </c>
      <c r="BP63" s="142">
        <f t="shared" si="63"/>
        <v>0</v>
      </c>
      <c r="BQ63" s="142">
        <f t="shared" si="63"/>
        <v>0</v>
      </c>
      <c r="BR63" s="142">
        <f t="shared" si="63"/>
        <v>0</v>
      </c>
      <c r="BS63" s="142">
        <f t="shared" si="63"/>
        <v>0</v>
      </c>
      <c r="BT63" s="347">
        <f t="shared" si="63"/>
        <v>0</v>
      </c>
      <c r="BU63" s="347">
        <f t="shared" si="63"/>
        <v>0</v>
      </c>
      <c r="BV63" s="143">
        <f t="shared" si="63"/>
        <v>0</v>
      </c>
      <c r="BW63" s="141">
        <f>COUNTIFS($D$4:$D$58,"?*",BW4:BW58,"&lt;=7.9") - COUNTIFS($D$4:$D$58,"?*",BW4:BW58,"&lt;=6.4")</f>
        <v>0</v>
      </c>
      <c r="BX63" s="142">
        <f t="shared" ref="BX63:CE63" si="64">COUNTIFS($D$4:$D$58,"?*",BX4:BX58,"&lt;=7.9") - COUNTIFS($D$4:$D$58,"?*",BX4:BX58,"&lt;=6.4")</f>
        <v>0</v>
      </c>
      <c r="BY63" s="142">
        <f t="shared" si="64"/>
        <v>0</v>
      </c>
      <c r="BZ63" s="142">
        <f t="shared" si="64"/>
        <v>0</v>
      </c>
      <c r="CA63" s="142">
        <f t="shared" si="64"/>
        <v>0</v>
      </c>
      <c r="CB63" s="142">
        <f t="shared" si="64"/>
        <v>0</v>
      </c>
      <c r="CC63" s="347">
        <f t="shared" si="64"/>
        <v>0</v>
      </c>
      <c r="CD63" s="347">
        <f t="shared" si="64"/>
        <v>0</v>
      </c>
      <c r="CE63" s="143">
        <f t="shared" si="64"/>
        <v>0</v>
      </c>
      <c r="CF63" s="141">
        <f>COUNTIFS($D$4:$D$58,"?*",CF4:CF58,"&lt;=7.9") - COUNTIFS($D$4:$D$58,"?*",CF4:CF58,"&lt;=6.4")</f>
        <v>0</v>
      </c>
      <c r="CG63" s="142">
        <f t="shared" ref="CG63:CN63" si="65">COUNTIFS($D$4:$D$58,"?*",CG4:CG58,"&lt;=7.9") - COUNTIFS($D$4:$D$58,"?*",CG4:CG58,"&lt;=6.4")</f>
        <v>0</v>
      </c>
      <c r="CH63" s="142">
        <f t="shared" si="65"/>
        <v>0</v>
      </c>
      <c r="CI63" s="142">
        <f t="shared" si="65"/>
        <v>0</v>
      </c>
      <c r="CJ63" s="142">
        <f t="shared" si="65"/>
        <v>0</v>
      </c>
      <c r="CK63" s="142">
        <f t="shared" si="65"/>
        <v>0</v>
      </c>
      <c r="CL63" s="347">
        <f t="shared" si="65"/>
        <v>3</v>
      </c>
      <c r="CM63" s="347">
        <f t="shared" si="65"/>
        <v>0</v>
      </c>
      <c r="CN63" s="143">
        <f t="shared" si="65"/>
        <v>0</v>
      </c>
      <c r="CO63" s="141">
        <f>COUNTIFS($D$4:$D$58,"?*",CO4:CO58,"&lt;=7.9") - COUNTIFS($D$4:$D$58,"?*",CO4:CO58,"&lt;=6.4")</f>
        <v>0</v>
      </c>
      <c r="CP63" s="142">
        <f t="shared" ref="CP63:CW63" si="66">COUNTIFS($D$4:$D$58,"?*",CP4:CP58,"&lt;=7.9") - COUNTIFS($D$4:$D$58,"?*",CP4:CP58,"&lt;=6.4")</f>
        <v>0</v>
      </c>
      <c r="CQ63" s="142">
        <f t="shared" si="66"/>
        <v>0</v>
      </c>
      <c r="CR63" s="142">
        <f t="shared" si="66"/>
        <v>0</v>
      </c>
      <c r="CS63" s="142">
        <f t="shared" si="66"/>
        <v>0</v>
      </c>
      <c r="CT63" s="142">
        <f t="shared" si="66"/>
        <v>0</v>
      </c>
      <c r="CU63" s="347">
        <f t="shared" si="66"/>
        <v>0</v>
      </c>
      <c r="CV63" s="347">
        <f t="shared" si="66"/>
        <v>0</v>
      </c>
      <c r="CW63" s="143">
        <f t="shared" si="66"/>
        <v>0</v>
      </c>
      <c r="CX63" s="141">
        <f>COUNTIFS($D$4:$D$58,"?*",CX4:CX58,"&lt;=7.9") - COUNTIFS($D$4:$D$58,"?*",CX4:CX58,"&lt;=6.4")</f>
        <v>0</v>
      </c>
      <c r="CY63" s="142">
        <f t="shared" ref="CY63:DF63" si="67">COUNTIFS($D$4:$D$58,"?*",CY4:CY58,"&lt;=7.9") - COUNTIFS($D$4:$D$58,"?*",CY4:CY58,"&lt;=6.4")</f>
        <v>0</v>
      </c>
      <c r="CZ63" s="142">
        <f t="shared" si="67"/>
        <v>0</v>
      </c>
      <c r="DA63" s="142">
        <f t="shared" si="67"/>
        <v>0</v>
      </c>
      <c r="DB63" s="142">
        <f t="shared" si="67"/>
        <v>0</v>
      </c>
      <c r="DC63" s="142">
        <f t="shared" si="67"/>
        <v>0</v>
      </c>
      <c r="DD63" s="347">
        <f t="shared" si="67"/>
        <v>0</v>
      </c>
      <c r="DE63" s="347">
        <f t="shared" si="67"/>
        <v>0</v>
      </c>
      <c r="DF63" s="143">
        <f t="shared" si="67"/>
        <v>0</v>
      </c>
      <c r="DG63" s="423"/>
      <c r="DH63" s="423"/>
      <c r="DI63" s="423"/>
      <c r="DJ63" s="423"/>
      <c r="DK63" s="423"/>
      <c r="DL63" s="423"/>
      <c r="DM63" s="423"/>
      <c r="DN63" s="423"/>
      <c r="DO63" s="423"/>
      <c r="DP63" s="141">
        <f>COUNTIFS($D$4:$D$58,"?*",DP4:DP58,"&lt;=7.9") - COUNTIFS($D$4:$D$58,"?*",DP4:DP58,"&lt;=6.4")</f>
        <v>0</v>
      </c>
      <c r="DQ63" s="142">
        <f t="shared" ref="DQ63:DX63" si="68">COUNTIFS($D$4:$D$58,"?*",DQ4:DQ58,"&lt;=7.9") - COUNTIFS($D$4:$D$58,"?*",DQ4:DQ58,"&lt;=6.4")</f>
        <v>0</v>
      </c>
      <c r="DR63" s="142">
        <f t="shared" si="68"/>
        <v>0</v>
      </c>
      <c r="DS63" s="142">
        <f t="shared" si="68"/>
        <v>0</v>
      </c>
      <c r="DT63" s="142">
        <f t="shared" si="68"/>
        <v>0</v>
      </c>
      <c r="DU63" s="142">
        <f t="shared" si="68"/>
        <v>0</v>
      </c>
      <c r="DV63" s="347">
        <f t="shared" si="68"/>
        <v>0</v>
      </c>
      <c r="DW63" s="347">
        <f t="shared" si="68"/>
        <v>0</v>
      </c>
      <c r="DX63" s="143">
        <f t="shared" si="68"/>
        <v>0</v>
      </c>
      <c r="DY63" s="141">
        <f>COUNTIFS($D$4:$D$58,"?*",DY4:DY58,"&lt;=7.9") - COUNTIFS($D$4:$D$58,"?*",DY4:DY58,"&lt;=6.4")</f>
        <v>0</v>
      </c>
      <c r="DZ63" s="142">
        <f t="shared" ref="DZ63:EG63" si="69">COUNTIFS($D$4:$D$58,"?*",DZ4:DZ58,"&lt;=7.9") - COUNTIFS($D$4:$D$58,"?*",DZ4:DZ58,"&lt;=6.4")</f>
        <v>0</v>
      </c>
      <c r="EA63" s="142">
        <f t="shared" si="69"/>
        <v>0</v>
      </c>
      <c r="EB63" s="142">
        <f t="shared" si="69"/>
        <v>0</v>
      </c>
      <c r="EC63" s="142">
        <f t="shared" si="69"/>
        <v>0</v>
      </c>
      <c r="ED63" s="142">
        <f t="shared" si="69"/>
        <v>0</v>
      </c>
      <c r="EE63" s="347">
        <f t="shared" si="69"/>
        <v>0</v>
      </c>
      <c r="EF63" s="347">
        <f t="shared" si="69"/>
        <v>0</v>
      </c>
      <c r="EG63" s="143">
        <f t="shared" si="69"/>
        <v>0</v>
      </c>
    </row>
    <row r="64" spans="2:141" s="129" customFormat="1" ht="15.9" customHeight="1">
      <c r="B64" s="906"/>
      <c r="C64" s="907"/>
      <c r="D64" s="907"/>
      <c r="E64" s="907"/>
      <c r="F64" s="908"/>
      <c r="G64" s="137" t="s">
        <v>13</v>
      </c>
      <c r="H64" s="137"/>
      <c r="I64" s="138" t="s">
        <v>42</v>
      </c>
      <c r="J64" s="139">
        <v>6.4</v>
      </c>
      <c r="K64" s="140"/>
      <c r="L64" s="141">
        <f>COUNTIFS($D$4:$D$58,"?*",L4:L58,"&lt;=6.4") - COUNTIFS($D$4:$D$58,"?*",L4:L58,"&lt;=4.9")</f>
        <v>0</v>
      </c>
      <c r="M64" s="142">
        <f t="shared" ref="M64:N64" si="70">COUNTIFS($D$4:$D$58,"?*",M4:M58,"&lt;=6.4") - COUNTIFS($D$4:$D$58,"?*",M4:M58,"&lt;=4.9")</f>
        <v>0</v>
      </c>
      <c r="N64" s="142">
        <f t="shared" si="70"/>
        <v>0</v>
      </c>
      <c r="O64" s="142">
        <f t="shared" ref="O64:T64" si="71">COUNTIFS($D$4:$D$58,"?*",O4:O58,"&lt;=6.4") - COUNTIFS($D$4:$D$58,"?*",O4:O58,"&lt;=4.9")</f>
        <v>0</v>
      </c>
      <c r="P64" s="142">
        <f t="shared" si="71"/>
        <v>0</v>
      </c>
      <c r="Q64" s="142">
        <f t="shared" si="71"/>
        <v>0</v>
      </c>
      <c r="R64" s="347">
        <f t="shared" si="71"/>
        <v>0</v>
      </c>
      <c r="S64" s="347">
        <f t="shared" si="71"/>
        <v>0</v>
      </c>
      <c r="T64" s="143">
        <f t="shared" si="71"/>
        <v>0</v>
      </c>
      <c r="U64" s="141">
        <f>COUNTIFS($D$4:$D$58,"?*",U4:U58,"&lt;=6.4") - COUNTIFS($D$4:$D$58,"?*",U4:U58,"&lt;=4.9")</f>
        <v>0</v>
      </c>
      <c r="V64" s="142">
        <f t="shared" ref="V64:AC64" si="72">COUNTIFS($D$4:$D$58,"?*",V4:V58,"&lt;=6.4") - COUNTIFS($D$4:$D$58,"?*",V4:V58,"&lt;=4.9")</f>
        <v>0</v>
      </c>
      <c r="W64" s="142">
        <f t="shared" si="72"/>
        <v>0</v>
      </c>
      <c r="X64" s="142">
        <f t="shared" si="72"/>
        <v>0</v>
      </c>
      <c r="Y64" s="142">
        <f t="shared" si="72"/>
        <v>0</v>
      </c>
      <c r="Z64" s="142">
        <f t="shared" si="72"/>
        <v>0</v>
      </c>
      <c r="AA64" s="347">
        <f t="shared" si="72"/>
        <v>0</v>
      </c>
      <c r="AB64" s="347">
        <f t="shared" si="72"/>
        <v>0</v>
      </c>
      <c r="AC64" s="143">
        <f t="shared" si="72"/>
        <v>0</v>
      </c>
      <c r="AD64" s="141">
        <f>COUNTIFS($D$4:$D$58,"?*",AD4:AD58,"&lt;=6.4") - COUNTIFS($D$4:$D$58,"?*",AD4:AD58,"&lt;=4.9")</f>
        <v>0</v>
      </c>
      <c r="AE64" s="142">
        <f t="shared" ref="AE64:AL64" si="73">COUNTIFS($D$4:$D$58,"?*",AE4:AE58,"&lt;=6.4") - COUNTIFS($D$4:$D$58,"?*",AE4:AE58,"&lt;=4.9")</f>
        <v>0</v>
      </c>
      <c r="AF64" s="142">
        <f t="shared" si="73"/>
        <v>0</v>
      </c>
      <c r="AG64" s="142">
        <f t="shared" si="73"/>
        <v>0</v>
      </c>
      <c r="AH64" s="142">
        <f t="shared" si="73"/>
        <v>0</v>
      </c>
      <c r="AI64" s="142">
        <f t="shared" si="73"/>
        <v>0</v>
      </c>
      <c r="AJ64" s="347">
        <f t="shared" si="73"/>
        <v>0</v>
      </c>
      <c r="AK64" s="347">
        <f t="shared" si="73"/>
        <v>0</v>
      </c>
      <c r="AL64" s="143">
        <f t="shared" si="73"/>
        <v>0</v>
      </c>
      <c r="AM64" s="141">
        <f>COUNTIFS($D$4:$D$58,"?*",AM4:AM58,"&lt;=6.4") - COUNTIFS($D$4:$D$58,"?*",AM4:AM58,"&lt;=4.9")</f>
        <v>0</v>
      </c>
      <c r="AN64" s="142">
        <f t="shared" ref="AN64:AU64" si="74">COUNTIFS($D$4:$D$58,"?*",AN4:AN58,"&lt;=6.4") - COUNTIFS($D$4:$D$58,"?*",AN4:AN58,"&lt;=4.9")</f>
        <v>0</v>
      </c>
      <c r="AO64" s="142">
        <f t="shared" si="74"/>
        <v>0</v>
      </c>
      <c r="AP64" s="142">
        <f t="shared" si="74"/>
        <v>0</v>
      </c>
      <c r="AQ64" s="142">
        <f t="shared" si="74"/>
        <v>0</v>
      </c>
      <c r="AR64" s="142">
        <f t="shared" si="74"/>
        <v>0</v>
      </c>
      <c r="AS64" s="347">
        <f t="shared" si="74"/>
        <v>0</v>
      </c>
      <c r="AT64" s="347">
        <f t="shared" si="74"/>
        <v>0</v>
      </c>
      <c r="AU64" s="143">
        <f t="shared" si="74"/>
        <v>0</v>
      </c>
      <c r="AV64" s="141">
        <f>COUNTIFS($D$4:$D$58,"?*",AV4:AV58,"&lt;=6.4") - COUNTIFS($D$4:$D$58,"?*",AV4:AV58,"&lt;=4.9")</f>
        <v>0</v>
      </c>
      <c r="AW64" s="142">
        <f t="shared" ref="AW64:BD64" si="75">COUNTIFS($D$4:$D$58,"?*",AW4:AW58,"&lt;=6.4") - COUNTIFS($D$4:$D$58,"?*",AW4:AW58,"&lt;=4.9")</f>
        <v>0</v>
      </c>
      <c r="AX64" s="142">
        <f t="shared" si="75"/>
        <v>0</v>
      </c>
      <c r="AY64" s="142">
        <f t="shared" si="75"/>
        <v>0</v>
      </c>
      <c r="AZ64" s="142">
        <f t="shared" si="75"/>
        <v>0</v>
      </c>
      <c r="BA64" s="142">
        <f t="shared" si="75"/>
        <v>0</v>
      </c>
      <c r="BB64" s="347">
        <f t="shared" si="75"/>
        <v>0</v>
      </c>
      <c r="BC64" s="347">
        <f t="shared" si="75"/>
        <v>0</v>
      </c>
      <c r="BD64" s="143">
        <f t="shared" si="75"/>
        <v>0</v>
      </c>
      <c r="BE64" s="141">
        <f>COUNTIFS($D$4:$D$58,"?*",BE4:BE58,"&lt;=6.4") - COUNTIFS($D$4:$D$58,"?*",BE4:BE58,"&lt;=4.9")</f>
        <v>0</v>
      </c>
      <c r="BF64" s="142">
        <f t="shared" ref="BF64:BM64" si="76">COUNTIFS($D$4:$D$58,"?*",BF4:BF58,"&lt;=6.4") - COUNTIFS($D$4:$D$58,"?*",BF4:BF58,"&lt;=4.9")</f>
        <v>0</v>
      </c>
      <c r="BG64" s="142">
        <f t="shared" si="76"/>
        <v>0</v>
      </c>
      <c r="BH64" s="142">
        <f t="shared" si="76"/>
        <v>0</v>
      </c>
      <c r="BI64" s="142">
        <f t="shared" si="76"/>
        <v>0</v>
      </c>
      <c r="BJ64" s="142">
        <f t="shared" si="76"/>
        <v>0</v>
      </c>
      <c r="BK64" s="347">
        <f t="shared" si="76"/>
        <v>0</v>
      </c>
      <c r="BL64" s="347">
        <f t="shared" si="76"/>
        <v>0</v>
      </c>
      <c r="BM64" s="143">
        <f t="shared" si="76"/>
        <v>0</v>
      </c>
      <c r="BN64" s="141">
        <f>COUNTIFS($D$4:$D$58,"?*",BN4:BN58,"&lt;=6.4") - COUNTIFS($D$4:$D$58,"?*",BN4:BN58,"&lt;=4.9")</f>
        <v>0</v>
      </c>
      <c r="BO64" s="142">
        <f t="shared" ref="BO64:BV64" si="77">COUNTIFS($D$4:$D$58,"?*",BO4:BO58,"&lt;=6.4") - COUNTIFS($D$4:$D$58,"?*",BO4:BO58,"&lt;=4.9")</f>
        <v>0</v>
      </c>
      <c r="BP64" s="142">
        <f t="shared" si="77"/>
        <v>0</v>
      </c>
      <c r="BQ64" s="142">
        <f t="shared" si="77"/>
        <v>0</v>
      </c>
      <c r="BR64" s="142">
        <f t="shared" si="77"/>
        <v>0</v>
      </c>
      <c r="BS64" s="142">
        <f t="shared" si="77"/>
        <v>0</v>
      </c>
      <c r="BT64" s="347">
        <f t="shared" si="77"/>
        <v>0</v>
      </c>
      <c r="BU64" s="347">
        <f t="shared" si="77"/>
        <v>0</v>
      </c>
      <c r="BV64" s="143">
        <f t="shared" si="77"/>
        <v>0</v>
      </c>
      <c r="BW64" s="141">
        <f>COUNTIFS($D$4:$D$58,"?*",BW4:BW58,"&lt;=6.4") - COUNTIFS($D$4:$D$58,"?*",BW4:BW58,"&lt;=4.9")</f>
        <v>0</v>
      </c>
      <c r="BX64" s="142">
        <f t="shared" ref="BX64:CE64" si="78">COUNTIFS($D$4:$D$58,"?*",BX4:BX58,"&lt;=6.4") - COUNTIFS($D$4:$D$58,"?*",BX4:BX58,"&lt;=4.9")</f>
        <v>0</v>
      </c>
      <c r="BY64" s="142">
        <f t="shared" si="78"/>
        <v>0</v>
      </c>
      <c r="BZ64" s="142">
        <f t="shared" si="78"/>
        <v>0</v>
      </c>
      <c r="CA64" s="142">
        <f t="shared" si="78"/>
        <v>0</v>
      </c>
      <c r="CB64" s="142">
        <f t="shared" si="78"/>
        <v>0</v>
      </c>
      <c r="CC64" s="347">
        <f t="shared" si="78"/>
        <v>0</v>
      </c>
      <c r="CD64" s="347">
        <f t="shared" si="78"/>
        <v>0</v>
      </c>
      <c r="CE64" s="143">
        <f t="shared" si="78"/>
        <v>0</v>
      </c>
      <c r="CF64" s="141">
        <f>COUNTIFS($D$4:$D$58,"?*",CF4:CF58,"&lt;=6.4") - COUNTIFS($D$4:$D$58,"?*",CF4:CF58,"&lt;=4.9")</f>
        <v>0</v>
      </c>
      <c r="CG64" s="142">
        <f t="shared" ref="CG64:CN64" si="79">COUNTIFS($D$4:$D$58,"?*",CG4:CG58,"&lt;=6.4") - COUNTIFS($D$4:$D$58,"?*",CG4:CG58,"&lt;=4.9")</f>
        <v>0</v>
      </c>
      <c r="CH64" s="142">
        <f t="shared" si="79"/>
        <v>0</v>
      </c>
      <c r="CI64" s="142">
        <f t="shared" si="79"/>
        <v>0</v>
      </c>
      <c r="CJ64" s="142">
        <f t="shared" si="79"/>
        <v>0</v>
      </c>
      <c r="CK64" s="142">
        <f t="shared" si="79"/>
        <v>0</v>
      </c>
      <c r="CL64" s="347">
        <f t="shared" si="79"/>
        <v>0</v>
      </c>
      <c r="CM64" s="347">
        <f t="shared" si="79"/>
        <v>0</v>
      </c>
      <c r="CN64" s="143">
        <f t="shared" si="79"/>
        <v>0</v>
      </c>
      <c r="CO64" s="141">
        <f>COUNTIFS($D$4:$D$58,"?*",CO4:CO58,"&lt;=6.4") - COUNTIFS($D$4:$D$58,"?*",CO4:CO58,"&lt;=4.9")</f>
        <v>0</v>
      </c>
      <c r="CP64" s="142">
        <f t="shared" ref="CP64:CW64" si="80">COUNTIFS($D$4:$D$58,"?*",CP4:CP58,"&lt;=6.4") - COUNTIFS($D$4:$D$58,"?*",CP4:CP58,"&lt;=4.9")</f>
        <v>0</v>
      </c>
      <c r="CQ64" s="142">
        <f t="shared" si="80"/>
        <v>0</v>
      </c>
      <c r="CR64" s="142">
        <f t="shared" si="80"/>
        <v>0</v>
      </c>
      <c r="CS64" s="142">
        <f t="shared" si="80"/>
        <v>0</v>
      </c>
      <c r="CT64" s="142">
        <f t="shared" si="80"/>
        <v>0</v>
      </c>
      <c r="CU64" s="347">
        <f t="shared" si="80"/>
        <v>0</v>
      </c>
      <c r="CV64" s="347">
        <f t="shared" si="80"/>
        <v>0</v>
      </c>
      <c r="CW64" s="143">
        <f t="shared" si="80"/>
        <v>0</v>
      </c>
      <c r="CX64" s="141">
        <f>COUNTIFS($D$4:$D$58,"?*",CX4:CX58,"&lt;=6.4") - COUNTIFS($D$4:$D$58,"?*",CX4:CX58,"&lt;=4.9")</f>
        <v>0</v>
      </c>
      <c r="CY64" s="142">
        <f t="shared" ref="CY64:DF64" si="81">COUNTIFS($D$4:$D$58,"?*",CY4:CY58,"&lt;=6.4") - COUNTIFS($D$4:$D$58,"?*",CY4:CY58,"&lt;=4.9")</f>
        <v>0</v>
      </c>
      <c r="CZ64" s="142">
        <f t="shared" si="81"/>
        <v>0</v>
      </c>
      <c r="DA64" s="142">
        <f t="shared" si="81"/>
        <v>0</v>
      </c>
      <c r="DB64" s="142">
        <f t="shared" si="81"/>
        <v>0</v>
      </c>
      <c r="DC64" s="142">
        <f t="shared" si="81"/>
        <v>0</v>
      </c>
      <c r="DD64" s="347">
        <f t="shared" si="81"/>
        <v>0</v>
      </c>
      <c r="DE64" s="347">
        <f t="shared" si="81"/>
        <v>0</v>
      </c>
      <c r="DF64" s="143">
        <f t="shared" si="81"/>
        <v>0</v>
      </c>
      <c r="DG64" s="423"/>
      <c r="DH64" s="423"/>
      <c r="DI64" s="423"/>
      <c r="DJ64" s="423"/>
      <c r="DK64" s="423"/>
      <c r="DL64" s="423"/>
      <c r="DM64" s="423"/>
      <c r="DN64" s="423"/>
      <c r="DO64" s="423"/>
      <c r="DP64" s="141">
        <f>COUNTIFS($D$4:$D$58,"?*",DP4:DP58,"&lt;=6.4") - COUNTIFS($D$4:$D$58,"?*",DP4:DP58,"&lt;=4.9")</f>
        <v>0</v>
      </c>
      <c r="DQ64" s="142">
        <f t="shared" ref="DQ64:DX64" si="82">COUNTIFS($D$4:$D$58,"?*",DQ4:DQ58,"&lt;=6.4") - COUNTIFS($D$4:$D$58,"?*",DQ4:DQ58,"&lt;=4.9")</f>
        <v>0</v>
      </c>
      <c r="DR64" s="142">
        <f t="shared" si="82"/>
        <v>0</v>
      </c>
      <c r="DS64" s="142">
        <f t="shared" si="82"/>
        <v>0</v>
      </c>
      <c r="DT64" s="142">
        <f t="shared" si="82"/>
        <v>0</v>
      </c>
      <c r="DU64" s="142">
        <f t="shared" si="82"/>
        <v>0</v>
      </c>
      <c r="DV64" s="347">
        <f t="shared" si="82"/>
        <v>0</v>
      </c>
      <c r="DW64" s="347">
        <f t="shared" si="82"/>
        <v>0</v>
      </c>
      <c r="DX64" s="143">
        <f t="shared" si="82"/>
        <v>0</v>
      </c>
      <c r="DY64" s="141">
        <f>COUNTIFS($D$4:$D$58,"?*",DY4:DY58,"&lt;=6.4") - COUNTIFS($D$4:$D$58,"?*",DY4:DY58,"&lt;=4.9")</f>
        <v>0</v>
      </c>
      <c r="DZ64" s="142">
        <f t="shared" ref="DZ64:EG64" si="83">COUNTIFS($D$4:$D$58,"?*",DZ4:DZ58,"&lt;=6.4") - COUNTIFS($D$4:$D$58,"?*",DZ4:DZ58,"&lt;=4.9")</f>
        <v>0</v>
      </c>
      <c r="EA64" s="142">
        <f t="shared" si="83"/>
        <v>0</v>
      </c>
      <c r="EB64" s="142">
        <f t="shared" si="83"/>
        <v>0</v>
      </c>
      <c r="EC64" s="142">
        <f t="shared" si="83"/>
        <v>0</v>
      </c>
      <c r="ED64" s="142">
        <f t="shared" si="83"/>
        <v>0</v>
      </c>
      <c r="EE64" s="347">
        <f t="shared" si="83"/>
        <v>0</v>
      </c>
      <c r="EF64" s="347">
        <f t="shared" si="83"/>
        <v>0</v>
      </c>
      <c r="EG64" s="143">
        <f t="shared" si="83"/>
        <v>0</v>
      </c>
    </row>
    <row r="65" spans="2:137" s="129" customFormat="1" ht="15.9" customHeight="1">
      <c r="B65" s="906"/>
      <c r="C65" s="907"/>
      <c r="D65" s="907"/>
      <c r="E65" s="907"/>
      <c r="F65" s="908"/>
      <c r="G65" s="137" t="s">
        <v>14</v>
      </c>
      <c r="H65" s="137"/>
      <c r="I65" s="138" t="s">
        <v>43</v>
      </c>
      <c r="J65" s="139">
        <v>4.9000000000000004</v>
      </c>
      <c r="K65" s="140"/>
      <c r="L65" s="141">
        <f>COUNTIFS($D$4:$D$58,"?*",L4:L58,"&lt;=4.9") - COUNTIFS($D$4:$D$58,"?*",L4:L58,"&lt;=3.4")</f>
        <v>0</v>
      </c>
      <c r="M65" s="142">
        <f t="shared" ref="M65:N65" si="84">COUNTIFS($D$4:$D$58,"?*",M4:M58,"&lt;=4.9") - COUNTIFS($D$4:$D$58,"?*",M4:M58,"&lt;=3.4")</f>
        <v>0</v>
      </c>
      <c r="N65" s="142">
        <f t="shared" si="84"/>
        <v>0</v>
      </c>
      <c r="O65" s="142">
        <f t="shared" ref="O65:T65" si="85">COUNTIFS($D$4:$D$58,"?*",O4:O58,"&lt;=4.9") - COUNTIFS($D$4:$D$58,"?*",O4:O58,"&lt;=3.4")</f>
        <v>0</v>
      </c>
      <c r="P65" s="142">
        <f t="shared" si="85"/>
        <v>0</v>
      </c>
      <c r="Q65" s="142">
        <f t="shared" si="85"/>
        <v>0</v>
      </c>
      <c r="R65" s="347">
        <f t="shared" si="85"/>
        <v>0</v>
      </c>
      <c r="S65" s="347">
        <f t="shared" si="85"/>
        <v>0</v>
      </c>
      <c r="T65" s="143">
        <f t="shared" si="85"/>
        <v>0</v>
      </c>
      <c r="U65" s="141">
        <f>COUNTIFS($D$4:$D$58,"?*",U4:U58,"&lt;=4.9") - COUNTIFS($D$4:$D$58,"?*",U4:U58,"&lt;=3.4")</f>
        <v>0</v>
      </c>
      <c r="V65" s="142">
        <f t="shared" ref="V65:AC65" si="86">COUNTIFS($D$4:$D$58,"?*",V4:V58,"&lt;=4.9") - COUNTIFS($D$4:$D$58,"?*",V4:V58,"&lt;=3.4")</f>
        <v>0</v>
      </c>
      <c r="W65" s="142">
        <f t="shared" si="86"/>
        <v>0</v>
      </c>
      <c r="X65" s="142">
        <f t="shared" si="86"/>
        <v>0</v>
      </c>
      <c r="Y65" s="142">
        <f t="shared" si="86"/>
        <v>0</v>
      </c>
      <c r="Z65" s="142">
        <f t="shared" si="86"/>
        <v>0</v>
      </c>
      <c r="AA65" s="347">
        <f t="shared" si="86"/>
        <v>0</v>
      </c>
      <c r="AB65" s="347">
        <f t="shared" si="86"/>
        <v>0</v>
      </c>
      <c r="AC65" s="143">
        <f t="shared" si="86"/>
        <v>0</v>
      </c>
      <c r="AD65" s="141">
        <f>COUNTIFS($D$4:$D$58,"?*",AD4:AD58,"&lt;=4.9") - COUNTIFS($D$4:$D$58,"?*",AD4:AD58,"&lt;=3.4")</f>
        <v>0</v>
      </c>
      <c r="AE65" s="142">
        <f t="shared" ref="AE65:AL65" si="87">COUNTIFS($D$4:$D$58,"?*",AE4:AE58,"&lt;=4.9") - COUNTIFS($D$4:$D$58,"?*",AE4:AE58,"&lt;=3.4")</f>
        <v>0</v>
      </c>
      <c r="AF65" s="142">
        <f t="shared" si="87"/>
        <v>0</v>
      </c>
      <c r="AG65" s="142">
        <f t="shared" si="87"/>
        <v>0</v>
      </c>
      <c r="AH65" s="142">
        <f t="shared" si="87"/>
        <v>0</v>
      </c>
      <c r="AI65" s="142">
        <f t="shared" si="87"/>
        <v>0</v>
      </c>
      <c r="AJ65" s="347">
        <f t="shared" si="87"/>
        <v>0</v>
      </c>
      <c r="AK65" s="347">
        <f t="shared" si="87"/>
        <v>0</v>
      </c>
      <c r="AL65" s="143">
        <f t="shared" si="87"/>
        <v>0</v>
      </c>
      <c r="AM65" s="141">
        <f>COUNTIFS($D$4:$D$58,"?*",AM4:AM58,"&lt;=4.9") - COUNTIFS($D$4:$D$58,"?*",AM4:AM58,"&lt;=3.4")</f>
        <v>0</v>
      </c>
      <c r="AN65" s="142">
        <f t="shared" ref="AN65:AU65" si="88">COUNTIFS($D$4:$D$58,"?*",AN4:AN58,"&lt;=4.9") - COUNTIFS($D$4:$D$58,"?*",AN4:AN58,"&lt;=3.4")</f>
        <v>0</v>
      </c>
      <c r="AO65" s="142">
        <f t="shared" si="88"/>
        <v>0</v>
      </c>
      <c r="AP65" s="142">
        <f t="shared" si="88"/>
        <v>0</v>
      </c>
      <c r="AQ65" s="142">
        <f t="shared" si="88"/>
        <v>0</v>
      </c>
      <c r="AR65" s="142">
        <f t="shared" si="88"/>
        <v>0</v>
      </c>
      <c r="AS65" s="347">
        <f t="shared" si="88"/>
        <v>0</v>
      </c>
      <c r="AT65" s="347">
        <f t="shared" si="88"/>
        <v>0</v>
      </c>
      <c r="AU65" s="143">
        <f t="shared" si="88"/>
        <v>0</v>
      </c>
      <c r="AV65" s="141">
        <f>COUNTIFS($D$4:$D$58,"?*",AV4:AV58,"&lt;=4.9") - COUNTIFS($D$4:$D$58,"?*",AV4:AV58,"&lt;=3.4")</f>
        <v>0</v>
      </c>
      <c r="AW65" s="142">
        <f t="shared" ref="AW65:BD65" si="89">COUNTIFS($D$4:$D$58,"?*",AW4:AW58,"&lt;=4.9") - COUNTIFS($D$4:$D$58,"?*",AW4:AW58,"&lt;=3.4")</f>
        <v>0</v>
      </c>
      <c r="AX65" s="142">
        <f t="shared" si="89"/>
        <v>0</v>
      </c>
      <c r="AY65" s="142">
        <f t="shared" si="89"/>
        <v>0</v>
      </c>
      <c r="AZ65" s="142">
        <f t="shared" si="89"/>
        <v>0</v>
      </c>
      <c r="BA65" s="142">
        <f t="shared" si="89"/>
        <v>0</v>
      </c>
      <c r="BB65" s="347">
        <f t="shared" si="89"/>
        <v>0</v>
      </c>
      <c r="BC65" s="347">
        <f t="shared" si="89"/>
        <v>0</v>
      </c>
      <c r="BD65" s="143">
        <f t="shared" si="89"/>
        <v>0</v>
      </c>
      <c r="BE65" s="141">
        <f>COUNTIFS($D$4:$D$58,"?*",BE4:BE58,"&lt;=4.9") - COUNTIFS($D$4:$D$58,"?*",BE4:BE58,"&lt;=3.4")</f>
        <v>0</v>
      </c>
      <c r="BF65" s="142">
        <f t="shared" ref="BF65:BM65" si="90">COUNTIFS($D$4:$D$58,"?*",BF4:BF58,"&lt;=4.9") - COUNTIFS($D$4:$D$58,"?*",BF4:BF58,"&lt;=3.4")</f>
        <v>0</v>
      </c>
      <c r="BG65" s="142">
        <f t="shared" si="90"/>
        <v>0</v>
      </c>
      <c r="BH65" s="142">
        <f t="shared" si="90"/>
        <v>0</v>
      </c>
      <c r="BI65" s="142">
        <f t="shared" si="90"/>
        <v>0</v>
      </c>
      <c r="BJ65" s="142">
        <f t="shared" si="90"/>
        <v>0</v>
      </c>
      <c r="BK65" s="347">
        <f t="shared" si="90"/>
        <v>0</v>
      </c>
      <c r="BL65" s="347">
        <f t="shared" si="90"/>
        <v>0</v>
      </c>
      <c r="BM65" s="143">
        <f t="shared" si="90"/>
        <v>0</v>
      </c>
      <c r="BN65" s="141">
        <f>COUNTIFS($D$4:$D$58,"?*",BN4:BN58,"&lt;=4.9") - COUNTIFS($D$4:$D$58,"?*",BN4:BN58,"&lt;=3.4")</f>
        <v>0</v>
      </c>
      <c r="BO65" s="142">
        <f t="shared" ref="BO65:BV65" si="91">COUNTIFS($D$4:$D$58,"?*",BO4:BO58,"&lt;=4.9") - COUNTIFS($D$4:$D$58,"?*",BO4:BO58,"&lt;=3.4")</f>
        <v>0</v>
      </c>
      <c r="BP65" s="142">
        <f t="shared" si="91"/>
        <v>0</v>
      </c>
      <c r="BQ65" s="142">
        <f t="shared" si="91"/>
        <v>0</v>
      </c>
      <c r="BR65" s="142">
        <f t="shared" si="91"/>
        <v>0</v>
      </c>
      <c r="BS65" s="142">
        <f t="shared" si="91"/>
        <v>0</v>
      </c>
      <c r="BT65" s="347">
        <f t="shared" si="91"/>
        <v>0</v>
      </c>
      <c r="BU65" s="347">
        <f t="shared" si="91"/>
        <v>0</v>
      </c>
      <c r="BV65" s="143">
        <f t="shared" si="91"/>
        <v>0</v>
      </c>
      <c r="BW65" s="141">
        <f>COUNTIFS($D$4:$D$58,"?*",BW4:BW58,"&lt;=4.9") - COUNTIFS($D$4:$D$58,"?*",BW4:BW58,"&lt;=3.4")</f>
        <v>0</v>
      </c>
      <c r="BX65" s="142">
        <f t="shared" ref="BX65:CE65" si="92">COUNTIFS($D$4:$D$58,"?*",BX4:BX58,"&lt;=4.9") - COUNTIFS($D$4:$D$58,"?*",BX4:BX58,"&lt;=3.4")</f>
        <v>0</v>
      </c>
      <c r="BY65" s="142">
        <f t="shared" si="92"/>
        <v>0</v>
      </c>
      <c r="BZ65" s="142">
        <f t="shared" si="92"/>
        <v>0</v>
      </c>
      <c r="CA65" s="142">
        <f t="shared" si="92"/>
        <v>0</v>
      </c>
      <c r="CB65" s="142">
        <f t="shared" si="92"/>
        <v>0</v>
      </c>
      <c r="CC65" s="347">
        <f t="shared" si="92"/>
        <v>0</v>
      </c>
      <c r="CD65" s="347">
        <f t="shared" si="92"/>
        <v>0</v>
      </c>
      <c r="CE65" s="143">
        <f t="shared" si="92"/>
        <v>0</v>
      </c>
      <c r="CF65" s="141">
        <f>COUNTIFS($D$4:$D$58,"?*",CF4:CF58,"&lt;=4.9") - COUNTIFS($D$4:$D$58,"?*",CF4:CF58,"&lt;=3.4")</f>
        <v>0</v>
      </c>
      <c r="CG65" s="142">
        <f t="shared" ref="CG65:CN65" si="93">COUNTIFS($D$4:$D$58,"?*",CG4:CG58,"&lt;=4.9") - COUNTIFS($D$4:$D$58,"?*",CG4:CG58,"&lt;=3.4")</f>
        <v>0</v>
      </c>
      <c r="CH65" s="142">
        <f t="shared" si="93"/>
        <v>0</v>
      </c>
      <c r="CI65" s="142">
        <f t="shared" si="93"/>
        <v>0</v>
      </c>
      <c r="CJ65" s="142">
        <f t="shared" si="93"/>
        <v>0</v>
      </c>
      <c r="CK65" s="142">
        <f t="shared" si="93"/>
        <v>0</v>
      </c>
      <c r="CL65" s="347">
        <f t="shared" si="93"/>
        <v>0</v>
      </c>
      <c r="CM65" s="347">
        <f t="shared" si="93"/>
        <v>0</v>
      </c>
      <c r="CN65" s="143">
        <f t="shared" si="93"/>
        <v>0</v>
      </c>
      <c r="CO65" s="141">
        <f>COUNTIFS($D$4:$D$58,"?*",CO4:CO58,"&lt;=4.9") - COUNTIFS($D$4:$D$58,"?*",CO4:CO58,"&lt;=3.4")</f>
        <v>0</v>
      </c>
      <c r="CP65" s="142">
        <f t="shared" ref="CP65:CW65" si="94">COUNTIFS($D$4:$D$58,"?*",CP4:CP58,"&lt;=4.9") - COUNTIFS($D$4:$D$58,"?*",CP4:CP58,"&lt;=3.4")</f>
        <v>0</v>
      </c>
      <c r="CQ65" s="142">
        <f t="shared" si="94"/>
        <v>0</v>
      </c>
      <c r="CR65" s="142">
        <f t="shared" si="94"/>
        <v>0</v>
      </c>
      <c r="CS65" s="142">
        <f t="shared" si="94"/>
        <v>0</v>
      </c>
      <c r="CT65" s="142">
        <f t="shared" si="94"/>
        <v>0</v>
      </c>
      <c r="CU65" s="347">
        <f t="shared" si="94"/>
        <v>0</v>
      </c>
      <c r="CV65" s="347">
        <f t="shared" si="94"/>
        <v>0</v>
      </c>
      <c r="CW65" s="143">
        <f t="shared" si="94"/>
        <v>0</v>
      </c>
      <c r="CX65" s="141">
        <f>COUNTIFS($D$4:$D$58,"?*",CX4:CX58,"&lt;=4.9") - COUNTIFS($D$4:$D$58,"?*",CX4:CX58,"&lt;=3.4")</f>
        <v>0</v>
      </c>
      <c r="CY65" s="142">
        <f t="shared" ref="CY65:DF65" si="95">COUNTIFS($D$4:$D$58,"?*",CY4:CY58,"&lt;=4.9") - COUNTIFS($D$4:$D$58,"?*",CY4:CY58,"&lt;=3.4")</f>
        <v>0</v>
      </c>
      <c r="CZ65" s="142">
        <f t="shared" si="95"/>
        <v>0</v>
      </c>
      <c r="DA65" s="142">
        <f t="shared" si="95"/>
        <v>0</v>
      </c>
      <c r="DB65" s="142">
        <f t="shared" si="95"/>
        <v>0</v>
      </c>
      <c r="DC65" s="142">
        <f t="shared" si="95"/>
        <v>0</v>
      </c>
      <c r="DD65" s="347">
        <f t="shared" si="95"/>
        <v>0</v>
      </c>
      <c r="DE65" s="347">
        <f t="shared" si="95"/>
        <v>0</v>
      </c>
      <c r="DF65" s="143">
        <f t="shared" si="95"/>
        <v>0</v>
      </c>
      <c r="DG65" s="423"/>
      <c r="DH65" s="423"/>
      <c r="DI65" s="423"/>
      <c r="DJ65" s="423"/>
      <c r="DK65" s="423"/>
      <c r="DL65" s="423"/>
      <c r="DM65" s="423"/>
      <c r="DN65" s="423"/>
      <c r="DO65" s="423"/>
      <c r="DP65" s="141">
        <f>COUNTIFS($D$4:$D$58,"?*",DP4:DP58,"&lt;=4.9") - COUNTIFS($D$4:$D$58,"?*",DP4:DP58,"&lt;=3.4")</f>
        <v>0</v>
      </c>
      <c r="DQ65" s="142">
        <f t="shared" ref="DQ65:DX65" si="96">COUNTIFS($D$4:$D$58,"?*",DQ4:DQ58,"&lt;=4.9") - COUNTIFS($D$4:$D$58,"?*",DQ4:DQ58,"&lt;=3.4")</f>
        <v>0</v>
      </c>
      <c r="DR65" s="142">
        <f t="shared" si="96"/>
        <v>0</v>
      </c>
      <c r="DS65" s="142">
        <f t="shared" si="96"/>
        <v>0</v>
      </c>
      <c r="DT65" s="142">
        <f t="shared" si="96"/>
        <v>0</v>
      </c>
      <c r="DU65" s="142">
        <f t="shared" si="96"/>
        <v>0</v>
      </c>
      <c r="DV65" s="347">
        <f t="shared" si="96"/>
        <v>0</v>
      </c>
      <c r="DW65" s="347">
        <f t="shared" si="96"/>
        <v>0</v>
      </c>
      <c r="DX65" s="143">
        <f t="shared" si="96"/>
        <v>0</v>
      </c>
      <c r="DY65" s="141">
        <f>COUNTIFS($D$4:$D$58,"?*",DY4:DY58,"&lt;=4.9") - COUNTIFS($D$4:$D$58,"?*",DY4:DY58,"&lt;=3.4")</f>
        <v>0</v>
      </c>
      <c r="DZ65" s="142">
        <f t="shared" ref="DZ65:EG65" si="97">COUNTIFS($D$4:$D$58,"?*",DZ4:DZ58,"&lt;=4.9") - COUNTIFS($D$4:$D$58,"?*",DZ4:DZ58,"&lt;=3.4")</f>
        <v>0</v>
      </c>
      <c r="EA65" s="142">
        <f t="shared" si="97"/>
        <v>0</v>
      </c>
      <c r="EB65" s="142">
        <f t="shared" si="97"/>
        <v>0</v>
      </c>
      <c r="EC65" s="142">
        <f t="shared" si="97"/>
        <v>0</v>
      </c>
      <c r="ED65" s="142">
        <f t="shared" si="97"/>
        <v>0</v>
      </c>
      <c r="EE65" s="347">
        <f t="shared" si="97"/>
        <v>0</v>
      </c>
      <c r="EF65" s="347">
        <f t="shared" si="97"/>
        <v>0</v>
      </c>
      <c r="EG65" s="143">
        <f t="shared" si="97"/>
        <v>0</v>
      </c>
    </row>
    <row r="66" spans="2:137" s="129" customFormat="1" ht="15.9" customHeight="1">
      <c r="B66" s="909"/>
      <c r="C66" s="910"/>
      <c r="D66" s="910"/>
      <c r="E66" s="910"/>
      <c r="F66" s="911"/>
      <c r="G66" s="145" t="s">
        <v>15</v>
      </c>
      <c r="H66" s="145"/>
      <c r="I66" s="146" t="s">
        <v>44</v>
      </c>
      <c r="J66" s="147">
        <v>3.4</v>
      </c>
      <c r="K66" s="148"/>
      <c r="L66" s="144">
        <f>COUNTIFS($D$4:$D$58,"?*",L4:L58,"&lt;=3.4") - COUNTIFS($D$4:$D$58,"?*",L4:L58,"&lt;0")</f>
        <v>0</v>
      </c>
      <c r="M66" s="149">
        <f t="shared" ref="M66:N66" si="98">COUNTIFS($D$4:$D$58,"?*",M4:M58,"&lt;=3.4") - COUNTIFS($D$4:$D$58,"?*",M4:M58,"&lt;0")</f>
        <v>0</v>
      </c>
      <c r="N66" s="149">
        <f t="shared" si="98"/>
        <v>0</v>
      </c>
      <c r="O66" s="149">
        <f t="shared" ref="O66:T66" si="99">COUNTIFS($D$4:$D$58,"?*",O4:O58,"&lt;=3.4") - COUNTIFS($D$4:$D$58,"?*",O4:O58,"&lt;0")</f>
        <v>0</v>
      </c>
      <c r="P66" s="149">
        <f t="shared" si="99"/>
        <v>0</v>
      </c>
      <c r="Q66" s="149">
        <f t="shared" si="99"/>
        <v>0</v>
      </c>
      <c r="R66" s="348">
        <f t="shared" si="99"/>
        <v>0</v>
      </c>
      <c r="S66" s="348">
        <f t="shared" si="99"/>
        <v>0</v>
      </c>
      <c r="T66" s="150">
        <f t="shared" si="99"/>
        <v>0</v>
      </c>
      <c r="U66" s="144">
        <f>COUNTIFS($D$4:$D$58,"?*",U4:U58,"&lt;=3.4") - COUNTIFS($D$4:$D$58,"?*",U4:U58,"&lt;0")</f>
        <v>0</v>
      </c>
      <c r="V66" s="149">
        <f t="shared" ref="V66:AC66" si="100">COUNTIFS($D$4:$D$58,"?*",V4:V58,"&lt;=3.4") - COUNTIFS($D$4:$D$58,"?*",V4:V58,"&lt;0")</f>
        <v>0</v>
      </c>
      <c r="W66" s="149">
        <f t="shared" si="100"/>
        <v>0</v>
      </c>
      <c r="X66" s="149">
        <f t="shared" si="100"/>
        <v>0</v>
      </c>
      <c r="Y66" s="149">
        <f t="shared" si="100"/>
        <v>0</v>
      </c>
      <c r="Z66" s="149">
        <f t="shared" si="100"/>
        <v>0</v>
      </c>
      <c r="AA66" s="348">
        <f t="shared" si="100"/>
        <v>0</v>
      </c>
      <c r="AB66" s="348">
        <f t="shared" si="100"/>
        <v>0</v>
      </c>
      <c r="AC66" s="150">
        <f t="shared" si="100"/>
        <v>0</v>
      </c>
      <c r="AD66" s="144">
        <f>COUNTIFS($D$4:$D$58,"?*",AD4:AD58,"&lt;=3.4") - COUNTIFS($D$4:$D$58,"?*",AD4:AD58,"&lt;0")</f>
        <v>0</v>
      </c>
      <c r="AE66" s="149">
        <f t="shared" ref="AE66:AL66" si="101">COUNTIFS($D$4:$D$58,"?*",AE4:AE58,"&lt;=3.4") - COUNTIFS($D$4:$D$58,"?*",AE4:AE58,"&lt;0")</f>
        <v>0</v>
      </c>
      <c r="AF66" s="149">
        <f t="shared" si="101"/>
        <v>0</v>
      </c>
      <c r="AG66" s="149">
        <f t="shared" si="101"/>
        <v>0</v>
      </c>
      <c r="AH66" s="149">
        <f t="shared" si="101"/>
        <v>0</v>
      </c>
      <c r="AI66" s="149">
        <f t="shared" si="101"/>
        <v>0</v>
      </c>
      <c r="AJ66" s="348">
        <f t="shared" si="101"/>
        <v>0</v>
      </c>
      <c r="AK66" s="348">
        <f t="shared" si="101"/>
        <v>0</v>
      </c>
      <c r="AL66" s="150">
        <f t="shared" si="101"/>
        <v>0</v>
      </c>
      <c r="AM66" s="144">
        <f>COUNTIFS($D$4:$D$58,"?*",AM4:AM58,"&lt;=3.4") - COUNTIFS($D$4:$D$58,"?*",AM4:AM58,"&lt;0")</f>
        <v>0</v>
      </c>
      <c r="AN66" s="149">
        <f t="shared" ref="AN66:AU66" si="102">COUNTIFS($D$4:$D$58,"?*",AN4:AN58,"&lt;=3.4") - COUNTIFS($D$4:$D$58,"?*",AN4:AN58,"&lt;0")</f>
        <v>0</v>
      </c>
      <c r="AO66" s="149">
        <f t="shared" si="102"/>
        <v>0</v>
      </c>
      <c r="AP66" s="149">
        <f t="shared" si="102"/>
        <v>0</v>
      </c>
      <c r="AQ66" s="149">
        <f t="shared" si="102"/>
        <v>0</v>
      </c>
      <c r="AR66" s="149">
        <f t="shared" si="102"/>
        <v>0</v>
      </c>
      <c r="AS66" s="348">
        <f t="shared" si="102"/>
        <v>0</v>
      </c>
      <c r="AT66" s="348">
        <f t="shared" si="102"/>
        <v>0</v>
      </c>
      <c r="AU66" s="150">
        <f t="shared" si="102"/>
        <v>0</v>
      </c>
      <c r="AV66" s="144">
        <f>COUNTIFS($D$4:$D$58,"?*",AV4:AV58,"&lt;=3.4") - COUNTIFS($D$4:$D$58,"?*",AV4:AV58,"&lt;0")</f>
        <v>0</v>
      </c>
      <c r="AW66" s="149">
        <f t="shared" ref="AW66:BD66" si="103">COUNTIFS($D$4:$D$58,"?*",AW4:AW58,"&lt;=3.4") - COUNTIFS($D$4:$D$58,"?*",AW4:AW58,"&lt;0")</f>
        <v>0</v>
      </c>
      <c r="AX66" s="149">
        <f t="shared" si="103"/>
        <v>0</v>
      </c>
      <c r="AY66" s="149">
        <f t="shared" si="103"/>
        <v>0</v>
      </c>
      <c r="AZ66" s="149">
        <f t="shared" si="103"/>
        <v>0</v>
      </c>
      <c r="BA66" s="149">
        <f t="shared" si="103"/>
        <v>0</v>
      </c>
      <c r="BB66" s="348">
        <f t="shared" si="103"/>
        <v>0</v>
      </c>
      <c r="BC66" s="348">
        <f t="shared" si="103"/>
        <v>0</v>
      </c>
      <c r="BD66" s="150">
        <f t="shared" si="103"/>
        <v>0</v>
      </c>
      <c r="BE66" s="144">
        <f>COUNTIFS($D$4:$D$58,"?*",BE4:BE58,"&lt;=3.4") - COUNTIFS($D$4:$D$58,"?*",BE4:BE58,"&lt;0")</f>
        <v>0</v>
      </c>
      <c r="BF66" s="149">
        <f t="shared" ref="BF66:BM66" si="104">COUNTIFS($D$4:$D$58,"?*",BF4:BF58,"&lt;=3.4") - COUNTIFS($D$4:$D$58,"?*",BF4:BF58,"&lt;0")</f>
        <v>0</v>
      </c>
      <c r="BG66" s="149">
        <f t="shared" si="104"/>
        <v>0</v>
      </c>
      <c r="BH66" s="149">
        <f t="shared" si="104"/>
        <v>0</v>
      </c>
      <c r="BI66" s="149">
        <f t="shared" si="104"/>
        <v>0</v>
      </c>
      <c r="BJ66" s="149">
        <f t="shared" si="104"/>
        <v>0</v>
      </c>
      <c r="BK66" s="348">
        <f t="shared" si="104"/>
        <v>0</v>
      </c>
      <c r="BL66" s="348">
        <f t="shared" si="104"/>
        <v>0</v>
      </c>
      <c r="BM66" s="150">
        <f t="shared" si="104"/>
        <v>0</v>
      </c>
      <c r="BN66" s="144">
        <f>COUNTIFS($D$4:$D$58,"?*",BN4:BN58,"&lt;=3.4") - COUNTIFS($D$4:$D$58,"?*",BN4:BN58,"&lt;0")</f>
        <v>0</v>
      </c>
      <c r="BO66" s="149">
        <f t="shared" ref="BO66:BV66" si="105">COUNTIFS($D$4:$D$58,"?*",BO4:BO58,"&lt;=3.4") - COUNTIFS($D$4:$D$58,"?*",BO4:BO58,"&lt;0")</f>
        <v>0</v>
      </c>
      <c r="BP66" s="149">
        <f t="shared" si="105"/>
        <v>0</v>
      </c>
      <c r="BQ66" s="149">
        <f t="shared" si="105"/>
        <v>0</v>
      </c>
      <c r="BR66" s="149">
        <f t="shared" si="105"/>
        <v>0</v>
      </c>
      <c r="BS66" s="149">
        <f t="shared" si="105"/>
        <v>0</v>
      </c>
      <c r="BT66" s="348">
        <f t="shared" si="105"/>
        <v>0</v>
      </c>
      <c r="BU66" s="348">
        <f t="shared" si="105"/>
        <v>0</v>
      </c>
      <c r="BV66" s="150">
        <f t="shared" si="105"/>
        <v>0</v>
      </c>
      <c r="BW66" s="144">
        <f>COUNTIFS($D$4:$D$58,"?*",BW4:BW58,"&lt;=3.4") - COUNTIFS($D$4:$D$58,"?*",BW4:BW58,"&lt;0")</f>
        <v>0</v>
      </c>
      <c r="BX66" s="149">
        <f t="shared" ref="BX66:CE66" si="106">COUNTIFS($D$4:$D$58,"?*",BX4:BX58,"&lt;=3.4") - COUNTIFS($D$4:$D$58,"?*",BX4:BX58,"&lt;0")</f>
        <v>0</v>
      </c>
      <c r="BY66" s="149">
        <f t="shared" si="106"/>
        <v>0</v>
      </c>
      <c r="BZ66" s="149">
        <f t="shared" si="106"/>
        <v>0</v>
      </c>
      <c r="CA66" s="149">
        <f t="shared" si="106"/>
        <v>0</v>
      </c>
      <c r="CB66" s="149">
        <f t="shared" si="106"/>
        <v>0</v>
      </c>
      <c r="CC66" s="348">
        <f t="shared" si="106"/>
        <v>0</v>
      </c>
      <c r="CD66" s="348">
        <f t="shared" si="106"/>
        <v>0</v>
      </c>
      <c r="CE66" s="150">
        <f t="shared" si="106"/>
        <v>0</v>
      </c>
      <c r="CF66" s="144">
        <f>COUNTIFS($D$4:$D$58,"?*",CF4:CF58,"&lt;=3.4") - COUNTIFS($D$4:$D$58,"?*",CF4:CF58,"&lt;0")</f>
        <v>0</v>
      </c>
      <c r="CG66" s="149">
        <f t="shared" ref="CG66:CN66" si="107">COUNTIFS($D$4:$D$58,"?*",CG4:CG58,"&lt;=3.4") - COUNTIFS($D$4:$D$58,"?*",CG4:CG58,"&lt;0")</f>
        <v>0</v>
      </c>
      <c r="CH66" s="149">
        <f t="shared" si="107"/>
        <v>0</v>
      </c>
      <c r="CI66" s="149">
        <f t="shared" si="107"/>
        <v>0</v>
      </c>
      <c r="CJ66" s="149">
        <f t="shared" si="107"/>
        <v>0</v>
      </c>
      <c r="CK66" s="149">
        <f t="shared" si="107"/>
        <v>0</v>
      </c>
      <c r="CL66" s="348">
        <f t="shared" si="107"/>
        <v>0</v>
      </c>
      <c r="CM66" s="348">
        <f t="shared" si="107"/>
        <v>0</v>
      </c>
      <c r="CN66" s="150">
        <f t="shared" si="107"/>
        <v>0</v>
      </c>
      <c r="CO66" s="144">
        <f>COUNTIFS($D$4:$D$58,"?*",CO4:CO58,"&lt;=3.4") - COUNTIFS($D$4:$D$58,"?*",CO4:CO58,"&lt;0")</f>
        <v>0</v>
      </c>
      <c r="CP66" s="149">
        <f t="shared" ref="CP66:CW66" si="108">COUNTIFS($D$4:$D$58,"?*",CP4:CP58,"&lt;=3.4") - COUNTIFS($D$4:$D$58,"?*",CP4:CP58,"&lt;0")</f>
        <v>0</v>
      </c>
      <c r="CQ66" s="149">
        <f t="shared" si="108"/>
        <v>0</v>
      </c>
      <c r="CR66" s="149">
        <f t="shared" si="108"/>
        <v>0</v>
      </c>
      <c r="CS66" s="149">
        <f t="shared" si="108"/>
        <v>0</v>
      </c>
      <c r="CT66" s="149">
        <f t="shared" si="108"/>
        <v>0</v>
      </c>
      <c r="CU66" s="348">
        <f t="shared" si="108"/>
        <v>0</v>
      </c>
      <c r="CV66" s="348">
        <f t="shared" si="108"/>
        <v>0</v>
      </c>
      <c r="CW66" s="150">
        <f t="shared" si="108"/>
        <v>0</v>
      </c>
      <c r="CX66" s="144">
        <f>COUNTIFS($D$4:$D$58,"?*",CX4:CX58,"&lt;=3.4") - COUNTIFS($D$4:$D$58,"?*",CX4:CX58,"&lt;0")</f>
        <v>0</v>
      </c>
      <c r="CY66" s="149">
        <f t="shared" ref="CY66:DF66" si="109">COUNTIFS($D$4:$D$58,"?*",CY4:CY58,"&lt;=3.4") - COUNTIFS($D$4:$D$58,"?*",CY4:CY58,"&lt;0")</f>
        <v>0</v>
      </c>
      <c r="CZ66" s="149">
        <f t="shared" si="109"/>
        <v>0</v>
      </c>
      <c r="DA66" s="149">
        <f t="shared" si="109"/>
        <v>0</v>
      </c>
      <c r="DB66" s="149">
        <f t="shared" si="109"/>
        <v>0</v>
      </c>
      <c r="DC66" s="149">
        <f t="shared" si="109"/>
        <v>0</v>
      </c>
      <c r="DD66" s="348">
        <f t="shared" si="109"/>
        <v>0</v>
      </c>
      <c r="DE66" s="348">
        <f t="shared" si="109"/>
        <v>0</v>
      </c>
      <c r="DF66" s="150">
        <f t="shared" si="109"/>
        <v>0</v>
      </c>
      <c r="DG66" s="423"/>
      <c r="DH66" s="423"/>
      <c r="DI66" s="423"/>
      <c r="DJ66" s="423"/>
      <c r="DK66" s="423"/>
      <c r="DL66" s="423"/>
      <c r="DM66" s="423"/>
      <c r="DN66" s="423"/>
      <c r="DO66" s="423"/>
      <c r="DP66" s="144">
        <f>COUNTIFS($D$4:$D$58,"?*",DP4:DP58,"&lt;=3.4") - COUNTIFS($D$4:$D$58,"?*",DP4:DP58,"&lt;0")</f>
        <v>0</v>
      </c>
      <c r="DQ66" s="149">
        <f t="shared" ref="DQ66:DX66" si="110">COUNTIFS($D$4:$D$58,"?*",DQ4:DQ58,"&lt;=3.4") - COUNTIFS($D$4:$D$58,"?*",DQ4:DQ58,"&lt;0")</f>
        <v>0</v>
      </c>
      <c r="DR66" s="149">
        <f t="shared" si="110"/>
        <v>0</v>
      </c>
      <c r="DS66" s="149">
        <f t="shared" si="110"/>
        <v>0</v>
      </c>
      <c r="DT66" s="149">
        <f t="shared" si="110"/>
        <v>0</v>
      </c>
      <c r="DU66" s="149">
        <f t="shared" si="110"/>
        <v>0</v>
      </c>
      <c r="DV66" s="348">
        <f t="shared" si="110"/>
        <v>0</v>
      </c>
      <c r="DW66" s="348">
        <f t="shared" si="110"/>
        <v>0</v>
      </c>
      <c r="DX66" s="150">
        <f t="shared" si="110"/>
        <v>0</v>
      </c>
      <c r="DY66" s="144">
        <f>COUNTIFS($D$4:$D$58,"?*",DY4:DY58,"&lt;=3.4") - COUNTIFS($D$4:$D$58,"?*",DY4:DY58,"&lt;0")</f>
        <v>0</v>
      </c>
      <c r="DZ66" s="149">
        <f t="shared" ref="DZ66:EG66" si="111">COUNTIFS($D$4:$D$58,"?*",DZ4:DZ58,"&lt;=3.4") - COUNTIFS($D$4:$D$58,"?*",DZ4:DZ58,"&lt;0")</f>
        <v>0</v>
      </c>
      <c r="EA66" s="149">
        <f t="shared" si="111"/>
        <v>0</v>
      </c>
      <c r="EB66" s="149">
        <f t="shared" si="111"/>
        <v>0</v>
      </c>
      <c r="EC66" s="149">
        <f t="shared" si="111"/>
        <v>0</v>
      </c>
      <c r="ED66" s="149">
        <f t="shared" si="111"/>
        <v>0</v>
      </c>
      <c r="EE66" s="348">
        <f t="shared" si="111"/>
        <v>0</v>
      </c>
      <c r="EF66" s="348">
        <f t="shared" si="111"/>
        <v>0</v>
      </c>
      <c r="EG66" s="150">
        <f t="shared" si="111"/>
        <v>0</v>
      </c>
    </row>
    <row r="67" spans="2:137" s="129" customFormat="1" ht="18" customHeight="1">
      <c r="R67" s="129">
        <v>16</v>
      </c>
      <c r="S67" s="129" t="s">
        <v>119</v>
      </c>
      <c r="T67" s="129" t="s">
        <v>119</v>
      </c>
      <c r="AA67" s="129">
        <v>23</v>
      </c>
      <c r="AB67" s="129" t="s">
        <v>119</v>
      </c>
      <c r="AC67" s="129" t="s">
        <v>119</v>
      </c>
      <c r="AJ67" s="129">
        <v>30</v>
      </c>
      <c r="AK67" s="129" t="s">
        <v>119</v>
      </c>
      <c r="AL67" s="129" t="s">
        <v>119</v>
      </c>
      <c r="AS67" s="129">
        <v>37</v>
      </c>
      <c r="AT67" s="129" t="s">
        <v>119</v>
      </c>
      <c r="AU67" s="129" t="s">
        <v>119</v>
      </c>
      <c r="BB67" s="129">
        <v>44</v>
      </c>
      <c r="BC67" s="129" t="s">
        <v>119</v>
      </c>
      <c r="BD67" s="129" t="s">
        <v>119</v>
      </c>
      <c r="BK67" s="129">
        <v>51</v>
      </c>
      <c r="BL67" s="129" t="s">
        <v>119</v>
      </c>
      <c r="BM67" s="129" t="s">
        <v>119</v>
      </c>
      <c r="BT67" s="129">
        <v>58</v>
      </c>
      <c r="BU67" s="129" t="s">
        <v>119</v>
      </c>
      <c r="BV67" s="129" t="s">
        <v>119</v>
      </c>
      <c r="CC67" s="129">
        <v>65</v>
      </c>
      <c r="CD67" s="129" t="s">
        <v>119</v>
      </c>
      <c r="CE67" s="129" t="s">
        <v>119</v>
      </c>
      <c r="CL67" s="129">
        <v>72</v>
      </c>
      <c r="CM67" s="129" t="s">
        <v>119</v>
      </c>
      <c r="CN67" s="129" t="s">
        <v>119</v>
      </c>
      <c r="CU67" s="129">
        <v>79</v>
      </c>
      <c r="CV67" s="129" t="s">
        <v>119</v>
      </c>
      <c r="CW67" s="129" t="s">
        <v>119</v>
      </c>
      <c r="DD67" s="129">
        <v>86</v>
      </c>
      <c r="DE67" s="129" t="s">
        <v>119</v>
      </c>
      <c r="DF67" s="129" t="s">
        <v>119</v>
      </c>
      <c r="DM67" s="129">
        <v>93</v>
      </c>
      <c r="DV67" s="129">
        <v>100</v>
      </c>
      <c r="DW67" s="129" t="s">
        <v>119</v>
      </c>
      <c r="DX67" s="129" t="s">
        <v>119</v>
      </c>
      <c r="EE67" s="129">
        <v>107</v>
      </c>
      <c r="EF67" s="129" t="s">
        <v>119</v>
      </c>
      <c r="EG67" s="129" t="s">
        <v>119</v>
      </c>
    </row>
    <row r="68" spans="2:137" s="129" customFormat="1" ht="16.5" customHeight="1">
      <c r="B68" s="129">
        <v>1</v>
      </c>
      <c r="L68" s="938" t="s">
        <v>3</v>
      </c>
      <c r="M68" s="940"/>
      <c r="N68" s="236" t="s">
        <v>11</v>
      </c>
      <c r="O68" s="237" t="s">
        <v>12</v>
      </c>
      <c r="P68" s="237" t="s">
        <v>8</v>
      </c>
      <c r="Q68" s="237" t="s">
        <v>14</v>
      </c>
      <c r="R68" s="238" t="s">
        <v>15</v>
      </c>
      <c r="U68" s="938" t="s">
        <v>3</v>
      </c>
      <c r="V68" s="940"/>
      <c r="W68" s="236" t="s">
        <v>11</v>
      </c>
      <c r="X68" s="237" t="s">
        <v>12</v>
      </c>
      <c r="Y68" s="237" t="s">
        <v>8</v>
      </c>
      <c r="Z68" s="237" t="s">
        <v>14</v>
      </c>
      <c r="AA68" s="238" t="s">
        <v>15</v>
      </c>
      <c r="AD68" s="938" t="s">
        <v>3</v>
      </c>
      <c r="AE68" s="940"/>
      <c r="AF68" s="236" t="s">
        <v>11</v>
      </c>
      <c r="AG68" s="237" t="s">
        <v>12</v>
      </c>
      <c r="AH68" s="237" t="s">
        <v>8</v>
      </c>
      <c r="AI68" s="237" t="s">
        <v>14</v>
      </c>
      <c r="AJ68" s="238" t="s">
        <v>15</v>
      </c>
      <c r="AM68" s="938" t="s">
        <v>3</v>
      </c>
      <c r="AN68" s="940"/>
      <c r="AO68" s="236" t="s">
        <v>11</v>
      </c>
      <c r="AP68" s="237" t="s">
        <v>12</v>
      </c>
      <c r="AQ68" s="237" t="s">
        <v>8</v>
      </c>
      <c r="AR68" s="237" t="s">
        <v>14</v>
      </c>
      <c r="AS68" s="238" t="s">
        <v>15</v>
      </c>
      <c r="AV68" s="938" t="s">
        <v>3</v>
      </c>
      <c r="AW68" s="940"/>
      <c r="AX68" s="236" t="s">
        <v>11</v>
      </c>
      <c r="AY68" s="237" t="s">
        <v>12</v>
      </c>
      <c r="AZ68" s="237" t="s">
        <v>8</v>
      </c>
      <c r="BA68" s="237" t="s">
        <v>14</v>
      </c>
      <c r="BB68" s="238" t="s">
        <v>15</v>
      </c>
      <c r="BE68" s="938" t="s">
        <v>3</v>
      </c>
      <c r="BF68" s="940"/>
      <c r="BG68" s="236" t="s">
        <v>11</v>
      </c>
      <c r="BH68" s="237" t="s">
        <v>12</v>
      </c>
      <c r="BI68" s="237" t="s">
        <v>8</v>
      </c>
      <c r="BJ68" s="237" t="s">
        <v>14</v>
      </c>
      <c r="BK68" s="238" t="s">
        <v>15</v>
      </c>
      <c r="BN68" s="938" t="s">
        <v>3</v>
      </c>
      <c r="BO68" s="940"/>
      <c r="BP68" s="236" t="s">
        <v>11</v>
      </c>
      <c r="BQ68" s="237" t="s">
        <v>12</v>
      </c>
      <c r="BR68" s="237" t="s">
        <v>8</v>
      </c>
      <c r="BS68" s="237" t="s">
        <v>14</v>
      </c>
      <c r="BT68" s="238" t="s">
        <v>15</v>
      </c>
      <c r="BW68" s="938" t="s">
        <v>3</v>
      </c>
      <c r="BX68" s="940"/>
      <c r="BY68" s="236" t="s">
        <v>11</v>
      </c>
      <c r="BZ68" s="237" t="s">
        <v>12</v>
      </c>
      <c r="CA68" s="237" t="s">
        <v>8</v>
      </c>
      <c r="CB68" s="237" t="s">
        <v>14</v>
      </c>
      <c r="CC68" s="238" t="s">
        <v>15</v>
      </c>
      <c r="CF68" s="938" t="s">
        <v>3</v>
      </c>
      <c r="CG68" s="940"/>
      <c r="CH68" s="236" t="s">
        <v>11</v>
      </c>
      <c r="CI68" s="237" t="s">
        <v>12</v>
      </c>
      <c r="CJ68" s="237" t="s">
        <v>8</v>
      </c>
      <c r="CK68" s="237" t="s">
        <v>14</v>
      </c>
      <c r="CL68" s="238" t="s">
        <v>15</v>
      </c>
      <c r="CO68" s="938" t="s">
        <v>3</v>
      </c>
      <c r="CP68" s="940"/>
      <c r="CQ68" s="236" t="s">
        <v>11</v>
      </c>
      <c r="CR68" s="237" t="s">
        <v>12</v>
      </c>
      <c r="CS68" s="237" t="s">
        <v>8</v>
      </c>
      <c r="CT68" s="237" t="s">
        <v>14</v>
      </c>
      <c r="CU68" s="238" t="s">
        <v>15</v>
      </c>
      <c r="CX68" s="938" t="s">
        <v>3</v>
      </c>
      <c r="CY68" s="940"/>
      <c r="CZ68" s="236" t="s">
        <v>11</v>
      </c>
      <c r="DA68" s="237" t="s">
        <v>12</v>
      </c>
      <c r="DB68" s="237" t="s">
        <v>8</v>
      </c>
      <c r="DC68" s="237" t="s">
        <v>14</v>
      </c>
      <c r="DD68" s="238" t="s">
        <v>15</v>
      </c>
      <c r="DG68" s="874" t="s">
        <v>260</v>
      </c>
      <c r="DH68" s="535"/>
      <c r="DI68" s="237" t="s">
        <v>54</v>
      </c>
      <c r="DJ68" s="238" t="s">
        <v>53</v>
      </c>
      <c r="DK68" s="535"/>
      <c r="DL68" s="237" t="s">
        <v>54</v>
      </c>
      <c r="DM68" s="238" t="s">
        <v>53</v>
      </c>
      <c r="DN68" s="874" t="s">
        <v>261</v>
      </c>
      <c r="DP68" s="938" t="s">
        <v>3</v>
      </c>
      <c r="DQ68" s="940"/>
      <c r="DR68" s="236" t="s">
        <v>11</v>
      </c>
      <c r="DS68" s="237" t="s">
        <v>12</v>
      </c>
      <c r="DT68" s="237" t="s">
        <v>8</v>
      </c>
      <c r="DU68" s="237" t="s">
        <v>14</v>
      </c>
      <c r="DV68" s="238" t="s">
        <v>15</v>
      </c>
      <c r="DY68" s="938" t="s">
        <v>3</v>
      </c>
      <c r="DZ68" s="940"/>
      <c r="EA68" s="236" t="s">
        <v>11</v>
      </c>
      <c r="EB68" s="237" t="s">
        <v>12</v>
      </c>
      <c r="EC68" s="237" t="s">
        <v>8</v>
      </c>
      <c r="ED68" s="237" t="s">
        <v>14</v>
      </c>
      <c r="EE68" s="238" t="s">
        <v>15</v>
      </c>
    </row>
    <row r="69" spans="2:137" s="129" customFormat="1" ht="16.5" customHeight="1">
      <c r="B69" s="129">
        <v>2</v>
      </c>
      <c r="L69" s="874" t="s">
        <v>100</v>
      </c>
      <c r="M69" s="239" t="s">
        <v>49</v>
      </c>
      <c r="N69" s="240">
        <f>COUNTIFS($D$4:$D$58,"?*",Q4:Q58,"&lt;=10") - COUNTIFS($D$4:$D$58,"?*",Q4:Q58,"&lt;=7.9")</f>
        <v>0</v>
      </c>
      <c r="O69" s="241">
        <f>COUNTIFS($D$4:$D$58,"?*",Q4:Q58,"&lt;=7.9") - COUNTIFS($D$4:$D$58,"?*",Q4:Q58,"&lt;=6.4")</f>
        <v>0</v>
      </c>
      <c r="P69" s="241">
        <f>COUNTIFS($D$4:$D$58,"?*",Q4:Q58,"&lt;=6.4") - COUNTIFS($D$4:$D$58,"?*",Q4:Q58,"&lt;=4.9")</f>
        <v>0</v>
      </c>
      <c r="Q69" s="241">
        <f>COUNTIFS($D$4:$D$58,"?*",Q4:Q58,"&lt;=4.9") - COUNTIFS($D$4:$D$58,"?*",Q4:Q58,"&lt;=3.4")</f>
        <v>0</v>
      </c>
      <c r="R69" s="242">
        <f>COUNTIFS($D$4:$D$58,"?*",Q4:Q58,"&lt;=3.4") - COUNTIFS($D$4:$D$58,"?*",Q4:Q58,"&lt;0")</f>
        <v>0</v>
      </c>
      <c r="U69" s="874" t="s">
        <v>100</v>
      </c>
      <c r="V69" s="239" t="s">
        <v>49</v>
      </c>
      <c r="W69" s="240">
        <f>COUNTIFS($D$4:$D$58,"?*",Z4:Z58,"&lt;=10") - COUNTIFS($D$4:$D$58,"?*",Z4:Z58,"&lt;=7.9")</f>
        <v>0</v>
      </c>
      <c r="X69" s="241">
        <f>COUNTIFS($D$4:$D$58,"?*",Z4:Z58,"&lt;=7.9") - COUNTIFS($D$4:$D$58,"?*",Z4:Z58,"&lt;=6.4")</f>
        <v>0</v>
      </c>
      <c r="Y69" s="241">
        <f>COUNTIFS($D$4:$D$58,"?*",Z4:Z58,"&lt;=6.4") - COUNTIFS($D$4:$D$58,"?*",Z4:Z58,"&lt;=4.9")</f>
        <v>0</v>
      </c>
      <c r="Z69" s="241">
        <f>COUNTIFS($D$4:$D$58,"?*",Z4:Z58,"&lt;=4.9") - COUNTIFS($D$4:$D$58,"?*",Z4:Z58,"&lt;=3.4")</f>
        <v>0</v>
      </c>
      <c r="AA69" s="242">
        <f>COUNTIFS($D$4:$D$58,"?*",Z4:Z58,"&lt;=3.4") - COUNTIFS($D$4:$D$58,"?*",Z4:Z58,"&lt;0")</f>
        <v>0</v>
      </c>
      <c r="AD69" s="874" t="s">
        <v>100</v>
      </c>
      <c r="AE69" s="239" t="s">
        <v>49</v>
      </c>
      <c r="AF69" s="240">
        <f>COUNTIFS($D$4:$D$58,"?*",AI4:AI58,"&lt;=10") - COUNTIFS($D$4:$D$58,"?*",AI4:AI58,"&lt;=7.9")</f>
        <v>0</v>
      </c>
      <c r="AG69" s="241">
        <f>COUNTIFS($D$4:$D$58,"?*",AI4:AI58,"&lt;=7.9") - COUNTIFS($D$4:$D$58,"?*",AI4:AI58,"&lt;=6.4")</f>
        <v>0</v>
      </c>
      <c r="AH69" s="241">
        <f>COUNTIFS($D$4:$D$58,"?*",AI4:AI58,"&lt;=6.4") - COUNTIFS($D$4:$D$58,"?*",AI4:AI58,"&lt;=4.9")</f>
        <v>0</v>
      </c>
      <c r="AI69" s="241">
        <f>COUNTIFS($D$4:$D$58,"?*",AI4:AI58,"&lt;=4.9") - COUNTIFS($D$4:$D$58,"?*",AI4:AI58,"&lt;=3.4")</f>
        <v>0</v>
      </c>
      <c r="AJ69" s="242">
        <f>COUNTIFS($D$4:$D$58,"?*",AI4:AI58,"&lt;=3.4") - COUNTIFS($D$4:$D$58,"?*",AI4:AI58,"&lt;0")</f>
        <v>0</v>
      </c>
      <c r="AM69" s="874" t="s">
        <v>100</v>
      </c>
      <c r="AN69" s="239" t="s">
        <v>49</v>
      </c>
      <c r="AO69" s="240">
        <f>COUNTIFS($D$4:$D$58,"?*",AR4:AR58,"&lt;=10") - COUNTIFS($D$4:$D$58,"?*",AR4:AR58,"&lt;=7.9")</f>
        <v>0</v>
      </c>
      <c r="AP69" s="241">
        <f>COUNTIFS($D$4:$D$58,"?*",AR4:AR58,"&lt;=7.9") - COUNTIFS($D$4:$D$58,"?*",AR4:AR58,"&lt;=6.4")</f>
        <v>0</v>
      </c>
      <c r="AQ69" s="241">
        <f>COUNTIFS($D$4:$D$58,"?*",AR4:AR58,"&lt;=6.4") - COUNTIFS($D$4:$D$58,"?*",AR4:AR58,"&lt;=4.9")</f>
        <v>0</v>
      </c>
      <c r="AR69" s="241">
        <f>COUNTIFS($D$4:$D$58,"?*",AR4:AR58,"&lt;=4.9") - COUNTIFS($D$4:$D$58,"?*",AR4:AR58,"&lt;=3.4")</f>
        <v>0</v>
      </c>
      <c r="AS69" s="242">
        <f>COUNTIFS($D$4:$D$58,"?*",AR4:AR58,"&lt;=3.4") - COUNTIFS($D$4:$D$58,"?*",AR4:AR58,"&lt;0")</f>
        <v>0</v>
      </c>
      <c r="AV69" s="874" t="s">
        <v>100</v>
      </c>
      <c r="AW69" s="239" t="s">
        <v>49</v>
      </c>
      <c r="AX69" s="240">
        <f>COUNTIFS($D$4:$D$58,"?*",BA4:BA58,"&lt;=10") - COUNTIFS($D$4:$D$58,"?*",BA4:BA58,"&lt;=7.9")</f>
        <v>0</v>
      </c>
      <c r="AY69" s="241">
        <f>COUNTIFS($D$4:$D$58,"?*",BA4:BA58,"&lt;=7.9") - COUNTIFS($D$4:$D$58,"?*",BA4:BA58,"&lt;=6.4")</f>
        <v>0</v>
      </c>
      <c r="AZ69" s="241">
        <f>COUNTIFS($D$4:$D$58,"?*",BA4:BA58,"&lt;=6.4") - COUNTIFS($D$4:$D$58,"?*",BA4:BA58,"&lt;=4.9")</f>
        <v>0</v>
      </c>
      <c r="BA69" s="241">
        <f>COUNTIFS($D$4:$D$58,"?*",BA4:BA58,"&lt;=4.9") - COUNTIFS($D$4:$D$58,"?*",BA4:BA58,"&lt;=3.4")</f>
        <v>0</v>
      </c>
      <c r="BB69" s="242">
        <f>COUNTIFS($D$4:$D$58,"?*",BA4:BA58,"&lt;=3.4") - COUNTIFS($D$4:$D$58,"?*",BA4:BA58,"&lt;0")</f>
        <v>0</v>
      </c>
      <c r="BE69" s="874" t="s">
        <v>100</v>
      </c>
      <c r="BF69" s="239" t="s">
        <v>49</v>
      </c>
      <c r="BG69" s="240">
        <f>COUNTIFS($D$4:$D$58,"?*",BJ4:BJ58,"&lt;=10") - COUNTIFS($D$4:$D$58,"?*",BJ4:BJ58,"&lt;=7.9")</f>
        <v>0</v>
      </c>
      <c r="BH69" s="241">
        <f>COUNTIFS($D$4:$D$58,"?*",BJ4:BJ58,"&lt;=7.9") - COUNTIFS($D$4:$D$58,"?*",BJ4:BJ58,"&lt;=6.4")</f>
        <v>0</v>
      </c>
      <c r="BI69" s="241">
        <f>COUNTIFS($D$4:$D$58,"?*",BJ4:BJ58,"&lt;=6.4") - COUNTIFS($D$4:$D$58,"?*",BJ4:BJ58,"&lt;=4.9")</f>
        <v>0</v>
      </c>
      <c r="BJ69" s="241">
        <f>COUNTIFS($D$4:$D$58,"?*",BJ4:BJ58,"&lt;=4.9") - COUNTIFS($D$4:$D$58,"?*",BJ4:BJ58,"&lt;=3.4")</f>
        <v>0</v>
      </c>
      <c r="BK69" s="242">
        <f>COUNTIFS($D$4:$D$58,"?*",BJ4:BJ58,"&lt;=3.4") - COUNTIFS($D$4:$D$58,"?*",BJ4:BJ58,"&lt;0")</f>
        <v>0</v>
      </c>
      <c r="BN69" s="874" t="s">
        <v>100</v>
      </c>
      <c r="BO69" s="239" t="s">
        <v>49</v>
      </c>
      <c r="BP69" s="240">
        <f>COUNTIFS($D$4:$D$58,"?*",BS4:BS58,"&lt;=10") - COUNTIFS($D$4:$D$58,"?*",BS4:BS58,"&lt;=7.9")</f>
        <v>0</v>
      </c>
      <c r="BQ69" s="241">
        <f>COUNTIFS($D$4:$D$58,"?*",BS4:BS58,"&lt;=7.9") - COUNTIFS($D$4:$D$58,"?*",BS4:BS58,"&lt;=6.4")</f>
        <v>0</v>
      </c>
      <c r="BR69" s="241">
        <f>COUNTIFS($D$4:$D$58,"?*",BS4:BS58,"&lt;=6.4") - COUNTIFS($D$4:$D$58,"?*",BS4:BS58,"&lt;=4.9")</f>
        <v>0</v>
      </c>
      <c r="BS69" s="241">
        <f>COUNTIFS($D$4:$D$58,"?*",BS4:BS58,"&lt;=4.9") - COUNTIFS($D$4:$D$58,"?*",BS4:BS58,"&lt;=3.4")</f>
        <v>0</v>
      </c>
      <c r="BT69" s="242">
        <f>COUNTIFS($D$4:$D$58,"?*",BS4:BS58,"&lt;=3.4") - COUNTIFS($D$4:$D$58,"?*",BS4:BS58,"&lt;0")</f>
        <v>0</v>
      </c>
      <c r="BW69" s="874" t="s">
        <v>100</v>
      </c>
      <c r="BX69" s="239" t="s">
        <v>49</v>
      </c>
      <c r="BY69" s="240">
        <f>COUNTIFS($D$4:$D$58,"?*",CB4:CB58,"&lt;=10") - COUNTIFS($D$4:$D$58,"?*",CB4:CB58,"&lt;=7.9")</f>
        <v>0</v>
      </c>
      <c r="BZ69" s="241">
        <f>COUNTIFS($D$4:$D$58,"?*",CB4:CB58,"&lt;=7.9") - COUNTIFS($D$4:$D$58,"?*",CB4:CB58,"&lt;=6.4")</f>
        <v>0</v>
      </c>
      <c r="CA69" s="241">
        <f>COUNTIFS($D$4:$D$58,"?*",CB4:CB58,"&lt;=6.4") - COUNTIFS($D$4:$D$58,"?*",CB4:CB58,"&lt;=4.9")</f>
        <v>0</v>
      </c>
      <c r="CB69" s="241">
        <f>COUNTIFS($D$4:$D$58,"?*",CB4:CB58,"&lt;=4.9") - COUNTIFS($D$4:$D$58,"?*",CB4:CB58,"&lt;=3.4")</f>
        <v>0</v>
      </c>
      <c r="CC69" s="242">
        <f>COUNTIFS($D$4:$D$58,"?*",CB4:CB58,"&lt;=3.4") - COUNTIFS($D$4:$D$58,"?*",CB4:CB58,"&lt;0")</f>
        <v>0</v>
      </c>
      <c r="CF69" s="874" t="s">
        <v>100</v>
      </c>
      <c r="CG69" s="239" t="s">
        <v>49</v>
      </c>
      <c r="CH69" s="240">
        <f>COUNTIFS($D$4:$D$58,"?*",CK4:CK58,"&lt;=10") - COUNTIFS($D$4:$D$58,"?*",CK4:CK58,"&lt;=7.9")</f>
        <v>0</v>
      </c>
      <c r="CI69" s="241">
        <f>COUNTIFS($D$4:$D$58,"?*",CK4:CK58,"&lt;=7.9") - COUNTIFS($D$4:$D$58,"?*",CK4:CK58,"&lt;=6.4")</f>
        <v>0</v>
      </c>
      <c r="CJ69" s="241">
        <f>COUNTIFS($D$4:$D$58,"?*",CK4:CK58,"&lt;=6.4") - COUNTIFS($D$4:$D$58,"?*",CK4:CK58,"&lt;=4.9")</f>
        <v>0</v>
      </c>
      <c r="CK69" s="241">
        <f>COUNTIFS($D$4:$D$58,"?*",CK4:CK58,"&lt;=4.9") - COUNTIFS($D$4:$D$58,"?*",CK4:CK58,"&lt;=3.4")</f>
        <v>0</v>
      </c>
      <c r="CL69" s="242">
        <f>COUNTIFS($D$4:$D$58,"?*",CK4:CK58,"&lt;=3.4") - COUNTIFS($D$4:$D$58,"?*",CK4:CK58,"&lt;0")</f>
        <v>0</v>
      </c>
      <c r="CO69" s="874" t="s">
        <v>100</v>
      </c>
      <c r="CP69" s="239" t="s">
        <v>49</v>
      </c>
      <c r="CQ69" s="240">
        <f>COUNTIFS($D$4:$D$58,"?*",CT4:CT58,"&lt;=10") - COUNTIFS($D$4:$D$58,"?*",CT4:CT58,"&lt;=7.9")</f>
        <v>0</v>
      </c>
      <c r="CR69" s="241">
        <f>COUNTIFS($D$4:$D$58,"?*",CT4:CT58,"&lt;=7.9") - COUNTIFS($D$4:$D$58,"?*",CT4:CT58,"&lt;=6.4")</f>
        <v>0</v>
      </c>
      <c r="CS69" s="241">
        <f>COUNTIFS($D$4:$D$58,"?*",CT4:CT58,"&lt;=6.4") - COUNTIFS($D$4:$D$58,"?*",CT4:CT58,"&lt;=4.9")</f>
        <v>0</v>
      </c>
      <c r="CT69" s="241">
        <f>COUNTIFS($D$4:$D$58,"?*",CT4:CT58,"&lt;=4.9") - COUNTIFS($D$4:$D$58,"?*",CT4:CT58,"&lt;=3.4")</f>
        <v>0</v>
      </c>
      <c r="CU69" s="242">
        <f>COUNTIFS($D$4:$D$58,"?*",CT4:CT58,"&lt;=3.4") - COUNTIFS($D$4:$D$58,"?*",CT4:CT58,"&lt;0")</f>
        <v>0</v>
      </c>
      <c r="CX69" s="874" t="s">
        <v>100</v>
      </c>
      <c r="CY69" s="239" t="s">
        <v>49</v>
      </c>
      <c r="CZ69" s="240">
        <f>COUNTIFS($D$4:$D$58,"?*",DC4:DC58,"&lt;=10") - COUNTIFS($D$4:$D$58,"?*",DC4:DC58,"&lt;=7.9")</f>
        <v>0</v>
      </c>
      <c r="DA69" s="241">
        <f>COUNTIFS($D$4:$D$58,"?*",DC4:DC58,"&lt;=7.9") - COUNTIFS($D$4:$D$58,"?*",DC4:DC58,"&lt;=6.4")</f>
        <v>0</v>
      </c>
      <c r="DB69" s="241">
        <f>COUNTIFS($D$4:$D$58,"?*",DC4:DC58,"&lt;=6.4") - COUNTIFS($D$4:$D$58,"?*",DC4:DC58,"&lt;=4.9")</f>
        <v>0</v>
      </c>
      <c r="DC69" s="241">
        <f>COUNTIFS($D$4:$D$58,"?*",DC4:DC58,"&lt;=4.9") - COUNTIFS($D$4:$D$58,"?*",DC4:DC58,"&lt;=3.4")</f>
        <v>0</v>
      </c>
      <c r="DD69" s="242">
        <f>COUNTIFS($D$4:$D$58,"?*",DC4:DC58,"&lt;=3.4") - COUNTIFS($D$4:$D$58,"?*",DC4:DC58,"&lt;0")</f>
        <v>0</v>
      </c>
      <c r="DG69" s="1037"/>
      <c r="DH69" s="536" t="s">
        <v>49</v>
      </c>
      <c r="DI69" s="537">
        <f>COUNTIFS($D$4:$D$58,"?*",DL4:DL58,"Đ")</f>
        <v>0</v>
      </c>
      <c r="DJ69" s="538">
        <f>COUNTIFS($D$4:$D$58,"?*",DL4:DL58,"CĐ")</f>
        <v>0</v>
      </c>
      <c r="DK69" s="536" t="s">
        <v>49</v>
      </c>
      <c r="DL69" s="537">
        <f>COUNTIFS($D$4:$D$58,"?*",DO4:DO58,"Đ")</f>
        <v>36</v>
      </c>
      <c r="DM69" s="538">
        <f>COUNTIFS($D$4:$D$58,"?*",DO4:DO58,"CĐ")</f>
        <v>0</v>
      </c>
      <c r="DN69" s="1037"/>
      <c r="DP69" s="874" t="s">
        <v>100</v>
      </c>
      <c r="DQ69" s="239" t="s">
        <v>49</v>
      </c>
      <c r="DR69" s="240">
        <f>COUNTIFS($D$4:$D$58,"?*",DU4:DU58,"&lt;=10") - COUNTIFS($D$4:$D$58,"?*",DU4:DU58,"&lt;=7.9")</f>
        <v>0</v>
      </c>
      <c r="DS69" s="241">
        <f>COUNTIFS($D$4:$D$58,"?*",DU4:DU58,"&lt;=7.9") - COUNTIFS($D$4:$D$58,"?*",DU4:DU58,"&lt;=6.4")</f>
        <v>0</v>
      </c>
      <c r="DT69" s="241">
        <f>COUNTIFS($D$4:$D$58,"?*",DU4:DU58,"&lt;=6.4") - COUNTIFS($D$4:$D$58,"?*",DU4:DU58,"&lt;=4.9")</f>
        <v>0</v>
      </c>
      <c r="DU69" s="241">
        <f>COUNTIFS($D$4:$D$58,"?*",DU4:DU58,"&lt;=4.9") - COUNTIFS($D$4:$D$58,"?*",DU4:DU58,"&lt;=3.4")</f>
        <v>0</v>
      </c>
      <c r="DV69" s="242">
        <f>COUNTIFS($D$4:$D$58,"?*",DU4:DU58,"&lt;=3.4") - COUNTIFS($D$4:$D$58,"?*",DU4:DU58,"&lt;0")</f>
        <v>0</v>
      </c>
      <c r="DY69" s="874" t="s">
        <v>100</v>
      </c>
      <c r="DZ69" s="239" t="s">
        <v>49</v>
      </c>
      <c r="EA69" s="240">
        <f>COUNTIFS($D$4:$D$58,"?*",ED4:ED58,"&lt;=10") - COUNTIFS($D$4:$D$58,"?*",ED4:ED58,"&lt;=7.9")</f>
        <v>0</v>
      </c>
      <c r="EB69" s="241">
        <f>COUNTIFS($D$4:$D$58,"?*",ED4:ED58,"&lt;=7.9") - COUNTIFS($D$4:$D$58,"?*",ED4:ED58,"&lt;=6.4")</f>
        <v>0</v>
      </c>
      <c r="EC69" s="241">
        <f>COUNTIFS($D$4:$D$58,"?*",ED4:ED58,"&lt;=6.4") - COUNTIFS($D$4:$D$58,"?*",ED4:ED58,"&lt;=4.9")</f>
        <v>0</v>
      </c>
      <c r="ED69" s="241">
        <f>COUNTIFS($D$4:$D$58,"?*",ED4:ED58,"&lt;=4.9") - COUNTIFS($D$4:$D$58,"?*",ED4:ED58,"&lt;=3.4")</f>
        <v>0</v>
      </c>
      <c r="EE69" s="242">
        <f>COUNTIFS($D$4:$D$58,"?*",ED4:ED58,"&lt;=3.4") - COUNTIFS($D$4:$D$58,"?*",ED4:ED58,"&lt;0")</f>
        <v>0</v>
      </c>
    </row>
    <row r="70" spans="2:137" s="129" customFormat="1" ht="16.5" customHeight="1">
      <c r="B70" s="129">
        <v>3</v>
      </c>
      <c r="L70" s="1027"/>
      <c r="M70" s="244" t="s">
        <v>17</v>
      </c>
      <c r="N70" s="245">
        <f>COUNTIFS($D$4:$D$58,"?*",$I$4:$I$58,"",Q4:Q58,"&lt;=10") - COUNTIFS($D$4:$D$58,"?*",$I$4:$I$58,"",Q4:Q58,"&lt;=7.9")</f>
        <v>0</v>
      </c>
      <c r="O70" s="246">
        <f>COUNTIFS($D$4:$D$58,"?*",$I$4:$I$58,"",Q4:Q58,"&lt;=7.9") - COUNTIFS($D$4:$D$58,"?*",$I$4:$I$58,"",Q4:Q58,"&lt;=6.4")</f>
        <v>0</v>
      </c>
      <c r="P70" s="246">
        <f>COUNTIFS($D$4:$D$58,"?*",$I$4:$I$58,"",Q4:Q58,"&lt;=6.4") - COUNTIFS($D$4:$D$58,"?*",$I$4:$I$58,"",Q4:Q58,"&lt;=4.9")</f>
        <v>0</v>
      </c>
      <c r="Q70" s="246">
        <f>COUNTIFS($D$4:$D$58,"?*",$I$4:$I$58,"",Q4:Q58,"&lt;=4.9") - COUNTIFS($D$4:$D$58,"?*",$I$4:$I$58,"",Q4:Q58,"&lt;=3.4")</f>
        <v>0</v>
      </c>
      <c r="R70" s="247">
        <f>COUNTIFS($D$4:$D$58,"?*",$I$4:$I$58,"",Q4:Q58,"&lt;=3.4") - COUNTIFS($D$4:$D$58,"?*",$I$4:$I$58,"",Q4:Q58,"&lt;0")</f>
        <v>0</v>
      </c>
      <c r="U70" s="1027"/>
      <c r="V70" s="244" t="s">
        <v>17</v>
      </c>
      <c r="W70" s="245">
        <f>COUNTIFS($D$4:$D$58,"?*",$I$4:$I$58,"",Z4:Z58,"&lt;=10") - COUNTIFS($D$4:$D$58,"?*",$I$4:$I$58,"",Z4:Z58,"&lt;=7.9")</f>
        <v>0</v>
      </c>
      <c r="X70" s="246">
        <f>COUNTIFS($D$4:$D$58,"?*",$I$4:$I$58,"",Z4:Z58,"&lt;=7.9") - COUNTIFS($D$4:$D$58,"?*",$I$4:$I$58,"",Z4:Z58,"&lt;=6.4")</f>
        <v>0</v>
      </c>
      <c r="Y70" s="246">
        <f>COUNTIFS($D$4:$D$58,"?*",$I$4:$I$58,"",Z4:Z58,"&lt;=6.4") - COUNTIFS($D$4:$D$58,"?*",$I$4:$I$58,"",Z4:Z58,"&lt;=4.9")</f>
        <v>0</v>
      </c>
      <c r="Z70" s="246">
        <f>COUNTIFS($D$4:$D$58,"?*",$I$4:$I$58,"",Z4:Z58,"&lt;=4.9") - COUNTIFS($D$4:$D$58,"?*",$I$4:$I$58,"",Z4:Z58,"&lt;=3.4")</f>
        <v>0</v>
      </c>
      <c r="AA70" s="247">
        <f>COUNTIFS($D$4:$D$58,"?*",$I$4:$I$58,"",Z4:Z58,"&lt;=3.4") - COUNTIFS($D$4:$D$58,"?*",$I$4:$I$58,"",Z4:Z58,"&lt;0")</f>
        <v>0</v>
      </c>
      <c r="AD70" s="1027"/>
      <c r="AE70" s="244" t="s">
        <v>17</v>
      </c>
      <c r="AF70" s="245">
        <f>COUNTIFS($D$4:$D$58,"?*",$I$4:$I$58,"",AI4:AI58,"&lt;=10") - COUNTIFS($D$4:$D$58,"?*",$I$4:$I$58,"",AI4:AI58,"&lt;=7.9")</f>
        <v>0</v>
      </c>
      <c r="AG70" s="246">
        <f>COUNTIFS($D$4:$D$58,"?*",$I$4:$I$58,"",AI4:AI58,"&lt;=7.9") - COUNTIFS($D$4:$D$58,"?*",$I$4:$I$58,"",AI4:AI58,"&lt;=6.4")</f>
        <v>0</v>
      </c>
      <c r="AH70" s="246">
        <f>COUNTIFS($D$4:$D$58,"?*",$I$4:$I$58,"",AI4:AI58,"&lt;=6.4") - COUNTIFS($D$4:$D$58,"?*",$I$4:$I$58,"",AI4:AI58,"&lt;=4.9")</f>
        <v>0</v>
      </c>
      <c r="AI70" s="246">
        <f>COUNTIFS($D$4:$D$58,"?*",$I$4:$I$58,"",AI4:AI58,"&lt;=4.9") - COUNTIFS($D$4:$D$58,"?*",$I$4:$I$58,"",AI4:AI58,"&lt;=3.4")</f>
        <v>0</v>
      </c>
      <c r="AJ70" s="247">
        <f>COUNTIFS($D$4:$D$58,"?*",$I$4:$I$58,"",AI4:AI58,"&lt;=3.4") - COUNTIFS($D$4:$D$58,"?*",$I$4:$I$58,"",AI4:AI58,"&lt;0")</f>
        <v>0</v>
      </c>
      <c r="AM70" s="1027"/>
      <c r="AN70" s="244" t="s">
        <v>17</v>
      </c>
      <c r="AO70" s="245">
        <f>COUNTIFS($D$4:$D$58,"?*",$I$4:$I$58,"",AR4:AR58,"&lt;=10") - COUNTIFS($D$4:$D$58,"?*",$I$4:$I$58,"",AR4:AR58,"&lt;=7.9")</f>
        <v>0</v>
      </c>
      <c r="AP70" s="246">
        <f>COUNTIFS($D$4:$D$58,"?*",$I$4:$I$58,"",AR4:AR58,"&lt;=7.9") - COUNTIFS($D$4:$D$58,"?*",$I$4:$I$58,"",AR4:AR58,"&lt;=6.4")</f>
        <v>0</v>
      </c>
      <c r="AQ70" s="246">
        <f>COUNTIFS($D$4:$D$58,"?*",$I$4:$I$58,"",AR4:AR58,"&lt;=6.4") - COUNTIFS($D$4:$D$58,"?*",$I$4:$I$58,"",AR4:AR58,"&lt;=4.9")</f>
        <v>0</v>
      </c>
      <c r="AR70" s="246">
        <f>COUNTIFS($D$4:$D$58,"?*",$I$4:$I$58,"",AR4:AR58,"&lt;=4.9") - COUNTIFS($D$4:$D$58,"?*",$I$4:$I$58,"",AR4:AR58,"&lt;=3.4")</f>
        <v>0</v>
      </c>
      <c r="AS70" s="247">
        <f>COUNTIFS($D$4:$D$58,"?*",$I$4:$I$58,"",AR4:AR58,"&lt;=3.4") - COUNTIFS($D$4:$D$58,"?*",$I$4:$I$58,"",AR4:AR58,"&lt;0")</f>
        <v>0</v>
      </c>
      <c r="AV70" s="1027"/>
      <c r="AW70" s="244" t="s">
        <v>17</v>
      </c>
      <c r="AX70" s="245">
        <f>COUNTIFS($D$4:$D$58,"?*",$I$4:$I$58,"",BA4:BA58,"&lt;=10") - COUNTIFS($D$4:$D$58,"?*",$I$4:$I$58,"",BA4:BA58,"&lt;=7.9")</f>
        <v>0</v>
      </c>
      <c r="AY70" s="246">
        <f>COUNTIFS($D$4:$D$58,"?*",$I$4:$I$58,"",BA4:BA58,"&lt;=7.9") - COUNTIFS($D$4:$D$58,"?*",$I$4:$I$58,"",BA4:BA58,"&lt;=6.4")</f>
        <v>0</v>
      </c>
      <c r="AZ70" s="246">
        <f>COUNTIFS($D$4:$D$58,"?*",$I$4:$I$58,"",BA4:BA58,"&lt;=6.4") - COUNTIFS($D$4:$D$58,"?*",$I$4:$I$58,"",BA4:BA58,"&lt;=4.9")</f>
        <v>0</v>
      </c>
      <c r="BA70" s="246">
        <f>COUNTIFS($D$4:$D$58,"?*",$I$4:$I$58,"",BA4:BA58,"&lt;=4.9") - COUNTIFS($D$4:$D$58,"?*",$I$4:$I$58,"",BA4:BA58,"&lt;=3.4")</f>
        <v>0</v>
      </c>
      <c r="BB70" s="247">
        <f>COUNTIFS($D$4:$D$58,"?*",$I$4:$I$58,"",BA4:BA58,"&lt;=3.4") - COUNTIFS($D$4:$D$58,"?*",$I$4:$I$58,"",BA4:BA58,"&lt;0")</f>
        <v>0</v>
      </c>
      <c r="BE70" s="1027"/>
      <c r="BF70" s="244" t="s">
        <v>17</v>
      </c>
      <c r="BG70" s="245">
        <f>COUNTIFS($D$4:$D$58,"?*",$I$4:$I$58,"",BJ4:BJ58,"&lt;=10") - COUNTIFS($D$4:$D$58,"?*",$I$4:$I$58,"",BJ4:BJ58,"&lt;=7.9")</f>
        <v>0</v>
      </c>
      <c r="BH70" s="246">
        <f>COUNTIFS($D$4:$D$58,"?*",$I$4:$I$58,"",BJ4:BJ58,"&lt;=7.9") - COUNTIFS($D$4:$D$58,"?*",$I$4:$I$58,"",BJ4:BJ58,"&lt;=6.4")</f>
        <v>0</v>
      </c>
      <c r="BI70" s="246">
        <f>COUNTIFS($D$4:$D$58,"?*",$I$4:$I$58,"",BJ4:BJ58,"&lt;=6.4") - COUNTIFS($D$4:$D$58,"?*",$I$4:$I$58,"",BJ4:BJ58,"&lt;=4.9")</f>
        <v>0</v>
      </c>
      <c r="BJ70" s="246">
        <f>COUNTIFS($D$4:$D$58,"?*",$I$4:$I$58,"",BJ4:BJ58,"&lt;=4.9") - COUNTIFS($D$4:$D$58,"?*",$I$4:$I$58,"",BJ4:BJ58,"&lt;=3.4")</f>
        <v>0</v>
      </c>
      <c r="BK70" s="247">
        <f>COUNTIFS($D$4:$D$58,"?*",$I$4:$I$58,"",BJ4:BJ58,"&lt;=3.4") - COUNTIFS($D$4:$D$58,"?*",$I$4:$I$58,"",BJ4:BJ58,"&lt;0")</f>
        <v>0</v>
      </c>
      <c r="BN70" s="1027"/>
      <c r="BO70" s="244" t="s">
        <v>17</v>
      </c>
      <c r="BP70" s="245">
        <f>COUNTIFS($D$4:$D$58,"?*",$I$4:$I$58,"",BS4:BS58,"&lt;=10") - COUNTIFS($D$4:$D$58,"?*",$I$4:$I$58,"",BS4:BS58,"&lt;=7.9")</f>
        <v>0</v>
      </c>
      <c r="BQ70" s="246">
        <f>COUNTIFS($D$4:$D$58,"?*",$I$4:$I$58,"",BS4:BS58,"&lt;=7.9") - COUNTIFS($D$4:$D$58,"?*",$I$4:$I$58,"",BS4:BS58,"&lt;=6.4")</f>
        <v>0</v>
      </c>
      <c r="BR70" s="246">
        <f>COUNTIFS($D$4:$D$58,"?*",$I$4:$I$58,"",BS4:BS58,"&lt;=6.4") - COUNTIFS($D$4:$D$58,"?*",$I$4:$I$58,"",BS4:BS58,"&lt;=4.9")</f>
        <v>0</v>
      </c>
      <c r="BS70" s="246">
        <f>COUNTIFS($D$4:$D$58,"?*",$I$4:$I$58,"",BS4:BS58,"&lt;=4.9") - COUNTIFS($D$4:$D$58,"?*",$I$4:$I$58,"",BS4:BS58,"&lt;=3.4")</f>
        <v>0</v>
      </c>
      <c r="BT70" s="247">
        <f>COUNTIFS($D$4:$D$58,"?*",$I$4:$I$58,"",BS4:BS58,"&lt;=3.4") - COUNTIFS($D$4:$D$58,"?*",$I$4:$I$58,"",BS4:BS58,"&lt;0")</f>
        <v>0</v>
      </c>
      <c r="BW70" s="1027"/>
      <c r="BX70" s="244" t="s">
        <v>17</v>
      </c>
      <c r="BY70" s="245">
        <f>COUNTIFS($D$4:$D$58,"?*",$I$4:$I$58,"",CB4:CB58,"&lt;=10") - COUNTIFS($D$4:$D$58,"?*",$I$4:$I$58,"",CB4:CB58,"&lt;=7.9")</f>
        <v>0</v>
      </c>
      <c r="BZ70" s="246">
        <f>COUNTIFS($D$4:$D$58,"?*",$I$4:$I$58,"",CB4:CB58,"&lt;=7.9") - COUNTIFS($D$4:$D$58,"?*",$I$4:$I$58,"",CB4:CB58,"&lt;=6.4")</f>
        <v>0</v>
      </c>
      <c r="CA70" s="246">
        <f>COUNTIFS($D$4:$D$58,"?*",$I$4:$I$58,"",CB4:CB58,"&lt;=6.4") - COUNTIFS($D$4:$D$58,"?*",$I$4:$I$58,"",CB4:CB58,"&lt;=4.9")</f>
        <v>0</v>
      </c>
      <c r="CB70" s="246">
        <f>COUNTIFS($D$4:$D$58,"?*",$I$4:$I$58,"",CB4:CB58,"&lt;=4.9") - COUNTIFS($D$4:$D$58,"?*",$I$4:$I$58,"",CB4:CB58,"&lt;=3.4")</f>
        <v>0</v>
      </c>
      <c r="CC70" s="247">
        <f>COUNTIFS($D$4:$D$58,"?*",$I$4:$I$58,"",CB4:CB58,"&lt;=3.4") - COUNTIFS($D$4:$D$58,"?*",$I$4:$I$58,"",CB4:CB58,"&lt;0")</f>
        <v>0</v>
      </c>
      <c r="CF70" s="1027"/>
      <c r="CG70" s="244" t="s">
        <v>17</v>
      </c>
      <c r="CH70" s="245">
        <f>COUNTIFS($D$4:$D$58,"?*",$I$4:$I$58,"",CK4:CK58,"&lt;=10") - COUNTIFS($D$4:$D$58,"?*",$I$4:$I$58,"",CK4:CK58,"&lt;=7.9")</f>
        <v>0</v>
      </c>
      <c r="CI70" s="246">
        <f>COUNTIFS($D$4:$D$58,"?*",$I$4:$I$58,"",CK4:CK58,"&lt;=7.9") - COUNTIFS($D$4:$D$58,"?*",$I$4:$I$58,"",CK4:CK58,"&lt;=6.4")</f>
        <v>0</v>
      </c>
      <c r="CJ70" s="246">
        <f>COUNTIFS($D$4:$D$58,"?*",$I$4:$I$58,"",CK4:CK58,"&lt;=6.4") - COUNTIFS($D$4:$D$58,"?*",$I$4:$I$58,"",CK4:CK58,"&lt;=4.9")</f>
        <v>0</v>
      </c>
      <c r="CK70" s="246">
        <f>COUNTIFS($D$4:$D$58,"?*",$I$4:$I$58,"",CK4:CK58,"&lt;=4.9") - COUNTIFS($D$4:$D$58,"?*",$I$4:$I$58,"",CK4:CK58,"&lt;=3.4")</f>
        <v>0</v>
      </c>
      <c r="CL70" s="247">
        <f>COUNTIFS($D$4:$D$58,"?*",$I$4:$I$58,"",CK4:CK58,"&lt;=3.4") - COUNTIFS($D$4:$D$58,"?*",$I$4:$I$58,"",CK4:CK58,"&lt;0")</f>
        <v>0</v>
      </c>
      <c r="CO70" s="1027"/>
      <c r="CP70" s="244" t="s">
        <v>17</v>
      </c>
      <c r="CQ70" s="245">
        <f>COUNTIFS($D$4:$D$58,"?*",$I$4:$I$58,"",CT4:CT58,"&lt;=10") - COUNTIFS($D$4:$D$58,"?*",$I$4:$I$58,"",CT4:CT58,"&lt;=7.9")</f>
        <v>0</v>
      </c>
      <c r="CR70" s="246">
        <f>COUNTIFS($D$4:$D$58,"?*",$I$4:$I$58,"",CT4:CT58,"&lt;=7.9") - COUNTIFS($D$4:$D$58,"?*",$I$4:$I$58,"",CT4:CT58,"&lt;=6.4")</f>
        <v>0</v>
      </c>
      <c r="CS70" s="246">
        <f>COUNTIFS($D$4:$D$58,"?*",$I$4:$I$58,"",CT4:CT58,"&lt;=6.4") - COUNTIFS($D$4:$D$58,"?*",$I$4:$I$58,"",CT4:CT58,"&lt;=4.9")</f>
        <v>0</v>
      </c>
      <c r="CT70" s="246">
        <f>COUNTIFS($D$4:$D$58,"?*",$I$4:$I$58,"",CT4:CT58,"&lt;=4.9") - COUNTIFS($D$4:$D$58,"?*",$I$4:$I$58,"",CT4:CT58,"&lt;=3.4")</f>
        <v>0</v>
      </c>
      <c r="CU70" s="247">
        <f>COUNTIFS($D$4:$D$58,"?*",$I$4:$I$58,"",CT4:CT58,"&lt;=3.4") - COUNTIFS($D$4:$D$58,"?*",$I$4:$I$58,"",CT4:CT58,"&lt;0")</f>
        <v>0</v>
      </c>
      <c r="CX70" s="1027"/>
      <c r="CY70" s="244" t="s">
        <v>17</v>
      </c>
      <c r="CZ70" s="245">
        <f>COUNTIFS($D$4:$D$58,"?*",$I$4:$I$58,"",DC4:DC58,"&lt;=10") - COUNTIFS($D$4:$D$58,"?*",$I$4:$I$58,"",DC4:DC58,"&lt;=7.9")</f>
        <v>0</v>
      </c>
      <c r="DA70" s="246">
        <f>COUNTIFS($D$4:$D$58,"?*",$I$4:$I$58,"",DC4:DC58,"&lt;=7.9") - COUNTIFS($D$4:$D$58,"?*",$I$4:$I$58,"",DC4:DC58,"&lt;=6.4")</f>
        <v>0</v>
      </c>
      <c r="DB70" s="246">
        <f>COUNTIFS($D$4:$D$58,"?*",$I$4:$I$58,"",DC4:DC58,"&lt;=6.4") - COUNTIFS($D$4:$D$58,"?*",$I$4:$I$58,"",DC4:DC58,"&lt;=4.9")</f>
        <v>0</v>
      </c>
      <c r="DC70" s="246">
        <f>COUNTIFS($D$4:$D$58,"?*",$I$4:$I$58,"",DC4:DC58,"&lt;=4.9") - COUNTIFS($D$4:$D$58,"?*",$I$4:$I$58,"",DC4:DC58,"&lt;=3.4")</f>
        <v>0</v>
      </c>
      <c r="DD70" s="247">
        <f>COUNTIFS($D$4:$D$58,"?*",$I$4:$I$58,"",DC4:DC58,"&lt;=3.4") - COUNTIFS($D$4:$D$58,"?*",$I$4:$I$58,"",DC4:DC58,"&lt;0")</f>
        <v>0</v>
      </c>
      <c r="DG70" s="1037"/>
      <c r="DH70" s="539" t="s">
        <v>17</v>
      </c>
      <c r="DI70" s="540">
        <f>COUNTIFS($D4:$D$58,"?*",$I$4:$I$58,"",DL4:DL58,"Đ")</f>
        <v>0</v>
      </c>
      <c r="DJ70" s="541">
        <f>COUNTIFS($D$4:$D$58,"?*",$I$4:$I$58,"",DL4:DL58,"CĐ")</f>
        <v>0</v>
      </c>
      <c r="DK70" s="539" t="s">
        <v>17</v>
      </c>
      <c r="DL70" s="540">
        <f>COUNTIFS($D4:$D$58,"?*",$I$4:$I$58,"",DO4:DO58,"Đ")</f>
        <v>36</v>
      </c>
      <c r="DM70" s="541">
        <f>COUNTIFS($D$4:$D$58,"?*",$I$4:$I$58,"",DO4:DO58,"CĐ")</f>
        <v>0</v>
      </c>
      <c r="DN70" s="1037"/>
      <c r="DP70" s="1027"/>
      <c r="DQ70" s="244" t="s">
        <v>17</v>
      </c>
      <c r="DR70" s="245">
        <f>COUNTIFS($D$4:$D$58,"?*",$I$4:$I$58,"",DU4:DU58,"&lt;=10") - COUNTIFS($D$4:$D$58,"?*",$I$4:$I$58,"",DU4:DU58,"&lt;=7.9")</f>
        <v>0</v>
      </c>
      <c r="DS70" s="246">
        <f>COUNTIFS($D$4:$D$58,"?*",$I$4:$I$58,"",DU4:DU58,"&lt;=7.9") - COUNTIFS($D$4:$D$58,"?*",$I$4:$I$58,"",DU4:DU58,"&lt;=6.4")</f>
        <v>0</v>
      </c>
      <c r="DT70" s="246">
        <f>COUNTIFS($D$4:$D$58,"?*",$I$4:$I$58,"",DU4:DU58,"&lt;=6.4") - COUNTIFS($D$4:$D$58,"?*",$I$4:$I$58,"",DU4:DU58,"&lt;=4.9")</f>
        <v>0</v>
      </c>
      <c r="DU70" s="246">
        <f>COUNTIFS($D$4:$D$58,"?*",$I$4:$I$58,"",DU4:DU58,"&lt;=4.9") - COUNTIFS($D$4:$D$58,"?*",$I$4:$I$58,"",DU4:DU58,"&lt;=3.4")</f>
        <v>0</v>
      </c>
      <c r="DV70" s="247">
        <f>COUNTIFS($D$4:$D$58,"?*",$I$4:$I$58,"",DU4:DU58,"&lt;=3.4") - COUNTIFS($D$4:$D$58,"?*",$I$4:$I$58,"",DU4:DU58,"&lt;0")</f>
        <v>0</v>
      </c>
      <c r="DY70" s="1027"/>
      <c r="DZ70" s="244" t="s">
        <v>17</v>
      </c>
      <c r="EA70" s="245">
        <f>COUNTIFS($D$4:$D$58,"?*",$I$4:$I$58,"",ED4:ED58,"&lt;=10") - COUNTIFS($D$4:$D$58,"?*",$I$4:$I$58,"",ED4:ED58,"&lt;=7.9")</f>
        <v>0</v>
      </c>
      <c r="EB70" s="246">
        <f>COUNTIFS($D$4:$D$58,"?*",$I$4:$I$58,"",ED4:ED58,"&lt;=7.9") - COUNTIFS($D$4:$D$58,"?*",$I$4:$I$58,"",ED4:ED58,"&lt;=6.4")</f>
        <v>0</v>
      </c>
      <c r="EC70" s="246">
        <f>COUNTIFS($D$4:$D$58,"?*",$I$4:$I$58,"",ED4:ED58,"&lt;=6.4") - COUNTIFS($D$4:$D$58,"?*",$I$4:$I$58,"",ED4:ED58,"&lt;=4.9")</f>
        <v>0</v>
      </c>
      <c r="ED70" s="246">
        <f>COUNTIFS($D$4:$D$58,"?*",$I$4:$I$58,"",ED4:ED58,"&lt;=4.9") - COUNTIFS($D$4:$D$58,"?*",$I$4:$I$58,"",ED4:ED58,"&lt;=3.4")</f>
        <v>0</v>
      </c>
      <c r="EE70" s="247">
        <f>COUNTIFS($D$4:$D$58,"?*",$I$4:$I$58,"",ED4:ED58,"&lt;=3.4") - COUNTIFS($D$4:$D$58,"?*",$I$4:$I$58,"",ED4:ED58,"&lt;0")</f>
        <v>0</v>
      </c>
    </row>
    <row r="71" spans="2:137" s="129" customFormat="1" ht="16.5" customHeight="1">
      <c r="B71" s="129">
        <v>4</v>
      </c>
      <c r="L71" s="1027"/>
      <c r="M71" s="244" t="s">
        <v>18</v>
      </c>
      <c r="N71" s="245">
        <f>COUNTIFS($D$4:$D$58,"?*",$I$4:$I$58,"x",Q4:Q58,"&lt;=10") - COUNTIFS($D$4:$D$58,"?*",$I$4:$I$58,"x",Q4:Q58,"&lt;=7.9")</f>
        <v>0</v>
      </c>
      <c r="O71" s="246">
        <f>COUNTIFS($D$4:$D$58,"?*",$I$4:$I$58,"x",Q4:Q58,"&lt;=7.9") - COUNTIFS($D$4:$D$58,"?*",$I$4:$I$58,"x",Q4:Q58,"&lt;=6.4")</f>
        <v>0</v>
      </c>
      <c r="P71" s="246">
        <f>COUNTIFS($D$4:$D$58,"?*",$I$4:$I$58,"x",Q4:Q58,"&lt;=6.4") - COUNTIFS($D$4:$D$58,"?*",$I$4:$I$58,"x",Q4:Q58,"&lt;=4.9")</f>
        <v>0</v>
      </c>
      <c r="Q71" s="246">
        <f>COUNTIFS($D$4:$D$58,"?*",$I$4:$I$58,"x",Q4:Q58,"&lt;=4.9") - COUNTIFS($D$4:$D$58,"?*",$I$4:$I$58,"x",Q4:Q58,"&lt;=3.4")</f>
        <v>0</v>
      </c>
      <c r="R71" s="247">
        <f>COUNTIFS($D$4:$D$58,"?*",$I$4:$I$58,"x",Q4:Q58,"&lt;=3.4") - COUNTIFS($D$4:$D$58,"?*",$I$4:$I$58,"x",Q4:Q58,"&lt;0")</f>
        <v>0</v>
      </c>
      <c r="U71" s="1027"/>
      <c r="V71" s="244" t="s">
        <v>18</v>
      </c>
      <c r="W71" s="245">
        <f>COUNTIFS($D$4:$D$58,"?*",$I$4:$I$58,"x",Z4:Z58,"&lt;=10") - COUNTIFS($D$4:$D$58,"?*",$I$4:$I$58,"x",Z4:Z58,"&lt;=7.9")</f>
        <v>0</v>
      </c>
      <c r="X71" s="246">
        <f>COUNTIFS($D$4:$D$58,"?*",$I$4:$I$58,"x",Z4:Z58,"&lt;=7.9") - COUNTIFS($D$4:$D$58,"?*",$I$4:$I$58,"x",Z4:Z58,"&lt;=6.4")</f>
        <v>0</v>
      </c>
      <c r="Y71" s="246">
        <f>COUNTIFS($D$4:$D$58,"?*",$I$4:$I$58,"x",Z4:Z58,"&lt;=6.4") - COUNTIFS($D$4:$D$58,"?*",$I$4:$I$58,"x",Z4:Z58,"&lt;=4.9")</f>
        <v>0</v>
      </c>
      <c r="Z71" s="246">
        <f>COUNTIFS($D$4:$D$58,"?*",$I$4:$I$58,"x",Z4:Z58,"&lt;=4.9") - COUNTIFS($D$4:$D$58,"?*",$I$4:$I$58,"x",Z4:Z58,"&lt;=3.4")</f>
        <v>0</v>
      </c>
      <c r="AA71" s="247">
        <f>COUNTIFS($D$4:$D$58,"?*",$I$4:$I$58,"x",Z4:Z58,"&lt;=3.4") - COUNTIFS($D$4:$D$58,"?*",$I$4:$I$58,"x",Z4:Z58,"&lt;0")</f>
        <v>0</v>
      </c>
      <c r="AD71" s="1027"/>
      <c r="AE71" s="244" t="s">
        <v>18</v>
      </c>
      <c r="AF71" s="245">
        <f>COUNTIFS($D$4:$D$58,"?*",$I$4:$I$58,"x",AI4:AI58,"&lt;=10") - COUNTIFS($D$4:$D$58,"?*",$I$4:$I$58,"x",AI4:AI58,"&lt;=7.9")</f>
        <v>0</v>
      </c>
      <c r="AG71" s="246">
        <f>COUNTIFS($D$4:$D$58,"?*",$I$4:$I$58,"x",AI4:AI58,"&lt;=7.9") - COUNTIFS($D$4:$D$58,"?*",$I$4:$I$58,"x",AI4:AI58,"&lt;=6.4")</f>
        <v>0</v>
      </c>
      <c r="AH71" s="246">
        <f>COUNTIFS($D$4:$D$58,"?*",$I$4:$I$58,"x",AI4:AI58,"&lt;=6.4") - COUNTIFS($D$4:$D$58,"?*",$I$4:$I$58,"x",AI4:AI58,"&lt;=4.9")</f>
        <v>0</v>
      </c>
      <c r="AI71" s="246">
        <f>COUNTIFS($D$4:$D$58,"?*",$I$4:$I$58,"x",AI4:AI58,"&lt;=4.9") - COUNTIFS($D$4:$D$58,"?*",$I$4:$I$58,"x",AI4:AI58,"&lt;=3.4")</f>
        <v>0</v>
      </c>
      <c r="AJ71" s="247">
        <f>COUNTIFS($D$4:$D$58,"?*",$I$4:$I$58,"x",AI4:AI58,"&lt;=3.4") - COUNTIFS($D$4:$D$58,"?*",$I$4:$I$58,"x",AI4:AI58,"&lt;0")</f>
        <v>0</v>
      </c>
      <c r="AM71" s="1027"/>
      <c r="AN71" s="244" t="s">
        <v>18</v>
      </c>
      <c r="AO71" s="245">
        <f>COUNTIFS($D$4:$D$58,"?*",$I$4:$I$58,"x",AR4:AR58,"&lt;=10") - COUNTIFS($D$4:$D$58,"?*",$I$4:$I$58,"x",AR4:AR58,"&lt;=7.9")</f>
        <v>0</v>
      </c>
      <c r="AP71" s="246">
        <f>COUNTIFS($D$4:$D$58,"?*",$I$4:$I$58,"x",AR4:AR58,"&lt;=7.9") - COUNTIFS($D$4:$D$58,"?*",$I$4:$I$58,"x",AR4:AR58,"&lt;=6.4")</f>
        <v>0</v>
      </c>
      <c r="AQ71" s="246">
        <f>COUNTIFS($D$4:$D$58,"?*",$I$4:$I$58,"x",AR4:AR58,"&lt;=6.4") - COUNTIFS($D$4:$D$58,"?*",$I$4:$I$58,"x",AR4:AR58,"&lt;=4.9")</f>
        <v>0</v>
      </c>
      <c r="AR71" s="246">
        <f>COUNTIFS($D$4:$D$58,"?*",$I$4:$I$58,"x",AR4:AR58,"&lt;=4.9") - COUNTIFS($D$4:$D$58,"?*",$I$4:$I$58,"x",AR4:AR58,"&lt;=3.4")</f>
        <v>0</v>
      </c>
      <c r="AS71" s="247">
        <f>COUNTIFS($D$4:$D$58,"?*",$I$4:$I$58,"x",AR4:AR58,"&lt;=3.4") - COUNTIFS($D$4:$D$58,"?*",$I$4:$I$58,"x",AR4:AR58,"&lt;0")</f>
        <v>0</v>
      </c>
      <c r="AV71" s="1027"/>
      <c r="AW71" s="244" t="s">
        <v>18</v>
      </c>
      <c r="AX71" s="245">
        <f>COUNTIFS($D$4:$D$58,"?*",$I$4:$I$58,"x",BA4:BA58,"&lt;=10") - COUNTIFS($D$4:$D$58,"?*",$I$4:$I$58,"x",BA4:BA58,"&lt;=7.9")</f>
        <v>0</v>
      </c>
      <c r="AY71" s="246">
        <f>COUNTIFS($D$4:$D$58,"?*",$I$4:$I$58,"x",BA4:BA58,"&lt;=7.9") - COUNTIFS($D$4:$D$58,"?*",$I$4:$I$58,"x",BA4:BA58,"&lt;=6.4")</f>
        <v>0</v>
      </c>
      <c r="AZ71" s="246">
        <f>COUNTIFS($D$4:$D$58,"?*",$I$4:$I$58,"x",BA4:BA58,"&lt;=6.4") - COUNTIFS($D$4:$D$58,"?*",$I$4:$I$58,"x",BA4:BA58,"&lt;=4.9")</f>
        <v>0</v>
      </c>
      <c r="BA71" s="246">
        <f>COUNTIFS($D$4:$D$58,"?*",$I$4:$I$58,"x",BA4:BA58,"&lt;=4.9") - COUNTIFS($D$4:$D$58,"?*",$I$4:$I$58,"x",BA4:BA58,"&lt;=3.4")</f>
        <v>0</v>
      </c>
      <c r="BB71" s="247">
        <f>COUNTIFS($D$4:$D$58,"?*",$I$4:$I$58,"x",BA4:BA58,"&lt;=3.4") - COUNTIFS($D$4:$D$58,"?*",$I$4:$I$58,"x",BA4:BA58,"&lt;0")</f>
        <v>0</v>
      </c>
      <c r="BE71" s="1027"/>
      <c r="BF71" s="244" t="s">
        <v>18</v>
      </c>
      <c r="BG71" s="245">
        <f>COUNTIFS($D$4:$D$58,"?*",$I$4:$I$58,"x",BJ4:BJ58,"&lt;=10") - COUNTIFS($D$4:$D$58,"?*",$I$4:$I$58,"x",BJ4:BJ58,"&lt;=7.9")</f>
        <v>0</v>
      </c>
      <c r="BH71" s="246">
        <f>COUNTIFS($D$4:$D$58,"?*",$I$4:$I$58,"x",BJ4:BJ58,"&lt;=7.9") - COUNTIFS($D$4:$D$58,"?*",$I$4:$I$58,"x",BJ4:BJ58,"&lt;=6.4")</f>
        <v>0</v>
      </c>
      <c r="BI71" s="246">
        <f>COUNTIFS($D$4:$D$58,"?*",$I$4:$I$58,"x",BJ4:BJ58,"&lt;=6.4") - COUNTIFS($D$4:$D$58,"?*",$I$4:$I$58,"x",BJ4:BJ58,"&lt;=4.9")</f>
        <v>0</v>
      </c>
      <c r="BJ71" s="246">
        <f>COUNTIFS($D$4:$D$58,"?*",$I$4:$I$58,"x",BJ4:BJ58,"&lt;=4.9") - COUNTIFS($D$4:$D$58,"?*",$I$4:$I$58,"x",BJ4:BJ58,"&lt;=3.4")</f>
        <v>0</v>
      </c>
      <c r="BK71" s="247">
        <f>COUNTIFS($D$4:$D$58,"?*",$I$4:$I$58,"x",BJ4:BJ58,"&lt;=3.4") - COUNTIFS($D$4:$D$58,"?*",$I$4:$I$58,"x",BJ4:BJ58,"&lt;0")</f>
        <v>0</v>
      </c>
      <c r="BN71" s="1027"/>
      <c r="BO71" s="244" t="s">
        <v>18</v>
      </c>
      <c r="BP71" s="245">
        <f>COUNTIFS($D$4:$D$58,"?*",$I$4:$I$58,"x",BS4:BS58,"&lt;=10") - COUNTIFS($D$4:$D$58,"?*",$I$4:$I$58,"x",BS4:BS58,"&lt;=7.9")</f>
        <v>0</v>
      </c>
      <c r="BQ71" s="246">
        <f>COUNTIFS($D$4:$D$58,"?*",$I$4:$I$58,"x",BS4:BS58,"&lt;=7.9") - COUNTIFS($D$4:$D$58,"?*",$I$4:$I$58,"x",BS4:BS58,"&lt;=6.4")</f>
        <v>0</v>
      </c>
      <c r="BR71" s="246">
        <f>COUNTIFS($D$4:$D$58,"?*",$I$4:$I$58,"x",BS4:BS58,"&lt;=6.4") - COUNTIFS($D$4:$D$58,"?*",$I$4:$I$58,"x",BS4:BS58,"&lt;=4.9")</f>
        <v>0</v>
      </c>
      <c r="BS71" s="246">
        <f>COUNTIFS($D$4:$D$58,"?*",$I$4:$I$58,"x",BS4:BS58,"&lt;=4.9") - COUNTIFS($D$4:$D$58,"?*",$I$4:$I$58,"x",BS4:BS58,"&lt;=3.4")</f>
        <v>0</v>
      </c>
      <c r="BT71" s="247">
        <f>COUNTIFS($D$4:$D$58,"?*",$I$4:$I$58,"x",BS4:BS58,"&lt;=3.4") - COUNTIFS($D$4:$D$58,"?*",$I$4:$I$58,"x",BS4:BS58,"&lt;0")</f>
        <v>0</v>
      </c>
      <c r="BW71" s="1027"/>
      <c r="BX71" s="244" t="s">
        <v>18</v>
      </c>
      <c r="BY71" s="245">
        <f>COUNTIFS($D$4:$D$58,"?*",$I$4:$I$58,"x",CB4:CB58,"&lt;=10") - COUNTIFS($D$4:$D$58,"?*",$I$4:$I$58,"x",CB4:CB58,"&lt;=7.9")</f>
        <v>0</v>
      </c>
      <c r="BZ71" s="246">
        <f>COUNTIFS($D$4:$D$58,"?*",$I$4:$I$58,"x",CB4:CB58,"&lt;=7.9") - COUNTIFS($D$4:$D$58,"?*",$I$4:$I$58,"x",CB4:CB58,"&lt;=6.4")</f>
        <v>0</v>
      </c>
      <c r="CA71" s="246">
        <f>COUNTIFS($D$4:$D$58,"?*",$I$4:$I$58,"x",CB4:CB58,"&lt;=6.4") - COUNTIFS($D$4:$D$58,"?*",$I$4:$I$58,"x",CB4:CB58,"&lt;=4.9")</f>
        <v>0</v>
      </c>
      <c r="CB71" s="246">
        <f>COUNTIFS($D$4:$D$58,"?*",$I$4:$I$58,"x",CB4:CB58,"&lt;=4.9") - COUNTIFS($D$4:$D$58,"?*",$I$4:$I$58,"x",CB4:CB58,"&lt;=3.4")</f>
        <v>0</v>
      </c>
      <c r="CC71" s="247">
        <f>COUNTIFS($D$4:$D$58,"?*",$I$4:$I$58,"x",CB4:CB58,"&lt;=3.4") - COUNTIFS($D$4:$D$58,"?*",$I$4:$I$58,"x",CB4:CB58,"&lt;0")</f>
        <v>0</v>
      </c>
      <c r="CF71" s="1027"/>
      <c r="CG71" s="244" t="s">
        <v>18</v>
      </c>
      <c r="CH71" s="245">
        <f>COUNTIFS($D$4:$D$58,"?*",$I$4:$I$58,"x",CK4:CK58,"&lt;=10") - COUNTIFS($D$4:$D$58,"?*",$I$4:$I$58,"x",CK4:CK58,"&lt;=7.9")</f>
        <v>0</v>
      </c>
      <c r="CI71" s="246">
        <f>COUNTIFS($D$4:$D$58,"?*",$I$4:$I$58,"x",CK4:CK58,"&lt;=7.9") - COUNTIFS($D$4:$D$58,"?*",$I$4:$I$58,"x",CK4:CK58,"&lt;=6.4")</f>
        <v>0</v>
      </c>
      <c r="CJ71" s="246">
        <f>COUNTIFS($D$4:$D$58,"?*",$I$4:$I$58,"x",CK4:CK58,"&lt;=6.4") - COUNTIFS($D$4:$D$58,"?*",$I$4:$I$58,"x",CK4:CK58,"&lt;=4.9")</f>
        <v>0</v>
      </c>
      <c r="CK71" s="246">
        <f>COUNTIFS($D$4:$D$58,"?*",$I$4:$I$58,"x",CK4:CK58,"&lt;=4.9") - COUNTIFS($D$4:$D$58,"?*",$I$4:$I$58,"x",CK4:CK58,"&lt;=3.4")</f>
        <v>0</v>
      </c>
      <c r="CL71" s="247">
        <f>COUNTIFS($D$4:$D$58,"?*",$I$4:$I$58,"x",CK4:CK58,"&lt;=3.4") - COUNTIFS($D$4:$D$58,"?*",$I$4:$I$58,"x",CK4:CK58,"&lt;0")</f>
        <v>0</v>
      </c>
      <c r="CO71" s="1027"/>
      <c r="CP71" s="244" t="s">
        <v>18</v>
      </c>
      <c r="CQ71" s="245">
        <f>COUNTIFS($D$4:$D$58,"?*",$I$4:$I$58,"x",CT4:CT58,"&lt;=10") - COUNTIFS($D$4:$D$58,"?*",$I$4:$I$58,"x",CT4:CT58,"&lt;=7.9")</f>
        <v>0</v>
      </c>
      <c r="CR71" s="246">
        <f>COUNTIFS($D$4:$D$58,"?*",$I$4:$I$58,"x",CT4:CT58,"&lt;=7.9") - COUNTIFS($D$4:$D$58,"?*",$I$4:$I$58,"x",CT4:CT58,"&lt;=6.4")</f>
        <v>0</v>
      </c>
      <c r="CS71" s="246">
        <f>COUNTIFS($D$4:$D$58,"?*",$I$4:$I$58,"x",CT4:CT58,"&lt;=6.4") - COUNTIFS($D$4:$D$58,"?*",$I$4:$I$58,"x",CT4:CT58,"&lt;=4.9")</f>
        <v>0</v>
      </c>
      <c r="CT71" s="246">
        <f>COUNTIFS($D$4:$D$58,"?*",$I$4:$I$58,"x",CT4:CT58,"&lt;=4.9") - COUNTIFS($D$4:$D$58,"?*",$I$4:$I$58,"x",CT4:CT58,"&lt;=3.4")</f>
        <v>0</v>
      </c>
      <c r="CU71" s="247">
        <f>COUNTIFS($D$4:$D$58,"?*",$I$4:$I$58,"x",CT4:CT58,"&lt;=3.4") - COUNTIFS($D$4:$D$58,"?*",$I$4:$I$58,"x",CT4:CT58,"&lt;0")</f>
        <v>0</v>
      </c>
      <c r="CX71" s="1027"/>
      <c r="CY71" s="244" t="s">
        <v>18</v>
      </c>
      <c r="CZ71" s="245">
        <f>COUNTIFS($D$4:$D$58,"?*",$I$4:$I$58,"x",DC4:DC58,"&lt;=10") - COUNTIFS($D$4:$D$58,"?*",$I$4:$I$58,"x",DC4:DC58,"&lt;=7.9")</f>
        <v>0</v>
      </c>
      <c r="DA71" s="246">
        <f>COUNTIFS($D$4:$D$58,"?*",$I$4:$I$58,"x",DC4:DC58,"&lt;=7.9") - COUNTIFS($D$4:$D$58,"?*",$I$4:$I$58,"x",DC4:DC58,"&lt;=6.4")</f>
        <v>0</v>
      </c>
      <c r="DB71" s="246">
        <f>COUNTIFS($D$4:$D$58,"?*",$I$4:$I$58,"x",DC4:DC58,"&lt;=6.4") - COUNTIFS($D$4:$D$58,"?*",$I$4:$I$58,"x",DC4:DC58,"&lt;=4.9")</f>
        <v>0</v>
      </c>
      <c r="DC71" s="246">
        <f>COUNTIFS($D$4:$D$58,"?*",$I$4:$I$58,"x",DC4:DC58,"&lt;=4.9") - COUNTIFS($D$4:$D$58,"?*",$I$4:$I$58,"x",DC4:DC58,"&lt;=3.4")</f>
        <v>0</v>
      </c>
      <c r="DD71" s="247">
        <f>COUNTIFS($D$4:$D$58,"?*",$I$4:$I$58,"x",DC4:DC58,"&lt;=3.4") - COUNTIFS($D$4:$D$58,"?*",$I$4:$I$58,"x",DC4:DC58,"&lt;0")</f>
        <v>0</v>
      </c>
      <c r="DG71" s="1037"/>
      <c r="DH71" s="539" t="s">
        <v>18</v>
      </c>
      <c r="DI71" s="540">
        <f>COUNTIFS($D$4:$D$58,"?*",$I$4:$I$58,"x",DL4:DL58,"Đ")</f>
        <v>0</v>
      </c>
      <c r="DJ71" s="541">
        <f>COUNTIFS($D$4:$D$58,"?*",$I$4:$I$58,"x",DL4:DL58,"CĐ")</f>
        <v>0</v>
      </c>
      <c r="DK71" s="539" t="s">
        <v>18</v>
      </c>
      <c r="DL71" s="540">
        <f>COUNTIFS($D$4:$D$58,"?*",$I$4:$I$58,"x",DO4:DO58,"Đ")</f>
        <v>0</v>
      </c>
      <c r="DM71" s="541">
        <f>COUNTIFS($D$4:$D$58,"?*",$I$4:$I$58,"x",DO4:DO58,"CĐ")</f>
        <v>0</v>
      </c>
      <c r="DN71" s="1037"/>
      <c r="DP71" s="1027"/>
      <c r="DQ71" s="244" t="s">
        <v>18</v>
      </c>
      <c r="DR71" s="245">
        <f>COUNTIFS($D$4:$D$58,"?*",$I$4:$I$58,"x",DU4:DU58,"&lt;=10") - COUNTIFS($D$4:$D$58,"?*",$I$4:$I$58,"x",DU4:DU58,"&lt;=7.9")</f>
        <v>0</v>
      </c>
      <c r="DS71" s="246">
        <f>COUNTIFS($D$4:$D$58,"?*",$I$4:$I$58,"x",DU4:DU58,"&lt;=7.9") - COUNTIFS($D$4:$D$58,"?*",$I$4:$I$58,"x",DU4:DU58,"&lt;=6.4")</f>
        <v>0</v>
      </c>
      <c r="DT71" s="246">
        <f>COUNTIFS($D$4:$D$58,"?*",$I$4:$I$58,"x",DU4:DU58,"&lt;=6.4") - COUNTIFS($D$4:$D$58,"?*",$I$4:$I$58,"x",DU4:DU58,"&lt;=4.9")</f>
        <v>0</v>
      </c>
      <c r="DU71" s="246">
        <f>COUNTIFS($D$4:$D$58,"?*",$I$4:$I$58,"x",DU4:DU58,"&lt;=4.9") - COUNTIFS($D$4:$D$58,"?*",$I$4:$I$58,"x",DU4:DU58,"&lt;=3.4")</f>
        <v>0</v>
      </c>
      <c r="DV71" s="247">
        <f>COUNTIFS($D$4:$D$58,"?*",$I$4:$I$58,"x",DU4:DU58,"&lt;=3.4") - COUNTIFS($D$4:$D$58,"?*",$I$4:$I$58,"x",DU4:DU58,"&lt;0")</f>
        <v>0</v>
      </c>
      <c r="DY71" s="1027"/>
      <c r="DZ71" s="244" t="s">
        <v>18</v>
      </c>
      <c r="EA71" s="245">
        <f>COUNTIFS($D$4:$D$58,"?*",$I$4:$I$58,"x",ED4:ED58,"&lt;=10") - COUNTIFS($D$4:$D$58,"?*",$I$4:$I$58,"x",ED4:ED58,"&lt;=7.9")</f>
        <v>0</v>
      </c>
      <c r="EB71" s="246">
        <f>COUNTIFS($D$4:$D$58,"?*",$I$4:$I$58,"x",ED4:ED58,"&lt;=7.9") - COUNTIFS($D$4:$D$58,"?*",$I$4:$I$58,"x",ED4:ED58,"&lt;=6.4")</f>
        <v>0</v>
      </c>
      <c r="EC71" s="246">
        <f>COUNTIFS($D$4:$D$58,"?*",$I$4:$I$58,"x",ED4:ED58,"&lt;=6.4") - COUNTIFS($D$4:$D$58,"?*",$I$4:$I$58,"x",ED4:ED58,"&lt;=4.9")</f>
        <v>0</v>
      </c>
      <c r="ED71" s="246">
        <f>COUNTIFS($D$4:$D$58,"?*",$I$4:$I$58,"x",ED4:ED58,"&lt;=4.9") - COUNTIFS($D$4:$D$58,"?*",$I$4:$I$58,"x",ED4:ED58,"&lt;=3.4")</f>
        <v>0</v>
      </c>
      <c r="EE71" s="247">
        <f>COUNTIFS($D$4:$D$58,"?*",$I$4:$I$58,"x",ED4:ED58,"&lt;=3.4") - COUNTIFS($D$4:$D$58,"?*",$I$4:$I$58,"x",ED4:ED58,"&lt;0")</f>
        <v>0</v>
      </c>
    </row>
    <row r="72" spans="2:137" s="129" customFormat="1" ht="16.5" customHeight="1">
      <c r="B72" s="129">
        <v>5</v>
      </c>
      <c r="L72" s="1027"/>
      <c r="M72" s="244" t="s">
        <v>50</v>
      </c>
      <c r="N72" s="245">
        <f>COUNTIFS($D$4:$D$58,"?*",$J$4:$J$58,"x",Q4:Q58,"&lt;=10") - COUNTIFS($D$4:$D$58,"?*",$J$4:$J$58,"x",Q4:Q58,"&lt;=7.9")</f>
        <v>0</v>
      </c>
      <c r="O72" s="246">
        <f>COUNTIFS($D$4:$D$58,"?*",$J$4:$J$58,"x",Q4:Q58,"&lt;=7.9") - COUNTIFS($D$4:$D$58,"?*",$J$4:$J$58,"x",Q4:Q58,"&lt;=6.4")</f>
        <v>0</v>
      </c>
      <c r="P72" s="246">
        <f>COUNTIFS($D$4:$D$58,"?*",$J$4:$J$58,"x",Q4:Q58,"&lt;=6.4") - COUNTIFS($D$4:$D$58,"?*",$J$4:$J$58,"x",Q4:Q58,"&lt;=4.9")</f>
        <v>0</v>
      </c>
      <c r="Q72" s="246">
        <f>COUNTIFS($D$4:$D$58,"?*",$J$4:$J$58,"x",Q4:Q58,"&lt;=4.9") - COUNTIFS($D$4:$D$58,"?*",$J$4:$J$58,"x",Q4:Q58,"&lt;=3.4")</f>
        <v>0</v>
      </c>
      <c r="R72" s="247">
        <f>COUNTIFS($D$4:$D$58,"?*",$J$4:$J$58,"x",Q4:Q58,"&lt;=3.4") - COUNTIFS($D$4:$D$58,"?*",$J$4:$J$58,"x",Q4:Q58,"&lt;0")</f>
        <v>0</v>
      </c>
      <c r="U72" s="1027"/>
      <c r="V72" s="244" t="s">
        <v>50</v>
      </c>
      <c r="W72" s="245">
        <f>COUNTIFS($D$4:$D$58,"?*",$J$4:$J$58,"x",Z4:Z58,"&lt;=10") - COUNTIFS($D$4:$D$58,"?*",$J$4:$J$58,"x",Z4:Z58,"&lt;=7.9")</f>
        <v>0</v>
      </c>
      <c r="X72" s="246">
        <f>COUNTIFS($D$4:$D$58,"?*",$J$4:$J$58,"x",Z4:Z58,"&lt;=7.9") - COUNTIFS($D$4:$D$58,"?*",$J$4:$J$58,"x",Z4:Z58,"&lt;=6.4")</f>
        <v>0</v>
      </c>
      <c r="Y72" s="246">
        <f>COUNTIFS($D$4:$D$58,"?*",$J$4:$J$58,"x",Z4:Z58,"&lt;=6.4") - COUNTIFS($D$4:$D$58,"?*",$J$4:$J$58,"x",Z4:Z58,"&lt;=4.9")</f>
        <v>0</v>
      </c>
      <c r="Z72" s="246">
        <f>COUNTIFS($D$4:$D$58,"?*",$J$4:$J$58,"x",Z4:Z58,"&lt;=4.9") - COUNTIFS($D$4:$D$58,"?*",$J$4:$J$58,"x",Z4:Z58,"&lt;=3.4")</f>
        <v>0</v>
      </c>
      <c r="AA72" s="247">
        <f>COUNTIFS($D$4:$D$58,"?*",$J$4:$J$58,"x",Z4:Z58,"&lt;=3.4") - COUNTIFS($D$4:$D$58,"?*",$J$4:$J$58,"x",Z4:Z58,"&lt;0")</f>
        <v>0</v>
      </c>
      <c r="AD72" s="1027"/>
      <c r="AE72" s="244" t="s">
        <v>50</v>
      </c>
      <c r="AF72" s="245">
        <f>COUNTIFS($D$4:$D$58,"?*",$J$4:$J$58,"x",AI4:AI58,"&lt;=10") - COUNTIFS($D$4:$D$58,"?*",$J$4:$J$58,"x",AI4:AI58,"&lt;=7.9")</f>
        <v>0</v>
      </c>
      <c r="AG72" s="246">
        <f>COUNTIFS($D$4:$D$58,"?*",$J$4:$J$58,"x",AI4:AI58,"&lt;=7.9") - COUNTIFS($D$4:$D$58,"?*",$J$4:$J$58,"x",AI4:AI58,"&lt;=6.4")</f>
        <v>0</v>
      </c>
      <c r="AH72" s="246">
        <f>COUNTIFS($D$4:$D$58,"?*",$J$4:$J$58,"x",AI4:AI58,"&lt;=6.4") - COUNTIFS($D$4:$D$58,"?*",$J$4:$J$58,"x",AI4:AI58,"&lt;=4.9")</f>
        <v>0</v>
      </c>
      <c r="AI72" s="246">
        <f>COUNTIFS($D$4:$D$58,"?*",$J$4:$J$58,"x",AI4:AI58,"&lt;=4.9") - COUNTIFS($D$4:$D$58,"?*",$J$4:$J$58,"x",AI4:AI58,"&lt;=3.4")</f>
        <v>0</v>
      </c>
      <c r="AJ72" s="247">
        <f>COUNTIFS($D$4:$D$58,"?*",$J$4:$J$58,"x",AI4:AI58,"&lt;=3.4") - COUNTIFS($D$4:$D$58,"?*",$J$4:$J$58,"x",AI4:AI58,"&lt;0")</f>
        <v>0</v>
      </c>
      <c r="AM72" s="1027"/>
      <c r="AN72" s="244" t="s">
        <v>50</v>
      </c>
      <c r="AO72" s="245">
        <f>COUNTIFS($D$4:$D$58,"?*",$J$4:$J$58,"x",AR4:AR58,"&lt;=10") - COUNTIFS($D$4:$D$58,"?*",$J$4:$J$58,"x",AR4:AR58,"&lt;=7.9")</f>
        <v>0</v>
      </c>
      <c r="AP72" s="246">
        <f>COUNTIFS($D$4:$D$58,"?*",$J$4:$J$58,"x",AR4:AR58,"&lt;=7.9") - COUNTIFS($D$4:$D$58,"?*",$J$4:$J$58,"x",AR4:AR58,"&lt;=6.4")</f>
        <v>0</v>
      </c>
      <c r="AQ72" s="246">
        <f>COUNTIFS($D$4:$D$58,"?*",$J$4:$J$58,"x",AR4:AR58,"&lt;=6.4") - COUNTIFS($D$4:$D$58,"?*",$J$4:$J$58,"x",AR4:AR58,"&lt;=4.9")</f>
        <v>0</v>
      </c>
      <c r="AR72" s="246">
        <f>COUNTIFS($D$4:$D$58,"?*",$J$4:$J$58,"x",AR4:AR58,"&lt;=4.9") - COUNTIFS($D$4:$D$58,"?*",$J$4:$J$58,"x",AR4:AR58,"&lt;=3.4")</f>
        <v>0</v>
      </c>
      <c r="AS72" s="247">
        <f>COUNTIFS($D$4:$D$58,"?*",$J$4:$J$58,"x",AR4:AR58,"&lt;=3.4") - COUNTIFS($D$4:$D$58,"?*",$J$4:$J$58,"x",AR4:AR58,"&lt;0")</f>
        <v>0</v>
      </c>
      <c r="AV72" s="1027"/>
      <c r="AW72" s="244" t="s">
        <v>50</v>
      </c>
      <c r="AX72" s="245">
        <f>COUNTIFS($D$4:$D$58,"?*",$J$4:$J$58,"x",BA4:BA58,"&lt;=10") - COUNTIFS($D$4:$D$58,"?*",$J$4:$J$58,"x",BA4:BA58,"&lt;=7.9")</f>
        <v>0</v>
      </c>
      <c r="AY72" s="246">
        <f>COUNTIFS($D$4:$D$58,"?*",$J$4:$J$58,"x",BA4:BA58,"&lt;=7.9") - COUNTIFS($D$4:$D$58,"?*",$J$4:$J$58,"x",BA4:BA58,"&lt;=6.4")</f>
        <v>0</v>
      </c>
      <c r="AZ72" s="246">
        <f>COUNTIFS($D$4:$D$58,"?*",$J$4:$J$58,"x",BA4:BA58,"&lt;=6.4") - COUNTIFS($D$4:$D$58,"?*",$J$4:$J$58,"x",BA4:BA58,"&lt;=4.9")</f>
        <v>0</v>
      </c>
      <c r="BA72" s="246">
        <f>COUNTIFS($D$4:$D$58,"?*",$J$4:$J$58,"x",BA4:BA58,"&lt;=4.9") - COUNTIFS($D$4:$D$58,"?*",$J$4:$J$58,"x",BA4:BA58,"&lt;=3.4")</f>
        <v>0</v>
      </c>
      <c r="BB72" s="247">
        <f>COUNTIFS($D$4:$D$58,"?*",$J$4:$J$58,"x",BA4:BA58,"&lt;=3.4") - COUNTIFS($D$4:$D$58,"?*",$J$4:$J$58,"x",BA4:BA58,"&lt;0")</f>
        <v>0</v>
      </c>
      <c r="BE72" s="1027"/>
      <c r="BF72" s="244" t="s">
        <v>50</v>
      </c>
      <c r="BG72" s="245">
        <f>COUNTIFS($D$4:$D$58,"?*",$J$4:$J$58,"x",BJ4:BJ58,"&lt;=10") - COUNTIFS($D$4:$D$58,"?*",$J$4:$J$58,"x",BJ4:BJ58,"&lt;=7.9")</f>
        <v>0</v>
      </c>
      <c r="BH72" s="246">
        <f>COUNTIFS($D$4:$D$58,"?*",$J$4:$J$58,"x",BJ4:BJ58,"&lt;=7.9") - COUNTIFS($D$4:$D$58,"?*",$J$4:$J$58,"x",BJ4:BJ58,"&lt;=6.4")</f>
        <v>0</v>
      </c>
      <c r="BI72" s="246">
        <f>COUNTIFS($D$4:$D$58,"?*",$J$4:$J$58,"x",BJ4:BJ58,"&lt;=6.4") - COUNTIFS($D$4:$D$58,"?*",$J$4:$J$58,"x",BJ4:BJ58,"&lt;=4.9")</f>
        <v>0</v>
      </c>
      <c r="BJ72" s="246">
        <f>COUNTIFS($D$4:$D$58,"?*",$J$4:$J$58,"x",BJ4:BJ58,"&lt;=4.9") - COUNTIFS($D$4:$D$58,"?*",$J$4:$J$58,"x",BJ4:BJ58,"&lt;=3.4")</f>
        <v>0</v>
      </c>
      <c r="BK72" s="247">
        <f>COUNTIFS($D$4:$D$58,"?*",$J$4:$J$58,"x",BJ4:BJ58,"&lt;=3.4") - COUNTIFS($D$4:$D$58,"?*",$J$4:$J$58,"x",BJ4:BJ58,"&lt;0")</f>
        <v>0</v>
      </c>
      <c r="BN72" s="1027"/>
      <c r="BO72" s="244" t="s">
        <v>50</v>
      </c>
      <c r="BP72" s="245">
        <f>COUNTIFS($D$4:$D$58,"?*",$J$4:$J$58,"x",BS4:BS58,"&lt;=10") - COUNTIFS($D$4:$D$58,"?*",$J$4:$J$58,"x",BS4:BS58,"&lt;=7.9")</f>
        <v>0</v>
      </c>
      <c r="BQ72" s="246">
        <f>COUNTIFS($D$4:$D$58,"?*",$J$4:$J$58,"x",BS4:BS58,"&lt;=7.9") - COUNTIFS($D$4:$D$58,"?*",$J$4:$J$58,"x",BS4:BS58,"&lt;=6.4")</f>
        <v>0</v>
      </c>
      <c r="BR72" s="246">
        <f>COUNTIFS($D$4:$D$58,"?*",$J$4:$J$58,"x",BS4:BS58,"&lt;=6.4") - COUNTIFS($D$4:$D$58,"?*",$J$4:$J$58,"x",BS4:BS58,"&lt;=4.9")</f>
        <v>0</v>
      </c>
      <c r="BS72" s="246">
        <f>COUNTIFS($D$4:$D$58,"?*",$J$4:$J$58,"x",BS4:BS58,"&lt;=4.9") - COUNTIFS($D$4:$D$58,"?*",$J$4:$J$58,"x",BS4:BS58,"&lt;=3.4")</f>
        <v>0</v>
      </c>
      <c r="BT72" s="247">
        <f>COUNTIFS($D$4:$D$58,"?*",$J$4:$J$58,"x",BS4:BS58,"&lt;=3.4") - COUNTIFS($D$4:$D$58,"?*",$J$4:$J$58,"x",BS4:BS58,"&lt;0")</f>
        <v>0</v>
      </c>
      <c r="BW72" s="1027"/>
      <c r="BX72" s="244" t="s">
        <v>50</v>
      </c>
      <c r="BY72" s="245">
        <f>COUNTIFS($D$4:$D$58,"?*",$J$4:$J$58,"x",CB4:CB58,"&lt;=10") - COUNTIFS($D$4:$D$58,"?*",$J$4:$J$58,"x",CB4:CB58,"&lt;=7.9")</f>
        <v>0</v>
      </c>
      <c r="BZ72" s="246">
        <f>COUNTIFS($D$4:$D$58,"?*",$J$4:$J$58,"x",CB4:CB58,"&lt;=7.9") - COUNTIFS($D$4:$D$58,"?*",$J$4:$J$58,"x",CB4:CB58,"&lt;=6.4")</f>
        <v>0</v>
      </c>
      <c r="CA72" s="246">
        <f>COUNTIFS($D$4:$D$58,"?*",$J$4:$J$58,"x",CB4:CB58,"&lt;=6.4") - COUNTIFS($D$4:$D$58,"?*",$J$4:$J$58,"x",CB4:CB58,"&lt;=4.9")</f>
        <v>0</v>
      </c>
      <c r="CB72" s="246">
        <f>COUNTIFS($D$4:$D$58,"?*",$J$4:$J$58,"x",CB4:CB58,"&lt;=4.9") - COUNTIFS($D$4:$D$58,"?*",$J$4:$J$58,"x",CB4:CB58,"&lt;=3.4")</f>
        <v>0</v>
      </c>
      <c r="CC72" s="247">
        <f>COUNTIFS($D$4:$D$58,"?*",$J$4:$J$58,"x",CB4:CB58,"&lt;=3.4") - COUNTIFS($D$4:$D$58,"?*",$J$4:$J$58,"x",CB4:CB58,"&lt;0")</f>
        <v>0</v>
      </c>
      <c r="CF72" s="1027"/>
      <c r="CG72" s="244" t="s">
        <v>50</v>
      </c>
      <c r="CH72" s="245">
        <f>COUNTIFS($D$4:$D$58,"?*",$J$4:$J$58,"x",CK4:CK58,"&lt;=10") - COUNTIFS($D$4:$D$58,"?*",$J$4:$J$58,"x",CK4:CK58,"&lt;=7.9")</f>
        <v>0</v>
      </c>
      <c r="CI72" s="246">
        <f>COUNTIFS($D$4:$D$58,"?*",$J$4:$J$58,"x",CK4:CK58,"&lt;=7.9") - COUNTIFS($D$4:$D$58,"?*",$J$4:$J$58,"x",CK4:CK58,"&lt;=6.4")</f>
        <v>0</v>
      </c>
      <c r="CJ72" s="246">
        <f>COUNTIFS($D$4:$D$58,"?*",$J$4:$J$58,"x",CK4:CK58,"&lt;=6.4") - COUNTIFS($D$4:$D$58,"?*",$J$4:$J$58,"x",CK4:CK58,"&lt;=4.9")</f>
        <v>0</v>
      </c>
      <c r="CK72" s="246">
        <f>COUNTIFS($D$4:$D$58,"?*",$J$4:$J$58,"x",CK4:CK58,"&lt;=4.9") - COUNTIFS($D$4:$D$58,"?*",$J$4:$J$58,"x",CK4:CK58,"&lt;=3.4")</f>
        <v>0</v>
      </c>
      <c r="CL72" s="247">
        <f>COUNTIFS($D$4:$D$58,"?*",$J$4:$J$58,"x",CK4:CK58,"&lt;=3.4") - COUNTIFS($D$4:$D$58,"?*",$J$4:$J$58,"x",CK4:CK58,"&lt;0")</f>
        <v>0</v>
      </c>
      <c r="CO72" s="1027"/>
      <c r="CP72" s="244" t="s">
        <v>50</v>
      </c>
      <c r="CQ72" s="245">
        <f>COUNTIFS($D$4:$D$58,"?*",$J$4:$J$58,"x",CT4:CT58,"&lt;=10") - COUNTIFS($D$4:$D$58,"?*",$J$4:$J$58,"x",CT4:CT58,"&lt;=7.9")</f>
        <v>0</v>
      </c>
      <c r="CR72" s="246">
        <f>COUNTIFS($D$4:$D$58,"?*",$J$4:$J$58,"x",CT4:CT58,"&lt;=7.9") - COUNTIFS($D$4:$D$58,"?*",$J$4:$J$58,"x",CT4:CT58,"&lt;=6.4")</f>
        <v>0</v>
      </c>
      <c r="CS72" s="246">
        <f>COUNTIFS($D$4:$D$58,"?*",$J$4:$J$58,"x",CT4:CT58,"&lt;=6.4") - COUNTIFS($D$4:$D$58,"?*",$J$4:$J$58,"x",CT4:CT58,"&lt;=4.9")</f>
        <v>0</v>
      </c>
      <c r="CT72" s="246">
        <f>COUNTIFS($D$4:$D$58,"?*",$J$4:$J$58,"x",CT4:CT58,"&lt;=4.9") - COUNTIFS($D$4:$D$58,"?*",$J$4:$J$58,"x",CT4:CT58,"&lt;=3.4")</f>
        <v>0</v>
      </c>
      <c r="CU72" s="247">
        <f>COUNTIFS($D$4:$D$58,"?*",$J$4:$J$58,"x",CT4:CT58,"&lt;=3.4") - COUNTIFS($D$4:$D$58,"?*",$J$4:$J$58,"x",CT4:CT58,"&lt;0")</f>
        <v>0</v>
      </c>
      <c r="CX72" s="1027"/>
      <c r="CY72" s="244" t="s">
        <v>50</v>
      </c>
      <c r="CZ72" s="245">
        <f>COUNTIFS($D$4:$D$58,"?*",$J$4:$J$58,"x",DC4:DC58,"&lt;=10") - COUNTIFS($D$4:$D$58,"?*",$J$4:$J$58,"x",DC4:DC58,"&lt;=7.9")</f>
        <v>0</v>
      </c>
      <c r="DA72" s="246">
        <f>COUNTIFS($D$4:$D$58,"?*",$J$4:$J$58,"x",DC4:DC58,"&lt;=7.9") - COUNTIFS($D$4:$D$58,"?*",$J$4:$J$58,"x",DC4:DC58,"&lt;=6.4")</f>
        <v>0</v>
      </c>
      <c r="DB72" s="246">
        <f>COUNTIFS($D$4:$D$58,"?*",$J$4:$J$58,"x",DC4:DC58,"&lt;=6.4") - COUNTIFS($D$4:$D$58,"?*",$J$4:$J$58,"x",DC4:DC58,"&lt;=4.9")</f>
        <v>0</v>
      </c>
      <c r="DC72" s="246">
        <f>COUNTIFS($D$4:$D$58,"?*",$J$4:$J$58,"x",DC4:DC58,"&lt;=4.9") - COUNTIFS($D$4:$D$58,"?*",$J$4:$J$58,"x",DC4:DC58,"&lt;=3.4")</f>
        <v>0</v>
      </c>
      <c r="DD72" s="247">
        <f>COUNTIFS($D$4:$D$58,"?*",$J$4:$J$58,"x",DC4:DC58,"&lt;=3.4") - COUNTIFS($D$4:$D$58,"?*",$J$4:$J$58,"x",DC4:DC58,"&lt;0")</f>
        <v>0</v>
      </c>
      <c r="DG72" s="1037"/>
      <c r="DH72" s="539" t="s">
        <v>50</v>
      </c>
      <c r="DI72" s="540">
        <f>COUNTIFS($D$4:$D$58,"?*",$J$4:$J$58,"x",DL4:DL58,"Đ")</f>
        <v>0</v>
      </c>
      <c r="DJ72" s="541">
        <f>COUNTIFS($D$4:$D$58,"?*",$J$4:$J$58,"x",DL4:DL58,"CĐ")</f>
        <v>0</v>
      </c>
      <c r="DK72" s="539" t="s">
        <v>50</v>
      </c>
      <c r="DL72" s="540">
        <f>COUNTIFS($D$4:$D$58,"?*",$J$4:$J$58,"x",DO4:DO58,"Đ")</f>
        <v>0</v>
      </c>
      <c r="DM72" s="541">
        <f>COUNTIFS($D$4:$D$58,"?*",$J$4:$J$58,"x",DO4:DO58,"CĐ")</f>
        <v>0</v>
      </c>
      <c r="DN72" s="1037"/>
      <c r="DP72" s="1027"/>
      <c r="DQ72" s="244" t="s">
        <v>50</v>
      </c>
      <c r="DR72" s="245">
        <f>COUNTIFS($D$4:$D$58,"?*",$J$4:$J$58,"x",DU4:DU58,"&lt;=10") - COUNTIFS($D$4:$D$58,"?*",$J$4:$J$58,"x",DU4:DU58,"&lt;=7.9")</f>
        <v>0</v>
      </c>
      <c r="DS72" s="246">
        <f>COUNTIFS($D$4:$D$58,"?*",$J$4:$J$58,"x",DU4:DU58,"&lt;=7.9") - COUNTIFS($D$4:$D$58,"?*",$J$4:$J$58,"x",DU4:DU58,"&lt;=6.4")</f>
        <v>0</v>
      </c>
      <c r="DT72" s="246">
        <f>COUNTIFS($D$4:$D$58,"?*",$J$4:$J$58,"x",DU4:DU58,"&lt;=6.4") - COUNTIFS($D$4:$D$58,"?*",$J$4:$J$58,"x",DU4:DU58,"&lt;=4.9")</f>
        <v>0</v>
      </c>
      <c r="DU72" s="246">
        <f>COUNTIFS($D$4:$D$58,"?*",$J$4:$J$58,"x",DU4:DU58,"&lt;=4.9") - COUNTIFS($D$4:$D$58,"?*",$J$4:$J$58,"x",DU4:DU58,"&lt;=3.4")</f>
        <v>0</v>
      </c>
      <c r="DV72" s="247">
        <f>COUNTIFS($D$4:$D$58,"?*",$J$4:$J$58,"x",DU4:DU58,"&lt;=3.4") - COUNTIFS($D$4:$D$58,"?*",$J$4:$J$58,"x",DU4:DU58,"&lt;0")</f>
        <v>0</v>
      </c>
      <c r="DY72" s="1027"/>
      <c r="DZ72" s="244" t="s">
        <v>50</v>
      </c>
      <c r="EA72" s="245">
        <f>COUNTIFS($D$4:$D$58,"?*",$J$4:$J$58,"x",ED4:ED58,"&lt;=10") - COUNTIFS($D$4:$D$58,"?*",$J$4:$J$58,"x",ED4:ED58,"&lt;=7.9")</f>
        <v>0</v>
      </c>
      <c r="EB72" s="246">
        <f>COUNTIFS($D$4:$D$58,"?*",$J$4:$J$58,"x",ED4:ED58,"&lt;=7.9") - COUNTIFS($D$4:$D$58,"?*",$J$4:$J$58,"x",ED4:ED58,"&lt;=6.4")</f>
        <v>0</v>
      </c>
      <c r="EC72" s="246">
        <f>COUNTIFS($D$4:$D$58,"?*",$J$4:$J$58,"x",ED4:ED58,"&lt;=6.4") - COUNTIFS($D$4:$D$58,"?*",$J$4:$J$58,"x",ED4:ED58,"&lt;=4.9")</f>
        <v>0</v>
      </c>
      <c r="ED72" s="246">
        <f>COUNTIFS($D$4:$D$58,"?*",$J$4:$J$58,"x",ED4:ED58,"&lt;=4.9") - COUNTIFS($D$4:$D$58,"?*",$J$4:$J$58,"x",ED4:ED58,"&lt;=3.4")</f>
        <v>0</v>
      </c>
      <c r="EE72" s="247">
        <f>COUNTIFS($D$4:$D$58,"?*",$J$4:$J$58,"x",ED4:ED58,"&lt;=3.4") - COUNTIFS($D$4:$D$58,"?*",$J$4:$J$58,"x",ED4:ED58,"&lt;0")</f>
        <v>0</v>
      </c>
    </row>
    <row r="73" spans="2:137" s="129" customFormat="1" ht="16.5" customHeight="1">
      <c r="B73" s="129">
        <v>6</v>
      </c>
      <c r="L73" s="1028"/>
      <c r="M73" s="244" t="s">
        <v>48</v>
      </c>
      <c r="N73" s="245">
        <f>COUNTIFS($D$4:$D$58,"?*",$K$4:$K$58,"x",Q4:Q58,"&lt;=10") - COUNTIFS($D$4:$D$58,"?*",$K$4:$K$58,"x",Q4:Q58,"&lt;=7.9")</f>
        <v>0</v>
      </c>
      <c r="O73" s="246">
        <f>COUNTIFS($D$4:$D$58,"?*",$K$4:$K$58,"x",Q4:Q58,"&lt;=7.9") - COUNTIFS($D$4:$D$58,"?*",$K$4:$K$58,"x",Q4:Q58,"&lt;=6.4")</f>
        <v>0</v>
      </c>
      <c r="P73" s="246">
        <f>COUNTIFS($D$4:$D$58,"?*",$K$4:$K$58,"x",Q4:Q58,"&lt;=6.4") - COUNTIFS($D$4:$D$58,"?*",$K$4:$K$58,"x",Q4:Q58,"&lt;=4.9")</f>
        <v>0</v>
      </c>
      <c r="Q73" s="246">
        <f>COUNTIFS($D$4:$D$58,"?*",$K$4:$K$58,"x",Q4:Q58,"&lt;=4.9") - COUNTIFS($D$4:$D$58,"?*",$K$4:$K$58,"x",Q4:Q58,"&lt;=3.4")</f>
        <v>0</v>
      </c>
      <c r="R73" s="247">
        <f>COUNTIFS($D$4:$D$58,"?*",$K$4:$K$58,"x",Q4:Q58,"&lt;=3.4") - COUNTIFS($D$4:$D$58,"?*",$K$4:$K$58,"x",Q4:Q58,"&lt;0")</f>
        <v>0</v>
      </c>
      <c r="U73" s="1028"/>
      <c r="V73" s="244" t="s">
        <v>48</v>
      </c>
      <c r="W73" s="245">
        <f>COUNTIFS($D$4:$D$58,"?*",$K$4:$K$58,"x",Z4:Z58,"&lt;=10") - COUNTIFS($D$4:$D$58,"?*",$K$4:$K$58,"x",Z4:Z58,"&lt;=7.9")</f>
        <v>0</v>
      </c>
      <c r="X73" s="246">
        <f>COUNTIFS($D$4:$D$58,"?*",$K$4:$K$58,"x",Z4:Z58,"&lt;=7.9") - COUNTIFS($D$4:$D$58,"?*",$K$4:$K$58,"x",Z4:Z58,"&lt;=6.4")</f>
        <v>0</v>
      </c>
      <c r="Y73" s="246">
        <f>COUNTIFS($D$4:$D$58,"?*",$K$4:$K$58,"x",Z4:Z58,"&lt;=6.4") - COUNTIFS($D$4:$D$58,"?*",$K$4:$K$58,"x",Z4:Z58,"&lt;=4.9")</f>
        <v>0</v>
      </c>
      <c r="Z73" s="246">
        <f>COUNTIFS($D$4:$D$58,"?*",$K$4:$K$58,"x",Z4:Z58,"&lt;=4.9") - COUNTIFS($D$4:$D$58,"?*",$K$4:$K$58,"x",Z4:Z58,"&lt;=3.4")</f>
        <v>0</v>
      </c>
      <c r="AA73" s="247">
        <f>COUNTIFS($D$4:$D$58,"?*",$K$4:$K$58,"x",Z4:Z58,"&lt;=3.4") - COUNTIFS($D$4:$D$58,"?*",$K$4:$K$58,"x",Z4:Z58,"&lt;0")</f>
        <v>0</v>
      </c>
      <c r="AD73" s="1028"/>
      <c r="AE73" s="244" t="s">
        <v>48</v>
      </c>
      <c r="AF73" s="245">
        <f>COUNTIFS($D$4:$D$58,"?*",$K$4:$K$58,"x",AI4:AI58,"&lt;=10") - COUNTIFS($D$4:$D$58,"?*",$K$4:$K$58,"x",AI4:AI58,"&lt;=7.9")</f>
        <v>0</v>
      </c>
      <c r="AG73" s="246">
        <f>COUNTIFS($D$4:$D$58,"?*",$K$4:$K$58,"x",AI4:AI58,"&lt;=7.9") - COUNTIFS($D$4:$D$58,"?*",$K$4:$K$58,"x",AI4:AI58,"&lt;=6.4")</f>
        <v>0</v>
      </c>
      <c r="AH73" s="246">
        <f>COUNTIFS($D$4:$D$58,"?*",$K$4:$K$58,"x",AI4:AI58,"&lt;=6.4") - COUNTIFS($D$4:$D$58,"?*",$K$4:$K$58,"x",AI4:AI58,"&lt;=4.9")</f>
        <v>0</v>
      </c>
      <c r="AI73" s="246">
        <f>COUNTIFS($D$4:$D$58,"?*",$K$4:$K$58,"x",AI4:AI58,"&lt;=4.9") - COUNTIFS($D$4:$D$58,"?*",$K$4:$K$58,"x",AI4:AI58,"&lt;=3.4")</f>
        <v>0</v>
      </c>
      <c r="AJ73" s="247">
        <f>COUNTIFS($D$4:$D$58,"?*",$K$4:$K$58,"x",AI4:AI58,"&lt;=3.4") - COUNTIFS($D$4:$D$58,"?*",$K$4:$K$58,"x",AI4:AI58,"&lt;0")</f>
        <v>0</v>
      </c>
      <c r="AM73" s="1028"/>
      <c r="AN73" s="244" t="s">
        <v>48</v>
      </c>
      <c r="AO73" s="245">
        <f>COUNTIFS($D$4:$D$58,"?*",$K$4:$K$58,"x",AR4:AR58,"&lt;=10") - COUNTIFS($D$4:$D$58,"?*",$K$4:$K$58,"x",AR4:AR58,"&lt;=7.9")</f>
        <v>0</v>
      </c>
      <c r="AP73" s="246">
        <f>COUNTIFS($D$4:$D$58,"?*",$K$4:$K$58,"x",AR4:AR58,"&lt;=7.9") - COUNTIFS($D$4:$D$58,"?*",$K$4:$K$58,"x",AR4:AR58,"&lt;=6.4")</f>
        <v>0</v>
      </c>
      <c r="AQ73" s="246">
        <f>COUNTIFS($D$4:$D$58,"?*",$K$4:$K$58,"x",AR4:AR58,"&lt;=6.4") - COUNTIFS($D$4:$D$58,"?*",$K$4:$K$58,"x",AR4:AR58,"&lt;=4.9")</f>
        <v>0</v>
      </c>
      <c r="AR73" s="246">
        <f>COUNTIFS($D$4:$D$58,"?*",$K$4:$K$58,"x",AR4:AR58,"&lt;=4.9") - COUNTIFS($D$4:$D$58,"?*",$K$4:$K$58,"x",AR4:AR58,"&lt;=3.4")</f>
        <v>0</v>
      </c>
      <c r="AS73" s="247">
        <f>COUNTIFS($D$4:$D$58,"?*",$K$4:$K$58,"x",AR4:AR58,"&lt;=3.4") - COUNTIFS($D$4:$D$58,"?*",$K$4:$K$58,"x",AR4:AR58,"&lt;0")</f>
        <v>0</v>
      </c>
      <c r="AV73" s="1028"/>
      <c r="AW73" s="244" t="s">
        <v>48</v>
      </c>
      <c r="AX73" s="245">
        <f>COUNTIFS($D$4:$D$58,"?*",$K$4:$K$58,"x",BA4:BA58,"&lt;=10") - COUNTIFS($D$4:$D$58,"?*",$K$4:$K$58,"x",BA4:BA58,"&lt;=7.9")</f>
        <v>0</v>
      </c>
      <c r="AY73" s="246">
        <f>COUNTIFS($D$4:$D$58,"?*",$K$4:$K$58,"x",BA4:BA58,"&lt;=7.9") - COUNTIFS($D$4:$D$58,"?*",$K$4:$K$58,"x",BA4:BA58,"&lt;=6.4")</f>
        <v>0</v>
      </c>
      <c r="AZ73" s="246">
        <f>COUNTIFS($D$4:$D$58,"?*",$K$4:$K$58,"x",BA4:BA58,"&lt;=6.4") - COUNTIFS($D$4:$D$58,"?*",$K$4:$K$58,"x",BA4:BA58,"&lt;=4.9")</f>
        <v>0</v>
      </c>
      <c r="BA73" s="246">
        <f>COUNTIFS($D$4:$D$58,"?*",$K$4:$K$58,"x",BA4:BA58,"&lt;=4.9") - COUNTIFS($D$4:$D$58,"?*",$K$4:$K$58,"x",BA4:BA58,"&lt;=3.4")</f>
        <v>0</v>
      </c>
      <c r="BB73" s="247">
        <f>COUNTIFS($D$4:$D$58,"?*",$K$4:$K$58,"x",BA4:BA58,"&lt;=3.4") - COUNTIFS($D$4:$D$58,"?*",$K$4:$K$58,"x",BA4:BA58,"&lt;0")</f>
        <v>0</v>
      </c>
      <c r="BE73" s="1028"/>
      <c r="BF73" s="244" t="s">
        <v>48</v>
      </c>
      <c r="BG73" s="245">
        <f>COUNTIFS($D$4:$D$58,"?*",$K$4:$K$58,"x",BJ4:BJ58,"&lt;=10") - COUNTIFS($D$4:$D$58,"?*",$K$4:$K$58,"x",BJ4:BJ58,"&lt;=7.9")</f>
        <v>0</v>
      </c>
      <c r="BH73" s="246">
        <f>COUNTIFS($D$4:$D$58,"?*",$K$4:$K$58,"x",BJ4:BJ58,"&lt;=7.9") - COUNTIFS($D$4:$D$58,"?*",$K$4:$K$58,"x",BJ4:BJ58,"&lt;=6.4")</f>
        <v>0</v>
      </c>
      <c r="BI73" s="246">
        <f>COUNTIFS($D$4:$D$58,"?*",$K$4:$K$58,"x",BJ4:BJ58,"&lt;=6.4") - COUNTIFS($D$4:$D$58,"?*",$K$4:$K$58,"x",BJ4:BJ58,"&lt;=4.9")</f>
        <v>0</v>
      </c>
      <c r="BJ73" s="246">
        <f>COUNTIFS($D$4:$D$58,"?*",$K$4:$K$58,"x",BJ4:BJ58,"&lt;=4.9") - COUNTIFS($D$4:$D$58,"?*",$K$4:$K$58,"x",BJ4:BJ58,"&lt;=3.4")</f>
        <v>0</v>
      </c>
      <c r="BK73" s="247">
        <f>COUNTIFS($D$4:$D$58,"?*",$K$4:$K$58,"x",BJ4:BJ58,"&lt;=3.4") - COUNTIFS($D$4:$D$58,"?*",$K$4:$K$58,"x",BJ4:BJ58,"&lt;0")</f>
        <v>0</v>
      </c>
      <c r="BN73" s="1028"/>
      <c r="BO73" s="244" t="s">
        <v>48</v>
      </c>
      <c r="BP73" s="245">
        <f>COUNTIFS($D$4:$D$58,"?*",$K$4:$K$58,"x",BS4:BS58,"&lt;=10") - COUNTIFS($D$4:$D$58,"?*",$K$4:$K$58,"x",BS4:BS58,"&lt;=7.9")</f>
        <v>0</v>
      </c>
      <c r="BQ73" s="246">
        <f>COUNTIFS($D$4:$D$58,"?*",$K$4:$K$58,"x",BS4:BS58,"&lt;=7.9") - COUNTIFS($D$4:$D$58,"?*",$K$4:$K$58,"x",BS4:BS58,"&lt;=6.4")</f>
        <v>0</v>
      </c>
      <c r="BR73" s="246">
        <f>COUNTIFS($D$4:$D$58,"?*",$K$4:$K$58,"x",BS4:BS58,"&lt;=6.4") - COUNTIFS($D$4:$D$58,"?*",$K$4:$K$58,"x",BS4:BS58,"&lt;=4.9")</f>
        <v>0</v>
      </c>
      <c r="BS73" s="246">
        <f>COUNTIFS($D$4:$D$58,"?*",$K$4:$K$58,"x",BS4:BS58,"&lt;=4.9") - COUNTIFS($D$4:$D$58,"?*",$K$4:$K$58,"x",BS4:BS58,"&lt;=3.4")</f>
        <v>0</v>
      </c>
      <c r="BT73" s="247">
        <f>COUNTIFS($D$4:$D$58,"?*",$K$4:$K$58,"x",BS4:BS58,"&lt;=3.4") - COUNTIFS($D$4:$D$58,"?*",$K$4:$K$58,"x",BS4:BS58,"&lt;0")</f>
        <v>0</v>
      </c>
      <c r="BW73" s="1028"/>
      <c r="BX73" s="244" t="s">
        <v>48</v>
      </c>
      <c r="BY73" s="245">
        <f>COUNTIFS($D$4:$D$58,"?*",$K$4:$K$58,"x",CB4:CB58,"&lt;=10") - COUNTIFS($D$4:$D$58,"?*",$K$4:$K$58,"x",CB4:CB58,"&lt;=7.9")</f>
        <v>0</v>
      </c>
      <c r="BZ73" s="246">
        <f>COUNTIFS($D$4:$D$58,"?*",$K$4:$K$58,"x",CB4:CB58,"&lt;=7.9") - COUNTIFS($D$4:$D$58,"?*",$K$4:$K$58,"x",CB4:CB58,"&lt;=6.4")</f>
        <v>0</v>
      </c>
      <c r="CA73" s="246">
        <f>COUNTIFS($D$4:$D$58,"?*",$K$4:$K$58,"x",CB4:CB58,"&lt;=6.4") - COUNTIFS($D$4:$D$58,"?*",$K$4:$K$58,"x",CB4:CB58,"&lt;=4.9")</f>
        <v>0</v>
      </c>
      <c r="CB73" s="246">
        <f>COUNTIFS($D$4:$D$58,"?*",$K$4:$K$58,"x",CB4:CB58,"&lt;=4.9") - COUNTIFS($D$4:$D$58,"?*",$K$4:$K$58,"x",CB4:CB58,"&lt;=3.4")</f>
        <v>0</v>
      </c>
      <c r="CC73" s="247">
        <f>COUNTIFS($D$4:$D$58,"?*",$K$4:$K$58,"x",CB4:CB58,"&lt;=3.4") - COUNTIFS($D$4:$D$58,"?*",$K$4:$K$58,"x",CB4:CB58,"&lt;0")</f>
        <v>0</v>
      </c>
      <c r="CF73" s="1028"/>
      <c r="CG73" s="244" t="s">
        <v>48</v>
      </c>
      <c r="CH73" s="245">
        <f>COUNTIFS($D$4:$D$58,"?*",$K$4:$K$58,"x",CK4:CK58,"&lt;=10") - COUNTIFS($D$4:$D$58,"?*",$K$4:$K$58,"x",CK4:CK58,"&lt;=7.9")</f>
        <v>0</v>
      </c>
      <c r="CI73" s="246">
        <f>COUNTIFS($D$4:$D$58,"?*",$K$4:$K$58,"x",CK4:CK58,"&lt;=7.9") - COUNTIFS($D$4:$D$58,"?*",$K$4:$K$58,"x",CK4:CK58,"&lt;=6.4")</f>
        <v>0</v>
      </c>
      <c r="CJ73" s="246">
        <f>COUNTIFS($D$4:$D$58,"?*",$K$4:$K$58,"x",CK4:CK58,"&lt;=6.4") - COUNTIFS($D$4:$D$58,"?*",$K$4:$K$58,"x",CK4:CK58,"&lt;=4.9")</f>
        <v>0</v>
      </c>
      <c r="CK73" s="246">
        <f>COUNTIFS($D$4:$D$58,"?*",$K$4:$K$58,"x",CK4:CK58,"&lt;=4.9") - COUNTIFS($D$4:$D$58,"?*",$K$4:$K$58,"x",CK4:CK58,"&lt;=3.4")</f>
        <v>0</v>
      </c>
      <c r="CL73" s="247">
        <f>COUNTIFS($D$4:$D$58,"?*",$K$4:$K$58,"x",CK4:CK58,"&lt;=3.4") - COUNTIFS($D$4:$D$58,"?*",$K$4:$K$58,"x",CK4:CK58,"&lt;0")</f>
        <v>0</v>
      </c>
      <c r="CO73" s="1028"/>
      <c r="CP73" s="244" t="s">
        <v>48</v>
      </c>
      <c r="CQ73" s="245">
        <f>COUNTIFS($D$4:$D$58,"?*",$K$4:$K$58,"x",CT4:CT58,"&lt;=10") - COUNTIFS($D$4:$D$58,"?*",$K$4:$K$58,"x",CT4:CT58,"&lt;=7.9")</f>
        <v>0</v>
      </c>
      <c r="CR73" s="246">
        <f>COUNTIFS($D$4:$D$58,"?*",$K$4:$K$58,"x",CT4:CT58,"&lt;=7.9") - COUNTIFS($D$4:$D$58,"?*",$K$4:$K$58,"x",CT4:CT58,"&lt;=6.4")</f>
        <v>0</v>
      </c>
      <c r="CS73" s="246">
        <f>COUNTIFS($D$4:$D$58,"?*",$K$4:$K$58,"x",CT4:CT58,"&lt;=6.4") - COUNTIFS($D$4:$D$58,"?*",$K$4:$K$58,"x",CT4:CT58,"&lt;=4.9")</f>
        <v>0</v>
      </c>
      <c r="CT73" s="246">
        <f>COUNTIFS($D$4:$D$58,"?*",$K$4:$K$58,"x",CT4:CT58,"&lt;=4.9") - COUNTIFS($D$4:$D$58,"?*",$K$4:$K$58,"x",CT4:CT58,"&lt;=3.4")</f>
        <v>0</v>
      </c>
      <c r="CU73" s="247">
        <f>COUNTIFS($D$4:$D$58,"?*",$K$4:$K$58,"x",CT4:CT58,"&lt;=3.4") - COUNTIFS($D$4:$D$58,"?*",$K$4:$K$58,"x",CT4:CT58,"&lt;0")</f>
        <v>0</v>
      </c>
      <c r="CX73" s="1028"/>
      <c r="CY73" s="244" t="s">
        <v>48</v>
      </c>
      <c r="CZ73" s="245">
        <f>COUNTIFS($D$4:$D$58,"?*",$K$4:$K$58,"x",DC4:DC58,"&lt;=10") - COUNTIFS($D$4:$D$58,"?*",$K$4:$K$58,"x",DC4:DC58,"&lt;=7.9")</f>
        <v>0</v>
      </c>
      <c r="DA73" s="246">
        <f>COUNTIFS($D$4:$D$58,"?*",$K$4:$K$58,"x",DC4:DC58,"&lt;=7.9") - COUNTIFS($D$4:$D$58,"?*",$K$4:$K$58,"x",DC4:DC58,"&lt;=6.4")</f>
        <v>0</v>
      </c>
      <c r="DB73" s="246">
        <f>COUNTIFS($D$4:$D$58,"?*",$K$4:$K$58,"x",DC4:DC58,"&lt;=6.4") - COUNTIFS($D$4:$D$58,"?*",$K$4:$K$58,"x",DC4:DC58,"&lt;=4.9")</f>
        <v>0</v>
      </c>
      <c r="DC73" s="246">
        <f>COUNTIFS($D$4:$D$58,"?*",$K$4:$K$58,"x",DC4:DC58,"&lt;=4.9") - COUNTIFS($D$4:$D$58,"?*",$K$4:$K$58,"x",DC4:DC58,"&lt;=3.4")</f>
        <v>0</v>
      </c>
      <c r="DD73" s="247">
        <f>COUNTIFS($D$4:$D$58,"?*",$K$4:$K$58,"x",DC4:DC58,"&lt;=3.4") - COUNTIFS($D$4:$D$58,"?*",$K$4:$K$58,"x",DC4:DC58,"&lt;0")</f>
        <v>0</v>
      </c>
      <c r="DG73" s="1038"/>
      <c r="DH73" s="542" t="s">
        <v>48</v>
      </c>
      <c r="DI73" s="543">
        <f>COUNTIFS($D$4:$D$58,"?*",$K$4:$K$58,"x",DL4:DL58,"Đ")</f>
        <v>0</v>
      </c>
      <c r="DJ73" s="544">
        <f>COUNTIFS($D$4:$D$58,"?*",$K$4:$K$58,"x",DL4:DL58,"CĐ")</f>
        <v>0</v>
      </c>
      <c r="DK73" s="542" t="s">
        <v>48</v>
      </c>
      <c r="DL73" s="543">
        <f>COUNTIFS($D$4:$D$58,"?*",$K$4:$K$58,"x",DO4:DO58,"Đ")</f>
        <v>0</v>
      </c>
      <c r="DM73" s="544">
        <f>COUNTIFS($D$4:$D$58,"?*",$K$4:$K$58,"x",DO4:DO58,"CĐ")</f>
        <v>0</v>
      </c>
      <c r="DN73" s="1038"/>
      <c r="DP73" s="1028"/>
      <c r="DQ73" s="244" t="s">
        <v>48</v>
      </c>
      <c r="DR73" s="245">
        <f>COUNTIFS($D$4:$D$58,"?*",$K$4:$K$58,"x",DU4:DU58,"&lt;=10") - COUNTIFS($D$4:$D$58,"?*",$K$4:$K$58,"x",DU4:DU58,"&lt;=7.9")</f>
        <v>0</v>
      </c>
      <c r="DS73" s="246">
        <f>COUNTIFS($D$4:$D$58,"?*",$K$4:$K$58,"x",DU4:DU58,"&lt;=7.9") - COUNTIFS($D$4:$D$58,"?*",$K$4:$K$58,"x",DU4:DU58,"&lt;=6.4")</f>
        <v>0</v>
      </c>
      <c r="DT73" s="246">
        <f>COUNTIFS($D$4:$D$58,"?*",$K$4:$K$58,"x",DU4:DU58,"&lt;=6.4") - COUNTIFS($D$4:$D$58,"?*",$K$4:$K$58,"x",DU4:DU58,"&lt;=4.9")</f>
        <v>0</v>
      </c>
      <c r="DU73" s="246">
        <f>COUNTIFS($D$4:$D$58,"?*",$K$4:$K$58,"x",DU4:DU58,"&lt;=4.9") - COUNTIFS($D$4:$D$58,"?*",$K$4:$K$58,"x",DU4:DU58,"&lt;=3.4")</f>
        <v>0</v>
      </c>
      <c r="DV73" s="247">
        <f>COUNTIFS($D$4:$D$58,"?*",$K$4:$K$58,"x",DU4:DU58,"&lt;=3.4") - COUNTIFS($D$4:$D$58,"?*",$K$4:$K$58,"x",DU4:DU58,"&lt;0")</f>
        <v>0</v>
      </c>
      <c r="DY73" s="1028"/>
      <c r="DZ73" s="244" t="s">
        <v>48</v>
      </c>
      <c r="EA73" s="245">
        <f>COUNTIFS($D$4:$D$58,"?*",$K$4:$K$58,"x",ED4:ED58,"&lt;=10") - COUNTIFS($D$4:$D$58,"?*",$K$4:$K$58,"x",ED4:ED58,"&lt;=7.9")</f>
        <v>0</v>
      </c>
      <c r="EB73" s="246">
        <f>COUNTIFS($D$4:$D$58,"?*",$K$4:$K$58,"x",ED4:ED58,"&lt;=7.9") - COUNTIFS($D$4:$D$58,"?*",$K$4:$K$58,"x",ED4:ED58,"&lt;=6.4")</f>
        <v>0</v>
      </c>
      <c r="EC73" s="246">
        <f>COUNTIFS($D$4:$D$58,"?*",$K$4:$K$58,"x",ED4:ED58,"&lt;=6.4") - COUNTIFS($D$4:$D$58,"?*",$K$4:$K$58,"x",ED4:ED58,"&lt;=4.9")</f>
        <v>0</v>
      </c>
      <c r="ED73" s="246">
        <f>COUNTIFS($D$4:$D$58,"?*",$K$4:$K$58,"x",ED4:ED58,"&lt;=4.9") - COUNTIFS($D$4:$D$58,"?*",$K$4:$K$58,"x",ED4:ED58,"&lt;=3.4")</f>
        <v>0</v>
      </c>
      <c r="EE73" s="247">
        <f>COUNTIFS($D$4:$D$58,"?*",$K$4:$K$58,"x",ED4:ED58,"&lt;=3.4") - COUNTIFS($D$4:$D$58,"?*",$K$4:$K$58,"x",ED4:ED58,"&lt;0")</f>
        <v>0</v>
      </c>
    </row>
    <row r="74" spans="2:137" s="129" customFormat="1" ht="16.5" customHeight="1">
      <c r="B74" s="129">
        <v>7</v>
      </c>
    </row>
    <row r="75" spans="2:137" s="129" customFormat="1" ht="16.5" customHeight="1">
      <c r="B75" s="129">
        <v>8</v>
      </c>
      <c r="L75" s="938" t="s">
        <v>3</v>
      </c>
      <c r="M75" s="940"/>
      <c r="N75" s="236" t="s">
        <v>11</v>
      </c>
      <c r="O75" s="237" t="s">
        <v>12</v>
      </c>
      <c r="P75" s="237" t="s">
        <v>8</v>
      </c>
      <c r="Q75" s="237" t="s">
        <v>14</v>
      </c>
      <c r="R75" s="238" t="s">
        <v>15</v>
      </c>
      <c r="U75" s="938" t="s">
        <v>3</v>
      </c>
      <c r="V75" s="940"/>
      <c r="W75" s="236" t="s">
        <v>11</v>
      </c>
      <c r="X75" s="237" t="s">
        <v>12</v>
      </c>
      <c r="Y75" s="237" t="s">
        <v>8</v>
      </c>
      <c r="Z75" s="237" t="s">
        <v>14</v>
      </c>
      <c r="AA75" s="238" t="s">
        <v>15</v>
      </c>
      <c r="AD75" s="938" t="s">
        <v>3</v>
      </c>
      <c r="AE75" s="940"/>
      <c r="AF75" s="236" t="s">
        <v>11</v>
      </c>
      <c r="AG75" s="237" t="s">
        <v>12</v>
      </c>
      <c r="AH75" s="237" t="s">
        <v>8</v>
      </c>
      <c r="AI75" s="237" t="s">
        <v>14</v>
      </c>
      <c r="AJ75" s="238" t="s">
        <v>15</v>
      </c>
      <c r="AM75" s="938" t="s">
        <v>3</v>
      </c>
      <c r="AN75" s="940"/>
      <c r="AO75" s="236" t="s">
        <v>11</v>
      </c>
      <c r="AP75" s="237" t="s">
        <v>12</v>
      </c>
      <c r="AQ75" s="237" t="s">
        <v>8</v>
      </c>
      <c r="AR75" s="237" t="s">
        <v>14</v>
      </c>
      <c r="AS75" s="238" t="s">
        <v>15</v>
      </c>
      <c r="AV75" s="938" t="s">
        <v>3</v>
      </c>
      <c r="AW75" s="940"/>
      <c r="AX75" s="236" t="s">
        <v>11</v>
      </c>
      <c r="AY75" s="237" t="s">
        <v>12</v>
      </c>
      <c r="AZ75" s="237" t="s">
        <v>8</v>
      </c>
      <c r="BA75" s="237" t="s">
        <v>14</v>
      </c>
      <c r="BB75" s="238" t="s">
        <v>15</v>
      </c>
      <c r="BE75" s="938" t="s">
        <v>3</v>
      </c>
      <c r="BF75" s="940"/>
      <c r="BG75" s="236" t="s">
        <v>11</v>
      </c>
      <c r="BH75" s="237" t="s">
        <v>12</v>
      </c>
      <c r="BI75" s="237" t="s">
        <v>8</v>
      </c>
      <c r="BJ75" s="237" t="s">
        <v>14</v>
      </c>
      <c r="BK75" s="238" t="s">
        <v>15</v>
      </c>
      <c r="BN75" s="938" t="s">
        <v>3</v>
      </c>
      <c r="BO75" s="940"/>
      <c r="BP75" s="236" t="s">
        <v>11</v>
      </c>
      <c r="BQ75" s="237" t="s">
        <v>12</v>
      </c>
      <c r="BR75" s="237" t="s">
        <v>8</v>
      </c>
      <c r="BS75" s="237" t="s">
        <v>14</v>
      </c>
      <c r="BT75" s="238" t="s">
        <v>15</v>
      </c>
      <c r="BW75" s="938" t="s">
        <v>3</v>
      </c>
      <c r="BX75" s="940"/>
      <c r="BY75" s="236" t="s">
        <v>11</v>
      </c>
      <c r="BZ75" s="237" t="s">
        <v>12</v>
      </c>
      <c r="CA75" s="237" t="s">
        <v>8</v>
      </c>
      <c r="CB75" s="237" t="s">
        <v>14</v>
      </c>
      <c r="CC75" s="238" t="s">
        <v>15</v>
      </c>
      <c r="CF75" s="938" t="s">
        <v>3</v>
      </c>
      <c r="CG75" s="940"/>
      <c r="CH75" s="236" t="s">
        <v>11</v>
      </c>
      <c r="CI75" s="237" t="s">
        <v>12</v>
      </c>
      <c r="CJ75" s="237" t="s">
        <v>8</v>
      </c>
      <c r="CK75" s="237" t="s">
        <v>14</v>
      </c>
      <c r="CL75" s="238" t="s">
        <v>15</v>
      </c>
      <c r="CO75" s="938" t="s">
        <v>3</v>
      </c>
      <c r="CP75" s="940"/>
      <c r="CQ75" s="236" t="s">
        <v>11</v>
      </c>
      <c r="CR75" s="237" t="s">
        <v>12</v>
      </c>
      <c r="CS75" s="237" t="s">
        <v>8</v>
      </c>
      <c r="CT75" s="237" t="s">
        <v>14</v>
      </c>
      <c r="CU75" s="238" t="s">
        <v>15</v>
      </c>
      <c r="CX75" s="938" t="s">
        <v>3</v>
      </c>
      <c r="CY75" s="940"/>
      <c r="CZ75" s="236" t="s">
        <v>11</v>
      </c>
      <c r="DA75" s="237" t="s">
        <v>12</v>
      </c>
      <c r="DB75" s="237" t="s">
        <v>8</v>
      </c>
      <c r="DC75" s="237" t="s">
        <v>14</v>
      </c>
      <c r="DD75" s="238" t="s">
        <v>15</v>
      </c>
      <c r="DP75" s="938" t="s">
        <v>3</v>
      </c>
      <c r="DQ75" s="940"/>
      <c r="DR75" s="236" t="s">
        <v>11</v>
      </c>
      <c r="DS75" s="237" t="s">
        <v>12</v>
      </c>
      <c r="DT75" s="237" t="s">
        <v>8</v>
      </c>
      <c r="DU75" s="237" t="s">
        <v>14</v>
      </c>
      <c r="DV75" s="238" t="s">
        <v>15</v>
      </c>
      <c r="DY75" s="938" t="s">
        <v>3</v>
      </c>
      <c r="DZ75" s="940"/>
      <c r="EA75" s="236" t="s">
        <v>11</v>
      </c>
      <c r="EB75" s="237" t="s">
        <v>12</v>
      </c>
      <c r="EC75" s="237" t="s">
        <v>8</v>
      </c>
      <c r="ED75" s="237" t="s">
        <v>14</v>
      </c>
      <c r="EE75" s="238" t="s">
        <v>15</v>
      </c>
    </row>
    <row r="76" spans="2:137" s="129" customFormat="1" ht="16.5" customHeight="1">
      <c r="B76" s="129">
        <v>9</v>
      </c>
      <c r="L76" s="874" t="s">
        <v>257</v>
      </c>
      <c r="M76" s="239" t="s">
        <v>49</v>
      </c>
      <c r="N76" s="240">
        <f>COUNTIFS($D$4:$D$58,"?*",S4:S58,"&lt;=10") - COUNTIFS($D$4:$D$58,"?*",S4:S58,"&lt;=7.9")</f>
        <v>0</v>
      </c>
      <c r="O76" s="241">
        <f>COUNTIFS($D$4:$D$58,"?*",S4:S58,"&lt;=7.9") - COUNTIFS($D$4:$D$58,"?*",S4:S58,"&lt;=6.4")</f>
        <v>0</v>
      </c>
      <c r="P76" s="241">
        <f>COUNTIFS($D$4:$D$58,"?*",S4:S58,"&lt;=6.4") - COUNTIFS($D$4:$D$58,"?*",S4:S58,"&lt;=4.9")</f>
        <v>0</v>
      </c>
      <c r="Q76" s="241">
        <f>COUNTIFS($D$4:$D$58,"?*",S4:S58,"&lt;=4.9") - COUNTIFS($D$4:$D$58,"?*",S4:S58,"&lt;=3.4")</f>
        <v>0</v>
      </c>
      <c r="R76" s="242">
        <f>COUNTIFS($D$4:$D$58,"?*",S4:S58,"&lt;=3.4") - COUNTIFS($D$4:$D$58,"?*",S4:S58,"&lt;0")</f>
        <v>0</v>
      </c>
      <c r="U76" s="874" t="s">
        <v>257</v>
      </c>
      <c r="V76" s="239" t="s">
        <v>49</v>
      </c>
      <c r="W76" s="240">
        <f>COUNTIFS($D$4:$D$58,"?*",AB4:AB58,"&lt;=10") - COUNTIFS($D$4:$D$58,"?*",AB4:AB58,"&lt;=7.9")</f>
        <v>0</v>
      </c>
      <c r="X76" s="241">
        <f>COUNTIFS($D$4:$D$58,"?*",AB4:AB58,"&lt;=7.9") - COUNTIFS($D$4:$D$58,"?*",AB4:AB58,"&lt;=6.4")</f>
        <v>0</v>
      </c>
      <c r="Y76" s="241">
        <f>COUNTIFS($D$4:$D$58,"?*",AB4:AB58,"&lt;=6.4") - COUNTIFS($D$4:$D$58,"?*",AB4:AB58,"&lt;=4.9")</f>
        <v>0</v>
      </c>
      <c r="Z76" s="241">
        <f>COUNTIFS($D$4:$D$58,"?*",AB4:AB58,"&lt;=4.9") - COUNTIFS($D$4:$D$58,"?*",AB4:AB58,"&lt;=3.4")</f>
        <v>0</v>
      </c>
      <c r="AA76" s="242">
        <f>COUNTIFS($D$4:$D$58,"?*",AB4:AB58,"&lt;=3.4") - COUNTIFS($D$4:$D$58,"?*",AB4:AB58,"&lt;0")</f>
        <v>0</v>
      </c>
      <c r="AD76" s="874" t="s">
        <v>257</v>
      </c>
      <c r="AE76" s="239" t="s">
        <v>49</v>
      </c>
      <c r="AF76" s="240">
        <f>COUNTIFS($D$4:$D$58,"?*",AK4:AK58,"&lt;=10") - COUNTIFS($D$4:$D$58,"?*",AK4:AK58,"&lt;=7.9")</f>
        <v>0</v>
      </c>
      <c r="AG76" s="241">
        <f>COUNTIFS($D$4:$D$58,"?*",AK4:AK58,"&lt;=7.9") - COUNTIFS($D$4:$D$58,"?*",AK4:AK58,"&lt;=6.4")</f>
        <v>0</v>
      </c>
      <c r="AH76" s="241">
        <f>COUNTIFS($D$4:$D$58,"?*",AK4:AK58,"&lt;=6.4") - COUNTIFS($D$4:$D$58,"?*",AK4:AK58,"&lt;=4.9")</f>
        <v>0</v>
      </c>
      <c r="AI76" s="241">
        <f>COUNTIFS($D$4:$D$58,"?*",AK4:AK58,"&lt;=4.9") - COUNTIFS($D$4:$D$58,"?*",AK4:AK58,"&lt;=3.4")</f>
        <v>0</v>
      </c>
      <c r="AJ76" s="242">
        <f>COUNTIFS($D$4:$D$58,"?*",AK4:AK58,"&lt;=3.4") - COUNTIFS($D$4:$D$58,"?*",AK4:AK58,"&lt;0")</f>
        <v>0</v>
      </c>
      <c r="AM76" s="874" t="s">
        <v>257</v>
      </c>
      <c r="AN76" s="239" t="s">
        <v>49</v>
      </c>
      <c r="AO76" s="240">
        <f>COUNTIFS($D$4:$D$58,"?*",AT4:AT58,"&lt;=10") - COUNTIFS($D$4:$D$58,"?*",AT4:AT58,"&lt;=7.9")</f>
        <v>0</v>
      </c>
      <c r="AP76" s="241">
        <f>COUNTIFS($D$4:$D$58,"?*",AT4:AT58,"&lt;=7.9") - COUNTIFS($D$4:$D$58,"?*",AT4:AT58,"&lt;=6.4")</f>
        <v>0</v>
      </c>
      <c r="AQ76" s="241">
        <f>COUNTIFS($D$4:$D$58,"?*",AT4:AT58,"&lt;=6.4") - COUNTIFS($D$4:$D$58,"?*",AT4:AT58,"&lt;=4.9")</f>
        <v>0</v>
      </c>
      <c r="AR76" s="241">
        <f>COUNTIFS($D$4:$D$58,"?*",AT4:AT58,"&lt;=4.9") - COUNTIFS($D$4:$D$58,"?*",AT4:AT58,"&lt;=3.4")</f>
        <v>0</v>
      </c>
      <c r="AS76" s="242">
        <f>COUNTIFS($D$4:$D$58,"?*",AT4:AT58,"&lt;=3.4") - COUNTIFS($D$4:$D$58,"?*",AT4:AT58,"&lt;0")</f>
        <v>0</v>
      </c>
      <c r="AV76" s="874" t="s">
        <v>257</v>
      </c>
      <c r="AW76" s="239" t="s">
        <v>49</v>
      </c>
      <c r="AX76" s="240">
        <f>COUNTIFS($D$4:$D$58,"?*",BC4:BC58,"&lt;=10") - COUNTIFS($D$4:$D$58,"?*",BC4:BC58,"&lt;=7.9")</f>
        <v>0</v>
      </c>
      <c r="AY76" s="241">
        <f>COUNTIFS($D$4:$D$58,"?*",BC4:BC58,"&lt;=7.9") - COUNTIFS($D$4:$D$58,"?*",BC4:BC58,"&lt;=6.4")</f>
        <v>0</v>
      </c>
      <c r="AZ76" s="241">
        <f>COUNTIFS($D$4:$D$58,"?*",BC4:BC58,"&lt;=6.4") - COUNTIFS($D$4:$D$58,"?*",BC4:BC58,"&lt;=4.9")</f>
        <v>0</v>
      </c>
      <c r="BA76" s="241">
        <f>COUNTIFS($D$4:$D$58,"?*",BC4:BC58,"&lt;=4.9") - COUNTIFS($D$4:$D$58,"?*",BC4:BC58,"&lt;=3.4")</f>
        <v>0</v>
      </c>
      <c r="BB76" s="242">
        <f>COUNTIFS($D$4:$D$58,"?*",BC4:BC58,"&lt;=3.4") - COUNTIFS($D$4:$D$58,"?*",BC4:BC58,"&lt;0")</f>
        <v>0</v>
      </c>
      <c r="BE76" s="874" t="s">
        <v>257</v>
      </c>
      <c r="BF76" s="239" t="s">
        <v>49</v>
      </c>
      <c r="BG76" s="240">
        <f>COUNTIFS($D$4:$D$58,"?*",BL4:BL58,"&lt;=10") - COUNTIFS($D$4:$D$58,"?*",BL4:BL58,"&lt;=7.9")</f>
        <v>0</v>
      </c>
      <c r="BH76" s="241">
        <f>COUNTIFS($D$4:$D$58,"?*",BL4:BL58,"&lt;=7.9") - COUNTIFS($D$4:$D$58,"?*",BL4:BL58,"&lt;=6.4")</f>
        <v>0</v>
      </c>
      <c r="BI76" s="241">
        <f>COUNTIFS($D$4:$D$58,"?*",BL4:BL58,"&lt;=6.4") - COUNTIFS($D$4:$D$58,"?*",BL4:BL58,"&lt;=4.9")</f>
        <v>0</v>
      </c>
      <c r="BJ76" s="241">
        <f>COUNTIFS($D$4:$D$58,"?*",BL4:BL58,"&lt;=4.9") - COUNTIFS($D$4:$D$58,"?*",BL4:BL58,"&lt;=3.4")</f>
        <v>0</v>
      </c>
      <c r="BK76" s="242">
        <f>COUNTIFS($D$4:$D$58,"?*",BL4:BL58,"&lt;=3.4") - COUNTIFS($D$4:$D$58,"?*",BL4:BL58,"&lt;0")</f>
        <v>0</v>
      </c>
      <c r="BN76" s="874" t="s">
        <v>257</v>
      </c>
      <c r="BO76" s="239" t="s">
        <v>49</v>
      </c>
      <c r="BP76" s="240">
        <f>COUNTIFS($D$4:$D$58,"?*",BU4:BU58,"&lt;=10") - COUNTIFS($D$4:$D$58,"?*",BU4:BU58,"&lt;=7.9")</f>
        <v>0</v>
      </c>
      <c r="BQ76" s="241">
        <f>COUNTIFS($D$4:$D$58,"?*",BU4:BU58,"&lt;=7.9") - COUNTIFS($D$4:$D$58,"?*",BU4:BU58,"&lt;=6.4")</f>
        <v>0</v>
      </c>
      <c r="BR76" s="241">
        <f>COUNTIFS($D$4:$D$58,"?*",BU4:BU58,"&lt;=6.4") - COUNTIFS($D$4:$D$58,"?*",BU4:BU58,"&lt;=4.9")</f>
        <v>0</v>
      </c>
      <c r="BS76" s="241">
        <f>COUNTIFS($D$4:$D$58,"?*",BU4:BU58,"&lt;=4.9") - COUNTIFS($D$4:$D$58,"?*",BU4:BU58,"&lt;=3.4")</f>
        <v>0</v>
      </c>
      <c r="BT76" s="242">
        <f>COUNTIFS($D$4:$D$58,"?*",BU4:BU58,"&lt;=3.4") - COUNTIFS($D$4:$D$58,"?*",BU4:BU58,"&lt;0")</f>
        <v>0</v>
      </c>
      <c r="BW76" s="874" t="s">
        <v>257</v>
      </c>
      <c r="BX76" s="239" t="s">
        <v>49</v>
      </c>
      <c r="BY76" s="240">
        <f>COUNTIFS($D$4:$D$58,"?*",CD4:CD58,"&lt;=10") - COUNTIFS($D$4:$D$58,"?*",CD4:CD58,"&lt;=7.9")</f>
        <v>0</v>
      </c>
      <c r="BZ76" s="241">
        <f>COUNTIFS($D$4:$D$58,"?*",CD4:CD58,"&lt;=7.9") - COUNTIFS($D$4:$D$58,"?*",CD4:CD58,"&lt;=6.4")</f>
        <v>0</v>
      </c>
      <c r="CA76" s="241">
        <f>COUNTIFS($D$4:$D$58,"?*",CD4:CD58,"&lt;=6.4") - COUNTIFS($D$4:$D$58,"?*",CD4:CD58,"&lt;=4.9")</f>
        <v>0</v>
      </c>
      <c r="CB76" s="241">
        <f>COUNTIFS($D$4:$D$58,"?*",CD4:CD58,"&lt;=4.9") - COUNTIFS($D$4:$D$58,"?*",CD4:CD58,"&lt;=3.4")</f>
        <v>0</v>
      </c>
      <c r="CC76" s="242">
        <f>COUNTIFS($D$4:$D$58,"?*",CD4:CD58,"&lt;=3.4") - COUNTIFS($D$4:$D$58,"?*",CD4:CD58,"&lt;0")</f>
        <v>0</v>
      </c>
      <c r="CF76" s="874" t="s">
        <v>257</v>
      </c>
      <c r="CG76" s="239" t="s">
        <v>49</v>
      </c>
      <c r="CH76" s="240">
        <f>COUNTIFS($D$4:$D$58,"?*",CM4:CM58,"&lt;=10") - COUNTIFS($D$4:$D$58,"?*",CM4:CM58,"&lt;=7.9")</f>
        <v>0</v>
      </c>
      <c r="CI76" s="241">
        <f>COUNTIFS($D$4:$D$58,"?*",CM4:CM58,"&lt;=7.9") - COUNTIFS($D$4:$D$58,"?*",CM4:CM58,"&lt;=6.4")</f>
        <v>0</v>
      </c>
      <c r="CJ76" s="241">
        <f>COUNTIFS($D$4:$D$58,"?*",CM4:CM58,"&lt;=6.4") - COUNTIFS($D$4:$D$58,"?*",CM4:CM58,"&lt;=4.9")</f>
        <v>0</v>
      </c>
      <c r="CK76" s="241">
        <f>COUNTIFS($D$4:$D$58,"?*",CM4:CM58,"&lt;=4.9") - COUNTIFS($D$4:$D$58,"?*",CM4:CM58,"&lt;=3.4")</f>
        <v>0</v>
      </c>
      <c r="CL76" s="242">
        <f>COUNTIFS($D$4:$D$58,"?*",CM4:CM58,"&lt;=3.4") - COUNTIFS($D$4:$D$58,"?*",CM4:CM58,"&lt;0")</f>
        <v>0</v>
      </c>
      <c r="CO76" s="874" t="s">
        <v>257</v>
      </c>
      <c r="CP76" s="239" t="s">
        <v>49</v>
      </c>
      <c r="CQ76" s="240">
        <f>COUNTIFS($D$4:$D$58,"?*",CV4:CV58,"&lt;=10") - COUNTIFS($D$4:$D$58,"?*",CV4:CV58,"&lt;=7.9")</f>
        <v>0</v>
      </c>
      <c r="CR76" s="241">
        <f>COUNTIFS($D$4:$D$58,"?*",CV4:CV58,"&lt;=7.9") - COUNTIFS($D$4:$D$58,"?*",CV4:CV58,"&lt;=6.4")</f>
        <v>0</v>
      </c>
      <c r="CS76" s="241">
        <f>COUNTIFS($D$4:$D$58,"?*",CV4:CV58,"&lt;=6.4") - COUNTIFS($D$4:$D$58,"?*",CV4:CV58,"&lt;=4.9")</f>
        <v>0</v>
      </c>
      <c r="CT76" s="241">
        <f>COUNTIFS($D$4:$D$58,"?*",CV4:CV58,"&lt;=4.9") - COUNTIFS($D$4:$D$58,"?*",CV4:CV58,"&lt;=3.4")</f>
        <v>0</v>
      </c>
      <c r="CU76" s="242">
        <f>COUNTIFS($D$4:$D$58,"?*",CV4:CV58,"&lt;=3.4") - COUNTIFS($D$4:$D$58,"?*",CV4:CV58,"&lt;0")</f>
        <v>0</v>
      </c>
      <c r="CX76" s="874" t="s">
        <v>257</v>
      </c>
      <c r="CY76" s="239" t="s">
        <v>49</v>
      </c>
      <c r="CZ76" s="240">
        <f>COUNTIFS($D$4:$D$58,"?*",DE4:DE58,"&lt;=10") - COUNTIFS($D$4:$D$58,"?*",DE4:DE58,"&lt;=7.9")</f>
        <v>0</v>
      </c>
      <c r="DA76" s="241">
        <f>COUNTIFS($D$4:$D$58,"?*",DE4:DE58,"&lt;=7.9") - COUNTIFS($D$4:$D$58,"?*",DE4:DE58,"&lt;=6.4")</f>
        <v>0</v>
      </c>
      <c r="DB76" s="241">
        <f>COUNTIFS($D$4:$D$58,"?*",DE4:DE58,"&lt;=6.4") - COUNTIFS($D$4:$D$58,"?*",DE4:DE58,"&lt;=4.9")</f>
        <v>0</v>
      </c>
      <c r="DC76" s="241">
        <f>COUNTIFS($D$4:$D$58,"?*",DE4:DE58,"&lt;=4.9") - COUNTIFS($D$4:$D$58,"?*",DE4:DE58,"&lt;=3.4")</f>
        <v>0</v>
      </c>
      <c r="DD76" s="242">
        <f>COUNTIFS($D$4:$D$58,"?*",DE4:DE58,"&lt;=3.4") - COUNTIFS($D$4:$D$58,"?*",DE4:DE58,"&lt;0")</f>
        <v>0</v>
      </c>
      <c r="DP76" s="874" t="s">
        <v>257</v>
      </c>
      <c r="DQ76" s="239" t="s">
        <v>49</v>
      </c>
      <c r="DR76" s="240">
        <f>COUNTIFS($D$4:$D$58,"?*",DW4:DW58,"&lt;=10") - COUNTIFS($D$4:$D$58,"?*",DW4:DW58,"&lt;=7.9")</f>
        <v>0</v>
      </c>
      <c r="DS76" s="241">
        <f>COUNTIFS($D$4:$D$58,"?*",DW4:DW58,"&lt;=7.9") - COUNTIFS($D$4:$D$58,"?*",DW4:DW58,"&lt;=6.4")</f>
        <v>0</v>
      </c>
      <c r="DT76" s="241">
        <f>COUNTIFS($D$4:$D$58,"?*",DW4:DW58,"&lt;=6.4") - COUNTIFS($D$4:$D$58,"?*",DW4:DW58,"&lt;=4.9")</f>
        <v>0</v>
      </c>
      <c r="DU76" s="241">
        <f>COUNTIFS($D$4:$D$58,"?*",DW4:DW58,"&lt;=4.9") - COUNTIFS($D$4:$D$58,"?*",DW4:DW58,"&lt;=3.4")</f>
        <v>0</v>
      </c>
      <c r="DV76" s="242">
        <f>COUNTIFS($D$4:$D$58,"?*",DW4:DW58,"&lt;=3.4") - COUNTIFS($D$4:$D$58,"?*",DW4:DW58,"&lt;0")</f>
        <v>0</v>
      </c>
      <c r="DY76" s="874" t="s">
        <v>257</v>
      </c>
      <c r="DZ76" s="239" t="s">
        <v>49</v>
      </c>
      <c r="EA76" s="240">
        <f>COUNTIFS($D$4:$D$58,"?*",EF4:EF58,"&lt;=10") - COUNTIFS($D$4:$D$58,"?*",EF4:EF58,"&lt;=7.9")</f>
        <v>0</v>
      </c>
      <c r="EB76" s="241">
        <f>COUNTIFS($D$4:$D$58,"?*",EF4:EF58,"&lt;=7.9") - COUNTIFS($D$4:$D$58,"?*",EF4:EF58,"&lt;=6.4")</f>
        <v>0</v>
      </c>
      <c r="EC76" s="241">
        <f>COUNTIFS($D$4:$D$58,"?*",EF4:EF58,"&lt;=6.4") - COUNTIFS($D$4:$D$58,"?*",EF4:EF58,"&lt;=4.9")</f>
        <v>0</v>
      </c>
      <c r="ED76" s="241">
        <f>COUNTIFS($D$4:$D$58,"?*",EF4:EF58,"&lt;=4.9") - COUNTIFS($D$4:$D$58,"?*",EF4:EF58,"&lt;=3.4")</f>
        <v>0</v>
      </c>
      <c r="EE76" s="242">
        <f>COUNTIFS($D$4:$D$58,"?*",EF4:EF58,"&lt;=3.4") - COUNTIFS($D$4:$D$58,"?*",EF4:EF58,"&lt;0")</f>
        <v>0</v>
      </c>
    </row>
    <row r="77" spans="2:137" s="129" customFormat="1" ht="16.5" customHeight="1">
      <c r="B77" s="129">
        <v>10</v>
      </c>
      <c r="L77" s="1027"/>
      <c r="M77" s="244" t="s">
        <v>17</v>
      </c>
      <c r="N77" s="245">
        <f>COUNTIFS($D$4:$D$58,"?*",$I$4:$I$58,"",S4:S58,"&lt;=10") - COUNTIFS($D$4:$D$58,"?*",$I$4:$I$58,"",S4:S58,"&lt;=7.9")</f>
        <v>0</v>
      </c>
      <c r="O77" s="246">
        <f>COUNTIFS($D$4:$D$58,"?*",$I$4:$I$58,"",S4:S58,"&lt;=7.9") - COUNTIFS($D$4:$D$58,"?*",$I$4:$I$58,"",S4:S58,"&lt;=6.4")</f>
        <v>0</v>
      </c>
      <c r="P77" s="246">
        <f>COUNTIFS($D$4:$D$58,"?*",$I$4:$I$58,"",S4:S58,"&lt;=6.4") - COUNTIFS($D$4:$D$58,"?*",$I$4:$I$58,"",S4:S58,"&lt;=4.9")</f>
        <v>0</v>
      </c>
      <c r="Q77" s="246">
        <f>COUNTIFS($D$4:$D$58,"?*",$I$4:$I$58,"",S4:S58,"&lt;=4.9") - COUNTIFS($D$4:$D$58,"?*",$I$4:$I$58,"",S4:S58,"&lt;=3.4")</f>
        <v>0</v>
      </c>
      <c r="R77" s="247">
        <f>COUNTIFS($D$4:$D$58,"?*",$I$4:$I$58,"",S4:S58,"&lt;=3.4") - COUNTIFS($D$4:$D$58,"?*",$I$4:$I$58,"",S4:S58,"&lt;0")</f>
        <v>0</v>
      </c>
      <c r="U77" s="1027"/>
      <c r="V77" s="244" t="s">
        <v>17</v>
      </c>
      <c r="W77" s="245">
        <f>COUNTIFS($D$4:$D$58,"?*",$I$4:$I$58,"",AB4:AB58,"&lt;=10") - COUNTIFS($D$4:$D$58,"?*",$I$4:$I$58,"",AB4:AB58,"&lt;=7.9")</f>
        <v>0</v>
      </c>
      <c r="X77" s="246">
        <f>COUNTIFS($D$4:$D$58,"?*",$I$4:$I$58,"",AB4:AB58,"&lt;=7.9") - COUNTIFS($D$4:$D$58,"?*",$I$4:$I$58,"",AB4:AB58,"&lt;=6.4")</f>
        <v>0</v>
      </c>
      <c r="Y77" s="246">
        <f>COUNTIFS($D$4:$D$58,"?*",$I$4:$I$58,"",AB4:AB58,"&lt;=6.4") - COUNTIFS($D$4:$D$58,"?*",$I$4:$I$58,"",AB4:AB58,"&lt;=4.9")</f>
        <v>0</v>
      </c>
      <c r="Z77" s="246">
        <f>COUNTIFS($D$4:$D$58,"?*",$I$4:$I$58,"",AB4:AB58,"&lt;=4.9") - COUNTIFS($D$4:$D$58,"?*",$I$4:$I$58,"",AB4:AB58,"&lt;=3.4")</f>
        <v>0</v>
      </c>
      <c r="AA77" s="247">
        <f>COUNTIFS($D$4:$D$58,"?*",$I$4:$I$58,"",AB4:AB58,"&lt;=3.4") - COUNTIFS($D$4:$D$58,"?*",$I$4:$I$58,"",AB4:AB58,"&lt;0")</f>
        <v>0</v>
      </c>
      <c r="AD77" s="1027"/>
      <c r="AE77" s="244" t="s">
        <v>17</v>
      </c>
      <c r="AF77" s="245">
        <f>COUNTIFS($D$4:$D$58,"?*",$I$4:$I$58,"",AK4:AK58,"&lt;=10") - COUNTIFS($D$4:$D$58,"?*",$I$4:$I$58,"",AK4:AK58,"&lt;=7.9")</f>
        <v>0</v>
      </c>
      <c r="AG77" s="246">
        <f>COUNTIFS($D$4:$D$58,"?*",$I$4:$I$58,"",AK4:AK58,"&lt;=7.9") - COUNTIFS($D$4:$D$58,"?*",$I$4:$I$58,"",AK4:AK58,"&lt;=6.4")</f>
        <v>0</v>
      </c>
      <c r="AH77" s="246">
        <f>COUNTIFS($D$4:$D$58,"?*",$I$4:$I$58,"",AK4:AK58,"&lt;=6.4") - COUNTIFS($D$4:$D$58,"?*",$I$4:$I$58,"",AK4:AK58,"&lt;=4.9")</f>
        <v>0</v>
      </c>
      <c r="AI77" s="246">
        <f>COUNTIFS($D$4:$D$58,"?*",$I$4:$I$58,"",AK4:AK58,"&lt;=4.9") - COUNTIFS($D$4:$D$58,"?*",$I$4:$I$58,"",AK4:AK58,"&lt;=3.4")</f>
        <v>0</v>
      </c>
      <c r="AJ77" s="247">
        <f>COUNTIFS($D$4:$D$58,"?*",$I$4:$I$58,"",AK4:AK58,"&lt;=3.4") - COUNTIFS($D$4:$D$58,"?*",$I$4:$I$58,"",AK4:AK58,"&lt;0")</f>
        <v>0</v>
      </c>
      <c r="AM77" s="1027"/>
      <c r="AN77" s="244" t="s">
        <v>17</v>
      </c>
      <c r="AO77" s="245">
        <f>COUNTIFS($D$4:$D$58,"?*",$I$4:$I$58,"",AT4:AT58,"&lt;=10") - COUNTIFS($D$4:$D$58,"?*",$I$4:$I$58,"",AT4:AT58,"&lt;=7.9")</f>
        <v>0</v>
      </c>
      <c r="AP77" s="246">
        <f>COUNTIFS($D$4:$D$58,"?*",$I$4:$I$58,"",AT4:AT58,"&lt;=7.9") - COUNTIFS($D$4:$D$58,"?*",$I$4:$I$58,"",AT4:AT58,"&lt;=6.4")</f>
        <v>0</v>
      </c>
      <c r="AQ77" s="246">
        <f>COUNTIFS($D$4:$D$58,"?*",$I$4:$I$58,"",AT4:AT58,"&lt;=6.4") - COUNTIFS($D$4:$D$58,"?*",$I$4:$I$58,"",AT4:AT58,"&lt;=4.9")</f>
        <v>0</v>
      </c>
      <c r="AR77" s="246">
        <f>COUNTIFS($D$4:$D$58,"?*",$I$4:$I$58,"",AT4:AT58,"&lt;=4.9") - COUNTIFS($D$4:$D$58,"?*",$I$4:$I$58,"",AT4:AT58,"&lt;=3.4")</f>
        <v>0</v>
      </c>
      <c r="AS77" s="247">
        <f>COUNTIFS($D$4:$D$58,"?*",$I$4:$I$58,"",AT4:AT58,"&lt;=3.4") - COUNTIFS($D$4:$D$58,"?*",$I$4:$I$58,"",AT4:AT58,"&lt;0")</f>
        <v>0</v>
      </c>
      <c r="AV77" s="1027"/>
      <c r="AW77" s="244" t="s">
        <v>17</v>
      </c>
      <c r="AX77" s="245">
        <f>COUNTIFS($D$4:$D$58,"?*",$I$4:$I$58,"",BC4:BC58,"&lt;=10") - COUNTIFS($D$4:$D$58,"?*",$I$4:$I$58,"",BC4:BC58,"&lt;=7.9")</f>
        <v>0</v>
      </c>
      <c r="AY77" s="246">
        <f>COUNTIFS($D$4:$D$58,"?*",$I$4:$I$58,"",BC4:BC58,"&lt;=7.9") - COUNTIFS($D$4:$D$58,"?*",$I$4:$I$58,"",BC4:BC58,"&lt;=6.4")</f>
        <v>0</v>
      </c>
      <c r="AZ77" s="246">
        <f>COUNTIFS($D$4:$D$58,"?*",$I$4:$I$58,"",BC4:BC58,"&lt;=6.4") - COUNTIFS($D$4:$D$58,"?*",$I$4:$I$58,"",BC4:BC58,"&lt;=4.9")</f>
        <v>0</v>
      </c>
      <c r="BA77" s="246">
        <f>COUNTIFS($D$4:$D$58,"?*",$I$4:$I$58,"",BC4:BC58,"&lt;=4.9") - COUNTIFS($D$4:$D$58,"?*",$I$4:$I$58,"",BC4:BC58,"&lt;=3.4")</f>
        <v>0</v>
      </c>
      <c r="BB77" s="247">
        <f>COUNTIFS($D$4:$D$58,"?*",$I$4:$I$58,"",BC4:BC58,"&lt;=3.4") - COUNTIFS($D$4:$D$58,"?*",$I$4:$I$58,"",BC4:BC58,"&lt;0")</f>
        <v>0</v>
      </c>
      <c r="BE77" s="1027"/>
      <c r="BF77" s="244" t="s">
        <v>17</v>
      </c>
      <c r="BG77" s="245">
        <f>COUNTIFS($D$4:$D$58,"?*",$I$4:$I$58,"",BL4:BL58,"&lt;=10") - COUNTIFS($D$4:$D$58,"?*",$I$4:$I$58,"",BL4:BL58,"&lt;=7.9")</f>
        <v>0</v>
      </c>
      <c r="BH77" s="246">
        <f>COUNTIFS($D$4:$D$58,"?*",$I$4:$I$58,"",BL4:BL58,"&lt;=7.9") - COUNTIFS($D$4:$D$58,"?*",$I$4:$I$58,"",BL4:BL58,"&lt;=6.4")</f>
        <v>0</v>
      </c>
      <c r="BI77" s="246">
        <f>COUNTIFS($D$4:$D$58,"?*",$I$4:$I$58,"",BL4:BL58,"&lt;=6.4") - COUNTIFS($D$4:$D$58,"?*",$I$4:$I$58,"",BL4:BL58,"&lt;=4.9")</f>
        <v>0</v>
      </c>
      <c r="BJ77" s="246">
        <f>COUNTIFS($D$4:$D$58,"?*",$I$4:$I$58,"",BL4:BL58,"&lt;=4.9") - COUNTIFS($D$4:$D$58,"?*",$I$4:$I$58,"",BL4:BL58,"&lt;=3.4")</f>
        <v>0</v>
      </c>
      <c r="BK77" s="247">
        <f>COUNTIFS($D$4:$D$58,"?*",$I$4:$I$58,"",BL4:BL58,"&lt;=3.4") - COUNTIFS($D$4:$D$58,"?*",$I$4:$I$58,"",BL4:BL58,"&lt;0")</f>
        <v>0</v>
      </c>
      <c r="BN77" s="1027"/>
      <c r="BO77" s="244" t="s">
        <v>17</v>
      </c>
      <c r="BP77" s="245">
        <f>COUNTIFS($D$4:$D$58,"?*",$I$4:$I$58,"",BU4:BU58,"&lt;=10") - COUNTIFS($D$4:$D$58,"?*",$I$4:$I$58,"",BU4:BU58,"&lt;=7.9")</f>
        <v>0</v>
      </c>
      <c r="BQ77" s="246">
        <f>COUNTIFS($D$4:$D$58,"?*",$I$4:$I$58,"",BU4:BU58,"&lt;=7.9") - COUNTIFS($D$4:$D$58,"?*",$I$4:$I$58,"",BU4:BU58,"&lt;=6.4")</f>
        <v>0</v>
      </c>
      <c r="BR77" s="246">
        <f>COUNTIFS($D$4:$D$58,"?*",$I$4:$I$58,"",BU4:BU58,"&lt;=6.4") - COUNTIFS($D$4:$D$58,"?*",$I$4:$I$58,"",BU4:BU58,"&lt;=4.9")</f>
        <v>0</v>
      </c>
      <c r="BS77" s="246">
        <f>COUNTIFS($D$4:$D$58,"?*",$I$4:$I$58,"",BU4:BU58,"&lt;=4.9") - COUNTIFS($D$4:$D$58,"?*",$I$4:$I$58,"",BU4:BU58,"&lt;=3.4")</f>
        <v>0</v>
      </c>
      <c r="BT77" s="247">
        <f>COUNTIFS($D$4:$D$58,"?*",$I$4:$I$58,"",BU4:BU58,"&lt;=3.4") - COUNTIFS($D$4:$D$58,"?*",$I$4:$I$58,"",BU4:BU58,"&lt;0")</f>
        <v>0</v>
      </c>
      <c r="BW77" s="1027"/>
      <c r="BX77" s="244" t="s">
        <v>17</v>
      </c>
      <c r="BY77" s="245">
        <f>COUNTIFS($D$4:$D$58,"?*",$I$4:$I$58,"",CD4:CD58,"&lt;=10") - COUNTIFS($D$4:$D$58,"?*",$I$4:$I$58,"",CD4:CD58,"&lt;=7.9")</f>
        <v>0</v>
      </c>
      <c r="BZ77" s="246">
        <f>COUNTIFS($D$4:$D$58,"?*",$I$4:$I$58,"",CD4:CD58,"&lt;=7.9") - COUNTIFS($D$4:$D$58,"?*",$I$4:$I$58,"",CD4:CD58,"&lt;=6.4")</f>
        <v>0</v>
      </c>
      <c r="CA77" s="246">
        <f>COUNTIFS($D$4:$D$58,"?*",$I$4:$I$58,"",CD4:CD58,"&lt;=6.4") - COUNTIFS($D$4:$D$58,"?*",$I$4:$I$58,"",CD4:CD58,"&lt;=4.9")</f>
        <v>0</v>
      </c>
      <c r="CB77" s="246">
        <f>COUNTIFS($D$4:$D$58,"?*",$I$4:$I$58,"",CD4:CD58,"&lt;=4.9") - COUNTIFS($D$4:$D$58,"?*",$I$4:$I$58,"",CD4:CD58,"&lt;=3.4")</f>
        <v>0</v>
      </c>
      <c r="CC77" s="247">
        <f>COUNTIFS($D$4:$D$58,"?*",$I$4:$I$58,"",CD4:CD58,"&lt;=3.4") - COUNTIFS($D$4:$D$58,"?*",$I$4:$I$58,"",CD4:CD58,"&lt;0")</f>
        <v>0</v>
      </c>
      <c r="CF77" s="1027"/>
      <c r="CG77" s="244" t="s">
        <v>17</v>
      </c>
      <c r="CH77" s="245">
        <f>COUNTIFS($D$4:$D$58,"?*",$I$4:$I$58,"",CM4:CM58,"&lt;=10") - COUNTIFS($D$4:$D$58,"?*",$I$4:$I$58,"",CM4:CM58,"&lt;=7.9")</f>
        <v>0</v>
      </c>
      <c r="CI77" s="246">
        <f>COUNTIFS($D$4:$D$58,"?*",$I$4:$I$58,"",CM4:CM58,"&lt;=7.9") - COUNTIFS($D$4:$D$58,"?*",$I$4:$I$58,"",CM4:CM58,"&lt;=6.4")</f>
        <v>0</v>
      </c>
      <c r="CJ77" s="246">
        <f>COUNTIFS($D$4:$D$58,"?*",$I$4:$I$58,"",CM4:CM58,"&lt;=6.4") - COUNTIFS($D$4:$D$58,"?*",$I$4:$I$58,"",CM4:CM58,"&lt;=4.9")</f>
        <v>0</v>
      </c>
      <c r="CK77" s="246">
        <f>COUNTIFS($D$4:$D$58,"?*",$I$4:$I$58,"",CM4:CM58,"&lt;=4.9") - COUNTIFS($D$4:$D$58,"?*",$I$4:$I$58,"",CM4:CM58,"&lt;=3.4")</f>
        <v>0</v>
      </c>
      <c r="CL77" s="247">
        <f>COUNTIFS($D$4:$D$58,"?*",$I$4:$I$58,"",CM4:CM58,"&lt;=3.4") - COUNTIFS($D$4:$D$58,"?*",$I$4:$I$58,"",CM4:CM58,"&lt;0")</f>
        <v>0</v>
      </c>
      <c r="CO77" s="1027"/>
      <c r="CP77" s="244" t="s">
        <v>17</v>
      </c>
      <c r="CQ77" s="245">
        <f>COUNTIFS($D$4:$D$58,"?*",$I$4:$I$58,"",CV4:CV58,"&lt;=10") - COUNTIFS($D$4:$D$58,"?*",$I$4:$I$58,"",CV4:CV58,"&lt;=7.9")</f>
        <v>0</v>
      </c>
      <c r="CR77" s="246">
        <f>COUNTIFS($D$4:$D$58,"?*",$I$4:$I$58,"",CV4:CV58,"&lt;=7.9") - COUNTIFS($D$4:$D$58,"?*",$I$4:$I$58,"",CV4:CV58,"&lt;=6.4")</f>
        <v>0</v>
      </c>
      <c r="CS77" s="246">
        <f>COUNTIFS($D$4:$D$58,"?*",$I$4:$I$58,"",CV4:CV58,"&lt;=6.4") - COUNTIFS($D$4:$D$58,"?*",$I$4:$I$58,"",CV4:CV58,"&lt;=4.9")</f>
        <v>0</v>
      </c>
      <c r="CT77" s="246">
        <f>COUNTIFS($D$4:$D$58,"?*",$I$4:$I$58,"",CV4:CV58,"&lt;=4.9") - COUNTIFS($D$4:$D$58,"?*",$I$4:$I$58,"",CV4:CV58,"&lt;=3.4")</f>
        <v>0</v>
      </c>
      <c r="CU77" s="247">
        <f>COUNTIFS($D$4:$D$58,"?*",$I$4:$I$58,"",CV4:CV58,"&lt;=3.4") - COUNTIFS($D$4:$D$58,"?*",$I$4:$I$58,"",CV4:CV58,"&lt;0")</f>
        <v>0</v>
      </c>
      <c r="CX77" s="1027"/>
      <c r="CY77" s="244" t="s">
        <v>17</v>
      </c>
      <c r="CZ77" s="245">
        <f>COUNTIFS($D$4:$D$58,"?*",$I$4:$I$58,"",DE4:DE58,"&lt;=10") - COUNTIFS($D$4:$D$58,"?*",$I$4:$I$58,"",DE4:DE58,"&lt;=7.9")</f>
        <v>0</v>
      </c>
      <c r="DA77" s="246">
        <f>COUNTIFS($D$4:$D$58,"?*",$I$4:$I$58,"",DE4:DE58,"&lt;=7.9") - COUNTIFS($D$4:$D$58,"?*",$I$4:$I$58,"",DE4:DE58,"&lt;=6.4")</f>
        <v>0</v>
      </c>
      <c r="DB77" s="246">
        <f>COUNTIFS($D$4:$D$58,"?*",$I$4:$I$58,"",DE4:DE58,"&lt;=6.4") - COUNTIFS($D$4:$D$58,"?*",$I$4:$I$58,"",DE4:DE58,"&lt;=4.9")</f>
        <v>0</v>
      </c>
      <c r="DC77" s="246">
        <f>COUNTIFS($D$4:$D$58,"?*",$I$4:$I$58,"",DE4:DE58,"&lt;=4.9") - COUNTIFS($D$4:$D$58,"?*",$I$4:$I$58,"",DE4:DE58,"&lt;=3.4")</f>
        <v>0</v>
      </c>
      <c r="DD77" s="247">
        <f>COUNTIFS($D$4:$D$58,"?*",$I$4:$I$58,"",DE4:DE58,"&lt;=3.4") - COUNTIFS($D$4:$D$58,"?*",$I$4:$I$58,"",DE4:DE58,"&lt;0")</f>
        <v>0</v>
      </c>
      <c r="DP77" s="1027"/>
      <c r="DQ77" s="244" t="s">
        <v>17</v>
      </c>
      <c r="DR77" s="245">
        <f>COUNTIFS($D$4:$D$58,"?*",$I$4:$I$58,"",DW4:DW58,"&lt;=10") - COUNTIFS($D$4:$D$58,"?*",$I$4:$I$58,"",DW4:DW58,"&lt;=7.9")</f>
        <v>0</v>
      </c>
      <c r="DS77" s="246">
        <f>COUNTIFS($D$4:$D$58,"?*",$I$4:$I$58,"",DW4:DW58,"&lt;=7.9") - COUNTIFS($D$4:$D$58,"?*",$I$4:$I$58,"",DW4:DW58,"&lt;=6.4")</f>
        <v>0</v>
      </c>
      <c r="DT77" s="246">
        <f>COUNTIFS($D$4:$D$58,"?*",$I$4:$I$58,"",DW4:DW58,"&lt;=6.4") - COUNTIFS($D$4:$D$58,"?*",$I$4:$I$58,"",DW4:DW58,"&lt;=4.9")</f>
        <v>0</v>
      </c>
      <c r="DU77" s="246">
        <f>COUNTIFS($D$4:$D$58,"?*",$I$4:$I$58,"",DW4:DW58,"&lt;=4.9") - COUNTIFS($D$4:$D$58,"?*",$I$4:$I$58,"",DW4:DW58,"&lt;=3.4")</f>
        <v>0</v>
      </c>
      <c r="DV77" s="247">
        <f>COUNTIFS($D$4:$D$58,"?*",$I$4:$I$58,"",DW4:DW58,"&lt;=3.4") - COUNTIFS($D$4:$D$58,"?*",$I$4:$I$58,"",DW4:DW58,"&lt;0")</f>
        <v>0</v>
      </c>
      <c r="DY77" s="1027"/>
      <c r="DZ77" s="244" t="s">
        <v>17</v>
      </c>
      <c r="EA77" s="245">
        <f>COUNTIFS($D$4:$D$58,"?*",$I$4:$I$58,"",EF4:EF58,"&lt;=10") - COUNTIFS($D$4:$D$58,"?*",$I$4:$I$58,"",EF4:EF58,"&lt;=7.9")</f>
        <v>0</v>
      </c>
      <c r="EB77" s="246">
        <f>COUNTIFS($D$4:$D$58,"?*",$I$4:$I$58,"",EF4:EF58,"&lt;=7.9") - COUNTIFS($D$4:$D$58,"?*",$I$4:$I$58,"",EF4:EF58,"&lt;=6.4")</f>
        <v>0</v>
      </c>
      <c r="EC77" s="246">
        <f>COUNTIFS($D$4:$D$58,"?*",$I$4:$I$58,"",EF4:EF58,"&lt;=6.4") - COUNTIFS($D$4:$D$58,"?*",$I$4:$I$58,"",EF4:EF58,"&lt;=4.9")</f>
        <v>0</v>
      </c>
      <c r="ED77" s="246">
        <f>COUNTIFS($D$4:$D$58,"?*",$I$4:$I$58,"",EF4:EF58,"&lt;=4.9") - COUNTIFS($D$4:$D$58,"?*",$I$4:$I$58,"",EF4:EF58,"&lt;=3.4")</f>
        <v>0</v>
      </c>
      <c r="EE77" s="247">
        <f>COUNTIFS($D$4:$D$58,"?*",$I$4:$I$58,"",EF4:EF58,"&lt;=3.4") - COUNTIFS($D$4:$D$58,"?*",$I$4:$I$58,"",EF4:EF58,"&lt;0")</f>
        <v>0</v>
      </c>
    </row>
    <row r="78" spans="2:137" s="129" customFormat="1" ht="16.5" customHeight="1">
      <c r="B78" s="129">
        <v>11</v>
      </c>
      <c r="L78" s="1027"/>
      <c r="M78" s="244" t="s">
        <v>18</v>
      </c>
      <c r="N78" s="245">
        <f>COUNTIFS($D$4:$D$58,"?*",$I$4:$I$58,"x",S4:S58,"&lt;=10") - COUNTIFS($D$4:$D$58,"?*",$I$4:$I$58,"x",S4:S58,"&lt;=7.9")</f>
        <v>0</v>
      </c>
      <c r="O78" s="246">
        <f>COUNTIFS($D$4:$D$58,"?*",$I$4:$I$58,"x",S4:S58,"&lt;=7.9") - COUNTIFS($D$4:$D$58,"?*",$I$4:$I$58,"x",S4:S58,"&lt;=6.4")</f>
        <v>0</v>
      </c>
      <c r="P78" s="246">
        <f>COUNTIFS($D$4:$D$58,"?*",$I$4:$I$58,"x",S4:S58,"&lt;=6.4") - COUNTIFS($D$4:$D$58,"?*",$I$4:$I$58,"x",S4:S58,"&lt;=4.9")</f>
        <v>0</v>
      </c>
      <c r="Q78" s="246">
        <f>COUNTIFS($D$4:$D$58,"?*",$I$4:$I$58,"x",S4:S58,"&lt;=4.9") - COUNTIFS($D$4:$D$58,"?*",$I$4:$I$58,"x",S4:S58,"&lt;=3.4")</f>
        <v>0</v>
      </c>
      <c r="R78" s="247">
        <f>COUNTIFS($D$4:$D$58,"?*",$I$4:$I$58,"x",S4:S58,"&lt;=3.4") - COUNTIFS($D$4:$D$58,"?*",$I$4:$I$58,"x",S4:S58,"&lt;0")</f>
        <v>0</v>
      </c>
      <c r="U78" s="1027"/>
      <c r="V78" s="244" t="s">
        <v>18</v>
      </c>
      <c r="W78" s="245">
        <f>COUNTIFS($D$4:$D$58,"?*",$I$4:$I$58,"x",AB4:AB58,"&lt;=10") - COUNTIFS($D$4:$D$58,"?*",$I$4:$I$58,"x",AB4:AB58,"&lt;=7.9")</f>
        <v>0</v>
      </c>
      <c r="X78" s="246">
        <f>COUNTIFS($D$4:$D$58,"?*",$I$4:$I$58,"x",AB4:AB58,"&lt;=7.9") - COUNTIFS($D$4:$D$58,"?*",$I$4:$I$58,"x",AB4:AB58,"&lt;=6.4")</f>
        <v>0</v>
      </c>
      <c r="Y78" s="246">
        <f>COUNTIFS($D$4:$D$58,"?*",$I$4:$I$58,"x",AB4:AB58,"&lt;=6.4") - COUNTIFS($D$4:$D$58,"?*",$I$4:$I$58,"x",AB4:AB58,"&lt;=4.9")</f>
        <v>0</v>
      </c>
      <c r="Z78" s="246">
        <f>COUNTIFS($D$4:$D$58,"?*",$I$4:$I$58,"x",AB4:AB58,"&lt;=4.9") - COUNTIFS($D$4:$D$58,"?*",$I$4:$I$58,"x",AB4:AB58,"&lt;=3.4")</f>
        <v>0</v>
      </c>
      <c r="AA78" s="247">
        <f>COUNTIFS($D$4:$D$58,"?*",$I$4:$I$58,"x",AB4:AB58,"&lt;=3.4") - COUNTIFS($D$4:$D$58,"?*",$I$4:$I$58,"x",AB4:AB58,"&lt;0")</f>
        <v>0</v>
      </c>
      <c r="AD78" s="1027"/>
      <c r="AE78" s="244" t="s">
        <v>18</v>
      </c>
      <c r="AF78" s="245">
        <f>COUNTIFS($D$4:$D$58,"?*",$I$4:$I$58,"x",AK4:AK58,"&lt;=10") - COUNTIFS($D$4:$D$58,"?*",$I$4:$I$58,"x",AK4:AK58,"&lt;=7.9")</f>
        <v>0</v>
      </c>
      <c r="AG78" s="246">
        <f>COUNTIFS($D$4:$D$58,"?*",$I$4:$I$58,"x",AK4:AK58,"&lt;=7.9") - COUNTIFS($D$4:$D$58,"?*",$I$4:$I$58,"x",AK4:AK58,"&lt;=6.4")</f>
        <v>0</v>
      </c>
      <c r="AH78" s="246">
        <f>COUNTIFS($D$4:$D$58,"?*",$I$4:$I$58,"x",AK4:AK58,"&lt;=6.4") - COUNTIFS($D$4:$D$58,"?*",$I$4:$I$58,"x",AK4:AK58,"&lt;=4.9")</f>
        <v>0</v>
      </c>
      <c r="AI78" s="246">
        <f>COUNTIFS($D$4:$D$58,"?*",$I$4:$I$58,"x",AK4:AK58,"&lt;=4.9") - COUNTIFS($D$4:$D$58,"?*",$I$4:$I$58,"x",AK4:AK58,"&lt;=3.4")</f>
        <v>0</v>
      </c>
      <c r="AJ78" s="247">
        <f>COUNTIFS($D$4:$D$58,"?*",$I$4:$I$58,"x",AK4:AK58,"&lt;=3.4") - COUNTIFS($D$4:$D$58,"?*",$I$4:$I$58,"x",AK4:AK58,"&lt;0")</f>
        <v>0</v>
      </c>
      <c r="AM78" s="1027"/>
      <c r="AN78" s="244" t="s">
        <v>18</v>
      </c>
      <c r="AO78" s="245">
        <f>COUNTIFS($D$4:$D$58,"?*",$I$4:$I$58,"x",AT4:AT58,"&lt;=10") - COUNTIFS($D$4:$D$58,"?*",$I$4:$I$58,"x",AT4:AT58,"&lt;=7.9")</f>
        <v>0</v>
      </c>
      <c r="AP78" s="246">
        <f>COUNTIFS($D$4:$D$58,"?*",$I$4:$I$58,"x",AT4:AT58,"&lt;=7.9") - COUNTIFS($D$4:$D$58,"?*",$I$4:$I$58,"x",AT4:AT58,"&lt;=6.4")</f>
        <v>0</v>
      </c>
      <c r="AQ78" s="246">
        <f>COUNTIFS($D$4:$D$58,"?*",$I$4:$I$58,"x",AT4:AT58,"&lt;=6.4") - COUNTIFS($D$4:$D$58,"?*",$I$4:$I$58,"x",AT4:AT58,"&lt;=4.9")</f>
        <v>0</v>
      </c>
      <c r="AR78" s="246">
        <f>COUNTIFS($D$4:$D$58,"?*",$I$4:$I$58,"x",AT4:AT58,"&lt;=4.9") - COUNTIFS($D$4:$D$58,"?*",$I$4:$I$58,"x",AT4:AT58,"&lt;=3.4")</f>
        <v>0</v>
      </c>
      <c r="AS78" s="247">
        <f>COUNTIFS($D$4:$D$58,"?*",$I$4:$I$58,"x",AT4:AT58,"&lt;=3.4") - COUNTIFS($D$4:$D$58,"?*",$I$4:$I$58,"x",AT4:AT58,"&lt;0")</f>
        <v>0</v>
      </c>
      <c r="AV78" s="1027"/>
      <c r="AW78" s="244" t="s">
        <v>18</v>
      </c>
      <c r="AX78" s="245">
        <f>COUNTIFS($D$4:$D$58,"?*",$I$4:$I$58,"x",BC4:BC58,"&lt;=10") - COUNTIFS($D$4:$D$58,"?*",$I$4:$I$58,"x",BC4:BC58,"&lt;=7.9")</f>
        <v>0</v>
      </c>
      <c r="AY78" s="246">
        <f>COUNTIFS($D$4:$D$58,"?*",$I$4:$I$58,"x",BC4:BC58,"&lt;=7.9") - COUNTIFS($D$4:$D$58,"?*",$I$4:$I$58,"x",BC4:BC58,"&lt;=6.4")</f>
        <v>0</v>
      </c>
      <c r="AZ78" s="246">
        <f>COUNTIFS($D$4:$D$58,"?*",$I$4:$I$58,"x",BC4:BC58,"&lt;=6.4") - COUNTIFS($D$4:$D$58,"?*",$I$4:$I$58,"x",BC4:BC58,"&lt;=4.9")</f>
        <v>0</v>
      </c>
      <c r="BA78" s="246">
        <f>COUNTIFS($D$4:$D$58,"?*",$I$4:$I$58,"x",BC4:BC58,"&lt;=4.9") - COUNTIFS($D$4:$D$58,"?*",$I$4:$I$58,"x",BC4:BC58,"&lt;=3.4")</f>
        <v>0</v>
      </c>
      <c r="BB78" s="247">
        <f>COUNTIFS($D$4:$D$58,"?*",$I$4:$I$58,"x",BC4:BC58,"&lt;=3.4") - COUNTIFS($D$4:$D$58,"?*",$I$4:$I$58,"x",BC4:BC58,"&lt;0")</f>
        <v>0</v>
      </c>
      <c r="BE78" s="1027"/>
      <c r="BF78" s="244" t="s">
        <v>18</v>
      </c>
      <c r="BG78" s="245">
        <f>COUNTIFS($D$4:$D$58,"?*",$I$4:$I$58,"x",BL4:BL58,"&lt;=10") - COUNTIFS($D$4:$D$58,"?*",$I$4:$I$58,"x",BL4:BL58,"&lt;=7.9")</f>
        <v>0</v>
      </c>
      <c r="BH78" s="246">
        <f>COUNTIFS($D$4:$D$58,"?*",$I$4:$I$58,"x",BL4:BL58,"&lt;=7.9") - COUNTIFS($D$4:$D$58,"?*",$I$4:$I$58,"x",BL4:BL58,"&lt;=6.4")</f>
        <v>0</v>
      </c>
      <c r="BI78" s="246">
        <f>COUNTIFS($D$4:$D$58,"?*",$I$4:$I$58,"x",BL4:BL58,"&lt;=6.4") - COUNTIFS($D$4:$D$58,"?*",$I$4:$I$58,"x",BL4:BL58,"&lt;=4.9")</f>
        <v>0</v>
      </c>
      <c r="BJ78" s="246">
        <f>COUNTIFS($D$4:$D$58,"?*",$I$4:$I$58,"x",BL4:BL58,"&lt;=4.9") - COUNTIFS($D$4:$D$58,"?*",$I$4:$I$58,"x",BL4:BL58,"&lt;=3.4")</f>
        <v>0</v>
      </c>
      <c r="BK78" s="247">
        <f>COUNTIFS($D$4:$D$58,"?*",$I$4:$I$58,"x",BL4:BL58,"&lt;=3.4") - COUNTIFS($D$4:$D$58,"?*",$I$4:$I$58,"x",BL4:BL58,"&lt;0")</f>
        <v>0</v>
      </c>
      <c r="BN78" s="1027"/>
      <c r="BO78" s="244" t="s">
        <v>18</v>
      </c>
      <c r="BP78" s="245">
        <f>COUNTIFS($D$4:$D$58,"?*",$I$4:$I$58,"x",BU4:BU58,"&lt;=10") - COUNTIFS($D$4:$D$58,"?*",$I$4:$I$58,"x",BU4:BU58,"&lt;=7.9")</f>
        <v>0</v>
      </c>
      <c r="BQ78" s="246">
        <f>COUNTIFS($D$4:$D$58,"?*",$I$4:$I$58,"x",BU4:BU58,"&lt;=7.9") - COUNTIFS($D$4:$D$58,"?*",$I$4:$I$58,"x",BU4:BU58,"&lt;=6.4")</f>
        <v>0</v>
      </c>
      <c r="BR78" s="246">
        <f>COUNTIFS($D$4:$D$58,"?*",$I$4:$I$58,"x",BU4:BU58,"&lt;=6.4") - COUNTIFS($D$4:$D$58,"?*",$I$4:$I$58,"x",BU4:BU58,"&lt;=4.9")</f>
        <v>0</v>
      </c>
      <c r="BS78" s="246">
        <f>COUNTIFS($D$4:$D$58,"?*",$I$4:$I$58,"x",BU4:BU58,"&lt;=4.9") - COUNTIFS($D$4:$D$58,"?*",$I$4:$I$58,"x",BU4:BU58,"&lt;=3.4")</f>
        <v>0</v>
      </c>
      <c r="BT78" s="247">
        <f>COUNTIFS($D$4:$D$58,"?*",$I$4:$I$58,"x",BU4:BU58,"&lt;=3.4") - COUNTIFS($D$4:$D$58,"?*",$I$4:$I$58,"x",BU4:BU58,"&lt;0")</f>
        <v>0</v>
      </c>
      <c r="BW78" s="1027"/>
      <c r="BX78" s="244" t="s">
        <v>18</v>
      </c>
      <c r="BY78" s="245">
        <f>COUNTIFS($D$4:$D$58,"?*",$I$4:$I$58,"x",CD4:CD58,"&lt;=10") - COUNTIFS($D$4:$D$58,"?*",$I$4:$I$58,"x",CD4:CD58,"&lt;=7.9")</f>
        <v>0</v>
      </c>
      <c r="BZ78" s="246">
        <f>COUNTIFS($D$4:$D$58,"?*",$I$4:$I$58,"x",CD4:CD58,"&lt;=7.9") - COUNTIFS($D$4:$D$58,"?*",$I$4:$I$58,"x",CD4:CD58,"&lt;=6.4")</f>
        <v>0</v>
      </c>
      <c r="CA78" s="246">
        <f>COUNTIFS($D$4:$D$58,"?*",$I$4:$I$58,"x",CD4:CD58,"&lt;=6.4") - COUNTIFS($D$4:$D$58,"?*",$I$4:$I$58,"x",CD4:CD58,"&lt;=4.9")</f>
        <v>0</v>
      </c>
      <c r="CB78" s="246">
        <f>COUNTIFS($D$4:$D$58,"?*",$I$4:$I$58,"x",CD4:CD58,"&lt;=4.9") - COUNTIFS($D$4:$D$58,"?*",$I$4:$I$58,"x",CD4:CD58,"&lt;=3.4")</f>
        <v>0</v>
      </c>
      <c r="CC78" s="247">
        <f>COUNTIFS($D$4:$D$58,"?*",$I$4:$I$58,"x",CD4:CD58,"&lt;=3.4") - COUNTIFS($D$4:$D$58,"?*",$I$4:$I$58,"x",CD4:CD58,"&lt;0")</f>
        <v>0</v>
      </c>
      <c r="CF78" s="1027"/>
      <c r="CG78" s="244" t="s">
        <v>18</v>
      </c>
      <c r="CH78" s="245">
        <f>COUNTIFS($D$4:$D$58,"?*",$I$4:$I$58,"x",CM4:CM58,"&lt;=10") - COUNTIFS($D$4:$D$58,"?*",$I$4:$I$58,"x",CM4:CM58,"&lt;=7.9")</f>
        <v>0</v>
      </c>
      <c r="CI78" s="246">
        <f>COUNTIFS($D$4:$D$58,"?*",$I$4:$I$58,"x",CM4:CM58,"&lt;=7.9") - COUNTIFS($D$4:$D$58,"?*",$I$4:$I$58,"x",CM4:CM58,"&lt;=6.4")</f>
        <v>0</v>
      </c>
      <c r="CJ78" s="246">
        <f>COUNTIFS($D$4:$D$58,"?*",$I$4:$I$58,"x",CM4:CM58,"&lt;=6.4") - COUNTIFS($D$4:$D$58,"?*",$I$4:$I$58,"x",CM4:CM58,"&lt;=4.9")</f>
        <v>0</v>
      </c>
      <c r="CK78" s="246">
        <f>COUNTIFS($D$4:$D$58,"?*",$I$4:$I$58,"x",CM4:CM58,"&lt;=4.9") - COUNTIFS($D$4:$D$58,"?*",$I$4:$I$58,"x",CM4:CM58,"&lt;=3.4")</f>
        <v>0</v>
      </c>
      <c r="CL78" s="247">
        <f>COUNTIFS($D$4:$D$58,"?*",$I$4:$I$58,"x",CM4:CM58,"&lt;=3.4") - COUNTIFS($D$4:$D$58,"?*",$I$4:$I$58,"x",CM4:CM58,"&lt;0")</f>
        <v>0</v>
      </c>
      <c r="CO78" s="1027"/>
      <c r="CP78" s="244" t="s">
        <v>18</v>
      </c>
      <c r="CQ78" s="245">
        <f>COUNTIFS($D$4:$D$58,"?*",$I$4:$I$58,"x",CV4:CV58,"&lt;=10") - COUNTIFS($D$4:$D$58,"?*",$I$4:$I$58,"x",CV4:CV58,"&lt;=7.9")</f>
        <v>0</v>
      </c>
      <c r="CR78" s="246">
        <f>COUNTIFS($D$4:$D$58,"?*",$I$4:$I$58,"x",CV4:CV58,"&lt;=7.9") - COUNTIFS($D$4:$D$58,"?*",$I$4:$I$58,"x",CV4:CV58,"&lt;=6.4")</f>
        <v>0</v>
      </c>
      <c r="CS78" s="246">
        <f>COUNTIFS($D$4:$D$58,"?*",$I$4:$I$58,"x",CV4:CV58,"&lt;=6.4") - COUNTIFS($D$4:$D$58,"?*",$I$4:$I$58,"x",CV4:CV58,"&lt;=4.9")</f>
        <v>0</v>
      </c>
      <c r="CT78" s="246">
        <f>COUNTIFS($D$4:$D$58,"?*",$I$4:$I$58,"x",CV4:CV58,"&lt;=4.9") - COUNTIFS($D$4:$D$58,"?*",$I$4:$I$58,"x",CV4:CV58,"&lt;=3.4")</f>
        <v>0</v>
      </c>
      <c r="CU78" s="247">
        <f>COUNTIFS($D$4:$D$58,"?*",$I$4:$I$58,"x",CV4:CV58,"&lt;=3.4") - COUNTIFS($D$4:$D$58,"?*",$I$4:$I$58,"x",CV4:CV58,"&lt;0")</f>
        <v>0</v>
      </c>
      <c r="CX78" s="1027"/>
      <c r="CY78" s="244" t="s">
        <v>18</v>
      </c>
      <c r="CZ78" s="245">
        <f>COUNTIFS($D$4:$D$58,"?*",$I$4:$I$58,"x",DE4:DE58,"&lt;=10") - COUNTIFS($D$4:$D$58,"?*",$I$4:$I$58,"x",DE4:DE58,"&lt;=7.9")</f>
        <v>0</v>
      </c>
      <c r="DA78" s="246">
        <f>COUNTIFS($D$4:$D$58,"?*",$I$4:$I$58,"x",DE4:DE58,"&lt;=7.9") - COUNTIFS($D$4:$D$58,"?*",$I$4:$I$58,"x",DE4:DE58,"&lt;=6.4")</f>
        <v>0</v>
      </c>
      <c r="DB78" s="246">
        <f>COUNTIFS($D$4:$D$58,"?*",$I$4:$I$58,"x",DE4:DE58,"&lt;=6.4") - COUNTIFS($D$4:$D$58,"?*",$I$4:$I$58,"x",DE4:DE58,"&lt;=4.9")</f>
        <v>0</v>
      </c>
      <c r="DC78" s="246">
        <f>COUNTIFS($D$4:$D$58,"?*",$I$4:$I$58,"x",DE4:DE58,"&lt;=4.9") - COUNTIFS($D$4:$D$58,"?*",$I$4:$I$58,"x",DE4:DE58,"&lt;=3.4")</f>
        <v>0</v>
      </c>
      <c r="DD78" s="247">
        <f>COUNTIFS($D$4:$D$58,"?*",$I$4:$I$58,"x",DE4:DE58,"&lt;=3.4") - COUNTIFS($D$4:$D$58,"?*",$I$4:$I$58,"x",DE4:DE58,"&lt;0")</f>
        <v>0</v>
      </c>
      <c r="DP78" s="1027"/>
      <c r="DQ78" s="244" t="s">
        <v>18</v>
      </c>
      <c r="DR78" s="245">
        <f>COUNTIFS($D$4:$D$58,"?*",$I$4:$I$58,"x",DW4:DW58,"&lt;=10") - COUNTIFS($D$4:$D$58,"?*",$I$4:$I$58,"x",DW4:DW58,"&lt;=7.9")</f>
        <v>0</v>
      </c>
      <c r="DS78" s="246">
        <f>COUNTIFS($D$4:$D$58,"?*",$I$4:$I$58,"x",DW4:DW58,"&lt;=7.9") - COUNTIFS($D$4:$D$58,"?*",$I$4:$I$58,"x",DW4:DW58,"&lt;=6.4")</f>
        <v>0</v>
      </c>
      <c r="DT78" s="246">
        <f>COUNTIFS($D$4:$D$58,"?*",$I$4:$I$58,"x",DW4:DW58,"&lt;=6.4") - COUNTIFS($D$4:$D$58,"?*",$I$4:$I$58,"x",DW4:DW58,"&lt;=4.9")</f>
        <v>0</v>
      </c>
      <c r="DU78" s="246">
        <f>COUNTIFS($D$4:$D$58,"?*",$I$4:$I$58,"x",DW4:DW58,"&lt;=4.9") - COUNTIFS($D$4:$D$58,"?*",$I$4:$I$58,"x",DW4:DW58,"&lt;=3.4")</f>
        <v>0</v>
      </c>
      <c r="DV78" s="247">
        <f>COUNTIFS($D$4:$D$58,"?*",$I$4:$I$58,"x",DW4:DW58,"&lt;=3.4") - COUNTIFS($D$4:$D$58,"?*",$I$4:$I$58,"x",DW4:DW58,"&lt;0")</f>
        <v>0</v>
      </c>
      <c r="DY78" s="1027"/>
      <c r="DZ78" s="244" t="s">
        <v>18</v>
      </c>
      <c r="EA78" s="245">
        <f>COUNTIFS($D$4:$D$58,"?*",$I$4:$I$58,"x",EF4:EF58,"&lt;=10") - COUNTIFS($D$4:$D$58,"?*",$I$4:$I$58,"x",EF4:EF58,"&lt;=7.9")</f>
        <v>0</v>
      </c>
      <c r="EB78" s="246">
        <f>COUNTIFS($D$4:$D$58,"?*",$I$4:$I$58,"x",EF4:EF58,"&lt;=7.9") - COUNTIFS($D$4:$D$58,"?*",$I$4:$I$58,"x",EF4:EF58,"&lt;=6.4")</f>
        <v>0</v>
      </c>
      <c r="EC78" s="246">
        <f>COUNTIFS($D$4:$D$58,"?*",$I$4:$I$58,"x",EF4:EF58,"&lt;=6.4") - COUNTIFS($D$4:$D$58,"?*",$I$4:$I$58,"x",EF4:EF58,"&lt;=4.9")</f>
        <v>0</v>
      </c>
      <c r="ED78" s="246">
        <f>COUNTIFS($D$4:$D$58,"?*",$I$4:$I$58,"x",EF4:EF58,"&lt;=4.9") - COUNTIFS($D$4:$D$58,"?*",$I$4:$I$58,"x",EF4:EF58,"&lt;=3.4")</f>
        <v>0</v>
      </c>
      <c r="EE78" s="247">
        <f>COUNTIFS($D$4:$D$58,"?*",$I$4:$I$58,"x",EF4:EF58,"&lt;=3.4") - COUNTIFS($D$4:$D$58,"?*",$I$4:$I$58,"x",EF4:EF58,"&lt;0")</f>
        <v>0</v>
      </c>
    </row>
    <row r="79" spans="2:137" s="129" customFormat="1" ht="16.5" customHeight="1">
      <c r="B79" s="129">
        <v>12</v>
      </c>
      <c r="L79" s="1027"/>
      <c r="M79" s="244" t="s">
        <v>50</v>
      </c>
      <c r="N79" s="245">
        <f>COUNTIFS($D$4:$D$58,"?*",$J$4:$J$58,"x",S4:S58,"&lt;=10") - COUNTIFS($D$4:$D$58,"?*",$J$4:$J$58,"x",S4:S58,"&lt;=7.9")</f>
        <v>0</v>
      </c>
      <c r="O79" s="246">
        <f>COUNTIFS($D$4:$D$58,"?*",$J$4:$J$58,"x",S4:S58,"&lt;=7.9") - COUNTIFS($D$4:$D$58,"?*",$J$4:$J$58,"x",S4:S58,"&lt;=6.4")</f>
        <v>0</v>
      </c>
      <c r="P79" s="246">
        <f>COUNTIFS($D$4:$D$58,"?*",$J$4:$J$58,"x",S4:S58,"&lt;=6.4") - COUNTIFS($D$4:$D$58,"?*",$J$4:$J$58,"x",S4:S58,"&lt;=4.9")</f>
        <v>0</v>
      </c>
      <c r="Q79" s="246">
        <f>COUNTIFS($D$4:$D$58,"?*",$J$4:$J$58,"x",S4:S58,"&lt;=4.9") - COUNTIFS($D$4:$D$58,"?*",$J$4:$J$58,"x",S4:S58,"&lt;=3.4")</f>
        <v>0</v>
      </c>
      <c r="R79" s="247">
        <f>COUNTIFS($D$4:$D$58,"?*",$J$4:$J$58,"x",S4:S58,"&lt;=3.4") - COUNTIFS($D$4:$D$58,"?*",$J$4:$J$58,"x",S4:S58,"&lt;0")</f>
        <v>0</v>
      </c>
      <c r="U79" s="1027"/>
      <c r="V79" s="244" t="s">
        <v>50</v>
      </c>
      <c r="W79" s="245">
        <f>COUNTIFS($D$4:$D$58,"?*",$J$4:$J$58,"x",AB4:AB58,"&lt;=10") - COUNTIFS($D$4:$D$58,"?*",$J$4:$J$58,"x",AB4:AB58,"&lt;=7.9")</f>
        <v>0</v>
      </c>
      <c r="X79" s="246">
        <f>COUNTIFS($D$4:$D$58,"?*",$J$4:$J$58,"x",AB4:AB58,"&lt;=7.9") - COUNTIFS($D$4:$D$58,"?*",$J$4:$J$58,"x",AB4:AB58,"&lt;=6.4")</f>
        <v>0</v>
      </c>
      <c r="Y79" s="246">
        <f>COUNTIFS($D$4:$D$58,"?*",$J$4:$J$58,"x",AB4:AB58,"&lt;=6.4") - COUNTIFS($D$4:$D$58,"?*",$J$4:$J$58,"x",AB4:AB58,"&lt;=4.9")</f>
        <v>0</v>
      </c>
      <c r="Z79" s="246">
        <f>COUNTIFS($D$4:$D$58,"?*",$J$4:$J$58,"x",AB4:AB58,"&lt;=4.9") - COUNTIFS($D$4:$D$58,"?*",$J$4:$J$58,"x",AB4:AB58,"&lt;=3.4")</f>
        <v>0</v>
      </c>
      <c r="AA79" s="247">
        <f>COUNTIFS($D$4:$D$58,"?*",$J$4:$J$58,"x",AB4:AB58,"&lt;=3.4") - COUNTIFS($D$4:$D$58,"?*",$J$4:$J$58,"x",AB4:AB58,"&lt;0")</f>
        <v>0</v>
      </c>
      <c r="AD79" s="1027"/>
      <c r="AE79" s="244" t="s">
        <v>50</v>
      </c>
      <c r="AF79" s="245">
        <f>COUNTIFS($D$4:$D$58,"?*",$J$4:$J$58,"x",AK4:AK58,"&lt;=10") - COUNTIFS($D$4:$D$58,"?*",$J$4:$J$58,"x",AK4:AK58,"&lt;=7.9")</f>
        <v>0</v>
      </c>
      <c r="AG79" s="246">
        <f>COUNTIFS($D$4:$D$58,"?*",$J$4:$J$58,"x",AK4:AK58,"&lt;=7.9") - COUNTIFS($D$4:$D$58,"?*",$J$4:$J$58,"x",AK4:AK58,"&lt;=6.4")</f>
        <v>0</v>
      </c>
      <c r="AH79" s="246">
        <f>COUNTIFS($D$4:$D$58,"?*",$J$4:$J$58,"x",AK4:AK58,"&lt;=6.4") - COUNTIFS($D$4:$D$58,"?*",$J$4:$J$58,"x",AK4:AK58,"&lt;=4.9")</f>
        <v>0</v>
      </c>
      <c r="AI79" s="246">
        <f>COUNTIFS($D$4:$D$58,"?*",$J$4:$J$58,"x",AK4:AK58,"&lt;=4.9") - COUNTIFS($D$4:$D$58,"?*",$J$4:$J$58,"x",AK4:AK58,"&lt;=3.4")</f>
        <v>0</v>
      </c>
      <c r="AJ79" s="247">
        <f>COUNTIFS($D$4:$D$58,"?*",$J$4:$J$58,"x",AK4:AK58,"&lt;=3.4") - COUNTIFS($D$4:$D$58,"?*",$J$4:$J$58,"x",AK4:AK58,"&lt;0")</f>
        <v>0</v>
      </c>
      <c r="AM79" s="1027"/>
      <c r="AN79" s="244" t="s">
        <v>50</v>
      </c>
      <c r="AO79" s="245">
        <f>COUNTIFS($D$4:$D$58,"?*",$J$4:$J$58,"x",AT4:AT58,"&lt;=10") - COUNTIFS($D$4:$D$58,"?*",$J$4:$J$58,"x",AT4:AT58,"&lt;=7.9")</f>
        <v>0</v>
      </c>
      <c r="AP79" s="246">
        <f>COUNTIFS($D$4:$D$58,"?*",$J$4:$J$58,"x",AT4:AT58,"&lt;=7.9") - COUNTIFS($D$4:$D$58,"?*",$J$4:$J$58,"x",AT4:AT58,"&lt;=6.4")</f>
        <v>0</v>
      </c>
      <c r="AQ79" s="246">
        <f>COUNTIFS($D$4:$D$58,"?*",$J$4:$J$58,"x",AT4:AT58,"&lt;=6.4") - COUNTIFS($D$4:$D$58,"?*",$J$4:$J$58,"x",AT4:AT58,"&lt;=4.9")</f>
        <v>0</v>
      </c>
      <c r="AR79" s="246">
        <f>COUNTIFS($D$4:$D$58,"?*",$J$4:$J$58,"x",AT4:AT58,"&lt;=4.9") - COUNTIFS($D$4:$D$58,"?*",$J$4:$J$58,"x",AT4:AT58,"&lt;=3.4")</f>
        <v>0</v>
      </c>
      <c r="AS79" s="247">
        <f>COUNTIFS($D$4:$D$58,"?*",$J$4:$J$58,"x",AT4:AT58,"&lt;=3.4") - COUNTIFS($D$4:$D$58,"?*",$J$4:$J$58,"x",AT4:AT58,"&lt;0")</f>
        <v>0</v>
      </c>
      <c r="AV79" s="1027"/>
      <c r="AW79" s="244" t="s">
        <v>50</v>
      </c>
      <c r="AX79" s="245">
        <f>COUNTIFS($D$4:$D$58,"?*",$J$4:$J$58,"x",BC4:BC58,"&lt;=10") - COUNTIFS($D$4:$D$58,"?*",$J$4:$J$58,"x",BC4:BC58,"&lt;=7.9")</f>
        <v>0</v>
      </c>
      <c r="AY79" s="246">
        <f>COUNTIFS($D$4:$D$58,"?*",$J$4:$J$58,"x",BC4:BC58,"&lt;=7.9") - COUNTIFS($D$4:$D$58,"?*",$J$4:$J$58,"x",BC4:BC58,"&lt;=6.4")</f>
        <v>0</v>
      </c>
      <c r="AZ79" s="246">
        <f>COUNTIFS($D$4:$D$58,"?*",$J$4:$J$58,"x",BC4:BC58,"&lt;=6.4") - COUNTIFS($D$4:$D$58,"?*",$J$4:$J$58,"x",BC4:BC58,"&lt;=4.9")</f>
        <v>0</v>
      </c>
      <c r="BA79" s="246">
        <f>COUNTIFS($D$4:$D$58,"?*",$J$4:$J$58,"x",BC4:BC58,"&lt;=4.9") - COUNTIFS($D$4:$D$58,"?*",$J$4:$J$58,"x",BC4:BC58,"&lt;=3.4")</f>
        <v>0</v>
      </c>
      <c r="BB79" s="247">
        <f>COUNTIFS($D$4:$D$58,"?*",$J$4:$J$58,"x",BC4:BC58,"&lt;=3.4") - COUNTIFS($D$4:$D$58,"?*",$J$4:$J$58,"x",BC4:BC58,"&lt;0")</f>
        <v>0</v>
      </c>
      <c r="BE79" s="1027"/>
      <c r="BF79" s="244" t="s">
        <v>50</v>
      </c>
      <c r="BG79" s="245">
        <f>COUNTIFS($D$4:$D$58,"?*",$J$4:$J$58,"x",BL4:BL58,"&lt;=10") - COUNTIFS($D$4:$D$58,"?*",$J$4:$J$58,"x",BL4:BL58,"&lt;=7.9")</f>
        <v>0</v>
      </c>
      <c r="BH79" s="246">
        <f>COUNTIFS($D$4:$D$58,"?*",$J$4:$J$58,"x",BL4:BL58,"&lt;=7.9") - COUNTIFS($D$4:$D$58,"?*",$J$4:$J$58,"x",BL4:BL58,"&lt;=6.4")</f>
        <v>0</v>
      </c>
      <c r="BI79" s="246">
        <f>COUNTIFS($D$4:$D$58,"?*",$J$4:$J$58,"x",BL4:BL58,"&lt;=6.4") - COUNTIFS($D$4:$D$58,"?*",$J$4:$J$58,"x",BL4:BL58,"&lt;=4.9")</f>
        <v>0</v>
      </c>
      <c r="BJ79" s="246">
        <f>COUNTIFS($D$4:$D$58,"?*",$J$4:$J$58,"x",BL4:BL58,"&lt;=4.9") - COUNTIFS($D$4:$D$58,"?*",$J$4:$J$58,"x",BL4:BL58,"&lt;=3.4")</f>
        <v>0</v>
      </c>
      <c r="BK79" s="247">
        <f>COUNTIFS($D$4:$D$58,"?*",$J$4:$J$58,"x",BL4:BL58,"&lt;=3.4") - COUNTIFS($D$4:$D$58,"?*",$J$4:$J$58,"x",BL4:BL58,"&lt;0")</f>
        <v>0</v>
      </c>
      <c r="BN79" s="1027"/>
      <c r="BO79" s="244" t="s">
        <v>50</v>
      </c>
      <c r="BP79" s="245">
        <f>COUNTIFS($D$4:$D$58,"?*",$J$4:$J$58,"x",BU4:BU58,"&lt;=10") - COUNTIFS($D$4:$D$58,"?*",$J$4:$J$58,"x",BU4:BU58,"&lt;=7.9")</f>
        <v>0</v>
      </c>
      <c r="BQ79" s="246">
        <f>COUNTIFS($D$4:$D$58,"?*",$J$4:$J$58,"x",BU4:BU58,"&lt;=7.9") - COUNTIFS($D$4:$D$58,"?*",$J$4:$J$58,"x",BU4:BU58,"&lt;=6.4")</f>
        <v>0</v>
      </c>
      <c r="BR79" s="246">
        <f>COUNTIFS($D$4:$D$58,"?*",$J$4:$J$58,"x",BU4:BU58,"&lt;=6.4") - COUNTIFS($D$4:$D$58,"?*",$J$4:$J$58,"x",BU4:BU58,"&lt;=4.9")</f>
        <v>0</v>
      </c>
      <c r="BS79" s="246">
        <f>COUNTIFS($D$4:$D$58,"?*",$J$4:$J$58,"x",BU4:BU58,"&lt;=4.9") - COUNTIFS($D$4:$D$58,"?*",$J$4:$J$58,"x",BU4:BU58,"&lt;=3.4")</f>
        <v>0</v>
      </c>
      <c r="BT79" s="247">
        <f>COUNTIFS($D$4:$D$58,"?*",$J$4:$J$58,"x",BU4:BU58,"&lt;=3.4") - COUNTIFS($D$4:$D$58,"?*",$J$4:$J$58,"x",BU4:BU58,"&lt;0")</f>
        <v>0</v>
      </c>
      <c r="BW79" s="1027"/>
      <c r="BX79" s="244" t="s">
        <v>50</v>
      </c>
      <c r="BY79" s="245">
        <f>COUNTIFS($D$4:$D$58,"?*",$J$4:$J$58,"x",CD4:CD58,"&lt;=10") - COUNTIFS($D$4:$D$58,"?*",$J$4:$J$58,"x",CD4:CD58,"&lt;=7.9")</f>
        <v>0</v>
      </c>
      <c r="BZ79" s="246">
        <f>COUNTIFS($D$4:$D$58,"?*",$J$4:$J$58,"x",CD4:CD58,"&lt;=7.9") - COUNTIFS($D$4:$D$58,"?*",$J$4:$J$58,"x",CD4:CD58,"&lt;=6.4")</f>
        <v>0</v>
      </c>
      <c r="CA79" s="246">
        <f>COUNTIFS($D$4:$D$58,"?*",$J$4:$J$58,"x",CD4:CD58,"&lt;=6.4") - COUNTIFS($D$4:$D$58,"?*",$J$4:$J$58,"x",CD4:CD58,"&lt;=4.9")</f>
        <v>0</v>
      </c>
      <c r="CB79" s="246">
        <f>COUNTIFS($D$4:$D$58,"?*",$J$4:$J$58,"x",CD4:CD58,"&lt;=4.9") - COUNTIFS($D$4:$D$58,"?*",$J$4:$J$58,"x",CD4:CD58,"&lt;=3.4")</f>
        <v>0</v>
      </c>
      <c r="CC79" s="247">
        <f>COUNTIFS($D$4:$D$58,"?*",$J$4:$J$58,"x",CD4:CD58,"&lt;=3.4") - COUNTIFS($D$4:$D$58,"?*",$J$4:$J$58,"x",CD4:CD58,"&lt;0")</f>
        <v>0</v>
      </c>
      <c r="CF79" s="1027"/>
      <c r="CG79" s="244" t="s">
        <v>50</v>
      </c>
      <c r="CH79" s="245">
        <f>COUNTIFS($D$4:$D$58,"?*",$J$4:$J$58,"x",CM4:CM58,"&lt;=10") - COUNTIFS($D$4:$D$58,"?*",$J$4:$J$58,"x",CM4:CM58,"&lt;=7.9")</f>
        <v>0</v>
      </c>
      <c r="CI79" s="246">
        <f>COUNTIFS($D$4:$D$58,"?*",$J$4:$J$58,"x",CM4:CM58,"&lt;=7.9") - COUNTIFS($D$4:$D$58,"?*",$J$4:$J$58,"x",CM4:CM58,"&lt;=6.4")</f>
        <v>0</v>
      </c>
      <c r="CJ79" s="246">
        <f>COUNTIFS($D$4:$D$58,"?*",$J$4:$J$58,"x",CM4:CM58,"&lt;=6.4") - COUNTIFS($D$4:$D$58,"?*",$J$4:$J$58,"x",CM4:CM58,"&lt;=4.9")</f>
        <v>0</v>
      </c>
      <c r="CK79" s="246">
        <f>COUNTIFS($D$4:$D$58,"?*",$J$4:$J$58,"x",CM4:CM58,"&lt;=4.9") - COUNTIFS($D$4:$D$58,"?*",$J$4:$J$58,"x",CM4:CM58,"&lt;=3.4")</f>
        <v>0</v>
      </c>
      <c r="CL79" s="247">
        <f>COUNTIFS($D$4:$D$58,"?*",$J$4:$J$58,"x",CM4:CM58,"&lt;=3.4") - COUNTIFS($D$4:$D$58,"?*",$J$4:$J$58,"x",CM4:CM58,"&lt;0")</f>
        <v>0</v>
      </c>
      <c r="CO79" s="1027"/>
      <c r="CP79" s="244" t="s">
        <v>50</v>
      </c>
      <c r="CQ79" s="245">
        <f>COUNTIFS($D$4:$D$58,"?*",$J$4:$J$58,"x",CV4:CV58,"&lt;=10") - COUNTIFS($D$4:$D$58,"?*",$J$4:$J$58,"x",CV4:CV58,"&lt;=7.9")</f>
        <v>0</v>
      </c>
      <c r="CR79" s="246">
        <f>COUNTIFS($D$4:$D$58,"?*",$J$4:$J$58,"x",CV4:CV58,"&lt;=7.9") - COUNTIFS($D$4:$D$58,"?*",$J$4:$J$58,"x",CV4:CV58,"&lt;=6.4")</f>
        <v>0</v>
      </c>
      <c r="CS79" s="246">
        <f>COUNTIFS($D$4:$D$58,"?*",$J$4:$J$58,"x",CV4:CV58,"&lt;=6.4") - COUNTIFS($D$4:$D$58,"?*",$J$4:$J$58,"x",CV4:CV58,"&lt;=4.9")</f>
        <v>0</v>
      </c>
      <c r="CT79" s="246">
        <f>COUNTIFS($D$4:$D$58,"?*",$J$4:$J$58,"x",CV4:CV58,"&lt;=4.9") - COUNTIFS($D$4:$D$58,"?*",$J$4:$J$58,"x",CV4:CV58,"&lt;=3.4")</f>
        <v>0</v>
      </c>
      <c r="CU79" s="247">
        <f>COUNTIFS($D$4:$D$58,"?*",$J$4:$J$58,"x",CV4:CV58,"&lt;=3.4") - COUNTIFS($D$4:$D$58,"?*",$J$4:$J$58,"x",CV4:CV58,"&lt;0")</f>
        <v>0</v>
      </c>
      <c r="CX79" s="1027"/>
      <c r="CY79" s="244" t="s">
        <v>50</v>
      </c>
      <c r="CZ79" s="245">
        <f>COUNTIFS($D$4:$D$58,"?*",$J$4:$J$58,"x",DE4:DE58,"&lt;=10") - COUNTIFS($D$4:$D$58,"?*",$J$4:$J$58,"x",DE4:DE58,"&lt;=7.9")</f>
        <v>0</v>
      </c>
      <c r="DA79" s="246">
        <f>COUNTIFS($D$4:$D$58,"?*",$J$4:$J$58,"x",DE4:DE58,"&lt;=7.9") - COUNTIFS($D$4:$D$58,"?*",$J$4:$J$58,"x",DE4:DE58,"&lt;=6.4")</f>
        <v>0</v>
      </c>
      <c r="DB79" s="246">
        <f>COUNTIFS($D$4:$D$58,"?*",$J$4:$J$58,"x",DE4:DE58,"&lt;=6.4") - COUNTIFS($D$4:$D$58,"?*",$J$4:$J$58,"x",DE4:DE58,"&lt;=4.9")</f>
        <v>0</v>
      </c>
      <c r="DC79" s="246">
        <f>COUNTIFS($D$4:$D$58,"?*",$J$4:$J$58,"x",DE4:DE58,"&lt;=4.9") - COUNTIFS($D$4:$D$58,"?*",$J$4:$J$58,"x",DE4:DE58,"&lt;=3.4")</f>
        <v>0</v>
      </c>
      <c r="DD79" s="247">
        <f>COUNTIFS($D$4:$D$58,"?*",$J$4:$J$58,"x",DE4:DE58,"&lt;=3.4") - COUNTIFS($D$4:$D$58,"?*",$J$4:$J$58,"x",DE4:DE58,"&lt;0")</f>
        <v>0</v>
      </c>
      <c r="DP79" s="1027"/>
      <c r="DQ79" s="244" t="s">
        <v>50</v>
      </c>
      <c r="DR79" s="245">
        <f>COUNTIFS($D$4:$D$58,"?*",$J$4:$J$58,"x",DW4:DW58,"&lt;=10") - COUNTIFS($D$4:$D$58,"?*",$J$4:$J$58,"x",DW4:DW58,"&lt;=7.9")</f>
        <v>0</v>
      </c>
      <c r="DS79" s="246">
        <f>COUNTIFS($D$4:$D$58,"?*",$J$4:$J$58,"x",DW4:DW58,"&lt;=7.9") - COUNTIFS($D$4:$D$58,"?*",$J$4:$J$58,"x",DW4:DW58,"&lt;=6.4")</f>
        <v>0</v>
      </c>
      <c r="DT79" s="246">
        <f>COUNTIFS($D$4:$D$58,"?*",$J$4:$J$58,"x",DW4:DW58,"&lt;=6.4") - COUNTIFS($D$4:$D$58,"?*",$J$4:$J$58,"x",DW4:DW58,"&lt;=4.9")</f>
        <v>0</v>
      </c>
      <c r="DU79" s="246">
        <f>COUNTIFS($D$4:$D$58,"?*",$J$4:$J$58,"x",DW4:DW58,"&lt;=4.9") - COUNTIFS($D$4:$D$58,"?*",$J$4:$J$58,"x",DW4:DW58,"&lt;=3.4")</f>
        <v>0</v>
      </c>
      <c r="DV79" s="247">
        <f>COUNTIFS($D$4:$D$58,"?*",$J$4:$J$58,"x",DW4:DW58,"&lt;=3.4") - COUNTIFS($D$4:$D$58,"?*",$J$4:$J$58,"x",DW4:DW58,"&lt;0")</f>
        <v>0</v>
      </c>
      <c r="DY79" s="1027"/>
      <c r="DZ79" s="244" t="s">
        <v>50</v>
      </c>
      <c r="EA79" s="245">
        <f>COUNTIFS($D$4:$D$58,"?*",$J$4:$J$58,"x",EF4:EF58,"&lt;=10") - COUNTIFS($D$4:$D$58,"?*",$J$4:$J$58,"x",EF4:EF58,"&lt;=7.9")</f>
        <v>0</v>
      </c>
      <c r="EB79" s="246">
        <f>COUNTIFS($D$4:$D$58,"?*",$J$4:$J$58,"x",EF4:EF58,"&lt;=7.9") - COUNTIFS($D$4:$D$58,"?*",$J$4:$J$58,"x",EF4:EF58,"&lt;=6.4")</f>
        <v>0</v>
      </c>
      <c r="EC79" s="246">
        <f>COUNTIFS($D$4:$D$58,"?*",$J$4:$J$58,"x",EF4:EF58,"&lt;=6.4") - COUNTIFS($D$4:$D$58,"?*",$J$4:$J$58,"x",EF4:EF58,"&lt;=4.9")</f>
        <v>0</v>
      </c>
      <c r="ED79" s="246">
        <f>COUNTIFS($D$4:$D$58,"?*",$J$4:$J$58,"x",EF4:EF58,"&lt;=4.9") - COUNTIFS($D$4:$D$58,"?*",$J$4:$J$58,"x",EF4:EF58,"&lt;=3.4")</f>
        <v>0</v>
      </c>
      <c r="EE79" s="247">
        <f>COUNTIFS($D$4:$D$58,"?*",$J$4:$J$58,"x",EF4:EF58,"&lt;=3.4") - COUNTIFS($D$4:$D$58,"?*",$J$4:$J$58,"x",EF4:EF58,"&lt;0")</f>
        <v>0</v>
      </c>
    </row>
    <row r="80" spans="2:137" s="129" customFormat="1" ht="16.5" customHeight="1">
      <c r="B80" s="129">
        <v>13</v>
      </c>
      <c r="L80" s="1028"/>
      <c r="M80" s="244" t="s">
        <v>48</v>
      </c>
      <c r="N80" s="245">
        <f>COUNTIFS($D$4:$D$58,"?*",$K$4:$K$58,"x",S4:S58,"&lt;=10") - COUNTIFS($D$4:$D$58,"?*",$K$4:$K$58,"x",S4:S58,"&lt;=7.9")</f>
        <v>0</v>
      </c>
      <c r="O80" s="246">
        <f>COUNTIFS($D$4:$D$58,"?*",$K$4:$K$58,"x",S4:S58,"&lt;=7.9") - COUNTIFS($D$4:$D$58,"?*",$K$4:$K$58,"x",S4:S58,"&lt;=6.4")</f>
        <v>0</v>
      </c>
      <c r="P80" s="246">
        <f>COUNTIFS($D$4:$D$58,"?*",$K$4:$K$58,"x",S4:S58,"&lt;=6.4") - COUNTIFS($D$4:$D$58,"?*",$K$4:$K$58,"x",S4:S58,"&lt;=4.9")</f>
        <v>0</v>
      </c>
      <c r="Q80" s="246">
        <f>COUNTIFS($D$4:$D$58,"?*",$K$4:$K$58,"x",S4:S58,"&lt;=4.9") - COUNTIFS($D$4:$D$58,"?*",$K$4:$K$58,"x",S4:S58,"&lt;=3.4")</f>
        <v>0</v>
      </c>
      <c r="R80" s="247">
        <f>COUNTIFS($D$4:$D$58,"?*",$K$4:$K$58,"x",S4:S58,"&lt;=3.4") - COUNTIFS($D$4:$D$58,"?*",$K$4:$K$58,"x",S4:S58,"&lt;0")</f>
        <v>0</v>
      </c>
      <c r="U80" s="1028"/>
      <c r="V80" s="244" t="s">
        <v>48</v>
      </c>
      <c r="W80" s="245">
        <f>COUNTIFS($D$4:$D$58,"?*",$K$4:$K$58,"x",AB4:AB58,"&lt;=10") - COUNTIFS($D$4:$D$58,"?*",$K$4:$K$58,"x",AB4:AB58,"&lt;=7.9")</f>
        <v>0</v>
      </c>
      <c r="X80" s="246">
        <f>COUNTIFS($D$4:$D$58,"?*",$K$4:$K$58,"x",AB4:AB58,"&lt;=7.9") - COUNTIFS($D$4:$D$58,"?*",$K$4:$K$58,"x",AB4:AB58,"&lt;=6.4")</f>
        <v>0</v>
      </c>
      <c r="Y80" s="246">
        <f>COUNTIFS($D$4:$D$58,"?*",$K$4:$K$58,"x",AB4:AB58,"&lt;=6.4") - COUNTIFS($D$4:$D$58,"?*",$K$4:$K$58,"x",AB4:AB58,"&lt;=4.9")</f>
        <v>0</v>
      </c>
      <c r="Z80" s="246">
        <f>COUNTIFS($D$4:$D$58,"?*",$K$4:$K$58,"x",AB4:AB58,"&lt;=4.9") - COUNTIFS($D$4:$D$58,"?*",$K$4:$K$58,"x",AB4:AB58,"&lt;=3.4")</f>
        <v>0</v>
      </c>
      <c r="AA80" s="247">
        <f>COUNTIFS($D$4:$D$58,"?*",$K$4:$K$58,"x",AB4:AB58,"&lt;=3.4") - COUNTIFS($D$4:$D$58,"?*",$K$4:$K$58,"x",AB4:AB58,"&lt;0")</f>
        <v>0</v>
      </c>
      <c r="AD80" s="1028"/>
      <c r="AE80" s="244" t="s">
        <v>48</v>
      </c>
      <c r="AF80" s="245">
        <f>COUNTIFS($D$4:$D$58,"?*",$K$4:$K$58,"x",AK4:AK58,"&lt;=10") - COUNTIFS($D$4:$D$58,"?*",$K$4:$K$58,"x",AK4:AK58,"&lt;=7.9")</f>
        <v>0</v>
      </c>
      <c r="AG80" s="246">
        <f>COUNTIFS($D$4:$D$58,"?*",$K$4:$K$58,"x",AK4:AK58,"&lt;=7.9") - COUNTIFS($D$4:$D$58,"?*",$K$4:$K$58,"x",AK4:AK58,"&lt;=6.4")</f>
        <v>0</v>
      </c>
      <c r="AH80" s="246">
        <f>COUNTIFS($D$4:$D$58,"?*",$K$4:$K$58,"x",AK4:AK58,"&lt;=6.4") - COUNTIFS($D$4:$D$58,"?*",$K$4:$K$58,"x",AK4:AK58,"&lt;=4.9")</f>
        <v>0</v>
      </c>
      <c r="AI80" s="246">
        <f>COUNTIFS($D$4:$D$58,"?*",$K$4:$K$58,"x",AK4:AK58,"&lt;=4.9") - COUNTIFS($D$4:$D$58,"?*",$K$4:$K$58,"x",AK4:AK58,"&lt;=3.4")</f>
        <v>0</v>
      </c>
      <c r="AJ80" s="247">
        <f>COUNTIFS($D$4:$D$58,"?*",$K$4:$K$58,"x",AK4:AK58,"&lt;=3.4") - COUNTIFS($D$4:$D$58,"?*",$K$4:$K$58,"x",AK4:AK58,"&lt;0")</f>
        <v>0</v>
      </c>
      <c r="AM80" s="1028"/>
      <c r="AN80" s="244" t="s">
        <v>48</v>
      </c>
      <c r="AO80" s="245">
        <f>COUNTIFS($D$4:$D$58,"?*",$K$4:$K$58,"x",AT4:AT58,"&lt;=10") - COUNTIFS($D$4:$D$58,"?*",$K$4:$K$58,"x",AT4:AT58,"&lt;=7.9")</f>
        <v>0</v>
      </c>
      <c r="AP80" s="246">
        <f>COUNTIFS($D$4:$D$58,"?*",$K$4:$K$58,"x",AT4:AT58,"&lt;=7.9") - COUNTIFS($D$4:$D$58,"?*",$K$4:$K$58,"x",AT4:AT58,"&lt;=6.4")</f>
        <v>0</v>
      </c>
      <c r="AQ80" s="246">
        <f>COUNTIFS($D$4:$D$58,"?*",$K$4:$K$58,"x",AT4:AT58,"&lt;=6.4") - COUNTIFS($D$4:$D$58,"?*",$K$4:$K$58,"x",AT4:AT58,"&lt;=4.9")</f>
        <v>0</v>
      </c>
      <c r="AR80" s="246">
        <f>COUNTIFS($D$4:$D$58,"?*",$K$4:$K$58,"x",AT4:AT58,"&lt;=4.9") - COUNTIFS($D$4:$D$58,"?*",$K$4:$K$58,"x",AT4:AT58,"&lt;=3.4")</f>
        <v>0</v>
      </c>
      <c r="AS80" s="247">
        <f>COUNTIFS($D$4:$D$58,"?*",$K$4:$K$58,"x",AT4:AT58,"&lt;=3.4") - COUNTIFS($D$4:$D$58,"?*",$K$4:$K$58,"x",AT4:AT58,"&lt;0")</f>
        <v>0</v>
      </c>
      <c r="AV80" s="1028"/>
      <c r="AW80" s="244" t="s">
        <v>48</v>
      </c>
      <c r="AX80" s="245">
        <f>COUNTIFS($D$4:$D$58,"?*",$K$4:$K$58,"x",BC4:BC58,"&lt;=10") - COUNTIFS($D$4:$D$58,"?*",$K$4:$K$58,"x",BC4:BC58,"&lt;=7.9")</f>
        <v>0</v>
      </c>
      <c r="AY80" s="246">
        <f>COUNTIFS($D$4:$D$58,"?*",$K$4:$K$58,"x",BC4:BC58,"&lt;=7.9") - COUNTIFS($D$4:$D$58,"?*",$K$4:$K$58,"x",BC4:BC58,"&lt;=6.4")</f>
        <v>0</v>
      </c>
      <c r="AZ80" s="246">
        <f>COUNTIFS($D$4:$D$58,"?*",$K$4:$K$58,"x",BC4:BC58,"&lt;=6.4") - COUNTIFS($D$4:$D$58,"?*",$K$4:$K$58,"x",BC4:BC58,"&lt;=4.9")</f>
        <v>0</v>
      </c>
      <c r="BA80" s="246">
        <f>COUNTIFS($D$4:$D$58,"?*",$K$4:$K$58,"x",BC4:BC58,"&lt;=4.9") - COUNTIFS($D$4:$D$58,"?*",$K$4:$K$58,"x",BC4:BC58,"&lt;=3.4")</f>
        <v>0</v>
      </c>
      <c r="BB80" s="247">
        <f>COUNTIFS($D$4:$D$58,"?*",$K$4:$K$58,"x",BC4:BC58,"&lt;=3.4") - COUNTIFS($D$4:$D$58,"?*",$K$4:$K$58,"x",BC4:BC58,"&lt;0")</f>
        <v>0</v>
      </c>
      <c r="BE80" s="1028"/>
      <c r="BF80" s="244" t="s">
        <v>48</v>
      </c>
      <c r="BG80" s="245">
        <f>COUNTIFS($D$4:$D$58,"?*",$K$4:$K$58,"x",BL4:BL58,"&lt;=10") - COUNTIFS($D$4:$D$58,"?*",$K$4:$K$58,"x",BL4:BL58,"&lt;=7.9")</f>
        <v>0</v>
      </c>
      <c r="BH80" s="246">
        <f>COUNTIFS($D$4:$D$58,"?*",$K$4:$K$58,"x",BL4:BL58,"&lt;=7.9") - COUNTIFS($D$4:$D$58,"?*",$K$4:$K$58,"x",BL4:BL58,"&lt;=6.4")</f>
        <v>0</v>
      </c>
      <c r="BI80" s="246">
        <f>COUNTIFS($D$4:$D$58,"?*",$K$4:$K$58,"x",BL4:BL58,"&lt;=6.4") - COUNTIFS($D$4:$D$58,"?*",$K$4:$K$58,"x",BL4:BL58,"&lt;=4.9")</f>
        <v>0</v>
      </c>
      <c r="BJ80" s="246">
        <f>COUNTIFS($D$4:$D$58,"?*",$K$4:$K$58,"x",BL4:BL58,"&lt;=4.9") - COUNTIFS($D$4:$D$58,"?*",$K$4:$K$58,"x",BL4:BL58,"&lt;=3.4")</f>
        <v>0</v>
      </c>
      <c r="BK80" s="247">
        <f>COUNTIFS($D$4:$D$58,"?*",$K$4:$K$58,"x",BL4:BL58,"&lt;=3.4") - COUNTIFS($D$4:$D$58,"?*",$K$4:$K$58,"x",BL4:BL58,"&lt;0")</f>
        <v>0</v>
      </c>
      <c r="BN80" s="1028"/>
      <c r="BO80" s="244" t="s">
        <v>48</v>
      </c>
      <c r="BP80" s="245">
        <f>COUNTIFS($D$4:$D$58,"?*",$K$4:$K$58,"x",BU4:BU58,"&lt;=10") - COUNTIFS($D$4:$D$58,"?*",$K$4:$K$58,"x",BU4:BU58,"&lt;=7.9")</f>
        <v>0</v>
      </c>
      <c r="BQ80" s="246">
        <f>COUNTIFS($D$4:$D$58,"?*",$K$4:$K$58,"x",BU4:BU58,"&lt;=7.9") - COUNTIFS($D$4:$D$58,"?*",$K$4:$K$58,"x",BU4:BU58,"&lt;=6.4")</f>
        <v>0</v>
      </c>
      <c r="BR80" s="246">
        <f>COUNTIFS($D$4:$D$58,"?*",$K$4:$K$58,"x",BU4:BU58,"&lt;=6.4") - COUNTIFS($D$4:$D$58,"?*",$K$4:$K$58,"x",BU4:BU58,"&lt;=4.9")</f>
        <v>0</v>
      </c>
      <c r="BS80" s="246">
        <f>COUNTIFS($D$4:$D$58,"?*",$K$4:$K$58,"x",BU4:BU58,"&lt;=4.9") - COUNTIFS($D$4:$D$58,"?*",$K$4:$K$58,"x",BU4:BU58,"&lt;=3.4")</f>
        <v>0</v>
      </c>
      <c r="BT80" s="247">
        <f>COUNTIFS($D$4:$D$58,"?*",$K$4:$K$58,"x",BU4:BU58,"&lt;=3.4") - COUNTIFS($D$4:$D$58,"?*",$K$4:$K$58,"x",BU4:BU58,"&lt;0")</f>
        <v>0</v>
      </c>
      <c r="BW80" s="1028"/>
      <c r="BX80" s="244" t="s">
        <v>48</v>
      </c>
      <c r="BY80" s="245">
        <f>COUNTIFS($D$4:$D$58,"?*",$K$4:$K$58,"x",CD4:CD58,"&lt;=10") - COUNTIFS($D$4:$D$58,"?*",$K$4:$K$58,"x",CD4:CD58,"&lt;=7.9")</f>
        <v>0</v>
      </c>
      <c r="BZ80" s="246">
        <f>COUNTIFS($D$4:$D$58,"?*",$K$4:$K$58,"x",CD4:CD58,"&lt;=7.9") - COUNTIFS($D$4:$D$58,"?*",$K$4:$K$58,"x",CD4:CD58,"&lt;=6.4")</f>
        <v>0</v>
      </c>
      <c r="CA80" s="246">
        <f>COUNTIFS($D$4:$D$58,"?*",$K$4:$K$58,"x",CD4:CD58,"&lt;=6.4") - COUNTIFS($D$4:$D$58,"?*",$K$4:$K$58,"x",CD4:CD58,"&lt;=4.9")</f>
        <v>0</v>
      </c>
      <c r="CB80" s="246">
        <f>COUNTIFS($D$4:$D$58,"?*",$K$4:$K$58,"x",CD4:CD58,"&lt;=4.9") - COUNTIFS($D$4:$D$58,"?*",$K$4:$K$58,"x",CD4:CD58,"&lt;=3.4")</f>
        <v>0</v>
      </c>
      <c r="CC80" s="247">
        <f>COUNTIFS($D$4:$D$58,"?*",$K$4:$K$58,"x",CD4:CD58,"&lt;=3.4") - COUNTIFS($D$4:$D$58,"?*",$K$4:$K$58,"x",CD4:CD58,"&lt;0")</f>
        <v>0</v>
      </c>
      <c r="CF80" s="1028"/>
      <c r="CG80" s="244" t="s">
        <v>48</v>
      </c>
      <c r="CH80" s="245">
        <f>COUNTIFS($D$4:$D$58,"?*",$K$4:$K$58,"x",CM4:CM58,"&lt;=10") - COUNTIFS($D$4:$D$58,"?*",$K$4:$K$58,"x",CM4:CM58,"&lt;=7.9")</f>
        <v>0</v>
      </c>
      <c r="CI80" s="246">
        <f>COUNTIFS($D$4:$D$58,"?*",$K$4:$K$58,"x",CM4:CM58,"&lt;=7.9") - COUNTIFS($D$4:$D$58,"?*",$K$4:$K$58,"x",CM4:CM58,"&lt;=6.4")</f>
        <v>0</v>
      </c>
      <c r="CJ80" s="246">
        <f>COUNTIFS($D$4:$D$58,"?*",$K$4:$K$58,"x",CM4:CM58,"&lt;=6.4") - COUNTIFS($D$4:$D$58,"?*",$K$4:$K$58,"x",CM4:CM58,"&lt;=4.9")</f>
        <v>0</v>
      </c>
      <c r="CK80" s="246">
        <f>COUNTIFS($D$4:$D$58,"?*",$K$4:$K$58,"x",CM4:CM58,"&lt;=4.9") - COUNTIFS($D$4:$D$58,"?*",$K$4:$K$58,"x",CM4:CM58,"&lt;=3.4")</f>
        <v>0</v>
      </c>
      <c r="CL80" s="247">
        <f>COUNTIFS($D$4:$D$58,"?*",$K$4:$K$58,"x",CM4:CM58,"&lt;=3.4") - COUNTIFS($D$4:$D$58,"?*",$K$4:$K$58,"x",CM4:CM58,"&lt;0")</f>
        <v>0</v>
      </c>
      <c r="CO80" s="1028"/>
      <c r="CP80" s="244" t="s">
        <v>48</v>
      </c>
      <c r="CQ80" s="245">
        <f>COUNTIFS($D$4:$D$58,"?*",$K$4:$K$58,"x",CV4:CV58,"&lt;=10") - COUNTIFS($D$4:$D$58,"?*",$K$4:$K$58,"x",CV4:CV58,"&lt;=7.9")</f>
        <v>0</v>
      </c>
      <c r="CR80" s="246">
        <f>COUNTIFS($D$4:$D$58,"?*",$K$4:$K$58,"x",CV4:CV58,"&lt;=7.9") - COUNTIFS($D$4:$D$58,"?*",$K$4:$K$58,"x",CV4:CV58,"&lt;=6.4")</f>
        <v>0</v>
      </c>
      <c r="CS80" s="246">
        <f>COUNTIFS($D$4:$D$58,"?*",$K$4:$K$58,"x",CV4:CV58,"&lt;=6.4") - COUNTIFS($D$4:$D$58,"?*",$K$4:$K$58,"x",CV4:CV58,"&lt;=4.9")</f>
        <v>0</v>
      </c>
      <c r="CT80" s="246">
        <f>COUNTIFS($D$4:$D$58,"?*",$K$4:$K$58,"x",CV4:CV58,"&lt;=4.9") - COUNTIFS($D$4:$D$58,"?*",$K$4:$K$58,"x",CV4:CV58,"&lt;=3.4")</f>
        <v>0</v>
      </c>
      <c r="CU80" s="247">
        <f>COUNTIFS($D$4:$D$58,"?*",$K$4:$K$58,"x",CV4:CV58,"&lt;=3.4") - COUNTIFS($D$4:$D$58,"?*",$K$4:$K$58,"x",CV4:CV58,"&lt;0")</f>
        <v>0</v>
      </c>
      <c r="CX80" s="1028"/>
      <c r="CY80" s="244" t="s">
        <v>48</v>
      </c>
      <c r="CZ80" s="245">
        <f>COUNTIFS($D$4:$D$58,"?*",$K$4:$K$58,"x",DE4:DE58,"&lt;=10") - COUNTIFS($D$4:$D$58,"?*",$K$4:$K$58,"x",DE4:DE58,"&lt;=7.9")</f>
        <v>0</v>
      </c>
      <c r="DA80" s="246">
        <f>COUNTIFS($D$4:$D$58,"?*",$K$4:$K$58,"x",DE4:DE58,"&lt;=7.9") - COUNTIFS($D$4:$D$58,"?*",$K$4:$K$58,"x",DE4:DE58,"&lt;=6.4")</f>
        <v>0</v>
      </c>
      <c r="DB80" s="246">
        <f>COUNTIFS($D$4:$D$58,"?*",$K$4:$K$58,"x",DE4:DE58,"&lt;=6.4") - COUNTIFS($D$4:$D$58,"?*",$K$4:$K$58,"x",DE4:DE58,"&lt;=4.9")</f>
        <v>0</v>
      </c>
      <c r="DC80" s="246">
        <f>COUNTIFS($D$4:$D$58,"?*",$K$4:$K$58,"x",DE4:DE58,"&lt;=4.9") - COUNTIFS($D$4:$D$58,"?*",$K$4:$K$58,"x",DE4:DE58,"&lt;=3.4")</f>
        <v>0</v>
      </c>
      <c r="DD80" s="247">
        <f>COUNTIFS($D$4:$D$58,"?*",$K$4:$K$58,"x",DE4:DE58,"&lt;=3.4") - COUNTIFS($D$4:$D$58,"?*",$K$4:$K$58,"x",DE4:DE58,"&lt;0")</f>
        <v>0</v>
      </c>
      <c r="DP80" s="1028"/>
      <c r="DQ80" s="244" t="s">
        <v>48</v>
      </c>
      <c r="DR80" s="245">
        <f>COUNTIFS($D$4:$D$58,"?*",$K$4:$K$58,"x",DW4:DW58,"&lt;=10") - COUNTIFS($D$4:$D$58,"?*",$K$4:$K$58,"x",DW4:DW58,"&lt;=7.9")</f>
        <v>0</v>
      </c>
      <c r="DS80" s="246">
        <f>COUNTIFS($D$4:$D$58,"?*",$K$4:$K$58,"x",DW4:DW58,"&lt;=7.9") - COUNTIFS($D$4:$D$58,"?*",$K$4:$K$58,"x",DW4:DW58,"&lt;=6.4")</f>
        <v>0</v>
      </c>
      <c r="DT80" s="246">
        <f>COUNTIFS($D$4:$D$58,"?*",$K$4:$K$58,"x",DW4:DW58,"&lt;=6.4") - COUNTIFS($D$4:$D$58,"?*",$K$4:$K$58,"x",DW4:DW58,"&lt;=4.9")</f>
        <v>0</v>
      </c>
      <c r="DU80" s="246">
        <f>COUNTIFS($D$4:$D$58,"?*",$K$4:$K$58,"x",DW4:DW58,"&lt;=4.9") - COUNTIFS($D$4:$D$58,"?*",$K$4:$K$58,"x",DW4:DW58,"&lt;=3.4")</f>
        <v>0</v>
      </c>
      <c r="DV80" s="247">
        <f>COUNTIFS($D$4:$D$58,"?*",$K$4:$K$58,"x",DW4:DW58,"&lt;=3.4") - COUNTIFS($D$4:$D$58,"?*",$K$4:$K$58,"x",DW4:DW58,"&lt;0")</f>
        <v>0</v>
      </c>
      <c r="DY80" s="1028"/>
      <c r="DZ80" s="244" t="s">
        <v>48</v>
      </c>
      <c r="EA80" s="245">
        <f>COUNTIFS($D$4:$D$58,"?*",$K$4:$K$58,"x",EF4:EF58,"&lt;=10") - COUNTIFS($D$4:$D$58,"?*",$K$4:$K$58,"x",EF4:EF58,"&lt;=7.9")</f>
        <v>0</v>
      </c>
      <c r="EB80" s="246">
        <f>COUNTIFS($D$4:$D$58,"?*",$K$4:$K$58,"x",EF4:EF58,"&lt;=7.9") - COUNTIFS($D$4:$D$58,"?*",$K$4:$K$58,"x",EF4:EF58,"&lt;=6.4")</f>
        <v>0</v>
      </c>
      <c r="EC80" s="246">
        <f>COUNTIFS($D$4:$D$58,"?*",$K$4:$K$58,"x",EF4:EF58,"&lt;=6.4") - COUNTIFS($D$4:$D$58,"?*",$K$4:$K$58,"x",EF4:EF58,"&lt;=4.9")</f>
        <v>0</v>
      </c>
      <c r="ED80" s="246">
        <f>COUNTIFS($D$4:$D$58,"?*",$K$4:$K$58,"x",EF4:EF58,"&lt;=4.9") - COUNTIFS($D$4:$D$58,"?*",$K$4:$K$58,"x",EF4:EF58,"&lt;=3.4")</f>
        <v>0</v>
      </c>
      <c r="EE80" s="247">
        <f>COUNTIFS($D$4:$D$58,"?*",$K$4:$K$58,"x",EF4:EF58,"&lt;=3.4") - COUNTIFS($D$4:$D$58,"?*",$K$4:$K$58,"x",EF4:EF58,"&lt;0")</f>
        <v>0</v>
      </c>
    </row>
    <row r="81" spans="2:137" s="129" customFormat="1" ht="16.5" customHeight="1">
      <c r="B81" s="129">
        <v>14</v>
      </c>
    </row>
    <row r="82" spans="2:137" s="129" customFormat="1" ht="16.5" customHeight="1">
      <c r="B82" s="129">
        <v>15</v>
      </c>
      <c r="L82" s="938" t="s">
        <v>3</v>
      </c>
      <c r="M82" s="940"/>
      <c r="N82" s="236" t="s">
        <v>11</v>
      </c>
      <c r="O82" s="237" t="s">
        <v>12</v>
      </c>
      <c r="P82" s="237" t="s">
        <v>8</v>
      </c>
      <c r="Q82" s="237" t="s">
        <v>14</v>
      </c>
      <c r="R82" s="238" t="s">
        <v>15</v>
      </c>
      <c r="U82" s="938" t="s">
        <v>3</v>
      </c>
      <c r="V82" s="940"/>
      <c r="W82" s="236" t="s">
        <v>11</v>
      </c>
      <c r="X82" s="237" t="s">
        <v>12</v>
      </c>
      <c r="Y82" s="237" t="s">
        <v>8</v>
      </c>
      <c r="Z82" s="237" t="s">
        <v>14</v>
      </c>
      <c r="AA82" s="238" t="s">
        <v>15</v>
      </c>
      <c r="AD82" s="938" t="s">
        <v>3</v>
      </c>
      <c r="AE82" s="940"/>
      <c r="AF82" s="236" t="s">
        <v>11</v>
      </c>
      <c r="AG82" s="237" t="s">
        <v>12</v>
      </c>
      <c r="AH82" s="237" t="s">
        <v>8</v>
      </c>
      <c r="AI82" s="237" t="s">
        <v>14</v>
      </c>
      <c r="AJ82" s="238" t="s">
        <v>15</v>
      </c>
      <c r="AM82" s="938" t="s">
        <v>3</v>
      </c>
      <c r="AN82" s="940"/>
      <c r="AO82" s="236" t="s">
        <v>11</v>
      </c>
      <c r="AP82" s="237" t="s">
        <v>12</v>
      </c>
      <c r="AQ82" s="237" t="s">
        <v>8</v>
      </c>
      <c r="AR82" s="237" t="s">
        <v>14</v>
      </c>
      <c r="AS82" s="238" t="s">
        <v>15</v>
      </c>
      <c r="AV82" s="938" t="s">
        <v>3</v>
      </c>
      <c r="AW82" s="940"/>
      <c r="AX82" s="236" t="s">
        <v>11</v>
      </c>
      <c r="AY82" s="237" t="s">
        <v>12</v>
      </c>
      <c r="AZ82" s="237" t="s">
        <v>8</v>
      </c>
      <c r="BA82" s="237" t="s">
        <v>14</v>
      </c>
      <c r="BB82" s="238" t="s">
        <v>15</v>
      </c>
      <c r="BE82" s="938" t="s">
        <v>3</v>
      </c>
      <c r="BF82" s="940"/>
      <c r="BG82" s="236" t="s">
        <v>11</v>
      </c>
      <c r="BH82" s="237" t="s">
        <v>12</v>
      </c>
      <c r="BI82" s="237" t="s">
        <v>8</v>
      </c>
      <c r="BJ82" s="237" t="s">
        <v>14</v>
      </c>
      <c r="BK82" s="238" t="s">
        <v>15</v>
      </c>
      <c r="BN82" s="938" t="s">
        <v>3</v>
      </c>
      <c r="BO82" s="940"/>
      <c r="BP82" s="236" t="s">
        <v>11</v>
      </c>
      <c r="BQ82" s="237" t="s">
        <v>12</v>
      </c>
      <c r="BR82" s="237" t="s">
        <v>8</v>
      </c>
      <c r="BS82" s="237" t="s">
        <v>14</v>
      </c>
      <c r="BT82" s="238" t="s">
        <v>15</v>
      </c>
      <c r="BW82" s="938" t="s">
        <v>3</v>
      </c>
      <c r="BX82" s="940"/>
      <c r="BY82" s="236" t="s">
        <v>11</v>
      </c>
      <c r="BZ82" s="237" t="s">
        <v>12</v>
      </c>
      <c r="CA82" s="237" t="s">
        <v>8</v>
      </c>
      <c r="CB82" s="237" t="s">
        <v>14</v>
      </c>
      <c r="CC82" s="238" t="s">
        <v>15</v>
      </c>
      <c r="CF82" s="938" t="s">
        <v>3</v>
      </c>
      <c r="CG82" s="940"/>
      <c r="CH82" s="236" t="s">
        <v>11</v>
      </c>
      <c r="CI82" s="237" t="s">
        <v>12</v>
      </c>
      <c r="CJ82" s="237" t="s">
        <v>8</v>
      </c>
      <c r="CK82" s="237" t="s">
        <v>14</v>
      </c>
      <c r="CL82" s="238" t="s">
        <v>15</v>
      </c>
      <c r="CO82" s="938" t="s">
        <v>3</v>
      </c>
      <c r="CP82" s="940"/>
      <c r="CQ82" s="236" t="s">
        <v>11</v>
      </c>
      <c r="CR82" s="237" t="s">
        <v>12</v>
      </c>
      <c r="CS82" s="237" t="s">
        <v>8</v>
      </c>
      <c r="CT82" s="237" t="s">
        <v>14</v>
      </c>
      <c r="CU82" s="238" t="s">
        <v>15</v>
      </c>
      <c r="CX82" s="938" t="s">
        <v>3</v>
      </c>
      <c r="CY82" s="940"/>
      <c r="CZ82" s="236" t="s">
        <v>11</v>
      </c>
      <c r="DA82" s="237" t="s">
        <v>12</v>
      </c>
      <c r="DB82" s="237" t="s">
        <v>8</v>
      </c>
      <c r="DC82" s="237" t="s">
        <v>14</v>
      </c>
      <c r="DD82" s="238" t="s">
        <v>15</v>
      </c>
      <c r="DP82" s="938" t="s">
        <v>3</v>
      </c>
      <c r="DQ82" s="940"/>
      <c r="DR82" s="236" t="s">
        <v>11</v>
      </c>
      <c r="DS82" s="237" t="s">
        <v>12</v>
      </c>
      <c r="DT82" s="237" t="s">
        <v>8</v>
      </c>
      <c r="DU82" s="237" t="s">
        <v>14</v>
      </c>
      <c r="DV82" s="238" t="s">
        <v>15</v>
      </c>
      <c r="DY82" s="938" t="s">
        <v>3</v>
      </c>
      <c r="DZ82" s="940"/>
      <c r="EA82" s="236" t="s">
        <v>11</v>
      </c>
      <c r="EB82" s="237" t="s">
        <v>12</v>
      </c>
      <c r="EC82" s="237" t="s">
        <v>8</v>
      </c>
      <c r="ED82" s="237" t="s">
        <v>14</v>
      </c>
      <c r="EE82" s="238" t="s">
        <v>15</v>
      </c>
    </row>
    <row r="83" spans="2:137" s="129" customFormat="1" ht="16.5" customHeight="1">
      <c r="B83" s="129">
        <v>16</v>
      </c>
      <c r="L83" s="874" t="s">
        <v>258</v>
      </c>
      <c r="M83" s="239" t="s">
        <v>49</v>
      </c>
      <c r="N83" s="240">
        <f>COUNTIFS($D$4:$D$58,"?*",T4:T58,"&lt;=10") - COUNTIFS($D$4:$D$58,"?*",T4:T58,"&lt;=7.9")</f>
        <v>0</v>
      </c>
      <c r="O83" s="241">
        <f>COUNTIFS($D$4:$D$58,"?*",T4:T58,"&lt;=7.9") - COUNTIFS($D$4:$D$58,"?*",T4:T58,"&lt;=6.4")</f>
        <v>0</v>
      </c>
      <c r="P83" s="241">
        <f>COUNTIFS($D$4:$D$58,"?*",T4:T58,"&lt;=6.4") - COUNTIFS($D$4:$D$58,"?*",T4:T58,"&lt;=4.9")</f>
        <v>0</v>
      </c>
      <c r="Q83" s="241">
        <f>COUNTIFS($D$4:$D$58,"?*",T4:T58,"&lt;=4.9") - COUNTIFS($D$4:$D$58,"?*",T4:T58,"&lt;=3.4")</f>
        <v>0</v>
      </c>
      <c r="R83" s="242">
        <f>COUNTIFS($D$4:$D$58,"?*",T4:T58,"&lt;=3.4") - COUNTIFS($D$4:$D$58,"?*",T4:T58,"&lt;0")</f>
        <v>0</v>
      </c>
      <c r="U83" s="874" t="s">
        <v>258</v>
      </c>
      <c r="V83" s="239" t="s">
        <v>49</v>
      </c>
      <c r="W83" s="240">
        <f>COUNTIFS($D$4:$D$58,"?*",AC4:AC58,"&lt;=10") - COUNTIFS($D$4:$D$58,"?*",AC4:AC58,"&lt;=7.9")</f>
        <v>0</v>
      </c>
      <c r="X83" s="241">
        <f>COUNTIFS($D$4:$D$58,"?*",AC4:AC58,"&lt;=7.9") - COUNTIFS($D$4:$D$58,"?*",AC4:AC58,"&lt;=6.4")</f>
        <v>0</v>
      </c>
      <c r="Y83" s="241">
        <f>COUNTIFS($D$4:$D$58,"?*",AC4:AC58,"&lt;=6.4") - COUNTIFS($D$4:$D$58,"?*",AC4:AC58,"&lt;=4.9")</f>
        <v>0</v>
      </c>
      <c r="Z83" s="241">
        <f>COUNTIFS($D$4:$D$58,"?*",AC4:AC58,"&lt;=4.9") - COUNTIFS($D$4:$D$58,"?*",AC4:AC58,"&lt;=3.4")</f>
        <v>0</v>
      </c>
      <c r="AA83" s="242">
        <f>COUNTIFS($D$4:$D$58,"?*",AC4:AC58,"&lt;=3.4") - COUNTIFS($D$4:$D$58,"?*",AC4:AC58,"&lt;0")</f>
        <v>0</v>
      </c>
      <c r="AD83" s="874" t="s">
        <v>258</v>
      </c>
      <c r="AE83" s="239" t="s">
        <v>49</v>
      </c>
      <c r="AF83" s="240">
        <f>COUNTIFS($D$4:$D$58,"?*",AL4:AL58,"&lt;=10") - COUNTIFS($D$4:$D$58,"?*",AL4:AL58,"&lt;=7.9")</f>
        <v>0</v>
      </c>
      <c r="AG83" s="241">
        <f>COUNTIFS($D$4:$D$58,"?*",AL4:AL58,"&lt;=7.9") - COUNTIFS($D$4:$D$58,"?*",AL4:AL58,"&lt;=6.4")</f>
        <v>0</v>
      </c>
      <c r="AH83" s="241">
        <f>COUNTIFS($D$4:$D$58,"?*",AL4:AL58,"&lt;=6.4") - COUNTIFS($D$4:$D$58,"?*",AL4:AL58,"&lt;=4.9")</f>
        <v>0</v>
      </c>
      <c r="AI83" s="241">
        <f>COUNTIFS($D$4:$D$58,"?*",AL4:AL58,"&lt;=4.9") - COUNTIFS($D$4:$D$58,"?*",AL4:AL58,"&lt;=3.4")</f>
        <v>0</v>
      </c>
      <c r="AJ83" s="242">
        <f>COUNTIFS($D$4:$D$58,"?*",AL4:AL58,"&lt;=3.4") - COUNTIFS($D$4:$D$58,"?*",AL4:AL58,"&lt;0")</f>
        <v>0</v>
      </c>
      <c r="AM83" s="874" t="s">
        <v>258</v>
      </c>
      <c r="AN83" s="239" t="s">
        <v>49</v>
      </c>
      <c r="AO83" s="240">
        <f>COUNTIFS($D$4:$D$58,"?*",AU4:AU58,"&lt;=10") - COUNTIFS($D$4:$D$58,"?*",AU4:AU58,"&lt;=7.9")</f>
        <v>0</v>
      </c>
      <c r="AP83" s="241">
        <f>COUNTIFS($D$4:$D$58,"?*",AU4:AU58,"&lt;=7.9") - COUNTIFS($D$4:$D$58,"?*",AU4:AU58,"&lt;=6.4")</f>
        <v>0</v>
      </c>
      <c r="AQ83" s="241">
        <f>COUNTIFS($D$4:$D$58,"?*",AU4:AU58,"&lt;=6.4") - COUNTIFS($D$4:$D$58,"?*",AU4:AU58,"&lt;=4.9")</f>
        <v>0</v>
      </c>
      <c r="AR83" s="241">
        <f>COUNTIFS($D$4:$D$58,"?*",AU4:AU58,"&lt;=4.9") - COUNTIFS($D$4:$D$58,"?*",AU4:AU58,"&lt;=3.4")</f>
        <v>0</v>
      </c>
      <c r="AS83" s="242">
        <f>COUNTIFS($D$4:$D$58,"?*",AU4:AU58,"&lt;=3.4") - COUNTIFS($D$4:$D$58,"?*",AU4:AU58,"&lt;0")</f>
        <v>0</v>
      </c>
      <c r="AV83" s="874" t="s">
        <v>258</v>
      </c>
      <c r="AW83" s="239" t="s">
        <v>49</v>
      </c>
      <c r="AX83" s="240">
        <f>COUNTIFS($D$4:$D$58,"?*",BD4:BD58,"&lt;=10") - COUNTIFS($D$4:$D$58,"?*",BD4:BD58,"&lt;=7.9")</f>
        <v>0</v>
      </c>
      <c r="AY83" s="241">
        <f>COUNTIFS($D$4:$D$58,"?*",BD4:BD58,"&lt;=7.9") - COUNTIFS($D$4:$D$58,"?*",BD4:BD58,"&lt;=6.4")</f>
        <v>0</v>
      </c>
      <c r="AZ83" s="241">
        <f>COUNTIFS($D$4:$D$58,"?*",BD4:BD58,"&lt;=6.4") - COUNTIFS($D$4:$D$58,"?*",BD4:BD58,"&lt;=4.9")</f>
        <v>0</v>
      </c>
      <c r="BA83" s="241">
        <f>COUNTIFS($D$4:$D$58,"?*",BD4:BD58,"&lt;=4.9") - COUNTIFS($D$4:$D$58,"?*",BD4:BD58,"&lt;=3.4")</f>
        <v>0</v>
      </c>
      <c r="BB83" s="242">
        <f>COUNTIFS($D$4:$D$58,"?*",BD4:BD58,"&lt;=3.4") - COUNTIFS($D$4:$D$58,"?*",BD4:BD58,"&lt;0")</f>
        <v>0</v>
      </c>
      <c r="BE83" s="874" t="s">
        <v>258</v>
      </c>
      <c r="BF83" s="239" t="s">
        <v>49</v>
      </c>
      <c r="BG83" s="240">
        <f>COUNTIFS($D$4:$D$58,"?*",BM4:BM58,"&lt;=10") - COUNTIFS($D$4:$D$58,"?*",BM4:BM58,"&lt;=7.9")</f>
        <v>0</v>
      </c>
      <c r="BH83" s="241">
        <f>COUNTIFS($D$4:$D$58,"?*",BM4:BM58,"&lt;=7.9") - COUNTIFS($D$4:$D$58,"?*",BM4:BM58,"&lt;=6.4")</f>
        <v>0</v>
      </c>
      <c r="BI83" s="241">
        <f>COUNTIFS($D$4:$D$58,"?*",BM4:BM58,"&lt;=6.4") - COUNTIFS($D$4:$D$58,"?*",BM4:BM58,"&lt;=4.9")</f>
        <v>0</v>
      </c>
      <c r="BJ83" s="241">
        <f>COUNTIFS($D$4:$D$58,"?*",BM4:BM58,"&lt;=4.9") - COUNTIFS($D$4:$D$58,"?*",BM4:BM58,"&lt;=3.4")</f>
        <v>0</v>
      </c>
      <c r="BK83" s="242">
        <f>COUNTIFS($D$4:$D$58,"?*",BM4:BM58,"&lt;=3.4") - COUNTIFS($D$4:$D$58,"?*",BM4:BM58,"&lt;0")</f>
        <v>0</v>
      </c>
      <c r="BN83" s="874" t="s">
        <v>258</v>
      </c>
      <c r="BO83" s="239" t="s">
        <v>49</v>
      </c>
      <c r="BP83" s="240">
        <f>COUNTIFS($D$4:$D$58,"?*",BV4:BV58,"&lt;=10") - COUNTIFS($D$4:$D$58,"?*",BV4:BV58,"&lt;=7.9")</f>
        <v>0</v>
      </c>
      <c r="BQ83" s="241">
        <f>COUNTIFS($D$4:$D$58,"?*",BV4:BV58,"&lt;=7.9") - COUNTIFS($D$4:$D$58,"?*",BV4:BV58,"&lt;=6.4")</f>
        <v>0</v>
      </c>
      <c r="BR83" s="241">
        <f>COUNTIFS($D$4:$D$58,"?*",BV4:BV58,"&lt;=6.4") - COUNTIFS($D$4:$D$58,"?*",BV4:BV58,"&lt;=4.9")</f>
        <v>0</v>
      </c>
      <c r="BS83" s="241">
        <f>COUNTIFS($D$4:$D$58,"?*",BV4:BV58,"&lt;=4.9") - COUNTIFS($D$4:$D$58,"?*",BV4:BV58,"&lt;=3.4")</f>
        <v>0</v>
      </c>
      <c r="BT83" s="242">
        <f>COUNTIFS($D$4:$D$58,"?*",BV4:BV58,"&lt;=3.4") - COUNTIFS($D$4:$D$58,"?*",BV4:BV58,"&lt;0")</f>
        <v>0</v>
      </c>
      <c r="BW83" s="874" t="s">
        <v>258</v>
      </c>
      <c r="BX83" s="239" t="s">
        <v>49</v>
      </c>
      <c r="BY83" s="240">
        <f>COUNTIFS($D$4:$D$58,"?*",CE4:CE58,"&lt;=10") - COUNTIFS($D$4:$D$58,"?*",CE4:CE58,"&lt;=7.9")</f>
        <v>0</v>
      </c>
      <c r="BZ83" s="241">
        <f>COUNTIFS($D$4:$D$58,"?*",CE4:CE58,"&lt;=7.9") - COUNTIFS($D$4:$D$58,"?*",CE4:CE58,"&lt;=6.4")</f>
        <v>0</v>
      </c>
      <c r="CA83" s="241">
        <f>COUNTIFS($D$4:$D$58,"?*",CE4:CE58,"&lt;=6.4") - COUNTIFS($D$4:$D$58,"?*",CE4:CE58,"&lt;=4.9")</f>
        <v>0</v>
      </c>
      <c r="CB83" s="241">
        <f>COUNTIFS($D$4:$D$58,"?*",CE4:CE58,"&lt;=4.9") - COUNTIFS($D$4:$D$58,"?*",CE4:CE58,"&lt;=3.4")</f>
        <v>0</v>
      </c>
      <c r="CC83" s="242">
        <f>COUNTIFS($D$4:$D$58,"?*",CE4:CE58,"&lt;=3.4") - COUNTIFS($D$4:$D$58,"?*",CE4:CE58,"&lt;0")</f>
        <v>0</v>
      </c>
      <c r="CF83" s="874" t="s">
        <v>258</v>
      </c>
      <c r="CG83" s="239" t="s">
        <v>49</v>
      </c>
      <c r="CH83" s="240">
        <f>COUNTIFS($D$4:$D$58,"?*",CN4:CN58,"&lt;=10") - COUNTIFS($D$4:$D$58,"?*",CN4:CN58,"&lt;=7.9")</f>
        <v>0</v>
      </c>
      <c r="CI83" s="241">
        <f>COUNTIFS($D$4:$D$58,"?*",CN4:CN58,"&lt;=7.9") - COUNTIFS($D$4:$D$58,"?*",CN4:CN58,"&lt;=6.4")</f>
        <v>0</v>
      </c>
      <c r="CJ83" s="241">
        <f>COUNTIFS($D$4:$D$58,"?*",CN4:CN58,"&lt;=6.4") - COUNTIFS($D$4:$D$58,"?*",CN4:CN58,"&lt;=4.9")</f>
        <v>0</v>
      </c>
      <c r="CK83" s="241">
        <f>COUNTIFS($D$4:$D$58,"?*",CN4:CN58,"&lt;=4.9") - COUNTIFS($D$4:$D$58,"?*",CN4:CN58,"&lt;=3.4")</f>
        <v>0</v>
      </c>
      <c r="CL83" s="242">
        <f>COUNTIFS($D$4:$D$58,"?*",CN4:CN58,"&lt;=3.4") - COUNTIFS($D$4:$D$58,"?*",CN4:CN58,"&lt;0")</f>
        <v>0</v>
      </c>
      <c r="CO83" s="874" t="s">
        <v>258</v>
      </c>
      <c r="CP83" s="239" t="s">
        <v>49</v>
      </c>
      <c r="CQ83" s="240">
        <f>COUNTIFS($D$4:$D$58,"?*",CW4:CW58,"&lt;=10") - COUNTIFS($D$4:$D$58,"?*",CW4:CW58,"&lt;=7.9")</f>
        <v>0</v>
      </c>
      <c r="CR83" s="241">
        <f>COUNTIFS($D$4:$D$58,"?*",CW4:CW58,"&lt;=7.9") - COUNTIFS($D$4:$D$58,"?*",CW4:CW58,"&lt;=6.4")</f>
        <v>0</v>
      </c>
      <c r="CS83" s="241">
        <f>COUNTIFS($D$4:$D$58,"?*",CW4:CW58,"&lt;=6.4") - COUNTIFS($D$4:$D$58,"?*",CW4:CW58,"&lt;=4.9")</f>
        <v>0</v>
      </c>
      <c r="CT83" s="241">
        <f>COUNTIFS($D$4:$D$58,"?*",CW4:CW58,"&lt;=4.9") - COUNTIFS($D$4:$D$58,"?*",CW4:CW58,"&lt;=3.4")</f>
        <v>0</v>
      </c>
      <c r="CU83" s="242">
        <f>COUNTIFS($D$4:$D$58,"?*",CW4:CW58,"&lt;=3.4") - COUNTIFS($D$4:$D$58,"?*",CW4:CW58,"&lt;0")</f>
        <v>0</v>
      </c>
      <c r="CX83" s="874" t="s">
        <v>258</v>
      </c>
      <c r="CY83" s="239" t="s">
        <v>49</v>
      </c>
      <c r="CZ83" s="240">
        <f>COUNTIFS($D$4:$D$58,"?*",DF4:DF58,"&lt;=10") - COUNTIFS($D$4:$D$58,"?*",DF4:DF58,"&lt;=7.9")</f>
        <v>0</v>
      </c>
      <c r="DA83" s="241">
        <f>COUNTIFS($D$4:$D$58,"?*",DF4:DF58,"&lt;=7.9") - COUNTIFS($D$4:$D$58,"?*",DF4:DF58,"&lt;=6.4")</f>
        <v>0</v>
      </c>
      <c r="DB83" s="241">
        <f>COUNTIFS($D$4:$D$58,"?*",DF4:DF58,"&lt;=6.4") - COUNTIFS($D$4:$D$58,"?*",DF4:DF58,"&lt;=4.9")</f>
        <v>0</v>
      </c>
      <c r="DC83" s="241">
        <f>COUNTIFS($D$4:$D$58,"?*",DF4:DF58,"&lt;=4.9") - COUNTIFS($D$4:$D$58,"?*",DF4:DF58,"&lt;=3.4")</f>
        <v>0</v>
      </c>
      <c r="DD83" s="242">
        <f>COUNTIFS($D$4:$D$58,"?*",DF4:DF58,"&lt;=3.4") - COUNTIFS($D$4:$D$58,"?*",DF4:DF58,"&lt;0")</f>
        <v>0</v>
      </c>
      <c r="DP83" s="874" t="s">
        <v>258</v>
      </c>
      <c r="DQ83" s="239" t="s">
        <v>49</v>
      </c>
      <c r="DR83" s="240">
        <f>COUNTIFS($D$4:$D$58,"?*",DX4:DX58,"&lt;=10") - COUNTIFS($D$4:$D$58,"?*",DX4:DX58,"&lt;=7.9")</f>
        <v>0</v>
      </c>
      <c r="DS83" s="241">
        <f>COUNTIFS($D$4:$D$58,"?*",DX4:DX58,"&lt;=7.9") - COUNTIFS($D$4:$D$58,"?*",DX4:DX58,"&lt;=6.4")</f>
        <v>0</v>
      </c>
      <c r="DT83" s="241">
        <f>COUNTIFS($D$4:$D$58,"?*",DX4:DX58,"&lt;=6.4") - COUNTIFS($D$4:$D$58,"?*",DX4:DX58,"&lt;=4.9")</f>
        <v>0</v>
      </c>
      <c r="DU83" s="241">
        <f>COUNTIFS($D$4:$D$58,"?*",DX4:DX58,"&lt;=4.9") - COUNTIFS($D$4:$D$58,"?*",DX4:DX58,"&lt;=3.4")</f>
        <v>0</v>
      </c>
      <c r="DV83" s="242">
        <f>COUNTIFS($D$4:$D$58,"?*",DX4:DX58,"&lt;=3.4") - COUNTIFS($D$4:$D$58,"?*",DX4:DX58,"&lt;0")</f>
        <v>0</v>
      </c>
      <c r="DY83" s="874" t="s">
        <v>258</v>
      </c>
      <c r="DZ83" s="239" t="s">
        <v>49</v>
      </c>
      <c r="EA83" s="240">
        <f>COUNTIFS($D$4:$D$58,"?*",EG4:EG58,"&lt;=10") - COUNTIFS($D$4:$D$58,"?*",EG4:EG58,"&lt;=7.9")</f>
        <v>0</v>
      </c>
      <c r="EB83" s="241">
        <f>COUNTIFS($D$4:$D$58,"?*",EG4:EG58,"&lt;=7.9") - COUNTIFS($D$4:$D$58,"?*",EG4:EG58,"&lt;=6.4")</f>
        <v>0</v>
      </c>
      <c r="EC83" s="241">
        <f>COUNTIFS($D$4:$D$58,"?*",EG4:EG58,"&lt;=6.4") - COUNTIFS($D$4:$D$58,"?*",EG4:EG58,"&lt;=4.9")</f>
        <v>0</v>
      </c>
      <c r="ED83" s="241">
        <f>COUNTIFS($D$4:$D$58,"?*",EG4:EG58,"&lt;=4.9") - COUNTIFS($D$4:$D$58,"?*",EG4:EG58,"&lt;=3.4")</f>
        <v>0</v>
      </c>
      <c r="EE83" s="242">
        <f>COUNTIFS($D$4:$D$58,"?*",EG4:EG58,"&lt;=3.4") - COUNTIFS($D$4:$D$58,"?*",EG4:EG58,"&lt;0")</f>
        <v>0</v>
      </c>
    </row>
    <row r="84" spans="2:137" s="129" customFormat="1" ht="16.5" customHeight="1">
      <c r="B84" s="129">
        <v>17</v>
      </c>
      <c r="L84" s="1027"/>
      <c r="M84" s="244" t="s">
        <v>17</v>
      </c>
      <c r="N84" s="245">
        <f>COUNTIFS($D$4:$D$58,"?*",$I$4:$I$58,"",T4:T58,"&lt;=10") - COUNTIFS($D$4:$D$58,"?*",$I$4:$I$58,"",T4:T58,"&lt;=7.9")</f>
        <v>0</v>
      </c>
      <c r="O84" s="246">
        <f>COUNTIFS($D$4:$D$58,"?*",$I$4:$I$58,"",T4:T58,"&lt;=7.9") - COUNTIFS($D$4:$D$58,"?*",$I$4:$I$58,"",T4:T58,"&lt;=6.4")</f>
        <v>0</v>
      </c>
      <c r="P84" s="246">
        <f>COUNTIFS($D$4:$D$58,"?*",$I$4:$I$58,"",T4:T58,"&lt;=6.4") - COUNTIFS($D$4:$D$58,"?*",$I$4:$I$58,"",T4:T58,"&lt;=4.9")</f>
        <v>0</v>
      </c>
      <c r="Q84" s="246">
        <f>COUNTIFS($D$4:$D$58,"?*",$I$4:$I$58,"",T4:T58,"&lt;=4.9") - COUNTIFS($D$4:$D$58,"?*",$I$4:$I$58,"",T4:T58,"&lt;=3.4")</f>
        <v>0</v>
      </c>
      <c r="R84" s="247">
        <f>COUNTIFS($D$4:$D$58,"?*",$I$4:$I$58,"",T4:T58,"&lt;=3.4") - COUNTIFS($D$4:$D$58,"?*",$I$4:$I$58,"",T4:T58,"&lt;0")</f>
        <v>0</v>
      </c>
      <c r="U84" s="1027"/>
      <c r="V84" s="244" t="s">
        <v>17</v>
      </c>
      <c r="W84" s="245">
        <f>COUNTIFS($D$4:$D$58,"?*",$I$4:$I$58,"",AC4:AC58,"&lt;=10") - COUNTIFS($D$4:$D$58,"?*",$I$4:$I$58,"",AC4:AC58,"&lt;=7.9")</f>
        <v>0</v>
      </c>
      <c r="X84" s="246">
        <f>COUNTIFS($D$4:$D$58,"?*",$I$4:$I$58,"",AC4:AC58,"&lt;=7.9") - COUNTIFS($D$4:$D$58,"?*",$I$4:$I$58,"",AC4:AC58,"&lt;=6.4")</f>
        <v>0</v>
      </c>
      <c r="Y84" s="246">
        <f>COUNTIFS($D$4:$D$58,"?*",$I$4:$I$58,"",AC4:AC58,"&lt;=6.4") - COUNTIFS($D$4:$D$58,"?*",$I$4:$I$58,"",AC4:AC58,"&lt;=4.9")</f>
        <v>0</v>
      </c>
      <c r="Z84" s="246">
        <f>COUNTIFS($D$4:$D$58,"?*",$I$4:$I$58,"",AC4:AC58,"&lt;=4.9") - COUNTIFS($D$4:$D$58,"?*",$I$4:$I$58,"",AC4:AC58,"&lt;=3.4")</f>
        <v>0</v>
      </c>
      <c r="AA84" s="247">
        <f>COUNTIFS($D$4:$D$58,"?*",$I$4:$I$58,"",AC4:AC58,"&lt;=3.4") - COUNTIFS($D$4:$D$58,"?*",$I$4:$I$58,"",AC4:AC58,"&lt;0")</f>
        <v>0</v>
      </c>
      <c r="AD84" s="1027"/>
      <c r="AE84" s="244" t="s">
        <v>17</v>
      </c>
      <c r="AF84" s="245">
        <f>COUNTIFS($D$4:$D$58,"?*",$I$4:$I$58,"",AL4:AL58,"&lt;=10") - COUNTIFS($D$4:$D$58,"?*",$I$4:$I$58,"",AL4:AL58,"&lt;=7.9")</f>
        <v>0</v>
      </c>
      <c r="AG84" s="246">
        <f>COUNTIFS($D$4:$D$58,"?*",$I$4:$I$58,"",AL4:AL58,"&lt;=7.9") - COUNTIFS($D$4:$D$58,"?*",$I$4:$I$58,"",AL4:AL58,"&lt;=6.4")</f>
        <v>0</v>
      </c>
      <c r="AH84" s="246">
        <f>COUNTIFS($D$4:$D$58,"?*",$I$4:$I$58,"",AL4:AL58,"&lt;=6.4") - COUNTIFS($D$4:$D$58,"?*",$I$4:$I$58,"",AL4:AL58,"&lt;=4.9")</f>
        <v>0</v>
      </c>
      <c r="AI84" s="246">
        <f>COUNTIFS($D$4:$D$58,"?*",$I$4:$I$58,"",AL4:AL58,"&lt;=4.9") - COUNTIFS($D$4:$D$58,"?*",$I$4:$I$58,"",AL4:AL58,"&lt;=3.4")</f>
        <v>0</v>
      </c>
      <c r="AJ84" s="247">
        <f>COUNTIFS($D$4:$D$58,"?*",$I$4:$I$58,"",AL4:AL58,"&lt;=3.4") - COUNTIFS($D$4:$D$58,"?*",$I$4:$I$58,"",AL4:AL58,"&lt;0")</f>
        <v>0</v>
      </c>
      <c r="AM84" s="1027"/>
      <c r="AN84" s="244" t="s">
        <v>17</v>
      </c>
      <c r="AO84" s="245">
        <f>COUNTIFS($D$4:$D$58,"?*",$I$4:$I$58,"",AU4:AU58,"&lt;=10") - COUNTIFS($D$4:$D$58,"?*",$I$4:$I$58,"",AU4:AU58,"&lt;=7.9")</f>
        <v>0</v>
      </c>
      <c r="AP84" s="246">
        <f>COUNTIFS($D$4:$D$58,"?*",$I$4:$I$58,"",AU4:AU58,"&lt;=7.9") - COUNTIFS($D$4:$D$58,"?*",$I$4:$I$58,"",AU4:AU58,"&lt;=6.4")</f>
        <v>0</v>
      </c>
      <c r="AQ84" s="246">
        <f>COUNTIFS($D$4:$D$58,"?*",$I$4:$I$58,"",AU4:AU58,"&lt;=6.4") - COUNTIFS($D$4:$D$58,"?*",$I$4:$I$58,"",AU4:AU58,"&lt;=4.9")</f>
        <v>0</v>
      </c>
      <c r="AR84" s="246">
        <f>COUNTIFS($D$4:$D$58,"?*",$I$4:$I$58,"",AU4:AU58,"&lt;=4.9") - COUNTIFS($D$4:$D$58,"?*",$I$4:$I$58,"",AU4:AU58,"&lt;=3.4")</f>
        <v>0</v>
      </c>
      <c r="AS84" s="247">
        <f>COUNTIFS($D$4:$D$58,"?*",$I$4:$I$58,"",AU4:AU58,"&lt;=3.4") - COUNTIFS($D$4:$D$58,"?*",$I$4:$I$58,"",AU4:AU58,"&lt;0")</f>
        <v>0</v>
      </c>
      <c r="AV84" s="1027"/>
      <c r="AW84" s="244" t="s">
        <v>17</v>
      </c>
      <c r="AX84" s="245">
        <f>COUNTIFS($D$4:$D$58,"?*",$I$4:$I$58,"",BD4:BD58,"&lt;=10") - COUNTIFS($D$4:$D$58,"?*",$I$4:$I$58,"",BD4:BD58,"&lt;=7.9")</f>
        <v>0</v>
      </c>
      <c r="AY84" s="246">
        <f>COUNTIFS($D$4:$D$58,"?*",$I$4:$I$58,"",BD4:BD58,"&lt;=7.9") - COUNTIFS($D$4:$D$58,"?*",$I$4:$I$58,"",BD4:BD58,"&lt;=6.4")</f>
        <v>0</v>
      </c>
      <c r="AZ84" s="246">
        <f>COUNTIFS($D$4:$D$58,"?*",$I$4:$I$58,"",BD4:BD58,"&lt;=6.4") - COUNTIFS($D$4:$D$58,"?*",$I$4:$I$58,"",BD4:BD58,"&lt;=4.9")</f>
        <v>0</v>
      </c>
      <c r="BA84" s="246">
        <f>COUNTIFS($D$4:$D$58,"?*",$I$4:$I$58,"",BD4:BD58,"&lt;=4.9") - COUNTIFS($D$4:$D$58,"?*",$I$4:$I$58,"",BD4:BD58,"&lt;=3.4")</f>
        <v>0</v>
      </c>
      <c r="BB84" s="247">
        <f>COUNTIFS($D$4:$D$58,"?*",$I$4:$I$58,"",BD4:BD58,"&lt;=3.4") - COUNTIFS($D$4:$D$58,"?*",$I$4:$I$58,"",BD4:BD58,"&lt;0")</f>
        <v>0</v>
      </c>
      <c r="BE84" s="1027"/>
      <c r="BF84" s="244" t="s">
        <v>17</v>
      </c>
      <c r="BG84" s="245">
        <f>COUNTIFS($D$4:$D$58,"?*",$I$4:$I$58,"",BM4:BM58,"&lt;=10") - COUNTIFS($D$4:$D$58,"?*",$I$4:$I$58,"",BM4:BM58,"&lt;=7.9")</f>
        <v>0</v>
      </c>
      <c r="BH84" s="246">
        <f>COUNTIFS($D$4:$D$58,"?*",$I$4:$I$58,"",BM4:BM58,"&lt;=7.9") - COUNTIFS($D$4:$D$58,"?*",$I$4:$I$58,"",BM4:BM58,"&lt;=6.4")</f>
        <v>0</v>
      </c>
      <c r="BI84" s="246">
        <f>COUNTIFS($D$4:$D$58,"?*",$I$4:$I$58,"",BM4:BM58,"&lt;=6.4") - COUNTIFS($D$4:$D$58,"?*",$I$4:$I$58,"",BM4:BM58,"&lt;=4.9")</f>
        <v>0</v>
      </c>
      <c r="BJ84" s="246">
        <f>COUNTIFS($D$4:$D$58,"?*",$I$4:$I$58,"",BM4:BM58,"&lt;=4.9") - COUNTIFS($D$4:$D$58,"?*",$I$4:$I$58,"",BM4:BM58,"&lt;=3.4")</f>
        <v>0</v>
      </c>
      <c r="BK84" s="247">
        <f>COUNTIFS($D$4:$D$58,"?*",$I$4:$I$58,"",BM4:BM58,"&lt;=3.4") - COUNTIFS($D$4:$D$58,"?*",$I$4:$I$58,"",BM4:BM58,"&lt;0")</f>
        <v>0</v>
      </c>
      <c r="BN84" s="1027"/>
      <c r="BO84" s="244" t="s">
        <v>17</v>
      </c>
      <c r="BP84" s="245">
        <f>COUNTIFS($D$4:$D$58,"?*",$I$4:$I$58,"",BV4:BV58,"&lt;=10") - COUNTIFS($D$4:$D$58,"?*",$I$4:$I$58,"",BV4:BV58,"&lt;=7.9")</f>
        <v>0</v>
      </c>
      <c r="BQ84" s="246">
        <f>COUNTIFS($D$4:$D$58,"?*",$I$4:$I$58,"",BV4:BV58,"&lt;=7.9") - COUNTIFS($D$4:$D$58,"?*",$I$4:$I$58,"",BV4:BV58,"&lt;=6.4")</f>
        <v>0</v>
      </c>
      <c r="BR84" s="246">
        <f>COUNTIFS($D$4:$D$58,"?*",$I$4:$I$58,"",BV4:BV58,"&lt;=6.4") - COUNTIFS($D$4:$D$58,"?*",$I$4:$I$58,"",BV4:BV58,"&lt;=4.9")</f>
        <v>0</v>
      </c>
      <c r="BS84" s="246">
        <f>COUNTIFS($D$4:$D$58,"?*",$I$4:$I$58,"",BV4:BV58,"&lt;=4.9") - COUNTIFS($D$4:$D$58,"?*",$I$4:$I$58,"",BV4:BV58,"&lt;=3.4")</f>
        <v>0</v>
      </c>
      <c r="BT84" s="247">
        <f>COUNTIFS($D$4:$D$58,"?*",$I$4:$I$58,"",BV4:BV58,"&lt;=3.4") - COUNTIFS($D$4:$D$58,"?*",$I$4:$I$58,"",BV4:BV58,"&lt;0")</f>
        <v>0</v>
      </c>
      <c r="BW84" s="1027"/>
      <c r="BX84" s="244" t="s">
        <v>17</v>
      </c>
      <c r="BY84" s="245">
        <f>COUNTIFS($D$4:$D$58,"?*",$I$4:$I$58,"",CE4:CE58,"&lt;=10") - COUNTIFS($D$4:$D$58,"?*",$I$4:$I$58,"",CE4:CE58,"&lt;=7.9")</f>
        <v>0</v>
      </c>
      <c r="BZ84" s="246">
        <f>COUNTIFS($D$4:$D$58,"?*",$I$4:$I$58,"",CE4:CE58,"&lt;=7.9") - COUNTIFS($D$4:$D$58,"?*",$I$4:$I$58,"",CE4:CE58,"&lt;=6.4")</f>
        <v>0</v>
      </c>
      <c r="CA84" s="246">
        <f>COUNTIFS($D$4:$D$58,"?*",$I$4:$I$58,"",CE4:CE58,"&lt;=6.4") - COUNTIFS($D$4:$D$58,"?*",$I$4:$I$58,"",CE4:CE58,"&lt;=4.9")</f>
        <v>0</v>
      </c>
      <c r="CB84" s="246">
        <f>COUNTIFS($D$4:$D$58,"?*",$I$4:$I$58,"",CE4:CE58,"&lt;=4.9") - COUNTIFS($D$4:$D$58,"?*",$I$4:$I$58,"",CE4:CE58,"&lt;=3.4")</f>
        <v>0</v>
      </c>
      <c r="CC84" s="247">
        <f>COUNTIFS($D$4:$D$58,"?*",$I$4:$I$58,"",CE4:CE58,"&lt;=3.4") - COUNTIFS($D$4:$D$58,"?*",$I$4:$I$58,"",CE4:CE58,"&lt;0")</f>
        <v>0</v>
      </c>
      <c r="CF84" s="1027"/>
      <c r="CG84" s="244" t="s">
        <v>17</v>
      </c>
      <c r="CH84" s="245">
        <f>COUNTIFS($D$4:$D$58,"?*",$I$4:$I$58,"",CN4:CN58,"&lt;=10") - COUNTIFS($D$4:$D$58,"?*",$I$4:$I$58,"",CN4:CN58,"&lt;=7.9")</f>
        <v>0</v>
      </c>
      <c r="CI84" s="246">
        <f>COUNTIFS($D$4:$D$58,"?*",$I$4:$I$58,"",CN4:CN58,"&lt;=7.9") - COUNTIFS($D$4:$D$58,"?*",$I$4:$I$58,"",CN4:CN58,"&lt;=6.4")</f>
        <v>0</v>
      </c>
      <c r="CJ84" s="246">
        <f>COUNTIFS($D$4:$D$58,"?*",$I$4:$I$58,"",CN4:CN58,"&lt;=6.4") - COUNTIFS($D$4:$D$58,"?*",$I$4:$I$58,"",CN4:CN58,"&lt;=4.9")</f>
        <v>0</v>
      </c>
      <c r="CK84" s="246">
        <f>COUNTIFS($D$4:$D$58,"?*",$I$4:$I$58,"",CN4:CN58,"&lt;=4.9") - COUNTIFS($D$4:$D$58,"?*",$I$4:$I$58,"",CN4:CN58,"&lt;=3.4")</f>
        <v>0</v>
      </c>
      <c r="CL84" s="247">
        <f>COUNTIFS($D$4:$D$58,"?*",$I$4:$I$58,"",CN4:CN58,"&lt;=3.4") - COUNTIFS($D$4:$D$58,"?*",$I$4:$I$58,"",CN4:CN58,"&lt;0")</f>
        <v>0</v>
      </c>
      <c r="CO84" s="1027"/>
      <c r="CP84" s="244" t="s">
        <v>17</v>
      </c>
      <c r="CQ84" s="245">
        <f>COUNTIFS($D$4:$D$58,"?*",$I$4:$I$58,"",CW4:CW58,"&lt;=10") - COUNTIFS($D$4:$D$58,"?*",$I$4:$I$58,"",CW4:CW58,"&lt;=7.9")</f>
        <v>0</v>
      </c>
      <c r="CR84" s="246">
        <f>COUNTIFS($D$4:$D$58,"?*",$I$4:$I$58,"",CW4:CW58,"&lt;=7.9") - COUNTIFS($D$4:$D$58,"?*",$I$4:$I$58,"",CW4:CW58,"&lt;=6.4")</f>
        <v>0</v>
      </c>
      <c r="CS84" s="246">
        <f>COUNTIFS($D$4:$D$58,"?*",$I$4:$I$58,"",CW4:CW58,"&lt;=6.4") - COUNTIFS($D$4:$D$58,"?*",$I$4:$I$58,"",CW4:CW58,"&lt;=4.9")</f>
        <v>0</v>
      </c>
      <c r="CT84" s="246">
        <f>COUNTIFS($D$4:$D$58,"?*",$I$4:$I$58,"",CW4:CW58,"&lt;=4.9") - COUNTIFS($D$4:$D$58,"?*",$I$4:$I$58,"",CW4:CW58,"&lt;=3.4")</f>
        <v>0</v>
      </c>
      <c r="CU84" s="247">
        <f>COUNTIFS($D$4:$D$58,"?*",$I$4:$I$58,"",CW4:CW58,"&lt;=3.4") - COUNTIFS($D$4:$D$58,"?*",$I$4:$I$58,"",CW4:CW58,"&lt;0")</f>
        <v>0</v>
      </c>
      <c r="CX84" s="1027"/>
      <c r="CY84" s="244" t="s">
        <v>17</v>
      </c>
      <c r="CZ84" s="245">
        <f>COUNTIFS($D$4:$D$58,"?*",$I$4:$I$58,"",DF4:DF58,"&lt;=10") - COUNTIFS($D$4:$D$58,"?*",$I$4:$I$58,"",DF4:DF58,"&lt;=7.9")</f>
        <v>0</v>
      </c>
      <c r="DA84" s="246">
        <f>COUNTIFS($D$4:$D$58,"?*",$I$4:$I$58,"",DF4:DF58,"&lt;=7.9") - COUNTIFS($D$4:$D$58,"?*",$I$4:$I$58,"",DF4:DF58,"&lt;=6.4")</f>
        <v>0</v>
      </c>
      <c r="DB84" s="246">
        <f>COUNTIFS($D$4:$D$58,"?*",$I$4:$I$58,"",DF4:DF58,"&lt;=6.4") - COUNTIFS($D$4:$D$58,"?*",$I$4:$I$58,"",DF4:DF58,"&lt;=4.9")</f>
        <v>0</v>
      </c>
      <c r="DC84" s="246">
        <f>COUNTIFS($D$4:$D$58,"?*",$I$4:$I$58,"",DF4:DF58,"&lt;=4.9") - COUNTIFS($D$4:$D$58,"?*",$I$4:$I$58,"",DF4:DF58,"&lt;=3.4")</f>
        <v>0</v>
      </c>
      <c r="DD84" s="247">
        <f>COUNTIFS($D$4:$D$58,"?*",$I$4:$I$58,"",DF4:DF58,"&lt;=3.4") - COUNTIFS($D$4:$D$58,"?*",$I$4:$I$58,"",DF4:DF58,"&lt;0")</f>
        <v>0</v>
      </c>
      <c r="DP84" s="1027"/>
      <c r="DQ84" s="244" t="s">
        <v>17</v>
      </c>
      <c r="DR84" s="245">
        <f>COUNTIFS($D$4:$D$58,"?*",$I$4:$I$58,"",DX4:DX58,"&lt;=10") - COUNTIFS($D$4:$D$58,"?*",$I$4:$I$58,"",DX4:DX58,"&lt;=7.9")</f>
        <v>0</v>
      </c>
      <c r="DS84" s="246">
        <f>COUNTIFS($D$4:$D$58,"?*",$I$4:$I$58,"",DX4:DX58,"&lt;=7.9") - COUNTIFS($D$4:$D$58,"?*",$I$4:$I$58,"",DX4:DX58,"&lt;=6.4")</f>
        <v>0</v>
      </c>
      <c r="DT84" s="246">
        <f>COUNTIFS($D$4:$D$58,"?*",$I$4:$I$58,"",DX4:DX58,"&lt;=6.4") - COUNTIFS($D$4:$D$58,"?*",$I$4:$I$58,"",DX4:DX58,"&lt;=4.9")</f>
        <v>0</v>
      </c>
      <c r="DU84" s="246">
        <f>COUNTIFS($D$4:$D$58,"?*",$I$4:$I$58,"",DX4:DX58,"&lt;=4.9") - COUNTIFS($D$4:$D$58,"?*",$I$4:$I$58,"",DX4:DX58,"&lt;=3.4")</f>
        <v>0</v>
      </c>
      <c r="DV84" s="247">
        <f>COUNTIFS($D$4:$D$58,"?*",$I$4:$I$58,"",DX4:DX58,"&lt;=3.4") - COUNTIFS($D$4:$D$58,"?*",$I$4:$I$58,"",DX4:DX58,"&lt;0")</f>
        <v>0</v>
      </c>
      <c r="DY84" s="1027"/>
      <c r="DZ84" s="244" t="s">
        <v>17</v>
      </c>
      <c r="EA84" s="245">
        <f>COUNTIFS($D$4:$D$58,"?*",$I$4:$I$58,"",EG4:EG58,"&lt;=10") - COUNTIFS($D$4:$D$58,"?*",$I$4:$I$58,"",EG4:EG58,"&lt;=7.9")</f>
        <v>0</v>
      </c>
      <c r="EB84" s="246">
        <f>COUNTIFS($D$4:$D$58,"?*",$I$4:$I$58,"",EG4:EG58,"&lt;=7.9") - COUNTIFS($D$4:$D$58,"?*",$I$4:$I$58,"",EG4:EG58,"&lt;=6.4")</f>
        <v>0</v>
      </c>
      <c r="EC84" s="246">
        <f>COUNTIFS($D$4:$D$58,"?*",$I$4:$I$58,"",EG4:EG58,"&lt;=6.4") - COUNTIFS($D$4:$D$58,"?*",$I$4:$I$58,"",EG4:EG58,"&lt;=4.9")</f>
        <v>0</v>
      </c>
      <c r="ED84" s="246">
        <f>COUNTIFS($D$4:$D$58,"?*",$I$4:$I$58,"",EG4:EG58,"&lt;=4.9") - COUNTIFS($D$4:$D$58,"?*",$I$4:$I$58,"",EG4:EG58,"&lt;=3.4")</f>
        <v>0</v>
      </c>
      <c r="EE84" s="247">
        <f>COUNTIFS($D$4:$D$58,"?*",$I$4:$I$58,"",EG4:EG58,"&lt;=3.4") - COUNTIFS($D$4:$D$58,"?*",$I$4:$I$58,"",EG4:EG58,"&lt;0")</f>
        <v>0</v>
      </c>
    </row>
    <row r="85" spans="2:137" s="129" customFormat="1" ht="16.5" customHeight="1">
      <c r="B85" s="129">
        <v>18</v>
      </c>
      <c r="L85" s="1027"/>
      <c r="M85" s="244" t="s">
        <v>18</v>
      </c>
      <c r="N85" s="245">
        <f>COUNTIFS($D$4:$D$58,"?*",$I$4:$I$58,"x",T4:T58,"&lt;=10") - COUNTIFS($D$4:$D$58,"?*",$I$4:$I$58,"x",T4:T58,"&lt;=7.9")</f>
        <v>0</v>
      </c>
      <c r="O85" s="246">
        <f>COUNTIFS($D$4:$D$58,"?*",$I$4:$I$58,"x",T4:T58,"&lt;=7.9") - COUNTIFS($D$4:$D$58,"?*",$I$4:$I$58,"x",T4:T58,"&lt;=6.4")</f>
        <v>0</v>
      </c>
      <c r="P85" s="246">
        <f>COUNTIFS($D$4:$D$58,"?*",$I$4:$I$58,"x",T4:T58,"&lt;=6.4") - COUNTIFS($D$4:$D$58,"?*",$I$4:$I$58,"x",T4:T58,"&lt;=4.9")</f>
        <v>0</v>
      </c>
      <c r="Q85" s="246">
        <f>COUNTIFS($D$4:$D$58,"?*",$I$4:$I$58,"x",T4:T58,"&lt;=4.9") - COUNTIFS($D$4:$D$58,"?*",$I$4:$I$58,"x",T4:T58,"&lt;=3.4")</f>
        <v>0</v>
      </c>
      <c r="R85" s="247">
        <f>COUNTIFS($D$4:$D$58,"?*",$I$4:$I$58,"x",T4:T58,"&lt;=3.4") - COUNTIFS($D$4:$D$58,"?*",$I$4:$I$58,"x",T4:T58,"&lt;0")</f>
        <v>0</v>
      </c>
      <c r="U85" s="1027"/>
      <c r="V85" s="244" t="s">
        <v>18</v>
      </c>
      <c r="W85" s="245">
        <f>COUNTIFS($D$4:$D$58,"?*",$I$4:$I$58,"x",AC4:AC58,"&lt;=10") - COUNTIFS($D$4:$D$58,"?*",$I$4:$I$58,"x",AC4:AC58,"&lt;=7.9")</f>
        <v>0</v>
      </c>
      <c r="X85" s="246">
        <f>COUNTIFS($D$4:$D$58,"?*",$I$4:$I$58,"x",AC4:AC58,"&lt;=7.9") - COUNTIFS($D$4:$D$58,"?*",$I$4:$I$58,"x",AC4:AC58,"&lt;=6.4")</f>
        <v>0</v>
      </c>
      <c r="Y85" s="246">
        <f>COUNTIFS($D$4:$D$58,"?*",$I$4:$I$58,"x",AC4:AC58,"&lt;=6.4") - COUNTIFS($D$4:$D$58,"?*",$I$4:$I$58,"x",AC4:AC58,"&lt;=4.9")</f>
        <v>0</v>
      </c>
      <c r="Z85" s="246">
        <f>COUNTIFS($D$4:$D$58,"?*",$I$4:$I$58,"x",AC4:AC58,"&lt;=4.9") - COUNTIFS($D$4:$D$58,"?*",$I$4:$I$58,"x",AC4:AC58,"&lt;=3.4")</f>
        <v>0</v>
      </c>
      <c r="AA85" s="247">
        <f>COUNTIFS($D$4:$D$58,"?*",$I$4:$I$58,"x",AC4:AC58,"&lt;=3.4") - COUNTIFS($D$4:$D$58,"?*",$I$4:$I$58,"x",AC4:AC58,"&lt;0")</f>
        <v>0</v>
      </c>
      <c r="AD85" s="1027"/>
      <c r="AE85" s="244" t="s">
        <v>18</v>
      </c>
      <c r="AF85" s="245">
        <f>COUNTIFS($D$4:$D$58,"?*",$I$4:$I$58,"x",AL4:AL58,"&lt;=10") - COUNTIFS($D$4:$D$58,"?*",$I$4:$I$58,"x",AL4:AL58,"&lt;=7.9")</f>
        <v>0</v>
      </c>
      <c r="AG85" s="246">
        <f>COUNTIFS($D$4:$D$58,"?*",$I$4:$I$58,"x",AL4:AL58,"&lt;=7.9") - COUNTIFS($D$4:$D$58,"?*",$I$4:$I$58,"x",AL4:AL58,"&lt;=6.4")</f>
        <v>0</v>
      </c>
      <c r="AH85" s="246">
        <f>COUNTIFS($D$4:$D$58,"?*",$I$4:$I$58,"x",AL4:AL58,"&lt;=6.4") - COUNTIFS($D$4:$D$58,"?*",$I$4:$I$58,"x",AL4:AL58,"&lt;=4.9")</f>
        <v>0</v>
      </c>
      <c r="AI85" s="246">
        <f>COUNTIFS($D$4:$D$58,"?*",$I$4:$I$58,"x",AL4:AL58,"&lt;=4.9") - COUNTIFS($D$4:$D$58,"?*",$I$4:$I$58,"x",AL4:AL58,"&lt;=3.4")</f>
        <v>0</v>
      </c>
      <c r="AJ85" s="247">
        <f>COUNTIFS($D$4:$D$58,"?*",$I$4:$I$58,"x",AL4:AL58,"&lt;=3.4") - COUNTIFS($D$4:$D$58,"?*",$I$4:$I$58,"x",AL4:AL58,"&lt;0")</f>
        <v>0</v>
      </c>
      <c r="AM85" s="1027"/>
      <c r="AN85" s="244" t="s">
        <v>18</v>
      </c>
      <c r="AO85" s="245">
        <f>COUNTIFS($D$4:$D$58,"?*",$I$4:$I$58,"x",AU4:AU58,"&lt;=10") - COUNTIFS($D$4:$D$58,"?*",$I$4:$I$58,"x",AU4:AU58,"&lt;=7.9")</f>
        <v>0</v>
      </c>
      <c r="AP85" s="246">
        <f>COUNTIFS($D$4:$D$58,"?*",$I$4:$I$58,"x",AU4:AU58,"&lt;=7.9") - COUNTIFS($D$4:$D$58,"?*",$I$4:$I$58,"x",AU4:AU58,"&lt;=6.4")</f>
        <v>0</v>
      </c>
      <c r="AQ85" s="246">
        <f>COUNTIFS($D$4:$D$58,"?*",$I$4:$I$58,"x",AU4:AU58,"&lt;=6.4") - COUNTIFS($D$4:$D$58,"?*",$I$4:$I$58,"x",AU4:AU58,"&lt;=4.9")</f>
        <v>0</v>
      </c>
      <c r="AR85" s="246">
        <f>COUNTIFS($D$4:$D$58,"?*",$I$4:$I$58,"x",AU4:AU58,"&lt;=4.9") - COUNTIFS($D$4:$D$58,"?*",$I$4:$I$58,"x",AU4:AU58,"&lt;=3.4")</f>
        <v>0</v>
      </c>
      <c r="AS85" s="247">
        <f>COUNTIFS($D$4:$D$58,"?*",$I$4:$I$58,"x",AU4:AU58,"&lt;=3.4") - COUNTIFS($D$4:$D$58,"?*",$I$4:$I$58,"x",AU4:AU58,"&lt;0")</f>
        <v>0</v>
      </c>
      <c r="AV85" s="1027"/>
      <c r="AW85" s="244" t="s">
        <v>18</v>
      </c>
      <c r="AX85" s="245">
        <f>COUNTIFS($D$4:$D$58,"?*",$I$4:$I$58,"x",BD4:BD58,"&lt;=10") - COUNTIFS($D$4:$D$58,"?*",$I$4:$I$58,"x",BD4:BD58,"&lt;=7.9")</f>
        <v>0</v>
      </c>
      <c r="AY85" s="246">
        <f>COUNTIFS($D$4:$D$58,"?*",$I$4:$I$58,"x",BD4:BD58,"&lt;=7.9") - COUNTIFS($D$4:$D$58,"?*",$I$4:$I$58,"x",BD4:BD58,"&lt;=6.4")</f>
        <v>0</v>
      </c>
      <c r="AZ85" s="246">
        <f>COUNTIFS($D$4:$D$58,"?*",$I$4:$I$58,"x",BD4:BD58,"&lt;=6.4") - COUNTIFS($D$4:$D$58,"?*",$I$4:$I$58,"x",BD4:BD58,"&lt;=4.9")</f>
        <v>0</v>
      </c>
      <c r="BA85" s="246">
        <f>COUNTIFS($D$4:$D$58,"?*",$I$4:$I$58,"x",BD4:BD58,"&lt;=4.9") - COUNTIFS($D$4:$D$58,"?*",$I$4:$I$58,"x",BD4:BD58,"&lt;=3.4")</f>
        <v>0</v>
      </c>
      <c r="BB85" s="247">
        <f>COUNTIFS($D$4:$D$58,"?*",$I$4:$I$58,"x",BD4:BD58,"&lt;=3.4") - COUNTIFS($D$4:$D$58,"?*",$I$4:$I$58,"x",BD4:BD58,"&lt;0")</f>
        <v>0</v>
      </c>
      <c r="BE85" s="1027"/>
      <c r="BF85" s="244" t="s">
        <v>18</v>
      </c>
      <c r="BG85" s="245">
        <f>COUNTIFS($D$4:$D$58,"?*",$I$4:$I$58,"x",BM4:BM58,"&lt;=10") - COUNTIFS($D$4:$D$58,"?*",$I$4:$I$58,"x",BM4:BM58,"&lt;=7.9")</f>
        <v>0</v>
      </c>
      <c r="BH85" s="246">
        <f>COUNTIFS($D$4:$D$58,"?*",$I$4:$I$58,"x",BM4:BM58,"&lt;=7.9") - COUNTIFS($D$4:$D$58,"?*",$I$4:$I$58,"x",BM4:BM58,"&lt;=6.4")</f>
        <v>0</v>
      </c>
      <c r="BI85" s="246">
        <f>COUNTIFS($D$4:$D$58,"?*",$I$4:$I$58,"x",BM4:BM58,"&lt;=6.4") - COUNTIFS($D$4:$D$58,"?*",$I$4:$I$58,"x",BM4:BM58,"&lt;=4.9")</f>
        <v>0</v>
      </c>
      <c r="BJ85" s="246">
        <f>COUNTIFS($D$4:$D$58,"?*",$I$4:$I$58,"x",BM4:BM58,"&lt;=4.9") - COUNTIFS($D$4:$D$58,"?*",$I$4:$I$58,"x",BM4:BM58,"&lt;=3.4")</f>
        <v>0</v>
      </c>
      <c r="BK85" s="247">
        <f>COUNTIFS($D$4:$D$58,"?*",$I$4:$I$58,"x",BM4:BM58,"&lt;=3.4") - COUNTIFS($D$4:$D$58,"?*",$I$4:$I$58,"x",BM4:BM58,"&lt;0")</f>
        <v>0</v>
      </c>
      <c r="BN85" s="1027"/>
      <c r="BO85" s="244" t="s">
        <v>18</v>
      </c>
      <c r="BP85" s="245">
        <f>COUNTIFS($D$4:$D$58,"?*",$I$4:$I$58,"x",BV4:BV58,"&lt;=10") - COUNTIFS($D$4:$D$58,"?*",$I$4:$I$58,"x",BV4:BV58,"&lt;=7.9")</f>
        <v>0</v>
      </c>
      <c r="BQ85" s="246">
        <f>COUNTIFS($D$4:$D$58,"?*",$I$4:$I$58,"x",BV4:BV58,"&lt;=7.9") - COUNTIFS($D$4:$D$58,"?*",$I$4:$I$58,"x",BV4:BV58,"&lt;=6.4")</f>
        <v>0</v>
      </c>
      <c r="BR85" s="246">
        <f>COUNTIFS($D$4:$D$58,"?*",$I$4:$I$58,"x",BV4:BV58,"&lt;=6.4") - COUNTIFS($D$4:$D$58,"?*",$I$4:$I$58,"x",BV4:BV58,"&lt;=4.9")</f>
        <v>0</v>
      </c>
      <c r="BS85" s="246">
        <f>COUNTIFS($D$4:$D$58,"?*",$I$4:$I$58,"x",BV4:BV58,"&lt;=4.9") - COUNTIFS($D$4:$D$58,"?*",$I$4:$I$58,"x",BV4:BV58,"&lt;=3.4")</f>
        <v>0</v>
      </c>
      <c r="BT85" s="247">
        <f>COUNTIFS($D$4:$D$58,"?*",$I$4:$I$58,"x",BV4:BV58,"&lt;=3.4") - COUNTIFS($D$4:$D$58,"?*",$I$4:$I$58,"x",BV4:BV58,"&lt;0")</f>
        <v>0</v>
      </c>
      <c r="BW85" s="1027"/>
      <c r="BX85" s="244" t="s">
        <v>18</v>
      </c>
      <c r="BY85" s="245">
        <f>COUNTIFS($D$4:$D$58,"?*",$I$4:$I$58,"x",CE4:CE58,"&lt;=10") - COUNTIFS($D$4:$D$58,"?*",$I$4:$I$58,"x",CE4:CE58,"&lt;=7.9")</f>
        <v>0</v>
      </c>
      <c r="BZ85" s="246">
        <f>COUNTIFS($D$4:$D$58,"?*",$I$4:$I$58,"x",CE4:CE58,"&lt;=7.9") - COUNTIFS($D$4:$D$58,"?*",$I$4:$I$58,"x",CE4:CE58,"&lt;=6.4")</f>
        <v>0</v>
      </c>
      <c r="CA85" s="246">
        <f>COUNTIFS($D$4:$D$58,"?*",$I$4:$I$58,"x",CE4:CE58,"&lt;=6.4") - COUNTIFS($D$4:$D$58,"?*",$I$4:$I$58,"x",CE4:CE58,"&lt;=4.9")</f>
        <v>0</v>
      </c>
      <c r="CB85" s="246">
        <f>COUNTIFS($D$4:$D$58,"?*",$I$4:$I$58,"x",CE4:CE58,"&lt;=4.9") - COUNTIFS($D$4:$D$58,"?*",$I$4:$I$58,"x",CE4:CE58,"&lt;=3.4")</f>
        <v>0</v>
      </c>
      <c r="CC85" s="247">
        <f>COUNTIFS($D$4:$D$58,"?*",$I$4:$I$58,"x",CE4:CE58,"&lt;=3.4") - COUNTIFS($D$4:$D$58,"?*",$I$4:$I$58,"x",CE4:CE58,"&lt;0")</f>
        <v>0</v>
      </c>
      <c r="CF85" s="1027"/>
      <c r="CG85" s="244" t="s">
        <v>18</v>
      </c>
      <c r="CH85" s="245">
        <f>COUNTIFS($D$4:$D$58,"?*",$I$4:$I$58,"x",CN4:CN58,"&lt;=10") - COUNTIFS($D$4:$D$58,"?*",$I$4:$I$58,"x",CN4:CN58,"&lt;=7.9")</f>
        <v>0</v>
      </c>
      <c r="CI85" s="246">
        <f>COUNTIFS($D$4:$D$58,"?*",$I$4:$I$58,"x",CN4:CN58,"&lt;=7.9") - COUNTIFS($D$4:$D$58,"?*",$I$4:$I$58,"x",CN4:CN58,"&lt;=6.4")</f>
        <v>0</v>
      </c>
      <c r="CJ85" s="246">
        <f>COUNTIFS($D$4:$D$58,"?*",$I$4:$I$58,"x",CN4:CN58,"&lt;=6.4") - COUNTIFS($D$4:$D$58,"?*",$I$4:$I$58,"x",CN4:CN58,"&lt;=4.9")</f>
        <v>0</v>
      </c>
      <c r="CK85" s="246">
        <f>COUNTIFS($D$4:$D$58,"?*",$I$4:$I$58,"x",CN4:CN58,"&lt;=4.9") - COUNTIFS($D$4:$D$58,"?*",$I$4:$I$58,"x",CN4:CN58,"&lt;=3.4")</f>
        <v>0</v>
      </c>
      <c r="CL85" s="247">
        <f>COUNTIFS($D$4:$D$58,"?*",$I$4:$I$58,"x",CN4:CN58,"&lt;=3.4") - COUNTIFS($D$4:$D$58,"?*",$I$4:$I$58,"x",CN4:CN58,"&lt;0")</f>
        <v>0</v>
      </c>
      <c r="CO85" s="1027"/>
      <c r="CP85" s="244" t="s">
        <v>18</v>
      </c>
      <c r="CQ85" s="245">
        <f>COUNTIFS($D$4:$D$58,"?*",$I$4:$I$58,"x",CW4:CW58,"&lt;=10") - COUNTIFS($D$4:$D$58,"?*",$I$4:$I$58,"x",CW4:CW58,"&lt;=7.9")</f>
        <v>0</v>
      </c>
      <c r="CR85" s="246">
        <f>COUNTIFS($D$4:$D$58,"?*",$I$4:$I$58,"x",CW4:CW58,"&lt;=7.9") - COUNTIFS($D$4:$D$58,"?*",$I$4:$I$58,"x",CW4:CW58,"&lt;=6.4")</f>
        <v>0</v>
      </c>
      <c r="CS85" s="246">
        <f>COUNTIFS($D$4:$D$58,"?*",$I$4:$I$58,"x",CW4:CW58,"&lt;=6.4") - COUNTIFS($D$4:$D$58,"?*",$I$4:$I$58,"x",CW4:CW58,"&lt;=4.9")</f>
        <v>0</v>
      </c>
      <c r="CT85" s="246">
        <f>COUNTIFS($D$4:$D$58,"?*",$I$4:$I$58,"x",CW4:CW58,"&lt;=4.9") - COUNTIFS($D$4:$D$58,"?*",$I$4:$I$58,"x",CW4:CW58,"&lt;=3.4")</f>
        <v>0</v>
      </c>
      <c r="CU85" s="247">
        <f>COUNTIFS($D$4:$D$58,"?*",$I$4:$I$58,"x",CW4:CW58,"&lt;=3.4") - COUNTIFS($D$4:$D$58,"?*",$I$4:$I$58,"x",CW4:CW58,"&lt;0")</f>
        <v>0</v>
      </c>
      <c r="CX85" s="1027"/>
      <c r="CY85" s="244" t="s">
        <v>18</v>
      </c>
      <c r="CZ85" s="245">
        <f>COUNTIFS($D$4:$D$58,"?*",$I$4:$I$58,"x",DF4:DF58,"&lt;=10") - COUNTIFS($D$4:$D$58,"?*",$I$4:$I$58,"x",DF4:DF58,"&lt;=7.9")</f>
        <v>0</v>
      </c>
      <c r="DA85" s="246">
        <f>COUNTIFS($D$4:$D$58,"?*",$I$4:$I$58,"x",DF4:DF58,"&lt;=7.9") - COUNTIFS($D$4:$D$58,"?*",$I$4:$I$58,"x",DF4:DF58,"&lt;=6.4")</f>
        <v>0</v>
      </c>
      <c r="DB85" s="246">
        <f>COUNTIFS($D$4:$D$58,"?*",$I$4:$I$58,"x",DF4:DF58,"&lt;=6.4") - COUNTIFS($D$4:$D$58,"?*",$I$4:$I$58,"x",DF4:DF58,"&lt;=4.9")</f>
        <v>0</v>
      </c>
      <c r="DC85" s="246">
        <f>COUNTIFS($D$4:$D$58,"?*",$I$4:$I$58,"x",DF4:DF58,"&lt;=4.9") - COUNTIFS($D$4:$D$58,"?*",$I$4:$I$58,"x",DF4:DF58,"&lt;=3.4")</f>
        <v>0</v>
      </c>
      <c r="DD85" s="247">
        <f>COUNTIFS($D$4:$D$58,"?*",$I$4:$I$58,"x",DF4:DF58,"&lt;=3.4") - COUNTIFS($D$4:$D$58,"?*",$I$4:$I$58,"x",DF4:DF58,"&lt;0")</f>
        <v>0</v>
      </c>
      <c r="DP85" s="1027"/>
      <c r="DQ85" s="244" t="s">
        <v>18</v>
      </c>
      <c r="DR85" s="245">
        <f>COUNTIFS($D$4:$D$58,"?*",$I$4:$I$58,"x",DX4:DX58,"&lt;=10") - COUNTIFS($D$4:$D$58,"?*",$I$4:$I$58,"x",DX4:DX58,"&lt;=7.9")</f>
        <v>0</v>
      </c>
      <c r="DS85" s="246">
        <f>COUNTIFS($D$4:$D$58,"?*",$I$4:$I$58,"x",DX4:DX58,"&lt;=7.9") - COUNTIFS($D$4:$D$58,"?*",$I$4:$I$58,"x",DX4:DX58,"&lt;=6.4")</f>
        <v>0</v>
      </c>
      <c r="DT85" s="246">
        <f>COUNTIFS($D$4:$D$58,"?*",$I$4:$I$58,"x",DX4:DX58,"&lt;=6.4") - COUNTIFS($D$4:$D$58,"?*",$I$4:$I$58,"x",DX4:DX58,"&lt;=4.9")</f>
        <v>0</v>
      </c>
      <c r="DU85" s="246">
        <f>COUNTIFS($D$4:$D$58,"?*",$I$4:$I$58,"x",DX4:DX58,"&lt;=4.9") - COUNTIFS($D$4:$D$58,"?*",$I$4:$I$58,"x",DX4:DX58,"&lt;=3.4")</f>
        <v>0</v>
      </c>
      <c r="DV85" s="247">
        <f>COUNTIFS($D$4:$D$58,"?*",$I$4:$I$58,"x",DX4:DX58,"&lt;=3.4") - COUNTIFS($D$4:$D$58,"?*",$I$4:$I$58,"x",DX4:DX58,"&lt;0")</f>
        <v>0</v>
      </c>
      <c r="DY85" s="1027"/>
      <c r="DZ85" s="244" t="s">
        <v>18</v>
      </c>
      <c r="EA85" s="245">
        <f>COUNTIFS($D$4:$D$58,"?*",$I$4:$I$58,"x",EG4:EG58,"&lt;=10") - COUNTIFS($D$4:$D$58,"?*",$I$4:$I$58,"x",EG4:EG58,"&lt;=7.9")</f>
        <v>0</v>
      </c>
      <c r="EB85" s="246">
        <f>COUNTIFS($D$4:$D$58,"?*",$I$4:$I$58,"x",EG4:EG58,"&lt;=7.9") - COUNTIFS($D$4:$D$58,"?*",$I$4:$I$58,"x",EG4:EG58,"&lt;=6.4")</f>
        <v>0</v>
      </c>
      <c r="EC85" s="246">
        <f>COUNTIFS($D$4:$D$58,"?*",$I$4:$I$58,"x",EG4:EG58,"&lt;=6.4") - COUNTIFS($D$4:$D$58,"?*",$I$4:$I$58,"x",EG4:EG58,"&lt;=4.9")</f>
        <v>0</v>
      </c>
      <c r="ED85" s="246">
        <f>COUNTIFS($D$4:$D$58,"?*",$I$4:$I$58,"x",EG4:EG58,"&lt;=4.9") - COUNTIFS($D$4:$D$58,"?*",$I$4:$I$58,"x",EG4:EG58,"&lt;=3.4")</f>
        <v>0</v>
      </c>
      <c r="EE85" s="247">
        <f>COUNTIFS($D$4:$D$58,"?*",$I$4:$I$58,"x",EG4:EG58,"&lt;=3.4") - COUNTIFS($D$4:$D$58,"?*",$I$4:$I$58,"x",EG4:EG58,"&lt;0")</f>
        <v>0</v>
      </c>
    </row>
    <row r="86" spans="2:137" s="129" customFormat="1" ht="16.5" customHeight="1">
      <c r="B86" s="129">
        <v>19</v>
      </c>
      <c r="L86" s="1027"/>
      <c r="M86" s="244" t="s">
        <v>50</v>
      </c>
      <c r="N86" s="245">
        <f>COUNTIFS($D$4:$D$58,"?*",$J$4:$J$58,"x",T4:T58,"&lt;=10") - COUNTIFS($D$4:$D$58,"?*",$J$4:$J$58,"x",T4:T58,"&lt;=7.9")</f>
        <v>0</v>
      </c>
      <c r="O86" s="246">
        <f>COUNTIFS($D$4:$D$58,"?*",$J$4:$J$58,"x",T4:T58,"&lt;=7.9") - COUNTIFS($D$4:$D$58,"?*",$J$4:$J$58,"x",T4:T58,"&lt;=6.4")</f>
        <v>0</v>
      </c>
      <c r="P86" s="246">
        <f>COUNTIFS($D$4:$D$58,"?*",$J$4:$J$58,"x",T4:T58,"&lt;=6.4") - COUNTIFS($D$4:$D$58,"?*",$J$4:$J$58,"x",T4:T58,"&lt;=4.9")</f>
        <v>0</v>
      </c>
      <c r="Q86" s="246">
        <f>COUNTIFS($D$4:$D$58,"?*",$J$4:$J$58,"x",T4:T58,"&lt;=4.9") - COUNTIFS($D$4:$D$58,"?*",$J$4:$J$58,"x",T4:T58,"&lt;=3.4")</f>
        <v>0</v>
      </c>
      <c r="R86" s="247">
        <f>COUNTIFS($D$4:$D$58,"?*",$J$4:$J$58,"x",T4:T58,"&lt;=3.4") - COUNTIFS($D$4:$D$58,"?*",$J$4:$J$58,"x",T4:T58,"&lt;0")</f>
        <v>0</v>
      </c>
      <c r="U86" s="1027"/>
      <c r="V86" s="244" t="s">
        <v>50</v>
      </c>
      <c r="W86" s="245">
        <f>COUNTIFS($D$4:$D$58,"?*",$J$4:$J$58,"x",AC4:AC58,"&lt;=10") - COUNTIFS($D$4:$D$58,"?*",$J$4:$J$58,"x",AC4:AC58,"&lt;=7.9")</f>
        <v>0</v>
      </c>
      <c r="X86" s="246">
        <f>COUNTIFS($D$4:$D$58,"?*",$J$4:$J$58,"x",AC4:AC58,"&lt;=7.9") - COUNTIFS($D$4:$D$58,"?*",$J$4:$J$58,"x",AC4:AC58,"&lt;=6.4")</f>
        <v>0</v>
      </c>
      <c r="Y86" s="246">
        <f>COUNTIFS($D$4:$D$58,"?*",$J$4:$J$58,"x",AC4:AC58,"&lt;=6.4") - COUNTIFS($D$4:$D$58,"?*",$J$4:$J$58,"x",AC4:AC58,"&lt;=4.9")</f>
        <v>0</v>
      </c>
      <c r="Z86" s="246">
        <f>COUNTIFS($D$4:$D$58,"?*",$J$4:$J$58,"x",AC4:AC58,"&lt;=4.9") - COUNTIFS($D$4:$D$58,"?*",$J$4:$J$58,"x",AC4:AC58,"&lt;=3.4")</f>
        <v>0</v>
      </c>
      <c r="AA86" s="247">
        <f>COUNTIFS($D$4:$D$58,"?*",$J$4:$J$58,"x",AC4:AC58,"&lt;=3.4") - COUNTIFS($D$4:$D$58,"?*",$J$4:$J$58,"x",AC4:AC58,"&lt;0")</f>
        <v>0</v>
      </c>
      <c r="AD86" s="1027"/>
      <c r="AE86" s="244" t="s">
        <v>50</v>
      </c>
      <c r="AF86" s="245">
        <f>COUNTIFS($D$4:$D$58,"?*",$J$4:$J$58,"x",AL4:AL58,"&lt;=10") - COUNTIFS($D$4:$D$58,"?*",$J$4:$J$58,"x",AL4:AL58,"&lt;=7.9")</f>
        <v>0</v>
      </c>
      <c r="AG86" s="246">
        <f>COUNTIFS($D$4:$D$58,"?*",$J$4:$J$58,"x",AL4:AL58,"&lt;=7.9") - COUNTIFS($D$4:$D$58,"?*",$J$4:$J$58,"x",AL4:AL58,"&lt;=6.4")</f>
        <v>0</v>
      </c>
      <c r="AH86" s="246">
        <f>COUNTIFS($D$4:$D$58,"?*",$J$4:$J$58,"x",AL4:AL58,"&lt;=6.4") - COUNTIFS($D$4:$D$58,"?*",$J$4:$J$58,"x",AL4:AL58,"&lt;=4.9")</f>
        <v>0</v>
      </c>
      <c r="AI86" s="246">
        <f>COUNTIFS($D$4:$D$58,"?*",$J$4:$J$58,"x",AL4:AL58,"&lt;=4.9") - COUNTIFS($D$4:$D$58,"?*",$J$4:$J$58,"x",AL4:AL58,"&lt;=3.4")</f>
        <v>0</v>
      </c>
      <c r="AJ86" s="247">
        <f>COUNTIFS($D$4:$D$58,"?*",$J$4:$J$58,"x",AL4:AL58,"&lt;=3.4") - COUNTIFS($D$4:$D$58,"?*",$J$4:$J$58,"x",AL4:AL58,"&lt;0")</f>
        <v>0</v>
      </c>
      <c r="AM86" s="1027"/>
      <c r="AN86" s="244" t="s">
        <v>50</v>
      </c>
      <c r="AO86" s="245">
        <f>COUNTIFS($D$4:$D$58,"?*",$J$4:$J$58,"x",AU4:AU58,"&lt;=10") - COUNTIFS($D$4:$D$58,"?*",$J$4:$J$58,"x",AU4:AU58,"&lt;=7.9")</f>
        <v>0</v>
      </c>
      <c r="AP86" s="246">
        <f>COUNTIFS($D$4:$D$58,"?*",$J$4:$J$58,"x",AU4:AU58,"&lt;=7.9") - COUNTIFS($D$4:$D$58,"?*",$J$4:$J$58,"x",AU4:AU58,"&lt;=6.4")</f>
        <v>0</v>
      </c>
      <c r="AQ86" s="246">
        <f>COUNTIFS($D$4:$D$58,"?*",$J$4:$J$58,"x",AU4:AU58,"&lt;=6.4") - COUNTIFS($D$4:$D$58,"?*",$J$4:$J$58,"x",AU4:AU58,"&lt;=4.9")</f>
        <v>0</v>
      </c>
      <c r="AR86" s="246">
        <f>COUNTIFS($D$4:$D$58,"?*",$J$4:$J$58,"x",AU4:AU58,"&lt;=4.9") - COUNTIFS($D$4:$D$58,"?*",$J$4:$J$58,"x",AU4:AU58,"&lt;=3.4")</f>
        <v>0</v>
      </c>
      <c r="AS86" s="247">
        <f>COUNTIFS($D$4:$D$58,"?*",$J$4:$J$58,"x",AU4:AU58,"&lt;=3.4") - COUNTIFS($D$4:$D$58,"?*",$J$4:$J$58,"x",AU4:AU58,"&lt;0")</f>
        <v>0</v>
      </c>
      <c r="AV86" s="1027"/>
      <c r="AW86" s="244" t="s">
        <v>50</v>
      </c>
      <c r="AX86" s="245">
        <f>COUNTIFS($D$4:$D$58,"?*",$J$4:$J$58,"x",BD4:BD58,"&lt;=10") - COUNTIFS($D$4:$D$58,"?*",$J$4:$J$58,"x",BD4:BD58,"&lt;=7.9")</f>
        <v>0</v>
      </c>
      <c r="AY86" s="246">
        <f>COUNTIFS($D$4:$D$58,"?*",$J$4:$J$58,"x",BD4:BD58,"&lt;=7.9") - COUNTIFS($D$4:$D$58,"?*",$J$4:$J$58,"x",BD4:BD58,"&lt;=6.4")</f>
        <v>0</v>
      </c>
      <c r="AZ86" s="246">
        <f>COUNTIFS($D$4:$D$58,"?*",$J$4:$J$58,"x",BD4:BD58,"&lt;=6.4") - COUNTIFS($D$4:$D$58,"?*",$J$4:$J$58,"x",BD4:BD58,"&lt;=4.9")</f>
        <v>0</v>
      </c>
      <c r="BA86" s="246">
        <f>COUNTIFS($D$4:$D$58,"?*",$J$4:$J$58,"x",BD4:BD58,"&lt;=4.9") - COUNTIFS($D$4:$D$58,"?*",$J$4:$J$58,"x",BD4:BD58,"&lt;=3.4")</f>
        <v>0</v>
      </c>
      <c r="BB86" s="247">
        <f>COUNTIFS($D$4:$D$58,"?*",$J$4:$J$58,"x",BD4:BD58,"&lt;=3.4") - COUNTIFS($D$4:$D$58,"?*",$J$4:$J$58,"x",BD4:BD58,"&lt;0")</f>
        <v>0</v>
      </c>
      <c r="BE86" s="1027"/>
      <c r="BF86" s="244" t="s">
        <v>50</v>
      </c>
      <c r="BG86" s="245">
        <f>COUNTIFS($D$4:$D$58,"?*",$J$4:$J$58,"x",BM4:BM58,"&lt;=10") - COUNTIFS($D$4:$D$58,"?*",$J$4:$J$58,"x",BM4:BM58,"&lt;=7.9")</f>
        <v>0</v>
      </c>
      <c r="BH86" s="246">
        <f>COUNTIFS($D$4:$D$58,"?*",$J$4:$J$58,"x",BM4:BM58,"&lt;=7.9") - COUNTIFS($D$4:$D$58,"?*",$J$4:$J$58,"x",BM4:BM58,"&lt;=6.4")</f>
        <v>0</v>
      </c>
      <c r="BI86" s="246">
        <f>COUNTIFS($D$4:$D$58,"?*",$J$4:$J$58,"x",BM4:BM58,"&lt;=6.4") - COUNTIFS($D$4:$D$58,"?*",$J$4:$J$58,"x",BM4:BM58,"&lt;=4.9")</f>
        <v>0</v>
      </c>
      <c r="BJ86" s="246">
        <f>COUNTIFS($D$4:$D$58,"?*",$J$4:$J$58,"x",BM4:BM58,"&lt;=4.9") - COUNTIFS($D$4:$D$58,"?*",$J$4:$J$58,"x",BM4:BM58,"&lt;=3.4")</f>
        <v>0</v>
      </c>
      <c r="BK86" s="247">
        <f>COUNTIFS($D$4:$D$58,"?*",$J$4:$J$58,"x",BM4:BM58,"&lt;=3.4") - COUNTIFS($D$4:$D$58,"?*",$J$4:$J$58,"x",BM4:BM58,"&lt;0")</f>
        <v>0</v>
      </c>
      <c r="BN86" s="1027"/>
      <c r="BO86" s="244" t="s">
        <v>50</v>
      </c>
      <c r="BP86" s="245">
        <f>COUNTIFS($D$4:$D$58,"?*",$J$4:$J$58,"x",BV4:BV58,"&lt;=10") - COUNTIFS($D$4:$D$58,"?*",$J$4:$J$58,"x",BV4:BV58,"&lt;=7.9")</f>
        <v>0</v>
      </c>
      <c r="BQ86" s="246">
        <f>COUNTIFS($D$4:$D$58,"?*",$J$4:$J$58,"x",BV4:BV58,"&lt;=7.9") - COUNTIFS($D$4:$D$58,"?*",$J$4:$J$58,"x",BV4:BV58,"&lt;=6.4")</f>
        <v>0</v>
      </c>
      <c r="BR86" s="246">
        <f>COUNTIFS($D$4:$D$58,"?*",$J$4:$J$58,"x",BV4:BV58,"&lt;=6.4") - COUNTIFS($D$4:$D$58,"?*",$J$4:$J$58,"x",BV4:BV58,"&lt;=4.9")</f>
        <v>0</v>
      </c>
      <c r="BS86" s="246">
        <f>COUNTIFS($D$4:$D$58,"?*",$J$4:$J$58,"x",BV4:BV58,"&lt;=4.9") - COUNTIFS($D$4:$D$58,"?*",$J$4:$J$58,"x",BV4:BV58,"&lt;=3.4")</f>
        <v>0</v>
      </c>
      <c r="BT86" s="247">
        <f>COUNTIFS($D$4:$D$58,"?*",$J$4:$J$58,"x",BV4:BV58,"&lt;=3.4") - COUNTIFS($D$4:$D$58,"?*",$J$4:$J$58,"x",BV4:BV58,"&lt;0")</f>
        <v>0</v>
      </c>
      <c r="BW86" s="1027"/>
      <c r="BX86" s="244" t="s">
        <v>50</v>
      </c>
      <c r="BY86" s="245">
        <f>COUNTIFS($D$4:$D$58,"?*",$J$4:$J$58,"x",CE4:CE58,"&lt;=10") - COUNTIFS($D$4:$D$58,"?*",$J$4:$J$58,"x",CE4:CE58,"&lt;=7.9")</f>
        <v>0</v>
      </c>
      <c r="BZ86" s="246">
        <f>COUNTIFS($D$4:$D$58,"?*",$J$4:$J$58,"x",CE4:CE58,"&lt;=7.9") - COUNTIFS($D$4:$D$58,"?*",$J$4:$J$58,"x",CE4:CE58,"&lt;=6.4")</f>
        <v>0</v>
      </c>
      <c r="CA86" s="246">
        <f>COUNTIFS($D$4:$D$58,"?*",$J$4:$J$58,"x",CE4:CE58,"&lt;=6.4") - COUNTIFS($D$4:$D$58,"?*",$J$4:$J$58,"x",CE4:CE58,"&lt;=4.9")</f>
        <v>0</v>
      </c>
      <c r="CB86" s="246">
        <f>COUNTIFS($D$4:$D$58,"?*",$J$4:$J$58,"x",CE4:CE58,"&lt;=4.9") - COUNTIFS($D$4:$D$58,"?*",$J$4:$J$58,"x",CE4:CE58,"&lt;=3.4")</f>
        <v>0</v>
      </c>
      <c r="CC86" s="247">
        <f>COUNTIFS($D$4:$D$58,"?*",$J$4:$J$58,"x",CE4:CE58,"&lt;=3.4") - COUNTIFS($D$4:$D$58,"?*",$J$4:$J$58,"x",CE4:CE58,"&lt;0")</f>
        <v>0</v>
      </c>
      <c r="CF86" s="1027"/>
      <c r="CG86" s="244" t="s">
        <v>50</v>
      </c>
      <c r="CH86" s="245">
        <f>COUNTIFS($D$4:$D$58,"?*",$J$4:$J$58,"x",CN4:CN58,"&lt;=10") - COUNTIFS($D$4:$D$58,"?*",$J$4:$J$58,"x",CN4:CN58,"&lt;=7.9")</f>
        <v>0</v>
      </c>
      <c r="CI86" s="246">
        <f>COUNTIFS($D$4:$D$58,"?*",$J$4:$J$58,"x",CN4:CN58,"&lt;=7.9") - COUNTIFS($D$4:$D$58,"?*",$J$4:$J$58,"x",CN4:CN58,"&lt;=6.4")</f>
        <v>0</v>
      </c>
      <c r="CJ86" s="246">
        <f>COUNTIFS($D$4:$D$58,"?*",$J$4:$J$58,"x",CN4:CN58,"&lt;=6.4") - COUNTIFS($D$4:$D$58,"?*",$J$4:$J$58,"x",CN4:CN58,"&lt;=4.9")</f>
        <v>0</v>
      </c>
      <c r="CK86" s="246">
        <f>COUNTIFS($D$4:$D$58,"?*",$J$4:$J$58,"x",CN4:CN58,"&lt;=4.9") - COUNTIFS($D$4:$D$58,"?*",$J$4:$J$58,"x",CN4:CN58,"&lt;=3.4")</f>
        <v>0</v>
      </c>
      <c r="CL86" s="247">
        <f>COUNTIFS($D$4:$D$58,"?*",$J$4:$J$58,"x",CN4:CN58,"&lt;=3.4") - COUNTIFS($D$4:$D$58,"?*",$J$4:$J$58,"x",CN4:CN58,"&lt;0")</f>
        <v>0</v>
      </c>
      <c r="CO86" s="1027"/>
      <c r="CP86" s="244" t="s">
        <v>50</v>
      </c>
      <c r="CQ86" s="245">
        <f>COUNTIFS($D$4:$D$58,"?*",$J$4:$J$58,"x",CW4:CW58,"&lt;=10") - COUNTIFS($D$4:$D$58,"?*",$J$4:$J$58,"x",CW4:CW58,"&lt;=7.9")</f>
        <v>0</v>
      </c>
      <c r="CR86" s="246">
        <f>COUNTIFS($D$4:$D$58,"?*",$J$4:$J$58,"x",CW4:CW58,"&lt;=7.9") - COUNTIFS($D$4:$D$58,"?*",$J$4:$J$58,"x",CW4:CW58,"&lt;=6.4")</f>
        <v>0</v>
      </c>
      <c r="CS86" s="246">
        <f>COUNTIFS($D$4:$D$58,"?*",$J$4:$J$58,"x",CW4:CW58,"&lt;=6.4") - COUNTIFS($D$4:$D$58,"?*",$J$4:$J$58,"x",CW4:CW58,"&lt;=4.9")</f>
        <v>0</v>
      </c>
      <c r="CT86" s="246">
        <f>COUNTIFS($D$4:$D$58,"?*",$J$4:$J$58,"x",CW4:CW58,"&lt;=4.9") - COUNTIFS($D$4:$D$58,"?*",$J$4:$J$58,"x",CW4:CW58,"&lt;=3.4")</f>
        <v>0</v>
      </c>
      <c r="CU86" s="247">
        <f>COUNTIFS($D$4:$D$58,"?*",$J$4:$J$58,"x",CW4:CW58,"&lt;=3.4") - COUNTIFS($D$4:$D$58,"?*",$J$4:$J$58,"x",CW4:CW58,"&lt;0")</f>
        <v>0</v>
      </c>
      <c r="CX86" s="1027"/>
      <c r="CY86" s="244" t="s">
        <v>50</v>
      </c>
      <c r="CZ86" s="245">
        <f>COUNTIFS($D$4:$D$58,"?*",$J$4:$J$58,"x",DF4:DF58,"&lt;=10") - COUNTIFS($D$4:$D$58,"?*",$J$4:$J$58,"x",DF4:DF58,"&lt;=7.9")</f>
        <v>0</v>
      </c>
      <c r="DA86" s="246">
        <f>COUNTIFS($D$4:$D$58,"?*",$J$4:$J$58,"x",DF4:DF58,"&lt;=7.9") - COUNTIFS($D$4:$D$58,"?*",$J$4:$J$58,"x",DF4:DF58,"&lt;=6.4")</f>
        <v>0</v>
      </c>
      <c r="DB86" s="246">
        <f>COUNTIFS($D$4:$D$58,"?*",$J$4:$J$58,"x",DF4:DF58,"&lt;=6.4") - COUNTIFS($D$4:$D$58,"?*",$J$4:$J$58,"x",DF4:DF58,"&lt;=4.9")</f>
        <v>0</v>
      </c>
      <c r="DC86" s="246">
        <f>COUNTIFS($D$4:$D$58,"?*",$J$4:$J$58,"x",DF4:DF58,"&lt;=4.9") - COUNTIFS($D$4:$D$58,"?*",$J$4:$J$58,"x",DF4:DF58,"&lt;=3.4")</f>
        <v>0</v>
      </c>
      <c r="DD86" s="247">
        <f>COUNTIFS($D$4:$D$58,"?*",$J$4:$J$58,"x",DF4:DF58,"&lt;=3.4") - COUNTIFS($D$4:$D$58,"?*",$J$4:$J$58,"x",DF4:DF58,"&lt;0")</f>
        <v>0</v>
      </c>
      <c r="DP86" s="1027"/>
      <c r="DQ86" s="244" t="s">
        <v>50</v>
      </c>
      <c r="DR86" s="245">
        <f>COUNTIFS($D$4:$D$58,"?*",$J$4:$J$58,"x",DX4:DX58,"&lt;=10") - COUNTIFS($D$4:$D$58,"?*",$J$4:$J$58,"x",DX4:DX58,"&lt;=7.9")</f>
        <v>0</v>
      </c>
      <c r="DS86" s="246">
        <f>COUNTIFS($D$4:$D$58,"?*",$J$4:$J$58,"x",DX4:DX58,"&lt;=7.9") - COUNTIFS($D$4:$D$58,"?*",$J$4:$J$58,"x",DX4:DX58,"&lt;=6.4")</f>
        <v>0</v>
      </c>
      <c r="DT86" s="246">
        <f>COUNTIFS($D$4:$D$58,"?*",$J$4:$J$58,"x",DX4:DX58,"&lt;=6.4") - COUNTIFS($D$4:$D$58,"?*",$J$4:$J$58,"x",DX4:DX58,"&lt;=4.9")</f>
        <v>0</v>
      </c>
      <c r="DU86" s="246">
        <f>COUNTIFS($D$4:$D$58,"?*",$J$4:$J$58,"x",DX4:DX58,"&lt;=4.9") - COUNTIFS($D$4:$D$58,"?*",$J$4:$J$58,"x",DX4:DX58,"&lt;=3.4")</f>
        <v>0</v>
      </c>
      <c r="DV86" s="247">
        <f>COUNTIFS($D$4:$D$58,"?*",$J$4:$J$58,"x",DX4:DX58,"&lt;=3.4") - COUNTIFS($D$4:$D$58,"?*",$J$4:$J$58,"x",DX4:DX58,"&lt;0")</f>
        <v>0</v>
      </c>
      <c r="DY86" s="1027"/>
      <c r="DZ86" s="244" t="s">
        <v>50</v>
      </c>
      <c r="EA86" s="245">
        <f>COUNTIFS($D$4:$D$58,"?*",$J$4:$J$58,"x",EG4:EG58,"&lt;=10") - COUNTIFS($D$4:$D$58,"?*",$J$4:$J$58,"x",EG4:EG58,"&lt;=7.9")</f>
        <v>0</v>
      </c>
      <c r="EB86" s="246">
        <f>COUNTIFS($D$4:$D$58,"?*",$J$4:$J$58,"x",EG4:EG58,"&lt;=7.9") - COUNTIFS($D$4:$D$58,"?*",$J$4:$J$58,"x",EG4:EG58,"&lt;=6.4")</f>
        <v>0</v>
      </c>
      <c r="EC86" s="246">
        <f>COUNTIFS($D$4:$D$58,"?*",$J$4:$J$58,"x",EG4:EG58,"&lt;=6.4") - COUNTIFS($D$4:$D$58,"?*",$J$4:$J$58,"x",EG4:EG58,"&lt;=4.9")</f>
        <v>0</v>
      </c>
      <c r="ED86" s="246">
        <f>COUNTIFS($D$4:$D$58,"?*",$J$4:$J$58,"x",EG4:EG58,"&lt;=4.9") - COUNTIFS($D$4:$D$58,"?*",$J$4:$J$58,"x",EG4:EG58,"&lt;=3.4")</f>
        <v>0</v>
      </c>
      <c r="EE86" s="247">
        <f>COUNTIFS($D$4:$D$58,"?*",$J$4:$J$58,"x",EG4:EG58,"&lt;=3.4") - COUNTIFS($D$4:$D$58,"?*",$J$4:$J$58,"x",EG4:EG58,"&lt;0")</f>
        <v>0</v>
      </c>
    </row>
    <row r="87" spans="2:137" s="129" customFormat="1" ht="16.5" customHeight="1">
      <c r="B87" s="129">
        <v>20</v>
      </c>
      <c r="L87" s="1028"/>
      <c r="M87" s="244" t="s">
        <v>48</v>
      </c>
      <c r="N87" s="245">
        <f>COUNTIFS($D$4:$D$58,"?*",$K$4:$K$58,"x",T4:T58,"&lt;=10") - COUNTIFS($D$4:$D$58,"?*",$K$4:$K$58,"x",T4:T58,"&lt;=7.9")</f>
        <v>0</v>
      </c>
      <c r="O87" s="246">
        <f>COUNTIFS($D$4:$D$58,"?*",$K$4:$K$58,"x",T4:T58,"&lt;=7.9") - COUNTIFS($D$4:$D$58,"?*",$K$4:$K$58,"x",T4:T58,"&lt;=6.4")</f>
        <v>0</v>
      </c>
      <c r="P87" s="246">
        <f>COUNTIFS($D$4:$D$58,"?*",$K$4:$K$58,"x",T4:T58,"&lt;=6.4") - COUNTIFS($D$4:$D$58,"?*",$K$4:$K$58,"x",T4:T58,"&lt;=4.9")</f>
        <v>0</v>
      </c>
      <c r="Q87" s="246">
        <f>COUNTIFS($D$4:$D$58,"?*",$K$4:$K$58,"x",T4:T58,"&lt;=4.9") - COUNTIFS($D$4:$D$58,"?*",$K$4:$K$58,"x",T4:T58,"&lt;=3.4")</f>
        <v>0</v>
      </c>
      <c r="R87" s="247">
        <f>COUNTIFS($D$4:$D$58,"?*",$K$4:$K$58,"x",T4:T58,"&lt;=3.4") - COUNTIFS($D$4:$D$58,"?*",$K$4:$K$58,"x",T4:T58,"&lt;0")</f>
        <v>0</v>
      </c>
      <c r="U87" s="1028"/>
      <c r="V87" s="244" t="s">
        <v>48</v>
      </c>
      <c r="W87" s="245">
        <f>COUNTIFS($D$4:$D$58,"?*",$K$4:$K$58,"x",AC4:AC58,"&lt;=10") - COUNTIFS($D$4:$D$58,"?*",$K$4:$K$58,"x",AC4:AC58,"&lt;=7.9")</f>
        <v>0</v>
      </c>
      <c r="X87" s="246">
        <f>COUNTIFS($D$4:$D$58,"?*",$K$4:$K$58,"x",AC4:AC58,"&lt;=7.9") - COUNTIFS($D$4:$D$58,"?*",$K$4:$K$58,"x",AC4:AC58,"&lt;=6.4")</f>
        <v>0</v>
      </c>
      <c r="Y87" s="246">
        <f>COUNTIFS($D$4:$D$58,"?*",$K$4:$K$58,"x",AC4:AC58,"&lt;=6.4") - COUNTIFS($D$4:$D$58,"?*",$K$4:$K$58,"x",AC4:AC58,"&lt;=4.9")</f>
        <v>0</v>
      </c>
      <c r="Z87" s="246">
        <f>COUNTIFS($D$4:$D$58,"?*",$K$4:$K$58,"x",AC4:AC58,"&lt;=4.9") - COUNTIFS($D$4:$D$58,"?*",$K$4:$K$58,"x",AC4:AC58,"&lt;=3.4")</f>
        <v>0</v>
      </c>
      <c r="AA87" s="247">
        <f>COUNTIFS($D$4:$D$58,"?*",$K$4:$K$58,"x",AC4:AC58,"&lt;=3.4") - COUNTIFS($D$4:$D$58,"?*",$K$4:$K$58,"x",AC4:AC58,"&lt;0")</f>
        <v>0</v>
      </c>
      <c r="AD87" s="1028"/>
      <c r="AE87" s="244" t="s">
        <v>48</v>
      </c>
      <c r="AF87" s="245">
        <f>COUNTIFS($D$4:$D$58,"?*",$K$4:$K$58,"x",AL4:AL58,"&lt;=10") - COUNTIFS($D$4:$D$58,"?*",$K$4:$K$58,"x",AL4:AL58,"&lt;=7.9")</f>
        <v>0</v>
      </c>
      <c r="AG87" s="246">
        <f>COUNTIFS($D$4:$D$58,"?*",$K$4:$K$58,"x",AL4:AL58,"&lt;=7.9") - COUNTIFS($D$4:$D$58,"?*",$K$4:$K$58,"x",AL4:AL58,"&lt;=6.4")</f>
        <v>0</v>
      </c>
      <c r="AH87" s="246">
        <f>COUNTIFS($D$4:$D$58,"?*",$K$4:$K$58,"x",AL4:AL58,"&lt;=6.4") - COUNTIFS($D$4:$D$58,"?*",$K$4:$K$58,"x",AL4:AL58,"&lt;=4.9")</f>
        <v>0</v>
      </c>
      <c r="AI87" s="246">
        <f>COUNTIFS($D$4:$D$58,"?*",$K$4:$K$58,"x",AL4:AL58,"&lt;=4.9") - COUNTIFS($D$4:$D$58,"?*",$K$4:$K$58,"x",AL4:AL58,"&lt;=3.4")</f>
        <v>0</v>
      </c>
      <c r="AJ87" s="247">
        <f>COUNTIFS($D$4:$D$58,"?*",$K$4:$K$58,"x",AL4:AL58,"&lt;=3.4") - COUNTIFS($D$4:$D$58,"?*",$K$4:$K$58,"x",AL4:AL58,"&lt;0")</f>
        <v>0</v>
      </c>
      <c r="AM87" s="1028"/>
      <c r="AN87" s="244" t="s">
        <v>48</v>
      </c>
      <c r="AO87" s="245">
        <f>COUNTIFS($D$4:$D$58,"?*",$K$4:$K$58,"x",AU4:AU58,"&lt;=10") - COUNTIFS($D$4:$D$58,"?*",$K$4:$K$58,"x",AU4:AU58,"&lt;=7.9")</f>
        <v>0</v>
      </c>
      <c r="AP87" s="246">
        <f>COUNTIFS($D$4:$D$58,"?*",$K$4:$K$58,"x",AU4:AU58,"&lt;=7.9") - COUNTIFS($D$4:$D$58,"?*",$K$4:$K$58,"x",AU4:AU58,"&lt;=6.4")</f>
        <v>0</v>
      </c>
      <c r="AQ87" s="246">
        <f>COUNTIFS($D$4:$D$58,"?*",$K$4:$K$58,"x",AU4:AU58,"&lt;=6.4") - COUNTIFS($D$4:$D$58,"?*",$K$4:$K$58,"x",AU4:AU58,"&lt;=4.9")</f>
        <v>0</v>
      </c>
      <c r="AR87" s="246">
        <f>COUNTIFS($D$4:$D$58,"?*",$K$4:$K$58,"x",AU4:AU58,"&lt;=4.9") - COUNTIFS($D$4:$D$58,"?*",$K$4:$K$58,"x",AU4:AU58,"&lt;=3.4")</f>
        <v>0</v>
      </c>
      <c r="AS87" s="247">
        <f>COUNTIFS($D$4:$D$58,"?*",$K$4:$K$58,"x",AU4:AU58,"&lt;=3.4") - COUNTIFS($D$4:$D$58,"?*",$K$4:$K$58,"x",AU4:AU58,"&lt;0")</f>
        <v>0</v>
      </c>
      <c r="AV87" s="1028"/>
      <c r="AW87" s="244" t="s">
        <v>48</v>
      </c>
      <c r="AX87" s="245">
        <f>COUNTIFS($D$4:$D$58,"?*",$K$4:$K$58,"x",BD4:BD58,"&lt;=10") - COUNTIFS($D$4:$D$58,"?*",$K$4:$K$58,"x",BD4:BD58,"&lt;=7.9")</f>
        <v>0</v>
      </c>
      <c r="AY87" s="246">
        <f>COUNTIFS($D$4:$D$58,"?*",$K$4:$K$58,"x",BD4:BD58,"&lt;=7.9") - COUNTIFS($D$4:$D$58,"?*",$K$4:$K$58,"x",BD4:BD58,"&lt;=6.4")</f>
        <v>0</v>
      </c>
      <c r="AZ87" s="246">
        <f>COUNTIFS($D$4:$D$58,"?*",$K$4:$K$58,"x",BD4:BD58,"&lt;=6.4") - COUNTIFS($D$4:$D$58,"?*",$K$4:$K$58,"x",BD4:BD58,"&lt;=4.9")</f>
        <v>0</v>
      </c>
      <c r="BA87" s="246">
        <f>COUNTIFS($D$4:$D$58,"?*",$K$4:$K$58,"x",BD4:BD58,"&lt;=4.9") - COUNTIFS($D$4:$D$58,"?*",$K$4:$K$58,"x",BD4:BD58,"&lt;=3.4")</f>
        <v>0</v>
      </c>
      <c r="BB87" s="247">
        <f>COUNTIFS($D$4:$D$58,"?*",$K$4:$K$58,"x",BD4:BD58,"&lt;=3.4") - COUNTIFS($D$4:$D$58,"?*",$K$4:$K$58,"x",BD4:BD58,"&lt;0")</f>
        <v>0</v>
      </c>
      <c r="BE87" s="1028"/>
      <c r="BF87" s="244" t="s">
        <v>48</v>
      </c>
      <c r="BG87" s="245">
        <f>COUNTIFS($D$4:$D$58,"?*",$K$4:$K$58,"x",BM4:BM58,"&lt;=10") - COUNTIFS($D$4:$D$58,"?*",$K$4:$K$58,"x",BM4:BM58,"&lt;=7.9")</f>
        <v>0</v>
      </c>
      <c r="BH87" s="246">
        <f>COUNTIFS($D$4:$D$58,"?*",$K$4:$K$58,"x",BM4:BM58,"&lt;=7.9") - COUNTIFS($D$4:$D$58,"?*",$K$4:$K$58,"x",BM4:BM58,"&lt;=6.4")</f>
        <v>0</v>
      </c>
      <c r="BI87" s="246">
        <f>COUNTIFS($D$4:$D$58,"?*",$K$4:$K$58,"x",BM4:BM58,"&lt;=6.4") - COUNTIFS($D$4:$D$58,"?*",$K$4:$K$58,"x",BM4:BM58,"&lt;=4.9")</f>
        <v>0</v>
      </c>
      <c r="BJ87" s="246">
        <f>COUNTIFS($D$4:$D$58,"?*",$K$4:$K$58,"x",BM4:BM58,"&lt;=4.9") - COUNTIFS($D$4:$D$58,"?*",$K$4:$K$58,"x",BM4:BM58,"&lt;=3.4")</f>
        <v>0</v>
      </c>
      <c r="BK87" s="247">
        <f>COUNTIFS($D$4:$D$58,"?*",$K$4:$K$58,"x",BM4:BM58,"&lt;=3.4") - COUNTIFS($D$4:$D$58,"?*",$K$4:$K$58,"x",BM4:BM58,"&lt;0")</f>
        <v>0</v>
      </c>
      <c r="BN87" s="1028"/>
      <c r="BO87" s="244" t="s">
        <v>48</v>
      </c>
      <c r="BP87" s="245">
        <f>COUNTIFS($D$4:$D$58,"?*",$K$4:$K$58,"x",BV4:BV58,"&lt;=10") - COUNTIFS($D$4:$D$58,"?*",$K$4:$K$58,"x",BV4:BV58,"&lt;=7.9")</f>
        <v>0</v>
      </c>
      <c r="BQ87" s="246">
        <f>COUNTIFS($D$4:$D$58,"?*",$K$4:$K$58,"x",BV4:BV58,"&lt;=7.9") - COUNTIFS($D$4:$D$58,"?*",$K$4:$K$58,"x",BV4:BV58,"&lt;=6.4")</f>
        <v>0</v>
      </c>
      <c r="BR87" s="246">
        <f>COUNTIFS($D$4:$D$58,"?*",$K$4:$K$58,"x",BV4:BV58,"&lt;=6.4") - COUNTIFS($D$4:$D$58,"?*",$K$4:$K$58,"x",BV4:BV58,"&lt;=4.9")</f>
        <v>0</v>
      </c>
      <c r="BS87" s="246">
        <f>COUNTIFS($D$4:$D$58,"?*",$K$4:$K$58,"x",BV4:BV58,"&lt;=4.9") - COUNTIFS($D$4:$D$58,"?*",$K$4:$K$58,"x",BV4:BV58,"&lt;=3.4")</f>
        <v>0</v>
      </c>
      <c r="BT87" s="247">
        <f>COUNTIFS($D$4:$D$58,"?*",$K$4:$K$58,"x",BV4:BV58,"&lt;=3.4") - COUNTIFS($D$4:$D$58,"?*",$K$4:$K$58,"x",BV4:BV58,"&lt;0")</f>
        <v>0</v>
      </c>
      <c r="BW87" s="1028"/>
      <c r="BX87" s="244" t="s">
        <v>48</v>
      </c>
      <c r="BY87" s="245">
        <f>COUNTIFS($D$4:$D$58,"?*",$K$4:$K$58,"x",CE4:CE58,"&lt;=10") - COUNTIFS($D$4:$D$58,"?*",$K$4:$K$58,"x",CE4:CE58,"&lt;=7.9")</f>
        <v>0</v>
      </c>
      <c r="BZ87" s="246">
        <f>COUNTIFS($D$4:$D$58,"?*",$K$4:$K$58,"x",CE4:CE58,"&lt;=7.9") - COUNTIFS($D$4:$D$58,"?*",$K$4:$K$58,"x",CE4:CE58,"&lt;=6.4")</f>
        <v>0</v>
      </c>
      <c r="CA87" s="246">
        <f>COUNTIFS($D$4:$D$58,"?*",$K$4:$K$58,"x",CE4:CE58,"&lt;=6.4") - COUNTIFS($D$4:$D$58,"?*",$K$4:$K$58,"x",CE4:CE58,"&lt;=4.9")</f>
        <v>0</v>
      </c>
      <c r="CB87" s="246">
        <f>COUNTIFS($D$4:$D$58,"?*",$K$4:$K$58,"x",CE4:CE58,"&lt;=4.9") - COUNTIFS($D$4:$D$58,"?*",$K$4:$K$58,"x",CE4:CE58,"&lt;=3.4")</f>
        <v>0</v>
      </c>
      <c r="CC87" s="247">
        <f>COUNTIFS($D$4:$D$58,"?*",$K$4:$K$58,"x",CE4:CE58,"&lt;=3.4") - COUNTIFS($D$4:$D$58,"?*",$K$4:$K$58,"x",CE4:CE58,"&lt;0")</f>
        <v>0</v>
      </c>
      <c r="CF87" s="1028"/>
      <c r="CG87" s="244" t="s">
        <v>48</v>
      </c>
      <c r="CH87" s="245">
        <f>COUNTIFS($D$4:$D$58,"?*",$K$4:$K$58,"x",CN4:CN58,"&lt;=10") - COUNTIFS($D$4:$D$58,"?*",$K$4:$K$58,"x",CN4:CN58,"&lt;=7.9")</f>
        <v>0</v>
      </c>
      <c r="CI87" s="246">
        <f>COUNTIFS($D$4:$D$58,"?*",$K$4:$K$58,"x",CN4:CN58,"&lt;=7.9") - COUNTIFS($D$4:$D$58,"?*",$K$4:$K$58,"x",CN4:CN58,"&lt;=6.4")</f>
        <v>0</v>
      </c>
      <c r="CJ87" s="246">
        <f>COUNTIFS($D$4:$D$58,"?*",$K$4:$K$58,"x",CN4:CN58,"&lt;=6.4") - COUNTIFS($D$4:$D$58,"?*",$K$4:$K$58,"x",CN4:CN58,"&lt;=4.9")</f>
        <v>0</v>
      </c>
      <c r="CK87" s="246">
        <f>COUNTIFS($D$4:$D$58,"?*",$K$4:$K$58,"x",CN4:CN58,"&lt;=4.9") - COUNTIFS($D$4:$D$58,"?*",$K$4:$K$58,"x",CN4:CN58,"&lt;=3.4")</f>
        <v>0</v>
      </c>
      <c r="CL87" s="247">
        <f>COUNTIFS($D$4:$D$58,"?*",$K$4:$K$58,"x",CN4:CN58,"&lt;=3.4") - COUNTIFS($D$4:$D$58,"?*",$K$4:$K$58,"x",CN4:CN58,"&lt;0")</f>
        <v>0</v>
      </c>
      <c r="CO87" s="1028"/>
      <c r="CP87" s="244" t="s">
        <v>48</v>
      </c>
      <c r="CQ87" s="245">
        <f>COUNTIFS($D$4:$D$58,"?*",$K$4:$K$58,"x",CW4:CW58,"&lt;=10") - COUNTIFS($D$4:$D$58,"?*",$K$4:$K$58,"x",CW4:CW58,"&lt;=7.9")</f>
        <v>0</v>
      </c>
      <c r="CR87" s="246">
        <f>COUNTIFS($D$4:$D$58,"?*",$K$4:$K$58,"x",CW4:CW58,"&lt;=7.9") - COUNTIFS($D$4:$D$58,"?*",$K$4:$K$58,"x",CW4:CW58,"&lt;=6.4")</f>
        <v>0</v>
      </c>
      <c r="CS87" s="246">
        <f>COUNTIFS($D$4:$D$58,"?*",$K$4:$K$58,"x",CW4:CW58,"&lt;=6.4") - COUNTIFS($D$4:$D$58,"?*",$K$4:$K$58,"x",CW4:CW58,"&lt;=4.9")</f>
        <v>0</v>
      </c>
      <c r="CT87" s="246">
        <f>COUNTIFS($D$4:$D$58,"?*",$K$4:$K$58,"x",CW4:CW58,"&lt;=4.9") - COUNTIFS($D$4:$D$58,"?*",$K$4:$K$58,"x",CW4:CW58,"&lt;=3.4")</f>
        <v>0</v>
      </c>
      <c r="CU87" s="247">
        <f>COUNTIFS($D$4:$D$58,"?*",$K$4:$K$58,"x",CW4:CW58,"&lt;=3.4") - COUNTIFS($D$4:$D$58,"?*",$K$4:$K$58,"x",CW4:CW58,"&lt;0")</f>
        <v>0</v>
      </c>
      <c r="CX87" s="1028"/>
      <c r="CY87" s="244" t="s">
        <v>48</v>
      </c>
      <c r="CZ87" s="245">
        <f>COUNTIFS($D$4:$D$58,"?*",$K$4:$K$58,"x",DF4:DF58,"&lt;=10") - COUNTIFS($D$4:$D$58,"?*",$K$4:$K$58,"x",DF4:DF58,"&lt;=7.9")</f>
        <v>0</v>
      </c>
      <c r="DA87" s="246">
        <f>COUNTIFS($D$4:$D$58,"?*",$K$4:$K$58,"x",DF4:DF58,"&lt;=7.9") - COUNTIFS($D$4:$D$58,"?*",$K$4:$K$58,"x",DF4:DF58,"&lt;=6.4")</f>
        <v>0</v>
      </c>
      <c r="DB87" s="246">
        <f>COUNTIFS($D$4:$D$58,"?*",$K$4:$K$58,"x",DF4:DF58,"&lt;=6.4") - COUNTIFS($D$4:$D$58,"?*",$K$4:$K$58,"x",DF4:DF58,"&lt;=4.9")</f>
        <v>0</v>
      </c>
      <c r="DC87" s="246">
        <f>COUNTIFS($D$4:$D$58,"?*",$K$4:$K$58,"x",DF4:DF58,"&lt;=4.9") - COUNTIFS($D$4:$D$58,"?*",$K$4:$K$58,"x",DF4:DF58,"&lt;=3.4")</f>
        <v>0</v>
      </c>
      <c r="DD87" s="247">
        <f>COUNTIFS($D$4:$D$58,"?*",$K$4:$K$58,"x",DF4:DF58,"&lt;=3.4") - COUNTIFS($D$4:$D$58,"?*",$K$4:$K$58,"x",DF4:DF58,"&lt;0")</f>
        <v>0</v>
      </c>
      <c r="DP87" s="1028"/>
      <c r="DQ87" s="244" t="s">
        <v>48</v>
      </c>
      <c r="DR87" s="245">
        <f>COUNTIFS($D$4:$D$58,"?*",$K$4:$K$58,"x",DX4:DX58,"&lt;=10") - COUNTIFS($D$4:$D$58,"?*",$K$4:$K$58,"x",DX4:DX58,"&lt;=7.9")</f>
        <v>0</v>
      </c>
      <c r="DS87" s="246">
        <f>COUNTIFS($D$4:$D$58,"?*",$K$4:$K$58,"x",DX4:DX58,"&lt;=7.9") - COUNTIFS($D$4:$D$58,"?*",$K$4:$K$58,"x",DX4:DX58,"&lt;=6.4")</f>
        <v>0</v>
      </c>
      <c r="DT87" s="246">
        <f>COUNTIFS($D$4:$D$58,"?*",$K$4:$K$58,"x",DX4:DX58,"&lt;=6.4") - COUNTIFS($D$4:$D$58,"?*",$K$4:$K$58,"x",DX4:DX58,"&lt;=4.9")</f>
        <v>0</v>
      </c>
      <c r="DU87" s="246">
        <f>COUNTIFS($D$4:$D$58,"?*",$K$4:$K$58,"x",DX4:DX58,"&lt;=4.9") - COUNTIFS($D$4:$D$58,"?*",$K$4:$K$58,"x",DX4:DX58,"&lt;=3.4")</f>
        <v>0</v>
      </c>
      <c r="DV87" s="247">
        <f>COUNTIFS($D$4:$D$58,"?*",$K$4:$K$58,"x",DX4:DX58,"&lt;=3.4") - COUNTIFS($D$4:$D$58,"?*",$K$4:$K$58,"x",DX4:DX58,"&lt;0")</f>
        <v>0</v>
      </c>
      <c r="DY87" s="1028"/>
      <c r="DZ87" s="244" t="s">
        <v>48</v>
      </c>
      <c r="EA87" s="245">
        <f>COUNTIFS($D$4:$D$58,"?*",$K$4:$K$58,"x",EG4:EG58,"&lt;=10") - COUNTIFS($D$4:$D$58,"?*",$K$4:$K$58,"x",EG4:EG58,"&lt;=7.9")</f>
        <v>0</v>
      </c>
      <c r="EB87" s="246">
        <f>COUNTIFS($D$4:$D$58,"?*",$K$4:$K$58,"x",EG4:EG58,"&lt;=7.9") - COUNTIFS($D$4:$D$58,"?*",$K$4:$K$58,"x",EG4:EG58,"&lt;=6.4")</f>
        <v>0</v>
      </c>
      <c r="EC87" s="246">
        <f>COUNTIFS($D$4:$D$58,"?*",$K$4:$K$58,"x",EG4:EG58,"&lt;=6.4") - COUNTIFS($D$4:$D$58,"?*",$K$4:$K$58,"x",EG4:EG58,"&lt;=4.9")</f>
        <v>0</v>
      </c>
      <c r="ED87" s="246">
        <f>COUNTIFS($D$4:$D$58,"?*",$K$4:$K$58,"x",EG4:EG58,"&lt;=4.9") - COUNTIFS($D$4:$D$58,"?*",$K$4:$K$58,"x",EG4:EG58,"&lt;=3.4")</f>
        <v>0</v>
      </c>
      <c r="EE87" s="247">
        <f>COUNTIFS($D$4:$D$58,"?*",$K$4:$K$58,"x",EG4:EG58,"&lt;=3.4") - COUNTIFS($D$4:$D$58,"?*",$K$4:$K$58,"x",EG4:EG58,"&lt;0")</f>
        <v>0</v>
      </c>
    </row>
    <row r="88" spans="2:137" s="129" customFormat="1"/>
    <row r="89" spans="2:137" s="129" customFormat="1"/>
    <row r="90" spans="2:137" s="129" customFormat="1">
      <c r="L90" s="657">
        <f>COUNTIFS($D$4:$D$58,"?*",L4:L58,"&gt;=0")</f>
        <v>0</v>
      </c>
      <c r="M90" s="657">
        <f t="shared" ref="M90:BX90" si="112">COUNTIFS($D$4:$D$58,"?*",M4:M58,"&gt;=0")</f>
        <v>0</v>
      </c>
      <c r="N90" s="657">
        <f t="shared" si="112"/>
        <v>0</v>
      </c>
      <c r="O90" s="657">
        <f t="shared" si="112"/>
        <v>0</v>
      </c>
      <c r="P90" s="651">
        <f t="shared" si="112"/>
        <v>0</v>
      </c>
      <c r="Q90" s="656">
        <f t="shared" si="112"/>
        <v>0</v>
      </c>
      <c r="R90" s="653">
        <f t="shared" si="112"/>
        <v>36</v>
      </c>
      <c r="S90" s="658">
        <f t="shared" si="112"/>
        <v>0</v>
      </c>
      <c r="T90" s="658">
        <f t="shared" si="112"/>
        <v>0</v>
      </c>
      <c r="U90" s="657">
        <f t="shared" si="112"/>
        <v>0</v>
      </c>
      <c r="V90" s="657">
        <f t="shared" si="112"/>
        <v>0</v>
      </c>
      <c r="W90" s="657">
        <f t="shared" si="112"/>
        <v>0</v>
      </c>
      <c r="X90" s="657">
        <f t="shared" si="112"/>
        <v>0</v>
      </c>
      <c r="Y90" s="651">
        <f t="shared" si="112"/>
        <v>0</v>
      </c>
      <c r="Z90" s="656">
        <f t="shared" si="112"/>
        <v>0</v>
      </c>
      <c r="AA90" s="653">
        <f t="shared" si="112"/>
        <v>36</v>
      </c>
      <c r="AB90" s="658">
        <f t="shared" si="112"/>
        <v>0</v>
      </c>
      <c r="AC90" s="658">
        <f t="shared" si="112"/>
        <v>0</v>
      </c>
      <c r="AD90" s="657">
        <f t="shared" si="112"/>
        <v>0</v>
      </c>
      <c r="AE90" s="657">
        <f t="shared" si="112"/>
        <v>0</v>
      </c>
      <c r="AF90" s="657">
        <f t="shared" si="112"/>
        <v>0</v>
      </c>
      <c r="AG90" s="657">
        <f t="shared" si="112"/>
        <v>0</v>
      </c>
      <c r="AH90" s="651">
        <f t="shared" si="112"/>
        <v>0</v>
      </c>
      <c r="AI90" s="656">
        <f t="shared" si="112"/>
        <v>0</v>
      </c>
      <c r="AJ90" s="653">
        <f t="shared" si="112"/>
        <v>36</v>
      </c>
      <c r="AK90" s="658">
        <f t="shared" si="112"/>
        <v>0</v>
      </c>
      <c r="AL90" s="658">
        <f t="shared" si="112"/>
        <v>0</v>
      </c>
      <c r="AM90" s="657">
        <f t="shared" si="112"/>
        <v>0</v>
      </c>
      <c r="AN90" s="657">
        <f t="shared" si="112"/>
        <v>0</v>
      </c>
      <c r="AO90" s="657">
        <f t="shared" si="112"/>
        <v>0</v>
      </c>
      <c r="AP90" s="657">
        <f t="shared" si="112"/>
        <v>0</v>
      </c>
      <c r="AQ90" s="651">
        <f t="shared" si="112"/>
        <v>0</v>
      </c>
      <c r="AR90" s="656">
        <f t="shared" si="112"/>
        <v>0</v>
      </c>
      <c r="AS90" s="653">
        <f t="shared" si="112"/>
        <v>36</v>
      </c>
      <c r="AT90" s="658">
        <f t="shared" si="112"/>
        <v>0</v>
      </c>
      <c r="AU90" s="658">
        <f t="shared" si="112"/>
        <v>0</v>
      </c>
      <c r="AV90" s="657">
        <f t="shared" si="112"/>
        <v>0</v>
      </c>
      <c r="AW90" s="657">
        <f t="shared" si="112"/>
        <v>0</v>
      </c>
      <c r="AX90" s="657">
        <f t="shared" si="112"/>
        <v>0</v>
      </c>
      <c r="AY90" s="657">
        <f t="shared" si="112"/>
        <v>0</v>
      </c>
      <c r="AZ90" s="651">
        <f t="shared" si="112"/>
        <v>0</v>
      </c>
      <c r="BA90" s="656">
        <f t="shared" si="112"/>
        <v>0</v>
      </c>
      <c r="BB90" s="653">
        <f t="shared" si="112"/>
        <v>36</v>
      </c>
      <c r="BC90" s="658">
        <f t="shared" si="112"/>
        <v>0</v>
      </c>
      <c r="BD90" s="658">
        <f t="shared" si="112"/>
        <v>0</v>
      </c>
      <c r="BE90" s="657">
        <f t="shared" si="112"/>
        <v>0</v>
      </c>
      <c r="BF90" s="657">
        <f t="shared" si="112"/>
        <v>0</v>
      </c>
      <c r="BG90" s="657">
        <f t="shared" si="112"/>
        <v>0</v>
      </c>
      <c r="BH90" s="657">
        <f t="shared" si="112"/>
        <v>0</v>
      </c>
      <c r="BI90" s="651">
        <f t="shared" si="112"/>
        <v>0</v>
      </c>
      <c r="BJ90" s="656">
        <f t="shared" si="112"/>
        <v>0</v>
      </c>
      <c r="BK90" s="653">
        <f t="shared" si="112"/>
        <v>36</v>
      </c>
      <c r="BL90" s="658">
        <f t="shared" si="112"/>
        <v>0</v>
      </c>
      <c r="BM90" s="658">
        <f t="shared" si="112"/>
        <v>0</v>
      </c>
      <c r="BN90" s="657">
        <f t="shared" si="112"/>
        <v>0</v>
      </c>
      <c r="BO90" s="657">
        <f t="shared" si="112"/>
        <v>0</v>
      </c>
      <c r="BP90" s="657">
        <f t="shared" si="112"/>
        <v>0</v>
      </c>
      <c r="BQ90" s="657">
        <f t="shared" si="112"/>
        <v>0</v>
      </c>
      <c r="BR90" s="651">
        <f t="shared" si="112"/>
        <v>0</v>
      </c>
      <c r="BS90" s="656">
        <f t="shared" si="112"/>
        <v>0</v>
      </c>
      <c r="BT90" s="653">
        <f t="shared" si="112"/>
        <v>36</v>
      </c>
      <c r="BU90" s="658">
        <f t="shared" si="112"/>
        <v>0</v>
      </c>
      <c r="BV90" s="658">
        <f t="shared" si="112"/>
        <v>0</v>
      </c>
      <c r="BW90" s="657">
        <f t="shared" si="112"/>
        <v>0</v>
      </c>
      <c r="BX90" s="657">
        <f t="shared" si="112"/>
        <v>0</v>
      </c>
      <c r="BY90" s="657">
        <f t="shared" ref="BY90:EG90" si="113">COUNTIFS($D$4:$D$58,"?*",BY4:BY58,"&gt;=0")</f>
        <v>0</v>
      </c>
      <c r="BZ90" s="657">
        <f t="shared" si="113"/>
        <v>0</v>
      </c>
      <c r="CA90" s="651">
        <f t="shared" si="113"/>
        <v>0</v>
      </c>
      <c r="CB90" s="656">
        <f t="shared" si="113"/>
        <v>0</v>
      </c>
      <c r="CC90" s="653">
        <f t="shared" si="113"/>
        <v>36</v>
      </c>
      <c r="CD90" s="658">
        <f t="shared" si="113"/>
        <v>0</v>
      </c>
      <c r="CE90" s="658">
        <f t="shared" si="113"/>
        <v>0</v>
      </c>
      <c r="CF90" s="657">
        <f t="shared" si="113"/>
        <v>0</v>
      </c>
      <c r="CG90" s="657">
        <f t="shared" si="113"/>
        <v>0</v>
      </c>
      <c r="CH90" s="657">
        <f t="shared" si="113"/>
        <v>0</v>
      </c>
      <c r="CI90" s="657">
        <f t="shared" si="113"/>
        <v>0</v>
      </c>
      <c r="CJ90" s="651">
        <f t="shared" si="113"/>
        <v>0</v>
      </c>
      <c r="CK90" s="656">
        <f t="shared" si="113"/>
        <v>0</v>
      </c>
      <c r="CL90" s="653">
        <f t="shared" si="113"/>
        <v>36</v>
      </c>
      <c r="CM90" s="658">
        <f t="shared" si="113"/>
        <v>0</v>
      </c>
      <c r="CN90" s="658">
        <f t="shared" si="113"/>
        <v>0</v>
      </c>
      <c r="CO90" s="657">
        <f t="shared" si="113"/>
        <v>0</v>
      </c>
      <c r="CP90" s="657">
        <f t="shared" si="113"/>
        <v>0</v>
      </c>
      <c r="CQ90" s="657">
        <f t="shared" si="113"/>
        <v>0</v>
      </c>
      <c r="CR90" s="657">
        <f t="shared" si="113"/>
        <v>0</v>
      </c>
      <c r="CS90" s="651">
        <f t="shared" si="113"/>
        <v>0</v>
      </c>
      <c r="CT90" s="656">
        <f t="shared" si="113"/>
        <v>0</v>
      </c>
      <c r="CU90" s="653">
        <f t="shared" si="113"/>
        <v>36</v>
      </c>
      <c r="CV90" s="658">
        <f t="shared" si="113"/>
        <v>0</v>
      </c>
      <c r="CW90" s="658">
        <f t="shared" si="113"/>
        <v>0</v>
      </c>
      <c r="CX90" s="657">
        <f t="shared" si="113"/>
        <v>0</v>
      </c>
      <c r="CY90" s="657">
        <f t="shared" si="113"/>
        <v>0</v>
      </c>
      <c r="CZ90" s="657">
        <f t="shared" si="113"/>
        <v>0</v>
      </c>
      <c r="DA90" s="657">
        <f t="shared" si="113"/>
        <v>0</v>
      </c>
      <c r="DB90" s="651">
        <f t="shared" si="113"/>
        <v>0</v>
      </c>
      <c r="DC90" s="656">
        <f t="shared" si="113"/>
        <v>0</v>
      </c>
      <c r="DD90" s="653">
        <f t="shared" si="113"/>
        <v>36</v>
      </c>
      <c r="DE90" s="658">
        <f t="shared" si="113"/>
        <v>0</v>
      </c>
      <c r="DF90" s="658">
        <f t="shared" si="113"/>
        <v>0</v>
      </c>
      <c r="DG90" s="657">
        <f>COUNTIFS($D$4:$D$58,"?*",DG4:DG58,"?")</f>
        <v>0</v>
      </c>
      <c r="DH90" s="657">
        <f t="shared" ref="DH90:DO90" si="114">COUNTIFS($D$4:$D$58,"?*",DH4:DH58,"?")</f>
        <v>0</v>
      </c>
      <c r="DI90" s="657">
        <f t="shared" si="114"/>
        <v>0</v>
      </c>
      <c r="DJ90" s="657">
        <f t="shared" si="114"/>
        <v>0</v>
      </c>
      <c r="DK90" s="651">
        <f t="shared" si="114"/>
        <v>0</v>
      </c>
      <c r="DL90" s="656">
        <f t="shared" si="114"/>
        <v>0</v>
      </c>
      <c r="DM90" s="653">
        <f t="shared" si="114"/>
        <v>36</v>
      </c>
      <c r="DN90" s="658">
        <f t="shared" si="114"/>
        <v>0</v>
      </c>
      <c r="DO90" s="658">
        <f t="shared" si="114"/>
        <v>36</v>
      </c>
      <c r="DP90" s="657">
        <f t="shared" si="113"/>
        <v>0</v>
      </c>
      <c r="DQ90" s="657">
        <f t="shared" si="113"/>
        <v>0</v>
      </c>
      <c r="DR90" s="657">
        <f t="shared" si="113"/>
        <v>0</v>
      </c>
      <c r="DS90" s="657">
        <f t="shared" si="113"/>
        <v>0</v>
      </c>
      <c r="DT90" s="651">
        <f t="shared" si="113"/>
        <v>0</v>
      </c>
      <c r="DU90" s="656">
        <f t="shared" si="113"/>
        <v>0</v>
      </c>
      <c r="DV90" s="653">
        <f t="shared" si="113"/>
        <v>36</v>
      </c>
      <c r="DW90" s="658">
        <f t="shared" si="113"/>
        <v>0</v>
      </c>
      <c r="DX90" s="658">
        <f t="shared" si="113"/>
        <v>0</v>
      </c>
      <c r="DY90" s="657">
        <f t="shared" si="113"/>
        <v>0</v>
      </c>
      <c r="DZ90" s="657">
        <f t="shared" si="113"/>
        <v>0</v>
      </c>
      <c r="EA90" s="657">
        <f t="shared" si="113"/>
        <v>0</v>
      </c>
      <c r="EB90" s="657">
        <f t="shared" si="113"/>
        <v>0</v>
      </c>
      <c r="EC90" s="651">
        <f t="shared" si="113"/>
        <v>0</v>
      </c>
      <c r="ED90" s="656">
        <f t="shared" si="113"/>
        <v>0</v>
      </c>
      <c r="EE90" s="653">
        <f t="shared" si="113"/>
        <v>0</v>
      </c>
      <c r="EF90" s="658">
        <f t="shared" si="113"/>
        <v>0</v>
      </c>
      <c r="EG90" s="658">
        <f t="shared" si="113"/>
        <v>0</v>
      </c>
    </row>
    <row r="91" spans="2:137" s="129" customFormat="1"/>
  </sheetData>
  <sheetProtection algorithmName="SHA-512" hashValue="HnEDTLyMwBG4W/Gy3q+QnXuxq0tMwch88OZg6A/N9hbhLMB1L7q/EaONz0wAFfbTiSn6jDxxuecdsvK/FdwyRQ==" saltValue="HUbx0UCY4aFdA85cM/hZqg==" spinCount="100000" sheet="1" objects="1" scenarios="1" formatCells="0"/>
  <mergeCells count="132">
    <mergeCell ref="EH1:EK1"/>
    <mergeCell ref="EH2:EK2"/>
    <mergeCell ref="DG68:DG73"/>
    <mergeCell ref="DN68:DN73"/>
    <mergeCell ref="BE1:BM1"/>
    <mergeCell ref="BN1:BV1"/>
    <mergeCell ref="BE2:BH2"/>
    <mergeCell ref="CF68:CG68"/>
    <mergeCell ref="CF69:CF73"/>
    <mergeCell ref="BE69:BE73"/>
    <mergeCell ref="BN69:BN73"/>
    <mergeCell ref="BN2:BQ2"/>
    <mergeCell ref="BE61:BM61"/>
    <mergeCell ref="BN61:BV61"/>
    <mergeCell ref="DG1:DO1"/>
    <mergeCell ref="DG2:DJ2"/>
    <mergeCell ref="DP1:DX1"/>
    <mergeCell ref="DY1:EG1"/>
    <mergeCell ref="DP2:DS2"/>
    <mergeCell ref="DY2:EB2"/>
    <mergeCell ref="DP61:DX61"/>
    <mergeCell ref="DY61:EG61"/>
    <mergeCell ref="DP68:DQ68"/>
    <mergeCell ref="DY68:DZ68"/>
    <mergeCell ref="A27:A28"/>
    <mergeCell ref="A34:A35"/>
    <mergeCell ref="B61:F61"/>
    <mergeCell ref="G61:K61"/>
    <mergeCell ref="L61:T61"/>
    <mergeCell ref="B62:F66"/>
    <mergeCell ref="L68:M68"/>
    <mergeCell ref="L69:L73"/>
    <mergeCell ref="B1:K1"/>
    <mergeCell ref="B2:B3"/>
    <mergeCell ref="D2:D3"/>
    <mergeCell ref="E2:F3"/>
    <mergeCell ref="L2:O2"/>
    <mergeCell ref="L75:M75"/>
    <mergeCell ref="L76:L80"/>
    <mergeCell ref="L82:M82"/>
    <mergeCell ref="L83:L87"/>
    <mergeCell ref="L1:T1"/>
    <mergeCell ref="U1:AC1"/>
    <mergeCell ref="U2:X2"/>
    <mergeCell ref="U61:AC61"/>
    <mergeCell ref="U68:V68"/>
    <mergeCell ref="U69:U73"/>
    <mergeCell ref="U75:V75"/>
    <mergeCell ref="U76:U80"/>
    <mergeCell ref="U82:V82"/>
    <mergeCell ref="U83:U87"/>
    <mergeCell ref="AD75:AE75"/>
    <mergeCell ref="AM75:AN75"/>
    <mergeCell ref="AD76:AD80"/>
    <mergeCell ref="AM76:AM80"/>
    <mergeCell ref="AD82:AE82"/>
    <mergeCell ref="AM82:AN82"/>
    <mergeCell ref="AD83:AD87"/>
    <mergeCell ref="AM83:AM87"/>
    <mergeCell ref="AV1:BD1"/>
    <mergeCell ref="AV2:AY2"/>
    <mergeCell ref="AV69:AV73"/>
    <mergeCell ref="AV75:AW75"/>
    <mergeCell ref="AV83:AV87"/>
    <mergeCell ref="AD1:AL1"/>
    <mergeCell ref="AM1:AU1"/>
    <mergeCell ref="AD2:AG2"/>
    <mergeCell ref="AM2:AP2"/>
    <mergeCell ref="AD61:AL61"/>
    <mergeCell ref="AM61:AU61"/>
    <mergeCell ref="AD68:AE68"/>
    <mergeCell ref="AM68:AN68"/>
    <mergeCell ref="AD69:AD73"/>
    <mergeCell ref="AM69:AM73"/>
    <mergeCell ref="AV61:BD61"/>
    <mergeCell ref="AV68:AW68"/>
    <mergeCell ref="BE68:BF68"/>
    <mergeCell ref="BN68:BO68"/>
    <mergeCell ref="BE75:BF75"/>
    <mergeCell ref="BN75:BO75"/>
    <mergeCell ref="AV76:AV80"/>
    <mergeCell ref="BE76:BE80"/>
    <mergeCell ref="BN76:BN80"/>
    <mergeCell ref="AV82:AW82"/>
    <mergeCell ref="BE82:BF82"/>
    <mergeCell ref="BN82:BO82"/>
    <mergeCell ref="BE83:BE87"/>
    <mergeCell ref="BN83:BN87"/>
    <mergeCell ref="BW1:CE1"/>
    <mergeCell ref="CF1:CN1"/>
    <mergeCell ref="CO1:CW1"/>
    <mergeCell ref="CX1:DF1"/>
    <mergeCell ref="BW2:BZ2"/>
    <mergeCell ref="CF2:CI2"/>
    <mergeCell ref="CO2:CR2"/>
    <mergeCell ref="CX2:DA2"/>
    <mergeCell ref="BW61:CE61"/>
    <mergeCell ref="CF61:CN61"/>
    <mergeCell ref="CO61:CW61"/>
    <mergeCell ref="CX61:DF61"/>
    <mergeCell ref="BW68:BX68"/>
    <mergeCell ref="CO68:CP68"/>
    <mergeCell ref="CX68:CY68"/>
    <mergeCell ref="BW69:BW73"/>
    <mergeCell ref="CO69:CO73"/>
    <mergeCell ref="CX69:CX73"/>
    <mergeCell ref="BW75:BX75"/>
    <mergeCell ref="CF75:CG75"/>
    <mergeCell ref="CO75:CP75"/>
    <mergeCell ref="CX75:CY75"/>
    <mergeCell ref="BW76:BW80"/>
    <mergeCell ref="CF76:CF80"/>
    <mergeCell ref="CO76:CO80"/>
    <mergeCell ref="CX76:CX80"/>
    <mergeCell ref="BW82:BX82"/>
    <mergeCell ref="CF82:CG82"/>
    <mergeCell ref="CO82:CP82"/>
    <mergeCell ref="CX82:CY82"/>
    <mergeCell ref="BW83:BW87"/>
    <mergeCell ref="CF83:CF87"/>
    <mergeCell ref="CO83:CO87"/>
    <mergeCell ref="CX83:CX87"/>
    <mergeCell ref="DP69:DP73"/>
    <mergeCell ref="DY69:DY73"/>
    <mergeCell ref="DP75:DQ75"/>
    <mergeCell ref="DY75:DZ75"/>
    <mergeCell ref="DP76:DP80"/>
    <mergeCell ref="DY76:DY80"/>
    <mergeCell ref="DP82:DQ82"/>
    <mergeCell ref="DY82:DZ82"/>
    <mergeCell ref="DP83:DP87"/>
    <mergeCell ref="DY83:DY87"/>
  </mergeCells>
  <conditionalFormatting sqref="L4:T58">
    <cfRule type="expression" dxfId="478" priority="107">
      <formula>LEN(L4)&gt;=4</formula>
    </cfRule>
    <cfRule type="cellIs" dxfId="477" priority="108" operator="lessThan">
      <formula>5</formula>
    </cfRule>
    <cfRule type="cellIs" dxfId="476" priority="109" operator="greaterThan">
      <formula>8</formula>
    </cfRule>
  </conditionalFormatting>
  <conditionalFormatting sqref="U4:AC58">
    <cfRule type="expression" dxfId="475" priority="44">
      <formula>LEN(U4)&gt;=4</formula>
    </cfRule>
    <cfRule type="cellIs" dxfId="474" priority="45" operator="lessThan">
      <formula>5</formula>
    </cfRule>
    <cfRule type="cellIs" dxfId="473" priority="46" operator="greaterThan">
      <formula>8</formula>
    </cfRule>
  </conditionalFormatting>
  <conditionalFormatting sqref="AD4:AL58">
    <cfRule type="expression" dxfId="472" priority="41">
      <formula>LEN(AD4)&gt;=4</formula>
    </cfRule>
    <cfRule type="cellIs" dxfId="471" priority="42" operator="lessThan">
      <formula>5</formula>
    </cfRule>
    <cfRule type="cellIs" dxfId="470" priority="43" operator="greaterThan">
      <formula>8</formula>
    </cfRule>
  </conditionalFormatting>
  <conditionalFormatting sqref="AM4:AU58">
    <cfRule type="expression" dxfId="469" priority="38">
      <formula>LEN(AM4)&gt;=4</formula>
    </cfRule>
    <cfRule type="cellIs" dxfId="468" priority="39" operator="lessThan">
      <formula>5</formula>
    </cfRule>
    <cfRule type="cellIs" dxfId="467" priority="40" operator="greaterThan">
      <formula>8</formula>
    </cfRule>
  </conditionalFormatting>
  <conditionalFormatting sqref="AV4:BD58">
    <cfRule type="expression" dxfId="466" priority="35">
      <formula>LEN(AV4)&gt;=4</formula>
    </cfRule>
    <cfRule type="cellIs" dxfId="465" priority="36" operator="lessThan">
      <formula>5</formula>
    </cfRule>
    <cfRule type="cellIs" dxfId="464" priority="37" operator="greaterThan">
      <formula>8</formula>
    </cfRule>
  </conditionalFormatting>
  <conditionalFormatting sqref="BE4:BM58">
    <cfRule type="expression" dxfId="463" priority="32">
      <formula>LEN(BE4)&gt;=4</formula>
    </cfRule>
    <cfRule type="cellIs" dxfId="462" priority="33" operator="lessThan">
      <formula>5</formula>
    </cfRule>
    <cfRule type="cellIs" dxfId="461" priority="34" operator="greaterThan">
      <formula>8</formula>
    </cfRule>
  </conditionalFormatting>
  <conditionalFormatting sqref="BN4:BV58">
    <cfRule type="expression" dxfId="460" priority="29">
      <formula>LEN(BN4)&gt;=4</formula>
    </cfRule>
    <cfRule type="cellIs" dxfId="459" priority="30" operator="lessThan">
      <formula>5</formula>
    </cfRule>
    <cfRule type="cellIs" dxfId="458" priority="31" operator="greaterThan">
      <formula>8</formula>
    </cfRule>
  </conditionalFormatting>
  <conditionalFormatting sqref="BW4:CE58">
    <cfRule type="expression" dxfId="457" priority="23">
      <formula>LEN(BW4)&gt;=4</formula>
    </cfRule>
    <cfRule type="cellIs" dxfId="456" priority="24" operator="lessThan">
      <formula>5</formula>
    </cfRule>
    <cfRule type="cellIs" dxfId="455" priority="25" operator="greaterThan">
      <formula>8</formula>
    </cfRule>
  </conditionalFormatting>
  <conditionalFormatting sqref="CF4:CN58">
    <cfRule type="expression" dxfId="454" priority="20">
      <formula>LEN(CF4)&gt;=4</formula>
    </cfRule>
    <cfRule type="cellIs" dxfId="453" priority="21" operator="lessThan">
      <formula>5</formula>
    </cfRule>
    <cfRule type="cellIs" dxfId="452" priority="22" operator="greaterThan">
      <formula>8</formula>
    </cfRule>
  </conditionalFormatting>
  <conditionalFormatting sqref="CO4:CW58">
    <cfRule type="expression" dxfId="451" priority="17">
      <formula>LEN(CO4)&gt;=4</formula>
    </cfRule>
    <cfRule type="cellIs" dxfId="450" priority="18" operator="lessThan">
      <formula>5</formula>
    </cfRule>
    <cfRule type="cellIs" dxfId="449" priority="19" operator="greaterThan">
      <formula>8</formula>
    </cfRule>
  </conditionalFormatting>
  <conditionalFormatting sqref="CX4:DF58">
    <cfRule type="expression" dxfId="448" priority="14">
      <formula>LEN(CX4)&gt;=4</formula>
    </cfRule>
    <cfRule type="cellIs" dxfId="447" priority="15" operator="lessThan">
      <formula>5</formula>
    </cfRule>
    <cfRule type="cellIs" dxfId="446" priority="16" operator="greaterThan">
      <formula>8</formula>
    </cfRule>
  </conditionalFormatting>
  <conditionalFormatting sqref="DP4:DX58">
    <cfRule type="expression" dxfId="445" priority="11">
      <formula>LEN(DP4)&gt;=4</formula>
    </cfRule>
    <cfRule type="cellIs" dxfId="444" priority="12" operator="lessThan">
      <formula>5</formula>
    </cfRule>
    <cfRule type="cellIs" dxfId="443" priority="13" operator="greaterThan">
      <formula>8</formula>
    </cfRule>
  </conditionalFormatting>
  <conditionalFormatting sqref="DY4:EG58">
    <cfRule type="expression" dxfId="442" priority="8">
      <formula>LEN(DY4)&gt;=4</formula>
    </cfRule>
    <cfRule type="cellIs" dxfId="441" priority="9" operator="lessThan">
      <formula>5</formula>
    </cfRule>
    <cfRule type="cellIs" dxfId="440" priority="10" operator="greaterThan">
      <formula>8</formula>
    </cfRule>
  </conditionalFormatting>
  <conditionalFormatting sqref="DG4:DL58">
    <cfRule type="expression" dxfId="439" priority="4">
      <formula>LEN(DG4)&gt;=4</formula>
    </cfRule>
    <cfRule type="cellIs" dxfId="438" priority="5" operator="lessThan">
      <formula>5</formula>
    </cfRule>
    <cfRule type="cellIs" dxfId="437" priority="6" operator="greaterThan">
      <formula>8</formula>
    </cfRule>
  </conditionalFormatting>
  <conditionalFormatting sqref="DK4:DK58">
    <cfRule type="expression" dxfId="436" priority="7">
      <formula>COUNTA(DK4:DK4)&gt;1</formula>
    </cfRule>
  </conditionalFormatting>
  <conditionalFormatting sqref="DM4:DO58">
    <cfRule type="expression" dxfId="435" priority="1">
      <formula>LEN(DM4)&gt;=4</formula>
    </cfRule>
    <cfRule type="cellIs" dxfId="434" priority="2" operator="lessThan">
      <formula>5</formula>
    </cfRule>
    <cfRule type="cellIs" dxfId="433" priority="3" operator="greaterThan">
      <formula>8</formula>
    </cfRule>
  </conditionalFormatting>
  <dataValidations count="5">
    <dataValidation type="decimal" allowBlank="1" showErrorMessage="1" errorTitle="Sai roi !" error="Dien nguyen tu 0 den 10." sqref="DY4:DZ58 L4:M58 U4:V58 AD4:AE58 AM4:AN58 AV4:AW58 BE4:BF58 BN4:BO58 BW4:BX58 CF4:CG58 CO4:CP58 CX4:CY58 DP4:DQ58">
      <formula1>0</formula1>
      <formula2>10</formula2>
    </dataValidation>
    <dataValidation type="decimal" allowBlank="1" showErrorMessage="1" errorTitle="Sai roi !" error="Dien tu 0 den 10." sqref="N4:T58 W4:AC58 AF4:AL58 AO4:AU58 AX4:BD58 BG4:BM58 BP4:BV58 BY4:CE58 CH4:CN58 CQ4:CW58 EA4:EG58 DR4:DX58 CZ4:DF58">
      <formula1>0</formula1>
      <formula2>10</formula2>
    </dataValidation>
    <dataValidation type="list" allowBlank="1" showInputMessage="1" showErrorMessage="1" sqref="DG4:DL58">
      <formula1>"Đ, CĐ"</formula1>
    </dataValidation>
    <dataValidation type="list" allowBlank="1" showInputMessage="1" showErrorMessage="1" sqref="DM4:DO58">
      <formula1>"Đ,CĐ"</formula1>
    </dataValidation>
    <dataValidation type="list" operator="equal" allowBlank="1" showDropDown="1" showInputMessage="1" showErrorMessage="1" sqref="I4:K58">
      <formula1>"x"</formula1>
    </dataValidation>
  </dataValidations>
  <pageMargins left="0.35" right="0.25" top="0.25" bottom="0.25" header="0" footer="0"/>
  <pageSetup paperSize="9" scale="75" orientation="landscape" blackAndWhite="1" r:id="rId1"/>
  <ignoredErrors>
    <ignoredError sqref="S5:T58 S4:T4 R4:R58" unlockedFormula="1"/>
    <ignoredError sqref="M59 N59:O59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oanhk2">
                <anchor moveWithCells="1" sizeWithCells="1">
                  <from>
                    <xdr:col>0</xdr:col>
                    <xdr:colOff>38100</xdr:colOff>
                    <xdr:row>3</xdr:row>
                    <xdr:rowOff>99060</xdr:rowOff>
                  </from>
                  <to>
                    <xdr:col>0</xdr:col>
                    <xdr:colOff>906780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Vatlihk2">
                <anchor moveWithCells="1" sizeWithCells="1">
                  <from>
                    <xdr:col>0</xdr:col>
                    <xdr:colOff>38100</xdr:colOff>
                    <xdr:row>4</xdr:row>
                    <xdr:rowOff>152400</xdr:rowOff>
                  </from>
                  <to>
                    <xdr:col>0</xdr:col>
                    <xdr:colOff>906780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Hoahochk2">
                <anchor moveWithCells="1" sizeWithCells="1">
                  <from>
                    <xdr:col>0</xdr:col>
                    <xdr:colOff>38100</xdr:colOff>
                    <xdr:row>6</xdr:row>
                    <xdr:rowOff>7620</xdr:rowOff>
                  </from>
                  <to>
                    <xdr:col>0</xdr:col>
                    <xdr:colOff>906780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Huongdan">
                <anchor moveWithCells="1" sizeWithCells="1">
                  <from>
                    <xdr:col>0</xdr:col>
                    <xdr:colOff>30480</xdr:colOff>
                    <xdr:row>29</xdr:row>
                    <xdr:rowOff>68580</xdr:rowOff>
                  </from>
                  <to>
                    <xdr:col>0</xdr:col>
                    <xdr:colOff>899160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Nguvanhk2">
                <anchor moveWithCells="1" sizeWithCells="1">
                  <from>
                    <xdr:col>0</xdr:col>
                    <xdr:colOff>38100</xdr:colOff>
                    <xdr:row>9</xdr:row>
                    <xdr:rowOff>175260</xdr:rowOff>
                  </from>
                  <to>
                    <xdr:col>0</xdr:col>
                    <xdr:colOff>906780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Lichsuhk2">
                <anchor moveWithCells="1" sizeWithCells="1">
                  <from>
                    <xdr:col>0</xdr:col>
                    <xdr:colOff>38100</xdr:colOff>
                    <xdr:row>11</xdr:row>
                    <xdr:rowOff>30480</xdr:rowOff>
                  </from>
                  <to>
                    <xdr:col>0</xdr:col>
                    <xdr:colOff>906780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Dialihk2">
                <anchor moveWithCells="1" sizeWithCells="1">
                  <from>
                    <xdr:col>0</xdr:col>
                    <xdr:colOff>38100</xdr:colOff>
                    <xdr:row>12</xdr:row>
                    <xdr:rowOff>83820</xdr:rowOff>
                  </from>
                  <to>
                    <xdr:col>0</xdr:col>
                    <xdr:colOff>906780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Sinhhochk2">
                <anchor moveWithCells="1" sizeWithCells="1">
                  <from>
                    <xdr:col>0</xdr:col>
                    <xdr:colOff>38100</xdr:colOff>
                    <xdr:row>7</xdr:row>
                    <xdr:rowOff>60960</xdr:rowOff>
                  </from>
                  <to>
                    <xdr:col>0</xdr:col>
                    <xdr:colOff>906780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GDCDhk2">
                <anchor moveWithCells="1" sizeWithCells="1">
                  <from>
                    <xdr:col>0</xdr:col>
                    <xdr:colOff>38100</xdr:colOff>
                    <xdr:row>14</xdr:row>
                    <xdr:rowOff>182880</xdr:rowOff>
                  </from>
                  <to>
                    <xdr:col>0</xdr:col>
                    <xdr:colOff>906780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Congnghehk2">
                <anchor moveWithCells="1" sizeWithCells="1">
                  <from>
                    <xdr:col>0</xdr:col>
                    <xdr:colOff>38100</xdr:colOff>
                    <xdr:row>16</xdr:row>
                    <xdr:rowOff>38100</xdr:rowOff>
                  </from>
                  <to>
                    <xdr:col>0</xdr:col>
                    <xdr:colOff>906780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Theduchk2">
                <anchor moveWithCells="1" sizeWithCells="1">
                  <from>
                    <xdr:col>0</xdr:col>
                    <xdr:colOff>38100</xdr:colOff>
                    <xdr:row>17</xdr:row>
                    <xdr:rowOff>99060</xdr:rowOff>
                  </from>
                  <to>
                    <xdr:col>0</xdr:col>
                    <xdr:colOff>906780</xdr:colOff>
                    <xdr:row>18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Anhvanhk2">
                <anchor moveWithCells="1" sizeWithCells="1">
                  <from>
                    <xdr:col>0</xdr:col>
                    <xdr:colOff>38100</xdr:colOff>
                    <xdr:row>13</xdr:row>
                    <xdr:rowOff>137160</xdr:rowOff>
                  </from>
                  <to>
                    <xdr:col>0</xdr:col>
                    <xdr:colOff>906780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QPANhk2">
                <anchor moveWithCells="1" sizeWithCells="1">
                  <from>
                    <xdr:col>0</xdr:col>
                    <xdr:colOff>38100</xdr:colOff>
                    <xdr:row>18</xdr:row>
                    <xdr:rowOff>144780</xdr:rowOff>
                  </from>
                  <to>
                    <xdr:col>0</xdr:col>
                    <xdr:colOff>906780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Tinhochk2">
                <anchor moveWithCells="1" sizeWithCells="1">
                  <from>
                    <xdr:col>0</xdr:col>
                    <xdr:colOff>38100</xdr:colOff>
                    <xdr:row>8</xdr:row>
                    <xdr:rowOff>114300</xdr:rowOff>
                  </from>
                  <to>
                    <xdr:col>0</xdr:col>
                    <xdr:colOff>906780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Inphieudimhk2">
                <anchor moveWithCells="1" sizeWithCells="1">
                  <from>
                    <xdr:col>0</xdr:col>
                    <xdr:colOff>38100</xdr:colOff>
                    <xdr:row>24</xdr:row>
                    <xdr:rowOff>182880</xdr:rowOff>
                  </from>
                  <to>
                    <xdr:col>0</xdr:col>
                    <xdr:colOff>906780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NghePThk2">
                <anchor moveWithCells="1" sizeWithCells="1">
                  <from>
                    <xdr:col>0</xdr:col>
                    <xdr:colOff>38100</xdr:colOff>
                    <xdr:row>20</xdr:row>
                    <xdr:rowOff>0</xdr:rowOff>
                  </from>
                  <to>
                    <xdr:col>0</xdr:col>
                    <xdr:colOff>906780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XodiemHkiii">
                <anchor moveWithCells="1" sizeWithCells="1">
                  <from>
                    <xdr:col>0</xdr:col>
                    <xdr:colOff>30480</xdr:colOff>
                    <xdr:row>27</xdr:row>
                    <xdr:rowOff>7620</xdr:rowOff>
                  </from>
                  <to>
                    <xdr:col>0</xdr:col>
                    <xdr:colOff>899160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Ghinhanxethk2">
                <anchor moveWithCells="1" sizeWithCells="1">
                  <from>
                    <xdr:col>0</xdr:col>
                    <xdr:colOff>38100</xdr:colOff>
                    <xdr:row>21</xdr:row>
                    <xdr:rowOff>60960</xdr:rowOff>
                  </from>
                  <to>
                    <xdr:col>0</xdr:col>
                    <xdr:colOff>906780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0.39997558519241921"/>
    <pageSetUpPr fitToPage="1"/>
  </sheetPr>
  <dimension ref="A1:AA78"/>
  <sheetViews>
    <sheetView topLeftCell="A7" zoomScaleNormal="100" workbookViewId="0">
      <selection activeCell="Z18" sqref="Z18"/>
    </sheetView>
  </sheetViews>
  <sheetFormatPr defaultColWidth="9.109375" defaultRowHeight="14.4"/>
  <cols>
    <col min="1" max="1" width="4.33203125" style="251" customWidth="1"/>
    <col min="2" max="2" width="24.109375" style="7" customWidth="1"/>
    <col min="3" max="3" width="10.6640625" style="7" customWidth="1"/>
    <col min="4" max="4" width="14" style="7" customWidth="1"/>
    <col min="5" max="8" width="8.5546875" style="251" customWidth="1"/>
    <col min="9" max="13" width="9" style="251" customWidth="1"/>
    <col min="14" max="14" width="9.44140625" style="251" customWidth="1"/>
    <col min="15" max="15" width="1.33203125" style="349" customWidth="1"/>
    <col min="16" max="16" width="10.5546875" style="458" customWidth="1"/>
    <col min="17" max="17" width="9.109375" style="349" customWidth="1"/>
    <col min="18" max="18" width="10.33203125" style="349" hidden="1" customWidth="1"/>
    <col min="19" max="27" width="7.109375" style="442" hidden="1" customWidth="1"/>
    <col min="28" max="16384" width="9.109375" style="349"/>
  </cols>
  <sheetData>
    <row r="1" spans="1:27" ht="17.25" customHeight="1">
      <c r="A1" s="921" t="str">
        <f>IF('Huong dan'!E3&lt;&gt;"","SỞ GIÁO DỤC VÀ ĐÀO TẠO "&amp;UPPER('Huong dan'!E3),"")</f>
        <v>SỞ GIÁO DỤC VÀ ĐÀO TẠO TP. HỒ CHÍ MINH</v>
      </c>
      <c r="B1" s="921"/>
      <c r="C1" s="921"/>
      <c r="D1" s="921"/>
      <c r="E1" s="379"/>
      <c r="F1" s="922" t="s">
        <v>19</v>
      </c>
      <c r="G1" s="922"/>
      <c r="H1" s="922"/>
      <c r="I1" s="922"/>
      <c r="J1" s="922"/>
      <c r="K1" s="922"/>
      <c r="L1" s="922"/>
      <c r="M1" s="922"/>
    </row>
    <row r="2" spans="1:27" ht="15" customHeight="1">
      <c r="A2" s="931" t="str">
        <f>IF('Huong dan'!E4&lt;&gt;"","TRƯỜNG "&amp;UPPER('Huong dan'!E4),"")</f>
        <v>TRƯỜNG THCS VÀ THPT NGUYỄN KHUYẾN</v>
      </c>
      <c r="B2" s="931"/>
      <c r="C2" s="931"/>
      <c r="D2" s="931"/>
      <c r="E2" s="441"/>
      <c r="F2" s="923" t="s">
        <v>179</v>
      </c>
      <c r="G2" s="923"/>
      <c r="H2" s="923"/>
      <c r="I2" s="923"/>
      <c r="J2" s="923"/>
      <c r="K2" s="923"/>
      <c r="L2" s="923"/>
      <c r="M2" s="923"/>
    </row>
    <row r="3" spans="1:27" ht="16.5" customHeight="1">
      <c r="A3" s="458"/>
      <c r="B3" s="458"/>
      <c r="C3" s="458"/>
      <c r="D3" s="458"/>
      <c r="E3" s="458"/>
      <c r="F3" s="458"/>
      <c r="G3" s="458"/>
      <c r="H3" s="459"/>
      <c r="I3" s="459"/>
      <c r="J3" s="459"/>
      <c r="P3" s="249"/>
      <c r="Q3" s="350"/>
    </row>
    <row r="4" spans="1:27" ht="21.75" customHeight="1">
      <c r="A4" s="932" t="str">
        <f>"PHIẾU ĐIỂM CÁ NHÂN - HỌC KỲ II NĂM HỌC "&amp;'Huong dan'!C5</f>
        <v>PHIẾU ĐIỂM CÁ NHÂN - HỌC KỲ II NĂM HỌC 2021 - 2022</v>
      </c>
      <c r="B4" s="932"/>
      <c r="C4" s="932"/>
      <c r="D4" s="932"/>
      <c r="E4" s="932"/>
      <c r="F4" s="932"/>
      <c r="G4" s="932"/>
      <c r="H4" s="932"/>
      <c r="I4" s="932"/>
      <c r="J4" s="932"/>
      <c r="K4" s="932"/>
      <c r="L4" s="932"/>
      <c r="M4" s="932"/>
      <c r="N4" s="932"/>
      <c r="P4" s="249"/>
      <c r="Q4" s="350"/>
    </row>
    <row r="5" spans="1:27" ht="11.25" customHeight="1">
      <c r="A5" s="1"/>
    </row>
    <row r="6" spans="1:27" ht="17.25" customHeight="1">
      <c r="B6" s="466"/>
      <c r="C6" s="466" t="s">
        <v>64</v>
      </c>
      <c r="D6" s="924" t="s">
        <v>27</v>
      </c>
      <c r="E6" s="924"/>
      <c r="F6" s="349"/>
      <c r="G6" s="993" t="s">
        <v>66</v>
      </c>
      <c r="H6" s="993"/>
      <c r="I6" s="1042" t="str">
        <f>IF(D6&lt;&gt;"",PROPER(VLOOKUP(D6,'Huong dan'!B8:C21,2,0)),"")</f>
        <v/>
      </c>
      <c r="J6" s="1042"/>
      <c r="K6" s="1042"/>
      <c r="L6" s="458" t="s">
        <v>65</v>
      </c>
      <c r="M6" s="458" t="str">
        <f>IF('Huong dan'!C3&lt;&gt;"",UPPER('Huong dan'!C3),"")</f>
        <v>12A1</v>
      </c>
    </row>
    <row r="7" spans="1:27" ht="7.5" customHeight="1">
      <c r="S7" s="888" t="s">
        <v>225</v>
      </c>
      <c r="T7" s="888"/>
      <c r="U7" s="888"/>
      <c r="V7" s="888"/>
      <c r="W7" s="468" t="s">
        <v>3</v>
      </c>
      <c r="X7" s="468" t="s">
        <v>223</v>
      </c>
      <c r="Y7" s="470" t="s">
        <v>8</v>
      </c>
      <c r="Z7" s="470" t="s">
        <v>8</v>
      </c>
      <c r="AA7" s="91" t="s">
        <v>8</v>
      </c>
    </row>
    <row r="8" spans="1:27">
      <c r="A8" s="933" t="s">
        <v>0</v>
      </c>
      <c r="B8" s="927" t="s">
        <v>63</v>
      </c>
      <c r="C8" s="927"/>
      <c r="D8" s="928" t="s">
        <v>2</v>
      </c>
      <c r="E8" s="927" t="str">
        <f>IF(D6="Thể dục","Đánh giá thường xuyên","Điểm thường xuyên")</f>
        <v>Điểm thường xuyên</v>
      </c>
      <c r="F8" s="927"/>
      <c r="G8" s="927"/>
      <c r="H8" s="927"/>
      <c r="I8" s="455" t="str">
        <f>IF(D6="Thể dục","Đánh giá","Điểm")</f>
        <v>Điểm</v>
      </c>
      <c r="J8" s="455" t="str">
        <f>IF(D6="Thể dục","Đánh giá","Điểm")</f>
        <v>Điểm</v>
      </c>
      <c r="K8" s="456" t="s">
        <v>8</v>
      </c>
      <c r="L8" s="456" t="s">
        <v>8</v>
      </c>
      <c r="M8" s="456" t="s">
        <v>8</v>
      </c>
      <c r="N8" s="455" t="s">
        <v>67</v>
      </c>
      <c r="P8" s="1040" t="s">
        <v>279</v>
      </c>
      <c r="S8" s="399">
        <v>1</v>
      </c>
      <c r="T8" s="399">
        <v>2</v>
      </c>
      <c r="U8" s="399">
        <v>3</v>
      </c>
      <c r="V8" s="399">
        <v>4</v>
      </c>
      <c r="W8" s="469" t="s">
        <v>230</v>
      </c>
      <c r="X8" s="469" t="s">
        <v>97</v>
      </c>
      <c r="Y8" s="471" t="s">
        <v>4</v>
      </c>
      <c r="Z8" s="471" t="s">
        <v>97</v>
      </c>
      <c r="AA8" s="92" t="s">
        <v>98</v>
      </c>
    </row>
    <row r="9" spans="1:27" ht="12.75" customHeight="1">
      <c r="A9" s="934"/>
      <c r="B9" s="927"/>
      <c r="C9" s="927"/>
      <c r="D9" s="929"/>
      <c r="E9" s="8">
        <v>1</v>
      </c>
      <c r="F9" s="8">
        <v>2</v>
      </c>
      <c r="G9" s="8">
        <v>3</v>
      </c>
      <c r="H9" s="8">
        <v>4</v>
      </c>
      <c r="I9" s="382" t="s">
        <v>230</v>
      </c>
      <c r="J9" s="382" t="s">
        <v>278</v>
      </c>
      <c r="K9" s="457" t="s">
        <v>4</v>
      </c>
      <c r="L9" s="457" t="s">
        <v>97</v>
      </c>
      <c r="M9" s="457" t="s">
        <v>104</v>
      </c>
      <c r="N9" s="382" t="s">
        <v>68</v>
      </c>
      <c r="P9" s="1041"/>
      <c r="S9" s="442">
        <v>2</v>
      </c>
      <c r="T9" s="442">
        <v>3</v>
      </c>
      <c r="U9" s="442">
        <v>4</v>
      </c>
      <c r="V9" s="442">
        <v>5</v>
      </c>
      <c r="W9" s="442">
        <v>6</v>
      </c>
      <c r="X9" s="442">
        <v>7</v>
      </c>
      <c r="Y9" s="442">
        <v>8</v>
      </c>
      <c r="Z9" s="442">
        <v>9</v>
      </c>
      <c r="AA9" s="442">
        <v>10</v>
      </c>
    </row>
    <row r="10" spans="1:27" ht="24.9" customHeight="1">
      <c r="A10" s="253">
        <f>IF(COUNTA(DiemHKII!D4:D58)&gt;=1,MIN(DiemHKII!B4:B58),"")</f>
        <v>1</v>
      </c>
      <c r="B10" s="94" t="str">
        <f>IF($A10&lt;&gt;"",PROPER(INDEX(DiemHKII!$B$4:$T$58,MATCH(InPDBMHKII!$A10,DiemHKII!$B$4:$B$58,0),4)),"")</f>
        <v>Phạm Huỳnh Hiệp</v>
      </c>
      <c r="C10" s="254" t="str">
        <f>IF($A10&lt;&gt;"",PROPER(INDEX(DiemHKII!$B$4:$T$58,MATCH(InPDBMHKII!$A10,DiemHKII!$B$4:$B$58,0),5)),"")</f>
        <v>An</v>
      </c>
      <c r="D10" s="358" t="str">
        <f>IF($A10&lt;&gt;"",PROPER(INDEX(DiemHKII!$B$4:$T$58,MATCH(InPDBMHKII!$A10,DiemHKII!$B$4:$B$58,0),6)),"")</f>
        <v>16/10/2004</v>
      </c>
      <c r="E10" s="113" t="str">
        <f>IF($A10&lt;&gt;"",IF(INDEX(BDHK2,MATCH(InPDBMHKII!$A10,DiemHKII!$B$4:$B$58,0),INDEX($R$10:$AA$24,MATCH($D$6,$R$10:$R$24,0),S$9))&lt;&gt;"",INDEX(BDHK2,MATCH(InPDBMHKII!$A10,DiemHKII!$B$4:$B$58,0),INDEX($R$10:$AA$24,MATCH($D$6,$R$10:$R$24,0),S$9)),""),"")</f>
        <v/>
      </c>
      <c r="F10" s="96" t="str">
        <f>IF($A10&lt;&gt;"",IF(INDEX(BDHK2,MATCH(InPDBMHKII!$A10,DiemHKII!$B$4:$B$58,0),INDEX($R$10:$AA$24,MATCH($D$6,$R$10:$R$24,0),T$9))&lt;&gt;"",INDEX(BDHK2,MATCH(InPDBMHKII!$A10,DiemHKII!$B$4:$B$58,0),INDEX($R$10:$AA$24,MATCH($D$6,$R$10:$R$24,0),T$9)),""),"")</f>
        <v/>
      </c>
      <c r="G10" s="96" t="str">
        <f>IF($A10&lt;&gt;"",IF(INDEX(BDHK2,MATCH(InPDBMHKII!$A10,DiemHKII!$B$4:$B$58,0),INDEX($R$10:$AA$24,MATCH($D$6,$R$10:$R$24,0),U$9))&lt;&gt;"",INDEX(BDHK2,MATCH(InPDBMHKII!$A10,DiemHKII!$B$4:$B$58,0),INDEX($R$10:$AA$24,MATCH($D$6,$R$10:$R$24,0),U$9)),""),"")</f>
        <v/>
      </c>
      <c r="H10" s="421" t="str">
        <f>IF($A10&lt;&gt;"",IF(INDEX(BDHK2,MATCH(InPDBMHKII!$A10,DiemHKII!$B$4:$B$58,0),INDEX($R$10:$AA$24,MATCH($D$6,$R$10:$R$24,0),V$9))&lt;&gt;"",INDEX(BDHK2,MATCH(InPDBMHKII!$A10,DiemHKII!$B$4:$B$58,0),INDEX($R$10:$AA$24,MATCH($D$6,$R$10:$R$24,0),V$9)),""),"")</f>
        <v/>
      </c>
      <c r="I10" s="366" t="str">
        <f>IF($A10&lt;&gt;"",IF(INDEX(BDHK2,MATCH(InPDBMHKII!$A10,DiemHKII!$B$4:$B$58,0),INDEX($R$10:$AA$24,MATCH($D$6,$R$10:$R$24,0),W$9))&lt;&gt;"",INDEX(BDHK2,MATCH(InPDBMHKII!$A10,DiemHKII!$B$4:$B$58,0),INDEX($R$10:$AA$24,MATCH($D$6,$R$10:$R$24,0),W$9)),""),"")</f>
        <v/>
      </c>
      <c r="J10" s="116" t="str">
        <f>IF($A10&lt;&gt;"",IF(INDEX(BDHK2,MATCH(InPDBMHKII!$A10,DiemHKII!$B$4:$B$58,0),INDEX($R$10:$AA$24,MATCH($D$6,$R$10:$R$24,0),X$9))&lt;&gt;"",INDEX(BDHK2,MATCH(InPDBMHKII!$A10,DiemHKII!$B$4:$B$58,0),INDEX($R$10:$AA$24,MATCH($D$6,$R$10:$R$24,0),X$9)),""),"")</f>
        <v/>
      </c>
      <c r="K10" s="255">
        <f>IFERROR(IF($A10&lt;&gt;"",IF(INDEX(BDHK2,MATCH(InPDBMHKII!$A10,DiemHKII!$B$4:$B$58,0),INDEX($R$10:$AA$24,MATCH($D$6,$R$10:$R$24,0),Y$9))&lt;&gt;"",INDEX(BDHK2,MATCH(InPDBMHKII!$A10,DiemHKII!$B$4:$B$58,0),INDEX($R$10:$AA$24,MATCH($D$6,$R$10:$R$24,0),Y$9)),""),""),"")</f>
        <v>9.5</v>
      </c>
      <c r="L10" s="255" t="str">
        <f>IF($A10&lt;&gt;"",IF(INDEX(BDHK2,MATCH(InPDBMHKII!$A10,DiemHKII!$B$4:$B$58,0),INDEX($R$10:$AA$24,MATCH($D$6,$R$10:$R$24,0),Z$9))&lt;&gt;"",INDEX(BDHK2,MATCH(InPDBMHKII!$A10,DiemHKII!$B$4:$B$58,0),INDEX($R$10:$AA$24,MATCH($D$6,$R$10:$R$24,0),Z$9)),""),"")</f>
        <v/>
      </c>
      <c r="M10" s="255" t="str">
        <f>IF($A10&lt;&gt;"",IF(INDEX(BDHK2,MATCH(InPDBMHKII!$A10,DiemHKII!$B$4:$B$58,0),INDEX($R$10:$AA$24,MATCH($D$6,$R$10:$R$24,0),AA$9))&lt;&gt;"",INDEX(BDHK2,MATCH(InPDBMHKII!$A10,DiemHKII!$B$4:$B$58,0),INDEX($R$10:$AA$24,MATCH($D$6,$R$10:$R$24,0),AA$9)),""),"")</f>
        <v/>
      </c>
      <c r="N10" s="256"/>
      <c r="P10" s="251" t="str">
        <f>IF(AND(M10&lt;&gt;"",$D$6&lt;&gt;"Thể dục"),RANK(M10,$M$10:$M$64,0),"")</f>
        <v/>
      </c>
      <c r="R10" s="349" t="s">
        <v>26</v>
      </c>
      <c r="S10" s="442">
        <v>11</v>
      </c>
      <c r="T10" s="442">
        <v>12</v>
      </c>
      <c r="U10" s="442">
        <v>13</v>
      </c>
      <c r="V10" s="442">
        <v>14</v>
      </c>
      <c r="W10" s="442">
        <v>15</v>
      </c>
      <c r="X10" s="442">
        <v>16</v>
      </c>
      <c r="Y10" s="442">
        <v>17</v>
      </c>
      <c r="Z10" s="442">
        <v>18</v>
      </c>
      <c r="AA10" s="442">
        <v>19</v>
      </c>
    </row>
    <row r="11" spans="1:27" ht="24.9" customHeight="1">
      <c r="A11" s="117">
        <f>IF(A10&lt;MAX(DiemHKII!$B$4:$B$58),A10+1,"")</f>
        <v>2</v>
      </c>
      <c r="B11" s="100" t="str">
        <f>IF($A11&lt;&gt;"",PROPER(INDEX(DiemHKII!$B$4:$T$58,MATCH(InPDBMHKII!$A11,DiemHKII!$B$4:$B$58,0),4)),"")</f>
        <v>Chử Ngọc</v>
      </c>
      <c r="C11" s="257" t="str">
        <f>IF($A11&lt;&gt;"",PROPER(INDEX(DiemHKII!$B$4:$T$58,MATCH(InPDBMHKII!$A11,DiemHKII!$B$4:$B$58,0),5)),"")</f>
        <v>Anh</v>
      </c>
      <c r="D11" s="359" t="str">
        <f>IF($A11&lt;&gt;"",PROPER(INDEX(DiemHKII!$B$4:$T$58,MATCH(InPDBMHKII!$A11,DiemHKII!$B$4:$B$58,0),6)),"")</f>
        <v>14/04/2004</v>
      </c>
      <c r="E11" s="101" t="str">
        <f>IF($A11&lt;&gt;"",IF(INDEX(BDHK2,MATCH(InPDBMHKII!$A11,DiemHKII!$B$4:$B$58,0),INDEX($R$10:$AA$24,MATCH($D$6,$R$10:$R$24,0),S$9))&lt;&gt;"",INDEX(BDHK2,MATCH(InPDBMHKII!$A11,DiemHKII!$B$4:$B$58,0),INDEX($R$10:$AA$24,MATCH($D$6,$R$10:$R$24,0),S$9)),""),"")</f>
        <v/>
      </c>
      <c r="F11" s="102" t="str">
        <f>IF($A11&lt;&gt;"",IF(INDEX(BDHK2,MATCH(InPDBMHKII!$A11,DiemHKII!$B$4:$B$58,0),INDEX($R$10:$AA$24,MATCH($D$6,$R$10:$R$24,0),T$9))&lt;&gt;"",INDEX(BDHK2,MATCH(InPDBMHKII!$A11,DiemHKII!$B$4:$B$58,0),INDEX($R$10:$AA$24,MATCH($D$6,$R$10:$R$24,0),T$9)),""),"")</f>
        <v/>
      </c>
      <c r="G11" s="102" t="str">
        <f>IF($A11&lt;&gt;"",IF(INDEX(BDHK2,MATCH(InPDBMHKII!$A11,DiemHKII!$B$4:$B$58,0),INDEX($R$10:$AA$24,MATCH($D$6,$R$10:$R$24,0),U$9))&lt;&gt;"",INDEX(BDHK2,MATCH(InPDBMHKII!$A11,DiemHKII!$B$4:$B$58,0),INDEX($R$10:$AA$24,MATCH($D$6,$R$10:$R$24,0),U$9)),""),"")</f>
        <v/>
      </c>
      <c r="H11" s="419" t="str">
        <f>IF($A11&lt;&gt;"",IF(INDEX(BDHK2,MATCH(InPDBMHKII!$A11,DiemHKII!$B$4:$B$58,0),INDEX($R$10:$AA$24,MATCH($D$6,$R$10:$R$24,0),V$9))&lt;&gt;"",INDEX(BDHK2,MATCH(InPDBMHKII!$A11,DiemHKII!$B$4:$B$58,0),INDEX($R$10:$AA$24,MATCH($D$6,$R$10:$R$24,0),V$9)),""),"")</f>
        <v/>
      </c>
      <c r="I11" s="367" t="str">
        <f>IF($A11&lt;&gt;"",IF(INDEX(BDHK2,MATCH(InPDBMHKII!$A11,DiemHKII!$B$4:$B$58,0),INDEX($R$10:$AA$24,MATCH($D$6,$R$10:$R$24,0),W$9))&lt;&gt;"",INDEX(BDHK2,MATCH(InPDBMHKII!$A11,DiemHKII!$B$4:$B$58,0),INDEX($R$10:$AA$24,MATCH($D$6,$R$10:$R$24,0),W$9)),""),"")</f>
        <v/>
      </c>
      <c r="J11" s="104" t="str">
        <f>IF($A11&lt;&gt;"",IF(INDEX(BDHK2,MATCH(InPDBMHKII!$A11,DiemHKII!$B$4:$B$58,0),INDEX($R$10:$AA$24,MATCH($D$6,$R$10:$R$24,0),X$9))&lt;&gt;"",INDEX(BDHK2,MATCH(InPDBMHKII!$A11,DiemHKII!$B$4:$B$58,0),INDEX($R$10:$AA$24,MATCH($D$6,$R$10:$R$24,0),X$9)),""),"")</f>
        <v/>
      </c>
      <c r="K11" s="258">
        <f>IFERROR(IF($A11&lt;&gt;"",IF(INDEX(BDHK2,MATCH(InPDBMHKII!$A11,DiemHKII!$B$4:$B$58,0),INDEX($R$10:$AA$24,MATCH($D$6,$R$10:$R$24,0),Y$9))&lt;&gt;"",INDEX(BDHK2,MATCH(InPDBMHKII!$A11,DiemHKII!$B$4:$B$58,0),INDEX($R$10:$AA$24,MATCH($D$6,$R$10:$R$24,0),Y$9)),""),""),"")</f>
        <v>9.6</v>
      </c>
      <c r="L11" s="258" t="str">
        <f>IF($A11&lt;&gt;"",IF(INDEX(BDHK2,MATCH(InPDBMHKII!$A11,DiemHKII!$B$4:$B$58,0),INDEX($R$10:$AA$24,MATCH($D$6,$R$10:$R$24,0),Z$9))&lt;&gt;"",INDEX(BDHK2,MATCH(InPDBMHKII!$A11,DiemHKII!$B$4:$B$58,0),INDEX($R$10:$AA$24,MATCH($D$6,$R$10:$R$24,0),Z$9)),""),"")</f>
        <v/>
      </c>
      <c r="M11" s="258" t="str">
        <f>IF($A11&lt;&gt;"",IF(INDEX(BDHK2,MATCH(InPDBMHKII!$A11,DiemHKII!$B$4:$B$58,0),INDEX($R$10:$AA$24,MATCH($D$6,$R$10:$R$24,0),AA$9))&lt;&gt;"",INDEX(BDHK2,MATCH(InPDBMHKII!$A11,DiemHKII!$B$4:$B$58,0),INDEX($R$10:$AA$24,MATCH($D$6,$R$10:$R$24,0),AA$9)),""),"")</f>
        <v/>
      </c>
      <c r="N11" s="259"/>
      <c r="P11" s="251" t="str">
        <f t="shared" ref="P11:P64" si="0">IF(AND(M11&lt;&gt;"",$D$6&lt;&gt;"Thể dục"),RANK(M11,$M$10:$M$64,0),"")</f>
        <v/>
      </c>
      <c r="R11" s="349" t="s">
        <v>27</v>
      </c>
      <c r="S11" s="442">
        <v>20</v>
      </c>
      <c r="T11" s="442">
        <v>21</v>
      </c>
      <c r="U11" s="442">
        <v>22</v>
      </c>
      <c r="V11" s="442">
        <v>23</v>
      </c>
      <c r="W11" s="442">
        <v>24</v>
      </c>
      <c r="X11" s="442">
        <v>25</v>
      </c>
      <c r="Y11" s="442">
        <v>26</v>
      </c>
      <c r="Z11" s="442">
        <v>27</v>
      </c>
      <c r="AA11" s="442">
        <v>28</v>
      </c>
    </row>
    <row r="12" spans="1:27" ht="24.9" customHeight="1">
      <c r="A12" s="117">
        <f>IF(A11&lt;MAX(DiemHKII!$B$4:$B$58),A11+1,"")</f>
        <v>3</v>
      </c>
      <c r="B12" s="100" t="str">
        <f>IF($A12&lt;&gt;"",PROPER(INDEX(DiemHKII!$B$4:$T$58,MATCH(InPDBMHKII!$A12,DiemHKII!$B$4:$B$58,0),4)),"")</f>
        <v>Lê Tuấn</v>
      </c>
      <c r="C12" s="257" t="str">
        <f>IF($A12&lt;&gt;"",PROPER(INDEX(DiemHKII!$B$4:$T$58,MATCH(InPDBMHKII!$A12,DiemHKII!$B$4:$B$58,0),5)),"")</f>
        <v>Anh</v>
      </c>
      <c r="D12" s="359" t="str">
        <f>IF($A12&lt;&gt;"",PROPER(INDEX(DiemHKII!$B$4:$T$58,MATCH(InPDBMHKII!$A12,DiemHKII!$B$4:$B$58,0),6)),"")</f>
        <v>20/10/2004</v>
      </c>
      <c r="E12" s="101" t="str">
        <f>IF($A12&lt;&gt;"",IF(INDEX(BDHK2,MATCH(InPDBMHKII!$A12,DiemHKII!$B$4:$B$58,0),INDEX($R$10:$AA$24,MATCH($D$6,$R$10:$R$24,0),S$9))&lt;&gt;"",INDEX(BDHK2,MATCH(InPDBMHKII!$A12,DiemHKII!$B$4:$B$58,0),INDEX($R$10:$AA$24,MATCH($D$6,$R$10:$R$24,0),S$9)),""),"")</f>
        <v/>
      </c>
      <c r="F12" s="102" t="str">
        <f>IF($A12&lt;&gt;"",IF(INDEX(BDHK2,MATCH(InPDBMHKII!$A12,DiemHKII!$B$4:$B$58,0),INDEX($R$10:$AA$24,MATCH($D$6,$R$10:$R$24,0),T$9))&lt;&gt;"",INDEX(BDHK2,MATCH(InPDBMHKII!$A12,DiemHKII!$B$4:$B$58,0),INDEX($R$10:$AA$24,MATCH($D$6,$R$10:$R$24,0),T$9)),""),"")</f>
        <v/>
      </c>
      <c r="G12" s="102" t="str">
        <f>IF($A12&lt;&gt;"",IF(INDEX(BDHK2,MATCH(InPDBMHKII!$A12,DiemHKII!$B$4:$B$58,0),INDEX($R$10:$AA$24,MATCH($D$6,$R$10:$R$24,0),U$9))&lt;&gt;"",INDEX(BDHK2,MATCH(InPDBMHKII!$A12,DiemHKII!$B$4:$B$58,0),INDEX($R$10:$AA$24,MATCH($D$6,$R$10:$R$24,0),U$9)),""),"")</f>
        <v/>
      </c>
      <c r="H12" s="419" t="str">
        <f>IF($A12&lt;&gt;"",IF(INDEX(BDHK2,MATCH(InPDBMHKII!$A12,DiemHKII!$B$4:$B$58,0),INDEX($R$10:$AA$24,MATCH($D$6,$R$10:$R$24,0),V$9))&lt;&gt;"",INDEX(BDHK2,MATCH(InPDBMHKII!$A12,DiemHKII!$B$4:$B$58,0),INDEX($R$10:$AA$24,MATCH($D$6,$R$10:$R$24,0),V$9)),""),"")</f>
        <v/>
      </c>
      <c r="I12" s="367" t="str">
        <f>IF($A12&lt;&gt;"",IF(INDEX(BDHK2,MATCH(InPDBMHKII!$A12,DiemHKII!$B$4:$B$58,0),INDEX($R$10:$AA$24,MATCH($D$6,$R$10:$R$24,0),W$9))&lt;&gt;"",INDEX(BDHK2,MATCH(InPDBMHKII!$A12,DiemHKII!$B$4:$B$58,0),INDEX($R$10:$AA$24,MATCH($D$6,$R$10:$R$24,0),W$9)),""),"")</f>
        <v/>
      </c>
      <c r="J12" s="104" t="str">
        <f>IF($A12&lt;&gt;"",IF(INDEX(BDHK2,MATCH(InPDBMHKII!$A12,DiemHKII!$B$4:$B$58,0),INDEX($R$10:$AA$24,MATCH($D$6,$R$10:$R$24,0),X$9))&lt;&gt;"",INDEX(BDHK2,MATCH(InPDBMHKII!$A12,DiemHKII!$B$4:$B$58,0),INDEX($R$10:$AA$24,MATCH($D$6,$R$10:$R$24,0),X$9)),""),"")</f>
        <v/>
      </c>
      <c r="K12" s="258">
        <f>IFERROR(IF($A12&lt;&gt;"",IF(INDEX(BDHK2,MATCH(InPDBMHKII!$A12,DiemHKII!$B$4:$B$58,0),INDEX($R$10:$AA$24,MATCH($D$6,$R$10:$R$24,0),Y$9))&lt;&gt;"",INDEX(BDHK2,MATCH(InPDBMHKII!$A12,DiemHKII!$B$4:$B$58,0),INDEX($R$10:$AA$24,MATCH($D$6,$R$10:$R$24,0),Y$9)),""),""),"")</f>
        <v>9.4</v>
      </c>
      <c r="L12" s="258" t="str">
        <f>IF($A12&lt;&gt;"",IF(INDEX(BDHK2,MATCH(InPDBMHKII!$A12,DiemHKII!$B$4:$B$58,0),INDEX($R$10:$AA$24,MATCH($D$6,$R$10:$R$24,0),Z$9))&lt;&gt;"",INDEX(BDHK2,MATCH(InPDBMHKII!$A12,DiemHKII!$B$4:$B$58,0),INDEX($R$10:$AA$24,MATCH($D$6,$R$10:$R$24,0),Z$9)),""),"")</f>
        <v/>
      </c>
      <c r="M12" s="258" t="str">
        <f>IF($A12&lt;&gt;"",IF(INDEX(BDHK2,MATCH(InPDBMHKII!$A12,DiemHKII!$B$4:$B$58,0),INDEX($R$10:$AA$24,MATCH($D$6,$R$10:$R$24,0),AA$9))&lt;&gt;"",INDEX(BDHK2,MATCH(InPDBMHKII!$A12,DiemHKII!$B$4:$B$58,0),INDEX($R$10:$AA$24,MATCH($D$6,$R$10:$R$24,0),AA$9)),""),"")</f>
        <v/>
      </c>
      <c r="N12" s="259"/>
      <c r="P12" s="251" t="str">
        <f t="shared" si="0"/>
        <v/>
      </c>
      <c r="R12" s="349" t="s">
        <v>28</v>
      </c>
      <c r="S12" s="442">
        <v>29</v>
      </c>
      <c r="T12" s="442">
        <v>30</v>
      </c>
      <c r="U12" s="442">
        <v>31</v>
      </c>
      <c r="V12" s="442">
        <v>32</v>
      </c>
      <c r="W12" s="442">
        <v>33</v>
      </c>
      <c r="X12" s="442">
        <v>34</v>
      </c>
      <c r="Y12" s="442">
        <v>35</v>
      </c>
      <c r="Z12" s="442">
        <v>36</v>
      </c>
      <c r="AA12" s="442">
        <v>37</v>
      </c>
    </row>
    <row r="13" spans="1:27" ht="24.9" customHeight="1">
      <c r="A13" s="117">
        <f>IF(A12&lt;MAX(DiemHKII!$B$4:$B$58),A12+1,"")</f>
        <v>4</v>
      </c>
      <c r="B13" s="100" t="str">
        <f>IF($A13&lt;&gt;"",PROPER(INDEX(DiemHKII!$B$4:$T$58,MATCH(InPDBMHKII!$A13,DiemHKII!$B$4:$B$58,0),4)),"")</f>
        <v>Nguyễn Quách Mai</v>
      </c>
      <c r="C13" s="257" t="str">
        <f>IF($A13&lt;&gt;"",PROPER(INDEX(DiemHKII!$B$4:$T$58,MATCH(InPDBMHKII!$A13,DiemHKII!$B$4:$B$58,0),5)),"")</f>
        <v>Anh</v>
      </c>
      <c r="D13" s="359" t="str">
        <f>IF($A13&lt;&gt;"",PROPER(INDEX(DiemHKII!$B$4:$T$58,MATCH(InPDBMHKII!$A13,DiemHKII!$B$4:$B$58,0),6)),"")</f>
        <v>12/05/2004</v>
      </c>
      <c r="E13" s="101" t="str">
        <f>IF($A13&lt;&gt;"",IF(INDEX(BDHK2,MATCH(InPDBMHKII!$A13,DiemHKII!$B$4:$B$58,0),INDEX($R$10:$AA$24,MATCH($D$6,$R$10:$R$24,0),S$9))&lt;&gt;"",INDEX(BDHK2,MATCH(InPDBMHKII!$A13,DiemHKII!$B$4:$B$58,0),INDEX($R$10:$AA$24,MATCH($D$6,$R$10:$R$24,0),S$9)),""),"")</f>
        <v/>
      </c>
      <c r="F13" s="102" t="str">
        <f>IF($A13&lt;&gt;"",IF(INDEX(BDHK2,MATCH(InPDBMHKII!$A13,DiemHKII!$B$4:$B$58,0),INDEX($R$10:$AA$24,MATCH($D$6,$R$10:$R$24,0),T$9))&lt;&gt;"",INDEX(BDHK2,MATCH(InPDBMHKII!$A13,DiemHKII!$B$4:$B$58,0),INDEX($R$10:$AA$24,MATCH($D$6,$R$10:$R$24,0),T$9)),""),"")</f>
        <v/>
      </c>
      <c r="G13" s="102" t="str">
        <f>IF($A13&lt;&gt;"",IF(INDEX(BDHK2,MATCH(InPDBMHKII!$A13,DiemHKII!$B$4:$B$58,0),INDEX($R$10:$AA$24,MATCH($D$6,$R$10:$R$24,0),U$9))&lt;&gt;"",INDEX(BDHK2,MATCH(InPDBMHKII!$A13,DiemHKII!$B$4:$B$58,0),INDEX($R$10:$AA$24,MATCH($D$6,$R$10:$R$24,0),U$9)),""),"")</f>
        <v/>
      </c>
      <c r="H13" s="419" t="str">
        <f>IF($A13&lt;&gt;"",IF(INDEX(BDHK2,MATCH(InPDBMHKII!$A13,DiemHKII!$B$4:$B$58,0),INDEX($R$10:$AA$24,MATCH($D$6,$R$10:$R$24,0),V$9))&lt;&gt;"",INDEX(BDHK2,MATCH(InPDBMHKII!$A13,DiemHKII!$B$4:$B$58,0),INDEX($R$10:$AA$24,MATCH($D$6,$R$10:$R$24,0),V$9)),""),"")</f>
        <v/>
      </c>
      <c r="I13" s="367" t="str">
        <f>IF($A13&lt;&gt;"",IF(INDEX(BDHK2,MATCH(InPDBMHKII!$A13,DiemHKII!$B$4:$B$58,0),INDEX($R$10:$AA$24,MATCH($D$6,$R$10:$R$24,0),W$9))&lt;&gt;"",INDEX(BDHK2,MATCH(InPDBMHKII!$A13,DiemHKII!$B$4:$B$58,0),INDEX($R$10:$AA$24,MATCH($D$6,$R$10:$R$24,0),W$9)),""),"")</f>
        <v/>
      </c>
      <c r="J13" s="104" t="str">
        <f>IF($A13&lt;&gt;"",IF(INDEX(BDHK2,MATCH(InPDBMHKII!$A13,DiemHKII!$B$4:$B$58,0),INDEX($R$10:$AA$24,MATCH($D$6,$R$10:$R$24,0),X$9))&lt;&gt;"",INDEX(BDHK2,MATCH(InPDBMHKII!$A13,DiemHKII!$B$4:$B$58,0),INDEX($R$10:$AA$24,MATCH($D$6,$R$10:$R$24,0),X$9)),""),"")</f>
        <v/>
      </c>
      <c r="K13" s="258">
        <f>IFERROR(IF($A13&lt;&gt;"",IF(INDEX(BDHK2,MATCH(InPDBMHKII!$A13,DiemHKII!$B$4:$B$58,0),INDEX($R$10:$AA$24,MATCH($D$6,$R$10:$R$24,0),Y$9))&lt;&gt;"",INDEX(BDHK2,MATCH(InPDBMHKII!$A13,DiemHKII!$B$4:$B$58,0),INDEX($R$10:$AA$24,MATCH($D$6,$R$10:$R$24,0),Y$9)),""),""),"")</f>
        <v>9.6999999999999993</v>
      </c>
      <c r="L13" s="258" t="str">
        <f>IF($A13&lt;&gt;"",IF(INDEX(BDHK2,MATCH(InPDBMHKII!$A13,DiemHKII!$B$4:$B$58,0),INDEX($R$10:$AA$24,MATCH($D$6,$R$10:$R$24,0),Z$9))&lt;&gt;"",INDEX(BDHK2,MATCH(InPDBMHKII!$A13,DiemHKII!$B$4:$B$58,0),INDEX($R$10:$AA$24,MATCH($D$6,$R$10:$R$24,0),Z$9)),""),"")</f>
        <v/>
      </c>
      <c r="M13" s="258" t="str">
        <f>IF($A13&lt;&gt;"",IF(INDEX(BDHK2,MATCH(InPDBMHKII!$A13,DiemHKII!$B$4:$B$58,0),INDEX($R$10:$AA$24,MATCH($D$6,$R$10:$R$24,0),AA$9))&lt;&gt;"",INDEX(BDHK2,MATCH(InPDBMHKII!$A13,DiemHKII!$B$4:$B$58,0),INDEX($R$10:$AA$24,MATCH($D$6,$R$10:$R$24,0),AA$9)),""),"")</f>
        <v/>
      </c>
      <c r="N13" s="259"/>
      <c r="P13" s="251" t="str">
        <f t="shared" si="0"/>
        <v/>
      </c>
      <c r="R13" s="349" t="s">
        <v>29</v>
      </c>
      <c r="S13" s="442">
        <v>38</v>
      </c>
      <c r="T13" s="442">
        <v>39</v>
      </c>
      <c r="U13" s="442">
        <v>40</v>
      </c>
      <c r="V13" s="442">
        <v>41</v>
      </c>
      <c r="W13" s="442">
        <v>42</v>
      </c>
      <c r="X13" s="442">
        <v>43</v>
      </c>
      <c r="Y13" s="442">
        <v>44</v>
      </c>
      <c r="Z13" s="442">
        <v>45</v>
      </c>
      <c r="AA13" s="442">
        <v>46</v>
      </c>
    </row>
    <row r="14" spans="1:27" ht="24.9" customHeight="1">
      <c r="A14" s="260">
        <f>IF(A13&lt;MAX(DiemHKII!$B$4:$B$58),A13+1,"")</f>
        <v>5</v>
      </c>
      <c r="B14" s="106" t="str">
        <f>IF($A14&lt;&gt;"",PROPER(INDEX(DiemHKII!$B$4:$T$58,MATCH(InPDBMHKII!$A14,DiemHKII!$B$4:$B$58,0),4)),"")</f>
        <v>Vũ Song</v>
      </c>
      <c r="C14" s="261" t="str">
        <f>IF($A14&lt;&gt;"",PROPER(INDEX(DiemHKII!$B$4:$T$58,MATCH(InPDBMHKII!$A14,DiemHKII!$B$4:$B$58,0),5)),"")</f>
        <v>Anh</v>
      </c>
      <c r="D14" s="360" t="str">
        <f>IF($A14&lt;&gt;"",PROPER(INDEX(DiemHKII!$B$4:$T$58,MATCH(InPDBMHKII!$A14,DiemHKII!$B$4:$B$58,0),6)),"")</f>
        <v>20/04/2004</v>
      </c>
      <c r="E14" s="107" t="str">
        <f>IF($A14&lt;&gt;"",IF(INDEX(BDHK2,MATCH(InPDBMHKII!$A14,DiemHKII!$B$4:$B$58,0),INDEX($R$10:$AA$24,MATCH($D$6,$R$10:$R$24,0),S$9))&lt;&gt;"",INDEX(BDHK2,MATCH(InPDBMHKII!$A14,DiemHKII!$B$4:$B$58,0),INDEX($R$10:$AA$24,MATCH($D$6,$R$10:$R$24,0),S$9)),""),"")</f>
        <v/>
      </c>
      <c r="F14" s="108" t="str">
        <f>IF($A14&lt;&gt;"",IF(INDEX(BDHK2,MATCH(InPDBMHKII!$A14,DiemHKII!$B$4:$B$58,0),INDEX($R$10:$AA$24,MATCH($D$6,$R$10:$R$24,0),T$9))&lt;&gt;"",INDEX(BDHK2,MATCH(InPDBMHKII!$A14,DiemHKII!$B$4:$B$58,0),INDEX($R$10:$AA$24,MATCH($D$6,$R$10:$R$24,0),T$9)),""),"")</f>
        <v/>
      </c>
      <c r="G14" s="108" t="str">
        <f>IF($A14&lt;&gt;"",IF(INDEX(BDHK2,MATCH(InPDBMHKII!$A14,DiemHKII!$B$4:$B$58,0),INDEX($R$10:$AA$24,MATCH($D$6,$R$10:$R$24,0),U$9))&lt;&gt;"",INDEX(BDHK2,MATCH(InPDBMHKII!$A14,DiemHKII!$B$4:$B$58,0),INDEX($R$10:$AA$24,MATCH($D$6,$R$10:$R$24,0),U$9)),""),"")</f>
        <v/>
      </c>
      <c r="H14" s="420" t="str">
        <f>IF($A14&lt;&gt;"",IF(INDEX(BDHK2,MATCH(InPDBMHKII!$A14,DiemHKII!$B$4:$B$58,0),INDEX($R$10:$AA$24,MATCH($D$6,$R$10:$R$24,0),V$9))&lt;&gt;"",INDEX(BDHK2,MATCH(InPDBMHKII!$A14,DiemHKII!$B$4:$B$58,0),INDEX($R$10:$AA$24,MATCH($D$6,$R$10:$R$24,0),V$9)),""),"")</f>
        <v/>
      </c>
      <c r="I14" s="368" t="str">
        <f>IF($A14&lt;&gt;"",IF(INDEX(BDHK2,MATCH(InPDBMHKII!$A14,DiemHKII!$B$4:$B$58,0),INDEX($R$10:$AA$24,MATCH($D$6,$R$10:$R$24,0),W$9))&lt;&gt;"",INDEX(BDHK2,MATCH(InPDBMHKII!$A14,DiemHKII!$B$4:$B$58,0),INDEX($R$10:$AA$24,MATCH($D$6,$R$10:$R$24,0),W$9)),""),"")</f>
        <v/>
      </c>
      <c r="J14" s="110" t="str">
        <f>IF($A14&lt;&gt;"",IF(INDEX(BDHK2,MATCH(InPDBMHKII!$A14,DiemHKII!$B$4:$B$58,0),INDEX($R$10:$AA$24,MATCH($D$6,$R$10:$R$24,0),X$9))&lt;&gt;"",INDEX(BDHK2,MATCH(InPDBMHKII!$A14,DiemHKII!$B$4:$B$58,0),INDEX($R$10:$AA$24,MATCH($D$6,$R$10:$R$24,0),X$9)),""),"")</f>
        <v/>
      </c>
      <c r="K14" s="262">
        <f>IFERROR(IF($A14&lt;&gt;"",IF(INDEX(BDHK2,MATCH(InPDBMHKII!$A14,DiemHKII!$B$4:$B$58,0),INDEX($R$10:$AA$24,MATCH($D$6,$R$10:$R$24,0),Y$9))&lt;&gt;"",INDEX(BDHK2,MATCH(InPDBMHKII!$A14,DiemHKII!$B$4:$B$58,0),INDEX($R$10:$AA$24,MATCH($D$6,$R$10:$R$24,0),Y$9)),""),""),"")</f>
        <v>9.6</v>
      </c>
      <c r="L14" s="262" t="str">
        <f>IF($A14&lt;&gt;"",IF(INDEX(BDHK2,MATCH(InPDBMHKII!$A14,DiemHKII!$B$4:$B$58,0),INDEX($R$10:$AA$24,MATCH($D$6,$R$10:$R$24,0),Z$9))&lt;&gt;"",INDEX(BDHK2,MATCH(InPDBMHKII!$A14,DiemHKII!$B$4:$B$58,0),INDEX($R$10:$AA$24,MATCH($D$6,$R$10:$R$24,0),Z$9)),""),"")</f>
        <v/>
      </c>
      <c r="M14" s="262" t="str">
        <f>IF($A14&lt;&gt;"",IF(INDEX(BDHK2,MATCH(InPDBMHKII!$A14,DiemHKII!$B$4:$B$58,0),INDEX($R$10:$AA$24,MATCH($D$6,$R$10:$R$24,0),AA$9))&lt;&gt;"",INDEX(BDHK2,MATCH(InPDBMHKII!$A14,DiemHKII!$B$4:$B$58,0),INDEX($R$10:$AA$24,MATCH($D$6,$R$10:$R$24,0),AA$9)),""),"")</f>
        <v/>
      </c>
      <c r="N14" s="263"/>
      <c r="P14" s="251" t="str">
        <f t="shared" si="0"/>
        <v/>
      </c>
      <c r="R14" s="349" t="s">
        <v>120</v>
      </c>
      <c r="S14" s="442">
        <v>47</v>
      </c>
      <c r="T14" s="442">
        <v>48</v>
      </c>
      <c r="U14" s="442">
        <v>49</v>
      </c>
      <c r="V14" s="442">
        <v>50</v>
      </c>
      <c r="W14" s="442">
        <v>51</v>
      </c>
      <c r="X14" s="442">
        <v>52</v>
      </c>
      <c r="Y14" s="442">
        <v>53</v>
      </c>
      <c r="Z14" s="442">
        <v>54</v>
      </c>
      <c r="AA14" s="442">
        <v>55</v>
      </c>
    </row>
    <row r="15" spans="1:27" ht="24.9" customHeight="1">
      <c r="A15" s="264">
        <f>IF(A14&lt;MAX(DiemHKII!$B$4:$B$58),A14+1,"")</f>
        <v>6</v>
      </c>
      <c r="B15" s="112" t="str">
        <f>IF($A15&lt;&gt;"",PROPER(INDEX(DiemHKII!$B$4:$T$58,MATCH(InPDBMHKII!$A15,DiemHKII!$B$4:$B$58,0),4)),"")</f>
        <v>Phan Gia</v>
      </c>
      <c r="C15" s="265" t="str">
        <f>IF($A15&lt;&gt;"",PROPER(INDEX(DiemHKII!$B$4:$T$58,MATCH(InPDBMHKII!$A15,DiemHKII!$B$4:$B$58,0),5)),"")</f>
        <v>Bảo</v>
      </c>
      <c r="D15" s="361" t="str">
        <f>IF($A15&lt;&gt;"",PROPER(INDEX(DiemHKII!$B$4:$T$58,MATCH(InPDBMHKII!$A15,DiemHKII!$B$4:$B$58,0),6)),"")</f>
        <v>27/10/2004</v>
      </c>
      <c r="E15" s="113" t="str">
        <f>IF($A15&lt;&gt;"",IF(INDEX(BDHK2,MATCH(InPDBMHKII!$A15,DiemHKII!$B$4:$B$58,0),INDEX($R$10:$AA$24,MATCH($D$6,$R$10:$R$24,0),S$9))&lt;&gt;"",INDEX(BDHK2,MATCH(InPDBMHKII!$A15,DiemHKII!$B$4:$B$58,0),INDEX($R$10:$AA$24,MATCH($D$6,$R$10:$R$24,0),S$9)),""),"")</f>
        <v/>
      </c>
      <c r="F15" s="114" t="str">
        <f>IF($A15&lt;&gt;"",IF(INDEX(BDHK2,MATCH(InPDBMHKII!$A15,DiemHKII!$B$4:$B$58,0),INDEX($R$10:$AA$24,MATCH($D$6,$R$10:$R$24,0),T$9))&lt;&gt;"",INDEX(BDHK2,MATCH(InPDBMHKII!$A15,DiemHKII!$B$4:$B$58,0),INDEX($R$10:$AA$24,MATCH($D$6,$R$10:$R$24,0),T$9)),""),"")</f>
        <v/>
      </c>
      <c r="G15" s="114" t="str">
        <f>IF($A15&lt;&gt;"",IF(INDEX(BDHK2,MATCH(InPDBMHKII!$A15,DiemHKII!$B$4:$B$58,0),INDEX($R$10:$AA$24,MATCH($D$6,$R$10:$R$24,0),U$9))&lt;&gt;"",INDEX(BDHK2,MATCH(InPDBMHKII!$A15,DiemHKII!$B$4:$B$58,0),INDEX($R$10:$AA$24,MATCH($D$6,$R$10:$R$24,0),U$9)),""),"")</f>
        <v/>
      </c>
      <c r="H15" s="421" t="str">
        <f>IF($A15&lt;&gt;"",IF(INDEX(BDHK2,MATCH(InPDBMHKII!$A15,DiemHKII!$B$4:$B$58,0),INDEX($R$10:$AA$24,MATCH($D$6,$R$10:$R$24,0),V$9))&lt;&gt;"",INDEX(BDHK2,MATCH(InPDBMHKII!$A15,DiemHKII!$B$4:$B$58,0),INDEX($R$10:$AA$24,MATCH($D$6,$R$10:$R$24,0),V$9)),""),"")</f>
        <v/>
      </c>
      <c r="I15" s="369" t="str">
        <f>IF($A15&lt;&gt;"",IF(INDEX(BDHK2,MATCH(InPDBMHKII!$A15,DiemHKII!$B$4:$B$58,0),INDEX($R$10:$AA$24,MATCH($D$6,$R$10:$R$24,0),W$9))&lt;&gt;"",INDEX(BDHK2,MATCH(InPDBMHKII!$A15,DiemHKII!$B$4:$B$58,0),INDEX($R$10:$AA$24,MATCH($D$6,$R$10:$R$24,0),W$9)),""),"")</f>
        <v/>
      </c>
      <c r="J15" s="116" t="str">
        <f>IF($A15&lt;&gt;"",IF(INDEX(BDHK2,MATCH(InPDBMHKII!$A15,DiemHKII!$B$4:$B$58,0),INDEX($R$10:$AA$24,MATCH($D$6,$R$10:$R$24,0),X$9))&lt;&gt;"",INDEX(BDHK2,MATCH(InPDBMHKII!$A15,DiemHKII!$B$4:$B$58,0),INDEX($R$10:$AA$24,MATCH($D$6,$R$10:$R$24,0),X$9)),""),"")</f>
        <v/>
      </c>
      <c r="K15" s="255">
        <f>IFERROR(IF($A15&lt;&gt;"",IF(INDEX(BDHK2,MATCH(InPDBMHKII!$A15,DiemHKII!$B$4:$B$58,0),INDEX($R$10:$AA$24,MATCH($D$6,$R$10:$R$24,0),Y$9))&lt;&gt;"",INDEX(BDHK2,MATCH(InPDBMHKII!$A15,DiemHKII!$B$4:$B$58,0),INDEX($R$10:$AA$24,MATCH($D$6,$R$10:$R$24,0),Y$9)),""),""),"")</f>
        <v>9.4</v>
      </c>
      <c r="L15" s="255" t="str">
        <f>IF($A15&lt;&gt;"",IF(INDEX(BDHK2,MATCH(InPDBMHKII!$A15,DiemHKII!$B$4:$B$58,0),INDEX($R$10:$AA$24,MATCH($D$6,$R$10:$R$24,0),Z$9))&lt;&gt;"",INDEX(BDHK2,MATCH(InPDBMHKII!$A15,DiemHKII!$B$4:$B$58,0),INDEX($R$10:$AA$24,MATCH($D$6,$R$10:$R$24,0),Z$9)),""),"")</f>
        <v/>
      </c>
      <c r="M15" s="255" t="str">
        <f>IF($A15&lt;&gt;"",IF(INDEX(BDHK2,MATCH(InPDBMHKII!$A15,DiemHKII!$B$4:$B$58,0),INDEX($R$10:$AA$24,MATCH($D$6,$R$10:$R$24,0),AA$9))&lt;&gt;"",INDEX(BDHK2,MATCH(InPDBMHKII!$A15,DiemHKII!$B$4:$B$58,0),INDEX($R$10:$AA$24,MATCH($D$6,$R$10:$R$24,0),AA$9)),""),"")</f>
        <v/>
      </c>
      <c r="N15" s="256"/>
      <c r="P15" s="251" t="str">
        <f t="shared" si="0"/>
        <v/>
      </c>
      <c r="R15" s="349" t="s">
        <v>30</v>
      </c>
      <c r="S15" s="442">
        <v>56</v>
      </c>
      <c r="T15" s="442">
        <v>57</v>
      </c>
      <c r="U15" s="442">
        <v>58</v>
      </c>
      <c r="V15" s="442">
        <v>59</v>
      </c>
      <c r="W15" s="442">
        <v>60</v>
      </c>
      <c r="X15" s="442">
        <v>61</v>
      </c>
      <c r="Y15" s="442">
        <v>62</v>
      </c>
      <c r="Z15" s="442">
        <v>63</v>
      </c>
      <c r="AA15" s="442">
        <v>64</v>
      </c>
    </row>
    <row r="16" spans="1:27" ht="24.9" customHeight="1">
      <c r="A16" s="117">
        <f>IF(A15&lt;MAX(DiemHKII!$B$4:$B$58),A15+1,"")</f>
        <v>7</v>
      </c>
      <c r="B16" s="100" t="str">
        <f>IF($A16&lt;&gt;"",PROPER(INDEX(DiemHKII!$B$4:$T$58,MATCH(InPDBMHKII!$A16,DiemHKII!$B$4:$B$58,0),4)),"")</f>
        <v>Nguyễn Phúc</v>
      </c>
      <c r="C16" s="257" t="str">
        <f>IF($A16&lt;&gt;"",PROPER(INDEX(DiemHKII!$B$4:$T$58,MATCH(InPDBMHKII!$A16,DiemHKII!$B$4:$B$58,0),5)),"")</f>
        <v>Bình</v>
      </c>
      <c r="D16" s="359" t="str">
        <f>IF($A16&lt;&gt;"",PROPER(INDEX(DiemHKII!$B$4:$T$58,MATCH(InPDBMHKII!$A16,DiemHKII!$B$4:$B$58,0),6)),"")</f>
        <v>20/06/2004</v>
      </c>
      <c r="E16" s="101" t="str">
        <f>IF($A16&lt;&gt;"",IF(INDEX(BDHK2,MATCH(InPDBMHKII!$A16,DiemHKII!$B$4:$B$58,0),INDEX($R$10:$AA$24,MATCH($D$6,$R$10:$R$24,0),S$9))&lt;&gt;"",INDEX(BDHK2,MATCH(InPDBMHKII!$A16,DiemHKII!$B$4:$B$58,0),INDEX($R$10:$AA$24,MATCH($D$6,$R$10:$R$24,0),S$9)),""),"")</f>
        <v/>
      </c>
      <c r="F16" s="102" t="str">
        <f>IF($A16&lt;&gt;"",IF(INDEX(BDHK2,MATCH(InPDBMHKII!$A16,DiemHKII!$B$4:$B$58,0),INDEX($R$10:$AA$24,MATCH($D$6,$R$10:$R$24,0),T$9))&lt;&gt;"",INDEX(BDHK2,MATCH(InPDBMHKII!$A16,DiemHKII!$B$4:$B$58,0),INDEX($R$10:$AA$24,MATCH($D$6,$R$10:$R$24,0),T$9)),""),"")</f>
        <v/>
      </c>
      <c r="G16" s="102" t="str">
        <f>IF($A16&lt;&gt;"",IF(INDEX(BDHK2,MATCH(InPDBMHKII!$A16,DiemHKII!$B$4:$B$58,0),INDEX($R$10:$AA$24,MATCH($D$6,$R$10:$R$24,0),U$9))&lt;&gt;"",INDEX(BDHK2,MATCH(InPDBMHKII!$A16,DiemHKII!$B$4:$B$58,0),INDEX($R$10:$AA$24,MATCH($D$6,$R$10:$R$24,0),U$9)),""),"")</f>
        <v/>
      </c>
      <c r="H16" s="419" t="str">
        <f>IF($A16&lt;&gt;"",IF(INDEX(BDHK2,MATCH(InPDBMHKII!$A16,DiemHKII!$B$4:$B$58,0),INDEX($R$10:$AA$24,MATCH($D$6,$R$10:$R$24,0),V$9))&lt;&gt;"",INDEX(BDHK2,MATCH(InPDBMHKII!$A16,DiemHKII!$B$4:$B$58,0),INDEX($R$10:$AA$24,MATCH($D$6,$R$10:$R$24,0),V$9)),""),"")</f>
        <v/>
      </c>
      <c r="I16" s="367" t="str">
        <f>IF($A16&lt;&gt;"",IF(INDEX(BDHK2,MATCH(InPDBMHKII!$A16,DiemHKII!$B$4:$B$58,0),INDEX($R$10:$AA$24,MATCH($D$6,$R$10:$R$24,0),W$9))&lt;&gt;"",INDEX(BDHK2,MATCH(InPDBMHKII!$A16,DiemHKII!$B$4:$B$58,0),INDEX($R$10:$AA$24,MATCH($D$6,$R$10:$R$24,0),W$9)),""),"")</f>
        <v/>
      </c>
      <c r="J16" s="104" t="str">
        <f>IF($A16&lt;&gt;"",IF(INDEX(BDHK2,MATCH(InPDBMHKII!$A16,DiemHKII!$B$4:$B$58,0),INDEX($R$10:$AA$24,MATCH($D$6,$R$10:$R$24,0),X$9))&lt;&gt;"",INDEX(BDHK2,MATCH(InPDBMHKII!$A16,DiemHKII!$B$4:$B$58,0),INDEX($R$10:$AA$24,MATCH($D$6,$R$10:$R$24,0),X$9)),""),"")</f>
        <v/>
      </c>
      <c r="K16" s="258">
        <f>IFERROR(IF($A16&lt;&gt;"",IF(INDEX(BDHK2,MATCH(InPDBMHKII!$A16,DiemHKII!$B$4:$B$58,0),INDEX($R$10:$AA$24,MATCH($D$6,$R$10:$R$24,0),Y$9))&lt;&gt;"",INDEX(BDHK2,MATCH(InPDBMHKII!$A16,DiemHKII!$B$4:$B$58,0),INDEX($R$10:$AA$24,MATCH($D$6,$R$10:$R$24,0),Y$9)),""),""),"")</f>
        <v>9.9</v>
      </c>
      <c r="L16" s="258" t="str">
        <f>IF($A16&lt;&gt;"",IF(INDEX(BDHK2,MATCH(InPDBMHKII!$A16,DiemHKII!$B$4:$B$58,0),INDEX($R$10:$AA$24,MATCH($D$6,$R$10:$R$24,0),Z$9))&lt;&gt;"",INDEX(BDHK2,MATCH(InPDBMHKII!$A16,DiemHKII!$B$4:$B$58,0),INDEX($R$10:$AA$24,MATCH($D$6,$R$10:$R$24,0),Z$9)),""),"")</f>
        <v/>
      </c>
      <c r="M16" s="258" t="str">
        <f>IF($A16&lt;&gt;"",IF(INDEX(BDHK2,MATCH(InPDBMHKII!$A16,DiemHKII!$B$4:$B$58,0),INDEX($R$10:$AA$24,MATCH($D$6,$R$10:$R$24,0),AA$9))&lt;&gt;"",INDEX(BDHK2,MATCH(InPDBMHKII!$A16,DiemHKII!$B$4:$B$58,0),INDEX($R$10:$AA$24,MATCH($D$6,$R$10:$R$24,0),AA$9)),""),"")</f>
        <v/>
      </c>
      <c r="N16" s="259"/>
      <c r="P16" s="251" t="str">
        <f t="shared" si="0"/>
        <v/>
      </c>
      <c r="R16" s="349" t="s">
        <v>31</v>
      </c>
      <c r="S16" s="442">
        <v>65</v>
      </c>
      <c r="T16" s="442">
        <v>66</v>
      </c>
      <c r="U16" s="442">
        <v>67</v>
      </c>
      <c r="V16" s="442">
        <v>68</v>
      </c>
      <c r="W16" s="442">
        <v>69</v>
      </c>
      <c r="X16" s="442">
        <v>70</v>
      </c>
      <c r="Y16" s="442">
        <v>71</v>
      </c>
      <c r="Z16" s="442">
        <v>72</v>
      </c>
      <c r="AA16" s="442">
        <v>73</v>
      </c>
    </row>
    <row r="17" spans="1:27" ht="24.9" customHeight="1">
      <c r="A17" s="117">
        <f>IF(A16&lt;MAX(DiemHKII!$B$4:$B$58),A16+1,"")</f>
        <v>8</v>
      </c>
      <c r="B17" s="100" t="str">
        <f>IF($A17&lt;&gt;"",PROPER(INDEX(DiemHKII!$B$4:$T$58,MATCH(InPDBMHKII!$A17,DiemHKII!$B$4:$B$58,0),4)),"")</f>
        <v>Trần Lê</v>
      </c>
      <c r="C17" s="257" t="str">
        <f>IF($A17&lt;&gt;"",PROPER(INDEX(DiemHKII!$B$4:$T$58,MATCH(InPDBMHKII!$A17,DiemHKII!$B$4:$B$58,0),5)),"")</f>
        <v>Cường</v>
      </c>
      <c r="D17" s="359" t="str">
        <f>IF($A17&lt;&gt;"",PROPER(INDEX(DiemHKII!$B$4:$T$58,MATCH(InPDBMHKII!$A17,DiemHKII!$B$4:$B$58,0),6)),"")</f>
        <v>08/04/2004</v>
      </c>
      <c r="E17" s="101" t="str">
        <f>IF($A17&lt;&gt;"",IF(INDEX(BDHK2,MATCH(InPDBMHKII!$A17,DiemHKII!$B$4:$B$58,0),INDEX($R$10:$AA$24,MATCH($D$6,$R$10:$R$24,0),S$9))&lt;&gt;"",INDEX(BDHK2,MATCH(InPDBMHKII!$A17,DiemHKII!$B$4:$B$58,0),INDEX($R$10:$AA$24,MATCH($D$6,$R$10:$R$24,0),S$9)),""),"")</f>
        <v/>
      </c>
      <c r="F17" s="102" t="str">
        <f>IF($A17&lt;&gt;"",IF(INDEX(BDHK2,MATCH(InPDBMHKII!$A17,DiemHKII!$B$4:$B$58,0),INDEX($R$10:$AA$24,MATCH($D$6,$R$10:$R$24,0),T$9))&lt;&gt;"",INDEX(BDHK2,MATCH(InPDBMHKII!$A17,DiemHKII!$B$4:$B$58,0),INDEX($R$10:$AA$24,MATCH($D$6,$R$10:$R$24,0),T$9)),""),"")</f>
        <v/>
      </c>
      <c r="G17" s="102" t="str">
        <f>IF($A17&lt;&gt;"",IF(INDEX(BDHK2,MATCH(InPDBMHKII!$A17,DiemHKII!$B$4:$B$58,0),INDEX($R$10:$AA$24,MATCH($D$6,$R$10:$R$24,0),U$9))&lt;&gt;"",INDEX(BDHK2,MATCH(InPDBMHKII!$A17,DiemHKII!$B$4:$B$58,0),INDEX($R$10:$AA$24,MATCH($D$6,$R$10:$R$24,0),U$9)),""),"")</f>
        <v/>
      </c>
      <c r="H17" s="419" t="str">
        <f>IF($A17&lt;&gt;"",IF(INDEX(BDHK2,MATCH(InPDBMHKII!$A17,DiemHKII!$B$4:$B$58,0),INDEX($R$10:$AA$24,MATCH($D$6,$R$10:$R$24,0),V$9))&lt;&gt;"",INDEX(BDHK2,MATCH(InPDBMHKII!$A17,DiemHKII!$B$4:$B$58,0),INDEX($R$10:$AA$24,MATCH($D$6,$R$10:$R$24,0),V$9)),""),"")</f>
        <v/>
      </c>
      <c r="I17" s="367" t="str">
        <f>IF($A17&lt;&gt;"",IF(INDEX(BDHK2,MATCH(InPDBMHKII!$A17,DiemHKII!$B$4:$B$58,0),INDEX($R$10:$AA$24,MATCH($D$6,$R$10:$R$24,0),W$9))&lt;&gt;"",INDEX(BDHK2,MATCH(InPDBMHKII!$A17,DiemHKII!$B$4:$B$58,0),INDEX($R$10:$AA$24,MATCH($D$6,$R$10:$R$24,0),W$9)),""),"")</f>
        <v/>
      </c>
      <c r="J17" s="104" t="str">
        <f>IF($A17&lt;&gt;"",IF(INDEX(BDHK2,MATCH(InPDBMHKII!$A17,DiemHKII!$B$4:$B$58,0),INDEX($R$10:$AA$24,MATCH($D$6,$R$10:$R$24,0),X$9))&lt;&gt;"",INDEX(BDHK2,MATCH(InPDBMHKII!$A17,DiemHKII!$B$4:$B$58,0),INDEX($R$10:$AA$24,MATCH($D$6,$R$10:$R$24,0),X$9)),""),"")</f>
        <v/>
      </c>
      <c r="K17" s="258">
        <f>IFERROR(IF($A17&lt;&gt;"",IF(INDEX(BDHK2,MATCH(InPDBMHKII!$A17,DiemHKII!$B$4:$B$58,0),INDEX($R$10:$AA$24,MATCH($D$6,$R$10:$R$24,0),Y$9))&lt;&gt;"",INDEX(BDHK2,MATCH(InPDBMHKII!$A17,DiemHKII!$B$4:$B$58,0),INDEX($R$10:$AA$24,MATCH($D$6,$R$10:$R$24,0),Y$9)),""),""),"")</f>
        <v>9.6</v>
      </c>
      <c r="L17" s="258" t="str">
        <f>IF($A17&lt;&gt;"",IF(INDEX(BDHK2,MATCH(InPDBMHKII!$A17,DiemHKII!$B$4:$B$58,0),INDEX($R$10:$AA$24,MATCH($D$6,$R$10:$R$24,0),Z$9))&lt;&gt;"",INDEX(BDHK2,MATCH(InPDBMHKII!$A17,DiemHKII!$B$4:$B$58,0),INDEX($R$10:$AA$24,MATCH($D$6,$R$10:$R$24,0),Z$9)),""),"")</f>
        <v/>
      </c>
      <c r="M17" s="258" t="str">
        <f>IF($A17&lt;&gt;"",IF(INDEX(BDHK2,MATCH(InPDBMHKII!$A17,DiemHKII!$B$4:$B$58,0),INDEX($R$10:$AA$24,MATCH($D$6,$R$10:$R$24,0),AA$9))&lt;&gt;"",INDEX(BDHK2,MATCH(InPDBMHKII!$A17,DiemHKII!$B$4:$B$58,0),INDEX($R$10:$AA$24,MATCH($D$6,$R$10:$R$24,0),AA$9)),""),"")</f>
        <v/>
      </c>
      <c r="N17" s="259"/>
      <c r="P17" s="251" t="str">
        <f t="shared" si="0"/>
        <v/>
      </c>
      <c r="R17" s="349" t="s">
        <v>32</v>
      </c>
      <c r="S17" s="442">
        <v>74</v>
      </c>
      <c r="T17" s="442">
        <v>75</v>
      </c>
      <c r="U17" s="442">
        <v>76</v>
      </c>
      <c r="V17" s="442">
        <v>77</v>
      </c>
      <c r="W17" s="442">
        <v>78</v>
      </c>
      <c r="X17" s="442">
        <v>79</v>
      </c>
      <c r="Y17" s="442">
        <v>80</v>
      </c>
      <c r="Z17" s="442">
        <v>81</v>
      </c>
      <c r="AA17" s="442">
        <v>82</v>
      </c>
    </row>
    <row r="18" spans="1:27" ht="24.9" customHeight="1">
      <c r="A18" s="117">
        <f>IF(A17&lt;MAX(DiemHKII!$B$4:$B$58),A17+1,"")</f>
        <v>9</v>
      </c>
      <c r="B18" s="100" t="str">
        <f>IF($A18&lt;&gt;"",PROPER(INDEX(DiemHKII!$B$4:$T$58,MATCH(InPDBMHKII!$A18,DiemHKII!$B$4:$B$58,0),4)),"")</f>
        <v>Nguyễn Thanh</v>
      </c>
      <c r="C18" s="257" t="str">
        <f>IF($A18&lt;&gt;"",PROPER(INDEX(DiemHKII!$B$4:$T$58,MATCH(InPDBMHKII!$A18,DiemHKII!$B$4:$B$58,0),5)),"")</f>
        <v>Duyên</v>
      </c>
      <c r="D18" s="359" t="str">
        <f>IF($A18&lt;&gt;"",PROPER(INDEX(DiemHKII!$B$4:$T$58,MATCH(InPDBMHKII!$A18,DiemHKII!$B$4:$B$58,0),6)),"")</f>
        <v>16/11/2004</v>
      </c>
      <c r="E18" s="101" t="str">
        <f>IF($A18&lt;&gt;"",IF(INDEX(BDHK2,MATCH(InPDBMHKII!$A18,DiemHKII!$B$4:$B$58,0),INDEX($R$10:$AA$24,MATCH($D$6,$R$10:$R$24,0),S$9))&lt;&gt;"",INDEX(BDHK2,MATCH(InPDBMHKII!$A18,DiemHKII!$B$4:$B$58,0),INDEX($R$10:$AA$24,MATCH($D$6,$R$10:$R$24,0),S$9)),""),"")</f>
        <v/>
      </c>
      <c r="F18" s="102" t="str">
        <f>IF($A18&lt;&gt;"",IF(INDEX(BDHK2,MATCH(InPDBMHKII!$A18,DiemHKII!$B$4:$B$58,0),INDEX($R$10:$AA$24,MATCH($D$6,$R$10:$R$24,0),T$9))&lt;&gt;"",INDEX(BDHK2,MATCH(InPDBMHKII!$A18,DiemHKII!$B$4:$B$58,0),INDEX($R$10:$AA$24,MATCH($D$6,$R$10:$R$24,0),T$9)),""),"")</f>
        <v/>
      </c>
      <c r="G18" s="102" t="str">
        <f>IF($A18&lt;&gt;"",IF(INDEX(BDHK2,MATCH(InPDBMHKII!$A18,DiemHKII!$B$4:$B$58,0),INDEX($R$10:$AA$24,MATCH($D$6,$R$10:$R$24,0),U$9))&lt;&gt;"",INDEX(BDHK2,MATCH(InPDBMHKII!$A18,DiemHKII!$B$4:$B$58,0),INDEX($R$10:$AA$24,MATCH($D$6,$R$10:$R$24,0),U$9)),""),"")</f>
        <v/>
      </c>
      <c r="H18" s="419" t="str">
        <f>IF($A18&lt;&gt;"",IF(INDEX(BDHK2,MATCH(InPDBMHKII!$A18,DiemHKII!$B$4:$B$58,0),INDEX($R$10:$AA$24,MATCH($D$6,$R$10:$R$24,0),V$9))&lt;&gt;"",INDEX(BDHK2,MATCH(InPDBMHKII!$A18,DiemHKII!$B$4:$B$58,0),INDEX($R$10:$AA$24,MATCH($D$6,$R$10:$R$24,0),V$9)),""),"")</f>
        <v/>
      </c>
      <c r="I18" s="367" t="str">
        <f>IF($A18&lt;&gt;"",IF(INDEX(BDHK2,MATCH(InPDBMHKII!$A18,DiemHKII!$B$4:$B$58,0),INDEX($R$10:$AA$24,MATCH($D$6,$R$10:$R$24,0),W$9))&lt;&gt;"",INDEX(BDHK2,MATCH(InPDBMHKII!$A18,DiemHKII!$B$4:$B$58,0),INDEX($R$10:$AA$24,MATCH($D$6,$R$10:$R$24,0),W$9)),""),"")</f>
        <v/>
      </c>
      <c r="J18" s="104" t="str">
        <f>IF($A18&lt;&gt;"",IF(INDEX(BDHK2,MATCH(InPDBMHKII!$A18,DiemHKII!$B$4:$B$58,0),INDEX($R$10:$AA$24,MATCH($D$6,$R$10:$R$24,0),X$9))&lt;&gt;"",INDEX(BDHK2,MATCH(InPDBMHKII!$A18,DiemHKII!$B$4:$B$58,0),INDEX($R$10:$AA$24,MATCH($D$6,$R$10:$R$24,0),X$9)),""),"")</f>
        <v/>
      </c>
      <c r="K18" s="258">
        <f>IFERROR(IF($A18&lt;&gt;"",IF(INDEX(BDHK2,MATCH(InPDBMHKII!$A18,DiemHKII!$B$4:$B$58,0),INDEX($R$10:$AA$24,MATCH($D$6,$R$10:$R$24,0),Y$9))&lt;&gt;"",INDEX(BDHK2,MATCH(InPDBMHKII!$A18,DiemHKII!$B$4:$B$58,0),INDEX($R$10:$AA$24,MATCH($D$6,$R$10:$R$24,0),Y$9)),""),""),"")</f>
        <v>9.8000000000000007</v>
      </c>
      <c r="L18" s="258" t="str">
        <f>IF($A18&lt;&gt;"",IF(INDEX(BDHK2,MATCH(InPDBMHKII!$A18,DiemHKII!$B$4:$B$58,0),INDEX($R$10:$AA$24,MATCH($D$6,$R$10:$R$24,0),Z$9))&lt;&gt;"",INDEX(BDHK2,MATCH(InPDBMHKII!$A18,DiemHKII!$B$4:$B$58,0),INDEX($R$10:$AA$24,MATCH($D$6,$R$10:$R$24,0),Z$9)),""),"")</f>
        <v/>
      </c>
      <c r="M18" s="258" t="str">
        <f>IF($A18&lt;&gt;"",IF(INDEX(BDHK2,MATCH(InPDBMHKII!$A18,DiemHKII!$B$4:$B$58,0),INDEX($R$10:$AA$24,MATCH($D$6,$R$10:$R$24,0),AA$9))&lt;&gt;"",INDEX(BDHK2,MATCH(InPDBMHKII!$A18,DiemHKII!$B$4:$B$58,0),INDEX($R$10:$AA$24,MATCH($D$6,$R$10:$R$24,0),AA$9)),""),"")</f>
        <v/>
      </c>
      <c r="N18" s="259"/>
      <c r="P18" s="251" t="str">
        <f t="shared" si="0"/>
        <v/>
      </c>
      <c r="R18" s="349" t="s">
        <v>33</v>
      </c>
      <c r="S18" s="442">
        <v>83</v>
      </c>
      <c r="T18" s="442">
        <v>84</v>
      </c>
      <c r="U18" s="442">
        <v>85</v>
      </c>
      <c r="V18" s="442">
        <v>86</v>
      </c>
      <c r="W18" s="442">
        <v>87</v>
      </c>
      <c r="X18" s="442">
        <v>88</v>
      </c>
      <c r="Y18" s="442">
        <v>89</v>
      </c>
      <c r="Z18" s="442">
        <v>90</v>
      </c>
      <c r="AA18" s="442">
        <v>91</v>
      </c>
    </row>
    <row r="19" spans="1:27" ht="24.9" customHeight="1">
      <c r="A19" s="260">
        <f>IF(A18&lt;MAX(DiemHKII!$B$4:$B$58),A18+1,"")</f>
        <v>10</v>
      </c>
      <c r="B19" s="106" t="str">
        <f>IF($A19&lt;&gt;"",PROPER(INDEX(DiemHKII!$B$4:$T$58,MATCH(InPDBMHKII!$A19,DiemHKII!$B$4:$B$58,0),4)),"")</f>
        <v>Trương Đắc</v>
      </c>
      <c r="C19" s="261" t="str">
        <f>IF($A19&lt;&gt;"",PROPER(INDEX(DiemHKII!$B$4:$T$58,MATCH(InPDBMHKII!$A19,DiemHKII!$B$4:$B$58,0),5)),"")</f>
        <v>Điền</v>
      </c>
      <c r="D19" s="360" t="str">
        <f>IF($A19&lt;&gt;"",PROPER(INDEX(DiemHKII!$B$4:$T$58,MATCH(InPDBMHKII!$A19,DiemHKII!$B$4:$B$58,0),6)),"")</f>
        <v>08/05/2004</v>
      </c>
      <c r="E19" s="107" t="str">
        <f>IF($A19&lt;&gt;"",IF(INDEX(BDHK2,MATCH(InPDBMHKII!$A19,DiemHKII!$B$4:$B$58,0),INDEX($R$10:$AA$24,MATCH($D$6,$R$10:$R$24,0),S$9))&lt;&gt;"",INDEX(BDHK2,MATCH(InPDBMHKII!$A19,DiemHKII!$B$4:$B$58,0),INDEX($R$10:$AA$24,MATCH($D$6,$R$10:$R$24,0),S$9)),""),"")</f>
        <v/>
      </c>
      <c r="F19" s="108" t="str">
        <f>IF($A19&lt;&gt;"",IF(INDEX(BDHK2,MATCH(InPDBMHKII!$A19,DiemHKII!$B$4:$B$58,0),INDEX($R$10:$AA$24,MATCH($D$6,$R$10:$R$24,0),T$9))&lt;&gt;"",INDEX(BDHK2,MATCH(InPDBMHKII!$A19,DiemHKII!$B$4:$B$58,0),INDEX($R$10:$AA$24,MATCH($D$6,$R$10:$R$24,0),T$9)),""),"")</f>
        <v/>
      </c>
      <c r="G19" s="108" t="str">
        <f>IF($A19&lt;&gt;"",IF(INDEX(BDHK2,MATCH(InPDBMHKII!$A19,DiemHKII!$B$4:$B$58,0),INDEX($R$10:$AA$24,MATCH($D$6,$R$10:$R$24,0),U$9))&lt;&gt;"",INDEX(BDHK2,MATCH(InPDBMHKII!$A19,DiemHKII!$B$4:$B$58,0),INDEX($R$10:$AA$24,MATCH($D$6,$R$10:$R$24,0),U$9)),""),"")</f>
        <v/>
      </c>
      <c r="H19" s="420" t="str">
        <f>IF($A19&lt;&gt;"",IF(INDEX(BDHK2,MATCH(InPDBMHKII!$A19,DiemHKII!$B$4:$B$58,0),INDEX($R$10:$AA$24,MATCH($D$6,$R$10:$R$24,0),V$9))&lt;&gt;"",INDEX(BDHK2,MATCH(InPDBMHKII!$A19,DiemHKII!$B$4:$B$58,0),INDEX($R$10:$AA$24,MATCH($D$6,$R$10:$R$24,0),V$9)),""),"")</f>
        <v/>
      </c>
      <c r="I19" s="368" t="str">
        <f>IF($A19&lt;&gt;"",IF(INDEX(BDHK2,MATCH(InPDBMHKII!$A19,DiemHKII!$B$4:$B$58,0),INDEX($R$10:$AA$24,MATCH($D$6,$R$10:$R$24,0),W$9))&lt;&gt;"",INDEX(BDHK2,MATCH(InPDBMHKII!$A19,DiemHKII!$B$4:$B$58,0),INDEX($R$10:$AA$24,MATCH($D$6,$R$10:$R$24,0),W$9)),""),"")</f>
        <v/>
      </c>
      <c r="J19" s="110" t="str">
        <f>IF($A19&lt;&gt;"",IF(INDEX(BDHK2,MATCH(InPDBMHKII!$A19,DiemHKII!$B$4:$B$58,0),INDEX($R$10:$AA$24,MATCH($D$6,$R$10:$R$24,0),X$9))&lt;&gt;"",INDEX(BDHK2,MATCH(InPDBMHKII!$A19,DiemHKII!$B$4:$B$58,0),INDEX($R$10:$AA$24,MATCH($D$6,$R$10:$R$24,0),X$9)),""),"")</f>
        <v/>
      </c>
      <c r="K19" s="262">
        <f>IFERROR(IF($A19&lt;&gt;"",IF(INDEX(BDHK2,MATCH(InPDBMHKII!$A19,DiemHKII!$B$4:$B$58,0),INDEX($R$10:$AA$24,MATCH($D$6,$R$10:$R$24,0),Y$9))&lt;&gt;"",INDEX(BDHK2,MATCH(InPDBMHKII!$A19,DiemHKII!$B$4:$B$58,0),INDEX($R$10:$AA$24,MATCH($D$6,$R$10:$R$24,0),Y$9)),""),""),"")</f>
        <v>9.5</v>
      </c>
      <c r="L19" s="262" t="str">
        <f>IF($A19&lt;&gt;"",IF(INDEX(BDHK2,MATCH(InPDBMHKII!$A19,DiemHKII!$B$4:$B$58,0),INDEX($R$10:$AA$24,MATCH($D$6,$R$10:$R$24,0),Z$9))&lt;&gt;"",INDEX(BDHK2,MATCH(InPDBMHKII!$A19,DiemHKII!$B$4:$B$58,0),INDEX($R$10:$AA$24,MATCH($D$6,$R$10:$R$24,0),Z$9)),""),"")</f>
        <v/>
      </c>
      <c r="M19" s="262" t="str">
        <f>IF($A19&lt;&gt;"",IF(INDEX(BDHK2,MATCH(InPDBMHKII!$A19,DiemHKII!$B$4:$B$58,0),INDEX($R$10:$AA$24,MATCH($D$6,$R$10:$R$24,0),AA$9))&lt;&gt;"",INDEX(BDHK2,MATCH(InPDBMHKII!$A19,DiemHKII!$B$4:$B$58,0),INDEX($R$10:$AA$24,MATCH($D$6,$R$10:$R$24,0),AA$9)),""),"")</f>
        <v/>
      </c>
      <c r="N19" s="263"/>
      <c r="P19" s="251" t="str">
        <f t="shared" si="0"/>
        <v/>
      </c>
      <c r="R19" s="349" t="s">
        <v>60</v>
      </c>
      <c r="S19" s="442">
        <v>92</v>
      </c>
      <c r="T19" s="442">
        <v>93</v>
      </c>
      <c r="U19" s="442">
        <v>94</v>
      </c>
      <c r="V19" s="442">
        <v>95</v>
      </c>
      <c r="W19" s="442">
        <v>96</v>
      </c>
      <c r="X19" s="442">
        <v>97</v>
      </c>
      <c r="Y19" s="442">
        <v>98</v>
      </c>
      <c r="Z19" s="442">
        <v>99</v>
      </c>
      <c r="AA19" s="442">
        <v>100</v>
      </c>
    </row>
    <row r="20" spans="1:27" ht="24.9" customHeight="1">
      <c r="A20" s="264">
        <f>IF(A19&lt;MAX(DiemHKII!$B$4:$B$58),A19+1,"")</f>
        <v>11</v>
      </c>
      <c r="B20" s="112" t="str">
        <f>IF($A20&lt;&gt;"",PROPER(INDEX(DiemHKII!$B$4:$T$58,MATCH(InPDBMHKII!$A20,DiemHKII!$B$4:$B$58,0),4)),"")</f>
        <v>Hồ Ngọc</v>
      </c>
      <c r="C20" s="265" t="str">
        <f>IF($A20&lt;&gt;"",PROPER(INDEX(DiemHKII!$B$4:$T$58,MATCH(InPDBMHKII!$A20,DiemHKII!$B$4:$B$58,0),5)),"")</f>
        <v>Hải</v>
      </c>
      <c r="D20" s="361" t="str">
        <f>IF($A20&lt;&gt;"",PROPER(INDEX(DiemHKII!$B$4:$T$58,MATCH(InPDBMHKII!$A20,DiemHKII!$B$4:$B$58,0),6)),"")</f>
        <v>25/10/2004</v>
      </c>
      <c r="E20" s="113" t="str">
        <f>IF($A20&lt;&gt;"",IF(INDEX(BDHK2,MATCH(InPDBMHKII!$A20,DiemHKII!$B$4:$B$58,0),INDEX($R$10:$AA$24,MATCH($D$6,$R$10:$R$24,0),S$9))&lt;&gt;"",INDEX(BDHK2,MATCH(InPDBMHKII!$A20,DiemHKII!$B$4:$B$58,0),INDEX($R$10:$AA$24,MATCH($D$6,$R$10:$R$24,0),S$9)),""),"")</f>
        <v/>
      </c>
      <c r="F20" s="114" t="str">
        <f>IF($A20&lt;&gt;"",IF(INDEX(BDHK2,MATCH(InPDBMHKII!$A20,DiemHKII!$B$4:$B$58,0),INDEX($R$10:$AA$24,MATCH($D$6,$R$10:$R$24,0),T$9))&lt;&gt;"",INDEX(BDHK2,MATCH(InPDBMHKII!$A20,DiemHKII!$B$4:$B$58,0),INDEX($R$10:$AA$24,MATCH($D$6,$R$10:$R$24,0),T$9)),""),"")</f>
        <v/>
      </c>
      <c r="G20" s="114" t="str">
        <f>IF($A20&lt;&gt;"",IF(INDEX(BDHK2,MATCH(InPDBMHKII!$A20,DiemHKII!$B$4:$B$58,0),INDEX($R$10:$AA$24,MATCH($D$6,$R$10:$R$24,0),U$9))&lt;&gt;"",INDEX(BDHK2,MATCH(InPDBMHKII!$A20,DiemHKII!$B$4:$B$58,0),INDEX($R$10:$AA$24,MATCH($D$6,$R$10:$R$24,0),U$9)),""),"")</f>
        <v/>
      </c>
      <c r="H20" s="421" t="str">
        <f>IF($A20&lt;&gt;"",IF(INDEX(BDHK2,MATCH(InPDBMHKII!$A20,DiemHKII!$B$4:$B$58,0),INDEX($R$10:$AA$24,MATCH($D$6,$R$10:$R$24,0),V$9))&lt;&gt;"",INDEX(BDHK2,MATCH(InPDBMHKII!$A20,DiemHKII!$B$4:$B$58,0),INDEX($R$10:$AA$24,MATCH($D$6,$R$10:$R$24,0),V$9)),""),"")</f>
        <v/>
      </c>
      <c r="I20" s="369" t="str">
        <f>IF($A20&lt;&gt;"",IF(INDEX(BDHK2,MATCH(InPDBMHKII!$A20,DiemHKII!$B$4:$B$58,0),INDEX($R$10:$AA$24,MATCH($D$6,$R$10:$R$24,0),W$9))&lt;&gt;"",INDEX(BDHK2,MATCH(InPDBMHKII!$A20,DiemHKII!$B$4:$B$58,0),INDEX($R$10:$AA$24,MATCH($D$6,$R$10:$R$24,0),W$9)),""),"")</f>
        <v/>
      </c>
      <c r="J20" s="116" t="str">
        <f>IF($A20&lt;&gt;"",IF(INDEX(BDHK2,MATCH(InPDBMHKII!$A20,DiemHKII!$B$4:$B$58,0),INDEX($R$10:$AA$24,MATCH($D$6,$R$10:$R$24,0),X$9))&lt;&gt;"",INDEX(BDHK2,MATCH(InPDBMHKII!$A20,DiemHKII!$B$4:$B$58,0),INDEX($R$10:$AA$24,MATCH($D$6,$R$10:$R$24,0),X$9)),""),"")</f>
        <v/>
      </c>
      <c r="K20" s="255">
        <f>IFERROR(IF($A20&lt;&gt;"",IF(INDEX(BDHK2,MATCH(InPDBMHKII!$A20,DiemHKII!$B$4:$B$58,0),INDEX($R$10:$AA$24,MATCH($D$6,$R$10:$R$24,0),Y$9))&lt;&gt;"",INDEX(BDHK2,MATCH(InPDBMHKII!$A20,DiemHKII!$B$4:$B$58,0),INDEX($R$10:$AA$24,MATCH($D$6,$R$10:$R$24,0),Y$9)),""),""),"")</f>
        <v>9.3000000000000007</v>
      </c>
      <c r="L20" s="255" t="str">
        <f>IF($A20&lt;&gt;"",IF(INDEX(BDHK2,MATCH(InPDBMHKII!$A20,DiemHKII!$B$4:$B$58,0),INDEX($R$10:$AA$24,MATCH($D$6,$R$10:$R$24,0),Z$9))&lt;&gt;"",INDEX(BDHK2,MATCH(InPDBMHKII!$A20,DiemHKII!$B$4:$B$58,0),INDEX($R$10:$AA$24,MATCH($D$6,$R$10:$R$24,0),Z$9)),""),"")</f>
        <v/>
      </c>
      <c r="M20" s="255" t="str">
        <f>IF($A20&lt;&gt;"",IF(INDEX(BDHK2,MATCH(InPDBMHKII!$A20,DiemHKII!$B$4:$B$58,0),INDEX($R$10:$AA$24,MATCH($D$6,$R$10:$R$24,0),AA$9))&lt;&gt;"",INDEX(BDHK2,MATCH(InPDBMHKII!$A20,DiemHKII!$B$4:$B$58,0),INDEX($R$10:$AA$24,MATCH($D$6,$R$10:$R$24,0),AA$9)),""),"")</f>
        <v/>
      </c>
      <c r="N20" s="256"/>
      <c r="P20" s="251" t="str">
        <f t="shared" si="0"/>
        <v/>
      </c>
      <c r="R20" s="349" t="s">
        <v>34</v>
      </c>
      <c r="S20" s="442">
        <v>101</v>
      </c>
      <c r="T20" s="442">
        <v>102</v>
      </c>
      <c r="U20" s="442">
        <v>103</v>
      </c>
      <c r="V20" s="442">
        <v>104</v>
      </c>
      <c r="W20" s="442">
        <v>105</v>
      </c>
      <c r="X20" s="442">
        <v>106</v>
      </c>
      <c r="Y20" s="442">
        <v>107</v>
      </c>
      <c r="Z20" s="442">
        <v>108</v>
      </c>
      <c r="AA20" s="442">
        <v>109</v>
      </c>
    </row>
    <row r="21" spans="1:27" ht="24.9" customHeight="1">
      <c r="A21" s="117">
        <f>IF(A20&lt;MAX(DiemHKII!$B$4:$B$58),A20+1,"")</f>
        <v>12</v>
      </c>
      <c r="B21" s="100" t="str">
        <f>IF($A21&lt;&gt;"",PROPER(INDEX(DiemHKII!$B$4:$T$58,MATCH(InPDBMHKII!$A21,DiemHKII!$B$4:$B$58,0),4)),"")</f>
        <v>Hồ Sơn</v>
      </c>
      <c r="C21" s="257" t="str">
        <f>IF($A21&lt;&gt;"",PROPER(INDEX(DiemHKII!$B$4:$T$58,MATCH(InPDBMHKII!$A21,DiemHKII!$B$4:$B$58,0),5)),"")</f>
        <v>Hậu</v>
      </c>
      <c r="D21" s="359" t="str">
        <f>IF($A21&lt;&gt;"",PROPER(INDEX(DiemHKII!$B$4:$T$58,MATCH(InPDBMHKII!$A21,DiemHKII!$B$4:$B$58,0),6)),"")</f>
        <v>08/01/2004</v>
      </c>
      <c r="E21" s="101" t="str">
        <f>IF($A21&lt;&gt;"",IF(INDEX(BDHK2,MATCH(InPDBMHKII!$A21,DiemHKII!$B$4:$B$58,0),INDEX($R$10:$AA$24,MATCH($D$6,$R$10:$R$24,0),S$9))&lt;&gt;"",INDEX(BDHK2,MATCH(InPDBMHKII!$A21,DiemHKII!$B$4:$B$58,0),INDEX($R$10:$AA$24,MATCH($D$6,$R$10:$R$24,0),S$9)),""),"")</f>
        <v/>
      </c>
      <c r="F21" s="102" t="str">
        <f>IF($A21&lt;&gt;"",IF(INDEX(BDHK2,MATCH(InPDBMHKII!$A21,DiemHKII!$B$4:$B$58,0),INDEX($R$10:$AA$24,MATCH($D$6,$R$10:$R$24,0),T$9))&lt;&gt;"",INDEX(BDHK2,MATCH(InPDBMHKII!$A21,DiemHKII!$B$4:$B$58,0),INDEX($R$10:$AA$24,MATCH($D$6,$R$10:$R$24,0),T$9)),""),"")</f>
        <v/>
      </c>
      <c r="G21" s="102" t="str">
        <f>IF($A21&lt;&gt;"",IF(INDEX(BDHK2,MATCH(InPDBMHKII!$A21,DiemHKII!$B$4:$B$58,0),INDEX($R$10:$AA$24,MATCH($D$6,$R$10:$R$24,0),U$9))&lt;&gt;"",INDEX(BDHK2,MATCH(InPDBMHKII!$A21,DiemHKII!$B$4:$B$58,0),INDEX($R$10:$AA$24,MATCH($D$6,$R$10:$R$24,0),U$9)),""),"")</f>
        <v/>
      </c>
      <c r="H21" s="419" t="str">
        <f>IF($A21&lt;&gt;"",IF(INDEX(BDHK2,MATCH(InPDBMHKII!$A21,DiemHKII!$B$4:$B$58,0),INDEX($R$10:$AA$24,MATCH($D$6,$R$10:$R$24,0),V$9))&lt;&gt;"",INDEX(BDHK2,MATCH(InPDBMHKII!$A21,DiemHKII!$B$4:$B$58,0),INDEX($R$10:$AA$24,MATCH($D$6,$R$10:$R$24,0),V$9)),""),"")</f>
        <v/>
      </c>
      <c r="I21" s="367" t="str">
        <f>IF($A21&lt;&gt;"",IF(INDEX(BDHK2,MATCH(InPDBMHKII!$A21,DiemHKII!$B$4:$B$58,0),INDEX($R$10:$AA$24,MATCH($D$6,$R$10:$R$24,0),W$9))&lt;&gt;"",INDEX(BDHK2,MATCH(InPDBMHKII!$A21,DiemHKII!$B$4:$B$58,0),INDEX($R$10:$AA$24,MATCH($D$6,$R$10:$R$24,0),W$9)),""),"")</f>
        <v/>
      </c>
      <c r="J21" s="104" t="str">
        <f>IF($A21&lt;&gt;"",IF(INDEX(BDHK2,MATCH(InPDBMHKII!$A21,DiemHKII!$B$4:$B$58,0),INDEX($R$10:$AA$24,MATCH($D$6,$R$10:$R$24,0),X$9))&lt;&gt;"",INDEX(BDHK2,MATCH(InPDBMHKII!$A21,DiemHKII!$B$4:$B$58,0),INDEX($R$10:$AA$24,MATCH($D$6,$R$10:$R$24,0),X$9)),""),"")</f>
        <v/>
      </c>
      <c r="K21" s="258">
        <f>IFERROR(IF($A21&lt;&gt;"",IF(INDEX(BDHK2,MATCH(InPDBMHKII!$A21,DiemHKII!$B$4:$B$58,0),INDEX($R$10:$AA$24,MATCH($D$6,$R$10:$R$24,0),Y$9))&lt;&gt;"",INDEX(BDHK2,MATCH(InPDBMHKII!$A21,DiemHKII!$B$4:$B$58,0),INDEX($R$10:$AA$24,MATCH($D$6,$R$10:$R$24,0),Y$9)),""),""),"")</f>
        <v>9.6</v>
      </c>
      <c r="L21" s="258" t="str">
        <f>IF($A21&lt;&gt;"",IF(INDEX(BDHK2,MATCH(InPDBMHKII!$A21,DiemHKII!$B$4:$B$58,0),INDEX($R$10:$AA$24,MATCH($D$6,$R$10:$R$24,0),Z$9))&lt;&gt;"",INDEX(BDHK2,MATCH(InPDBMHKII!$A21,DiemHKII!$B$4:$B$58,0),INDEX($R$10:$AA$24,MATCH($D$6,$R$10:$R$24,0),Z$9)),""),"")</f>
        <v/>
      </c>
      <c r="M21" s="258" t="str">
        <f>IF($A21&lt;&gt;"",IF(INDEX(BDHK2,MATCH(InPDBMHKII!$A21,DiemHKII!$B$4:$B$58,0),INDEX($R$10:$AA$24,MATCH($D$6,$R$10:$R$24,0),AA$9))&lt;&gt;"",INDEX(BDHK2,MATCH(InPDBMHKII!$A21,DiemHKII!$B$4:$B$58,0),INDEX($R$10:$AA$24,MATCH($D$6,$R$10:$R$24,0),AA$9)),""),"")</f>
        <v/>
      </c>
      <c r="N21" s="259"/>
      <c r="P21" s="251" t="str">
        <f t="shared" si="0"/>
        <v/>
      </c>
      <c r="R21" s="349" t="s">
        <v>35</v>
      </c>
      <c r="S21" s="442">
        <v>110</v>
      </c>
      <c r="T21" s="442">
        <v>111</v>
      </c>
      <c r="U21" s="442">
        <v>112</v>
      </c>
      <c r="V21" s="442">
        <v>113</v>
      </c>
      <c r="W21" s="442">
        <v>114</v>
      </c>
      <c r="X21" s="442">
        <v>115</v>
      </c>
      <c r="Y21" s="442">
        <v>116</v>
      </c>
      <c r="Z21" s="442">
        <v>117</v>
      </c>
      <c r="AA21" s="442">
        <v>118</v>
      </c>
    </row>
    <row r="22" spans="1:27" ht="24.9" customHeight="1">
      <c r="A22" s="117">
        <f>IF(A21&lt;MAX(DiemHKII!$B$4:$B$58),A21+1,"")</f>
        <v>13</v>
      </c>
      <c r="B22" s="100" t="str">
        <f>IF($A22&lt;&gt;"",PROPER(INDEX(DiemHKII!$B$4:$T$58,MATCH(InPDBMHKII!$A22,DiemHKII!$B$4:$B$58,0),4)),"")</f>
        <v xml:space="preserve">Nguyễn Thị Thu </v>
      </c>
      <c r="C22" s="257" t="str">
        <f>IF($A22&lt;&gt;"",PROPER(INDEX(DiemHKII!$B$4:$T$58,MATCH(InPDBMHKII!$A22,DiemHKII!$B$4:$B$58,0),5)),"")</f>
        <v>Hiền</v>
      </c>
      <c r="D22" s="359" t="str">
        <f>IF($A22&lt;&gt;"",PROPER(INDEX(DiemHKII!$B$4:$T$58,MATCH(InPDBMHKII!$A22,DiemHKII!$B$4:$B$58,0),6)),"")</f>
        <v>20/05/2004</v>
      </c>
      <c r="E22" s="101" t="str">
        <f>IF($A22&lt;&gt;"",IF(INDEX(BDHK2,MATCH(InPDBMHKII!$A22,DiemHKII!$B$4:$B$58,0),INDEX($R$10:$AA$24,MATCH($D$6,$R$10:$R$24,0),S$9))&lt;&gt;"",INDEX(BDHK2,MATCH(InPDBMHKII!$A22,DiemHKII!$B$4:$B$58,0),INDEX($R$10:$AA$24,MATCH($D$6,$R$10:$R$24,0),S$9)),""),"")</f>
        <v/>
      </c>
      <c r="F22" s="102" t="str">
        <f>IF($A22&lt;&gt;"",IF(INDEX(BDHK2,MATCH(InPDBMHKII!$A22,DiemHKII!$B$4:$B$58,0),INDEX($R$10:$AA$24,MATCH($D$6,$R$10:$R$24,0),T$9))&lt;&gt;"",INDEX(BDHK2,MATCH(InPDBMHKII!$A22,DiemHKII!$B$4:$B$58,0),INDEX($R$10:$AA$24,MATCH($D$6,$R$10:$R$24,0),T$9)),""),"")</f>
        <v/>
      </c>
      <c r="G22" s="102" t="str">
        <f>IF($A22&lt;&gt;"",IF(INDEX(BDHK2,MATCH(InPDBMHKII!$A22,DiemHKII!$B$4:$B$58,0),INDEX($R$10:$AA$24,MATCH($D$6,$R$10:$R$24,0),U$9))&lt;&gt;"",INDEX(BDHK2,MATCH(InPDBMHKII!$A22,DiemHKII!$B$4:$B$58,0),INDEX($R$10:$AA$24,MATCH($D$6,$R$10:$R$24,0),U$9)),""),"")</f>
        <v/>
      </c>
      <c r="H22" s="419" t="str">
        <f>IF($A22&lt;&gt;"",IF(INDEX(BDHK2,MATCH(InPDBMHKII!$A22,DiemHKII!$B$4:$B$58,0),INDEX($R$10:$AA$24,MATCH($D$6,$R$10:$R$24,0),V$9))&lt;&gt;"",INDEX(BDHK2,MATCH(InPDBMHKII!$A22,DiemHKII!$B$4:$B$58,0),INDEX($R$10:$AA$24,MATCH($D$6,$R$10:$R$24,0),V$9)),""),"")</f>
        <v/>
      </c>
      <c r="I22" s="367" t="str">
        <f>IF($A22&lt;&gt;"",IF(INDEX(BDHK2,MATCH(InPDBMHKII!$A22,DiemHKII!$B$4:$B$58,0),INDEX($R$10:$AA$24,MATCH($D$6,$R$10:$R$24,0),W$9))&lt;&gt;"",INDEX(BDHK2,MATCH(InPDBMHKII!$A22,DiemHKII!$B$4:$B$58,0),INDEX($R$10:$AA$24,MATCH($D$6,$R$10:$R$24,0),W$9)),""),"")</f>
        <v/>
      </c>
      <c r="J22" s="104" t="str">
        <f>IF($A22&lt;&gt;"",IF(INDEX(BDHK2,MATCH(InPDBMHKII!$A22,DiemHKII!$B$4:$B$58,0),INDEX($R$10:$AA$24,MATCH($D$6,$R$10:$R$24,0),X$9))&lt;&gt;"",INDEX(BDHK2,MATCH(InPDBMHKII!$A22,DiemHKII!$B$4:$B$58,0),INDEX($R$10:$AA$24,MATCH($D$6,$R$10:$R$24,0),X$9)),""),"")</f>
        <v/>
      </c>
      <c r="K22" s="258">
        <f>IFERROR(IF($A22&lt;&gt;"",IF(INDEX(BDHK2,MATCH(InPDBMHKII!$A22,DiemHKII!$B$4:$B$58,0),INDEX($R$10:$AA$24,MATCH($D$6,$R$10:$R$24,0),Y$9))&lt;&gt;"",INDEX(BDHK2,MATCH(InPDBMHKII!$A22,DiemHKII!$B$4:$B$58,0),INDEX($R$10:$AA$24,MATCH($D$6,$R$10:$R$24,0),Y$9)),""),""),"")</f>
        <v>9.9</v>
      </c>
      <c r="L22" s="258" t="str">
        <f>IF($A22&lt;&gt;"",IF(INDEX(BDHK2,MATCH(InPDBMHKII!$A22,DiemHKII!$B$4:$B$58,0),INDEX($R$10:$AA$24,MATCH($D$6,$R$10:$R$24,0),Z$9))&lt;&gt;"",INDEX(BDHK2,MATCH(InPDBMHKII!$A22,DiemHKII!$B$4:$B$58,0),INDEX($R$10:$AA$24,MATCH($D$6,$R$10:$R$24,0),Z$9)),""),"")</f>
        <v/>
      </c>
      <c r="M22" s="258" t="str">
        <f>IF($A22&lt;&gt;"",IF(INDEX(BDHK2,MATCH(InPDBMHKII!$A22,DiemHKII!$B$4:$B$58,0),INDEX($R$10:$AA$24,MATCH($D$6,$R$10:$R$24,0),AA$9))&lt;&gt;"",INDEX(BDHK2,MATCH(InPDBMHKII!$A22,DiemHKII!$B$4:$B$58,0),INDEX($R$10:$AA$24,MATCH($D$6,$R$10:$R$24,0),AA$9)),""),"")</f>
        <v/>
      </c>
      <c r="N22" s="259"/>
      <c r="P22" s="251" t="str">
        <f t="shared" si="0"/>
        <v/>
      </c>
      <c r="R22" s="349" t="s">
        <v>121</v>
      </c>
      <c r="S22" s="442">
        <v>119</v>
      </c>
      <c r="T22" s="442">
        <v>120</v>
      </c>
      <c r="U22" s="442">
        <v>121</v>
      </c>
      <c r="V22" s="442">
        <v>122</v>
      </c>
      <c r="W22" s="442">
        <v>123</v>
      </c>
      <c r="X22" s="442">
        <v>124</v>
      </c>
      <c r="Y22" s="442">
        <v>125</v>
      </c>
      <c r="Z22" s="442">
        <v>126</v>
      </c>
      <c r="AA22" s="442">
        <v>127</v>
      </c>
    </row>
    <row r="23" spans="1:27" ht="24.9" customHeight="1">
      <c r="A23" s="117">
        <f>IF(A22&lt;MAX(DiemHKII!$B$4:$B$58),A22+1,"")</f>
        <v>14</v>
      </c>
      <c r="B23" s="100" t="str">
        <f>IF($A23&lt;&gt;"",PROPER(INDEX(DiemHKII!$B$4:$T$58,MATCH(InPDBMHKII!$A23,DiemHKII!$B$4:$B$58,0),4)),"")</f>
        <v>Lê Phan Ngọc</v>
      </c>
      <c r="C23" s="257" t="str">
        <f>IF($A23&lt;&gt;"",PROPER(INDEX(DiemHKII!$B$4:$T$58,MATCH(InPDBMHKII!$A23,DiemHKII!$B$4:$B$58,0),5)),"")</f>
        <v>Hiếu</v>
      </c>
      <c r="D23" s="359" t="str">
        <f>IF($A23&lt;&gt;"",PROPER(INDEX(DiemHKII!$B$4:$T$58,MATCH(InPDBMHKII!$A23,DiemHKII!$B$4:$B$58,0),6)),"")</f>
        <v>01/02/2004</v>
      </c>
      <c r="E23" s="101" t="str">
        <f>IF($A23&lt;&gt;"",IF(INDEX(BDHK2,MATCH(InPDBMHKII!$A23,DiemHKII!$B$4:$B$58,0),INDEX($R$10:$AA$24,MATCH($D$6,$R$10:$R$24,0),S$9))&lt;&gt;"",INDEX(BDHK2,MATCH(InPDBMHKII!$A23,DiemHKII!$B$4:$B$58,0),INDEX($R$10:$AA$24,MATCH($D$6,$R$10:$R$24,0),S$9)),""),"")</f>
        <v/>
      </c>
      <c r="F23" s="102" t="str">
        <f>IF($A23&lt;&gt;"",IF(INDEX(BDHK2,MATCH(InPDBMHKII!$A23,DiemHKII!$B$4:$B$58,0),INDEX($R$10:$AA$24,MATCH($D$6,$R$10:$R$24,0),T$9))&lt;&gt;"",INDEX(BDHK2,MATCH(InPDBMHKII!$A23,DiemHKII!$B$4:$B$58,0),INDEX($R$10:$AA$24,MATCH($D$6,$R$10:$R$24,0),T$9)),""),"")</f>
        <v/>
      </c>
      <c r="G23" s="102" t="str">
        <f>IF($A23&lt;&gt;"",IF(INDEX(BDHK2,MATCH(InPDBMHKII!$A23,DiemHKII!$B$4:$B$58,0),INDEX($R$10:$AA$24,MATCH($D$6,$R$10:$R$24,0),U$9))&lt;&gt;"",INDEX(BDHK2,MATCH(InPDBMHKII!$A23,DiemHKII!$B$4:$B$58,0),INDEX($R$10:$AA$24,MATCH($D$6,$R$10:$R$24,0),U$9)),""),"")</f>
        <v/>
      </c>
      <c r="H23" s="419" t="str">
        <f>IF($A23&lt;&gt;"",IF(INDEX(BDHK2,MATCH(InPDBMHKII!$A23,DiemHKII!$B$4:$B$58,0),INDEX($R$10:$AA$24,MATCH($D$6,$R$10:$R$24,0),V$9))&lt;&gt;"",INDEX(BDHK2,MATCH(InPDBMHKII!$A23,DiemHKII!$B$4:$B$58,0),INDEX($R$10:$AA$24,MATCH($D$6,$R$10:$R$24,0),V$9)),""),"")</f>
        <v/>
      </c>
      <c r="I23" s="367" t="str">
        <f>IF($A23&lt;&gt;"",IF(INDEX(BDHK2,MATCH(InPDBMHKII!$A23,DiemHKII!$B$4:$B$58,0),INDEX($R$10:$AA$24,MATCH($D$6,$R$10:$R$24,0),W$9))&lt;&gt;"",INDEX(BDHK2,MATCH(InPDBMHKII!$A23,DiemHKII!$B$4:$B$58,0),INDEX($R$10:$AA$24,MATCH($D$6,$R$10:$R$24,0),W$9)),""),"")</f>
        <v/>
      </c>
      <c r="J23" s="104" t="str">
        <f>IF($A23&lt;&gt;"",IF(INDEX(BDHK2,MATCH(InPDBMHKII!$A23,DiemHKII!$B$4:$B$58,0),INDEX($R$10:$AA$24,MATCH($D$6,$R$10:$R$24,0),X$9))&lt;&gt;"",INDEX(BDHK2,MATCH(InPDBMHKII!$A23,DiemHKII!$B$4:$B$58,0),INDEX($R$10:$AA$24,MATCH($D$6,$R$10:$R$24,0),X$9)),""),"")</f>
        <v/>
      </c>
      <c r="K23" s="258">
        <f>IFERROR(IF($A23&lt;&gt;"",IF(INDEX(BDHK2,MATCH(InPDBMHKII!$A23,DiemHKII!$B$4:$B$58,0),INDEX($R$10:$AA$24,MATCH($D$6,$R$10:$R$24,0),Y$9))&lt;&gt;"",INDEX(BDHK2,MATCH(InPDBMHKII!$A23,DiemHKII!$B$4:$B$58,0),INDEX($R$10:$AA$24,MATCH($D$6,$R$10:$R$24,0),Y$9)),""),""),"")</f>
        <v>9.9</v>
      </c>
      <c r="L23" s="258" t="str">
        <f>IF($A23&lt;&gt;"",IF(INDEX(BDHK2,MATCH(InPDBMHKII!$A23,DiemHKII!$B$4:$B$58,0),INDEX($R$10:$AA$24,MATCH($D$6,$R$10:$R$24,0),Z$9))&lt;&gt;"",INDEX(BDHK2,MATCH(InPDBMHKII!$A23,DiemHKII!$B$4:$B$58,0),INDEX($R$10:$AA$24,MATCH($D$6,$R$10:$R$24,0),Z$9)),""),"")</f>
        <v/>
      </c>
      <c r="M23" s="258" t="str">
        <f>IF($A23&lt;&gt;"",IF(INDEX(BDHK2,MATCH(InPDBMHKII!$A23,DiemHKII!$B$4:$B$58,0),INDEX($R$10:$AA$24,MATCH($D$6,$R$10:$R$24,0),AA$9))&lt;&gt;"",INDEX(BDHK2,MATCH(InPDBMHKII!$A23,DiemHKII!$B$4:$B$58,0),INDEX($R$10:$AA$24,MATCH($D$6,$R$10:$R$24,0),AA$9)),""),"")</f>
        <v/>
      </c>
      <c r="N23" s="259"/>
      <c r="P23" s="251" t="str">
        <f t="shared" si="0"/>
        <v/>
      </c>
      <c r="R23" s="349" t="s">
        <v>122</v>
      </c>
      <c r="S23" s="442">
        <v>128</v>
      </c>
      <c r="T23" s="442">
        <v>129</v>
      </c>
      <c r="U23" s="442">
        <v>130</v>
      </c>
      <c r="V23" s="442">
        <v>131</v>
      </c>
      <c r="W23" s="442">
        <v>132</v>
      </c>
      <c r="X23" s="442">
        <v>133</v>
      </c>
      <c r="Y23" s="442">
        <v>134</v>
      </c>
      <c r="Z23" s="442">
        <v>135</v>
      </c>
      <c r="AA23" s="442">
        <v>136</v>
      </c>
    </row>
    <row r="24" spans="1:27" ht="24.9" customHeight="1">
      <c r="A24" s="260">
        <f>IF(A23&lt;MAX(DiemHKII!$B$4:$B$58),A23+1,"")</f>
        <v>15</v>
      </c>
      <c r="B24" s="106" t="str">
        <f>IF($A24&lt;&gt;"",PROPER(INDEX(DiemHKII!$B$4:$T$58,MATCH(InPDBMHKII!$A24,DiemHKII!$B$4:$B$58,0),4)),"")</f>
        <v>Trần Hoàng</v>
      </c>
      <c r="C24" s="261" t="str">
        <f>IF($A24&lt;&gt;"",PROPER(INDEX(DiemHKII!$B$4:$T$58,MATCH(InPDBMHKII!$A24,DiemHKII!$B$4:$B$58,0),5)),"")</f>
        <v>Hưng</v>
      </c>
      <c r="D24" s="360" t="str">
        <f>IF($A24&lt;&gt;"",PROPER(INDEX(DiemHKII!$B$4:$T$58,MATCH(InPDBMHKII!$A24,DiemHKII!$B$4:$B$58,0),6)),"")</f>
        <v>11/06/2004</v>
      </c>
      <c r="E24" s="107" t="str">
        <f>IF($A24&lt;&gt;"",IF(INDEX(BDHK2,MATCH(InPDBMHKII!$A24,DiemHKII!$B$4:$B$58,0),INDEX($R$10:$AA$24,MATCH($D$6,$R$10:$R$24,0),S$9))&lt;&gt;"",INDEX(BDHK2,MATCH(InPDBMHKII!$A24,DiemHKII!$B$4:$B$58,0),INDEX($R$10:$AA$24,MATCH($D$6,$R$10:$R$24,0),S$9)),""),"")</f>
        <v/>
      </c>
      <c r="F24" s="108" t="str">
        <f>IF($A24&lt;&gt;"",IF(INDEX(BDHK2,MATCH(InPDBMHKII!$A24,DiemHKII!$B$4:$B$58,0),INDEX($R$10:$AA$24,MATCH($D$6,$R$10:$R$24,0),T$9))&lt;&gt;"",INDEX(BDHK2,MATCH(InPDBMHKII!$A24,DiemHKII!$B$4:$B$58,0),INDEX($R$10:$AA$24,MATCH($D$6,$R$10:$R$24,0),T$9)),""),"")</f>
        <v/>
      </c>
      <c r="G24" s="108" t="str">
        <f>IF($A24&lt;&gt;"",IF(INDEX(BDHK2,MATCH(InPDBMHKII!$A24,DiemHKII!$B$4:$B$58,0),INDEX($R$10:$AA$24,MATCH($D$6,$R$10:$R$24,0),U$9))&lt;&gt;"",INDEX(BDHK2,MATCH(InPDBMHKII!$A24,DiemHKII!$B$4:$B$58,0),INDEX($R$10:$AA$24,MATCH($D$6,$R$10:$R$24,0),U$9)),""),"")</f>
        <v/>
      </c>
      <c r="H24" s="420" t="str">
        <f>IF($A24&lt;&gt;"",IF(INDEX(BDHK2,MATCH(InPDBMHKII!$A24,DiemHKII!$B$4:$B$58,0),INDEX($R$10:$AA$24,MATCH($D$6,$R$10:$R$24,0),V$9))&lt;&gt;"",INDEX(BDHK2,MATCH(InPDBMHKII!$A24,DiemHKII!$B$4:$B$58,0),INDEX($R$10:$AA$24,MATCH($D$6,$R$10:$R$24,0),V$9)),""),"")</f>
        <v/>
      </c>
      <c r="I24" s="368" t="str">
        <f>IF($A24&lt;&gt;"",IF(INDEX(BDHK2,MATCH(InPDBMHKII!$A24,DiemHKII!$B$4:$B$58,0),INDEX($R$10:$AA$24,MATCH($D$6,$R$10:$R$24,0),W$9))&lt;&gt;"",INDEX(BDHK2,MATCH(InPDBMHKII!$A24,DiemHKII!$B$4:$B$58,0),INDEX($R$10:$AA$24,MATCH($D$6,$R$10:$R$24,0),W$9)),""),"")</f>
        <v/>
      </c>
      <c r="J24" s="110" t="str">
        <f>IF($A24&lt;&gt;"",IF(INDEX(BDHK2,MATCH(InPDBMHKII!$A24,DiemHKII!$B$4:$B$58,0),INDEX($R$10:$AA$24,MATCH($D$6,$R$10:$R$24,0),X$9))&lt;&gt;"",INDEX(BDHK2,MATCH(InPDBMHKII!$A24,DiemHKII!$B$4:$B$58,0),INDEX($R$10:$AA$24,MATCH($D$6,$R$10:$R$24,0),X$9)),""),"")</f>
        <v/>
      </c>
      <c r="K24" s="262">
        <f>IFERROR(IF($A24&lt;&gt;"",IF(INDEX(BDHK2,MATCH(InPDBMHKII!$A24,DiemHKII!$B$4:$B$58,0),INDEX($R$10:$AA$24,MATCH($D$6,$R$10:$R$24,0),Y$9))&lt;&gt;"",INDEX(BDHK2,MATCH(InPDBMHKII!$A24,DiemHKII!$B$4:$B$58,0),INDEX($R$10:$AA$24,MATCH($D$6,$R$10:$R$24,0),Y$9)),""),""),"")</f>
        <v>9.8000000000000007</v>
      </c>
      <c r="L24" s="262" t="str">
        <f>IF($A24&lt;&gt;"",IF(INDEX(BDHK2,MATCH(InPDBMHKII!$A24,DiemHKII!$B$4:$B$58,0),INDEX($R$10:$AA$24,MATCH($D$6,$R$10:$R$24,0),Z$9))&lt;&gt;"",INDEX(BDHK2,MATCH(InPDBMHKII!$A24,DiemHKII!$B$4:$B$58,0),INDEX($R$10:$AA$24,MATCH($D$6,$R$10:$R$24,0),Z$9)),""),"")</f>
        <v/>
      </c>
      <c r="M24" s="262" t="str">
        <f>IF($A24&lt;&gt;"",IF(INDEX(BDHK2,MATCH(InPDBMHKII!$A24,DiemHKII!$B$4:$B$58,0),INDEX($R$10:$AA$24,MATCH($D$6,$R$10:$R$24,0),AA$9))&lt;&gt;"",INDEX(BDHK2,MATCH(InPDBMHKII!$A24,DiemHKII!$B$4:$B$58,0),INDEX($R$10:$AA$24,MATCH($D$6,$R$10:$R$24,0),AA$9)),""),"")</f>
        <v/>
      </c>
      <c r="N24" s="263"/>
      <c r="P24" s="251" t="str">
        <f t="shared" si="0"/>
        <v/>
      </c>
      <c r="R24" s="349" t="s">
        <v>247</v>
      </c>
      <c r="S24" s="442">
        <v>137</v>
      </c>
      <c r="T24" s="442">
        <v>138</v>
      </c>
      <c r="U24" s="442">
        <v>139</v>
      </c>
      <c r="V24" s="442">
        <v>140</v>
      </c>
    </row>
    <row r="25" spans="1:27" ht="24.9" customHeight="1">
      <c r="A25" s="264">
        <f>IF(A24&lt;MAX(DiemHKII!$B$4:$B$58),A24+1,"")</f>
        <v>16</v>
      </c>
      <c r="B25" s="112" t="str">
        <f>IF($A25&lt;&gt;"",PROPER(INDEX(DiemHKII!$B$4:$T$58,MATCH(InPDBMHKII!$A25,DiemHKII!$B$4:$B$58,0),4)),"")</f>
        <v>Trần Đăng</v>
      </c>
      <c r="C25" s="265" t="str">
        <f>IF($A25&lt;&gt;"",PROPER(INDEX(DiemHKII!$B$4:$T$58,MATCH(InPDBMHKII!$A25,DiemHKII!$B$4:$B$58,0),5)),"")</f>
        <v>Khải</v>
      </c>
      <c r="D25" s="361" t="str">
        <f>IF($A25&lt;&gt;"",PROPER(INDEX(DiemHKII!$B$4:$T$58,MATCH(InPDBMHKII!$A25,DiemHKII!$B$4:$B$58,0),6)),"")</f>
        <v>22/04/2004</v>
      </c>
      <c r="E25" s="113" t="str">
        <f>IF($A25&lt;&gt;"",IF(INDEX(BDHK2,MATCH(InPDBMHKII!$A25,DiemHKII!$B$4:$B$58,0),INDEX($R$10:$AA$24,MATCH($D$6,$R$10:$R$24,0),S$9))&lt;&gt;"",INDEX(BDHK2,MATCH(InPDBMHKII!$A25,DiemHKII!$B$4:$B$58,0),INDEX($R$10:$AA$24,MATCH($D$6,$R$10:$R$24,0),S$9)),""),"")</f>
        <v/>
      </c>
      <c r="F25" s="114" t="str">
        <f>IF($A25&lt;&gt;"",IF(INDEX(BDHK2,MATCH(InPDBMHKII!$A25,DiemHKII!$B$4:$B$58,0),INDEX($R$10:$AA$24,MATCH($D$6,$R$10:$R$24,0),T$9))&lt;&gt;"",INDEX(BDHK2,MATCH(InPDBMHKII!$A25,DiemHKII!$B$4:$B$58,0),INDEX($R$10:$AA$24,MATCH($D$6,$R$10:$R$24,0),T$9)),""),"")</f>
        <v/>
      </c>
      <c r="G25" s="114" t="str">
        <f>IF($A25&lt;&gt;"",IF(INDEX(BDHK2,MATCH(InPDBMHKII!$A25,DiemHKII!$B$4:$B$58,0),INDEX($R$10:$AA$24,MATCH($D$6,$R$10:$R$24,0),U$9))&lt;&gt;"",INDEX(BDHK2,MATCH(InPDBMHKII!$A25,DiemHKII!$B$4:$B$58,0),INDEX($R$10:$AA$24,MATCH($D$6,$R$10:$R$24,0),U$9)),""),"")</f>
        <v/>
      </c>
      <c r="H25" s="421" t="str">
        <f>IF($A25&lt;&gt;"",IF(INDEX(BDHK2,MATCH(InPDBMHKII!$A25,DiemHKII!$B$4:$B$58,0),INDEX($R$10:$AA$24,MATCH($D$6,$R$10:$R$24,0),V$9))&lt;&gt;"",INDEX(BDHK2,MATCH(InPDBMHKII!$A25,DiemHKII!$B$4:$B$58,0),INDEX($R$10:$AA$24,MATCH($D$6,$R$10:$R$24,0),V$9)),""),"")</f>
        <v/>
      </c>
      <c r="I25" s="369" t="str">
        <f>IF($A25&lt;&gt;"",IF(INDEX(BDHK2,MATCH(InPDBMHKII!$A25,DiemHKII!$B$4:$B$58,0),INDEX($R$10:$AA$24,MATCH($D$6,$R$10:$R$24,0),W$9))&lt;&gt;"",INDEX(BDHK2,MATCH(InPDBMHKII!$A25,DiemHKII!$B$4:$B$58,0),INDEX($R$10:$AA$24,MATCH($D$6,$R$10:$R$24,0),W$9)),""),"")</f>
        <v/>
      </c>
      <c r="J25" s="116" t="str">
        <f>IF($A25&lt;&gt;"",IF(INDEX(BDHK2,MATCH(InPDBMHKII!$A25,DiemHKII!$B$4:$B$58,0),INDEX($R$10:$AA$24,MATCH($D$6,$R$10:$R$24,0),X$9))&lt;&gt;"",INDEX(BDHK2,MATCH(InPDBMHKII!$A25,DiemHKII!$B$4:$B$58,0),INDEX($R$10:$AA$24,MATCH($D$6,$R$10:$R$24,0),X$9)),""),"")</f>
        <v/>
      </c>
      <c r="K25" s="255">
        <f>IFERROR(IF($A25&lt;&gt;"",IF(INDEX(BDHK2,MATCH(InPDBMHKII!$A25,DiemHKII!$B$4:$B$58,0),INDEX($R$10:$AA$24,MATCH($D$6,$R$10:$R$24,0),Y$9))&lt;&gt;"",INDEX(BDHK2,MATCH(InPDBMHKII!$A25,DiemHKII!$B$4:$B$58,0),INDEX($R$10:$AA$24,MATCH($D$6,$R$10:$R$24,0),Y$9)),""),""),"")</f>
        <v>9.4</v>
      </c>
      <c r="L25" s="255" t="str">
        <f>IF($A25&lt;&gt;"",IF(INDEX(BDHK2,MATCH(InPDBMHKII!$A25,DiemHKII!$B$4:$B$58,0),INDEX($R$10:$AA$24,MATCH($D$6,$R$10:$R$24,0),Z$9))&lt;&gt;"",INDEX(BDHK2,MATCH(InPDBMHKII!$A25,DiemHKII!$B$4:$B$58,0),INDEX($R$10:$AA$24,MATCH($D$6,$R$10:$R$24,0),Z$9)),""),"")</f>
        <v/>
      </c>
      <c r="M25" s="255" t="str">
        <f>IF($A25&lt;&gt;"",IF(INDEX(BDHK2,MATCH(InPDBMHKII!$A25,DiemHKII!$B$4:$B$58,0),INDEX($R$10:$AA$24,MATCH($D$6,$R$10:$R$24,0),AA$9))&lt;&gt;"",INDEX(BDHK2,MATCH(InPDBMHKII!$A25,DiemHKII!$B$4:$B$58,0),INDEX($R$10:$AA$24,MATCH($D$6,$R$10:$R$24,0),AA$9)),""),"")</f>
        <v/>
      </c>
      <c r="N25" s="256"/>
      <c r="P25" s="251" t="str">
        <f t="shared" si="0"/>
        <v/>
      </c>
    </row>
    <row r="26" spans="1:27" ht="24.9" customHeight="1">
      <c r="A26" s="117">
        <f>IF(A25&lt;MAX(DiemHKII!$B$4:$B$58),A25+1,"")</f>
        <v>17</v>
      </c>
      <c r="B26" s="100" t="str">
        <f>IF($A26&lt;&gt;"",PROPER(INDEX(DiemHKII!$B$4:$T$58,MATCH(InPDBMHKII!$A26,DiemHKII!$B$4:$B$58,0),4)),"")</f>
        <v>Nguyễn Huỳnh Phúc</v>
      </c>
      <c r="C26" s="257" t="str">
        <f>IF($A26&lt;&gt;"",PROPER(INDEX(DiemHKII!$B$4:$T$58,MATCH(InPDBMHKII!$A26,DiemHKII!$B$4:$B$58,0),5)),"")</f>
        <v>Khang</v>
      </c>
      <c r="D26" s="359" t="str">
        <f>IF($A26&lt;&gt;"",PROPER(INDEX(DiemHKII!$B$4:$T$58,MATCH(InPDBMHKII!$A26,DiemHKII!$B$4:$B$58,0),6)),"")</f>
        <v>14/12/2004</v>
      </c>
      <c r="E26" s="101" t="str">
        <f>IF($A26&lt;&gt;"",IF(INDEX(BDHK2,MATCH(InPDBMHKII!$A26,DiemHKII!$B$4:$B$58,0),INDEX($R$10:$AA$24,MATCH($D$6,$R$10:$R$24,0),S$9))&lt;&gt;"",INDEX(BDHK2,MATCH(InPDBMHKII!$A26,DiemHKII!$B$4:$B$58,0),INDEX($R$10:$AA$24,MATCH($D$6,$R$10:$R$24,0),S$9)),""),"")</f>
        <v/>
      </c>
      <c r="F26" s="102" t="str">
        <f>IF($A26&lt;&gt;"",IF(INDEX(BDHK2,MATCH(InPDBMHKII!$A26,DiemHKII!$B$4:$B$58,0),INDEX($R$10:$AA$24,MATCH($D$6,$R$10:$R$24,0),T$9))&lt;&gt;"",INDEX(BDHK2,MATCH(InPDBMHKII!$A26,DiemHKII!$B$4:$B$58,0),INDEX($R$10:$AA$24,MATCH($D$6,$R$10:$R$24,0),T$9)),""),"")</f>
        <v/>
      </c>
      <c r="G26" s="102" t="str">
        <f>IF($A26&lt;&gt;"",IF(INDEX(BDHK2,MATCH(InPDBMHKII!$A26,DiemHKII!$B$4:$B$58,0),INDEX($R$10:$AA$24,MATCH($D$6,$R$10:$R$24,0),U$9))&lt;&gt;"",INDEX(BDHK2,MATCH(InPDBMHKII!$A26,DiemHKII!$B$4:$B$58,0),INDEX($R$10:$AA$24,MATCH($D$6,$R$10:$R$24,0),U$9)),""),"")</f>
        <v/>
      </c>
      <c r="H26" s="419" t="str">
        <f>IF($A26&lt;&gt;"",IF(INDEX(BDHK2,MATCH(InPDBMHKII!$A26,DiemHKII!$B$4:$B$58,0),INDEX($R$10:$AA$24,MATCH($D$6,$R$10:$R$24,0),V$9))&lt;&gt;"",INDEX(BDHK2,MATCH(InPDBMHKII!$A26,DiemHKII!$B$4:$B$58,0),INDEX($R$10:$AA$24,MATCH($D$6,$R$10:$R$24,0),V$9)),""),"")</f>
        <v/>
      </c>
      <c r="I26" s="367" t="str">
        <f>IF($A26&lt;&gt;"",IF(INDEX(BDHK2,MATCH(InPDBMHKII!$A26,DiemHKII!$B$4:$B$58,0),INDEX($R$10:$AA$24,MATCH($D$6,$R$10:$R$24,0),W$9))&lt;&gt;"",INDEX(BDHK2,MATCH(InPDBMHKII!$A26,DiemHKII!$B$4:$B$58,0),INDEX($R$10:$AA$24,MATCH($D$6,$R$10:$R$24,0),W$9)),""),"")</f>
        <v/>
      </c>
      <c r="J26" s="104" t="str">
        <f>IF($A26&lt;&gt;"",IF(INDEX(BDHK2,MATCH(InPDBMHKII!$A26,DiemHKII!$B$4:$B$58,0),INDEX($R$10:$AA$24,MATCH($D$6,$R$10:$R$24,0),X$9))&lt;&gt;"",INDEX(BDHK2,MATCH(InPDBMHKII!$A26,DiemHKII!$B$4:$B$58,0),INDEX($R$10:$AA$24,MATCH($D$6,$R$10:$R$24,0),X$9)),""),"")</f>
        <v/>
      </c>
      <c r="K26" s="258">
        <f>IFERROR(IF($A26&lt;&gt;"",IF(INDEX(BDHK2,MATCH(InPDBMHKII!$A26,DiemHKII!$B$4:$B$58,0),INDEX($R$10:$AA$24,MATCH($D$6,$R$10:$R$24,0),Y$9))&lt;&gt;"",INDEX(BDHK2,MATCH(InPDBMHKII!$A26,DiemHKII!$B$4:$B$58,0),INDEX($R$10:$AA$24,MATCH($D$6,$R$10:$R$24,0),Y$9)),""),""),"")</f>
        <v>9.3000000000000007</v>
      </c>
      <c r="L26" s="258" t="str">
        <f>IF($A26&lt;&gt;"",IF(INDEX(BDHK2,MATCH(InPDBMHKII!$A26,DiemHKII!$B$4:$B$58,0),INDEX($R$10:$AA$24,MATCH($D$6,$R$10:$R$24,0),Z$9))&lt;&gt;"",INDEX(BDHK2,MATCH(InPDBMHKII!$A26,DiemHKII!$B$4:$B$58,0),INDEX($R$10:$AA$24,MATCH($D$6,$R$10:$R$24,0),Z$9)),""),"")</f>
        <v/>
      </c>
      <c r="M26" s="258" t="str">
        <f>IF($A26&lt;&gt;"",IF(INDEX(BDHK2,MATCH(InPDBMHKII!$A26,DiemHKII!$B$4:$B$58,0),INDEX($R$10:$AA$24,MATCH($D$6,$R$10:$R$24,0),AA$9))&lt;&gt;"",INDEX(BDHK2,MATCH(InPDBMHKII!$A26,DiemHKII!$B$4:$B$58,0),INDEX($R$10:$AA$24,MATCH($D$6,$R$10:$R$24,0),AA$9)),""),"")</f>
        <v/>
      </c>
      <c r="N26" s="259"/>
      <c r="P26" s="251" t="str">
        <f t="shared" si="0"/>
        <v/>
      </c>
    </row>
    <row r="27" spans="1:27" ht="24.9" customHeight="1">
      <c r="A27" s="117">
        <f>IF(A26&lt;MAX(DiemHKII!$B$4:$B$58),A26+1,"")</f>
        <v>18</v>
      </c>
      <c r="B27" s="100" t="str">
        <f>IF($A27&lt;&gt;"",PROPER(INDEX(DiemHKII!$B$4:$T$58,MATCH(InPDBMHKII!$A27,DiemHKII!$B$4:$B$58,0),4)),"")</f>
        <v>Nguyễn Đăng</v>
      </c>
      <c r="C27" s="257" t="str">
        <f>IF($A27&lt;&gt;"",PROPER(INDEX(DiemHKII!$B$4:$T$58,MATCH(InPDBMHKII!$A27,DiemHKII!$B$4:$B$58,0),5)),"")</f>
        <v>Khoa</v>
      </c>
      <c r="D27" s="359" t="str">
        <f>IF($A27&lt;&gt;"",PROPER(INDEX(DiemHKII!$B$4:$T$58,MATCH(InPDBMHKII!$A27,DiemHKII!$B$4:$B$58,0),6)),"")</f>
        <v>07/11/2004</v>
      </c>
      <c r="E27" s="101" t="str">
        <f>IF($A27&lt;&gt;"",IF(INDEX(BDHK2,MATCH(InPDBMHKII!$A27,DiemHKII!$B$4:$B$58,0),INDEX($R$10:$AA$24,MATCH($D$6,$R$10:$R$24,0),S$9))&lt;&gt;"",INDEX(BDHK2,MATCH(InPDBMHKII!$A27,DiemHKII!$B$4:$B$58,0),INDEX($R$10:$AA$24,MATCH($D$6,$R$10:$R$24,0),S$9)),""),"")</f>
        <v/>
      </c>
      <c r="F27" s="102" t="str">
        <f>IF($A27&lt;&gt;"",IF(INDEX(BDHK2,MATCH(InPDBMHKII!$A27,DiemHKII!$B$4:$B$58,0),INDEX($R$10:$AA$24,MATCH($D$6,$R$10:$R$24,0),T$9))&lt;&gt;"",INDEX(BDHK2,MATCH(InPDBMHKII!$A27,DiemHKII!$B$4:$B$58,0),INDEX($R$10:$AA$24,MATCH($D$6,$R$10:$R$24,0),T$9)),""),"")</f>
        <v/>
      </c>
      <c r="G27" s="102" t="str">
        <f>IF($A27&lt;&gt;"",IF(INDEX(BDHK2,MATCH(InPDBMHKII!$A27,DiemHKII!$B$4:$B$58,0),INDEX($R$10:$AA$24,MATCH($D$6,$R$10:$R$24,0),U$9))&lt;&gt;"",INDEX(BDHK2,MATCH(InPDBMHKII!$A27,DiemHKII!$B$4:$B$58,0),INDEX($R$10:$AA$24,MATCH($D$6,$R$10:$R$24,0),U$9)),""),"")</f>
        <v/>
      </c>
      <c r="H27" s="419" t="str">
        <f>IF($A27&lt;&gt;"",IF(INDEX(BDHK2,MATCH(InPDBMHKII!$A27,DiemHKII!$B$4:$B$58,0),INDEX($R$10:$AA$24,MATCH($D$6,$R$10:$R$24,0),V$9))&lt;&gt;"",INDEX(BDHK2,MATCH(InPDBMHKII!$A27,DiemHKII!$B$4:$B$58,0),INDEX($R$10:$AA$24,MATCH($D$6,$R$10:$R$24,0),V$9)),""),"")</f>
        <v/>
      </c>
      <c r="I27" s="367" t="str">
        <f>IF($A27&lt;&gt;"",IF(INDEX(BDHK2,MATCH(InPDBMHKII!$A27,DiemHKII!$B$4:$B$58,0),INDEX($R$10:$AA$24,MATCH($D$6,$R$10:$R$24,0),W$9))&lt;&gt;"",INDEX(BDHK2,MATCH(InPDBMHKII!$A27,DiemHKII!$B$4:$B$58,0),INDEX($R$10:$AA$24,MATCH($D$6,$R$10:$R$24,0),W$9)),""),"")</f>
        <v/>
      </c>
      <c r="J27" s="104" t="str">
        <f>IF($A27&lt;&gt;"",IF(INDEX(BDHK2,MATCH(InPDBMHKII!$A27,DiemHKII!$B$4:$B$58,0),INDEX($R$10:$AA$24,MATCH($D$6,$R$10:$R$24,0),X$9))&lt;&gt;"",INDEX(BDHK2,MATCH(InPDBMHKII!$A27,DiemHKII!$B$4:$B$58,0),INDEX($R$10:$AA$24,MATCH($D$6,$R$10:$R$24,0),X$9)),""),"")</f>
        <v/>
      </c>
      <c r="K27" s="258">
        <f>IFERROR(IF($A27&lt;&gt;"",IF(INDEX(BDHK2,MATCH(InPDBMHKII!$A27,DiemHKII!$B$4:$B$58,0),INDEX($R$10:$AA$24,MATCH($D$6,$R$10:$R$24,0),Y$9))&lt;&gt;"",INDEX(BDHK2,MATCH(InPDBMHKII!$A27,DiemHKII!$B$4:$B$58,0),INDEX($R$10:$AA$24,MATCH($D$6,$R$10:$R$24,0),Y$9)),""),""),"")</f>
        <v>10</v>
      </c>
      <c r="L27" s="258" t="str">
        <f>IF($A27&lt;&gt;"",IF(INDEX(BDHK2,MATCH(InPDBMHKII!$A27,DiemHKII!$B$4:$B$58,0),INDEX($R$10:$AA$24,MATCH($D$6,$R$10:$R$24,0),Z$9))&lt;&gt;"",INDEX(BDHK2,MATCH(InPDBMHKII!$A27,DiemHKII!$B$4:$B$58,0),INDEX($R$10:$AA$24,MATCH($D$6,$R$10:$R$24,0),Z$9)),""),"")</f>
        <v/>
      </c>
      <c r="M27" s="258" t="str">
        <f>IF($A27&lt;&gt;"",IF(INDEX(BDHK2,MATCH(InPDBMHKII!$A27,DiemHKII!$B$4:$B$58,0),INDEX($R$10:$AA$24,MATCH($D$6,$R$10:$R$24,0),AA$9))&lt;&gt;"",INDEX(BDHK2,MATCH(InPDBMHKII!$A27,DiemHKII!$B$4:$B$58,0),INDEX($R$10:$AA$24,MATCH($D$6,$R$10:$R$24,0),AA$9)),""),"")</f>
        <v/>
      </c>
      <c r="N27" s="259"/>
      <c r="P27" s="251" t="str">
        <f t="shared" si="0"/>
        <v/>
      </c>
    </row>
    <row r="28" spans="1:27" ht="24.9" customHeight="1">
      <c r="A28" s="117">
        <f>IF(A27&lt;MAX(DiemHKII!$B$4:$B$58),A27+1,"")</f>
        <v>19</v>
      </c>
      <c r="B28" s="100" t="str">
        <f>IF($A28&lt;&gt;"",PROPER(INDEX(DiemHKII!$B$4:$T$58,MATCH(InPDBMHKII!$A28,DiemHKII!$B$4:$B$58,0),4)),"")</f>
        <v>Lê Tiến</v>
      </c>
      <c r="C28" s="257" t="str">
        <f>IF($A28&lt;&gt;"",PROPER(INDEX(DiemHKII!$B$4:$T$58,MATCH(InPDBMHKII!$A28,DiemHKII!$B$4:$B$58,0),5)),"")</f>
        <v>Khôi</v>
      </c>
      <c r="D28" s="359" t="str">
        <f>IF($A28&lt;&gt;"",PROPER(INDEX(DiemHKII!$B$4:$T$58,MATCH(InPDBMHKII!$A28,DiemHKII!$B$4:$B$58,0),6)),"")</f>
        <v>14/10/2004</v>
      </c>
      <c r="E28" s="101" t="str">
        <f>IF($A28&lt;&gt;"",IF(INDEX(BDHK2,MATCH(InPDBMHKII!$A28,DiemHKII!$B$4:$B$58,0),INDEX($R$10:$AA$24,MATCH($D$6,$R$10:$R$24,0),S$9))&lt;&gt;"",INDEX(BDHK2,MATCH(InPDBMHKII!$A28,DiemHKII!$B$4:$B$58,0),INDEX($R$10:$AA$24,MATCH($D$6,$R$10:$R$24,0),S$9)),""),"")</f>
        <v/>
      </c>
      <c r="F28" s="102" t="str">
        <f>IF($A28&lt;&gt;"",IF(INDEX(BDHK2,MATCH(InPDBMHKII!$A28,DiemHKII!$B$4:$B$58,0),INDEX($R$10:$AA$24,MATCH($D$6,$R$10:$R$24,0),T$9))&lt;&gt;"",INDEX(BDHK2,MATCH(InPDBMHKII!$A28,DiemHKII!$B$4:$B$58,0),INDEX($R$10:$AA$24,MATCH($D$6,$R$10:$R$24,0),T$9)),""),"")</f>
        <v/>
      </c>
      <c r="G28" s="102" t="str">
        <f>IF($A28&lt;&gt;"",IF(INDEX(BDHK2,MATCH(InPDBMHKII!$A28,DiemHKII!$B$4:$B$58,0),INDEX($R$10:$AA$24,MATCH($D$6,$R$10:$R$24,0),U$9))&lt;&gt;"",INDEX(BDHK2,MATCH(InPDBMHKII!$A28,DiemHKII!$B$4:$B$58,0),INDEX($R$10:$AA$24,MATCH($D$6,$R$10:$R$24,0),U$9)),""),"")</f>
        <v/>
      </c>
      <c r="H28" s="419" t="str">
        <f>IF($A28&lt;&gt;"",IF(INDEX(BDHK2,MATCH(InPDBMHKII!$A28,DiemHKII!$B$4:$B$58,0),INDEX($R$10:$AA$24,MATCH($D$6,$R$10:$R$24,0),V$9))&lt;&gt;"",INDEX(BDHK2,MATCH(InPDBMHKII!$A28,DiemHKII!$B$4:$B$58,0),INDEX($R$10:$AA$24,MATCH($D$6,$R$10:$R$24,0),V$9)),""),"")</f>
        <v/>
      </c>
      <c r="I28" s="367" t="str">
        <f>IF($A28&lt;&gt;"",IF(INDEX(BDHK2,MATCH(InPDBMHKII!$A28,DiemHKII!$B$4:$B$58,0),INDEX($R$10:$AA$24,MATCH($D$6,$R$10:$R$24,0),W$9))&lt;&gt;"",INDEX(BDHK2,MATCH(InPDBMHKII!$A28,DiemHKII!$B$4:$B$58,0),INDEX($R$10:$AA$24,MATCH($D$6,$R$10:$R$24,0),W$9)),""),"")</f>
        <v/>
      </c>
      <c r="J28" s="104" t="str">
        <f>IF($A28&lt;&gt;"",IF(INDEX(BDHK2,MATCH(InPDBMHKII!$A28,DiemHKII!$B$4:$B$58,0),INDEX($R$10:$AA$24,MATCH($D$6,$R$10:$R$24,0),X$9))&lt;&gt;"",INDEX(BDHK2,MATCH(InPDBMHKII!$A28,DiemHKII!$B$4:$B$58,0),INDEX($R$10:$AA$24,MATCH($D$6,$R$10:$R$24,0),X$9)),""),"")</f>
        <v/>
      </c>
      <c r="K28" s="258">
        <f>IFERROR(IF($A28&lt;&gt;"",IF(INDEX(BDHK2,MATCH(InPDBMHKII!$A28,DiemHKII!$B$4:$B$58,0),INDEX($R$10:$AA$24,MATCH($D$6,$R$10:$R$24,0),Y$9))&lt;&gt;"",INDEX(BDHK2,MATCH(InPDBMHKII!$A28,DiemHKII!$B$4:$B$58,0),INDEX($R$10:$AA$24,MATCH($D$6,$R$10:$R$24,0),Y$9)),""),""),"")</f>
        <v>10</v>
      </c>
      <c r="L28" s="258" t="str">
        <f>IF($A28&lt;&gt;"",IF(INDEX(BDHK2,MATCH(InPDBMHKII!$A28,DiemHKII!$B$4:$B$58,0),INDEX($R$10:$AA$24,MATCH($D$6,$R$10:$R$24,0),Z$9))&lt;&gt;"",INDEX(BDHK2,MATCH(InPDBMHKII!$A28,DiemHKII!$B$4:$B$58,0),INDEX($R$10:$AA$24,MATCH($D$6,$R$10:$R$24,0),Z$9)),""),"")</f>
        <v/>
      </c>
      <c r="M28" s="258" t="str">
        <f>IF($A28&lt;&gt;"",IF(INDEX(BDHK2,MATCH(InPDBMHKII!$A28,DiemHKII!$B$4:$B$58,0),INDEX($R$10:$AA$24,MATCH($D$6,$R$10:$R$24,0),AA$9))&lt;&gt;"",INDEX(BDHK2,MATCH(InPDBMHKII!$A28,DiemHKII!$B$4:$B$58,0),INDEX($R$10:$AA$24,MATCH($D$6,$R$10:$R$24,0),AA$9)),""),"")</f>
        <v/>
      </c>
      <c r="N28" s="259"/>
      <c r="P28" s="251" t="str">
        <f t="shared" si="0"/>
        <v/>
      </c>
    </row>
    <row r="29" spans="1:27" ht="24.9" customHeight="1">
      <c r="A29" s="260">
        <f>IF(A28&lt;MAX(DiemHKII!$B$4:$B$58),A28+1,"")</f>
        <v>20</v>
      </c>
      <c r="B29" s="106" t="str">
        <f>IF($A29&lt;&gt;"",PROPER(INDEX(DiemHKII!$B$4:$T$58,MATCH(InPDBMHKII!$A29,DiemHKII!$B$4:$B$58,0),4)),"")</f>
        <v>Nguyễn Phúc</v>
      </c>
      <c r="C29" s="261" t="str">
        <f>IF($A29&lt;&gt;"",PROPER(INDEX(DiemHKII!$B$4:$T$58,MATCH(InPDBMHKII!$A29,DiemHKII!$B$4:$B$58,0),5)),"")</f>
        <v>Lâm</v>
      </c>
      <c r="D29" s="360" t="str">
        <f>IF($A29&lt;&gt;"",PROPER(INDEX(DiemHKII!$B$4:$T$58,MATCH(InPDBMHKII!$A29,DiemHKII!$B$4:$B$58,0),6)),"")</f>
        <v>02/04/2004</v>
      </c>
      <c r="E29" s="107" t="str">
        <f>IF($A29&lt;&gt;"",IF(INDEX(BDHK2,MATCH(InPDBMHKII!$A29,DiemHKII!$B$4:$B$58,0),INDEX($R$10:$AA$24,MATCH($D$6,$R$10:$R$24,0),S$9))&lt;&gt;"",INDEX(BDHK2,MATCH(InPDBMHKII!$A29,DiemHKII!$B$4:$B$58,0),INDEX($R$10:$AA$24,MATCH($D$6,$R$10:$R$24,0),S$9)),""),"")</f>
        <v/>
      </c>
      <c r="F29" s="108" t="str">
        <f>IF($A29&lt;&gt;"",IF(INDEX(BDHK2,MATCH(InPDBMHKII!$A29,DiemHKII!$B$4:$B$58,0),INDEX($R$10:$AA$24,MATCH($D$6,$R$10:$R$24,0),T$9))&lt;&gt;"",INDEX(BDHK2,MATCH(InPDBMHKII!$A29,DiemHKII!$B$4:$B$58,0),INDEX($R$10:$AA$24,MATCH($D$6,$R$10:$R$24,0),T$9)),""),"")</f>
        <v/>
      </c>
      <c r="G29" s="108" t="str">
        <f>IF($A29&lt;&gt;"",IF(INDEX(BDHK2,MATCH(InPDBMHKII!$A29,DiemHKII!$B$4:$B$58,0),INDEX($R$10:$AA$24,MATCH($D$6,$R$10:$R$24,0),U$9))&lt;&gt;"",INDEX(BDHK2,MATCH(InPDBMHKII!$A29,DiemHKII!$B$4:$B$58,0),INDEX($R$10:$AA$24,MATCH($D$6,$R$10:$R$24,0),U$9)),""),"")</f>
        <v/>
      </c>
      <c r="H29" s="420" t="str">
        <f>IF($A29&lt;&gt;"",IF(INDEX(BDHK2,MATCH(InPDBMHKII!$A29,DiemHKII!$B$4:$B$58,0),INDEX($R$10:$AA$24,MATCH($D$6,$R$10:$R$24,0),V$9))&lt;&gt;"",INDEX(BDHK2,MATCH(InPDBMHKII!$A29,DiemHKII!$B$4:$B$58,0),INDEX($R$10:$AA$24,MATCH($D$6,$R$10:$R$24,0),V$9)),""),"")</f>
        <v/>
      </c>
      <c r="I29" s="368" t="str">
        <f>IF($A29&lt;&gt;"",IF(INDEX(BDHK2,MATCH(InPDBMHKII!$A29,DiemHKII!$B$4:$B$58,0),INDEX($R$10:$AA$24,MATCH($D$6,$R$10:$R$24,0),W$9))&lt;&gt;"",INDEX(BDHK2,MATCH(InPDBMHKII!$A29,DiemHKII!$B$4:$B$58,0),INDEX($R$10:$AA$24,MATCH($D$6,$R$10:$R$24,0),W$9)),""),"")</f>
        <v/>
      </c>
      <c r="J29" s="110" t="str">
        <f>IF($A29&lt;&gt;"",IF(INDEX(BDHK2,MATCH(InPDBMHKII!$A29,DiemHKII!$B$4:$B$58,0),INDEX($R$10:$AA$24,MATCH($D$6,$R$10:$R$24,0),X$9))&lt;&gt;"",INDEX(BDHK2,MATCH(InPDBMHKII!$A29,DiemHKII!$B$4:$B$58,0),INDEX($R$10:$AA$24,MATCH($D$6,$R$10:$R$24,0),X$9)),""),"")</f>
        <v/>
      </c>
      <c r="K29" s="262">
        <f>IFERROR(IF($A29&lt;&gt;"",IF(INDEX(BDHK2,MATCH(InPDBMHKII!$A29,DiemHKII!$B$4:$B$58,0),INDEX($R$10:$AA$24,MATCH($D$6,$R$10:$R$24,0),Y$9))&lt;&gt;"",INDEX(BDHK2,MATCH(InPDBMHKII!$A29,DiemHKII!$B$4:$B$58,0),INDEX($R$10:$AA$24,MATCH($D$6,$R$10:$R$24,0),Y$9)),""),""),"")</f>
        <v>8.9</v>
      </c>
      <c r="L29" s="262" t="str">
        <f>IF($A29&lt;&gt;"",IF(INDEX(BDHK2,MATCH(InPDBMHKII!$A29,DiemHKII!$B$4:$B$58,0),INDEX($R$10:$AA$24,MATCH($D$6,$R$10:$R$24,0),Z$9))&lt;&gt;"",INDEX(BDHK2,MATCH(InPDBMHKII!$A29,DiemHKII!$B$4:$B$58,0),INDEX($R$10:$AA$24,MATCH($D$6,$R$10:$R$24,0),Z$9)),""),"")</f>
        <v/>
      </c>
      <c r="M29" s="262" t="str">
        <f>IF($A29&lt;&gt;"",IF(INDEX(BDHK2,MATCH(InPDBMHKII!$A29,DiemHKII!$B$4:$B$58,0),INDEX($R$10:$AA$24,MATCH($D$6,$R$10:$R$24,0),AA$9))&lt;&gt;"",INDEX(BDHK2,MATCH(InPDBMHKII!$A29,DiemHKII!$B$4:$B$58,0),INDEX($R$10:$AA$24,MATCH($D$6,$R$10:$R$24,0),AA$9)),""),"")</f>
        <v/>
      </c>
      <c r="N29" s="263"/>
      <c r="P29" s="251" t="str">
        <f t="shared" si="0"/>
        <v/>
      </c>
    </row>
    <row r="30" spans="1:27" ht="24.9" customHeight="1">
      <c r="A30" s="264">
        <f>IF(A29&lt;MAX(DiemHKII!$B$4:$B$58),A29+1,"")</f>
        <v>21</v>
      </c>
      <c r="B30" s="112" t="str">
        <f>IF($A30&lt;&gt;"",PROPER(INDEX(DiemHKII!$B$4:$T$58,MATCH(InPDBMHKII!$A30,DiemHKII!$B$4:$B$58,0),4)),"")</f>
        <v>Phạm Tấn</v>
      </c>
      <c r="C30" s="265" t="str">
        <f>IF($A30&lt;&gt;"",PROPER(INDEX(DiemHKII!$B$4:$T$58,MATCH(InPDBMHKII!$A30,DiemHKII!$B$4:$B$58,0),5)),"")</f>
        <v>Lộc</v>
      </c>
      <c r="D30" s="361" t="str">
        <f>IF($A30&lt;&gt;"",PROPER(INDEX(DiemHKII!$B$4:$T$58,MATCH(InPDBMHKII!$A30,DiemHKII!$B$4:$B$58,0),6)),"")</f>
        <v>05/07/2004</v>
      </c>
      <c r="E30" s="113" t="str">
        <f>IF($A30&lt;&gt;"",IF(INDEX(BDHK2,MATCH(InPDBMHKII!$A30,DiemHKII!$B$4:$B$58,0),INDEX($R$10:$AA$24,MATCH($D$6,$R$10:$R$24,0),S$9))&lt;&gt;"",INDEX(BDHK2,MATCH(InPDBMHKII!$A30,DiemHKII!$B$4:$B$58,0),INDEX($R$10:$AA$24,MATCH($D$6,$R$10:$R$24,0),S$9)),""),"")</f>
        <v/>
      </c>
      <c r="F30" s="114" t="str">
        <f>IF($A30&lt;&gt;"",IF(INDEX(BDHK2,MATCH(InPDBMHKII!$A30,DiemHKII!$B$4:$B$58,0),INDEX($R$10:$AA$24,MATCH($D$6,$R$10:$R$24,0),T$9))&lt;&gt;"",INDEX(BDHK2,MATCH(InPDBMHKII!$A30,DiemHKII!$B$4:$B$58,0),INDEX($R$10:$AA$24,MATCH($D$6,$R$10:$R$24,0),T$9)),""),"")</f>
        <v/>
      </c>
      <c r="G30" s="114" t="str">
        <f>IF($A30&lt;&gt;"",IF(INDEX(BDHK2,MATCH(InPDBMHKII!$A30,DiemHKII!$B$4:$B$58,0),INDEX($R$10:$AA$24,MATCH($D$6,$R$10:$R$24,0),U$9))&lt;&gt;"",INDEX(BDHK2,MATCH(InPDBMHKII!$A30,DiemHKII!$B$4:$B$58,0),INDEX($R$10:$AA$24,MATCH($D$6,$R$10:$R$24,0),U$9)),""),"")</f>
        <v/>
      </c>
      <c r="H30" s="421" t="str">
        <f>IF($A30&lt;&gt;"",IF(INDEX(BDHK2,MATCH(InPDBMHKII!$A30,DiemHKII!$B$4:$B$58,0),INDEX($R$10:$AA$24,MATCH($D$6,$R$10:$R$24,0),V$9))&lt;&gt;"",INDEX(BDHK2,MATCH(InPDBMHKII!$A30,DiemHKII!$B$4:$B$58,0),INDEX($R$10:$AA$24,MATCH($D$6,$R$10:$R$24,0),V$9)),""),"")</f>
        <v/>
      </c>
      <c r="I30" s="369" t="str">
        <f>IF($A30&lt;&gt;"",IF(INDEX(BDHK2,MATCH(InPDBMHKII!$A30,DiemHKII!$B$4:$B$58,0),INDEX($R$10:$AA$24,MATCH($D$6,$R$10:$R$24,0),W$9))&lt;&gt;"",INDEX(BDHK2,MATCH(InPDBMHKII!$A30,DiemHKII!$B$4:$B$58,0),INDEX($R$10:$AA$24,MATCH($D$6,$R$10:$R$24,0),W$9)),""),"")</f>
        <v/>
      </c>
      <c r="J30" s="116" t="str">
        <f>IF($A30&lt;&gt;"",IF(INDEX(BDHK2,MATCH(InPDBMHKII!$A30,DiemHKII!$B$4:$B$58,0),INDEX($R$10:$AA$24,MATCH($D$6,$R$10:$R$24,0),X$9))&lt;&gt;"",INDEX(BDHK2,MATCH(InPDBMHKII!$A30,DiemHKII!$B$4:$B$58,0),INDEX($R$10:$AA$24,MATCH($D$6,$R$10:$R$24,0),X$9)),""),"")</f>
        <v/>
      </c>
      <c r="K30" s="255">
        <f>IFERROR(IF($A30&lt;&gt;"",IF(INDEX(BDHK2,MATCH(InPDBMHKII!$A30,DiemHKII!$B$4:$B$58,0),INDEX($R$10:$AA$24,MATCH($D$6,$R$10:$R$24,0),Y$9))&lt;&gt;"",INDEX(BDHK2,MATCH(InPDBMHKII!$A30,DiemHKII!$B$4:$B$58,0),INDEX($R$10:$AA$24,MATCH($D$6,$R$10:$R$24,0),Y$9)),""),""),"")</f>
        <v>9.4</v>
      </c>
      <c r="L30" s="255" t="str">
        <f>IF($A30&lt;&gt;"",IF(INDEX(BDHK2,MATCH(InPDBMHKII!$A30,DiemHKII!$B$4:$B$58,0),INDEX($R$10:$AA$24,MATCH($D$6,$R$10:$R$24,0),Z$9))&lt;&gt;"",INDEX(BDHK2,MATCH(InPDBMHKII!$A30,DiemHKII!$B$4:$B$58,0),INDEX($R$10:$AA$24,MATCH($D$6,$R$10:$R$24,0),Z$9)),""),"")</f>
        <v/>
      </c>
      <c r="M30" s="255" t="str">
        <f>IF($A30&lt;&gt;"",IF(INDEX(BDHK2,MATCH(InPDBMHKII!$A30,DiemHKII!$B$4:$B$58,0),INDEX($R$10:$AA$24,MATCH($D$6,$R$10:$R$24,0),AA$9))&lt;&gt;"",INDEX(BDHK2,MATCH(InPDBMHKII!$A30,DiemHKII!$B$4:$B$58,0),INDEX($R$10:$AA$24,MATCH($D$6,$R$10:$R$24,0),AA$9)),""),"")</f>
        <v/>
      </c>
      <c r="N30" s="256"/>
      <c r="P30" s="251" t="str">
        <f t="shared" si="0"/>
        <v/>
      </c>
    </row>
    <row r="31" spans="1:27" ht="24.9" customHeight="1">
      <c r="A31" s="117">
        <f>IF(A30&lt;MAX(DiemHKII!$B$4:$B$58),A30+1,"")</f>
        <v>22</v>
      </c>
      <c r="B31" s="100" t="str">
        <f>IF($A31&lt;&gt;"",PROPER(INDEX(DiemHKII!$B$4:$T$58,MATCH(InPDBMHKII!$A31,DiemHKII!$B$4:$B$58,0),4)),"")</f>
        <v xml:space="preserve">Phạm Thị Khả </v>
      </c>
      <c r="C31" s="257" t="str">
        <f>IF($A31&lt;&gt;"",PROPER(INDEX(DiemHKII!$B$4:$T$58,MATCH(InPDBMHKII!$A31,DiemHKII!$B$4:$B$58,0),5)),"")</f>
        <v>My</v>
      </c>
      <c r="D31" s="359" t="str">
        <f>IF($A31&lt;&gt;"",PROPER(INDEX(DiemHKII!$B$4:$T$58,MATCH(InPDBMHKII!$A31,DiemHKII!$B$4:$B$58,0),6)),"")</f>
        <v>28/02/2004</v>
      </c>
      <c r="E31" s="101" t="str">
        <f>IF($A31&lt;&gt;"",IF(INDEX(BDHK2,MATCH(InPDBMHKII!$A31,DiemHKII!$B$4:$B$58,0),INDEX($R$10:$AA$24,MATCH($D$6,$R$10:$R$24,0),S$9))&lt;&gt;"",INDEX(BDHK2,MATCH(InPDBMHKII!$A31,DiemHKII!$B$4:$B$58,0),INDEX($R$10:$AA$24,MATCH($D$6,$R$10:$R$24,0),S$9)),""),"")</f>
        <v/>
      </c>
      <c r="F31" s="102" t="str">
        <f>IF($A31&lt;&gt;"",IF(INDEX(BDHK2,MATCH(InPDBMHKII!$A31,DiemHKII!$B$4:$B$58,0),INDEX($R$10:$AA$24,MATCH($D$6,$R$10:$R$24,0),T$9))&lt;&gt;"",INDEX(BDHK2,MATCH(InPDBMHKII!$A31,DiemHKII!$B$4:$B$58,0),INDEX($R$10:$AA$24,MATCH($D$6,$R$10:$R$24,0),T$9)),""),"")</f>
        <v/>
      </c>
      <c r="G31" s="102" t="str">
        <f>IF($A31&lt;&gt;"",IF(INDEX(BDHK2,MATCH(InPDBMHKII!$A31,DiemHKII!$B$4:$B$58,0),INDEX($R$10:$AA$24,MATCH($D$6,$R$10:$R$24,0),U$9))&lt;&gt;"",INDEX(BDHK2,MATCH(InPDBMHKII!$A31,DiemHKII!$B$4:$B$58,0),INDEX($R$10:$AA$24,MATCH($D$6,$R$10:$R$24,0),U$9)),""),"")</f>
        <v/>
      </c>
      <c r="H31" s="419" t="str">
        <f>IF($A31&lt;&gt;"",IF(INDEX(BDHK2,MATCH(InPDBMHKII!$A31,DiemHKII!$B$4:$B$58,0),INDEX($R$10:$AA$24,MATCH($D$6,$R$10:$R$24,0),V$9))&lt;&gt;"",INDEX(BDHK2,MATCH(InPDBMHKII!$A31,DiemHKII!$B$4:$B$58,0),INDEX($R$10:$AA$24,MATCH($D$6,$R$10:$R$24,0),V$9)),""),"")</f>
        <v/>
      </c>
      <c r="I31" s="367" t="str">
        <f>IF($A31&lt;&gt;"",IF(INDEX(BDHK2,MATCH(InPDBMHKII!$A31,DiemHKII!$B$4:$B$58,0),INDEX($R$10:$AA$24,MATCH($D$6,$R$10:$R$24,0),W$9))&lt;&gt;"",INDEX(BDHK2,MATCH(InPDBMHKII!$A31,DiemHKII!$B$4:$B$58,0),INDEX($R$10:$AA$24,MATCH($D$6,$R$10:$R$24,0),W$9)),""),"")</f>
        <v/>
      </c>
      <c r="J31" s="104" t="str">
        <f>IF($A31&lt;&gt;"",IF(INDEX(BDHK2,MATCH(InPDBMHKII!$A31,DiemHKII!$B$4:$B$58,0),INDEX($R$10:$AA$24,MATCH($D$6,$R$10:$R$24,0),X$9))&lt;&gt;"",INDEX(BDHK2,MATCH(InPDBMHKII!$A31,DiemHKII!$B$4:$B$58,0),INDEX($R$10:$AA$24,MATCH($D$6,$R$10:$R$24,0),X$9)),""),"")</f>
        <v/>
      </c>
      <c r="K31" s="258">
        <f>IFERROR(IF($A31&lt;&gt;"",IF(INDEX(BDHK2,MATCH(InPDBMHKII!$A31,DiemHKII!$B$4:$B$58,0),INDEX($R$10:$AA$24,MATCH($D$6,$R$10:$R$24,0),Y$9))&lt;&gt;"",INDEX(BDHK2,MATCH(InPDBMHKII!$A31,DiemHKII!$B$4:$B$58,0),INDEX($R$10:$AA$24,MATCH($D$6,$R$10:$R$24,0),Y$9)),""),""),"")</f>
        <v>9.5</v>
      </c>
      <c r="L31" s="258" t="str">
        <f>IF($A31&lt;&gt;"",IF(INDEX(BDHK2,MATCH(InPDBMHKII!$A31,DiemHKII!$B$4:$B$58,0),INDEX($R$10:$AA$24,MATCH($D$6,$R$10:$R$24,0),Z$9))&lt;&gt;"",INDEX(BDHK2,MATCH(InPDBMHKII!$A31,DiemHKII!$B$4:$B$58,0),INDEX($R$10:$AA$24,MATCH($D$6,$R$10:$R$24,0),Z$9)),""),"")</f>
        <v/>
      </c>
      <c r="M31" s="258" t="str">
        <f>IF($A31&lt;&gt;"",IF(INDEX(BDHK2,MATCH(InPDBMHKII!$A31,DiemHKII!$B$4:$B$58,0),INDEX($R$10:$AA$24,MATCH($D$6,$R$10:$R$24,0),AA$9))&lt;&gt;"",INDEX(BDHK2,MATCH(InPDBMHKII!$A31,DiemHKII!$B$4:$B$58,0),INDEX($R$10:$AA$24,MATCH($D$6,$R$10:$R$24,0),AA$9)),""),"")</f>
        <v/>
      </c>
      <c r="N31" s="259"/>
      <c r="P31" s="251" t="str">
        <f t="shared" si="0"/>
        <v/>
      </c>
    </row>
    <row r="32" spans="1:27" ht="24.9" customHeight="1">
      <c r="A32" s="117">
        <f>IF(A31&lt;MAX(DiemHKII!$B$4:$B$58),A31+1,"")</f>
        <v>23</v>
      </c>
      <c r="B32" s="100" t="str">
        <f>IF($A32&lt;&gt;"",PROPER(INDEX(DiemHKII!$B$4:$T$58,MATCH(InPDBMHKII!$A32,DiemHKII!$B$4:$B$58,0),4)),"")</f>
        <v>Lê</v>
      </c>
      <c r="C32" s="257" t="str">
        <f>IF($A32&lt;&gt;"",PROPER(INDEX(DiemHKII!$B$4:$T$58,MATCH(InPDBMHKII!$A32,DiemHKII!$B$4:$B$58,0),5)),"")</f>
        <v>Na</v>
      </c>
      <c r="D32" s="359" t="str">
        <f>IF($A32&lt;&gt;"",PROPER(INDEX(DiemHKII!$B$4:$T$58,MATCH(InPDBMHKII!$A32,DiemHKII!$B$4:$B$58,0),6)),"")</f>
        <v>29/02/2004</v>
      </c>
      <c r="E32" s="101" t="str">
        <f>IF($A32&lt;&gt;"",IF(INDEX(BDHK2,MATCH(InPDBMHKII!$A32,DiemHKII!$B$4:$B$58,0),INDEX($R$10:$AA$24,MATCH($D$6,$R$10:$R$24,0),S$9))&lt;&gt;"",INDEX(BDHK2,MATCH(InPDBMHKII!$A32,DiemHKII!$B$4:$B$58,0),INDEX($R$10:$AA$24,MATCH($D$6,$R$10:$R$24,0),S$9)),""),"")</f>
        <v/>
      </c>
      <c r="F32" s="102" t="str">
        <f>IF($A32&lt;&gt;"",IF(INDEX(BDHK2,MATCH(InPDBMHKII!$A32,DiemHKII!$B$4:$B$58,0),INDEX($R$10:$AA$24,MATCH($D$6,$R$10:$R$24,0),T$9))&lt;&gt;"",INDEX(BDHK2,MATCH(InPDBMHKII!$A32,DiemHKII!$B$4:$B$58,0),INDEX($R$10:$AA$24,MATCH($D$6,$R$10:$R$24,0),T$9)),""),"")</f>
        <v/>
      </c>
      <c r="G32" s="102" t="str">
        <f>IF($A32&lt;&gt;"",IF(INDEX(BDHK2,MATCH(InPDBMHKII!$A32,DiemHKII!$B$4:$B$58,0),INDEX($R$10:$AA$24,MATCH($D$6,$R$10:$R$24,0),U$9))&lt;&gt;"",INDEX(BDHK2,MATCH(InPDBMHKII!$A32,DiemHKII!$B$4:$B$58,0),INDEX($R$10:$AA$24,MATCH($D$6,$R$10:$R$24,0),U$9)),""),"")</f>
        <v/>
      </c>
      <c r="H32" s="419" t="str">
        <f>IF($A32&lt;&gt;"",IF(INDEX(BDHK2,MATCH(InPDBMHKII!$A32,DiemHKII!$B$4:$B$58,0),INDEX($R$10:$AA$24,MATCH($D$6,$R$10:$R$24,0),V$9))&lt;&gt;"",INDEX(BDHK2,MATCH(InPDBMHKII!$A32,DiemHKII!$B$4:$B$58,0),INDEX($R$10:$AA$24,MATCH($D$6,$R$10:$R$24,0),V$9)),""),"")</f>
        <v/>
      </c>
      <c r="I32" s="367" t="str">
        <f>IF($A32&lt;&gt;"",IF(INDEX(BDHK2,MATCH(InPDBMHKII!$A32,DiemHKII!$B$4:$B$58,0),INDEX($R$10:$AA$24,MATCH($D$6,$R$10:$R$24,0),W$9))&lt;&gt;"",INDEX(BDHK2,MATCH(InPDBMHKII!$A32,DiemHKII!$B$4:$B$58,0),INDEX($R$10:$AA$24,MATCH($D$6,$R$10:$R$24,0),W$9)),""),"")</f>
        <v/>
      </c>
      <c r="J32" s="104" t="str">
        <f>IF($A32&lt;&gt;"",IF(INDEX(BDHK2,MATCH(InPDBMHKII!$A32,DiemHKII!$B$4:$B$58,0),INDEX($R$10:$AA$24,MATCH($D$6,$R$10:$R$24,0),X$9))&lt;&gt;"",INDEX(BDHK2,MATCH(InPDBMHKII!$A32,DiemHKII!$B$4:$B$58,0),INDEX($R$10:$AA$24,MATCH($D$6,$R$10:$R$24,0),X$9)),""),"")</f>
        <v/>
      </c>
      <c r="K32" s="258">
        <f>IFERROR(IF($A32&lt;&gt;"",IF(INDEX(BDHK2,MATCH(InPDBMHKII!$A32,DiemHKII!$B$4:$B$58,0),INDEX($R$10:$AA$24,MATCH($D$6,$R$10:$R$24,0),Y$9))&lt;&gt;"",INDEX(BDHK2,MATCH(InPDBMHKII!$A32,DiemHKII!$B$4:$B$58,0),INDEX($R$10:$AA$24,MATCH($D$6,$R$10:$R$24,0),Y$9)),""),""),"")</f>
        <v>9.6999999999999993</v>
      </c>
      <c r="L32" s="258" t="str">
        <f>IF($A32&lt;&gt;"",IF(INDEX(BDHK2,MATCH(InPDBMHKII!$A32,DiemHKII!$B$4:$B$58,0),INDEX($R$10:$AA$24,MATCH($D$6,$R$10:$R$24,0),Z$9))&lt;&gt;"",INDEX(BDHK2,MATCH(InPDBMHKII!$A32,DiemHKII!$B$4:$B$58,0),INDEX($R$10:$AA$24,MATCH($D$6,$R$10:$R$24,0),Z$9)),""),"")</f>
        <v/>
      </c>
      <c r="M32" s="258" t="str">
        <f>IF($A32&lt;&gt;"",IF(INDEX(BDHK2,MATCH(InPDBMHKII!$A32,DiemHKII!$B$4:$B$58,0),INDEX($R$10:$AA$24,MATCH($D$6,$R$10:$R$24,0),AA$9))&lt;&gt;"",INDEX(BDHK2,MATCH(InPDBMHKII!$A32,DiemHKII!$B$4:$B$58,0),INDEX($R$10:$AA$24,MATCH($D$6,$R$10:$R$24,0),AA$9)),""),"")</f>
        <v/>
      </c>
      <c r="N32" s="259"/>
      <c r="P32" s="251" t="str">
        <f t="shared" si="0"/>
        <v/>
      </c>
    </row>
    <row r="33" spans="1:16" ht="24.9" customHeight="1">
      <c r="A33" s="117">
        <f>IF(A32&lt;MAX(DiemHKII!$B$4:$B$58),A32+1,"")</f>
        <v>24</v>
      </c>
      <c r="B33" s="100" t="str">
        <f>IF($A33&lt;&gt;"",PROPER(INDEX(DiemHKII!$B$4:$T$58,MATCH(InPDBMHKII!$A33,DiemHKII!$B$4:$B$58,0),4)),"")</f>
        <v>Quách Tống Minh</v>
      </c>
      <c r="C33" s="257" t="str">
        <f>IF($A33&lt;&gt;"",PROPER(INDEX(DiemHKII!$B$4:$T$58,MATCH(InPDBMHKII!$A33,DiemHKII!$B$4:$B$58,0),5)),"")</f>
        <v>Nhật</v>
      </c>
      <c r="D33" s="359" t="str">
        <f>IF($A33&lt;&gt;"",PROPER(INDEX(DiemHKII!$B$4:$T$58,MATCH(InPDBMHKII!$A33,DiemHKII!$B$4:$B$58,0),6)),"")</f>
        <v>01/12/2004</v>
      </c>
      <c r="E33" s="101" t="str">
        <f>IF($A33&lt;&gt;"",IF(INDEX(BDHK2,MATCH(InPDBMHKII!$A33,DiemHKII!$B$4:$B$58,0),INDEX($R$10:$AA$24,MATCH($D$6,$R$10:$R$24,0),S$9))&lt;&gt;"",INDEX(BDHK2,MATCH(InPDBMHKII!$A33,DiemHKII!$B$4:$B$58,0),INDEX($R$10:$AA$24,MATCH($D$6,$R$10:$R$24,0),S$9)),""),"")</f>
        <v/>
      </c>
      <c r="F33" s="102" t="str">
        <f>IF($A33&lt;&gt;"",IF(INDEX(BDHK2,MATCH(InPDBMHKII!$A33,DiemHKII!$B$4:$B$58,0),INDEX($R$10:$AA$24,MATCH($D$6,$R$10:$R$24,0),T$9))&lt;&gt;"",INDEX(BDHK2,MATCH(InPDBMHKII!$A33,DiemHKII!$B$4:$B$58,0),INDEX($R$10:$AA$24,MATCH($D$6,$R$10:$R$24,0),T$9)),""),"")</f>
        <v/>
      </c>
      <c r="G33" s="102" t="str">
        <f>IF($A33&lt;&gt;"",IF(INDEX(BDHK2,MATCH(InPDBMHKII!$A33,DiemHKII!$B$4:$B$58,0),INDEX($R$10:$AA$24,MATCH($D$6,$R$10:$R$24,0),U$9))&lt;&gt;"",INDEX(BDHK2,MATCH(InPDBMHKII!$A33,DiemHKII!$B$4:$B$58,0),INDEX($R$10:$AA$24,MATCH($D$6,$R$10:$R$24,0),U$9)),""),"")</f>
        <v/>
      </c>
      <c r="H33" s="419" t="str">
        <f>IF($A33&lt;&gt;"",IF(INDEX(BDHK2,MATCH(InPDBMHKII!$A33,DiemHKII!$B$4:$B$58,0),INDEX($R$10:$AA$24,MATCH($D$6,$R$10:$R$24,0),V$9))&lt;&gt;"",INDEX(BDHK2,MATCH(InPDBMHKII!$A33,DiemHKII!$B$4:$B$58,0),INDEX($R$10:$AA$24,MATCH($D$6,$R$10:$R$24,0),V$9)),""),"")</f>
        <v/>
      </c>
      <c r="I33" s="367" t="str">
        <f>IF($A33&lt;&gt;"",IF(INDEX(BDHK2,MATCH(InPDBMHKII!$A33,DiemHKII!$B$4:$B$58,0),INDEX($R$10:$AA$24,MATCH($D$6,$R$10:$R$24,0),W$9))&lt;&gt;"",INDEX(BDHK2,MATCH(InPDBMHKII!$A33,DiemHKII!$B$4:$B$58,0),INDEX($R$10:$AA$24,MATCH($D$6,$R$10:$R$24,0),W$9)),""),"")</f>
        <v/>
      </c>
      <c r="J33" s="104" t="str">
        <f>IF($A33&lt;&gt;"",IF(INDEX(BDHK2,MATCH(InPDBMHKII!$A33,DiemHKII!$B$4:$B$58,0),INDEX($R$10:$AA$24,MATCH($D$6,$R$10:$R$24,0),X$9))&lt;&gt;"",INDEX(BDHK2,MATCH(InPDBMHKII!$A33,DiemHKII!$B$4:$B$58,0),INDEX($R$10:$AA$24,MATCH($D$6,$R$10:$R$24,0),X$9)),""),"")</f>
        <v/>
      </c>
      <c r="K33" s="258">
        <f>IFERROR(IF($A33&lt;&gt;"",IF(INDEX(BDHK2,MATCH(InPDBMHKII!$A33,DiemHKII!$B$4:$B$58,0),INDEX($R$10:$AA$24,MATCH($D$6,$R$10:$R$24,0),Y$9))&lt;&gt;"",INDEX(BDHK2,MATCH(InPDBMHKII!$A33,DiemHKII!$B$4:$B$58,0),INDEX($R$10:$AA$24,MATCH($D$6,$R$10:$R$24,0),Y$9)),""),""),"")</f>
        <v>9.1999999999999993</v>
      </c>
      <c r="L33" s="258" t="str">
        <f>IF($A33&lt;&gt;"",IF(INDEX(BDHK2,MATCH(InPDBMHKII!$A33,DiemHKII!$B$4:$B$58,0),INDEX($R$10:$AA$24,MATCH($D$6,$R$10:$R$24,0),Z$9))&lt;&gt;"",INDEX(BDHK2,MATCH(InPDBMHKII!$A33,DiemHKII!$B$4:$B$58,0),INDEX($R$10:$AA$24,MATCH($D$6,$R$10:$R$24,0),Z$9)),""),"")</f>
        <v/>
      </c>
      <c r="M33" s="258" t="str">
        <f>IF($A33&lt;&gt;"",IF(INDEX(BDHK2,MATCH(InPDBMHKII!$A33,DiemHKII!$B$4:$B$58,0),INDEX($R$10:$AA$24,MATCH($D$6,$R$10:$R$24,0),AA$9))&lt;&gt;"",INDEX(BDHK2,MATCH(InPDBMHKII!$A33,DiemHKII!$B$4:$B$58,0),INDEX($R$10:$AA$24,MATCH($D$6,$R$10:$R$24,0),AA$9)),""),"")</f>
        <v/>
      </c>
      <c r="N33" s="259"/>
      <c r="P33" s="251" t="str">
        <f t="shared" si="0"/>
        <v/>
      </c>
    </row>
    <row r="34" spans="1:16" ht="24.9" customHeight="1">
      <c r="A34" s="260">
        <f>IF(A33&lt;MAX(DiemHKII!$B$4:$B$58),A33+1,"")</f>
        <v>25</v>
      </c>
      <c r="B34" s="106" t="str">
        <f>IF($A34&lt;&gt;"",PROPER(INDEX(DiemHKII!$B$4:$T$58,MATCH(InPDBMHKII!$A34,DiemHKII!$B$4:$B$58,0),4)),"")</f>
        <v>Nguyễn Thục</v>
      </c>
      <c r="C34" s="261" t="str">
        <f>IF($A34&lt;&gt;"",PROPER(INDEX(DiemHKII!$B$4:$T$58,MATCH(InPDBMHKII!$A34,DiemHKII!$B$4:$B$58,0),5)),"")</f>
        <v>Nhi</v>
      </c>
      <c r="D34" s="360" t="str">
        <f>IF($A34&lt;&gt;"",PROPER(INDEX(DiemHKII!$B$4:$T$58,MATCH(InPDBMHKII!$A34,DiemHKII!$B$4:$B$58,0),6)),"")</f>
        <v>04/10/2004</v>
      </c>
      <c r="E34" s="107" t="str">
        <f>IF($A34&lt;&gt;"",IF(INDEX(BDHK2,MATCH(InPDBMHKII!$A34,DiemHKII!$B$4:$B$58,0),INDEX($R$10:$AA$24,MATCH($D$6,$R$10:$R$24,0),S$9))&lt;&gt;"",INDEX(BDHK2,MATCH(InPDBMHKII!$A34,DiemHKII!$B$4:$B$58,0),INDEX($R$10:$AA$24,MATCH($D$6,$R$10:$R$24,0),S$9)),""),"")</f>
        <v/>
      </c>
      <c r="F34" s="108" t="str">
        <f>IF($A34&lt;&gt;"",IF(INDEX(BDHK2,MATCH(InPDBMHKII!$A34,DiemHKII!$B$4:$B$58,0),INDEX($R$10:$AA$24,MATCH($D$6,$R$10:$R$24,0),T$9))&lt;&gt;"",INDEX(BDHK2,MATCH(InPDBMHKII!$A34,DiemHKII!$B$4:$B$58,0),INDEX($R$10:$AA$24,MATCH($D$6,$R$10:$R$24,0),T$9)),""),"")</f>
        <v/>
      </c>
      <c r="G34" s="108" t="str">
        <f>IF($A34&lt;&gt;"",IF(INDEX(BDHK2,MATCH(InPDBMHKII!$A34,DiemHKII!$B$4:$B$58,0),INDEX($R$10:$AA$24,MATCH($D$6,$R$10:$R$24,0),U$9))&lt;&gt;"",INDEX(BDHK2,MATCH(InPDBMHKII!$A34,DiemHKII!$B$4:$B$58,0),INDEX($R$10:$AA$24,MATCH($D$6,$R$10:$R$24,0),U$9)),""),"")</f>
        <v/>
      </c>
      <c r="H34" s="420" t="str">
        <f>IF($A34&lt;&gt;"",IF(INDEX(BDHK2,MATCH(InPDBMHKII!$A34,DiemHKII!$B$4:$B$58,0),INDEX($R$10:$AA$24,MATCH($D$6,$R$10:$R$24,0),V$9))&lt;&gt;"",INDEX(BDHK2,MATCH(InPDBMHKII!$A34,DiemHKII!$B$4:$B$58,0),INDEX($R$10:$AA$24,MATCH($D$6,$R$10:$R$24,0),V$9)),""),"")</f>
        <v/>
      </c>
      <c r="I34" s="368" t="str">
        <f>IF($A34&lt;&gt;"",IF(INDEX(BDHK2,MATCH(InPDBMHKII!$A34,DiemHKII!$B$4:$B$58,0),INDEX($R$10:$AA$24,MATCH($D$6,$R$10:$R$24,0),W$9))&lt;&gt;"",INDEX(BDHK2,MATCH(InPDBMHKII!$A34,DiemHKII!$B$4:$B$58,0),INDEX($R$10:$AA$24,MATCH($D$6,$R$10:$R$24,0),W$9)),""),"")</f>
        <v/>
      </c>
      <c r="J34" s="110" t="str">
        <f>IF($A34&lt;&gt;"",IF(INDEX(BDHK2,MATCH(InPDBMHKII!$A34,DiemHKII!$B$4:$B$58,0),INDEX($R$10:$AA$24,MATCH($D$6,$R$10:$R$24,0),X$9))&lt;&gt;"",INDEX(BDHK2,MATCH(InPDBMHKII!$A34,DiemHKII!$B$4:$B$58,0),INDEX($R$10:$AA$24,MATCH($D$6,$R$10:$R$24,0),X$9)),""),"")</f>
        <v/>
      </c>
      <c r="K34" s="262">
        <f>IFERROR(IF($A34&lt;&gt;"",IF(INDEX(BDHK2,MATCH(InPDBMHKII!$A34,DiemHKII!$B$4:$B$58,0),INDEX($R$10:$AA$24,MATCH($D$6,$R$10:$R$24,0),Y$9))&lt;&gt;"",INDEX(BDHK2,MATCH(InPDBMHKII!$A34,DiemHKII!$B$4:$B$58,0),INDEX($R$10:$AA$24,MATCH($D$6,$R$10:$R$24,0),Y$9)),""),""),"")</f>
        <v>9.6999999999999993</v>
      </c>
      <c r="L34" s="262" t="str">
        <f>IF($A34&lt;&gt;"",IF(INDEX(BDHK2,MATCH(InPDBMHKII!$A34,DiemHKII!$B$4:$B$58,0),INDEX($R$10:$AA$24,MATCH($D$6,$R$10:$R$24,0),Z$9))&lt;&gt;"",INDEX(BDHK2,MATCH(InPDBMHKII!$A34,DiemHKII!$B$4:$B$58,0),INDEX($R$10:$AA$24,MATCH($D$6,$R$10:$R$24,0),Z$9)),""),"")</f>
        <v/>
      </c>
      <c r="M34" s="262" t="str">
        <f>IF($A34&lt;&gt;"",IF(INDEX(BDHK2,MATCH(InPDBMHKII!$A34,DiemHKII!$B$4:$B$58,0),INDEX($R$10:$AA$24,MATCH($D$6,$R$10:$R$24,0),AA$9))&lt;&gt;"",INDEX(BDHK2,MATCH(InPDBMHKII!$A34,DiemHKII!$B$4:$B$58,0),INDEX($R$10:$AA$24,MATCH($D$6,$R$10:$R$24,0),AA$9)),""),"")</f>
        <v/>
      </c>
      <c r="N34" s="263"/>
      <c r="P34" s="251" t="str">
        <f t="shared" si="0"/>
        <v/>
      </c>
    </row>
    <row r="35" spans="1:16" ht="24.9" customHeight="1">
      <c r="A35" s="264">
        <f>IF(A34&lt;MAX(DiemHKII!$B$4:$B$58),A34+1,"")</f>
        <v>26</v>
      </c>
      <c r="B35" s="112" t="str">
        <f>IF($A35&lt;&gt;"",PROPER(INDEX(DiemHKII!$B$4:$T$58,MATCH(InPDBMHKII!$A35,DiemHKII!$B$4:$B$58,0),4)),"")</f>
        <v>Trần Thị Hải</v>
      </c>
      <c r="C35" s="265" t="str">
        <f>IF($A35&lt;&gt;"",PROPER(INDEX(DiemHKII!$B$4:$T$58,MATCH(InPDBMHKII!$A35,DiemHKII!$B$4:$B$58,0),5)),"")</f>
        <v>Như</v>
      </c>
      <c r="D35" s="361" t="str">
        <f>IF($A35&lt;&gt;"",PROPER(INDEX(DiemHKII!$B$4:$T$58,MATCH(InPDBMHKII!$A35,DiemHKII!$B$4:$B$58,0),6)),"")</f>
        <v>17/08/2004</v>
      </c>
      <c r="E35" s="113" t="str">
        <f>IF($A35&lt;&gt;"",IF(INDEX(BDHK2,MATCH(InPDBMHKII!$A35,DiemHKII!$B$4:$B$58,0),INDEX($R$10:$AA$24,MATCH($D$6,$R$10:$R$24,0),S$9))&lt;&gt;"",INDEX(BDHK2,MATCH(InPDBMHKII!$A35,DiemHKII!$B$4:$B$58,0),INDEX($R$10:$AA$24,MATCH($D$6,$R$10:$R$24,0),S$9)),""),"")</f>
        <v/>
      </c>
      <c r="F35" s="114" t="str">
        <f>IF($A35&lt;&gt;"",IF(INDEX(BDHK2,MATCH(InPDBMHKII!$A35,DiemHKII!$B$4:$B$58,0),INDEX($R$10:$AA$24,MATCH($D$6,$R$10:$R$24,0),T$9))&lt;&gt;"",INDEX(BDHK2,MATCH(InPDBMHKII!$A35,DiemHKII!$B$4:$B$58,0),INDEX($R$10:$AA$24,MATCH($D$6,$R$10:$R$24,0),T$9)),""),"")</f>
        <v/>
      </c>
      <c r="G35" s="114" t="str">
        <f>IF($A35&lt;&gt;"",IF(INDEX(BDHK2,MATCH(InPDBMHKII!$A35,DiemHKII!$B$4:$B$58,0),INDEX($R$10:$AA$24,MATCH($D$6,$R$10:$R$24,0),U$9))&lt;&gt;"",INDEX(BDHK2,MATCH(InPDBMHKII!$A35,DiemHKII!$B$4:$B$58,0),INDEX($R$10:$AA$24,MATCH($D$6,$R$10:$R$24,0),U$9)),""),"")</f>
        <v/>
      </c>
      <c r="H35" s="421" t="str">
        <f>IF($A35&lt;&gt;"",IF(INDEX(BDHK2,MATCH(InPDBMHKII!$A35,DiemHKII!$B$4:$B$58,0),INDEX($R$10:$AA$24,MATCH($D$6,$R$10:$R$24,0),V$9))&lt;&gt;"",INDEX(BDHK2,MATCH(InPDBMHKII!$A35,DiemHKII!$B$4:$B$58,0),INDEX($R$10:$AA$24,MATCH($D$6,$R$10:$R$24,0),V$9)),""),"")</f>
        <v/>
      </c>
      <c r="I35" s="369" t="str">
        <f>IF($A35&lt;&gt;"",IF(INDEX(BDHK2,MATCH(InPDBMHKII!$A35,DiemHKII!$B$4:$B$58,0),INDEX($R$10:$AA$24,MATCH($D$6,$R$10:$R$24,0),W$9))&lt;&gt;"",INDEX(BDHK2,MATCH(InPDBMHKII!$A35,DiemHKII!$B$4:$B$58,0),INDEX($R$10:$AA$24,MATCH($D$6,$R$10:$R$24,0),W$9)),""),"")</f>
        <v/>
      </c>
      <c r="J35" s="116" t="str">
        <f>IF($A35&lt;&gt;"",IF(INDEX(BDHK2,MATCH(InPDBMHKII!$A35,DiemHKII!$B$4:$B$58,0),INDEX($R$10:$AA$24,MATCH($D$6,$R$10:$R$24,0),X$9))&lt;&gt;"",INDEX(BDHK2,MATCH(InPDBMHKII!$A35,DiemHKII!$B$4:$B$58,0),INDEX($R$10:$AA$24,MATCH($D$6,$R$10:$R$24,0),X$9)),""),"")</f>
        <v/>
      </c>
      <c r="K35" s="255">
        <f>IFERROR(IF($A35&lt;&gt;"",IF(INDEX(BDHK2,MATCH(InPDBMHKII!$A35,DiemHKII!$B$4:$B$58,0),INDEX($R$10:$AA$24,MATCH($D$6,$R$10:$R$24,0),Y$9))&lt;&gt;"",INDEX(BDHK2,MATCH(InPDBMHKII!$A35,DiemHKII!$B$4:$B$58,0),INDEX($R$10:$AA$24,MATCH($D$6,$R$10:$R$24,0),Y$9)),""),""),"")</f>
        <v>9.6999999999999993</v>
      </c>
      <c r="L35" s="255" t="str">
        <f>IF($A35&lt;&gt;"",IF(INDEX(BDHK2,MATCH(InPDBMHKII!$A35,DiemHKII!$B$4:$B$58,0),INDEX($R$10:$AA$24,MATCH($D$6,$R$10:$R$24,0),Z$9))&lt;&gt;"",INDEX(BDHK2,MATCH(InPDBMHKII!$A35,DiemHKII!$B$4:$B$58,0),INDEX($R$10:$AA$24,MATCH($D$6,$R$10:$R$24,0),Z$9)),""),"")</f>
        <v/>
      </c>
      <c r="M35" s="255" t="str">
        <f>IF($A35&lt;&gt;"",IF(INDEX(BDHK2,MATCH(InPDBMHKII!$A35,DiemHKII!$B$4:$B$58,0),INDEX($R$10:$AA$24,MATCH($D$6,$R$10:$R$24,0),AA$9))&lt;&gt;"",INDEX(BDHK2,MATCH(InPDBMHKII!$A35,DiemHKII!$B$4:$B$58,0),INDEX($R$10:$AA$24,MATCH($D$6,$R$10:$R$24,0),AA$9)),""),"")</f>
        <v/>
      </c>
      <c r="N35" s="256"/>
      <c r="P35" s="251" t="str">
        <f t="shared" si="0"/>
        <v/>
      </c>
    </row>
    <row r="36" spans="1:16" ht="24.9" customHeight="1">
      <c r="A36" s="117">
        <f>IF(A35&lt;MAX(DiemHKII!$B$4:$B$58),A35+1,"")</f>
        <v>27</v>
      </c>
      <c r="B36" s="100" t="str">
        <f>IF($A36&lt;&gt;"",PROPER(INDEX(DiemHKII!$B$4:$T$58,MATCH(InPDBMHKII!$A36,DiemHKII!$B$4:$B$58,0),4)),"")</f>
        <v>Nguyễn Bá Nhật</v>
      </c>
      <c r="C36" s="257" t="str">
        <f>IF($A36&lt;&gt;"",PROPER(INDEX(DiemHKII!$B$4:$T$58,MATCH(InPDBMHKII!$A36,DiemHKII!$B$4:$B$58,0),5)),"")</f>
        <v>Quang</v>
      </c>
      <c r="D36" s="359" t="str">
        <f>IF($A36&lt;&gt;"",PROPER(INDEX(DiemHKII!$B$4:$T$58,MATCH(InPDBMHKII!$A36,DiemHKII!$B$4:$B$58,0),6)),"")</f>
        <v>18/07/2004</v>
      </c>
      <c r="E36" s="101" t="str">
        <f>IF($A36&lt;&gt;"",IF(INDEX(BDHK2,MATCH(InPDBMHKII!$A36,DiemHKII!$B$4:$B$58,0),INDEX($R$10:$AA$24,MATCH($D$6,$R$10:$R$24,0),S$9))&lt;&gt;"",INDEX(BDHK2,MATCH(InPDBMHKII!$A36,DiemHKII!$B$4:$B$58,0),INDEX($R$10:$AA$24,MATCH($D$6,$R$10:$R$24,0),S$9)),""),"")</f>
        <v/>
      </c>
      <c r="F36" s="102" t="str">
        <f>IF($A36&lt;&gt;"",IF(INDEX(BDHK2,MATCH(InPDBMHKII!$A36,DiemHKII!$B$4:$B$58,0),INDEX($R$10:$AA$24,MATCH($D$6,$R$10:$R$24,0),T$9))&lt;&gt;"",INDEX(BDHK2,MATCH(InPDBMHKII!$A36,DiemHKII!$B$4:$B$58,0),INDEX($R$10:$AA$24,MATCH($D$6,$R$10:$R$24,0),T$9)),""),"")</f>
        <v/>
      </c>
      <c r="G36" s="102" t="str">
        <f>IF($A36&lt;&gt;"",IF(INDEX(BDHK2,MATCH(InPDBMHKII!$A36,DiemHKII!$B$4:$B$58,0),INDEX($R$10:$AA$24,MATCH($D$6,$R$10:$R$24,0),U$9))&lt;&gt;"",INDEX(BDHK2,MATCH(InPDBMHKII!$A36,DiemHKII!$B$4:$B$58,0),INDEX($R$10:$AA$24,MATCH($D$6,$R$10:$R$24,0),U$9)),""),"")</f>
        <v/>
      </c>
      <c r="H36" s="419" t="str">
        <f>IF($A36&lt;&gt;"",IF(INDEX(BDHK2,MATCH(InPDBMHKII!$A36,DiemHKII!$B$4:$B$58,0),INDEX($R$10:$AA$24,MATCH($D$6,$R$10:$R$24,0),V$9))&lt;&gt;"",INDEX(BDHK2,MATCH(InPDBMHKII!$A36,DiemHKII!$B$4:$B$58,0),INDEX($R$10:$AA$24,MATCH($D$6,$R$10:$R$24,0),V$9)),""),"")</f>
        <v/>
      </c>
      <c r="I36" s="367" t="str">
        <f>IF($A36&lt;&gt;"",IF(INDEX(BDHK2,MATCH(InPDBMHKII!$A36,DiemHKII!$B$4:$B$58,0),INDEX($R$10:$AA$24,MATCH($D$6,$R$10:$R$24,0),W$9))&lt;&gt;"",INDEX(BDHK2,MATCH(InPDBMHKII!$A36,DiemHKII!$B$4:$B$58,0),INDEX($R$10:$AA$24,MATCH($D$6,$R$10:$R$24,0),W$9)),""),"")</f>
        <v/>
      </c>
      <c r="J36" s="104" t="str">
        <f>IF($A36&lt;&gt;"",IF(INDEX(BDHK2,MATCH(InPDBMHKII!$A36,DiemHKII!$B$4:$B$58,0),INDEX($R$10:$AA$24,MATCH($D$6,$R$10:$R$24,0),X$9))&lt;&gt;"",INDEX(BDHK2,MATCH(InPDBMHKII!$A36,DiemHKII!$B$4:$B$58,0),INDEX($R$10:$AA$24,MATCH($D$6,$R$10:$R$24,0),X$9)),""),"")</f>
        <v/>
      </c>
      <c r="K36" s="258">
        <f>IFERROR(IF($A36&lt;&gt;"",IF(INDEX(BDHK2,MATCH(InPDBMHKII!$A36,DiemHKII!$B$4:$B$58,0),INDEX($R$10:$AA$24,MATCH($D$6,$R$10:$R$24,0),Y$9))&lt;&gt;"",INDEX(BDHK2,MATCH(InPDBMHKII!$A36,DiemHKII!$B$4:$B$58,0),INDEX($R$10:$AA$24,MATCH($D$6,$R$10:$R$24,0),Y$9)),""),""),"")</f>
        <v>9.9</v>
      </c>
      <c r="L36" s="258" t="str">
        <f>IF($A36&lt;&gt;"",IF(INDEX(BDHK2,MATCH(InPDBMHKII!$A36,DiemHKII!$B$4:$B$58,0),INDEX($R$10:$AA$24,MATCH($D$6,$R$10:$R$24,0),Z$9))&lt;&gt;"",INDEX(BDHK2,MATCH(InPDBMHKII!$A36,DiemHKII!$B$4:$B$58,0),INDEX($R$10:$AA$24,MATCH($D$6,$R$10:$R$24,0),Z$9)),""),"")</f>
        <v/>
      </c>
      <c r="M36" s="258" t="str">
        <f>IF($A36&lt;&gt;"",IF(INDEX(BDHK2,MATCH(InPDBMHKII!$A36,DiemHKII!$B$4:$B$58,0),INDEX($R$10:$AA$24,MATCH($D$6,$R$10:$R$24,0),AA$9))&lt;&gt;"",INDEX(BDHK2,MATCH(InPDBMHKII!$A36,DiemHKII!$B$4:$B$58,0),INDEX($R$10:$AA$24,MATCH($D$6,$R$10:$R$24,0),AA$9)),""),"")</f>
        <v/>
      </c>
      <c r="N36" s="259"/>
      <c r="P36" s="251" t="str">
        <f t="shared" si="0"/>
        <v/>
      </c>
    </row>
    <row r="37" spans="1:16" ht="24.9" customHeight="1">
      <c r="A37" s="117">
        <f>IF(A36&lt;MAX(DiemHKII!$B$4:$B$58),A36+1,"")</f>
        <v>28</v>
      </c>
      <c r="B37" s="100" t="str">
        <f>IF($A37&lt;&gt;"",PROPER(INDEX(DiemHKII!$B$4:$T$58,MATCH(InPDBMHKII!$A37,DiemHKII!$B$4:$B$58,0),4)),"")</f>
        <v>Phan Trương Kiến</v>
      </c>
      <c r="C37" s="257" t="str">
        <f>IF($A37&lt;&gt;"",PROPER(INDEX(DiemHKII!$B$4:$T$58,MATCH(InPDBMHKII!$A37,DiemHKII!$B$4:$B$58,0),5)),"")</f>
        <v>Quốc</v>
      </c>
      <c r="D37" s="359" t="str">
        <f>IF($A37&lt;&gt;"",PROPER(INDEX(DiemHKII!$B$4:$T$58,MATCH(InPDBMHKII!$A37,DiemHKII!$B$4:$B$58,0),6)),"")</f>
        <v>03/12/2004</v>
      </c>
      <c r="E37" s="101" t="str">
        <f>IF($A37&lt;&gt;"",IF(INDEX(BDHK2,MATCH(InPDBMHKII!$A37,DiemHKII!$B$4:$B$58,0),INDEX($R$10:$AA$24,MATCH($D$6,$R$10:$R$24,0),S$9))&lt;&gt;"",INDEX(BDHK2,MATCH(InPDBMHKII!$A37,DiemHKII!$B$4:$B$58,0),INDEX($R$10:$AA$24,MATCH($D$6,$R$10:$R$24,0),S$9)),""),"")</f>
        <v/>
      </c>
      <c r="F37" s="102" t="str">
        <f>IF($A37&lt;&gt;"",IF(INDEX(BDHK2,MATCH(InPDBMHKII!$A37,DiemHKII!$B$4:$B$58,0),INDEX($R$10:$AA$24,MATCH($D$6,$R$10:$R$24,0),T$9))&lt;&gt;"",INDEX(BDHK2,MATCH(InPDBMHKII!$A37,DiemHKII!$B$4:$B$58,0),INDEX($R$10:$AA$24,MATCH($D$6,$R$10:$R$24,0),T$9)),""),"")</f>
        <v/>
      </c>
      <c r="G37" s="102" t="str">
        <f>IF($A37&lt;&gt;"",IF(INDEX(BDHK2,MATCH(InPDBMHKII!$A37,DiemHKII!$B$4:$B$58,0),INDEX($R$10:$AA$24,MATCH($D$6,$R$10:$R$24,0),U$9))&lt;&gt;"",INDEX(BDHK2,MATCH(InPDBMHKII!$A37,DiemHKII!$B$4:$B$58,0),INDEX($R$10:$AA$24,MATCH($D$6,$R$10:$R$24,0),U$9)),""),"")</f>
        <v/>
      </c>
      <c r="H37" s="419" t="str">
        <f>IF($A37&lt;&gt;"",IF(INDEX(BDHK2,MATCH(InPDBMHKII!$A37,DiemHKII!$B$4:$B$58,0),INDEX($R$10:$AA$24,MATCH($D$6,$R$10:$R$24,0),V$9))&lt;&gt;"",INDEX(BDHK2,MATCH(InPDBMHKII!$A37,DiemHKII!$B$4:$B$58,0),INDEX($R$10:$AA$24,MATCH($D$6,$R$10:$R$24,0),V$9)),""),"")</f>
        <v/>
      </c>
      <c r="I37" s="367" t="str">
        <f>IF($A37&lt;&gt;"",IF(INDEX(BDHK2,MATCH(InPDBMHKII!$A37,DiemHKII!$B$4:$B$58,0),INDEX($R$10:$AA$24,MATCH($D$6,$R$10:$R$24,0),W$9))&lt;&gt;"",INDEX(BDHK2,MATCH(InPDBMHKII!$A37,DiemHKII!$B$4:$B$58,0),INDEX($R$10:$AA$24,MATCH($D$6,$R$10:$R$24,0),W$9)),""),"")</f>
        <v/>
      </c>
      <c r="J37" s="104" t="str">
        <f>IF($A37&lt;&gt;"",IF(INDEX(BDHK2,MATCH(InPDBMHKII!$A37,DiemHKII!$B$4:$B$58,0),INDEX($R$10:$AA$24,MATCH($D$6,$R$10:$R$24,0),X$9))&lt;&gt;"",INDEX(BDHK2,MATCH(InPDBMHKII!$A37,DiemHKII!$B$4:$B$58,0),INDEX($R$10:$AA$24,MATCH($D$6,$R$10:$R$24,0),X$9)),""),"")</f>
        <v/>
      </c>
      <c r="K37" s="258">
        <f>IFERROR(IF($A37&lt;&gt;"",IF(INDEX(BDHK2,MATCH(InPDBMHKII!$A37,DiemHKII!$B$4:$B$58,0),INDEX($R$10:$AA$24,MATCH($D$6,$R$10:$R$24,0),Y$9))&lt;&gt;"",INDEX(BDHK2,MATCH(InPDBMHKII!$A37,DiemHKII!$B$4:$B$58,0),INDEX($R$10:$AA$24,MATCH($D$6,$R$10:$R$24,0),Y$9)),""),""),"")</f>
        <v>9.1999999999999993</v>
      </c>
      <c r="L37" s="258" t="str">
        <f>IF($A37&lt;&gt;"",IF(INDEX(BDHK2,MATCH(InPDBMHKII!$A37,DiemHKII!$B$4:$B$58,0),INDEX($R$10:$AA$24,MATCH($D$6,$R$10:$R$24,0),Z$9))&lt;&gt;"",INDEX(BDHK2,MATCH(InPDBMHKII!$A37,DiemHKII!$B$4:$B$58,0),INDEX($R$10:$AA$24,MATCH($D$6,$R$10:$R$24,0),Z$9)),""),"")</f>
        <v/>
      </c>
      <c r="M37" s="258" t="str">
        <f>IF($A37&lt;&gt;"",IF(INDEX(BDHK2,MATCH(InPDBMHKII!$A37,DiemHKII!$B$4:$B$58,0),INDEX($R$10:$AA$24,MATCH($D$6,$R$10:$R$24,0),AA$9))&lt;&gt;"",INDEX(BDHK2,MATCH(InPDBMHKII!$A37,DiemHKII!$B$4:$B$58,0),INDEX($R$10:$AA$24,MATCH($D$6,$R$10:$R$24,0),AA$9)),""),"")</f>
        <v/>
      </c>
      <c r="N37" s="259"/>
      <c r="P37" s="251" t="str">
        <f t="shared" si="0"/>
        <v/>
      </c>
    </row>
    <row r="38" spans="1:16" ht="24.9" customHeight="1">
      <c r="A38" s="117">
        <f>IF(A37&lt;MAX(DiemHKII!$B$4:$B$58),A37+1,"")</f>
        <v>29</v>
      </c>
      <c r="B38" s="100" t="str">
        <f>IF($A38&lt;&gt;"",PROPER(INDEX(DiemHKII!$B$4:$T$58,MATCH(InPDBMHKII!$A38,DiemHKII!$B$4:$B$58,0),4)),"")</f>
        <v>Trần Thị Như</v>
      </c>
      <c r="C38" s="257" t="str">
        <f>IF($A38&lt;&gt;"",PROPER(INDEX(DiemHKII!$B$4:$T$58,MATCH(InPDBMHKII!$A38,DiemHKII!$B$4:$B$58,0),5)),"")</f>
        <v>Quỳnh</v>
      </c>
      <c r="D38" s="359" t="str">
        <f>IF($A38&lt;&gt;"",PROPER(INDEX(DiemHKII!$B$4:$T$58,MATCH(InPDBMHKII!$A38,DiemHKII!$B$4:$B$58,0),6)),"")</f>
        <v>28/01/2004</v>
      </c>
      <c r="E38" s="101" t="str">
        <f>IF($A38&lt;&gt;"",IF(INDEX(BDHK2,MATCH(InPDBMHKII!$A38,DiemHKII!$B$4:$B$58,0),INDEX($R$10:$AA$24,MATCH($D$6,$R$10:$R$24,0),S$9))&lt;&gt;"",INDEX(BDHK2,MATCH(InPDBMHKII!$A38,DiemHKII!$B$4:$B$58,0),INDEX($R$10:$AA$24,MATCH($D$6,$R$10:$R$24,0),S$9)),""),"")</f>
        <v/>
      </c>
      <c r="F38" s="102" t="str">
        <f>IF($A38&lt;&gt;"",IF(INDEX(BDHK2,MATCH(InPDBMHKII!$A38,DiemHKII!$B$4:$B$58,0),INDEX($R$10:$AA$24,MATCH($D$6,$R$10:$R$24,0),T$9))&lt;&gt;"",INDEX(BDHK2,MATCH(InPDBMHKII!$A38,DiemHKII!$B$4:$B$58,0),INDEX($R$10:$AA$24,MATCH($D$6,$R$10:$R$24,0),T$9)),""),"")</f>
        <v/>
      </c>
      <c r="G38" s="102" t="str">
        <f>IF($A38&lt;&gt;"",IF(INDEX(BDHK2,MATCH(InPDBMHKII!$A38,DiemHKII!$B$4:$B$58,0),INDEX($R$10:$AA$24,MATCH($D$6,$R$10:$R$24,0),U$9))&lt;&gt;"",INDEX(BDHK2,MATCH(InPDBMHKII!$A38,DiemHKII!$B$4:$B$58,0),INDEX($R$10:$AA$24,MATCH($D$6,$R$10:$R$24,0),U$9)),""),"")</f>
        <v/>
      </c>
      <c r="H38" s="419" t="str">
        <f>IF($A38&lt;&gt;"",IF(INDEX(BDHK2,MATCH(InPDBMHKII!$A38,DiemHKII!$B$4:$B$58,0),INDEX($R$10:$AA$24,MATCH($D$6,$R$10:$R$24,0),V$9))&lt;&gt;"",INDEX(BDHK2,MATCH(InPDBMHKII!$A38,DiemHKII!$B$4:$B$58,0),INDEX($R$10:$AA$24,MATCH($D$6,$R$10:$R$24,0),V$9)),""),"")</f>
        <v/>
      </c>
      <c r="I38" s="367" t="str">
        <f>IF($A38&lt;&gt;"",IF(INDEX(BDHK2,MATCH(InPDBMHKII!$A38,DiemHKII!$B$4:$B$58,0),INDEX($R$10:$AA$24,MATCH($D$6,$R$10:$R$24,0),W$9))&lt;&gt;"",INDEX(BDHK2,MATCH(InPDBMHKII!$A38,DiemHKII!$B$4:$B$58,0),INDEX($R$10:$AA$24,MATCH($D$6,$R$10:$R$24,0),W$9)),""),"")</f>
        <v/>
      </c>
      <c r="J38" s="104" t="str">
        <f>IF($A38&lt;&gt;"",IF(INDEX(BDHK2,MATCH(InPDBMHKII!$A38,DiemHKII!$B$4:$B$58,0),INDEX($R$10:$AA$24,MATCH($D$6,$R$10:$R$24,0),X$9))&lt;&gt;"",INDEX(BDHK2,MATCH(InPDBMHKII!$A38,DiemHKII!$B$4:$B$58,0),INDEX($R$10:$AA$24,MATCH($D$6,$R$10:$R$24,0),X$9)),""),"")</f>
        <v/>
      </c>
      <c r="K38" s="258">
        <f>IFERROR(IF($A38&lt;&gt;"",IF(INDEX(BDHK2,MATCH(InPDBMHKII!$A38,DiemHKII!$B$4:$B$58,0),INDEX($R$10:$AA$24,MATCH($D$6,$R$10:$R$24,0),Y$9))&lt;&gt;"",INDEX(BDHK2,MATCH(InPDBMHKII!$A38,DiemHKII!$B$4:$B$58,0),INDEX($R$10:$AA$24,MATCH($D$6,$R$10:$R$24,0),Y$9)),""),""),"")</f>
        <v>9.9</v>
      </c>
      <c r="L38" s="258" t="str">
        <f>IF($A38&lt;&gt;"",IF(INDEX(BDHK2,MATCH(InPDBMHKII!$A38,DiemHKII!$B$4:$B$58,0),INDEX($R$10:$AA$24,MATCH($D$6,$R$10:$R$24,0),Z$9))&lt;&gt;"",INDEX(BDHK2,MATCH(InPDBMHKII!$A38,DiemHKII!$B$4:$B$58,0),INDEX($R$10:$AA$24,MATCH($D$6,$R$10:$R$24,0),Z$9)),""),"")</f>
        <v/>
      </c>
      <c r="M38" s="258" t="str">
        <f>IF($A38&lt;&gt;"",IF(INDEX(BDHK2,MATCH(InPDBMHKII!$A38,DiemHKII!$B$4:$B$58,0),INDEX($R$10:$AA$24,MATCH($D$6,$R$10:$R$24,0),AA$9))&lt;&gt;"",INDEX(BDHK2,MATCH(InPDBMHKII!$A38,DiemHKII!$B$4:$B$58,0),INDEX($R$10:$AA$24,MATCH($D$6,$R$10:$R$24,0),AA$9)),""),"")</f>
        <v/>
      </c>
      <c r="N38" s="259"/>
      <c r="P38" s="251" t="str">
        <f t="shared" si="0"/>
        <v/>
      </c>
    </row>
    <row r="39" spans="1:16" ht="24.9" customHeight="1">
      <c r="A39" s="260">
        <f>IF(A38&lt;MAX(DiemHKII!$B$4:$B$58),A38+1,"")</f>
        <v>30</v>
      </c>
      <c r="B39" s="106" t="str">
        <f>IF($A39&lt;&gt;"",PROPER(INDEX(DiemHKII!$B$4:$T$58,MATCH(InPDBMHKII!$A39,DiemHKII!$B$4:$B$58,0),4)),"")</f>
        <v>Nguyễn Thái</v>
      </c>
      <c r="C39" s="261" t="str">
        <f>IF($A39&lt;&gt;"",PROPER(INDEX(DiemHKII!$B$4:$T$58,MATCH(InPDBMHKII!$A39,DiemHKII!$B$4:$B$58,0),5)),"")</f>
        <v>Sơn</v>
      </c>
      <c r="D39" s="360" t="str">
        <f>IF($A39&lt;&gt;"",PROPER(INDEX(DiemHKII!$B$4:$T$58,MATCH(InPDBMHKII!$A39,DiemHKII!$B$4:$B$58,0),6)),"")</f>
        <v>14/04/2004</v>
      </c>
      <c r="E39" s="107" t="str">
        <f>IF($A39&lt;&gt;"",IF(INDEX(BDHK2,MATCH(InPDBMHKII!$A39,DiemHKII!$B$4:$B$58,0),INDEX($R$10:$AA$24,MATCH($D$6,$R$10:$R$24,0),S$9))&lt;&gt;"",INDEX(BDHK2,MATCH(InPDBMHKII!$A39,DiemHKII!$B$4:$B$58,0),INDEX($R$10:$AA$24,MATCH($D$6,$R$10:$R$24,0),S$9)),""),"")</f>
        <v/>
      </c>
      <c r="F39" s="108" t="str">
        <f>IF($A39&lt;&gt;"",IF(INDEX(BDHK2,MATCH(InPDBMHKII!$A39,DiemHKII!$B$4:$B$58,0),INDEX($R$10:$AA$24,MATCH($D$6,$R$10:$R$24,0),T$9))&lt;&gt;"",INDEX(BDHK2,MATCH(InPDBMHKII!$A39,DiemHKII!$B$4:$B$58,0),INDEX($R$10:$AA$24,MATCH($D$6,$R$10:$R$24,0),T$9)),""),"")</f>
        <v/>
      </c>
      <c r="G39" s="108" t="str">
        <f>IF($A39&lt;&gt;"",IF(INDEX(BDHK2,MATCH(InPDBMHKII!$A39,DiemHKII!$B$4:$B$58,0),INDEX($R$10:$AA$24,MATCH($D$6,$R$10:$R$24,0),U$9))&lt;&gt;"",INDEX(BDHK2,MATCH(InPDBMHKII!$A39,DiemHKII!$B$4:$B$58,0),INDEX($R$10:$AA$24,MATCH($D$6,$R$10:$R$24,0),U$9)),""),"")</f>
        <v/>
      </c>
      <c r="H39" s="420" t="str">
        <f>IF($A39&lt;&gt;"",IF(INDEX(BDHK2,MATCH(InPDBMHKII!$A39,DiemHKII!$B$4:$B$58,0),INDEX($R$10:$AA$24,MATCH($D$6,$R$10:$R$24,0),V$9))&lt;&gt;"",INDEX(BDHK2,MATCH(InPDBMHKII!$A39,DiemHKII!$B$4:$B$58,0),INDEX($R$10:$AA$24,MATCH($D$6,$R$10:$R$24,0),V$9)),""),"")</f>
        <v/>
      </c>
      <c r="I39" s="368" t="str">
        <f>IF($A39&lt;&gt;"",IF(INDEX(BDHK2,MATCH(InPDBMHKII!$A39,DiemHKII!$B$4:$B$58,0),INDEX($R$10:$AA$24,MATCH($D$6,$R$10:$R$24,0),W$9))&lt;&gt;"",INDEX(BDHK2,MATCH(InPDBMHKII!$A39,DiemHKII!$B$4:$B$58,0),INDEX($R$10:$AA$24,MATCH($D$6,$R$10:$R$24,0),W$9)),""),"")</f>
        <v/>
      </c>
      <c r="J39" s="110" t="str">
        <f>IF($A39&lt;&gt;"",IF(INDEX(BDHK2,MATCH(InPDBMHKII!$A39,DiemHKII!$B$4:$B$58,0),INDEX($R$10:$AA$24,MATCH($D$6,$R$10:$R$24,0),X$9))&lt;&gt;"",INDEX(BDHK2,MATCH(InPDBMHKII!$A39,DiemHKII!$B$4:$B$58,0),INDEX($R$10:$AA$24,MATCH($D$6,$R$10:$R$24,0),X$9)),""),"")</f>
        <v/>
      </c>
      <c r="K39" s="262">
        <f>IFERROR(IF($A39&lt;&gt;"",IF(INDEX(BDHK2,MATCH(InPDBMHKII!$A39,DiemHKII!$B$4:$B$58,0),INDEX($R$10:$AA$24,MATCH($D$6,$R$10:$R$24,0),Y$9))&lt;&gt;"",INDEX(BDHK2,MATCH(InPDBMHKII!$A39,DiemHKII!$B$4:$B$58,0),INDEX($R$10:$AA$24,MATCH($D$6,$R$10:$R$24,0),Y$9)),""),""),"")</f>
        <v>9.6</v>
      </c>
      <c r="L39" s="262" t="str">
        <f>IF($A39&lt;&gt;"",IF(INDEX(BDHK2,MATCH(InPDBMHKII!$A39,DiemHKII!$B$4:$B$58,0),INDEX($R$10:$AA$24,MATCH($D$6,$R$10:$R$24,0),Z$9))&lt;&gt;"",INDEX(BDHK2,MATCH(InPDBMHKII!$A39,DiemHKII!$B$4:$B$58,0),INDEX($R$10:$AA$24,MATCH($D$6,$R$10:$R$24,0),Z$9)),""),"")</f>
        <v/>
      </c>
      <c r="M39" s="262" t="str">
        <f>IF($A39&lt;&gt;"",IF(INDEX(BDHK2,MATCH(InPDBMHKII!$A39,DiemHKII!$B$4:$B$58,0),INDEX($R$10:$AA$24,MATCH($D$6,$R$10:$R$24,0),AA$9))&lt;&gt;"",INDEX(BDHK2,MATCH(InPDBMHKII!$A39,DiemHKII!$B$4:$B$58,0),INDEX($R$10:$AA$24,MATCH($D$6,$R$10:$R$24,0),AA$9)),""),"")</f>
        <v/>
      </c>
      <c r="N39" s="263"/>
      <c r="P39" s="251" t="str">
        <f t="shared" si="0"/>
        <v/>
      </c>
    </row>
    <row r="40" spans="1:16" ht="24.9" customHeight="1">
      <c r="A40" s="264">
        <f>IF(A39&lt;MAX(DiemHKII!$B$4:$B$58),A39+1,"")</f>
        <v>31</v>
      </c>
      <c r="B40" s="112" t="str">
        <f>IF($A40&lt;&gt;"",PROPER(INDEX(DiemHKII!$B$4:$T$58,MATCH(InPDBMHKII!$A40,DiemHKII!$B$4:$B$58,0),4)),"")</f>
        <v>Đặng Hoàng</v>
      </c>
      <c r="C40" s="265" t="str">
        <f>IF($A40&lt;&gt;"",PROPER(INDEX(DiemHKII!$B$4:$T$58,MATCH(InPDBMHKII!$A40,DiemHKII!$B$4:$B$58,0),5)),"")</f>
        <v>Tân</v>
      </c>
      <c r="D40" s="361" t="str">
        <f>IF($A40&lt;&gt;"",PROPER(INDEX(DiemHKII!$B$4:$T$58,MATCH(InPDBMHKII!$A40,DiemHKII!$B$4:$B$58,0),6)),"")</f>
        <v>26/09/2004</v>
      </c>
      <c r="E40" s="113" t="str">
        <f>IF($A40&lt;&gt;"",IF(INDEX(BDHK2,MATCH(InPDBMHKII!$A40,DiemHKII!$B$4:$B$58,0),INDEX($R$10:$AA$24,MATCH($D$6,$R$10:$R$24,0),S$9))&lt;&gt;"",INDEX(BDHK2,MATCH(InPDBMHKII!$A40,DiemHKII!$B$4:$B$58,0),INDEX($R$10:$AA$24,MATCH($D$6,$R$10:$R$24,0),S$9)),""),"")</f>
        <v/>
      </c>
      <c r="F40" s="114" t="str">
        <f>IF($A40&lt;&gt;"",IF(INDEX(BDHK2,MATCH(InPDBMHKII!$A40,DiemHKII!$B$4:$B$58,0),INDEX($R$10:$AA$24,MATCH($D$6,$R$10:$R$24,0),T$9))&lt;&gt;"",INDEX(BDHK2,MATCH(InPDBMHKII!$A40,DiemHKII!$B$4:$B$58,0),INDEX($R$10:$AA$24,MATCH($D$6,$R$10:$R$24,0),T$9)),""),"")</f>
        <v/>
      </c>
      <c r="G40" s="114" t="str">
        <f>IF($A40&lt;&gt;"",IF(INDEX(BDHK2,MATCH(InPDBMHKII!$A40,DiemHKII!$B$4:$B$58,0),INDEX($R$10:$AA$24,MATCH($D$6,$R$10:$R$24,0),U$9))&lt;&gt;"",INDEX(BDHK2,MATCH(InPDBMHKII!$A40,DiemHKII!$B$4:$B$58,0),INDEX($R$10:$AA$24,MATCH($D$6,$R$10:$R$24,0),U$9)),""),"")</f>
        <v/>
      </c>
      <c r="H40" s="421" t="str">
        <f>IF($A40&lt;&gt;"",IF(INDEX(BDHK2,MATCH(InPDBMHKII!$A40,DiemHKII!$B$4:$B$58,0),INDEX($R$10:$AA$24,MATCH($D$6,$R$10:$R$24,0),V$9))&lt;&gt;"",INDEX(BDHK2,MATCH(InPDBMHKII!$A40,DiemHKII!$B$4:$B$58,0),INDEX($R$10:$AA$24,MATCH($D$6,$R$10:$R$24,0),V$9)),""),"")</f>
        <v/>
      </c>
      <c r="I40" s="369" t="str">
        <f>IF($A40&lt;&gt;"",IF(INDEX(BDHK2,MATCH(InPDBMHKII!$A40,DiemHKII!$B$4:$B$58,0),INDEX($R$10:$AA$24,MATCH($D$6,$R$10:$R$24,0),W$9))&lt;&gt;"",INDEX(BDHK2,MATCH(InPDBMHKII!$A40,DiemHKII!$B$4:$B$58,0),INDEX($R$10:$AA$24,MATCH($D$6,$R$10:$R$24,0),W$9)),""),"")</f>
        <v/>
      </c>
      <c r="J40" s="116" t="str">
        <f>IF($A40&lt;&gt;"",IF(INDEX(BDHK2,MATCH(InPDBMHKII!$A40,DiemHKII!$B$4:$B$58,0),INDEX($R$10:$AA$24,MATCH($D$6,$R$10:$R$24,0),X$9))&lt;&gt;"",INDEX(BDHK2,MATCH(InPDBMHKII!$A40,DiemHKII!$B$4:$B$58,0),INDEX($R$10:$AA$24,MATCH($D$6,$R$10:$R$24,0),X$9)),""),"")</f>
        <v/>
      </c>
      <c r="K40" s="255">
        <f>IFERROR(IF($A40&lt;&gt;"",IF(INDEX(BDHK2,MATCH(InPDBMHKII!$A40,DiemHKII!$B$4:$B$58,0),INDEX($R$10:$AA$24,MATCH($D$6,$R$10:$R$24,0),Y$9))&lt;&gt;"",INDEX(BDHK2,MATCH(InPDBMHKII!$A40,DiemHKII!$B$4:$B$58,0),INDEX($R$10:$AA$24,MATCH($D$6,$R$10:$R$24,0),Y$9)),""),""),"")</f>
        <v>9.6999999999999993</v>
      </c>
      <c r="L40" s="255" t="str">
        <f>IF($A40&lt;&gt;"",IF(INDEX(BDHK2,MATCH(InPDBMHKII!$A40,DiemHKII!$B$4:$B$58,0),INDEX($R$10:$AA$24,MATCH($D$6,$R$10:$R$24,0),Z$9))&lt;&gt;"",INDEX(BDHK2,MATCH(InPDBMHKII!$A40,DiemHKII!$B$4:$B$58,0),INDEX($R$10:$AA$24,MATCH($D$6,$R$10:$R$24,0),Z$9)),""),"")</f>
        <v/>
      </c>
      <c r="M40" s="255" t="str">
        <f>IF($A40&lt;&gt;"",IF(INDEX(BDHK2,MATCH(InPDBMHKII!$A40,DiemHKII!$B$4:$B$58,0),INDEX($R$10:$AA$24,MATCH($D$6,$R$10:$R$24,0),AA$9))&lt;&gt;"",INDEX(BDHK2,MATCH(InPDBMHKII!$A40,DiemHKII!$B$4:$B$58,0),INDEX($R$10:$AA$24,MATCH($D$6,$R$10:$R$24,0),AA$9)),""),"")</f>
        <v/>
      </c>
      <c r="N40" s="256"/>
      <c r="P40" s="251" t="str">
        <f t="shared" si="0"/>
        <v/>
      </c>
    </row>
    <row r="41" spans="1:16" ht="24.9" customHeight="1">
      <c r="A41" s="117">
        <f>IF(A40&lt;MAX(DiemHKII!$B$4:$B$58),A40+1,"")</f>
        <v>32</v>
      </c>
      <c r="B41" s="100" t="str">
        <f>IF($A41&lt;&gt;"",PROPER(INDEX(DiemHKII!$B$4:$T$58,MATCH(InPDBMHKII!$A41,DiemHKII!$B$4:$B$58,0),4)),"")</f>
        <v>Hồ Quang</v>
      </c>
      <c r="C41" s="257" t="str">
        <f>IF($A41&lt;&gt;"",PROPER(INDEX(DiemHKII!$B$4:$T$58,MATCH(InPDBMHKII!$A41,DiemHKII!$B$4:$B$58,0),5)),"")</f>
        <v>Thành</v>
      </c>
      <c r="D41" s="359" t="str">
        <f>IF($A41&lt;&gt;"",PROPER(INDEX(DiemHKII!$B$4:$T$58,MATCH(InPDBMHKII!$A41,DiemHKII!$B$4:$B$58,0),6)),"")</f>
        <v>28/02/2004</v>
      </c>
      <c r="E41" s="101" t="str">
        <f>IF($A41&lt;&gt;"",IF(INDEX(BDHK2,MATCH(InPDBMHKII!$A41,DiemHKII!$B$4:$B$58,0),INDEX($R$10:$AA$24,MATCH($D$6,$R$10:$R$24,0),S$9))&lt;&gt;"",INDEX(BDHK2,MATCH(InPDBMHKII!$A41,DiemHKII!$B$4:$B$58,0),INDEX($R$10:$AA$24,MATCH($D$6,$R$10:$R$24,0),S$9)),""),"")</f>
        <v/>
      </c>
      <c r="F41" s="102" t="str">
        <f>IF($A41&lt;&gt;"",IF(INDEX(BDHK2,MATCH(InPDBMHKII!$A41,DiemHKII!$B$4:$B$58,0),INDEX($R$10:$AA$24,MATCH($D$6,$R$10:$R$24,0),T$9))&lt;&gt;"",INDEX(BDHK2,MATCH(InPDBMHKII!$A41,DiemHKII!$B$4:$B$58,0),INDEX($R$10:$AA$24,MATCH($D$6,$R$10:$R$24,0),T$9)),""),"")</f>
        <v/>
      </c>
      <c r="G41" s="102" t="str">
        <f>IF($A41&lt;&gt;"",IF(INDEX(BDHK2,MATCH(InPDBMHKII!$A41,DiemHKII!$B$4:$B$58,0),INDEX($R$10:$AA$24,MATCH($D$6,$R$10:$R$24,0),U$9))&lt;&gt;"",INDEX(BDHK2,MATCH(InPDBMHKII!$A41,DiemHKII!$B$4:$B$58,0),INDEX($R$10:$AA$24,MATCH($D$6,$R$10:$R$24,0),U$9)),""),"")</f>
        <v/>
      </c>
      <c r="H41" s="419" t="str">
        <f>IF($A41&lt;&gt;"",IF(INDEX(BDHK2,MATCH(InPDBMHKII!$A41,DiemHKII!$B$4:$B$58,0),INDEX($R$10:$AA$24,MATCH($D$6,$R$10:$R$24,0),V$9))&lt;&gt;"",INDEX(BDHK2,MATCH(InPDBMHKII!$A41,DiemHKII!$B$4:$B$58,0),INDEX($R$10:$AA$24,MATCH($D$6,$R$10:$R$24,0),V$9)),""),"")</f>
        <v/>
      </c>
      <c r="I41" s="367" t="str">
        <f>IF($A41&lt;&gt;"",IF(INDEX(BDHK2,MATCH(InPDBMHKII!$A41,DiemHKII!$B$4:$B$58,0),INDEX($R$10:$AA$24,MATCH($D$6,$R$10:$R$24,0),W$9))&lt;&gt;"",INDEX(BDHK2,MATCH(InPDBMHKII!$A41,DiemHKII!$B$4:$B$58,0),INDEX($R$10:$AA$24,MATCH($D$6,$R$10:$R$24,0),W$9)),""),"")</f>
        <v/>
      </c>
      <c r="J41" s="104" t="str">
        <f>IF($A41&lt;&gt;"",IF(INDEX(BDHK2,MATCH(InPDBMHKII!$A41,DiemHKII!$B$4:$B$58,0),INDEX($R$10:$AA$24,MATCH($D$6,$R$10:$R$24,0),X$9))&lt;&gt;"",INDEX(BDHK2,MATCH(InPDBMHKII!$A41,DiemHKII!$B$4:$B$58,0),INDEX($R$10:$AA$24,MATCH($D$6,$R$10:$R$24,0),X$9)),""),"")</f>
        <v/>
      </c>
      <c r="K41" s="258">
        <f>IFERROR(IF($A41&lt;&gt;"",IF(INDEX(BDHK2,MATCH(InPDBMHKII!$A41,DiemHKII!$B$4:$B$58,0),INDEX($R$10:$AA$24,MATCH($D$6,$R$10:$R$24,0),Y$9))&lt;&gt;"",INDEX(BDHK2,MATCH(InPDBMHKII!$A41,DiemHKII!$B$4:$B$58,0),INDEX($R$10:$AA$24,MATCH($D$6,$R$10:$R$24,0),Y$9)),""),""),"")</f>
        <v>9.5</v>
      </c>
      <c r="L41" s="258" t="str">
        <f>IF($A41&lt;&gt;"",IF(INDEX(BDHK2,MATCH(InPDBMHKII!$A41,DiemHKII!$B$4:$B$58,0),INDEX($R$10:$AA$24,MATCH($D$6,$R$10:$R$24,0),Z$9))&lt;&gt;"",INDEX(BDHK2,MATCH(InPDBMHKII!$A41,DiemHKII!$B$4:$B$58,0),INDEX($R$10:$AA$24,MATCH($D$6,$R$10:$R$24,0),Z$9)),""),"")</f>
        <v/>
      </c>
      <c r="M41" s="258" t="str">
        <f>IF($A41&lt;&gt;"",IF(INDEX(BDHK2,MATCH(InPDBMHKII!$A41,DiemHKII!$B$4:$B$58,0),INDEX($R$10:$AA$24,MATCH($D$6,$R$10:$R$24,0),AA$9))&lt;&gt;"",INDEX(BDHK2,MATCH(InPDBMHKII!$A41,DiemHKII!$B$4:$B$58,0),INDEX($R$10:$AA$24,MATCH($D$6,$R$10:$R$24,0),AA$9)),""),"")</f>
        <v/>
      </c>
      <c r="N41" s="259"/>
      <c r="P41" s="251" t="str">
        <f t="shared" si="0"/>
        <v/>
      </c>
    </row>
    <row r="42" spans="1:16" ht="24.9" customHeight="1">
      <c r="A42" s="117">
        <f>IF(A41&lt;MAX(DiemHKII!$B$4:$B$58),A41+1,"")</f>
        <v>33</v>
      </c>
      <c r="B42" s="100" t="str">
        <f>IF($A42&lt;&gt;"",PROPER(INDEX(DiemHKII!$B$4:$T$58,MATCH(InPDBMHKII!$A42,DiemHKII!$B$4:$B$58,0),4)),"")</f>
        <v>Trần Thịnh</v>
      </c>
      <c r="C42" s="257" t="str">
        <f>IF($A42&lt;&gt;"",PROPER(INDEX(DiemHKII!$B$4:$T$58,MATCH(InPDBMHKII!$A42,DiemHKII!$B$4:$B$58,0),5)),"")</f>
        <v>Thịnh</v>
      </c>
      <c r="D42" s="359" t="str">
        <f>IF($A42&lt;&gt;"",PROPER(INDEX(DiemHKII!$B$4:$T$58,MATCH(InPDBMHKII!$A42,DiemHKII!$B$4:$B$58,0),6)),"")</f>
        <v>18/08/2004</v>
      </c>
      <c r="E42" s="101" t="str">
        <f>IF($A42&lt;&gt;"",IF(INDEX(BDHK2,MATCH(InPDBMHKII!$A42,DiemHKII!$B$4:$B$58,0),INDEX($R$10:$AA$24,MATCH($D$6,$R$10:$R$24,0),S$9))&lt;&gt;"",INDEX(BDHK2,MATCH(InPDBMHKII!$A42,DiemHKII!$B$4:$B$58,0),INDEX($R$10:$AA$24,MATCH($D$6,$R$10:$R$24,0),S$9)),""),"")</f>
        <v/>
      </c>
      <c r="F42" s="102" t="str">
        <f>IF($A42&lt;&gt;"",IF(INDEX(BDHK2,MATCH(InPDBMHKII!$A42,DiemHKII!$B$4:$B$58,0),INDEX($R$10:$AA$24,MATCH($D$6,$R$10:$R$24,0),T$9))&lt;&gt;"",INDEX(BDHK2,MATCH(InPDBMHKII!$A42,DiemHKII!$B$4:$B$58,0),INDEX($R$10:$AA$24,MATCH($D$6,$R$10:$R$24,0),T$9)),""),"")</f>
        <v/>
      </c>
      <c r="G42" s="102" t="str">
        <f>IF($A42&lt;&gt;"",IF(INDEX(BDHK2,MATCH(InPDBMHKII!$A42,DiemHKII!$B$4:$B$58,0),INDEX($R$10:$AA$24,MATCH($D$6,$R$10:$R$24,0),U$9))&lt;&gt;"",INDEX(BDHK2,MATCH(InPDBMHKII!$A42,DiemHKII!$B$4:$B$58,0),INDEX($R$10:$AA$24,MATCH($D$6,$R$10:$R$24,0),U$9)),""),"")</f>
        <v/>
      </c>
      <c r="H42" s="419" t="str">
        <f>IF($A42&lt;&gt;"",IF(INDEX(BDHK2,MATCH(InPDBMHKII!$A42,DiemHKII!$B$4:$B$58,0),INDEX($R$10:$AA$24,MATCH($D$6,$R$10:$R$24,0),V$9))&lt;&gt;"",INDEX(BDHK2,MATCH(InPDBMHKII!$A42,DiemHKII!$B$4:$B$58,0),INDEX($R$10:$AA$24,MATCH($D$6,$R$10:$R$24,0),V$9)),""),"")</f>
        <v/>
      </c>
      <c r="I42" s="367" t="str">
        <f>IF($A42&lt;&gt;"",IF(INDEX(BDHK2,MATCH(InPDBMHKII!$A42,DiemHKII!$B$4:$B$58,0),INDEX($R$10:$AA$24,MATCH($D$6,$R$10:$R$24,0),W$9))&lt;&gt;"",INDEX(BDHK2,MATCH(InPDBMHKII!$A42,DiemHKII!$B$4:$B$58,0),INDEX($R$10:$AA$24,MATCH($D$6,$R$10:$R$24,0),W$9)),""),"")</f>
        <v/>
      </c>
      <c r="J42" s="104" t="str">
        <f>IF($A42&lt;&gt;"",IF(INDEX(BDHK2,MATCH(InPDBMHKII!$A42,DiemHKII!$B$4:$B$58,0),INDEX($R$10:$AA$24,MATCH($D$6,$R$10:$R$24,0),X$9))&lt;&gt;"",INDEX(BDHK2,MATCH(InPDBMHKII!$A42,DiemHKII!$B$4:$B$58,0),INDEX($R$10:$AA$24,MATCH($D$6,$R$10:$R$24,0),X$9)),""),"")</f>
        <v/>
      </c>
      <c r="K42" s="258">
        <f>IFERROR(IF($A42&lt;&gt;"",IF(INDEX(BDHK2,MATCH(InPDBMHKII!$A42,DiemHKII!$B$4:$B$58,0),INDEX($R$10:$AA$24,MATCH($D$6,$R$10:$R$24,0),Y$9))&lt;&gt;"",INDEX(BDHK2,MATCH(InPDBMHKII!$A42,DiemHKII!$B$4:$B$58,0),INDEX($R$10:$AA$24,MATCH($D$6,$R$10:$R$24,0),Y$9)),""),""),"")</f>
        <v>9.6</v>
      </c>
      <c r="L42" s="258" t="str">
        <f>IF($A42&lt;&gt;"",IF(INDEX(BDHK2,MATCH(InPDBMHKII!$A42,DiemHKII!$B$4:$B$58,0),INDEX($R$10:$AA$24,MATCH($D$6,$R$10:$R$24,0),Z$9))&lt;&gt;"",INDEX(BDHK2,MATCH(InPDBMHKII!$A42,DiemHKII!$B$4:$B$58,0),INDEX($R$10:$AA$24,MATCH($D$6,$R$10:$R$24,0),Z$9)),""),"")</f>
        <v/>
      </c>
      <c r="M42" s="258" t="str">
        <f>IF($A42&lt;&gt;"",IF(INDEX(BDHK2,MATCH(InPDBMHKII!$A42,DiemHKII!$B$4:$B$58,0),INDEX($R$10:$AA$24,MATCH($D$6,$R$10:$R$24,0),AA$9))&lt;&gt;"",INDEX(BDHK2,MATCH(InPDBMHKII!$A42,DiemHKII!$B$4:$B$58,0),INDEX($R$10:$AA$24,MATCH($D$6,$R$10:$R$24,0),AA$9)),""),"")</f>
        <v/>
      </c>
      <c r="N42" s="259"/>
      <c r="P42" s="251" t="str">
        <f t="shared" si="0"/>
        <v/>
      </c>
    </row>
    <row r="43" spans="1:16" ht="24.9" customHeight="1">
      <c r="A43" s="117">
        <f>IF(A42&lt;MAX(DiemHKII!$B$4:$B$58),A42+1,"")</f>
        <v>34</v>
      </c>
      <c r="B43" s="100" t="str">
        <f>IF($A43&lt;&gt;"",PROPER(INDEX(DiemHKII!$B$4:$T$58,MATCH(InPDBMHKII!$A43,DiemHKII!$B$4:$B$58,0),4)),"")</f>
        <v>Trần Kim Bảo</v>
      </c>
      <c r="C43" s="257" t="str">
        <f>IF($A43&lt;&gt;"",PROPER(INDEX(DiemHKII!$B$4:$T$58,MATCH(InPDBMHKII!$A43,DiemHKII!$B$4:$B$58,0),5)),"")</f>
        <v>Trân</v>
      </c>
      <c r="D43" s="359" t="str">
        <f>IF($A43&lt;&gt;"",PROPER(INDEX(DiemHKII!$B$4:$T$58,MATCH(InPDBMHKII!$A43,DiemHKII!$B$4:$B$58,0),6)),"")</f>
        <v>05/06/2004</v>
      </c>
      <c r="E43" s="101" t="str">
        <f>IF($A43&lt;&gt;"",IF(INDEX(BDHK2,MATCH(InPDBMHKII!$A43,DiemHKII!$B$4:$B$58,0),INDEX($R$10:$AA$24,MATCH($D$6,$R$10:$R$24,0),S$9))&lt;&gt;"",INDEX(BDHK2,MATCH(InPDBMHKII!$A43,DiemHKII!$B$4:$B$58,0),INDEX($R$10:$AA$24,MATCH($D$6,$R$10:$R$24,0),S$9)),""),"")</f>
        <v/>
      </c>
      <c r="F43" s="102" t="str">
        <f>IF($A43&lt;&gt;"",IF(INDEX(BDHK2,MATCH(InPDBMHKII!$A43,DiemHKII!$B$4:$B$58,0),INDEX($R$10:$AA$24,MATCH($D$6,$R$10:$R$24,0),T$9))&lt;&gt;"",INDEX(BDHK2,MATCH(InPDBMHKII!$A43,DiemHKII!$B$4:$B$58,0),INDEX($R$10:$AA$24,MATCH($D$6,$R$10:$R$24,0),T$9)),""),"")</f>
        <v/>
      </c>
      <c r="G43" s="102" t="str">
        <f>IF($A43&lt;&gt;"",IF(INDEX(BDHK2,MATCH(InPDBMHKII!$A43,DiemHKII!$B$4:$B$58,0),INDEX($R$10:$AA$24,MATCH($D$6,$R$10:$R$24,0),U$9))&lt;&gt;"",INDEX(BDHK2,MATCH(InPDBMHKII!$A43,DiemHKII!$B$4:$B$58,0),INDEX($R$10:$AA$24,MATCH($D$6,$R$10:$R$24,0),U$9)),""),"")</f>
        <v/>
      </c>
      <c r="H43" s="419" t="str">
        <f>IF($A43&lt;&gt;"",IF(INDEX(BDHK2,MATCH(InPDBMHKII!$A43,DiemHKII!$B$4:$B$58,0),INDEX($R$10:$AA$24,MATCH($D$6,$R$10:$R$24,0),V$9))&lt;&gt;"",INDEX(BDHK2,MATCH(InPDBMHKII!$A43,DiemHKII!$B$4:$B$58,0),INDEX($R$10:$AA$24,MATCH($D$6,$R$10:$R$24,0),V$9)),""),"")</f>
        <v/>
      </c>
      <c r="I43" s="367" t="str">
        <f>IF($A43&lt;&gt;"",IF(INDEX(BDHK2,MATCH(InPDBMHKII!$A43,DiemHKII!$B$4:$B$58,0),INDEX($R$10:$AA$24,MATCH($D$6,$R$10:$R$24,0),W$9))&lt;&gt;"",INDEX(BDHK2,MATCH(InPDBMHKII!$A43,DiemHKII!$B$4:$B$58,0),INDEX($R$10:$AA$24,MATCH($D$6,$R$10:$R$24,0),W$9)),""),"")</f>
        <v/>
      </c>
      <c r="J43" s="104" t="str">
        <f>IF($A43&lt;&gt;"",IF(INDEX(BDHK2,MATCH(InPDBMHKII!$A43,DiemHKII!$B$4:$B$58,0),INDEX($R$10:$AA$24,MATCH($D$6,$R$10:$R$24,0),X$9))&lt;&gt;"",INDEX(BDHK2,MATCH(InPDBMHKII!$A43,DiemHKII!$B$4:$B$58,0),INDEX($R$10:$AA$24,MATCH($D$6,$R$10:$R$24,0),X$9)),""),"")</f>
        <v/>
      </c>
      <c r="K43" s="258">
        <f>IFERROR(IF($A43&lt;&gt;"",IF(INDEX(BDHK2,MATCH(InPDBMHKII!$A43,DiemHKII!$B$4:$B$58,0),INDEX($R$10:$AA$24,MATCH($D$6,$R$10:$R$24,0),Y$9))&lt;&gt;"",INDEX(BDHK2,MATCH(InPDBMHKII!$A43,DiemHKII!$B$4:$B$58,0),INDEX($R$10:$AA$24,MATCH($D$6,$R$10:$R$24,0),Y$9)),""),""),"")</f>
        <v>8.6999999999999993</v>
      </c>
      <c r="L43" s="258" t="str">
        <f>IF($A43&lt;&gt;"",IF(INDEX(BDHK2,MATCH(InPDBMHKII!$A43,DiemHKII!$B$4:$B$58,0),INDEX($R$10:$AA$24,MATCH($D$6,$R$10:$R$24,0),Z$9))&lt;&gt;"",INDEX(BDHK2,MATCH(InPDBMHKII!$A43,DiemHKII!$B$4:$B$58,0),INDEX($R$10:$AA$24,MATCH($D$6,$R$10:$R$24,0),Z$9)),""),"")</f>
        <v/>
      </c>
      <c r="M43" s="258" t="str">
        <f>IF($A43&lt;&gt;"",IF(INDEX(BDHK2,MATCH(InPDBMHKII!$A43,DiemHKII!$B$4:$B$58,0),INDEX($R$10:$AA$24,MATCH($D$6,$R$10:$R$24,0),AA$9))&lt;&gt;"",INDEX(BDHK2,MATCH(InPDBMHKII!$A43,DiemHKII!$B$4:$B$58,0),INDEX($R$10:$AA$24,MATCH($D$6,$R$10:$R$24,0),AA$9)),""),"")</f>
        <v/>
      </c>
      <c r="N43" s="259"/>
      <c r="P43" s="251" t="str">
        <f t="shared" si="0"/>
        <v/>
      </c>
    </row>
    <row r="44" spans="1:16" ht="24.9" customHeight="1">
      <c r="A44" s="260">
        <f>IF(A43&lt;MAX(DiemHKII!$B$4:$B$58),A43+1,"")</f>
        <v>35</v>
      </c>
      <c r="B44" s="106" t="str">
        <f>IF($A44&lt;&gt;"",PROPER(INDEX(DiemHKII!$B$4:$T$58,MATCH(InPDBMHKII!$A44,DiemHKII!$B$4:$B$58,0),4)),"")</f>
        <v>Phạm Đức</v>
      </c>
      <c r="C44" s="261" t="str">
        <f>IF($A44&lt;&gt;"",PROPER(INDEX(DiemHKII!$B$4:$T$58,MATCH(InPDBMHKII!$A44,DiemHKII!$B$4:$B$58,0),5)),"")</f>
        <v>Trung</v>
      </c>
      <c r="D44" s="360" t="str">
        <f>IF($A44&lt;&gt;"",PROPER(INDEX(DiemHKII!$B$4:$T$58,MATCH(InPDBMHKII!$A44,DiemHKII!$B$4:$B$58,0),6)),"")</f>
        <v>07/10/2004</v>
      </c>
      <c r="E44" s="107" t="str">
        <f>IF($A44&lt;&gt;"",IF(INDEX(BDHK2,MATCH(InPDBMHKII!$A44,DiemHKII!$B$4:$B$58,0),INDEX($R$10:$AA$24,MATCH($D$6,$R$10:$R$24,0),S$9))&lt;&gt;"",INDEX(BDHK2,MATCH(InPDBMHKII!$A44,DiemHKII!$B$4:$B$58,0),INDEX($R$10:$AA$24,MATCH($D$6,$R$10:$R$24,0),S$9)),""),"")</f>
        <v/>
      </c>
      <c r="F44" s="108" t="str">
        <f>IF($A44&lt;&gt;"",IF(INDEX(BDHK2,MATCH(InPDBMHKII!$A44,DiemHKII!$B$4:$B$58,0),INDEX($R$10:$AA$24,MATCH($D$6,$R$10:$R$24,0),T$9))&lt;&gt;"",INDEX(BDHK2,MATCH(InPDBMHKII!$A44,DiemHKII!$B$4:$B$58,0),INDEX($R$10:$AA$24,MATCH($D$6,$R$10:$R$24,0),T$9)),""),"")</f>
        <v/>
      </c>
      <c r="G44" s="108" t="str">
        <f>IF($A44&lt;&gt;"",IF(INDEX(BDHK2,MATCH(InPDBMHKII!$A44,DiemHKII!$B$4:$B$58,0),INDEX($R$10:$AA$24,MATCH($D$6,$R$10:$R$24,0),U$9))&lt;&gt;"",INDEX(BDHK2,MATCH(InPDBMHKII!$A44,DiemHKII!$B$4:$B$58,0),INDEX($R$10:$AA$24,MATCH($D$6,$R$10:$R$24,0),U$9)),""),"")</f>
        <v/>
      </c>
      <c r="H44" s="420" t="str">
        <f>IF($A44&lt;&gt;"",IF(INDEX(BDHK2,MATCH(InPDBMHKII!$A44,DiemHKII!$B$4:$B$58,0),INDEX($R$10:$AA$24,MATCH($D$6,$R$10:$R$24,0),V$9))&lt;&gt;"",INDEX(BDHK2,MATCH(InPDBMHKII!$A44,DiemHKII!$B$4:$B$58,0),INDEX($R$10:$AA$24,MATCH($D$6,$R$10:$R$24,0),V$9)),""),"")</f>
        <v/>
      </c>
      <c r="I44" s="368" t="str">
        <f>IF($A44&lt;&gt;"",IF(INDEX(BDHK2,MATCH(InPDBMHKII!$A44,DiemHKII!$B$4:$B$58,0),INDEX($R$10:$AA$24,MATCH($D$6,$R$10:$R$24,0),W$9))&lt;&gt;"",INDEX(BDHK2,MATCH(InPDBMHKII!$A44,DiemHKII!$B$4:$B$58,0),INDEX($R$10:$AA$24,MATCH($D$6,$R$10:$R$24,0),W$9)),""),"")</f>
        <v/>
      </c>
      <c r="J44" s="110" t="str">
        <f>IF($A44&lt;&gt;"",IF(INDEX(BDHK2,MATCH(InPDBMHKII!$A44,DiemHKII!$B$4:$B$58,0),INDEX($R$10:$AA$24,MATCH($D$6,$R$10:$R$24,0),X$9))&lt;&gt;"",INDEX(BDHK2,MATCH(InPDBMHKII!$A44,DiemHKII!$B$4:$B$58,0),INDEX($R$10:$AA$24,MATCH($D$6,$R$10:$R$24,0),X$9)),""),"")</f>
        <v/>
      </c>
      <c r="K44" s="262">
        <f>IFERROR(IF($A44&lt;&gt;"",IF(INDEX(BDHK2,MATCH(InPDBMHKII!$A44,DiemHKII!$B$4:$B$58,0),INDEX($R$10:$AA$24,MATCH($D$6,$R$10:$R$24,0),Y$9))&lt;&gt;"",INDEX(BDHK2,MATCH(InPDBMHKII!$A44,DiemHKII!$B$4:$B$58,0),INDEX($R$10:$AA$24,MATCH($D$6,$R$10:$R$24,0),Y$9)),""),""),"")</f>
        <v>9.6</v>
      </c>
      <c r="L44" s="262" t="str">
        <f>IF($A44&lt;&gt;"",IF(INDEX(BDHK2,MATCH(InPDBMHKII!$A44,DiemHKII!$B$4:$B$58,0),INDEX($R$10:$AA$24,MATCH($D$6,$R$10:$R$24,0),Z$9))&lt;&gt;"",INDEX(BDHK2,MATCH(InPDBMHKII!$A44,DiemHKII!$B$4:$B$58,0),INDEX($R$10:$AA$24,MATCH($D$6,$R$10:$R$24,0),Z$9)),""),"")</f>
        <v/>
      </c>
      <c r="M44" s="262" t="str">
        <f>IF($A44&lt;&gt;"",IF(INDEX(BDHK2,MATCH(InPDBMHKII!$A44,DiemHKII!$B$4:$B$58,0),INDEX($R$10:$AA$24,MATCH($D$6,$R$10:$R$24,0),AA$9))&lt;&gt;"",INDEX(BDHK2,MATCH(InPDBMHKII!$A44,DiemHKII!$B$4:$B$58,0),INDEX($R$10:$AA$24,MATCH($D$6,$R$10:$R$24,0),AA$9)),""),"")</f>
        <v/>
      </c>
      <c r="N44" s="263"/>
      <c r="P44" s="251" t="str">
        <f t="shared" si="0"/>
        <v/>
      </c>
    </row>
    <row r="45" spans="1:16" ht="24.9" customHeight="1">
      <c r="A45" s="264">
        <f>IF(A44&lt;MAX(DiemHKII!$B$4:$B$58),A44+1,"")</f>
        <v>36</v>
      </c>
      <c r="B45" s="112" t="str">
        <f>IF($A45&lt;&gt;"",PROPER(INDEX(DiemHKII!$B$4:$T$58,MATCH(InPDBMHKII!$A45,DiemHKII!$B$4:$B$58,0),4)),"")</f>
        <v>Võ Thủy</v>
      </c>
      <c r="C45" s="265" t="str">
        <f>IF($A45&lt;&gt;"",PROPER(INDEX(DiemHKII!$B$4:$T$58,MATCH(InPDBMHKII!$A45,DiemHKII!$B$4:$B$58,0),5)),"")</f>
        <v>Vân</v>
      </c>
      <c r="D45" s="361" t="str">
        <f>IF($A45&lt;&gt;"",PROPER(INDEX(DiemHKII!$B$4:$T$58,MATCH(InPDBMHKII!$A45,DiemHKII!$B$4:$B$58,0),6)),"")</f>
        <v>30/10/2004</v>
      </c>
      <c r="E45" s="113" t="str">
        <f>IF($A45&lt;&gt;"",IF(INDEX(BDHK2,MATCH(InPDBMHKII!$A45,DiemHKII!$B$4:$B$58,0),INDEX($R$10:$AA$24,MATCH($D$6,$R$10:$R$24,0),S$9))&lt;&gt;"",INDEX(BDHK2,MATCH(InPDBMHKII!$A45,DiemHKII!$B$4:$B$58,0),INDEX($R$10:$AA$24,MATCH($D$6,$R$10:$R$24,0),S$9)),""),"")</f>
        <v/>
      </c>
      <c r="F45" s="114" t="str">
        <f>IF($A45&lt;&gt;"",IF(INDEX(BDHK2,MATCH(InPDBMHKII!$A45,DiemHKII!$B$4:$B$58,0),INDEX($R$10:$AA$24,MATCH($D$6,$R$10:$R$24,0),T$9))&lt;&gt;"",INDEX(BDHK2,MATCH(InPDBMHKII!$A45,DiemHKII!$B$4:$B$58,0),INDEX($R$10:$AA$24,MATCH($D$6,$R$10:$R$24,0),T$9)),""),"")</f>
        <v/>
      </c>
      <c r="G45" s="114" t="str">
        <f>IF($A45&lt;&gt;"",IF(INDEX(BDHK2,MATCH(InPDBMHKII!$A45,DiemHKII!$B$4:$B$58,0),INDEX($R$10:$AA$24,MATCH($D$6,$R$10:$R$24,0),U$9))&lt;&gt;"",INDEX(BDHK2,MATCH(InPDBMHKII!$A45,DiemHKII!$B$4:$B$58,0),INDEX($R$10:$AA$24,MATCH($D$6,$R$10:$R$24,0),U$9)),""),"")</f>
        <v/>
      </c>
      <c r="H45" s="421" t="str">
        <f>IF($A45&lt;&gt;"",IF(INDEX(BDHK2,MATCH(InPDBMHKII!$A45,DiemHKII!$B$4:$B$58,0),INDEX($R$10:$AA$24,MATCH($D$6,$R$10:$R$24,0),V$9))&lt;&gt;"",INDEX(BDHK2,MATCH(InPDBMHKII!$A45,DiemHKII!$B$4:$B$58,0),INDEX($R$10:$AA$24,MATCH($D$6,$R$10:$R$24,0),V$9)),""),"")</f>
        <v/>
      </c>
      <c r="I45" s="369" t="str">
        <f>IF($A45&lt;&gt;"",IF(INDEX(BDHK2,MATCH(InPDBMHKII!$A45,DiemHKII!$B$4:$B$58,0),INDEX($R$10:$AA$24,MATCH($D$6,$R$10:$R$24,0),W$9))&lt;&gt;"",INDEX(BDHK2,MATCH(InPDBMHKII!$A45,DiemHKII!$B$4:$B$58,0),INDEX($R$10:$AA$24,MATCH($D$6,$R$10:$R$24,0),W$9)),""),"")</f>
        <v/>
      </c>
      <c r="J45" s="116" t="str">
        <f>IF($A45&lt;&gt;"",IF(INDEX(BDHK2,MATCH(InPDBMHKII!$A45,DiemHKII!$B$4:$B$58,0),INDEX($R$10:$AA$24,MATCH($D$6,$R$10:$R$24,0),X$9))&lt;&gt;"",INDEX(BDHK2,MATCH(InPDBMHKII!$A45,DiemHKII!$B$4:$B$58,0),INDEX($R$10:$AA$24,MATCH($D$6,$R$10:$R$24,0),X$9)),""),"")</f>
        <v/>
      </c>
      <c r="K45" s="255">
        <f>IFERROR(IF($A45&lt;&gt;"",IF(INDEX(BDHK2,MATCH(InPDBMHKII!$A45,DiemHKII!$B$4:$B$58,0),INDEX($R$10:$AA$24,MATCH($D$6,$R$10:$R$24,0),Y$9))&lt;&gt;"",INDEX(BDHK2,MATCH(InPDBMHKII!$A45,DiemHKII!$B$4:$B$58,0),INDEX($R$10:$AA$24,MATCH($D$6,$R$10:$R$24,0),Y$9)),""),""),"")</f>
        <v>9.9</v>
      </c>
      <c r="L45" s="255" t="str">
        <f>IF($A45&lt;&gt;"",IF(INDEX(BDHK2,MATCH(InPDBMHKII!$A45,DiemHKII!$B$4:$B$58,0),INDEX($R$10:$AA$24,MATCH($D$6,$R$10:$R$24,0),Z$9))&lt;&gt;"",INDEX(BDHK2,MATCH(InPDBMHKII!$A45,DiemHKII!$B$4:$B$58,0),INDEX($R$10:$AA$24,MATCH($D$6,$R$10:$R$24,0),Z$9)),""),"")</f>
        <v/>
      </c>
      <c r="M45" s="255" t="str">
        <f>IF($A45&lt;&gt;"",IF(INDEX(BDHK2,MATCH(InPDBMHKII!$A45,DiemHKII!$B$4:$B$58,0),INDEX($R$10:$AA$24,MATCH($D$6,$R$10:$R$24,0),AA$9))&lt;&gt;"",INDEX(BDHK2,MATCH(InPDBMHKII!$A45,DiemHKII!$B$4:$B$58,0),INDEX($R$10:$AA$24,MATCH($D$6,$R$10:$R$24,0),AA$9)),""),"")</f>
        <v/>
      </c>
      <c r="N45" s="256"/>
      <c r="P45" s="251" t="str">
        <f t="shared" si="0"/>
        <v/>
      </c>
    </row>
    <row r="46" spans="1:16" ht="24.9" customHeight="1">
      <c r="A46" s="117" t="str">
        <f>IF(A45&lt;MAX(DiemHKII!$B$4:$B$58),A45+1,"")</f>
        <v/>
      </c>
      <c r="B46" s="100" t="str">
        <f>IF($A46&lt;&gt;"",PROPER(INDEX(DiemHKII!$B$4:$T$58,MATCH(InPDBMHKII!$A46,DiemHKII!$B$4:$B$58,0),4)),"")</f>
        <v/>
      </c>
      <c r="C46" s="257" t="str">
        <f>IF($A46&lt;&gt;"",PROPER(INDEX(DiemHKII!$B$4:$T$58,MATCH(InPDBMHKII!$A46,DiemHKII!$B$4:$B$58,0),5)),"")</f>
        <v/>
      </c>
      <c r="D46" s="359" t="str">
        <f>IF($A46&lt;&gt;"",PROPER(INDEX(DiemHKII!$B$4:$T$58,MATCH(InPDBMHKII!$A46,DiemHKII!$B$4:$B$58,0),6)),"")</f>
        <v/>
      </c>
      <c r="E46" s="101" t="str">
        <f>IF($A46&lt;&gt;"",IF(INDEX(BDHK2,MATCH(InPDBMHKII!$A46,DiemHKII!$B$4:$B$58,0),INDEX($R$10:$AA$24,MATCH($D$6,$R$10:$R$24,0),S$9))&lt;&gt;"",INDEX(BDHK2,MATCH(InPDBMHKII!$A46,DiemHKII!$B$4:$B$58,0),INDEX($R$10:$AA$24,MATCH($D$6,$R$10:$R$24,0),S$9)),""),"")</f>
        <v/>
      </c>
      <c r="F46" s="102" t="str">
        <f>IF($A46&lt;&gt;"",IF(INDEX(BDHK2,MATCH(InPDBMHKII!$A46,DiemHKII!$B$4:$B$58,0),INDEX($R$10:$AA$24,MATCH($D$6,$R$10:$R$24,0),T$9))&lt;&gt;"",INDEX(BDHK2,MATCH(InPDBMHKII!$A46,DiemHKII!$B$4:$B$58,0),INDEX($R$10:$AA$24,MATCH($D$6,$R$10:$R$24,0),T$9)),""),"")</f>
        <v/>
      </c>
      <c r="G46" s="102" t="str">
        <f>IF($A46&lt;&gt;"",IF(INDEX(BDHK2,MATCH(InPDBMHKII!$A46,DiemHKII!$B$4:$B$58,0),INDEX($R$10:$AA$24,MATCH($D$6,$R$10:$R$24,0),U$9))&lt;&gt;"",INDEX(BDHK2,MATCH(InPDBMHKII!$A46,DiemHKII!$B$4:$B$58,0),INDEX($R$10:$AA$24,MATCH($D$6,$R$10:$R$24,0),U$9)),""),"")</f>
        <v/>
      </c>
      <c r="H46" s="419" t="str">
        <f>IF($A46&lt;&gt;"",IF(INDEX(BDHK2,MATCH(InPDBMHKII!$A46,DiemHKII!$B$4:$B$58,0),INDEX($R$10:$AA$24,MATCH($D$6,$R$10:$R$24,0),V$9))&lt;&gt;"",INDEX(BDHK2,MATCH(InPDBMHKII!$A46,DiemHKII!$B$4:$B$58,0),INDEX($R$10:$AA$24,MATCH($D$6,$R$10:$R$24,0),V$9)),""),"")</f>
        <v/>
      </c>
      <c r="I46" s="367" t="str">
        <f>IF($A46&lt;&gt;"",IF(INDEX(BDHK2,MATCH(InPDBMHKII!$A46,DiemHKII!$B$4:$B$58,0),INDEX($R$10:$AA$24,MATCH($D$6,$R$10:$R$24,0),W$9))&lt;&gt;"",INDEX(BDHK2,MATCH(InPDBMHKII!$A46,DiemHKII!$B$4:$B$58,0),INDEX($R$10:$AA$24,MATCH($D$6,$R$10:$R$24,0),W$9)),""),"")</f>
        <v/>
      </c>
      <c r="J46" s="104" t="str">
        <f>IF($A46&lt;&gt;"",IF(INDEX(BDHK2,MATCH(InPDBMHKII!$A46,DiemHKII!$B$4:$B$58,0),INDEX($R$10:$AA$24,MATCH($D$6,$R$10:$R$24,0),X$9))&lt;&gt;"",INDEX(BDHK2,MATCH(InPDBMHKII!$A46,DiemHKII!$B$4:$B$58,0),INDEX($R$10:$AA$24,MATCH($D$6,$R$10:$R$24,0),X$9)),""),"")</f>
        <v/>
      </c>
      <c r="K46" s="258" t="str">
        <f>IFERROR(IF($A46&lt;&gt;"",IF(INDEX(BDHK2,MATCH(InPDBMHKII!$A46,DiemHKII!$B$4:$B$58,0),INDEX($R$10:$AA$24,MATCH($D$6,$R$10:$R$24,0),Y$9))&lt;&gt;"",INDEX(BDHK2,MATCH(InPDBMHKII!$A46,DiemHKII!$B$4:$B$58,0),INDEX($R$10:$AA$24,MATCH($D$6,$R$10:$R$24,0),Y$9)),""),""),"")</f>
        <v/>
      </c>
      <c r="L46" s="258" t="str">
        <f>IF($A46&lt;&gt;"",IF(INDEX(BDHK2,MATCH(InPDBMHKII!$A46,DiemHKII!$B$4:$B$58,0),INDEX($R$10:$AA$24,MATCH($D$6,$R$10:$R$24,0),Z$9))&lt;&gt;"",INDEX(BDHK2,MATCH(InPDBMHKII!$A46,DiemHKII!$B$4:$B$58,0),INDEX($R$10:$AA$24,MATCH($D$6,$R$10:$R$24,0),Z$9)),""),"")</f>
        <v/>
      </c>
      <c r="M46" s="258" t="str">
        <f>IF($A46&lt;&gt;"",IF(INDEX(BDHK2,MATCH(InPDBMHKII!$A46,DiemHKII!$B$4:$B$58,0),INDEX($R$10:$AA$24,MATCH($D$6,$R$10:$R$24,0),AA$9))&lt;&gt;"",INDEX(BDHK2,MATCH(InPDBMHKII!$A46,DiemHKII!$B$4:$B$58,0),INDEX($R$10:$AA$24,MATCH($D$6,$R$10:$R$24,0),AA$9)),""),"")</f>
        <v/>
      </c>
      <c r="N46" s="259"/>
      <c r="P46" s="251" t="str">
        <f t="shared" si="0"/>
        <v/>
      </c>
    </row>
    <row r="47" spans="1:16" ht="24.9" customHeight="1">
      <c r="A47" s="117" t="str">
        <f>IF(A46&lt;MAX(DiemHKII!$B$4:$B$58),A46+1,"")</f>
        <v/>
      </c>
      <c r="B47" s="100" t="str">
        <f>IF($A47&lt;&gt;"",PROPER(INDEX(DiemHKII!$B$4:$T$58,MATCH(InPDBMHKII!$A47,DiemHKII!$B$4:$B$58,0),4)),"")</f>
        <v/>
      </c>
      <c r="C47" s="257" t="str">
        <f>IF($A47&lt;&gt;"",PROPER(INDEX(DiemHKII!$B$4:$T$58,MATCH(InPDBMHKII!$A47,DiemHKII!$B$4:$B$58,0),5)),"")</f>
        <v/>
      </c>
      <c r="D47" s="359" t="str">
        <f>IF($A47&lt;&gt;"",PROPER(INDEX(DiemHKII!$B$4:$T$58,MATCH(InPDBMHKII!$A47,DiemHKII!$B$4:$B$58,0),6)),"")</f>
        <v/>
      </c>
      <c r="E47" s="101" t="str">
        <f>IF($A47&lt;&gt;"",IF(INDEX(BDHK2,MATCH(InPDBMHKII!$A47,DiemHKII!$B$4:$B$58,0),INDEX($R$10:$AA$24,MATCH($D$6,$R$10:$R$24,0),S$9))&lt;&gt;"",INDEX(BDHK2,MATCH(InPDBMHKII!$A47,DiemHKII!$B$4:$B$58,0),INDEX($R$10:$AA$24,MATCH($D$6,$R$10:$R$24,0),S$9)),""),"")</f>
        <v/>
      </c>
      <c r="F47" s="102" t="str">
        <f>IF($A47&lt;&gt;"",IF(INDEX(BDHK2,MATCH(InPDBMHKII!$A47,DiemHKII!$B$4:$B$58,0),INDEX($R$10:$AA$24,MATCH($D$6,$R$10:$R$24,0),T$9))&lt;&gt;"",INDEX(BDHK2,MATCH(InPDBMHKII!$A47,DiemHKII!$B$4:$B$58,0),INDEX($R$10:$AA$24,MATCH($D$6,$R$10:$R$24,0),T$9)),""),"")</f>
        <v/>
      </c>
      <c r="G47" s="102" t="str">
        <f>IF($A47&lt;&gt;"",IF(INDEX(BDHK2,MATCH(InPDBMHKII!$A47,DiemHKII!$B$4:$B$58,0),INDEX($R$10:$AA$24,MATCH($D$6,$R$10:$R$24,0),U$9))&lt;&gt;"",INDEX(BDHK2,MATCH(InPDBMHKII!$A47,DiemHKII!$B$4:$B$58,0),INDEX($R$10:$AA$24,MATCH($D$6,$R$10:$R$24,0),U$9)),""),"")</f>
        <v/>
      </c>
      <c r="H47" s="419" t="str">
        <f>IF($A47&lt;&gt;"",IF(INDEX(BDHK2,MATCH(InPDBMHKII!$A47,DiemHKII!$B$4:$B$58,0),INDEX($R$10:$AA$24,MATCH($D$6,$R$10:$R$24,0),V$9))&lt;&gt;"",INDEX(BDHK2,MATCH(InPDBMHKII!$A47,DiemHKII!$B$4:$B$58,0),INDEX($R$10:$AA$24,MATCH($D$6,$R$10:$R$24,0),V$9)),""),"")</f>
        <v/>
      </c>
      <c r="I47" s="367" t="str">
        <f>IF($A47&lt;&gt;"",IF(INDEX(BDHK2,MATCH(InPDBMHKII!$A47,DiemHKII!$B$4:$B$58,0),INDEX($R$10:$AA$24,MATCH($D$6,$R$10:$R$24,0),W$9))&lt;&gt;"",INDEX(BDHK2,MATCH(InPDBMHKII!$A47,DiemHKII!$B$4:$B$58,0),INDEX($R$10:$AA$24,MATCH($D$6,$R$10:$R$24,0),W$9)),""),"")</f>
        <v/>
      </c>
      <c r="J47" s="104" t="str">
        <f>IF($A47&lt;&gt;"",IF(INDEX(BDHK2,MATCH(InPDBMHKII!$A47,DiemHKII!$B$4:$B$58,0),INDEX($R$10:$AA$24,MATCH($D$6,$R$10:$R$24,0),X$9))&lt;&gt;"",INDEX(BDHK2,MATCH(InPDBMHKII!$A47,DiemHKII!$B$4:$B$58,0),INDEX($R$10:$AA$24,MATCH($D$6,$R$10:$R$24,0),X$9)),""),"")</f>
        <v/>
      </c>
      <c r="K47" s="258" t="str">
        <f>IFERROR(IF($A47&lt;&gt;"",IF(INDEX(BDHK2,MATCH(InPDBMHKII!$A47,DiemHKII!$B$4:$B$58,0),INDEX($R$10:$AA$24,MATCH($D$6,$R$10:$R$24,0),Y$9))&lt;&gt;"",INDEX(BDHK2,MATCH(InPDBMHKII!$A47,DiemHKII!$B$4:$B$58,0),INDEX($R$10:$AA$24,MATCH($D$6,$R$10:$R$24,0),Y$9)),""),""),"")</f>
        <v/>
      </c>
      <c r="L47" s="258" t="str">
        <f>IF($A47&lt;&gt;"",IF(INDEX(BDHK2,MATCH(InPDBMHKII!$A47,DiemHKII!$B$4:$B$58,0),INDEX($R$10:$AA$24,MATCH($D$6,$R$10:$R$24,0),Z$9))&lt;&gt;"",INDEX(BDHK2,MATCH(InPDBMHKII!$A47,DiemHKII!$B$4:$B$58,0),INDEX($R$10:$AA$24,MATCH($D$6,$R$10:$R$24,0),Z$9)),""),"")</f>
        <v/>
      </c>
      <c r="M47" s="258" t="str">
        <f>IF($A47&lt;&gt;"",IF(INDEX(BDHK2,MATCH(InPDBMHKII!$A47,DiemHKII!$B$4:$B$58,0),INDEX($R$10:$AA$24,MATCH($D$6,$R$10:$R$24,0),AA$9))&lt;&gt;"",INDEX(BDHK2,MATCH(InPDBMHKII!$A47,DiemHKII!$B$4:$B$58,0),INDEX($R$10:$AA$24,MATCH($D$6,$R$10:$R$24,0),AA$9)),""),"")</f>
        <v/>
      </c>
      <c r="N47" s="259"/>
      <c r="P47" s="251" t="str">
        <f t="shared" si="0"/>
        <v/>
      </c>
    </row>
    <row r="48" spans="1:16" ht="24.9" customHeight="1">
      <c r="A48" s="117" t="str">
        <f>IF(A47&lt;MAX(DiemHKII!$B$4:$B$58),A47+1,"")</f>
        <v/>
      </c>
      <c r="B48" s="100" t="str">
        <f>IF($A48&lt;&gt;"",PROPER(INDEX(DiemHKII!$B$4:$T$58,MATCH(InPDBMHKII!$A48,DiemHKII!$B$4:$B$58,0),4)),"")</f>
        <v/>
      </c>
      <c r="C48" s="257" t="str">
        <f>IF($A48&lt;&gt;"",PROPER(INDEX(DiemHKII!$B$4:$T$58,MATCH(InPDBMHKII!$A48,DiemHKII!$B$4:$B$58,0),5)),"")</f>
        <v/>
      </c>
      <c r="D48" s="359" t="str">
        <f>IF($A48&lt;&gt;"",PROPER(INDEX(DiemHKII!$B$4:$T$58,MATCH(InPDBMHKII!$A48,DiemHKII!$B$4:$B$58,0),6)),"")</f>
        <v/>
      </c>
      <c r="E48" s="101" t="str">
        <f>IF($A48&lt;&gt;"",IF(INDEX(BDHK2,MATCH(InPDBMHKII!$A48,DiemHKII!$B$4:$B$58,0),INDEX($R$10:$AA$24,MATCH($D$6,$R$10:$R$24,0),S$9))&lt;&gt;"",INDEX(BDHK2,MATCH(InPDBMHKII!$A48,DiemHKII!$B$4:$B$58,0),INDEX($R$10:$AA$24,MATCH($D$6,$R$10:$R$24,0),S$9)),""),"")</f>
        <v/>
      </c>
      <c r="F48" s="102" t="str">
        <f>IF($A48&lt;&gt;"",IF(INDEX(BDHK2,MATCH(InPDBMHKII!$A48,DiemHKII!$B$4:$B$58,0),INDEX($R$10:$AA$24,MATCH($D$6,$R$10:$R$24,0),T$9))&lt;&gt;"",INDEX(BDHK2,MATCH(InPDBMHKII!$A48,DiemHKII!$B$4:$B$58,0),INDEX($R$10:$AA$24,MATCH($D$6,$R$10:$R$24,0),T$9)),""),"")</f>
        <v/>
      </c>
      <c r="G48" s="102" t="str">
        <f>IF($A48&lt;&gt;"",IF(INDEX(BDHK2,MATCH(InPDBMHKII!$A48,DiemHKII!$B$4:$B$58,0),INDEX($R$10:$AA$24,MATCH($D$6,$R$10:$R$24,0),U$9))&lt;&gt;"",INDEX(BDHK2,MATCH(InPDBMHKII!$A48,DiemHKII!$B$4:$B$58,0),INDEX($R$10:$AA$24,MATCH($D$6,$R$10:$R$24,0),U$9)),""),"")</f>
        <v/>
      </c>
      <c r="H48" s="419" t="str">
        <f>IF($A48&lt;&gt;"",IF(INDEX(BDHK2,MATCH(InPDBMHKII!$A48,DiemHKII!$B$4:$B$58,0),INDEX($R$10:$AA$24,MATCH($D$6,$R$10:$R$24,0),V$9))&lt;&gt;"",INDEX(BDHK2,MATCH(InPDBMHKII!$A48,DiemHKII!$B$4:$B$58,0),INDEX($R$10:$AA$24,MATCH($D$6,$R$10:$R$24,0),V$9)),""),"")</f>
        <v/>
      </c>
      <c r="I48" s="367" t="str">
        <f>IF($A48&lt;&gt;"",IF(INDEX(BDHK2,MATCH(InPDBMHKII!$A48,DiemHKII!$B$4:$B$58,0),INDEX($R$10:$AA$24,MATCH($D$6,$R$10:$R$24,0),W$9))&lt;&gt;"",INDEX(BDHK2,MATCH(InPDBMHKII!$A48,DiemHKII!$B$4:$B$58,0),INDEX($R$10:$AA$24,MATCH($D$6,$R$10:$R$24,0),W$9)),""),"")</f>
        <v/>
      </c>
      <c r="J48" s="104" t="str">
        <f>IF($A48&lt;&gt;"",IF(INDEX(BDHK2,MATCH(InPDBMHKII!$A48,DiemHKII!$B$4:$B$58,0),INDEX($R$10:$AA$24,MATCH($D$6,$R$10:$R$24,0),X$9))&lt;&gt;"",INDEX(BDHK2,MATCH(InPDBMHKII!$A48,DiemHKII!$B$4:$B$58,0),INDEX($R$10:$AA$24,MATCH($D$6,$R$10:$R$24,0),X$9)),""),"")</f>
        <v/>
      </c>
      <c r="K48" s="258" t="str">
        <f>IFERROR(IF($A48&lt;&gt;"",IF(INDEX(BDHK2,MATCH(InPDBMHKII!$A48,DiemHKII!$B$4:$B$58,0),INDEX($R$10:$AA$24,MATCH($D$6,$R$10:$R$24,0),Y$9))&lt;&gt;"",INDEX(BDHK2,MATCH(InPDBMHKII!$A48,DiemHKII!$B$4:$B$58,0),INDEX($R$10:$AA$24,MATCH($D$6,$R$10:$R$24,0),Y$9)),""),""),"")</f>
        <v/>
      </c>
      <c r="L48" s="258" t="str">
        <f>IF($A48&lt;&gt;"",IF(INDEX(BDHK2,MATCH(InPDBMHKII!$A48,DiemHKII!$B$4:$B$58,0),INDEX($R$10:$AA$24,MATCH($D$6,$R$10:$R$24,0),Z$9))&lt;&gt;"",INDEX(BDHK2,MATCH(InPDBMHKII!$A48,DiemHKII!$B$4:$B$58,0),INDEX($R$10:$AA$24,MATCH($D$6,$R$10:$R$24,0),Z$9)),""),"")</f>
        <v/>
      </c>
      <c r="M48" s="258" t="str">
        <f>IF($A48&lt;&gt;"",IF(INDEX(BDHK2,MATCH(InPDBMHKII!$A48,DiemHKII!$B$4:$B$58,0),INDEX($R$10:$AA$24,MATCH($D$6,$R$10:$R$24,0),AA$9))&lt;&gt;"",INDEX(BDHK2,MATCH(InPDBMHKII!$A48,DiemHKII!$B$4:$B$58,0),INDEX($R$10:$AA$24,MATCH($D$6,$R$10:$R$24,0),AA$9)),""),"")</f>
        <v/>
      </c>
      <c r="N48" s="259"/>
      <c r="P48" s="251" t="str">
        <f t="shared" si="0"/>
        <v/>
      </c>
    </row>
    <row r="49" spans="1:16" ht="24.9" customHeight="1">
      <c r="A49" s="260" t="str">
        <f>IF(A48&lt;MAX(DiemHKII!$B$4:$B$58),A48+1,"")</f>
        <v/>
      </c>
      <c r="B49" s="106" t="str">
        <f>IF($A49&lt;&gt;"",PROPER(INDEX(DiemHKII!$B$4:$T$58,MATCH(InPDBMHKII!$A49,DiemHKII!$B$4:$B$58,0),4)),"")</f>
        <v/>
      </c>
      <c r="C49" s="261" t="str">
        <f>IF($A49&lt;&gt;"",PROPER(INDEX(DiemHKII!$B$4:$T$58,MATCH(InPDBMHKII!$A49,DiemHKII!$B$4:$B$58,0),5)),"")</f>
        <v/>
      </c>
      <c r="D49" s="360" t="str">
        <f>IF($A49&lt;&gt;"",PROPER(INDEX(DiemHKII!$B$4:$T$58,MATCH(InPDBMHKII!$A49,DiemHKII!$B$4:$B$58,0),6)),"")</f>
        <v/>
      </c>
      <c r="E49" s="107" t="str">
        <f>IF($A49&lt;&gt;"",IF(INDEX(BDHK2,MATCH(InPDBMHKII!$A49,DiemHKII!$B$4:$B$58,0),INDEX($R$10:$AA$24,MATCH($D$6,$R$10:$R$24,0),S$9))&lt;&gt;"",INDEX(BDHK2,MATCH(InPDBMHKII!$A49,DiemHKII!$B$4:$B$58,0),INDEX($R$10:$AA$24,MATCH($D$6,$R$10:$R$24,0),S$9)),""),"")</f>
        <v/>
      </c>
      <c r="F49" s="108" t="str">
        <f>IF($A49&lt;&gt;"",IF(INDEX(BDHK2,MATCH(InPDBMHKII!$A49,DiemHKII!$B$4:$B$58,0),INDEX($R$10:$AA$24,MATCH($D$6,$R$10:$R$24,0),T$9))&lt;&gt;"",INDEX(BDHK2,MATCH(InPDBMHKII!$A49,DiemHKII!$B$4:$B$58,0),INDEX($R$10:$AA$24,MATCH($D$6,$R$10:$R$24,0),T$9)),""),"")</f>
        <v/>
      </c>
      <c r="G49" s="108" t="str">
        <f>IF($A49&lt;&gt;"",IF(INDEX(BDHK2,MATCH(InPDBMHKII!$A49,DiemHKII!$B$4:$B$58,0),INDEX($R$10:$AA$24,MATCH($D$6,$R$10:$R$24,0),U$9))&lt;&gt;"",INDEX(BDHK2,MATCH(InPDBMHKII!$A49,DiemHKII!$B$4:$B$58,0),INDEX($R$10:$AA$24,MATCH($D$6,$R$10:$R$24,0),U$9)),""),"")</f>
        <v/>
      </c>
      <c r="H49" s="420" t="str">
        <f>IF($A49&lt;&gt;"",IF(INDEX(BDHK2,MATCH(InPDBMHKII!$A49,DiemHKII!$B$4:$B$58,0),INDEX($R$10:$AA$24,MATCH($D$6,$R$10:$R$24,0),V$9))&lt;&gt;"",INDEX(BDHK2,MATCH(InPDBMHKII!$A49,DiemHKII!$B$4:$B$58,0),INDEX($R$10:$AA$24,MATCH($D$6,$R$10:$R$24,0),V$9)),""),"")</f>
        <v/>
      </c>
      <c r="I49" s="368" t="str">
        <f>IF($A49&lt;&gt;"",IF(INDEX(BDHK2,MATCH(InPDBMHKII!$A49,DiemHKII!$B$4:$B$58,0),INDEX($R$10:$AA$24,MATCH($D$6,$R$10:$R$24,0),W$9))&lt;&gt;"",INDEX(BDHK2,MATCH(InPDBMHKII!$A49,DiemHKII!$B$4:$B$58,0),INDEX($R$10:$AA$24,MATCH($D$6,$R$10:$R$24,0),W$9)),""),"")</f>
        <v/>
      </c>
      <c r="J49" s="110" t="str">
        <f>IF($A49&lt;&gt;"",IF(INDEX(BDHK2,MATCH(InPDBMHKII!$A49,DiemHKII!$B$4:$B$58,0),INDEX($R$10:$AA$24,MATCH($D$6,$R$10:$R$24,0),X$9))&lt;&gt;"",INDEX(BDHK2,MATCH(InPDBMHKII!$A49,DiemHKII!$B$4:$B$58,0),INDEX($R$10:$AA$24,MATCH($D$6,$R$10:$R$24,0),X$9)),""),"")</f>
        <v/>
      </c>
      <c r="K49" s="262" t="str">
        <f>IFERROR(IF($A49&lt;&gt;"",IF(INDEX(BDHK2,MATCH(InPDBMHKII!$A49,DiemHKII!$B$4:$B$58,0),INDEX($R$10:$AA$24,MATCH($D$6,$R$10:$R$24,0),Y$9))&lt;&gt;"",INDEX(BDHK2,MATCH(InPDBMHKII!$A49,DiemHKII!$B$4:$B$58,0),INDEX($R$10:$AA$24,MATCH($D$6,$R$10:$R$24,0),Y$9)),""),""),"")</f>
        <v/>
      </c>
      <c r="L49" s="262" t="str">
        <f>IF($A49&lt;&gt;"",IF(INDEX(BDHK2,MATCH(InPDBMHKII!$A49,DiemHKII!$B$4:$B$58,0),INDEX($R$10:$AA$24,MATCH($D$6,$R$10:$R$24,0),Z$9))&lt;&gt;"",INDEX(BDHK2,MATCH(InPDBMHKII!$A49,DiemHKII!$B$4:$B$58,0),INDEX($R$10:$AA$24,MATCH($D$6,$R$10:$R$24,0),Z$9)),""),"")</f>
        <v/>
      </c>
      <c r="M49" s="262" t="str">
        <f>IF($A49&lt;&gt;"",IF(INDEX(BDHK2,MATCH(InPDBMHKII!$A49,DiemHKII!$B$4:$B$58,0),INDEX($R$10:$AA$24,MATCH($D$6,$R$10:$R$24,0),AA$9))&lt;&gt;"",INDEX(BDHK2,MATCH(InPDBMHKII!$A49,DiemHKII!$B$4:$B$58,0),INDEX($R$10:$AA$24,MATCH($D$6,$R$10:$R$24,0),AA$9)),""),"")</f>
        <v/>
      </c>
      <c r="N49" s="263"/>
      <c r="P49" s="251" t="str">
        <f t="shared" si="0"/>
        <v/>
      </c>
    </row>
    <row r="50" spans="1:16" ht="24.9" hidden="1" customHeight="1">
      <c r="A50" s="264" t="str">
        <f>IF(A49&lt;MAX(DiemHKII!$B$4:$B$58),A49+1,"")</f>
        <v/>
      </c>
      <c r="B50" s="112" t="str">
        <f>IF($A50&lt;&gt;"",PROPER(INDEX(DiemHKII!$B$4:$T$58,MATCH(InPDBMHKII!$A50,DiemHKII!$B$4:$B$58,0),4)),"")</f>
        <v/>
      </c>
      <c r="C50" s="265" t="str">
        <f>IF($A50&lt;&gt;"",PROPER(INDEX(DiemHKII!$B$4:$T$58,MATCH(InPDBMHKII!$A50,DiemHKII!$B$4:$B$58,0),5)),"")</f>
        <v/>
      </c>
      <c r="D50" s="361" t="str">
        <f>IF($A50&lt;&gt;"",PROPER(INDEX(DiemHKII!$B$4:$T$58,MATCH(InPDBMHKII!$A50,DiemHKII!$B$4:$B$58,0),6)),"")</f>
        <v/>
      </c>
      <c r="E50" s="113" t="str">
        <f>IF($A50&lt;&gt;"",IF(INDEX(BDHK2,MATCH(InPDBMHKII!$A50,DiemHKII!$B$4:$B$58,0),INDEX($R$10:$AA$24,MATCH($D$6,$R$10:$R$24,0),S$9))&lt;&gt;"",INDEX(BDHK2,MATCH(InPDBMHKII!$A50,DiemHKII!$B$4:$B$58,0),INDEX($R$10:$AA$24,MATCH($D$6,$R$10:$R$24,0),S$9)),""),"")</f>
        <v/>
      </c>
      <c r="F50" s="114" t="str">
        <f>IF($A50&lt;&gt;"",IF(INDEX(BDHK2,MATCH(InPDBMHKII!$A50,DiemHKII!$B$4:$B$58,0),INDEX($R$10:$AA$24,MATCH($D$6,$R$10:$R$24,0),T$9))&lt;&gt;"",INDEX(BDHK2,MATCH(InPDBMHKII!$A50,DiemHKII!$B$4:$B$58,0),INDEX($R$10:$AA$24,MATCH($D$6,$R$10:$R$24,0),T$9)),""),"")</f>
        <v/>
      </c>
      <c r="G50" s="114" t="str">
        <f>IF($A50&lt;&gt;"",IF(INDEX(BDHK2,MATCH(InPDBMHKII!$A50,DiemHKII!$B$4:$B$58,0),INDEX($R$10:$AA$24,MATCH($D$6,$R$10:$R$24,0),U$9))&lt;&gt;"",INDEX(BDHK2,MATCH(InPDBMHKII!$A50,DiemHKII!$B$4:$B$58,0),INDEX($R$10:$AA$24,MATCH($D$6,$R$10:$R$24,0),U$9)),""),"")</f>
        <v/>
      </c>
      <c r="H50" s="421" t="str">
        <f>IF($A50&lt;&gt;"",IF(INDEX(BDHK2,MATCH(InPDBMHKII!$A50,DiemHKII!$B$4:$B$58,0),INDEX($R$10:$AA$24,MATCH($D$6,$R$10:$R$24,0),V$9))&lt;&gt;"",INDEX(BDHK2,MATCH(InPDBMHKII!$A50,DiemHKII!$B$4:$B$58,0),INDEX($R$10:$AA$24,MATCH($D$6,$R$10:$R$24,0),V$9)),""),"")</f>
        <v/>
      </c>
      <c r="I50" s="369" t="str">
        <f>IF($A50&lt;&gt;"",IF(INDEX(BDHK2,MATCH(InPDBMHKII!$A50,DiemHKII!$B$4:$B$58,0),INDEX($R$10:$AA$24,MATCH($D$6,$R$10:$R$24,0),W$9))&lt;&gt;"",INDEX(BDHK2,MATCH(InPDBMHKII!$A50,DiemHKII!$B$4:$B$58,0),INDEX($R$10:$AA$24,MATCH($D$6,$R$10:$R$24,0),W$9)),""),"")</f>
        <v/>
      </c>
      <c r="J50" s="116" t="str">
        <f>IF($A50&lt;&gt;"",IF(INDEX(BDHK2,MATCH(InPDBMHKII!$A50,DiemHKII!$B$4:$B$58,0),INDEX($R$10:$AA$24,MATCH($D$6,$R$10:$R$24,0),X$9))&lt;&gt;"",INDEX(BDHK2,MATCH(InPDBMHKII!$A50,DiemHKII!$B$4:$B$58,0),INDEX($R$10:$AA$24,MATCH($D$6,$R$10:$R$24,0),X$9)),""),"")</f>
        <v/>
      </c>
      <c r="K50" s="255" t="str">
        <f>IFERROR(IF($A50&lt;&gt;"",IF(INDEX(BDHK2,MATCH(InPDBMHKII!$A50,DiemHKII!$B$4:$B$58,0),INDEX($R$10:$AA$24,MATCH($D$6,$R$10:$R$24,0),Y$9))&lt;&gt;"",INDEX(BDHK2,MATCH(InPDBMHKII!$A50,DiemHKII!$B$4:$B$58,0),INDEX($R$10:$AA$24,MATCH($D$6,$R$10:$R$24,0),Y$9)),""),""),"")</f>
        <v/>
      </c>
      <c r="L50" s="255" t="str">
        <f>IF($A50&lt;&gt;"",IF(INDEX(BDHK2,MATCH(InPDBMHKII!$A50,DiemHKII!$B$4:$B$58,0),INDEX($R$10:$AA$24,MATCH($D$6,$R$10:$R$24,0),Z$9))&lt;&gt;"",INDEX(BDHK2,MATCH(InPDBMHKII!$A50,DiemHKII!$B$4:$B$58,0),INDEX($R$10:$AA$24,MATCH($D$6,$R$10:$R$24,0),Z$9)),""),"")</f>
        <v/>
      </c>
      <c r="M50" s="255" t="str">
        <f>IF($A50&lt;&gt;"",IF(INDEX(BDHK2,MATCH(InPDBMHKII!$A50,DiemHKII!$B$4:$B$58,0),INDEX($R$10:$AA$24,MATCH($D$6,$R$10:$R$24,0),AA$9))&lt;&gt;"",INDEX(BDHK2,MATCH(InPDBMHKII!$A50,DiemHKII!$B$4:$B$58,0),INDEX($R$10:$AA$24,MATCH($D$6,$R$10:$R$24,0),AA$9)),""),"")</f>
        <v/>
      </c>
      <c r="N50" s="256"/>
      <c r="P50" s="251" t="str">
        <f t="shared" si="0"/>
        <v/>
      </c>
    </row>
    <row r="51" spans="1:16" ht="24.9" hidden="1" customHeight="1">
      <c r="A51" s="117" t="str">
        <f>IF(A50&lt;MAX(DiemHKII!$B$4:$B$58),A50+1,"")</f>
        <v/>
      </c>
      <c r="B51" s="100" t="str">
        <f>IF($A51&lt;&gt;"",PROPER(INDEX(DiemHKII!$B$4:$T$58,MATCH(InPDBMHKII!$A51,DiemHKII!$B$4:$B$58,0),4)),"")</f>
        <v/>
      </c>
      <c r="C51" s="257" t="str">
        <f>IF($A51&lt;&gt;"",PROPER(INDEX(DiemHKII!$B$4:$T$58,MATCH(InPDBMHKII!$A51,DiemHKII!$B$4:$B$58,0),5)),"")</f>
        <v/>
      </c>
      <c r="D51" s="359" t="str">
        <f>IF($A51&lt;&gt;"",PROPER(INDEX(DiemHKII!$B$4:$T$58,MATCH(InPDBMHKII!$A51,DiemHKII!$B$4:$B$58,0),6)),"")</f>
        <v/>
      </c>
      <c r="E51" s="101" t="str">
        <f>IF($A51&lt;&gt;"",IF(INDEX(BDHK2,MATCH(InPDBMHKII!$A51,DiemHKII!$B$4:$B$58,0),INDEX($R$10:$AA$24,MATCH($D$6,$R$10:$R$24,0),S$9))&lt;&gt;"",INDEX(BDHK2,MATCH(InPDBMHKII!$A51,DiemHKII!$B$4:$B$58,0),INDEX($R$10:$AA$24,MATCH($D$6,$R$10:$R$24,0),S$9)),""),"")</f>
        <v/>
      </c>
      <c r="F51" s="102" t="str">
        <f>IF($A51&lt;&gt;"",IF(INDEX(BDHK2,MATCH(InPDBMHKII!$A51,DiemHKII!$B$4:$B$58,0),INDEX($R$10:$AA$24,MATCH($D$6,$R$10:$R$24,0),T$9))&lt;&gt;"",INDEX(BDHK2,MATCH(InPDBMHKII!$A51,DiemHKII!$B$4:$B$58,0),INDEX($R$10:$AA$24,MATCH($D$6,$R$10:$R$24,0),T$9)),""),"")</f>
        <v/>
      </c>
      <c r="G51" s="102" t="str">
        <f>IF($A51&lt;&gt;"",IF(INDEX(BDHK2,MATCH(InPDBMHKII!$A51,DiemHKII!$B$4:$B$58,0),INDEX($R$10:$AA$24,MATCH($D$6,$R$10:$R$24,0),U$9))&lt;&gt;"",INDEX(BDHK2,MATCH(InPDBMHKII!$A51,DiemHKII!$B$4:$B$58,0),INDEX($R$10:$AA$24,MATCH($D$6,$R$10:$R$24,0),U$9)),""),"")</f>
        <v/>
      </c>
      <c r="H51" s="419" t="str">
        <f>IF($A51&lt;&gt;"",IF(INDEX(BDHK2,MATCH(InPDBMHKII!$A51,DiemHKII!$B$4:$B$58,0),INDEX($R$10:$AA$24,MATCH($D$6,$R$10:$R$24,0),V$9))&lt;&gt;"",INDEX(BDHK2,MATCH(InPDBMHKII!$A51,DiemHKII!$B$4:$B$58,0),INDEX($R$10:$AA$24,MATCH($D$6,$R$10:$R$24,0),V$9)),""),"")</f>
        <v/>
      </c>
      <c r="I51" s="367" t="str">
        <f>IF($A51&lt;&gt;"",IF(INDEX(BDHK2,MATCH(InPDBMHKII!$A51,DiemHKII!$B$4:$B$58,0),INDEX($R$10:$AA$24,MATCH($D$6,$R$10:$R$24,0),W$9))&lt;&gt;"",INDEX(BDHK2,MATCH(InPDBMHKII!$A51,DiemHKII!$B$4:$B$58,0),INDEX($R$10:$AA$24,MATCH($D$6,$R$10:$R$24,0),W$9)),""),"")</f>
        <v/>
      </c>
      <c r="J51" s="104" t="str">
        <f>IF($A51&lt;&gt;"",IF(INDEX(BDHK2,MATCH(InPDBMHKII!$A51,DiemHKII!$B$4:$B$58,0),INDEX($R$10:$AA$24,MATCH($D$6,$R$10:$R$24,0),X$9))&lt;&gt;"",INDEX(BDHK2,MATCH(InPDBMHKII!$A51,DiemHKII!$B$4:$B$58,0),INDEX($R$10:$AA$24,MATCH($D$6,$R$10:$R$24,0),X$9)),""),"")</f>
        <v/>
      </c>
      <c r="K51" s="258" t="str">
        <f>IFERROR(IF($A51&lt;&gt;"",IF(INDEX(BDHK2,MATCH(InPDBMHKII!$A51,DiemHKII!$B$4:$B$58,0),INDEX($R$10:$AA$24,MATCH($D$6,$R$10:$R$24,0),Y$9))&lt;&gt;"",INDEX(BDHK2,MATCH(InPDBMHKII!$A51,DiemHKII!$B$4:$B$58,0),INDEX($R$10:$AA$24,MATCH($D$6,$R$10:$R$24,0),Y$9)),""),""),"")</f>
        <v/>
      </c>
      <c r="L51" s="258" t="str">
        <f>IF($A51&lt;&gt;"",IF(INDEX(BDHK2,MATCH(InPDBMHKII!$A51,DiemHKII!$B$4:$B$58,0),INDEX($R$10:$AA$24,MATCH($D$6,$R$10:$R$24,0),Z$9))&lt;&gt;"",INDEX(BDHK2,MATCH(InPDBMHKII!$A51,DiemHKII!$B$4:$B$58,0),INDEX($R$10:$AA$24,MATCH($D$6,$R$10:$R$24,0),Z$9)),""),"")</f>
        <v/>
      </c>
      <c r="M51" s="258" t="str">
        <f>IF($A51&lt;&gt;"",IF(INDEX(BDHK2,MATCH(InPDBMHKII!$A51,DiemHKII!$B$4:$B$58,0),INDEX($R$10:$AA$24,MATCH($D$6,$R$10:$R$24,0),AA$9))&lt;&gt;"",INDEX(BDHK2,MATCH(InPDBMHKII!$A51,DiemHKII!$B$4:$B$58,0),INDEX($R$10:$AA$24,MATCH($D$6,$R$10:$R$24,0),AA$9)),""),"")</f>
        <v/>
      </c>
      <c r="N51" s="259"/>
      <c r="P51" s="251" t="str">
        <f t="shared" si="0"/>
        <v/>
      </c>
    </row>
    <row r="52" spans="1:16" ht="24.9" hidden="1" customHeight="1">
      <c r="A52" s="117" t="str">
        <f>IF(A51&lt;MAX(DiemHKII!$B$4:$B$58),A51+1,"")</f>
        <v/>
      </c>
      <c r="B52" s="100" t="str">
        <f>IF($A52&lt;&gt;"",PROPER(INDEX(DiemHKII!$B$4:$T$58,MATCH(InPDBMHKII!$A52,DiemHKII!$B$4:$B$58,0),4)),"")</f>
        <v/>
      </c>
      <c r="C52" s="257" t="str">
        <f>IF($A52&lt;&gt;"",PROPER(INDEX(DiemHKII!$B$4:$T$58,MATCH(InPDBMHKII!$A52,DiemHKII!$B$4:$B$58,0),5)),"")</f>
        <v/>
      </c>
      <c r="D52" s="359" t="str">
        <f>IF($A52&lt;&gt;"",PROPER(INDEX(DiemHKII!$B$4:$T$58,MATCH(InPDBMHKII!$A52,DiemHKII!$B$4:$B$58,0),6)),"")</f>
        <v/>
      </c>
      <c r="E52" s="101" t="str">
        <f>IF($A52&lt;&gt;"",IF(INDEX(BDHK2,MATCH(InPDBMHKII!$A52,DiemHKII!$B$4:$B$58,0),INDEX($R$10:$AA$24,MATCH($D$6,$R$10:$R$24,0),S$9))&lt;&gt;"",INDEX(BDHK2,MATCH(InPDBMHKII!$A52,DiemHKII!$B$4:$B$58,0),INDEX($R$10:$AA$24,MATCH($D$6,$R$10:$R$24,0),S$9)),""),"")</f>
        <v/>
      </c>
      <c r="F52" s="102" t="str">
        <f>IF($A52&lt;&gt;"",IF(INDEX(BDHK2,MATCH(InPDBMHKII!$A52,DiemHKII!$B$4:$B$58,0),INDEX($R$10:$AA$24,MATCH($D$6,$R$10:$R$24,0),T$9))&lt;&gt;"",INDEX(BDHK2,MATCH(InPDBMHKII!$A52,DiemHKII!$B$4:$B$58,0),INDEX($R$10:$AA$24,MATCH($D$6,$R$10:$R$24,0),T$9)),""),"")</f>
        <v/>
      </c>
      <c r="G52" s="102" t="str">
        <f>IF($A52&lt;&gt;"",IF(INDEX(BDHK2,MATCH(InPDBMHKII!$A52,DiemHKII!$B$4:$B$58,0),INDEX($R$10:$AA$24,MATCH($D$6,$R$10:$R$24,0),U$9))&lt;&gt;"",INDEX(BDHK2,MATCH(InPDBMHKII!$A52,DiemHKII!$B$4:$B$58,0),INDEX($R$10:$AA$24,MATCH($D$6,$R$10:$R$24,0),U$9)),""),"")</f>
        <v/>
      </c>
      <c r="H52" s="419" t="str">
        <f>IF($A52&lt;&gt;"",IF(INDEX(BDHK2,MATCH(InPDBMHKII!$A52,DiemHKII!$B$4:$B$58,0),INDEX($R$10:$AA$24,MATCH($D$6,$R$10:$R$24,0),V$9))&lt;&gt;"",INDEX(BDHK2,MATCH(InPDBMHKII!$A52,DiemHKII!$B$4:$B$58,0),INDEX($R$10:$AA$24,MATCH($D$6,$R$10:$R$24,0),V$9)),""),"")</f>
        <v/>
      </c>
      <c r="I52" s="367" t="str">
        <f>IF($A52&lt;&gt;"",IF(INDEX(BDHK2,MATCH(InPDBMHKII!$A52,DiemHKII!$B$4:$B$58,0),INDEX($R$10:$AA$24,MATCH($D$6,$R$10:$R$24,0),W$9))&lt;&gt;"",INDEX(BDHK2,MATCH(InPDBMHKII!$A52,DiemHKII!$B$4:$B$58,0),INDEX($R$10:$AA$24,MATCH($D$6,$R$10:$R$24,0),W$9)),""),"")</f>
        <v/>
      </c>
      <c r="J52" s="104" t="str">
        <f>IF($A52&lt;&gt;"",IF(INDEX(BDHK2,MATCH(InPDBMHKII!$A52,DiemHKII!$B$4:$B$58,0),INDEX($R$10:$AA$24,MATCH($D$6,$R$10:$R$24,0),X$9))&lt;&gt;"",INDEX(BDHK2,MATCH(InPDBMHKII!$A52,DiemHKII!$B$4:$B$58,0),INDEX($R$10:$AA$24,MATCH($D$6,$R$10:$R$24,0),X$9)),""),"")</f>
        <v/>
      </c>
      <c r="K52" s="258" t="str">
        <f>IFERROR(IF($A52&lt;&gt;"",IF(INDEX(BDHK2,MATCH(InPDBMHKII!$A52,DiemHKII!$B$4:$B$58,0),INDEX($R$10:$AA$24,MATCH($D$6,$R$10:$R$24,0),Y$9))&lt;&gt;"",INDEX(BDHK2,MATCH(InPDBMHKII!$A52,DiemHKII!$B$4:$B$58,0),INDEX($R$10:$AA$24,MATCH($D$6,$R$10:$R$24,0),Y$9)),""),""),"")</f>
        <v/>
      </c>
      <c r="L52" s="258" t="str">
        <f>IF($A52&lt;&gt;"",IF(INDEX(BDHK2,MATCH(InPDBMHKII!$A52,DiemHKII!$B$4:$B$58,0),INDEX($R$10:$AA$24,MATCH($D$6,$R$10:$R$24,0),Z$9))&lt;&gt;"",INDEX(BDHK2,MATCH(InPDBMHKII!$A52,DiemHKII!$B$4:$B$58,0),INDEX($R$10:$AA$24,MATCH($D$6,$R$10:$R$24,0),Z$9)),""),"")</f>
        <v/>
      </c>
      <c r="M52" s="258" t="str">
        <f>IF($A52&lt;&gt;"",IF(INDEX(BDHK2,MATCH(InPDBMHKII!$A52,DiemHKII!$B$4:$B$58,0),INDEX($R$10:$AA$24,MATCH($D$6,$R$10:$R$24,0),AA$9))&lt;&gt;"",INDEX(BDHK2,MATCH(InPDBMHKII!$A52,DiemHKII!$B$4:$B$58,0),INDEX($R$10:$AA$24,MATCH($D$6,$R$10:$R$24,0),AA$9)),""),"")</f>
        <v/>
      </c>
      <c r="N52" s="259"/>
      <c r="P52" s="251" t="str">
        <f t="shared" si="0"/>
        <v/>
      </c>
    </row>
    <row r="53" spans="1:16" ht="24.9" hidden="1" customHeight="1">
      <c r="A53" s="117" t="str">
        <f>IF(A52&lt;MAX(DiemHKII!$B$4:$B$58),A52+1,"")</f>
        <v/>
      </c>
      <c r="B53" s="100" t="str">
        <f>IF($A53&lt;&gt;"",PROPER(INDEX(DiemHKII!$B$4:$T$58,MATCH(InPDBMHKII!$A53,DiemHKII!$B$4:$B$58,0),4)),"")</f>
        <v/>
      </c>
      <c r="C53" s="257" t="str">
        <f>IF($A53&lt;&gt;"",PROPER(INDEX(DiemHKII!$B$4:$T$58,MATCH(InPDBMHKII!$A53,DiemHKII!$B$4:$B$58,0),5)),"")</f>
        <v/>
      </c>
      <c r="D53" s="359" t="str">
        <f>IF($A53&lt;&gt;"",PROPER(INDEX(DiemHKII!$B$4:$T$58,MATCH(InPDBMHKII!$A53,DiemHKII!$B$4:$B$58,0),6)),"")</f>
        <v/>
      </c>
      <c r="E53" s="101" t="str">
        <f>IF($A53&lt;&gt;"",IF(INDEX(BDHK2,MATCH(InPDBMHKII!$A53,DiemHKII!$B$4:$B$58,0),INDEX($R$10:$AA$24,MATCH($D$6,$R$10:$R$24,0),S$9))&lt;&gt;"",INDEX(BDHK2,MATCH(InPDBMHKII!$A53,DiemHKII!$B$4:$B$58,0),INDEX($R$10:$AA$24,MATCH($D$6,$R$10:$R$24,0),S$9)),""),"")</f>
        <v/>
      </c>
      <c r="F53" s="102" t="str">
        <f>IF($A53&lt;&gt;"",IF(INDEX(BDHK2,MATCH(InPDBMHKII!$A53,DiemHKII!$B$4:$B$58,0),INDEX($R$10:$AA$24,MATCH($D$6,$R$10:$R$24,0),T$9))&lt;&gt;"",INDEX(BDHK2,MATCH(InPDBMHKII!$A53,DiemHKII!$B$4:$B$58,0),INDEX($R$10:$AA$24,MATCH($D$6,$R$10:$R$24,0),T$9)),""),"")</f>
        <v/>
      </c>
      <c r="G53" s="102" t="str">
        <f>IF($A53&lt;&gt;"",IF(INDEX(BDHK2,MATCH(InPDBMHKII!$A53,DiemHKII!$B$4:$B$58,0),INDEX($R$10:$AA$24,MATCH($D$6,$R$10:$R$24,0),U$9))&lt;&gt;"",INDEX(BDHK2,MATCH(InPDBMHKII!$A53,DiemHKII!$B$4:$B$58,0),INDEX($R$10:$AA$24,MATCH($D$6,$R$10:$R$24,0),U$9)),""),"")</f>
        <v/>
      </c>
      <c r="H53" s="419" t="str">
        <f>IF($A53&lt;&gt;"",IF(INDEX(BDHK2,MATCH(InPDBMHKII!$A53,DiemHKII!$B$4:$B$58,0),INDEX($R$10:$AA$24,MATCH($D$6,$R$10:$R$24,0),V$9))&lt;&gt;"",INDEX(BDHK2,MATCH(InPDBMHKII!$A53,DiemHKII!$B$4:$B$58,0),INDEX($R$10:$AA$24,MATCH($D$6,$R$10:$R$24,0),V$9)),""),"")</f>
        <v/>
      </c>
      <c r="I53" s="367" t="str">
        <f>IF($A53&lt;&gt;"",IF(INDEX(BDHK2,MATCH(InPDBMHKII!$A53,DiemHKII!$B$4:$B$58,0),INDEX($R$10:$AA$24,MATCH($D$6,$R$10:$R$24,0),W$9))&lt;&gt;"",INDEX(BDHK2,MATCH(InPDBMHKII!$A53,DiemHKII!$B$4:$B$58,0),INDEX($R$10:$AA$24,MATCH($D$6,$R$10:$R$24,0),W$9)),""),"")</f>
        <v/>
      </c>
      <c r="J53" s="104" t="str">
        <f>IF($A53&lt;&gt;"",IF(INDEX(BDHK2,MATCH(InPDBMHKII!$A53,DiemHKII!$B$4:$B$58,0),INDEX($R$10:$AA$24,MATCH($D$6,$R$10:$R$24,0),X$9))&lt;&gt;"",INDEX(BDHK2,MATCH(InPDBMHKII!$A53,DiemHKII!$B$4:$B$58,0),INDEX($R$10:$AA$24,MATCH($D$6,$R$10:$R$24,0),X$9)),""),"")</f>
        <v/>
      </c>
      <c r="K53" s="258" t="str">
        <f>IFERROR(IF($A53&lt;&gt;"",IF(INDEX(BDHK2,MATCH(InPDBMHKII!$A53,DiemHKII!$B$4:$B$58,0),INDEX($R$10:$AA$24,MATCH($D$6,$R$10:$R$24,0),Y$9))&lt;&gt;"",INDEX(BDHK2,MATCH(InPDBMHKII!$A53,DiemHKII!$B$4:$B$58,0),INDEX($R$10:$AA$24,MATCH($D$6,$R$10:$R$24,0),Y$9)),""),""),"")</f>
        <v/>
      </c>
      <c r="L53" s="258" t="str">
        <f>IF($A53&lt;&gt;"",IF(INDEX(BDHK2,MATCH(InPDBMHKII!$A53,DiemHKII!$B$4:$B$58,0),INDEX($R$10:$AA$24,MATCH($D$6,$R$10:$R$24,0),Z$9))&lt;&gt;"",INDEX(BDHK2,MATCH(InPDBMHKII!$A53,DiemHKII!$B$4:$B$58,0),INDEX($R$10:$AA$24,MATCH($D$6,$R$10:$R$24,0),Z$9)),""),"")</f>
        <v/>
      </c>
      <c r="M53" s="258" t="str">
        <f>IF($A53&lt;&gt;"",IF(INDEX(BDHK2,MATCH(InPDBMHKII!$A53,DiemHKII!$B$4:$B$58,0),INDEX($R$10:$AA$24,MATCH($D$6,$R$10:$R$24,0),AA$9))&lt;&gt;"",INDEX(BDHK2,MATCH(InPDBMHKII!$A53,DiemHKII!$B$4:$B$58,0),INDEX($R$10:$AA$24,MATCH($D$6,$R$10:$R$24,0),AA$9)),""),"")</f>
        <v/>
      </c>
      <c r="N53" s="259"/>
      <c r="P53" s="251" t="str">
        <f t="shared" si="0"/>
        <v/>
      </c>
    </row>
    <row r="54" spans="1:16" ht="24.9" hidden="1" customHeight="1">
      <c r="A54" s="260" t="str">
        <f>IF(A53&lt;MAX(DiemHKII!$B$4:$B$58),A53+1,"")</f>
        <v/>
      </c>
      <c r="B54" s="106" t="str">
        <f>IF($A54&lt;&gt;"",PROPER(INDEX(DiemHKII!$B$4:$T$58,MATCH(InPDBMHKII!$A54,DiemHKII!$B$4:$B$58,0),4)),"")</f>
        <v/>
      </c>
      <c r="C54" s="261" t="str">
        <f>IF($A54&lt;&gt;"",PROPER(INDEX(DiemHKII!$B$4:$T$58,MATCH(InPDBMHKII!$A54,DiemHKII!$B$4:$B$58,0),5)),"")</f>
        <v/>
      </c>
      <c r="D54" s="360" t="str">
        <f>IF($A54&lt;&gt;"",PROPER(INDEX(DiemHKII!$B$4:$T$58,MATCH(InPDBMHKII!$A54,DiemHKII!$B$4:$B$58,0),6)),"")</f>
        <v/>
      </c>
      <c r="E54" s="107" t="str">
        <f>IF($A54&lt;&gt;"",IF(INDEX(BDHK2,MATCH(InPDBMHKII!$A54,DiemHKII!$B$4:$B$58,0),INDEX($R$10:$AA$24,MATCH($D$6,$R$10:$R$24,0),S$9))&lt;&gt;"",INDEX(BDHK2,MATCH(InPDBMHKII!$A54,DiemHKII!$B$4:$B$58,0),INDEX($R$10:$AA$24,MATCH($D$6,$R$10:$R$24,0),S$9)),""),"")</f>
        <v/>
      </c>
      <c r="F54" s="108" t="str">
        <f>IF($A54&lt;&gt;"",IF(INDEX(BDHK2,MATCH(InPDBMHKII!$A54,DiemHKII!$B$4:$B$58,0),INDEX($R$10:$AA$24,MATCH($D$6,$R$10:$R$24,0),T$9))&lt;&gt;"",INDEX(BDHK2,MATCH(InPDBMHKII!$A54,DiemHKII!$B$4:$B$58,0),INDEX($R$10:$AA$24,MATCH($D$6,$R$10:$R$24,0),T$9)),""),"")</f>
        <v/>
      </c>
      <c r="G54" s="108" t="str">
        <f>IF($A54&lt;&gt;"",IF(INDEX(BDHK2,MATCH(InPDBMHKII!$A54,DiemHKII!$B$4:$B$58,0),INDEX($R$10:$AA$24,MATCH($D$6,$R$10:$R$24,0),U$9))&lt;&gt;"",INDEX(BDHK2,MATCH(InPDBMHKII!$A54,DiemHKII!$B$4:$B$58,0),INDEX($R$10:$AA$24,MATCH($D$6,$R$10:$R$24,0),U$9)),""),"")</f>
        <v/>
      </c>
      <c r="H54" s="420" t="str">
        <f>IF($A54&lt;&gt;"",IF(INDEX(BDHK2,MATCH(InPDBMHKII!$A54,DiemHKII!$B$4:$B$58,0),INDEX($R$10:$AA$24,MATCH($D$6,$R$10:$R$24,0),V$9))&lt;&gt;"",INDEX(BDHK2,MATCH(InPDBMHKII!$A54,DiemHKII!$B$4:$B$58,0),INDEX($R$10:$AA$24,MATCH($D$6,$R$10:$R$24,0),V$9)),""),"")</f>
        <v/>
      </c>
      <c r="I54" s="368" t="str">
        <f>IF($A54&lt;&gt;"",IF(INDEX(BDHK2,MATCH(InPDBMHKII!$A54,DiemHKII!$B$4:$B$58,0),INDEX($R$10:$AA$24,MATCH($D$6,$R$10:$R$24,0),W$9))&lt;&gt;"",INDEX(BDHK2,MATCH(InPDBMHKII!$A54,DiemHKII!$B$4:$B$58,0),INDEX($R$10:$AA$24,MATCH($D$6,$R$10:$R$24,0),W$9)),""),"")</f>
        <v/>
      </c>
      <c r="J54" s="110" t="str">
        <f>IF($A54&lt;&gt;"",IF(INDEX(BDHK2,MATCH(InPDBMHKII!$A54,DiemHKII!$B$4:$B$58,0),INDEX($R$10:$AA$24,MATCH($D$6,$R$10:$R$24,0),X$9))&lt;&gt;"",INDEX(BDHK2,MATCH(InPDBMHKII!$A54,DiemHKII!$B$4:$B$58,0),INDEX($R$10:$AA$24,MATCH($D$6,$R$10:$R$24,0),X$9)),""),"")</f>
        <v/>
      </c>
      <c r="K54" s="262" t="str">
        <f>IFERROR(IF($A54&lt;&gt;"",IF(INDEX(BDHK2,MATCH(InPDBMHKII!$A54,DiemHKII!$B$4:$B$58,0),INDEX($R$10:$AA$24,MATCH($D$6,$R$10:$R$24,0),Y$9))&lt;&gt;"",INDEX(BDHK2,MATCH(InPDBMHKII!$A54,DiemHKII!$B$4:$B$58,0),INDEX($R$10:$AA$24,MATCH($D$6,$R$10:$R$24,0),Y$9)),""),""),"")</f>
        <v/>
      </c>
      <c r="L54" s="262" t="str">
        <f>IF($A54&lt;&gt;"",IF(INDEX(BDHK2,MATCH(InPDBMHKII!$A54,DiemHKII!$B$4:$B$58,0),INDEX($R$10:$AA$24,MATCH($D$6,$R$10:$R$24,0),Z$9))&lt;&gt;"",INDEX(BDHK2,MATCH(InPDBMHKII!$A54,DiemHKII!$B$4:$B$58,0),INDEX($R$10:$AA$24,MATCH($D$6,$R$10:$R$24,0),Z$9)),""),"")</f>
        <v/>
      </c>
      <c r="M54" s="262" t="str">
        <f>IF($A54&lt;&gt;"",IF(INDEX(BDHK2,MATCH(InPDBMHKII!$A54,DiemHKII!$B$4:$B$58,0),INDEX($R$10:$AA$24,MATCH($D$6,$R$10:$R$24,0),AA$9))&lt;&gt;"",INDEX(BDHK2,MATCH(InPDBMHKII!$A54,DiemHKII!$B$4:$B$58,0),INDEX($R$10:$AA$24,MATCH($D$6,$R$10:$R$24,0),AA$9)),""),"")</f>
        <v/>
      </c>
      <c r="N54" s="263"/>
      <c r="P54" s="251" t="str">
        <f t="shared" si="0"/>
        <v/>
      </c>
    </row>
    <row r="55" spans="1:16" ht="24.9" hidden="1" customHeight="1">
      <c r="A55" s="264" t="str">
        <f>IF(A54&lt;MAX(DiemHKII!$B$4:$B$58),A54+1,"")</f>
        <v/>
      </c>
      <c r="B55" s="112" t="str">
        <f>IF($A55&lt;&gt;"",PROPER(INDEX(DiemHKII!$B$4:$T$58,MATCH(InPDBMHKII!$A55,DiemHKII!$B$4:$B$58,0),4)),"")</f>
        <v/>
      </c>
      <c r="C55" s="265" t="str">
        <f>IF($A55&lt;&gt;"",PROPER(INDEX(DiemHKII!$B$4:$T$58,MATCH(InPDBMHKII!$A55,DiemHKII!$B$4:$B$58,0),5)),"")</f>
        <v/>
      </c>
      <c r="D55" s="361" t="str">
        <f>IF($A55&lt;&gt;"",PROPER(INDEX(DiemHKII!$B$4:$T$58,MATCH(InPDBMHKII!$A55,DiemHKII!$B$4:$B$58,0),6)),"")</f>
        <v/>
      </c>
      <c r="E55" s="113" t="str">
        <f>IF($A55&lt;&gt;"",IF(INDEX(BDHK2,MATCH(InPDBMHKII!$A55,DiemHKII!$B$4:$B$58,0),INDEX($R$10:$AA$24,MATCH($D$6,$R$10:$R$24,0),S$9))&lt;&gt;"",INDEX(BDHK2,MATCH(InPDBMHKII!$A55,DiemHKII!$B$4:$B$58,0),INDEX($R$10:$AA$24,MATCH($D$6,$R$10:$R$24,0),S$9)),""),"")</f>
        <v/>
      </c>
      <c r="F55" s="114" t="str">
        <f>IF($A55&lt;&gt;"",IF(INDEX(BDHK2,MATCH(InPDBMHKII!$A55,DiemHKII!$B$4:$B$58,0),INDEX($R$10:$AA$24,MATCH($D$6,$R$10:$R$24,0),T$9))&lt;&gt;"",INDEX(BDHK2,MATCH(InPDBMHKII!$A55,DiemHKII!$B$4:$B$58,0),INDEX($R$10:$AA$24,MATCH($D$6,$R$10:$R$24,0),T$9)),""),"")</f>
        <v/>
      </c>
      <c r="G55" s="114" t="str">
        <f>IF($A55&lt;&gt;"",IF(INDEX(BDHK2,MATCH(InPDBMHKII!$A55,DiemHKII!$B$4:$B$58,0),INDEX($R$10:$AA$24,MATCH($D$6,$R$10:$R$24,0),U$9))&lt;&gt;"",INDEX(BDHK2,MATCH(InPDBMHKII!$A55,DiemHKII!$B$4:$B$58,0),INDEX($R$10:$AA$24,MATCH($D$6,$R$10:$R$24,0),U$9)),""),"")</f>
        <v/>
      </c>
      <c r="H55" s="421" t="str">
        <f>IF($A55&lt;&gt;"",IF(INDEX(BDHK2,MATCH(InPDBMHKII!$A55,DiemHKII!$B$4:$B$58,0),INDEX($R$10:$AA$24,MATCH($D$6,$R$10:$R$24,0),V$9))&lt;&gt;"",INDEX(BDHK2,MATCH(InPDBMHKII!$A55,DiemHKII!$B$4:$B$58,0),INDEX($R$10:$AA$24,MATCH($D$6,$R$10:$R$24,0),V$9)),""),"")</f>
        <v/>
      </c>
      <c r="I55" s="369" t="str">
        <f>IF($A55&lt;&gt;"",IF(INDEX(BDHK2,MATCH(InPDBMHKII!$A55,DiemHKII!$B$4:$B$58,0),INDEX($R$10:$AA$24,MATCH($D$6,$R$10:$R$24,0),W$9))&lt;&gt;"",INDEX(BDHK2,MATCH(InPDBMHKII!$A55,DiemHKII!$B$4:$B$58,0),INDEX($R$10:$AA$24,MATCH($D$6,$R$10:$R$24,0),W$9)),""),"")</f>
        <v/>
      </c>
      <c r="J55" s="116" t="str">
        <f>IF($A55&lt;&gt;"",IF(INDEX(BDHK2,MATCH(InPDBMHKII!$A55,DiemHKII!$B$4:$B$58,0),INDEX($R$10:$AA$24,MATCH($D$6,$R$10:$R$24,0),X$9))&lt;&gt;"",INDEX(BDHK2,MATCH(InPDBMHKII!$A55,DiemHKII!$B$4:$B$58,0),INDEX($R$10:$AA$24,MATCH($D$6,$R$10:$R$24,0),X$9)),""),"")</f>
        <v/>
      </c>
      <c r="K55" s="255" t="str">
        <f>IFERROR(IF($A55&lt;&gt;"",IF(INDEX(BDHK2,MATCH(InPDBMHKII!$A55,DiemHKII!$B$4:$B$58,0),INDEX($R$10:$AA$24,MATCH($D$6,$R$10:$R$24,0),Y$9))&lt;&gt;"",INDEX(BDHK2,MATCH(InPDBMHKII!$A55,DiemHKII!$B$4:$B$58,0),INDEX($R$10:$AA$24,MATCH($D$6,$R$10:$R$24,0),Y$9)),""),""),"")</f>
        <v/>
      </c>
      <c r="L55" s="255" t="str">
        <f>IF($A55&lt;&gt;"",IF(INDEX(BDHK2,MATCH(InPDBMHKII!$A55,DiemHKII!$B$4:$B$58,0),INDEX($R$10:$AA$24,MATCH($D$6,$R$10:$R$24,0),Z$9))&lt;&gt;"",INDEX(BDHK2,MATCH(InPDBMHKII!$A55,DiemHKII!$B$4:$B$58,0),INDEX($R$10:$AA$24,MATCH($D$6,$R$10:$R$24,0),Z$9)),""),"")</f>
        <v/>
      </c>
      <c r="M55" s="255" t="str">
        <f>IF($A55&lt;&gt;"",IF(INDEX(BDHK2,MATCH(InPDBMHKII!$A55,DiemHKII!$B$4:$B$58,0),INDEX($R$10:$AA$24,MATCH($D$6,$R$10:$R$24,0),AA$9))&lt;&gt;"",INDEX(BDHK2,MATCH(InPDBMHKII!$A55,DiemHKII!$B$4:$B$58,0),INDEX($R$10:$AA$24,MATCH($D$6,$R$10:$R$24,0),AA$9)),""),"")</f>
        <v/>
      </c>
      <c r="N55" s="256"/>
      <c r="P55" s="251" t="str">
        <f t="shared" si="0"/>
        <v/>
      </c>
    </row>
    <row r="56" spans="1:16" ht="24.9" hidden="1" customHeight="1">
      <c r="A56" s="117" t="str">
        <f>IF(A55&lt;MAX(DiemHKII!$B$4:$B$58),A55+1,"")</f>
        <v/>
      </c>
      <c r="B56" s="100" t="str">
        <f>IF($A56&lt;&gt;"",PROPER(INDEX(DiemHKII!$B$4:$T$58,MATCH(InPDBMHKII!$A56,DiemHKII!$B$4:$B$58,0),4)),"")</f>
        <v/>
      </c>
      <c r="C56" s="257" t="str">
        <f>IF($A56&lt;&gt;"",PROPER(INDEX(DiemHKII!$B$4:$T$58,MATCH(InPDBMHKII!$A56,DiemHKII!$B$4:$B$58,0),5)),"")</f>
        <v/>
      </c>
      <c r="D56" s="359" t="str">
        <f>IF($A56&lt;&gt;"",PROPER(INDEX(DiemHKII!$B$4:$T$58,MATCH(InPDBMHKII!$A56,DiemHKII!$B$4:$B$58,0),6)),"")</f>
        <v/>
      </c>
      <c r="E56" s="101" t="str">
        <f>IF($A56&lt;&gt;"",IF(INDEX(BDHK2,MATCH(InPDBMHKII!$A56,DiemHKII!$B$4:$B$58,0),INDEX($R$10:$AA$24,MATCH($D$6,$R$10:$R$24,0),S$9))&lt;&gt;"",INDEX(BDHK2,MATCH(InPDBMHKII!$A56,DiemHKII!$B$4:$B$58,0),INDEX($R$10:$AA$24,MATCH($D$6,$R$10:$R$24,0),S$9)),""),"")</f>
        <v/>
      </c>
      <c r="F56" s="102" t="str">
        <f>IF($A56&lt;&gt;"",IF(INDEX(BDHK2,MATCH(InPDBMHKII!$A56,DiemHKII!$B$4:$B$58,0),INDEX($R$10:$AA$24,MATCH($D$6,$R$10:$R$24,0),T$9))&lt;&gt;"",INDEX(BDHK2,MATCH(InPDBMHKII!$A56,DiemHKII!$B$4:$B$58,0),INDEX($R$10:$AA$24,MATCH($D$6,$R$10:$R$24,0),T$9)),""),"")</f>
        <v/>
      </c>
      <c r="G56" s="102" t="str">
        <f>IF($A56&lt;&gt;"",IF(INDEX(BDHK2,MATCH(InPDBMHKII!$A56,DiemHKII!$B$4:$B$58,0),INDEX($R$10:$AA$24,MATCH($D$6,$R$10:$R$24,0),U$9))&lt;&gt;"",INDEX(BDHK2,MATCH(InPDBMHKII!$A56,DiemHKII!$B$4:$B$58,0),INDEX($R$10:$AA$24,MATCH($D$6,$R$10:$R$24,0),U$9)),""),"")</f>
        <v/>
      </c>
      <c r="H56" s="419" t="str">
        <f>IF($A56&lt;&gt;"",IF(INDEX(BDHK2,MATCH(InPDBMHKII!$A56,DiemHKII!$B$4:$B$58,0),INDEX($R$10:$AA$24,MATCH($D$6,$R$10:$R$24,0),V$9))&lt;&gt;"",INDEX(BDHK2,MATCH(InPDBMHKII!$A56,DiemHKII!$B$4:$B$58,0),INDEX($R$10:$AA$24,MATCH($D$6,$R$10:$R$24,0),V$9)),""),"")</f>
        <v/>
      </c>
      <c r="I56" s="367" t="str">
        <f>IF($A56&lt;&gt;"",IF(INDEX(BDHK2,MATCH(InPDBMHKII!$A56,DiemHKII!$B$4:$B$58,0),INDEX($R$10:$AA$24,MATCH($D$6,$R$10:$R$24,0),W$9))&lt;&gt;"",INDEX(BDHK2,MATCH(InPDBMHKII!$A56,DiemHKII!$B$4:$B$58,0),INDEX($R$10:$AA$24,MATCH($D$6,$R$10:$R$24,0),W$9)),""),"")</f>
        <v/>
      </c>
      <c r="J56" s="104" t="str">
        <f>IF($A56&lt;&gt;"",IF(INDEX(BDHK2,MATCH(InPDBMHKII!$A56,DiemHKII!$B$4:$B$58,0),INDEX($R$10:$AA$24,MATCH($D$6,$R$10:$R$24,0),X$9))&lt;&gt;"",INDEX(BDHK2,MATCH(InPDBMHKII!$A56,DiemHKII!$B$4:$B$58,0),INDEX($R$10:$AA$24,MATCH($D$6,$R$10:$R$24,0),X$9)),""),"")</f>
        <v/>
      </c>
      <c r="K56" s="258" t="str">
        <f>IFERROR(IF($A56&lt;&gt;"",IF(INDEX(BDHK2,MATCH(InPDBMHKII!$A56,DiemHKII!$B$4:$B$58,0),INDEX($R$10:$AA$24,MATCH($D$6,$R$10:$R$24,0),Y$9))&lt;&gt;"",INDEX(BDHK2,MATCH(InPDBMHKII!$A56,DiemHKII!$B$4:$B$58,0),INDEX($R$10:$AA$24,MATCH($D$6,$R$10:$R$24,0),Y$9)),""),""),"")</f>
        <v/>
      </c>
      <c r="L56" s="258" t="str">
        <f>IF($A56&lt;&gt;"",IF(INDEX(BDHK2,MATCH(InPDBMHKII!$A56,DiemHKII!$B$4:$B$58,0),INDEX($R$10:$AA$24,MATCH($D$6,$R$10:$R$24,0),Z$9))&lt;&gt;"",INDEX(BDHK2,MATCH(InPDBMHKII!$A56,DiemHKII!$B$4:$B$58,0),INDEX($R$10:$AA$24,MATCH($D$6,$R$10:$R$24,0),Z$9)),""),"")</f>
        <v/>
      </c>
      <c r="M56" s="258" t="str">
        <f>IF($A56&lt;&gt;"",IF(INDEX(BDHK2,MATCH(InPDBMHKII!$A56,DiemHKII!$B$4:$B$58,0),INDEX($R$10:$AA$24,MATCH($D$6,$R$10:$R$24,0),AA$9))&lt;&gt;"",INDEX(BDHK2,MATCH(InPDBMHKII!$A56,DiemHKII!$B$4:$B$58,0),INDEX($R$10:$AA$24,MATCH($D$6,$R$10:$R$24,0),AA$9)),""),"")</f>
        <v/>
      </c>
      <c r="N56" s="259"/>
      <c r="P56" s="251" t="str">
        <f t="shared" si="0"/>
        <v/>
      </c>
    </row>
    <row r="57" spans="1:16" ht="24.9" hidden="1" customHeight="1">
      <c r="A57" s="117" t="str">
        <f>IF(A56&lt;MAX(DiemHKII!$B$4:$B$58),A56+1,"")</f>
        <v/>
      </c>
      <c r="B57" s="100" t="str">
        <f>IF($A57&lt;&gt;"",PROPER(INDEX(DiemHKII!$B$4:$T$58,MATCH(InPDBMHKII!$A57,DiemHKII!$B$4:$B$58,0),4)),"")</f>
        <v/>
      </c>
      <c r="C57" s="257" t="str">
        <f>IF($A57&lt;&gt;"",PROPER(INDEX(DiemHKII!$B$4:$T$58,MATCH(InPDBMHKII!$A57,DiemHKII!$B$4:$B$58,0),5)),"")</f>
        <v/>
      </c>
      <c r="D57" s="359" t="str">
        <f>IF($A57&lt;&gt;"",PROPER(INDEX(DiemHKII!$B$4:$T$58,MATCH(InPDBMHKII!$A57,DiemHKII!$B$4:$B$58,0),6)),"")</f>
        <v/>
      </c>
      <c r="E57" s="101" t="str">
        <f>IF($A57&lt;&gt;"",IF(INDEX(BDHK2,MATCH(InPDBMHKII!$A57,DiemHKII!$B$4:$B$58,0),INDEX($R$10:$AA$24,MATCH($D$6,$R$10:$R$24,0),S$9))&lt;&gt;"",INDEX(BDHK2,MATCH(InPDBMHKII!$A57,DiemHKII!$B$4:$B$58,0),INDEX($R$10:$AA$24,MATCH($D$6,$R$10:$R$24,0),S$9)),""),"")</f>
        <v/>
      </c>
      <c r="F57" s="102" t="str">
        <f>IF($A57&lt;&gt;"",IF(INDEX(BDHK2,MATCH(InPDBMHKII!$A57,DiemHKII!$B$4:$B$58,0),INDEX($R$10:$AA$24,MATCH($D$6,$R$10:$R$24,0),T$9))&lt;&gt;"",INDEX(BDHK2,MATCH(InPDBMHKII!$A57,DiemHKII!$B$4:$B$58,0),INDEX($R$10:$AA$24,MATCH($D$6,$R$10:$R$24,0),T$9)),""),"")</f>
        <v/>
      </c>
      <c r="G57" s="102" t="str">
        <f>IF($A57&lt;&gt;"",IF(INDEX(BDHK2,MATCH(InPDBMHKII!$A57,DiemHKII!$B$4:$B$58,0),INDEX($R$10:$AA$24,MATCH($D$6,$R$10:$R$24,0),U$9))&lt;&gt;"",INDEX(BDHK2,MATCH(InPDBMHKII!$A57,DiemHKII!$B$4:$B$58,0),INDEX($R$10:$AA$24,MATCH($D$6,$R$10:$R$24,0),U$9)),""),"")</f>
        <v/>
      </c>
      <c r="H57" s="419" t="str">
        <f>IF($A57&lt;&gt;"",IF(INDEX(BDHK2,MATCH(InPDBMHKII!$A57,DiemHKII!$B$4:$B$58,0),INDEX($R$10:$AA$24,MATCH($D$6,$R$10:$R$24,0),V$9))&lt;&gt;"",INDEX(BDHK2,MATCH(InPDBMHKII!$A57,DiemHKII!$B$4:$B$58,0),INDEX($R$10:$AA$24,MATCH($D$6,$R$10:$R$24,0),V$9)),""),"")</f>
        <v/>
      </c>
      <c r="I57" s="367" t="str">
        <f>IF($A57&lt;&gt;"",IF(INDEX(BDHK2,MATCH(InPDBMHKII!$A57,DiemHKII!$B$4:$B$58,0),INDEX($R$10:$AA$24,MATCH($D$6,$R$10:$R$24,0),W$9))&lt;&gt;"",INDEX(BDHK2,MATCH(InPDBMHKII!$A57,DiemHKII!$B$4:$B$58,0),INDEX($R$10:$AA$24,MATCH($D$6,$R$10:$R$24,0),W$9)),""),"")</f>
        <v/>
      </c>
      <c r="J57" s="104" t="str">
        <f>IF($A57&lt;&gt;"",IF(INDEX(BDHK2,MATCH(InPDBMHKII!$A57,DiemHKII!$B$4:$B$58,0),INDEX($R$10:$AA$24,MATCH($D$6,$R$10:$R$24,0),X$9))&lt;&gt;"",INDEX(BDHK2,MATCH(InPDBMHKII!$A57,DiemHKII!$B$4:$B$58,0),INDEX($R$10:$AA$24,MATCH($D$6,$R$10:$R$24,0),X$9)),""),"")</f>
        <v/>
      </c>
      <c r="K57" s="258" t="str">
        <f>IFERROR(IF($A57&lt;&gt;"",IF(INDEX(BDHK2,MATCH(InPDBMHKII!$A57,DiemHKII!$B$4:$B$58,0),INDEX($R$10:$AA$24,MATCH($D$6,$R$10:$R$24,0),Y$9))&lt;&gt;"",INDEX(BDHK2,MATCH(InPDBMHKII!$A57,DiemHKII!$B$4:$B$58,0),INDEX($R$10:$AA$24,MATCH($D$6,$R$10:$R$24,0),Y$9)),""),""),"")</f>
        <v/>
      </c>
      <c r="L57" s="258" t="str">
        <f>IF($A57&lt;&gt;"",IF(INDEX(BDHK2,MATCH(InPDBMHKII!$A57,DiemHKII!$B$4:$B$58,0),INDEX($R$10:$AA$24,MATCH($D$6,$R$10:$R$24,0),Z$9))&lt;&gt;"",INDEX(BDHK2,MATCH(InPDBMHKII!$A57,DiemHKII!$B$4:$B$58,0),INDEX($R$10:$AA$24,MATCH($D$6,$R$10:$R$24,0),Z$9)),""),"")</f>
        <v/>
      </c>
      <c r="M57" s="258" t="str">
        <f>IF($A57&lt;&gt;"",IF(INDEX(BDHK2,MATCH(InPDBMHKII!$A57,DiemHKII!$B$4:$B$58,0),INDEX($R$10:$AA$24,MATCH($D$6,$R$10:$R$24,0),AA$9))&lt;&gt;"",INDEX(BDHK2,MATCH(InPDBMHKII!$A57,DiemHKII!$B$4:$B$58,0),INDEX($R$10:$AA$24,MATCH($D$6,$R$10:$R$24,0),AA$9)),""),"")</f>
        <v/>
      </c>
      <c r="N57" s="259"/>
      <c r="P57" s="251" t="str">
        <f t="shared" si="0"/>
        <v/>
      </c>
    </row>
    <row r="58" spans="1:16" ht="24.9" hidden="1" customHeight="1">
      <c r="A58" s="117" t="str">
        <f>IF(A57&lt;MAX(DiemHKII!$B$4:$B$58),A57+1,"")</f>
        <v/>
      </c>
      <c r="B58" s="100" t="str">
        <f>IF($A58&lt;&gt;"",PROPER(INDEX(DiemHKII!$B$4:$T$58,MATCH(InPDBMHKII!$A58,DiemHKII!$B$4:$B$58,0),4)),"")</f>
        <v/>
      </c>
      <c r="C58" s="257" t="str">
        <f>IF($A58&lt;&gt;"",PROPER(INDEX(DiemHKII!$B$4:$T$58,MATCH(InPDBMHKII!$A58,DiemHKII!$B$4:$B$58,0),5)),"")</f>
        <v/>
      </c>
      <c r="D58" s="359" t="str">
        <f>IF($A58&lt;&gt;"",PROPER(INDEX(DiemHKII!$B$4:$T$58,MATCH(InPDBMHKII!$A58,DiemHKII!$B$4:$B$58,0),6)),"")</f>
        <v/>
      </c>
      <c r="E58" s="101" t="str">
        <f>IF($A58&lt;&gt;"",IF(INDEX(BDHK2,MATCH(InPDBMHKII!$A58,DiemHKII!$B$4:$B$58,0),INDEX($R$10:$AA$24,MATCH($D$6,$R$10:$R$24,0),S$9))&lt;&gt;"",INDEX(BDHK2,MATCH(InPDBMHKII!$A58,DiemHKII!$B$4:$B$58,0),INDEX($R$10:$AA$24,MATCH($D$6,$R$10:$R$24,0),S$9)),""),"")</f>
        <v/>
      </c>
      <c r="F58" s="102" t="str">
        <f>IF($A58&lt;&gt;"",IF(INDEX(BDHK2,MATCH(InPDBMHKII!$A58,DiemHKII!$B$4:$B$58,0),INDEX($R$10:$AA$24,MATCH($D$6,$R$10:$R$24,0),T$9))&lt;&gt;"",INDEX(BDHK2,MATCH(InPDBMHKII!$A58,DiemHKII!$B$4:$B$58,0),INDEX($R$10:$AA$24,MATCH($D$6,$R$10:$R$24,0),T$9)),""),"")</f>
        <v/>
      </c>
      <c r="G58" s="102" t="str">
        <f>IF($A58&lt;&gt;"",IF(INDEX(BDHK2,MATCH(InPDBMHKII!$A58,DiemHKII!$B$4:$B$58,0),INDEX($R$10:$AA$24,MATCH($D$6,$R$10:$R$24,0),U$9))&lt;&gt;"",INDEX(BDHK2,MATCH(InPDBMHKII!$A58,DiemHKII!$B$4:$B$58,0),INDEX($R$10:$AA$24,MATCH($D$6,$R$10:$R$24,0),U$9)),""),"")</f>
        <v/>
      </c>
      <c r="H58" s="419" t="str">
        <f>IF($A58&lt;&gt;"",IF(INDEX(BDHK2,MATCH(InPDBMHKII!$A58,DiemHKII!$B$4:$B$58,0),INDEX($R$10:$AA$24,MATCH($D$6,$R$10:$R$24,0),V$9))&lt;&gt;"",INDEX(BDHK2,MATCH(InPDBMHKII!$A58,DiemHKII!$B$4:$B$58,0),INDEX($R$10:$AA$24,MATCH($D$6,$R$10:$R$24,0),V$9)),""),"")</f>
        <v/>
      </c>
      <c r="I58" s="367" t="str">
        <f>IF($A58&lt;&gt;"",IF(INDEX(BDHK2,MATCH(InPDBMHKII!$A58,DiemHKII!$B$4:$B$58,0),INDEX($R$10:$AA$24,MATCH($D$6,$R$10:$R$24,0),W$9))&lt;&gt;"",INDEX(BDHK2,MATCH(InPDBMHKII!$A58,DiemHKII!$B$4:$B$58,0),INDEX($R$10:$AA$24,MATCH($D$6,$R$10:$R$24,0),W$9)),""),"")</f>
        <v/>
      </c>
      <c r="J58" s="104" t="str">
        <f>IF($A58&lt;&gt;"",IF(INDEX(BDHK2,MATCH(InPDBMHKII!$A58,DiemHKII!$B$4:$B$58,0),INDEX($R$10:$AA$24,MATCH($D$6,$R$10:$R$24,0),X$9))&lt;&gt;"",INDEX(BDHK2,MATCH(InPDBMHKII!$A58,DiemHKII!$B$4:$B$58,0),INDEX($R$10:$AA$24,MATCH($D$6,$R$10:$R$24,0),X$9)),""),"")</f>
        <v/>
      </c>
      <c r="K58" s="258" t="str">
        <f>IFERROR(IF($A58&lt;&gt;"",IF(INDEX(BDHK2,MATCH(InPDBMHKII!$A58,DiemHKII!$B$4:$B$58,0),INDEX($R$10:$AA$24,MATCH($D$6,$R$10:$R$24,0),Y$9))&lt;&gt;"",INDEX(BDHK2,MATCH(InPDBMHKII!$A58,DiemHKII!$B$4:$B$58,0),INDEX($R$10:$AA$24,MATCH($D$6,$R$10:$R$24,0),Y$9)),""),""),"")</f>
        <v/>
      </c>
      <c r="L58" s="258" t="str">
        <f>IF($A58&lt;&gt;"",IF(INDEX(BDHK2,MATCH(InPDBMHKII!$A58,DiemHKII!$B$4:$B$58,0),INDEX($R$10:$AA$24,MATCH($D$6,$R$10:$R$24,0),Z$9))&lt;&gt;"",INDEX(BDHK2,MATCH(InPDBMHKII!$A58,DiemHKII!$B$4:$B$58,0),INDEX($R$10:$AA$24,MATCH($D$6,$R$10:$R$24,0),Z$9)),""),"")</f>
        <v/>
      </c>
      <c r="M58" s="258" t="str">
        <f>IF($A58&lt;&gt;"",IF(INDEX(BDHK2,MATCH(InPDBMHKII!$A58,DiemHKII!$B$4:$B$58,0),INDEX($R$10:$AA$24,MATCH($D$6,$R$10:$R$24,0),AA$9))&lt;&gt;"",INDEX(BDHK2,MATCH(InPDBMHKII!$A58,DiemHKII!$B$4:$B$58,0),INDEX($R$10:$AA$24,MATCH($D$6,$R$10:$R$24,0),AA$9)),""),"")</f>
        <v/>
      </c>
      <c r="N58" s="259"/>
      <c r="P58" s="251" t="str">
        <f t="shared" si="0"/>
        <v/>
      </c>
    </row>
    <row r="59" spans="1:16" ht="24.9" hidden="1" customHeight="1">
      <c r="A59" s="260" t="str">
        <f>IF(A58&lt;MAX(DiemHKII!$B$4:$B$58),A58+1,"")</f>
        <v/>
      </c>
      <c r="B59" s="106" t="str">
        <f>IF($A59&lt;&gt;"",PROPER(INDEX(DiemHKII!$B$4:$T$58,MATCH(InPDBMHKII!$A59,DiemHKII!$B$4:$B$58,0),4)),"")</f>
        <v/>
      </c>
      <c r="C59" s="261" t="str">
        <f>IF($A59&lt;&gt;"",PROPER(INDEX(DiemHKII!$B$4:$T$58,MATCH(InPDBMHKII!$A59,DiemHKII!$B$4:$B$58,0),5)),"")</f>
        <v/>
      </c>
      <c r="D59" s="360" t="str">
        <f>IF($A59&lt;&gt;"",PROPER(INDEX(DiemHKII!$B$4:$T$58,MATCH(InPDBMHKII!$A59,DiemHKII!$B$4:$B$58,0),6)),"")</f>
        <v/>
      </c>
      <c r="E59" s="107" t="str">
        <f>IF($A59&lt;&gt;"",IF(INDEX(BDHK2,MATCH(InPDBMHKII!$A59,DiemHKII!$B$4:$B$58,0),INDEX($R$10:$AA$24,MATCH($D$6,$R$10:$R$24,0),S$9))&lt;&gt;"",INDEX(BDHK2,MATCH(InPDBMHKII!$A59,DiemHKII!$B$4:$B$58,0),INDEX($R$10:$AA$24,MATCH($D$6,$R$10:$R$24,0),S$9)),""),"")</f>
        <v/>
      </c>
      <c r="F59" s="108" t="str">
        <f>IF($A59&lt;&gt;"",IF(INDEX(BDHK2,MATCH(InPDBMHKII!$A59,DiemHKII!$B$4:$B$58,0),INDEX($R$10:$AA$24,MATCH($D$6,$R$10:$R$24,0),T$9))&lt;&gt;"",INDEX(BDHK2,MATCH(InPDBMHKII!$A59,DiemHKII!$B$4:$B$58,0),INDEX($R$10:$AA$24,MATCH($D$6,$R$10:$R$24,0),T$9)),""),"")</f>
        <v/>
      </c>
      <c r="G59" s="108" t="str">
        <f>IF($A59&lt;&gt;"",IF(INDEX(BDHK2,MATCH(InPDBMHKII!$A59,DiemHKII!$B$4:$B$58,0),INDEX($R$10:$AA$24,MATCH($D$6,$R$10:$R$24,0),U$9))&lt;&gt;"",INDEX(BDHK2,MATCH(InPDBMHKII!$A59,DiemHKII!$B$4:$B$58,0),INDEX($R$10:$AA$24,MATCH($D$6,$R$10:$R$24,0),U$9)),""),"")</f>
        <v/>
      </c>
      <c r="H59" s="420" t="str">
        <f>IF($A59&lt;&gt;"",IF(INDEX(BDHK2,MATCH(InPDBMHKII!$A59,DiemHKII!$B$4:$B$58,0),INDEX($R$10:$AA$24,MATCH($D$6,$R$10:$R$24,0),V$9))&lt;&gt;"",INDEX(BDHK2,MATCH(InPDBMHKII!$A59,DiemHKII!$B$4:$B$58,0),INDEX($R$10:$AA$24,MATCH($D$6,$R$10:$R$24,0),V$9)),""),"")</f>
        <v/>
      </c>
      <c r="I59" s="368" t="str">
        <f>IF($A59&lt;&gt;"",IF(INDEX(BDHK2,MATCH(InPDBMHKII!$A59,DiemHKII!$B$4:$B$58,0),INDEX($R$10:$AA$24,MATCH($D$6,$R$10:$R$24,0),W$9))&lt;&gt;"",INDEX(BDHK2,MATCH(InPDBMHKII!$A59,DiemHKII!$B$4:$B$58,0),INDEX($R$10:$AA$24,MATCH($D$6,$R$10:$R$24,0),W$9)),""),"")</f>
        <v/>
      </c>
      <c r="J59" s="110" t="str">
        <f>IF($A59&lt;&gt;"",IF(INDEX(BDHK2,MATCH(InPDBMHKII!$A59,DiemHKII!$B$4:$B$58,0),INDEX($R$10:$AA$24,MATCH($D$6,$R$10:$R$24,0),X$9))&lt;&gt;"",INDEX(BDHK2,MATCH(InPDBMHKII!$A59,DiemHKII!$B$4:$B$58,0),INDEX($R$10:$AA$24,MATCH($D$6,$R$10:$R$24,0),X$9)),""),"")</f>
        <v/>
      </c>
      <c r="K59" s="262" t="str">
        <f>IFERROR(IF($A59&lt;&gt;"",IF(INDEX(BDHK2,MATCH(InPDBMHKII!$A59,DiemHKII!$B$4:$B$58,0),INDEX($R$10:$AA$24,MATCH($D$6,$R$10:$R$24,0),Y$9))&lt;&gt;"",INDEX(BDHK2,MATCH(InPDBMHKII!$A59,DiemHKII!$B$4:$B$58,0),INDEX($R$10:$AA$24,MATCH($D$6,$R$10:$R$24,0),Y$9)),""),""),"")</f>
        <v/>
      </c>
      <c r="L59" s="262" t="str">
        <f>IF($A59&lt;&gt;"",IF(INDEX(BDHK2,MATCH(InPDBMHKII!$A59,DiemHKII!$B$4:$B$58,0),INDEX($R$10:$AA$24,MATCH($D$6,$R$10:$R$24,0),Z$9))&lt;&gt;"",INDEX(BDHK2,MATCH(InPDBMHKII!$A59,DiemHKII!$B$4:$B$58,0),INDEX($R$10:$AA$24,MATCH($D$6,$R$10:$R$24,0),Z$9)),""),"")</f>
        <v/>
      </c>
      <c r="M59" s="262" t="str">
        <f>IF($A59&lt;&gt;"",IF(INDEX(BDHK2,MATCH(InPDBMHKII!$A59,DiemHKII!$B$4:$B$58,0),INDEX($R$10:$AA$24,MATCH($D$6,$R$10:$R$24,0),AA$9))&lt;&gt;"",INDEX(BDHK2,MATCH(InPDBMHKII!$A59,DiemHKII!$B$4:$B$58,0),INDEX($R$10:$AA$24,MATCH($D$6,$R$10:$R$24,0),AA$9)),""),"")</f>
        <v/>
      </c>
      <c r="N59" s="263"/>
      <c r="P59" s="251" t="str">
        <f t="shared" si="0"/>
        <v/>
      </c>
    </row>
    <row r="60" spans="1:16" ht="24.9" hidden="1" customHeight="1">
      <c r="A60" s="253" t="str">
        <f>IF(A59&lt;MAX(DiemHKII!$B$4:$B$58),A59+1,"")</f>
        <v/>
      </c>
      <c r="B60" s="94" t="str">
        <f>IF($A60&lt;&gt;"",PROPER(INDEX(DiemHKII!$B$4:$T$58,MATCH(InPDBMHKII!$A60,DiemHKII!$B$4:$B$58,0),4)),"")</f>
        <v/>
      </c>
      <c r="C60" s="254" t="str">
        <f>IF($A60&lt;&gt;"",PROPER(INDEX(DiemHKII!$B$4:$T$58,MATCH(InPDBMHKII!$A60,DiemHKII!$B$4:$B$58,0),5)),"")</f>
        <v/>
      </c>
      <c r="D60" s="358" t="str">
        <f>IF($A60&lt;&gt;"",PROPER(INDEX(DiemHKII!$B$4:$T$58,MATCH(InPDBMHKII!$A60,DiemHKII!$B$4:$B$58,0),6)),"")</f>
        <v/>
      </c>
      <c r="E60" s="95" t="str">
        <f>IF($A60&lt;&gt;"",IF(INDEX(BDHK2,MATCH(InPDBMHKII!$A60,DiemHKII!$B$4:$B$58,0),INDEX($R$10:$AA$24,MATCH($D$6,$R$10:$R$24,0),S$9))&lt;&gt;"",INDEX(BDHK2,MATCH(InPDBMHKII!$A60,DiemHKII!$B$4:$B$58,0),INDEX($R$10:$AA$24,MATCH($D$6,$R$10:$R$24,0),S$9)),""),"")</f>
        <v/>
      </c>
      <c r="F60" s="96" t="str">
        <f>IF($A60&lt;&gt;"",IF(INDEX(BDHK2,MATCH(InPDBMHKII!$A60,DiemHKII!$B$4:$B$58,0),INDEX($R$10:$AA$24,MATCH($D$6,$R$10:$R$24,0),T$9))&lt;&gt;"",INDEX(BDHK2,MATCH(InPDBMHKII!$A60,DiemHKII!$B$4:$B$58,0),INDEX($R$10:$AA$24,MATCH($D$6,$R$10:$R$24,0),T$9)),""),"")</f>
        <v/>
      </c>
      <c r="G60" s="96" t="str">
        <f>IF($A60&lt;&gt;"",IF(INDEX(BDHK2,MATCH(InPDBMHKII!$A60,DiemHKII!$B$4:$B$58,0),INDEX($R$10:$AA$24,MATCH($D$6,$R$10:$R$24,0),U$9))&lt;&gt;"",INDEX(BDHK2,MATCH(InPDBMHKII!$A60,DiemHKII!$B$4:$B$58,0),INDEX($R$10:$AA$24,MATCH($D$6,$R$10:$R$24,0),U$9)),""),"")</f>
        <v/>
      </c>
      <c r="H60" s="418" t="str">
        <f>IF($A60&lt;&gt;"",IF(INDEX(BDHK2,MATCH(InPDBMHKII!$A60,DiemHKII!$B$4:$B$58,0),INDEX($R$10:$AA$24,MATCH($D$6,$R$10:$R$24,0),V$9))&lt;&gt;"",INDEX(BDHK2,MATCH(InPDBMHKII!$A60,DiemHKII!$B$4:$B$58,0),INDEX($R$10:$AA$24,MATCH($D$6,$R$10:$R$24,0),V$9)),""),"")</f>
        <v/>
      </c>
      <c r="I60" s="366" t="str">
        <f>IF($A60&lt;&gt;"",IF(INDEX(BDHK2,MATCH(InPDBMHKII!$A60,DiemHKII!$B$4:$B$58,0),INDEX($R$10:$AA$24,MATCH($D$6,$R$10:$R$24,0),W$9))&lt;&gt;"",INDEX(BDHK2,MATCH(InPDBMHKII!$A60,DiemHKII!$B$4:$B$58,0),INDEX($R$10:$AA$24,MATCH($D$6,$R$10:$R$24,0),W$9)),""),"")</f>
        <v/>
      </c>
      <c r="J60" s="98" t="str">
        <f>IF($A60&lt;&gt;"",IF(INDEX(BDHK2,MATCH(InPDBMHKII!$A60,DiemHKII!$B$4:$B$58,0),INDEX($R$10:$AA$24,MATCH($D$6,$R$10:$R$24,0),X$9))&lt;&gt;"",INDEX(BDHK2,MATCH(InPDBMHKII!$A60,DiemHKII!$B$4:$B$58,0),INDEX($R$10:$AA$24,MATCH($D$6,$R$10:$R$24,0),X$9)),""),"")</f>
        <v/>
      </c>
      <c r="K60" s="266" t="str">
        <f>IFERROR(IF($A60&lt;&gt;"",IF(INDEX(BDHK2,MATCH(InPDBMHKII!$A60,DiemHKII!$B$4:$B$58,0),INDEX($R$10:$AA$24,MATCH($D$6,$R$10:$R$24,0),Y$9))&lt;&gt;"",INDEX(BDHK2,MATCH(InPDBMHKII!$A60,DiemHKII!$B$4:$B$58,0),INDEX($R$10:$AA$24,MATCH($D$6,$R$10:$R$24,0),Y$9)),""),""),"")</f>
        <v/>
      </c>
      <c r="L60" s="266" t="str">
        <f>IF($A60&lt;&gt;"",IF(INDEX(BDHK2,MATCH(InPDBMHKII!$A60,DiemHKII!$B$4:$B$58,0),INDEX($R$10:$AA$24,MATCH($D$6,$R$10:$R$24,0),Z$9))&lt;&gt;"",INDEX(BDHK2,MATCH(InPDBMHKII!$A60,DiemHKII!$B$4:$B$58,0),INDEX($R$10:$AA$24,MATCH($D$6,$R$10:$R$24,0),Z$9)),""),"")</f>
        <v/>
      </c>
      <c r="M60" s="266" t="str">
        <f>IF($A60&lt;&gt;"",IF(INDEX(BDHK2,MATCH(InPDBMHKII!$A60,DiemHKII!$B$4:$B$58,0),INDEX($R$10:$AA$24,MATCH($D$6,$R$10:$R$24,0),AA$9))&lt;&gt;"",INDEX(BDHK2,MATCH(InPDBMHKII!$A60,DiemHKII!$B$4:$B$58,0),INDEX($R$10:$AA$24,MATCH($D$6,$R$10:$R$24,0),AA$9)),""),"")</f>
        <v/>
      </c>
      <c r="N60" s="267"/>
      <c r="P60" s="251" t="str">
        <f t="shared" si="0"/>
        <v/>
      </c>
    </row>
    <row r="61" spans="1:16" ht="24.9" hidden="1" customHeight="1">
      <c r="A61" s="117" t="str">
        <f>IF(A60&lt;MAX(DiemHKII!$B$4:$B$58),A60+1,"")</f>
        <v/>
      </c>
      <c r="B61" s="100" t="str">
        <f>IF($A61&lt;&gt;"",PROPER(INDEX(DiemHKII!$B$4:$T$58,MATCH(InPDBMHKII!$A61,DiemHKII!$B$4:$B$58,0),4)),"")</f>
        <v/>
      </c>
      <c r="C61" s="257" t="str">
        <f>IF($A61&lt;&gt;"",PROPER(INDEX(DiemHKII!$B$4:$T$58,MATCH(InPDBMHKII!$A61,DiemHKII!$B$4:$B$58,0),5)),"")</f>
        <v/>
      </c>
      <c r="D61" s="359" t="str">
        <f>IF($A61&lt;&gt;"",PROPER(INDEX(DiemHKII!$B$4:$T$58,MATCH(InPDBMHKII!$A61,DiemHKII!$B$4:$B$58,0),6)),"")</f>
        <v/>
      </c>
      <c r="E61" s="101" t="str">
        <f>IF($A61&lt;&gt;"",IF(INDEX(BDHK2,MATCH(InPDBMHKII!$A61,DiemHKII!$B$4:$B$58,0),INDEX($R$10:$AA$24,MATCH($D$6,$R$10:$R$24,0),S$9))&lt;&gt;"",INDEX(BDHK2,MATCH(InPDBMHKII!$A61,DiemHKII!$B$4:$B$58,0),INDEX($R$10:$AA$24,MATCH($D$6,$R$10:$R$24,0),S$9)),""),"")</f>
        <v/>
      </c>
      <c r="F61" s="102" t="str">
        <f>IF($A61&lt;&gt;"",IF(INDEX(BDHK2,MATCH(InPDBMHKII!$A61,DiemHKII!$B$4:$B$58,0),INDEX($R$10:$AA$24,MATCH($D$6,$R$10:$R$24,0),T$9))&lt;&gt;"",INDEX(BDHK2,MATCH(InPDBMHKII!$A61,DiemHKII!$B$4:$B$58,0),INDEX($R$10:$AA$24,MATCH($D$6,$R$10:$R$24,0),T$9)),""),"")</f>
        <v/>
      </c>
      <c r="G61" s="102" t="str">
        <f>IF($A61&lt;&gt;"",IF(INDEX(BDHK2,MATCH(InPDBMHKII!$A61,DiemHKII!$B$4:$B$58,0),INDEX($R$10:$AA$24,MATCH($D$6,$R$10:$R$24,0),U$9))&lt;&gt;"",INDEX(BDHK2,MATCH(InPDBMHKII!$A61,DiemHKII!$B$4:$B$58,0),INDEX($R$10:$AA$24,MATCH($D$6,$R$10:$R$24,0),U$9)),""),"")</f>
        <v/>
      </c>
      <c r="H61" s="419" t="str">
        <f>IF($A61&lt;&gt;"",IF(INDEX(BDHK2,MATCH(InPDBMHKII!$A61,DiemHKII!$B$4:$B$58,0),INDEX($R$10:$AA$24,MATCH($D$6,$R$10:$R$24,0),V$9))&lt;&gt;"",INDEX(BDHK2,MATCH(InPDBMHKII!$A61,DiemHKII!$B$4:$B$58,0),INDEX($R$10:$AA$24,MATCH($D$6,$R$10:$R$24,0),V$9)),""),"")</f>
        <v/>
      </c>
      <c r="I61" s="367" t="str">
        <f>IF($A61&lt;&gt;"",IF(INDEX(BDHK2,MATCH(InPDBMHKII!$A61,DiemHKII!$B$4:$B$58,0),INDEX($R$10:$AA$24,MATCH($D$6,$R$10:$R$24,0),W$9))&lt;&gt;"",INDEX(BDHK2,MATCH(InPDBMHKII!$A61,DiemHKII!$B$4:$B$58,0),INDEX($R$10:$AA$24,MATCH($D$6,$R$10:$R$24,0),W$9)),""),"")</f>
        <v/>
      </c>
      <c r="J61" s="104" t="str">
        <f>IF($A61&lt;&gt;"",IF(INDEX(BDHK2,MATCH(InPDBMHKII!$A61,DiemHKII!$B$4:$B$58,0),INDEX($R$10:$AA$24,MATCH($D$6,$R$10:$R$24,0),X$9))&lt;&gt;"",INDEX(BDHK2,MATCH(InPDBMHKII!$A61,DiemHKII!$B$4:$B$58,0),INDEX($R$10:$AA$24,MATCH($D$6,$R$10:$R$24,0),X$9)),""),"")</f>
        <v/>
      </c>
      <c r="K61" s="258" t="str">
        <f>IFERROR(IF($A61&lt;&gt;"",IF(INDEX(BDHK2,MATCH(InPDBMHKII!$A61,DiemHKII!$B$4:$B$58,0),INDEX($R$10:$AA$24,MATCH($D$6,$R$10:$R$24,0),Y$9))&lt;&gt;"",INDEX(BDHK2,MATCH(InPDBMHKII!$A61,DiemHKII!$B$4:$B$58,0),INDEX($R$10:$AA$24,MATCH($D$6,$R$10:$R$24,0),Y$9)),""),""),"")</f>
        <v/>
      </c>
      <c r="L61" s="258" t="str">
        <f>IF($A61&lt;&gt;"",IF(INDEX(BDHK2,MATCH(InPDBMHKII!$A61,DiemHKII!$B$4:$B$58,0),INDEX($R$10:$AA$24,MATCH($D$6,$R$10:$R$24,0),Z$9))&lt;&gt;"",INDEX(BDHK2,MATCH(InPDBMHKII!$A61,DiemHKII!$B$4:$B$58,0),INDEX($R$10:$AA$24,MATCH($D$6,$R$10:$R$24,0),Z$9)),""),"")</f>
        <v/>
      </c>
      <c r="M61" s="258" t="str">
        <f>IF($A61&lt;&gt;"",IF(INDEX(BDHK2,MATCH(InPDBMHKII!$A61,DiemHKII!$B$4:$B$58,0),INDEX($R$10:$AA$24,MATCH($D$6,$R$10:$R$24,0),AA$9))&lt;&gt;"",INDEX(BDHK2,MATCH(InPDBMHKII!$A61,DiemHKII!$B$4:$B$58,0),INDEX($R$10:$AA$24,MATCH($D$6,$R$10:$R$24,0),AA$9)),""),"")</f>
        <v/>
      </c>
      <c r="N61" s="259"/>
      <c r="P61" s="251" t="str">
        <f t="shared" si="0"/>
        <v/>
      </c>
    </row>
    <row r="62" spans="1:16" ht="24.9" hidden="1" customHeight="1">
      <c r="A62" s="117" t="str">
        <f>IF(A61&lt;MAX(DiemHKII!$B$4:$B$58),A61+1,"")</f>
        <v/>
      </c>
      <c r="B62" s="100" t="str">
        <f>IF($A62&lt;&gt;"",PROPER(INDEX(DiemHKII!$B$4:$T$58,MATCH(InPDBMHKII!$A62,DiemHKII!$B$4:$B$58,0),4)),"")</f>
        <v/>
      </c>
      <c r="C62" s="257" t="str">
        <f>IF($A62&lt;&gt;"",PROPER(INDEX(DiemHKII!$B$4:$T$58,MATCH(InPDBMHKII!$A62,DiemHKII!$B$4:$B$58,0),5)),"")</f>
        <v/>
      </c>
      <c r="D62" s="359" t="str">
        <f>IF($A62&lt;&gt;"",PROPER(INDEX(DiemHKII!$B$4:$T$58,MATCH(InPDBMHKII!$A62,DiemHKII!$B$4:$B$58,0),6)),"")</f>
        <v/>
      </c>
      <c r="E62" s="101" t="str">
        <f>IF($A62&lt;&gt;"",IF(INDEX(BDHK2,MATCH(InPDBMHKII!$A62,DiemHKII!$B$4:$B$58,0),INDEX($R$10:$AA$24,MATCH($D$6,$R$10:$R$24,0),S$9))&lt;&gt;"",INDEX(BDHK2,MATCH(InPDBMHKII!$A62,DiemHKII!$B$4:$B$58,0),INDEX($R$10:$AA$24,MATCH($D$6,$R$10:$R$24,0),S$9)),""),"")</f>
        <v/>
      </c>
      <c r="F62" s="102" t="str">
        <f>IF($A62&lt;&gt;"",IF(INDEX(BDHK2,MATCH(InPDBMHKII!$A62,DiemHKII!$B$4:$B$58,0),INDEX($R$10:$AA$24,MATCH($D$6,$R$10:$R$24,0),T$9))&lt;&gt;"",INDEX(BDHK2,MATCH(InPDBMHKII!$A62,DiemHKII!$B$4:$B$58,0),INDEX($R$10:$AA$24,MATCH($D$6,$R$10:$R$24,0),T$9)),""),"")</f>
        <v/>
      </c>
      <c r="G62" s="102" t="str">
        <f>IF($A62&lt;&gt;"",IF(INDEX(BDHK2,MATCH(InPDBMHKII!$A62,DiemHKII!$B$4:$B$58,0),INDEX($R$10:$AA$24,MATCH($D$6,$R$10:$R$24,0),U$9))&lt;&gt;"",INDEX(BDHK2,MATCH(InPDBMHKII!$A62,DiemHKII!$B$4:$B$58,0),INDEX($R$10:$AA$24,MATCH($D$6,$R$10:$R$24,0),U$9)),""),"")</f>
        <v/>
      </c>
      <c r="H62" s="419" t="str">
        <f>IF($A62&lt;&gt;"",IF(INDEX(BDHK2,MATCH(InPDBMHKII!$A62,DiemHKII!$B$4:$B$58,0),INDEX($R$10:$AA$24,MATCH($D$6,$R$10:$R$24,0),V$9))&lt;&gt;"",INDEX(BDHK2,MATCH(InPDBMHKII!$A62,DiemHKII!$B$4:$B$58,0),INDEX($R$10:$AA$24,MATCH($D$6,$R$10:$R$24,0),V$9)),""),"")</f>
        <v/>
      </c>
      <c r="I62" s="367" t="str">
        <f>IF($A62&lt;&gt;"",IF(INDEX(BDHK2,MATCH(InPDBMHKII!$A62,DiemHKII!$B$4:$B$58,0),INDEX($R$10:$AA$24,MATCH($D$6,$R$10:$R$24,0),W$9))&lt;&gt;"",INDEX(BDHK2,MATCH(InPDBMHKII!$A62,DiemHKII!$B$4:$B$58,0),INDEX($R$10:$AA$24,MATCH($D$6,$R$10:$R$24,0),W$9)),""),"")</f>
        <v/>
      </c>
      <c r="J62" s="104" t="str">
        <f>IF($A62&lt;&gt;"",IF(INDEX(BDHK2,MATCH(InPDBMHKII!$A62,DiemHKII!$B$4:$B$58,0),INDEX($R$10:$AA$24,MATCH($D$6,$R$10:$R$24,0),X$9))&lt;&gt;"",INDEX(BDHK2,MATCH(InPDBMHKII!$A62,DiemHKII!$B$4:$B$58,0),INDEX($R$10:$AA$24,MATCH($D$6,$R$10:$R$24,0),X$9)),""),"")</f>
        <v/>
      </c>
      <c r="K62" s="258" t="str">
        <f>IFERROR(IF($A62&lt;&gt;"",IF(INDEX(BDHK2,MATCH(InPDBMHKII!$A62,DiemHKII!$B$4:$B$58,0),INDEX($R$10:$AA$24,MATCH($D$6,$R$10:$R$24,0),Y$9))&lt;&gt;"",INDEX(BDHK2,MATCH(InPDBMHKII!$A62,DiemHKII!$B$4:$B$58,0),INDEX($R$10:$AA$24,MATCH($D$6,$R$10:$R$24,0),Y$9)),""),""),"")</f>
        <v/>
      </c>
      <c r="L62" s="258" t="str">
        <f>IF($A62&lt;&gt;"",IF(INDEX(BDHK2,MATCH(InPDBMHKII!$A62,DiemHKII!$B$4:$B$58,0),INDEX($R$10:$AA$24,MATCH($D$6,$R$10:$R$24,0),Z$9))&lt;&gt;"",INDEX(BDHK2,MATCH(InPDBMHKII!$A62,DiemHKII!$B$4:$B$58,0),INDEX($R$10:$AA$24,MATCH($D$6,$R$10:$R$24,0),Z$9)),""),"")</f>
        <v/>
      </c>
      <c r="M62" s="258" t="str">
        <f>IF($A62&lt;&gt;"",IF(INDEX(BDHK2,MATCH(InPDBMHKII!$A62,DiemHKII!$B$4:$B$58,0),INDEX($R$10:$AA$24,MATCH($D$6,$R$10:$R$24,0),AA$9))&lt;&gt;"",INDEX(BDHK2,MATCH(InPDBMHKII!$A62,DiemHKII!$B$4:$B$58,0),INDEX($R$10:$AA$24,MATCH($D$6,$R$10:$R$24,0),AA$9)),""),"")</f>
        <v/>
      </c>
      <c r="N62" s="259"/>
      <c r="P62" s="251" t="str">
        <f t="shared" si="0"/>
        <v/>
      </c>
    </row>
    <row r="63" spans="1:16" ht="24.9" hidden="1" customHeight="1">
      <c r="A63" s="117" t="str">
        <f>IF(A62&lt;MAX(DiemHKII!$B$4:$B$58),A62+1,"")</f>
        <v/>
      </c>
      <c r="B63" s="100" t="str">
        <f>IF($A63&lt;&gt;"",PROPER(INDEX(DiemHKII!$B$4:$T$58,MATCH(InPDBMHKII!$A63,DiemHKII!$B$4:$B$58,0),4)),"")</f>
        <v/>
      </c>
      <c r="C63" s="257" t="str">
        <f>IF($A63&lt;&gt;"",PROPER(INDEX(DiemHKII!$B$4:$T$58,MATCH(InPDBMHKII!$A63,DiemHKII!$B$4:$B$58,0),5)),"")</f>
        <v/>
      </c>
      <c r="D63" s="359" t="str">
        <f>IF($A63&lt;&gt;"",PROPER(INDEX(DiemHKII!$B$4:$T$58,MATCH(InPDBMHKII!$A63,DiemHKII!$B$4:$B$58,0),6)),"")</f>
        <v/>
      </c>
      <c r="E63" s="101" t="str">
        <f>IF($A63&lt;&gt;"",IF(INDEX(BDHK2,MATCH(InPDBMHKII!$A63,DiemHKII!$B$4:$B$58,0),INDEX($R$10:$AA$24,MATCH($D$6,$R$10:$R$24,0),S$9))&lt;&gt;"",INDEX(BDHK2,MATCH(InPDBMHKII!$A63,DiemHKII!$B$4:$B$58,0),INDEX($R$10:$AA$24,MATCH($D$6,$R$10:$R$24,0),S$9)),""),"")</f>
        <v/>
      </c>
      <c r="F63" s="102" t="str">
        <f>IF($A63&lt;&gt;"",IF(INDEX(BDHK2,MATCH(InPDBMHKII!$A63,DiemHKII!$B$4:$B$58,0),INDEX($R$10:$AA$24,MATCH($D$6,$R$10:$R$24,0),T$9))&lt;&gt;"",INDEX(BDHK2,MATCH(InPDBMHKII!$A63,DiemHKII!$B$4:$B$58,0),INDEX($R$10:$AA$24,MATCH($D$6,$R$10:$R$24,0),T$9)),""),"")</f>
        <v/>
      </c>
      <c r="G63" s="102" t="str">
        <f>IF($A63&lt;&gt;"",IF(INDEX(BDHK2,MATCH(InPDBMHKII!$A63,DiemHKII!$B$4:$B$58,0),INDEX($R$10:$AA$24,MATCH($D$6,$R$10:$R$24,0),U$9))&lt;&gt;"",INDEX(BDHK2,MATCH(InPDBMHKII!$A63,DiemHKII!$B$4:$B$58,0),INDEX($R$10:$AA$24,MATCH($D$6,$R$10:$R$24,0),U$9)),""),"")</f>
        <v/>
      </c>
      <c r="H63" s="419" t="str">
        <f>IF($A63&lt;&gt;"",IF(INDEX(BDHK2,MATCH(InPDBMHKII!$A63,DiemHKII!$B$4:$B$58,0),INDEX($R$10:$AA$24,MATCH($D$6,$R$10:$R$24,0),V$9))&lt;&gt;"",INDEX(BDHK2,MATCH(InPDBMHKII!$A63,DiemHKII!$B$4:$B$58,0),INDEX($R$10:$AA$24,MATCH($D$6,$R$10:$R$24,0),V$9)),""),"")</f>
        <v/>
      </c>
      <c r="I63" s="367" t="str">
        <f>IF($A63&lt;&gt;"",IF(INDEX(BDHK2,MATCH(InPDBMHKII!$A63,DiemHKII!$B$4:$B$58,0),INDEX($R$10:$AA$24,MATCH($D$6,$R$10:$R$24,0),W$9))&lt;&gt;"",INDEX(BDHK2,MATCH(InPDBMHKII!$A63,DiemHKII!$B$4:$B$58,0),INDEX($R$10:$AA$24,MATCH($D$6,$R$10:$R$24,0),W$9)),""),"")</f>
        <v/>
      </c>
      <c r="J63" s="104" t="str">
        <f>IF($A63&lt;&gt;"",IF(INDEX(BDHK2,MATCH(InPDBMHKII!$A63,DiemHKII!$B$4:$B$58,0),INDEX($R$10:$AA$24,MATCH($D$6,$R$10:$R$24,0),X$9))&lt;&gt;"",INDEX(BDHK2,MATCH(InPDBMHKII!$A63,DiemHKII!$B$4:$B$58,0),INDEX($R$10:$AA$24,MATCH($D$6,$R$10:$R$24,0),X$9)),""),"")</f>
        <v/>
      </c>
      <c r="K63" s="258" t="str">
        <f>IFERROR(IF($A63&lt;&gt;"",IF(INDEX(BDHK2,MATCH(InPDBMHKII!$A63,DiemHKII!$B$4:$B$58,0),INDEX($R$10:$AA$24,MATCH($D$6,$R$10:$R$24,0),Y$9))&lt;&gt;"",INDEX(BDHK2,MATCH(InPDBMHKII!$A63,DiemHKII!$B$4:$B$58,0),INDEX($R$10:$AA$24,MATCH($D$6,$R$10:$R$24,0),Y$9)),""),""),"")</f>
        <v/>
      </c>
      <c r="L63" s="258" t="str">
        <f>IF($A63&lt;&gt;"",IF(INDEX(BDHK2,MATCH(InPDBMHKII!$A63,DiemHKII!$B$4:$B$58,0),INDEX($R$10:$AA$24,MATCH($D$6,$R$10:$R$24,0),Z$9))&lt;&gt;"",INDEX(BDHK2,MATCH(InPDBMHKII!$A63,DiemHKII!$B$4:$B$58,0),INDEX($R$10:$AA$24,MATCH($D$6,$R$10:$R$24,0),Z$9)),""),"")</f>
        <v/>
      </c>
      <c r="M63" s="258" t="str">
        <f>IF($A63&lt;&gt;"",IF(INDEX(BDHK2,MATCH(InPDBMHKII!$A63,DiemHKII!$B$4:$B$58,0),INDEX($R$10:$AA$24,MATCH($D$6,$R$10:$R$24,0),AA$9))&lt;&gt;"",INDEX(BDHK2,MATCH(InPDBMHKII!$A63,DiemHKII!$B$4:$B$58,0),INDEX($R$10:$AA$24,MATCH($D$6,$R$10:$R$24,0),AA$9)),""),"")</f>
        <v/>
      </c>
      <c r="N63" s="259"/>
      <c r="P63" s="251" t="str">
        <f t="shared" si="0"/>
        <v/>
      </c>
    </row>
    <row r="64" spans="1:16" ht="24.9" hidden="1" customHeight="1">
      <c r="A64" s="260" t="str">
        <f>IF(A63&lt;MAX(DiemHKII!$B$4:$B$58),A63+1,"")</f>
        <v/>
      </c>
      <c r="B64" s="106" t="str">
        <f>IF($A64&lt;&gt;"",PROPER(INDEX(DiemHKII!$B$4:$T$58,MATCH(InPDBMHKII!$A64,DiemHKII!$B$4:$B$58,0),4)),"")</f>
        <v/>
      </c>
      <c r="C64" s="261" t="str">
        <f>IF($A64&lt;&gt;"",PROPER(INDEX(DiemHKII!$B$4:$T$58,MATCH(InPDBMHKII!$A64,DiemHKII!$B$4:$B$58,0),5)),"")</f>
        <v/>
      </c>
      <c r="D64" s="360" t="str">
        <f>IF($A64&lt;&gt;"",PROPER(INDEX(DiemHKII!$B$4:$T$58,MATCH(InPDBMHKII!$A64,DiemHKII!$B$4:$B$58,0),6)),"")</f>
        <v/>
      </c>
      <c r="E64" s="107" t="str">
        <f>IF($A64&lt;&gt;"",IF(INDEX(BDHK2,MATCH(InPDBMHKII!$A64,DiemHKII!$B$4:$B$58,0),INDEX($R$10:$AA$24,MATCH($D$6,$R$10:$R$24,0),S$9))&lt;&gt;"",INDEX(BDHK2,MATCH(InPDBMHKII!$A64,DiemHKII!$B$4:$B$58,0),INDEX($R$10:$AA$24,MATCH($D$6,$R$10:$R$24,0),S$9)),""),"")</f>
        <v/>
      </c>
      <c r="F64" s="108" t="str">
        <f>IF($A64&lt;&gt;"",IF(INDEX(BDHK2,MATCH(InPDBMHKII!$A64,DiemHKII!$B$4:$B$58,0),INDEX($R$10:$AA$24,MATCH($D$6,$R$10:$R$24,0),T$9))&lt;&gt;"",INDEX(BDHK2,MATCH(InPDBMHKII!$A64,DiemHKII!$B$4:$B$58,0),INDEX($R$10:$AA$24,MATCH($D$6,$R$10:$R$24,0),T$9)),""),"")</f>
        <v/>
      </c>
      <c r="G64" s="108" t="str">
        <f>IF($A64&lt;&gt;"",IF(INDEX(BDHK2,MATCH(InPDBMHKII!$A64,DiemHKII!$B$4:$B$58,0),INDEX($R$10:$AA$24,MATCH($D$6,$R$10:$R$24,0),U$9))&lt;&gt;"",INDEX(BDHK2,MATCH(InPDBMHKII!$A64,DiemHKII!$B$4:$B$58,0),INDEX($R$10:$AA$24,MATCH($D$6,$R$10:$R$24,0),U$9)),""),"")</f>
        <v/>
      </c>
      <c r="H64" s="420" t="str">
        <f>IF($A64&lt;&gt;"",IF(INDEX(BDHK2,MATCH(InPDBMHKII!$A64,DiemHKII!$B$4:$B$58,0),INDEX($R$10:$AA$24,MATCH($D$6,$R$10:$R$24,0),V$9))&lt;&gt;"",INDEX(BDHK2,MATCH(InPDBMHKII!$A64,DiemHKII!$B$4:$B$58,0),INDEX($R$10:$AA$24,MATCH($D$6,$R$10:$R$24,0),V$9)),""),"")</f>
        <v/>
      </c>
      <c r="I64" s="368" t="str">
        <f>IF($A64&lt;&gt;"",IF(INDEX(BDHK2,MATCH(InPDBMHKII!$A64,DiemHKII!$B$4:$B$58,0),INDEX($R$10:$AA$24,MATCH($D$6,$R$10:$R$24,0),W$9))&lt;&gt;"",INDEX(BDHK2,MATCH(InPDBMHKII!$A64,DiemHKII!$B$4:$B$58,0),INDEX($R$10:$AA$24,MATCH($D$6,$R$10:$R$24,0),W$9)),""),"")</f>
        <v/>
      </c>
      <c r="J64" s="110" t="str">
        <f>IF($A64&lt;&gt;"",IF(INDEX(BDHK2,MATCH(InPDBMHKII!$A64,DiemHKII!$B$4:$B$58,0),INDEX($R$10:$AA$24,MATCH($D$6,$R$10:$R$24,0),X$9))&lt;&gt;"",INDEX(BDHK2,MATCH(InPDBMHKII!$A64,DiemHKII!$B$4:$B$58,0),INDEX($R$10:$AA$24,MATCH($D$6,$R$10:$R$24,0),X$9)),""),"")</f>
        <v/>
      </c>
      <c r="K64" s="262" t="str">
        <f>IFERROR(IF($A64&lt;&gt;"",IF(INDEX(BDHK2,MATCH(InPDBMHKII!$A64,DiemHKII!$B$4:$B$58,0),INDEX($R$10:$AA$24,MATCH($D$6,$R$10:$R$24,0),Y$9))&lt;&gt;"",INDEX(BDHK2,MATCH(InPDBMHKII!$A64,DiemHKII!$B$4:$B$58,0),INDEX($R$10:$AA$24,MATCH($D$6,$R$10:$R$24,0),Y$9)),""),""),"")</f>
        <v/>
      </c>
      <c r="L64" s="262" t="str">
        <f>IF($A64&lt;&gt;"",IF(INDEX(BDHK2,MATCH(InPDBMHKII!$A64,DiemHKII!$B$4:$B$58,0),INDEX($R$10:$AA$24,MATCH($D$6,$R$10:$R$24,0),Z$9))&lt;&gt;"",INDEX(BDHK2,MATCH(InPDBMHKII!$A64,DiemHKII!$B$4:$B$58,0),INDEX($R$10:$AA$24,MATCH($D$6,$R$10:$R$24,0),Z$9)),""),"")</f>
        <v/>
      </c>
      <c r="M64" s="262" t="str">
        <f>IF($A64&lt;&gt;"",IF(INDEX(BDHK2,MATCH(InPDBMHKII!$A64,DiemHKII!$B$4:$B$58,0),INDEX($R$10:$AA$24,MATCH($D$6,$R$10:$R$24,0),AA$9))&lt;&gt;"",INDEX(BDHK2,MATCH(InPDBMHKII!$A64,DiemHKII!$B$4:$B$58,0),INDEX($R$10:$AA$24,MATCH($D$6,$R$10:$R$24,0),AA$9)),""),"")</f>
        <v/>
      </c>
      <c r="N64" s="263"/>
      <c r="P64" s="251" t="str">
        <f t="shared" si="0"/>
        <v/>
      </c>
    </row>
    <row r="65" spans="1:14" ht="7.5" customHeight="1">
      <c r="A65" s="129"/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</row>
    <row r="66" spans="1:14">
      <c r="A66" s="129"/>
      <c r="B66" s="129"/>
      <c r="C66" s="129"/>
      <c r="D66" s="129"/>
      <c r="E66" s="129"/>
      <c r="F66" s="129"/>
      <c r="G66" s="1039" t="s">
        <v>262</v>
      </c>
      <c r="H66" s="1039"/>
      <c r="I66" s="1039"/>
      <c r="J66" s="1039"/>
      <c r="K66" s="1039"/>
      <c r="L66" s="1039"/>
      <c r="M66" s="460"/>
      <c r="N66" s="129"/>
    </row>
    <row r="67" spans="1:14">
      <c r="A67" s="129"/>
      <c r="B67" s="129"/>
      <c r="C67" s="129"/>
      <c r="D67" s="129"/>
      <c r="E67" s="129"/>
      <c r="F67" s="129"/>
      <c r="G67" s="921" t="s">
        <v>69</v>
      </c>
      <c r="H67" s="921"/>
      <c r="I67" s="921"/>
      <c r="J67" s="921"/>
      <c r="K67" s="921"/>
      <c r="L67" s="921"/>
      <c r="M67" s="129"/>
      <c r="N67" s="129"/>
    </row>
    <row r="68" spans="1:14" ht="11.25" customHeight="1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</row>
    <row r="69" spans="1:14" ht="11.25" customHeight="1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</row>
    <row r="70" spans="1:14" ht="11.25" customHeight="1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</row>
    <row r="71" spans="1:14" ht="11.25" customHeight="1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</row>
    <row r="72" spans="1:14" ht="11.25" customHeight="1">
      <c r="A72" s="129"/>
      <c r="B72" s="129"/>
      <c r="C72" s="129"/>
      <c r="D72" s="129"/>
      <c r="E72" s="129"/>
      <c r="F72" s="129"/>
      <c r="G72" s="129"/>
      <c r="H72" s="129"/>
      <c r="I72" s="129"/>
      <c r="J72" s="129"/>
      <c r="K72" s="129"/>
      <c r="L72" s="129"/>
      <c r="M72" s="129"/>
      <c r="N72" s="129"/>
    </row>
    <row r="73" spans="1:1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</row>
    <row r="74" spans="1:1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</row>
    <row r="75" spans="1:1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</row>
    <row r="76" spans="1:14">
      <c r="A76" s="129"/>
      <c r="B76" s="129"/>
      <c r="C76" s="129"/>
      <c r="D76" s="129"/>
      <c r="E76" s="129"/>
      <c r="F76" s="129"/>
      <c r="G76" s="129"/>
      <c r="H76" s="129"/>
      <c r="I76" s="129"/>
      <c r="J76" s="129"/>
      <c r="K76" s="129"/>
      <c r="L76" s="129"/>
      <c r="M76" s="129"/>
      <c r="N76" s="129"/>
    </row>
    <row r="77" spans="1:1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</row>
    <row r="78" spans="1:1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</row>
  </sheetData>
  <sheetProtection algorithmName="SHA-512" hashValue="9mN8BGG6K3xi5WlNcjF282JrUe5VIJEXemp2lenrFIsiAaOdWv3z3eijtRKpD+7sTgZkwizuYLiuYSRLdAgFCg==" saltValue="7AOLN6xNHB0NUX6WRlnWwA==" spinCount="100000" sheet="1" formatCells="0" formatColumns="0" formatRows="0"/>
  <mergeCells count="16">
    <mergeCell ref="I6:K6"/>
    <mergeCell ref="D6:E6"/>
    <mergeCell ref="G6:H6"/>
    <mergeCell ref="A4:N4"/>
    <mergeCell ref="A1:D1"/>
    <mergeCell ref="A2:D2"/>
    <mergeCell ref="F1:M1"/>
    <mergeCell ref="F2:M2"/>
    <mergeCell ref="G67:L67"/>
    <mergeCell ref="S7:V7"/>
    <mergeCell ref="A8:A9"/>
    <mergeCell ref="B8:C9"/>
    <mergeCell ref="E8:H8"/>
    <mergeCell ref="D8:D9"/>
    <mergeCell ref="G66:L66"/>
    <mergeCell ref="P8:P9"/>
  </mergeCells>
  <conditionalFormatting sqref="P10:P64">
    <cfRule type="top10" dxfId="432" priority="1" bottom="1" rank="5"/>
    <cfRule type="top10" dxfId="431" priority="2" rank="5"/>
  </conditionalFormatting>
  <pageMargins left="0.45" right="0.25" top="0.25" bottom="0" header="0" footer="0"/>
  <pageSetup paperSize="9" scale="67" orientation="portrait" blackAndWhite="1" r:id="rId1"/>
  <ignoredErrors>
    <ignoredError sqref="K10:K6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8" r:id="rId4" name="Button 6">
              <controlPr defaultSize="0" print="0" autoFill="0" autoPict="0" macro="[0]!Nhapdiemhk2">
                <anchor moveWithCells="1" sizeWithCells="1">
                  <from>
                    <xdr:col>15</xdr:col>
                    <xdr:colOff>114300</xdr:colOff>
                    <xdr:row>2</xdr:row>
                    <xdr:rowOff>60960</xdr:rowOff>
                  </from>
                  <to>
                    <xdr:col>16</xdr:col>
                    <xdr:colOff>518160</xdr:colOff>
                    <xdr:row>3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'Huong dan'!$B$8:$B$21</xm:f>
          </x14:formula1>
          <xm:sqref>D6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0.39997558519241921"/>
    <pageSetUpPr fitToPage="1"/>
  </sheetPr>
  <dimension ref="A1:AI81"/>
  <sheetViews>
    <sheetView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AC8" sqref="AC8"/>
    </sheetView>
  </sheetViews>
  <sheetFormatPr defaultColWidth="9.109375" defaultRowHeight="13.8"/>
  <cols>
    <col min="1" max="1" width="5.6640625" style="1" customWidth="1"/>
    <col min="2" max="2" width="22.44140625" style="1" customWidth="1"/>
    <col min="3" max="3" width="9.88671875" style="268" customWidth="1"/>
    <col min="4" max="6" width="5.6640625" style="1" hidden="1" customWidth="1"/>
    <col min="7" max="18" width="6.6640625" style="1" customWidth="1"/>
    <col min="19" max="19" width="6.6640625" style="1" hidden="1" customWidth="1"/>
    <col min="20" max="21" width="6.6640625" style="1" customWidth="1"/>
    <col min="22" max="22" width="8" style="1" customWidth="1"/>
    <col min="23" max="23" width="7.6640625" style="1" customWidth="1"/>
    <col min="24" max="24" width="7.88671875" style="1" customWidth="1"/>
    <col min="25" max="25" width="7.6640625" style="1" customWidth="1"/>
    <col min="26" max="26" width="3.33203125" style="1" customWidth="1"/>
    <col min="27" max="27" width="10.88671875" style="1" customWidth="1"/>
    <col min="28" max="28" width="3.109375" style="1" hidden="1" customWidth="1"/>
    <col min="29" max="29" width="5" style="1" hidden="1" customWidth="1"/>
    <col min="30" max="30" width="11.5546875" style="1" hidden="1" customWidth="1"/>
    <col min="31" max="32" width="6" style="1" hidden="1" customWidth="1"/>
    <col min="33" max="33" width="29.5546875" style="1" hidden="1" customWidth="1"/>
    <col min="34" max="34" width="17.109375" style="1" customWidth="1"/>
    <col min="35" max="35" width="17.88671875" style="1" customWidth="1"/>
    <col min="36" max="45" width="6" style="1" customWidth="1"/>
    <col min="46" max="16384" width="9.109375" style="1"/>
  </cols>
  <sheetData>
    <row r="1" spans="1:35" ht="20.25" customHeight="1">
      <c r="A1" s="1043" t="str">
        <f>IF('Huong dan'!E3&lt;&gt;"","SỞ GIÁO DỤC VÀ ĐÀO TẠO "&amp;UPPER('Huong dan'!E3),"")</f>
        <v>SỞ GIÁO DỤC VÀ ĐÀO TẠO TP. HỒ CHÍ MINH</v>
      </c>
      <c r="B1" s="1043"/>
      <c r="C1" s="1043"/>
      <c r="D1" s="1043"/>
      <c r="E1" s="1043"/>
      <c r="F1" s="1043"/>
      <c r="G1" s="1043"/>
      <c r="H1" s="1043"/>
      <c r="I1" s="1043"/>
      <c r="J1" s="251"/>
      <c r="K1" s="922" t="s">
        <v>19</v>
      </c>
      <c r="L1" s="922"/>
      <c r="M1" s="922"/>
      <c r="N1" s="922"/>
      <c r="O1" s="922"/>
      <c r="P1" s="922"/>
      <c r="Q1" s="922"/>
      <c r="R1" s="922"/>
      <c r="S1" s="922"/>
      <c r="T1" s="922"/>
      <c r="U1" s="922"/>
      <c r="V1" s="922"/>
      <c r="W1" s="922"/>
      <c r="X1" s="922"/>
      <c r="Y1" s="922"/>
    </row>
    <row r="2" spans="1:35" ht="15" customHeight="1">
      <c r="A2" s="922" t="str">
        <f>IF('Huong dan'!E4&lt;&gt;"","TRƯỜNG "&amp;UPPER('Huong dan'!E4),"")</f>
        <v>TRƯỜNG THCS VÀ THPT NGUYỄN KHUYẾN</v>
      </c>
      <c r="B2" s="922"/>
      <c r="C2" s="922"/>
      <c r="D2" s="922"/>
      <c r="E2" s="922"/>
      <c r="F2" s="922"/>
      <c r="G2" s="922"/>
      <c r="H2" s="922"/>
      <c r="I2" s="922"/>
      <c r="J2" s="251"/>
      <c r="K2" s="922" t="s">
        <v>179</v>
      </c>
      <c r="L2" s="922"/>
      <c r="M2" s="922"/>
      <c r="N2" s="922"/>
      <c r="O2" s="922"/>
      <c r="P2" s="922"/>
      <c r="Q2" s="922"/>
      <c r="R2" s="922"/>
      <c r="S2" s="922"/>
      <c r="T2" s="922"/>
      <c r="U2" s="922"/>
      <c r="V2" s="922"/>
      <c r="W2" s="922"/>
      <c r="X2" s="922"/>
      <c r="Y2" s="922"/>
    </row>
    <row r="3" spans="1:35" ht="15" customHeight="1">
      <c r="A3" s="922" t="str">
        <f>IF('Huong dan'!C3&lt;&gt;"","Lớp "&amp;UPPER('Huong dan'!C3),"")</f>
        <v>Lớp 12A1</v>
      </c>
      <c r="B3" s="922"/>
      <c r="C3" s="922"/>
      <c r="D3" s="922"/>
      <c r="E3" s="922"/>
      <c r="F3" s="922"/>
      <c r="G3" s="922"/>
      <c r="H3" s="922"/>
      <c r="I3" s="922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89"/>
      <c r="X3" s="89"/>
      <c r="Y3" s="89"/>
    </row>
    <row r="4" spans="1:35" ht="29.25" customHeight="1">
      <c r="A4" s="251"/>
      <c r="B4" s="932" t="str">
        <f>"BẢNG TỔNG HỢP KẾT QUẢ ĐÁNH GIÁ, XẾP LOẠI  HỌC KỲ II - NĂM HỌC  "&amp;'Huong dan'!C5</f>
        <v>BẢNG TỔNG HỢP KẾT QUẢ ĐÁNH GIÁ, XẾP LOẠI  HỌC KỲ II - NĂM HỌC  2021 - 2022</v>
      </c>
      <c r="C4" s="932"/>
      <c r="D4" s="932"/>
      <c r="E4" s="932"/>
      <c r="F4" s="932"/>
      <c r="G4" s="932"/>
      <c r="H4" s="932"/>
      <c r="I4" s="932"/>
      <c r="J4" s="932"/>
      <c r="K4" s="932"/>
      <c r="L4" s="932"/>
      <c r="M4" s="932"/>
      <c r="N4" s="932"/>
      <c r="O4" s="932"/>
      <c r="P4" s="932"/>
      <c r="Q4" s="932"/>
      <c r="R4" s="932"/>
      <c r="S4" s="932"/>
      <c r="T4" s="932"/>
      <c r="U4" s="932"/>
      <c r="V4" s="932"/>
      <c r="W4" s="932"/>
      <c r="X4" s="932"/>
      <c r="Y4" s="932"/>
    </row>
    <row r="5" spans="1:35" ht="15" customHeight="1" thickBot="1">
      <c r="A5" s="251"/>
      <c r="B5" s="251"/>
      <c r="C5" s="7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251"/>
      <c r="Q5" s="251"/>
      <c r="R5" s="251"/>
      <c r="S5" s="251"/>
      <c r="T5" s="251"/>
      <c r="U5" s="251"/>
      <c r="V5" s="251"/>
      <c r="W5" s="251"/>
      <c r="X5" s="251"/>
      <c r="Y5" s="251"/>
    </row>
    <row r="6" spans="1:35" s="270" customFormat="1" ht="19.5" customHeight="1">
      <c r="A6" s="948" t="s">
        <v>0</v>
      </c>
      <c r="B6" s="950" t="s">
        <v>20</v>
      </c>
      <c r="C6" s="951"/>
      <c r="D6" s="269" t="s">
        <v>5</v>
      </c>
      <c r="E6" s="269" t="s">
        <v>50</v>
      </c>
      <c r="F6" s="269" t="s">
        <v>9</v>
      </c>
      <c r="G6" s="950" t="s">
        <v>21</v>
      </c>
      <c r="H6" s="954"/>
      <c r="I6" s="954"/>
      <c r="J6" s="954"/>
      <c r="K6" s="954"/>
      <c r="L6" s="954"/>
      <c r="M6" s="954"/>
      <c r="N6" s="954"/>
      <c r="O6" s="954"/>
      <c r="P6" s="954"/>
      <c r="Q6" s="954"/>
      <c r="R6" s="954"/>
      <c r="S6" s="954"/>
      <c r="T6" s="954"/>
      <c r="U6" s="951"/>
      <c r="V6" s="954" t="s">
        <v>105</v>
      </c>
      <c r="W6" s="954" t="s">
        <v>24</v>
      </c>
      <c r="X6" s="954"/>
      <c r="Y6" s="946" t="s">
        <v>25</v>
      </c>
      <c r="AA6" s="637"/>
      <c r="AB6" s="642"/>
      <c r="AC6" s="642"/>
      <c r="AD6" s="642"/>
      <c r="AE6" s="642"/>
      <c r="AF6" s="642"/>
      <c r="AG6" s="642"/>
      <c r="AH6" s="744"/>
      <c r="AI6" s="745" t="s">
        <v>280</v>
      </c>
    </row>
    <row r="7" spans="1:35" s="270" customFormat="1" ht="47.25" customHeight="1" thickBot="1">
      <c r="A7" s="949"/>
      <c r="B7" s="952"/>
      <c r="C7" s="953"/>
      <c r="D7" s="271" t="s">
        <v>6</v>
      </c>
      <c r="E7" s="271" t="s">
        <v>6</v>
      </c>
      <c r="F7" s="271" t="s">
        <v>6</v>
      </c>
      <c r="G7" s="461" t="s">
        <v>26</v>
      </c>
      <c r="H7" s="463" t="s">
        <v>27</v>
      </c>
      <c r="I7" s="463" t="s">
        <v>28</v>
      </c>
      <c r="J7" s="463" t="s">
        <v>29</v>
      </c>
      <c r="K7" s="463" t="s">
        <v>120</v>
      </c>
      <c r="L7" s="463" t="s">
        <v>30</v>
      </c>
      <c r="M7" s="463" t="s">
        <v>31</v>
      </c>
      <c r="N7" s="463" t="s">
        <v>32</v>
      </c>
      <c r="O7" s="463" t="s">
        <v>33</v>
      </c>
      <c r="P7" s="463" t="s">
        <v>60</v>
      </c>
      <c r="Q7" s="463" t="s">
        <v>34</v>
      </c>
      <c r="R7" s="463" t="s">
        <v>35</v>
      </c>
      <c r="S7" s="272" t="s">
        <v>22</v>
      </c>
      <c r="T7" s="463" t="s">
        <v>121</v>
      </c>
      <c r="U7" s="462" t="s">
        <v>122</v>
      </c>
      <c r="V7" s="955"/>
      <c r="W7" s="463" t="s">
        <v>36</v>
      </c>
      <c r="X7" s="273" t="s">
        <v>37</v>
      </c>
      <c r="Y7" s="947"/>
      <c r="AA7" s="638" t="s">
        <v>279</v>
      </c>
      <c r="AB7" s="643"/>
      <c r="AC7" s="643"/>
      <c r="AD7" s="643"/>
      <c r="AE7" s="643"/>
      <c r="AF7" s="643"/>
      <c r="AG7" s="643"/>
      <c r="AH7" s="667" t="s">
        <v>282</v>
      </c>
      <c r="AI7" s="668" t="s">
        <v>281</v>
      </c>
    </row>
    <row r="8" spans="1:35" s="268" customFormat="1" ht="29.1" customHeight="1">
      <c r="A8" s="274">
        <f>IF(COUNTA(DiemHKII!D4:D58)&gt;=1,MIN(DiemHKII!B4:B58),"")</f>
        <v>1</v>
      </c>
      <c r="B8" s="275" t="str">
        <f>IF($A8&lt;&gt;"",PROPER(INDEX(DiemHKII!$B$4:$K$58,MATCH($A8,DiemHKII!$B$4:$B$58,0),4)),"")</f>
        <v>Phạm Huỳnh Hiệp</v>
      </c>
      <c r="C8" s="276" t="str">
        <f>IF($A8&lt;&gt;"",PROPER(INDEX(DiemHKII!$B$4:$K$58,MATCH($A8,DiemHKII!$B$4:$B$58,0),5)),"")</f>
        <v>An</v>
      </c>
      <c r="D8" s="277" t="str">
        <f>IF($A8&lt;&gt;"",IF(INDEX(DiemHKII!$B$4:$K$58,MATCH($A8,DiemHKII!$B$4:$B$58,0),8)&lt;&gt;"",INDEX(DiemHKII!$B$4:$K$58,MATCH($A8,DiemHKII!$B$4:$B$58,0),8),""),"")</f>
        <v/>
      </c>
      <c r="E8" s="277" t="str">
        <f>IF($A8&lt;&gt;"",IF(INDEX(DiemHKII!$B$4:$K$58,MATCH($A8,DiemHKII!$B$4:$B$58,0),9)&lt;&gt;"",INDEX(DiemHKII!$B$4:$K$58,MATCH($A8,DiemHKII!$B$4:$B$58,0),9),""),"")</f>
        <v/>
      </c>
      <c r="F8" s="277" t="str">
        <f>IF($A8&lt;&gt;"",IF(INDEX(DiemHKII!$B$4:$K$58,MATCH($A8,DiemHKII!$B$4:$B$58,0),10)&lt;&gt;"",INDEX(DiemHKII!$B$4:$K$58,MATCH($A8,DiemHKII!$B$4:$B$58,0),10),""),"")</f>
        <v/>
      </c>
      <c r="G8" s="443" t="str">
        <f>IF($A8&lt;&gt;"",IF(INDEX(BDHK2,MATCH($A8,DiemHKII!$B$4:$B$58,0),INDEX($AD$9:$AF$22,MATCH(G$7,$AD$9:$AD$22,0),2))&lt;&gt;"",INDEX(BDHK2,MATCH($A8,DiemHKII!$B$4:$B$58,0),INDEX($AD$9:$AF$22,MATCH(G$7,$AD$9:$AD$22,0),3)),""),"")</f>
        <v/>
      </c>
      <c r="H8" s="301" t="str">
        <f>IF($A8&lt;&gt;"",IF(INDEX(BDHK2,MATCH($A8,DiemHKII!$B$4:$B$58,0),INDEX($AD$9:$AF$22,MATCH(H$7,$AD$9:$AD$22,0),2))&lt;&gt;"",INDEX(BDHK2,MATCH($A8,DiemHKII!$B$4:$B$58,0),INDEX($AD$9:$AF$22,MATCH(H$7,$AD$9:$AD$22,0),3)),""),"")</f>
        <v/>
      </c>
      <c r="I8" s="301" t="str">
        <f>IF($A8&lt;&gt;"",IF(INDEX(BDHK2,MATCH($A8,DiemHKII!$B$4:$B$58,0),INDEX($AD$9:$AF$22,MATCH(I$7,$AD$9:$AD$22,0),2))&lt;&gt;"",INDEX(BDHK2,MATCH($A8,DiemHKII!$B$4:$B$58,0),INDEX($AD$9:$AF$22,MATCH(I$7,$AD$9:$AD$22,0),3)),""),"")</f>
        <v/>
      </c>
      <c r="J8" s="301" t="str">
        <f>IF($A8&lt;&gt;"",IF(INDEX(BDHK2,MATCH($A8,DiemHKII!$B$4:$B$58,0),INDEX($AD$9:$AF$22,MATCH(J$7,$AD$9:$AD$22,0),2))&lt;&gt;"",INDEX(BDHK2,MATCH($A8,DiemHKII!$B$4:$B$58,0),INDEX($AD$9:$AF$22,MATCH(J$7,$AD$9:$AD$22,0),3)),""),"")</f>
        <v/>
      </c>
      <c r="K8" s="301" t="str">
        <f>IF($A8&lt;&gt;"",IF(INDEX(BDHK2,MATCH($A8,DiemHKII!$B$4:$B$58,0),INDEX($AD$9:$AF$22,MATCH(K$7,$AD$9:$AD$22,0),2))&lt;&gt;"",INDEX(BDHK2,MATCH($A8,DiemHKII!$B$4:$B$58,0),INDEX($AD$9:$AF$22,MATCH(K$7,$AD$9:$AD$22,0),3)),""),"")</f>
        <v/>
      </c>
      <c r="L8" s="301" t="str">
        <f>IF($A8&lt;&gt;"",IF(INDEX(BDHK2,MATCH($A8,DiemHKII!$B$4:$B$58,0),INDEX($AD$9:$AF$22,MATCH(L$7,$AD$9:$AD$22,0),2))&lt;&gt;"",INDEX(BDHK2,MATCH($A8,DiemHKII!$B$4:$B$58,0),INDEX($AD$9:$AF$22,MATCH(L$7,$AD$9:$AD$22,0),3)),""),"")</f>
        <v/>
      </c>
      <c r="M8" s="301" t="str">
        <f>IF($A8&lt;&gt;"",IF(INDEX(BDHK2,MATCH($A8,DiemHKII!$B$4:$B$58,0),INDEX($AD$9:$AF$22,MATCH(M$7,$AD$9:$AD$22,0),2))&lt;&gt;"",INDEX(BDHK2,MATCH($A8,DiemHKII!$B$4:$B$58,0),INDEX($AD$9:$AF$22,MATCH(M$7,$AD$9:$AD$22,0),3)),""),"")</f>
        <v/>
      </c>
      <c r="N8" s="301" t="str">
        <f>IF($A8&lt;&gt;"",IF(INDEX(BDHK2,MATCH($A8,DiemHKII!$B$4:$B$58,0),INDEX($AD$9:$AF$22,MATCH(N$7,$AD$9:$AD$22,0),2))&lt;&gt;"",INDEX(BDHK2,MATCH($A8,DiemHKII!$B$4:$B$58,0),INDEX($AD$9:$AF$22,MATCH(N$7,$AD$9:$AD$22,0),3)),""),"")</f>
        <v/>
      </c>
      <c r="O8" s="301" t="str">
        <f>IF($A8&lt;&gt;"",IF(INDEX(BDHK2,MATCH($A8,DiemHKII!$B$4:$B$58,0),INDEX($AD$9:$AF$22,MATCH(O$7,$AD$9:$AD$22,0),2))&lt;&gt;"",INDEX(BDHK2,MATCH($A8,DiemHKII!$B$4:$B$58,0),INDEX($AD$9:$AF$22,MATCH(O$7,$AD$9:$AD$22,0),3)),""),"")</f>
        <v/>
      </c>
      <c r="P8" s="301" t="str">
        <f>IF($A8&lt;&gt;"",IF(INDEX(BDHK2,MATCH($A8,DiemHKII!$B$4:$B$58,0),INDEX($AD$9:$AF$22,MATCH(P$7,$AD$9:$AD$22,0),2))&lt;&gt;"",INDEX(BDHK2,MATCH($A8,DiemHKII!$B$4:$B$58,0),INDEX($AD$9:$AF$22,MATCH(P$7,$AD$9:$AD$22,0),3)),""),"")</f>
        <v/>
      </c>
      <c r="Q8" s="301" t="str">
        <f>IF($A8&lt;&gt;"",IF(INDEX(BDHK2,MATCH($A8,DiemHKII!$B$4:$B$58,0),INDEX($AD$9:$AF$22,MATCH(Q$7,$AD$9:$AD$22,0),2))&lt;&gt;"",INDEX(BDHK2,MATCH($A8,DiemHKII!$B$4:$B$58,0),INDEX($AD$9:$AF$22,MATCH(Q$7,$AD$9:$AD$22,0),3)),""),"")</f>
        <v/>
      </c>
      <c r="R8" s="279" t="str">
        <f>IF($A8&lt;&gt;"",IF(INDEX(BDHK2,MATCH($A8,DiemHKII!$B$4:$B$58,0),INDEX($AD$9:$AF$22,MATCH(R$7,$AD$9:$AD$22,0),2))&lt;&gt;"",INDEX(BDHK2,MATCH($A8,DiemHKII!$B$4:$B$58,0),INDEX($AD$9:$AF$22,MATCH(R$7,$AD$9:$AD$22,0),3)),""),"")</f>
        <v/>
      </c>
      <c r="S8" s="279" t="str">
        <f>IF(R8&lt;&gt;"",IF(R8="CĐ",3.4,8),"")</f>
        <v/>
      </c>
      <c r="T8" s="301" t="str">
        <f>IF($A8&lt;&gt;"",IF(INDEX(BDHK2,MATCH($A8,DiemHKII!$B$4:$B$58,0),INDEX($AD$9:$AF$22,MATCH(T$7,$AD$9:$AD$22,0),2))&lt;&gt;"",INDEX(BDHK2,MATCH($A8,DiemHKII!$B$4:$B$58,0),INDEX($AD$9:$AF$22,MATCH(T$7,$AD$9:$AD$22,0),3)),""),"")</f>
        <v/>
      </c>
      <c r="U8" s="302" t="str">
        <f>IF($A8&lt;&gt;"",IF(INDEX(BDHK2,MATCH($A8,DiemHKII!$B$4:$B$58,0),INDEX($AD$9:$AF$22,MATCH(U$7,$AD$9:$AD$22,0),2))&lt;&gt;"",INDEX(BDHK2,MATCH($A8,DiemHKII!$B$4:$B$58,0),INDEX($AD$9:$AF$22,MATCH(U$7,$AD$9:$AD$22,0),3)),""),"")</f>
        <v/>
      </c>
      <c r="V8" s="278" t="str">
        <f>IF(COUNT(G8:Q8,T8)&gt;=11,ROUND(AVERAGE(G8:Q8,T8),1),"")</f>
        <v/>
      </c>
      <c r="W8" s="279" t="str">
        <f>IF(V8="","",IF(AND(V8&gt;=8,MIN(G8:T8)&gt;6.4,OR(G8&gt;=8,L8&gt;=8,O8&gt;=8)),"Giỏi",IF(OR(AND(V8&gt;=8,MIN(G8:T8)&gt;3.4,OR(G8&gt;=8,L8&gt;=8,O8&gt;=8),COUNT(G8:T8)-COUNTIF(G8:T8,"&gt;6.4")=1,COUNTIF(G8:T8,"&lt;5")=1),AND(V8&gt;=6.5,MIN(G8:T8)&gt;4.9,OR(G8&gt;=6.5,L8&gt;=6.5,O8&gt;=6.5))),"Khá",IF(OR(AND(V8&gt;6.4,MIN(G8:T8)&gt;1.9,OR(G8&gt;6.4,L8&gt;6.4,O8&gt;6.4),COUNT(G8:T8)-COUNTIF(G8:T8,"&gt;=5")=1,COUNTIF(G8:T8,"&lt;3.5")=1),AND(V8&gt;=8,OR(G8&gt;=8,L8&gt;=8,O8&gt;=8),COUNT(G8:T8)-COUNTIF(G8:T8,"&gt;=6.5")=1,MIN(G8:T8)&gt;1.9,COUNTIF(G8:T8,"&lt;3.5")=1),AND(V8&gt;=5,MIN(G8:T8)&gt;3.4,OR(G8&gt;=5,L8&gt;=5,O8&gt;=5))),"Tb",IF(OR(AND(V8&gt;=8,OR(G8&gt;=8,L8&gt;=8,O8&gt;=8),COUNT(G8:T8)-COUNTIF(G8:T8,"&gt;=5")=2,MIN(G8:T8)&gt;=2),AND(V8&gt;6.4,OR(G8&gt;6.4,L8&gt;6.4,O8&gt;6.4),COUNT(G8:T8)-COUNTIF(G8:T8,"&gt;=5")=1,COUNTIF(G8:T8,"&lt;2")=1),AND(V8&gt;3.4,MIN(G8:T8)&gt;1.9)),"Yếu","Kém")))))</f>
        <v/>
      </c>
      <c r="X8" s="352"/>
      <c r="Y8" s="280" t="str">
        <f>IF(A8="","",IF(AND(W8="Giỏi",X8="Tốt"),"HSG",IF(AND(W8="Giỏi",X8="Khá"),"HSTT",IF(AND(W8="Khá",OR(X8="Tốt",X8="Khá")),"HSTT",""))))</f>
        <v/>
      </c>
      <c r="Z8" s="1"/>
      <c r="AA8" s="641" t="str">
        <f>IFERROR(IF(A8&lt;&gt;"",RANK(V8,$V$8:$V$62),""),"")</f>
        <v/>
      </c>
      <c r="AD8" s="268">
        <v>1</v>
      </c>
      <c r="AE8" s="268">
        <v>2</v>
      </c>
      <c r="AF8" s="268">
        <v>3</v>
      </c>
      <c r="AG8" s="268" t="str">
        <f>IF($A8&lt;&gt;"",INDEX(DiemHKII!$B$4:$K$58,MATCH($A8,DiemHKII!$B$4:$B$58,0),2),"")</f>
        <v>12A1Phạm Huỳnh HiệpAn16/10/2004</v>
      </c>
      <c r="AH8" s="712" t="str">
        <f>IF(AND(V8&gt;=8,W8="Khá"),IF(G8&lt;8,"Toán "&amp;G8&amp;", ",""),"")&amp;IF(AND(V8&gt;=8,W8="Khá"),IF(L8&lt;8,"Văn "&amp;L8&amp;", ",""),"")&amp;IF(AND(V8&gt;=8,W8="Khá"),IF(O8&lt;8,"Anh "&amp;O8&amp;", ",""),"")&amp;IF(AND(V8&gt;=6.5,W8="Tb"),IF(G8&lt;6.5,"Toán "&amp;G8&amp;", ",""),"")&amp;IF(AND(V8&gt;=6.5,W8="Tb"),IF(L8&lt;6.5,"Văn "&amp;L8&amp;", ",""),"")&amp;IF(AND(V8&gt;=6.5,W8="Tb"),IF(O8&lt;6.5,"Anh "&amp;O8&amp;", ",""),"")&amp;IF(AND(V8&gt;=5,W8="Yếu"),IF(G8&lt;5,"Toán "&amp;G8&amp;", ",""),"")&amp;IF(AND(V8&gt;=5,W8="Yếu"),IF(L8&lt;5,"Văn "&amp;L8&amp;", ",""),"")&amp;IF(AND(V8&gt;=5,W8="Yếu"),IF(O8&lt;5,"Anh "&amp;O8&amp;", ",""),"")</f>
        <v/>
      </c>
      <c r="AI8" s="672" t="str">
        <f ca="1">IF(AND(V8&gt;=8,W8="Khá",MIN(H8:K8,M8:N8,P8:Q8,T8)&lt;6.5),OFFSET(INDEX(G8:T8,1,MATCH(MIN(H8:K8,M8:N8,P8:Q8,T8),G8:T8,0)),-A8,0)&amp;" "&amp;IF(AND(V8&gt;=8,W8="Khá"),MIN(H8:K8,M8:N8,P8:Q8,T8),""),"")&amp;IF(AND(V8&gt;=6.5,W8="Tb",MIN(H8:K8,M8:N8,P8:Q8,T8)&lt;5),OFFSET(INDEX(G8:T8,1,MATCH(MIN(H8:K8,M8:N8,P8:Q8,T8),G8:T8,0)),-A8,0)&amp;" "&amp;IF(AND(V8&gt;=6.5,W8="Tb"),MIN(H8:K8,M8:N8,P8:Q8,T8),""),"")&amp;IF(AND(V8&gt;=5,W8="Yếu",MIN(H8:K8,M8:N8,P8:Q8,T8)&lt;3.5),OFFSET(INDEX(G8:T8,1,MATCH(MIN(H8:K8,M8:N8,P8:Q8,T8),G8:T8,0)),-A8,0)&amp;" "&amp;IF(AND(V8&gt;=5,W8="Yếu"),MIN(H8:K8,M8:N8,P8:Q8,T8),""),"")</f>
        <v/>
      </c>
    </row>
    <row r="9" spans="1:35" s="268" customFormat="1" ht="29.1" customHeight="1">
      <c r="A9" s="281">
        <f>IF(A8&lt;MAX(DiemHKII!$B$4:$B$58),A8+1,"")</f>
        <v>2</v>
      </c>
      <c r="B9" s="282" t="str">
        <f>IF($A9&lt;&gt;"",PROPER(INDEX(DiemHKII!$B$4:$K$58,MATCH($A9,DiemHKII!$B$4:$B$58,0),4)),"")</f>
        <v>Chử Ngọc</v>
      </c>
      <c r="C9" s="283" t="str">
        <f>IF($A9&lt;&gt;"",PROPER(INDEX(DiemHKII!$B$4:$K$58,MATCH($A9,DiemHKII!$B$4:$B$58,0),5)),"")</f>
        <v>Anh</v>
      </c>
      <c r="D9" s="284" t="str">
        <f>IF($A9&lt;&gt;"",IF(INDEX(DiemHKII!$B$4:$K$58,MATCH($A9,DiemHKII!$B$4:$B$58,0),8)&lt;&gt;"",INDEX(DiemHKII!$B$4:$K$58,MATCH($A9,DiemHKII!$B$4:$B$58,0),8),""),"")</f>
        <v/>
      </c>
      <c r="E9" s="284" t="str">
        <f>IF($A9&lt;&gt;"",IF(INDEX(DiemHKII!$B$4:$K$58,MATCH($A9,DiemHKII!$B$4:$B$58,0),9)&lt;&gt;"",INDEX(DiemHKII!$B$4:$K$58,MATCH($A9,DiemHKII!$B$4:$B$58,0),9),""),"")</f>
        <v/>
      </c>
      <c r="F9" s="284" t="str">
        <f>IF($A9&lt;&gt;"",IF(INDEX(DiemHKII!$B$4:$K$58,MATCH($A9,DiemHKII!$B$4:$B$58,0),10)&lt;&gt;"",INDEX(DiemHKII!$B$4:$K$58,MATCH($A9,DiemHKII!$B$4:$B$58,0),10),""),"")</f>
        <v/>
      </c>
      <c r="G9" s="285" t="str">
        <f>IF($A9&lt;&gt;"",IF(INDEX(BDHK2,MATCH($A9,DiemHKII!$B$4:$B$58,0),INDEX($AD$9:$AF$22,MATCH(G$7,$AD$9:$AD$22,0),2))&lt;&gt;"",INDEX(BDHK2,MATCH($A9,DiemHKII!$B$4:$B$58,0),INDEX($AD$9:$AF$22,MATCH(G$7,$AD$9:$AD$22,0),3)),""),"")</f>
        <v/>
      </c>
      <c r="H9" s="286" t="str">
        <f>IF($A9&lt;&gt;"",IF(INDEX(BDHK2,MATCH($A9,DiemHKII!$B$4:$B$58,0),INDEX($AD$9:$AF$22,MATCH(H$7,$AD$9:$AD$22,0),2))&lt;&gt;"",INDEX(BDHK2,MATCH($A9,DiemHKII!$B$4:$B$58,0),INDEX($AD$9:$AF$22,MATCH(H$7,$AD$9:$AD$22,0),3)),""),"")</f>
        <v/>
      </c>
      <c r="I9" s="286" t="str">
        <f>IF($A9&lt;&gt;"",IF(INDEX(BDHK2,MATCH($A9,DiemHKII!$B$4:$B$58,0),INDEX($AD$9:$AF$22,MATCH(I$7,$AD$9:$AD$22,0),2))&lt;&gt;"",INDEX(BDHK2,MATCH($A9,DiemHKII!$B$4:$B$58,0),INDEX($AD$9:$AF$22,MATCH(I$7,$AD$9:$AD$22,0),3)),""),"")</f>
        <v/>
      </c>
      <c r="J9" s="286" t="str">
        <f>IF($A9&lt;&gt;"",IF(INDEX(BDHK2,MATCH($A9,DiemHKII!$B$4:$B$58,0),INDEX($AD$9:$AF$22,MATCH(J$7,$AD$9:$AD$22,0),2))&lt;&gt;"",INDEX(BDHK2,MATCH($A9,DiemHKII!$B$4:$B$58,0),INDEX($AD$9:$AF$22,MATCH(J$7,$AD$9:$AD$22,0),3)),""),"")</f>
        <v/>
      </c>
      <c r="K9" s="286" t="str">
        <f>IF($A9&lt;&gt;"",IF(INDEX(BDHK2,MATCH($A9,DiemHKII!$B$4:$B$58,0),INDEX($AD$9:$AF$22,MATCH(K$7,$AD$9:$AD$22,0),2))&lt;&gt;"",INDEX(BDHK2,MATCH($A9,DiemHKII!$B$4:$B$58,0),INDEX($AD$9:$AF$22,MATCH(K$7,$AD$9:$AD$22,0),3)),""),"")</f>
        <v/>
      </c>
      <c r="L9" s="286" t="str">
        <f>IF($A9&lt;&gt;"",IF(INDEX(BDHK2,MATCH($A9,DiemHKII!$B$4:$B$58,0),INDEX($AD$9:$AF$22,MATCH(L$7,$AD$9:$AD$22,0),2))&lt;&gt;"",INDEX(BDHK2,MATCH($A9,DiemHKII!$B$4:$B$58,0),INDEX($AD$9:$AF$22,MATCH(L$7,$AD$9:$AD$22,0),3)),""),"")</f>
        <v/>
      </c>
      <c r="M9" s="286" t="str">
        <f>IF($A9&lt;&gt;"",IF(INDEX(BDHK2,MATCH($A9,DiemHKII!$B$4:$B$58,0),INDEX($AD$9:$AF$22,MATCH(M$7,$AD$9:$AD$22,0),2))&lt;&gt;"",INDEX(BDHK2,MATCH($A9,DiemHKII!$B$4:$B$58,0),INDEX($AD$9:$AF$22,MATCH(M$7,$AD$9:$AD$22,0),3)),""),"")</f>
        <v/>
      </c>
      <c r="N9" s="286" t="str">
        <f>IF($A9&lt;&gt;"",IF(INDEX(BDHK2,MATCH($A9,DiemHKII!$B$4:$B$58,0),INDEX($AD$9:$AF$22,MATCH(N$7,$AD$9:$AD$22,0),2))&lt;&gt;"",INDEX(BDHK2,MATCH($A9,DiemHKII!$B$4:$B$58,0),INDEX($AD$9:$AF$22,MATCH(N$7,$AD$9:$AD$22,0),3)),""),"")</f>
        <v/>
      </c>
      <c r="O9" s="286" t="str">
        <f>IF($A9&lt;&gt;"",IF(INDEX(BDHK2,MATCH($A9,DiemHKII!$B$4:$B$58,0),INDEX($AD$9:$AF$22,MATCH(O$7,$AD$9:$AD$22,0),2))&lt;&gt;"",INDEX(BDHK2,MATCH($A9,DiemHKII!$B$4:$B$58,0),INDEX($AD$9:$AF$22,MATCH(O$7,$AD$9:$AD$22,0),3)),""),"")</f>
        <v/>
      </c>
      <c r="P9" s="286" t="str">
        <f>IF($A9&lt;&gt;"",IF(INDEX(BDHK2,MATCH($A9,DiemHKII!$B$4:$B$58,0),INDEX($AD$9:$AF$22,MATCH(P$7,$AD$9:$AD$22,0),2))&lt;&gt;"",INDEX(BDHK2,MATCH($A9,DiemHKII!$B$4:$B$58,0),INDEX($AD$9:$AF$22,MATCH(P$7,$AD$9:$AD$22,0),3)),""),"")</f>
        <v/>
      </c>
      <c r="Q9" s="286" t="str">
        <f>IF($A9&lt;&gt;"",IF(INDEX(BDHK2,MATCH($A9,DiemHKII!$B$4:$B$58,0),INDEX($AD$9:$AF$22,MATCH(Q$7,$AD$9:$AD$22,0),2))&lt;&gt;"",INDEX(BDHK2,MATCH($A9,DiemHKII!$B$4:$B$58,0),INDEX($AD$9:$AF$22,MATCH(Q$7,$AD$9:$AD$22,0),3)),""),"")</f>
        <v/>
      </c>
      <c r="R9" s="464" t="str">
        <f>IF($A9&lt;&gt;"",IF(INDEX(BDHK2,MATCH($A9,DiemHKII!$B$4:$B$58,0),INDEX($AD$9:$AF$22,MATCH(R$7,$AD$9:$AD$22,0),2))&lt;&gt;"",INDEX(BDHK2,MATCH($A9,DiemHKII!$B$4:$B$58,0),INDEX($AD$9:$AF$22,MATCH(R$7,$AD$9:$AD$22,0),3)),""),"")</f>
        <v/>
      </c>
      <c r="S9" s="464" t="str">
        <f t="shared" ref="S9:S13" si="0">IF(R9&lt;&gt;"",IF(R9="CĐ",3.4,8),"")</f>
        <v/>
      </c>
      <c r="T9" s="286" t="str">
        <f>IF($A9&lt;&gt;"",IF(INDEX(BDHK2,MATCH($A9,DiemHKII!$B$4:$B$58,0),INDEX($AD$9:$AF$22,MATCH(T$7,$AD$9:$AD$22,0),2))&lt;&gt;"",INDEX(BDHK2,MATCH($A9,DiemHKII!$B$4:$B$58,0),INDEX($AD$9:$AF$22,MATCH(T$7,$AD$9:$AD$22,0),3)),""),"")</f>
        <v/>
      </c>
      <c r="U9" s="287" t="str">
        <f>IF($A9&lt;&gt;"",IF(INDEX(BDHK2,MATCH($A9,DiemHKII!$B$4:$B$58,0),INDEX($AD$9:$AF$22,MATCH(U$7,$AD$9:$AD$22,0),2))&lt;&gt;"",INDEX(BDHK2,MATCH($A9,DiemHKII!$B$4:$B$58,0),INDEX($AD$9:$AF$22,MATCH(U$7,$AD$9:$AD$22,0),3)),""),"")</f>
        <v/>
      </c>
      <c r="V9" s="288" t="str">
        <f t="shared" ref="V9:V13" si="1">IF(COUNT(G9:Q9,T9)&gt;=11,ROUND(AVERAGE(G9:Q9,T9),1),"")</f>
        <v/>
      </c>
      <c r="W9" s="464" t="str">
        <f t="shared" ref="W9:W13" si="2">IF(V9="","",IF(AND(V9&gt;=8,MIN(G9:T9)&gt;6.4,OR(G9&gt;=8,L9&gt;=8,O9&gt;=8)),"Giỏi",IF(OR(AND(V9&gt;=8,MIN(G9:T9)&gt;3.4,OR(G9&gt;=8,L9&gt;=8,O9&gt;=8),COUNT(G9:T9)-COUNTIF(G9:T9,"&gt;6.4")=1,COUNTIF(G9:T9,"&lt;5")=1),AND(V9&gt;=6.5,MIN(G9:T9)&gt;4.9,OR(G9&gt;=6.5,L9&gt;=6.5,O9&gt;=6.5))),"Khá",IF(OR(AND(V9&gt;6.4,MIN(G9:T9)&gt;1.9,OR(G9&gt;6.4,L9&gt;6.4,O9&gt;6.4),COUNT(G9:T9)-COUNTIF(G9:T9,"&gt;=5")=1,COUNTIF(G9:T9,"&lt;3.5")=1),AND(V9&gt;=8,OR(G9&gt;=8,L9&gt;=8,O9&gt;=8),COUNT(G9:T9)-COUNTIF(G9:T9,"&gt;=6.5")=1,MIN(G9:T9)&gt;1.9,COUNTIF(G9:T9,"&lt;3.5")=1),AND(V9&gt;=5,MIN(G9:T9)&gt;3.4,OR(G9&gt;=5,L9&gt;=5,O9&gt;=5))),"Tb",IF(OR(AND(V9&gt;=8,OR(G9&gt;=8,L9&gt;=8,O9&gt;=8),COUNT(G9:T9)-COUNTIF(G9:T9,"&gt;=5")=2,MIN(G9:T9)&gt;=2),AND(V9&gt;6.4,OR(G9&gt;6.4,L9&gt;6.4,O9&gt;6.4),COUNT(G9:T9)-COUNTIF(G9:T9,"&gt;=5")=1,COUNTIF(G9:T9,"&lt;2")=1),AND(V9&gt;3.4,MIN(G9:T9)&gt;1.9)),"Yếu","Kém")))))</f>
        <v/>
      </c>
      <c r="X9" s="353"/>
      <c r="Y9" s="289" t="str">
        <f t="shared" ref="Y9:Y13" si="3">IF(A9="","",IF(AND(W9="Giỏi",X9="Tốt"),"HSG",IF(AND(W9="Giỏi",X9="Khá"),"HSTT",IF(AND(W9="Khá",OR(X9="Tốt",X9="Khá")),"HSTT",""))))</f>
        <v/>
      </c>
      <c r="Z9" s="1"/>
      <c r="AA9" s="641" t="str">
        <f t="shared" ref="AA9:AA62" si="4">IFERROR(IF(A9&lt;&gt;"",RANK(V9,$V$8:$V$62),""),"")</f>
        <v/>
      </c>
      <c r="AC9" s="268" t="s">
        <v>38</v>
      </c>
      <c r="AD9" s="268" t="s">
        <v>26</v>
      </c>
      <c r="AE9" s="268">
        <v>16</v>
      </c>
      <c r="AF9" s="268">
        <v>18</v>
      </c>
      <c r="AG9" s="268" t="str">
        <f>IF($A9&lt;&gt;"",INDEX(DiemHKII!$B$4:$K$58,MATCH($A9,DiemHKII!$B$4:$B$58,0),2),"")</f>
        <v>12A1Chử NgọcAnh14/04/2004</v>
      </c>
      <c r="AH9" s="674" t="str">
        <f t="shared" ref="AH9" si="5">IF(AND(V9&gt;=8,W9="Khá"),IF(G9&lt;8,"Toán "&amp;G9&amp;", ",""),"")&amp;IF(AND(V9&gt;=8,W9="Khá"),IF(L9&lt;8,"Văn "&amp;L9&amp;", ",""),"")&amp;IF(AND(V9&gt;=8,W9="Khá"),IF(O9&lt;8,"Anh "&amp;O9&amp;", ",""),"")&amp;IF(AND(V9&gt;=6.5,W9="Tb"),IF(G9&lt;6.5,"Toán "&amp;G9&amp;", ",""),"")&amp;IF(AND(V9&gt;=6.5,W9="Tb"),IF(L9&lt;6.5,"Văn "&amp;L9&amp;", ",""),"")&amp;IF(AND(V9&gt;=6.5,W9="Tb"),IF(O9&lt;6.5,"Anh "&amp;O9&amp;", ",""),"")&amp;IF(AND(V9&gt;=5,W9="Yếu"),IF(G9&lt;5,"Toán "&amp;G9&amp;", ",""),"")&amp;IF(AND(V9&gt;=5,W9="Yếu"),IF(L9&lt;5,"Văn "&amp;L9&amp;", ",""),"")&amp;IF(AND(V9&gt;=5,W9="Yếu"),IF(O9&lt;5,"Anh "&amp;O9&amp;", ",""),"")</f>
        <v/>
      </c>
      <c r="AI9" s="672" t="str">
        <f t="shared" ref="AI9:AI62" ca="1" si="6">IF(AND(V9&gt;=8,W9="Khá",MIN(H9:K9,M9:N9,P9:Q9,T9)&lt;6.5),OFFSET(INDEX(G9:T9,1,MATCH(MIN(H9:K9,M9:N9,P9:Q9,T9),G9:T9,0)),-A9,0)&amp;" "&amp;IF(AND(V9&gt;=8,W9="Khá"),MIN(H9:K9,M9:N9,P9:Q9,T9),""),"")&amp;IF(AND(V9&gt;=6.5,W9="Tb",MIN(H9:K9,M9:N9,P9:Q9,T9)&lt;5),OFFSET(INDEX(G9:T9,1,MATCH(MIN(H9:K9,M9:N9,P9:Q9,T9),G9:T9,0)),-A9,0)&amp;" "&amp;IF(AND(V9&gt;=6.5,W9="Tb"),MIN(H9:K9,M9:N9,P9:Q9,T9),""),"")&amp;IF(AND(V9&gt;=5,W9="Yếu",MIN(H9:K9,M9:N9,P9:Q9,T9)&lt;3.5),OFFSET(INDEX(G9:T9,1,MATCH(MIN(H9:K9,M9:N9,P9:Q9,T9),G9:T9,0)),-A9,0)&amp;" "&amp;IF(AND(V9&gt;=5,W9="Yếu"),MIN(H9:K9,M9:N9,P9:Q9,T9),""),"")</f>
        <v/>
      </c>
    </row>
    <row r="10" spans="1:35" s="268" customFormat="1" ht="29.1" customHeight="1">
      <c r="A10" s="281">
        <f>IF(A9&lt;MAX(DiemHKII!$B$4:$B$58),A9+1,"")</f>
        <v>3</v>
      </c>
      <c r="B10" s="282" t="str">
        <f>IF($A10&lt;&gt;"",PROPER(INDEX(DiemHKII!$B$4:$K$58,MATCH($A10,DiemHKII!$B$4:$B$58,0),4)),"")</f>
        <v>Lê Tuấn</v>
      </c>
      <c r="C10" s="283" t="str">
        <f>IF($A10&lt;&gt;"",PROPER(INDEX(DiemHKII!$B$4:$K$58,MATCH($A10,DiemHKII!$B$4:$B$58,0),5)),"")</f>
        <v>Anh</v>
      </c>
      <c r="D10" s="284" t="str">
        <f>IF($A10&lt;&gt;"",IF(INDEX(DiemHKII!$B$4:$K$58,MATCH($A10,DiemHKII!$B$4:$B$58,0),8)&lt;&gt;"",INDEX(DiemHKII!$B$4:$K$58,MATCH($A10,DiemHKII!$B$4:$B$58,0),8),""),"")</f>
        <v/>
      </c>
      <c r="E10" s="284" t="str">
        <f>IF($A10&lt;&gt;"",IF(INDEX(DiemHKII!$B$4:$K$58,MATCH($A10,DiemHKII!$B$4:$B$58,0),9)&lt;&gt;"",INDEX(DiemHKII!$B$4:$K$58,MATCH($A10,DiemHKII!$B$4:$B$58,0),9),""),"")</f>
        <v/>
      </c>
      <c r="F10" s="284" t="str">
        <f>IF($A10&lt;&gt;"",IF(INDEX(DiemHKII!$B$4:$K$58,MATCH($A10,DiemHKII!$B$4:$B$58,0),10)&lt;&gt;"",INDEX(DiemHKII!$B$4:$K$58,MATCH($A10,DiemHKII!$B$4:$B$58,0),10),""),"")</f>
        <v/>
      </c>
      <c r="G10" s="285" t="str">
        <f>IF($A10&lt;&gt;"",IF(INDEX(BDHK2,MATCH($A10,DiemHKII!$B$4:$B$58,0),INDEX($AD$9:$AF$22,MATCH(G$7,$AD$9:$AD$22,0),2))&lt;&gt;"",INDEX(BDHK2,MATCH($A10,DiemHKII!$B$4:$B$58,0),INDEX($AD$9:$AF$22,MATCH(G$7,$AD$9:$AD$22,0),3)),""),"")</f>
        <v/>
      </c>
      <c r="H10" s="286" t="str">
        <f>IF($A10&lt;&gt;"",IF(INDEX(BDHK2,MATCH($A10,DiemHKII!$B$4:$B$58,0),INDEX($AD$9:$AF$22,MATCH(H$7,$AD$9:$AD$22,0),2))&lt;&gt;"",INDEX(BDHK2,MATCH($A10,DiemHKII!$B$4:$B$58,0),INDEX($AD$9:$AF$22,MATCH(H$7,$AD$9:$AD$22,0),3)),""),"")</f>
        <v/>
      </c>
      <c r="I10" s="286" t="str">
        <f>IF($A10&lt;&gt;"",IF(INDEX(BDHK2,MATCH($A10,DiemHKII!$B$4:$B$58,0),INDEX($AD$9:$AF$22,MATCH(I$7,$AD$9:$AD$22,0),2))&lt;&gt;"",INDEX(BDHK2,MATCH($A10,DiemHKII!$B$4:$B$58,0),INDEX($AD$9:$AF$22,MATCH(I$7,$AD$9:$AD$22,0),3)),""),"")</f>
        <v/>
      </c>
      <c r="J10" s="286" t="str">
        <f>IF($A10&lt;&gt;"",IF(INDEX(BDHK2,MATCH($A10,DiemHKII!$B$4:$B$58,0),INDEX($AD$9:$AF$22,MATCH(J$7,$AD$9:$AD$22,0),2))&lt;&gt;"",INDEX(BDHK2,MATCH($A10,DiemHKII!$B$4:$B$58,0),INDEX($AD$9:$AF$22,MATCH(J$7,$AD$9:$AD$22,0),3)),""),"")</f>
        <v/>
      </c>
      <c r="K10" s="286" t="str">
        <f>IF($A10&lt;&gt;"",IF(INDEX(BDHK2,MATCH($A10,DiemHKII!$B$4:$B$58,0),INDEX($AD$9:$AF$22,MATCH(K$7,$AD$9:$AD$22,0),2))&lt;&gt;"",INDEX(BDHK2,MATCH($A10,DiemHKII!$B$4:$B$58,0),INDEX($AD$9:$AF$22,MATCH(K$7,$AD$9:$AD$22,0),3)),""),"")</f>
        <v/>
      </c>
      <c r="L10" s="286" t="str">
        <f>IF($A10&lt;&gt;"",IF(INDEX(BDHK2,MATCH($A10,DiemHKII!$B$4:$B$58,0),INDEX($AD$9:$AF$22,MATCH(L$7,$AD$9:$AD$22,0),2))&lt;&gt;"",INDEX(BDHK2,MATCH($A10,DiemHKII!$B$4:$B$58,0),INDEX($AD$9:$AF$22,MATCH(L$7,$AD$9:$AD$22,0),3)),""),"")</f>
        <v/>
      </c>
      <c r="M10" s="286" t="str">
        <f>IF($A10&lt;&gt;"",IF(INDEX(BDHK2,MATCH($A10,DiemHKII!$B$4:$B$58,0),INDEX($AD$9:$AF$22,MATCH(M$7,$AD$9:$AD$22,0),2))&lt;&gt;"",INDEX(BDHK2,MATCH($A10,DiemHKII!$B$4:$B$58,0),INDEX($AD$9:$AF$22,MATCH(M$7,$AD$9:$AD$22,0),3)),""),"")</f>
        <v/>
      </c>
      <c r="N10" s="286" t="str">
        <f>IF($A10&lt;&gt;"",IF(INDEX(BDHK2,MATCH($A10,DiemHKII!$B$4:$B$58,0),INDEX($AD$9:$AF$22,MATCH(N$7,$AD$9:$AD$22,0),2))&lt;&gt;"",INDEX(BDHK2,MATCH($A10,DiemHKII!$B$4:$B$58,0),INDEX($AD$9:$AF$22,MATCH(N$7,$AD$9:$AD$22,0),3)),""),"")</f>
        <v/>
      </c>
      <c r="O10" s="286" t="str">
        <f>IF($A10&lt;&gt;"",IF(INDEX(BDHK2,MATCH($A10,DiemHKII!$B$4:$B$58,0),INDEX($AD$9:$AF$22,MATCH(O$7,$AD$9:$AD$22,0),2))&lt;&gt;"",INDEX(BDHK2,MATCH($A10,DiemHKII!$B$4:$B$58,0),INDEX($AD$9:$AF$22,MATCH(O$7,$AD$9:$AD$22,0),3)),""),"")</f>
        <v/>
      </c>
      <c r="P10" s="286" t="str">
        <f>IF($A10&lt;&gt;"",IF(INDEX(BDHK2,MATCH($A10,DiemHKII!$B$4:$B$58,0),INDEX($AD$9:$AF$22,MATCH(P$7,$AD$9:$AD$22,0),2))&lt;&gt;"",INDEX(BDHK2,MATCH($A10,DiemHKII!$B$4:$B$58,0),INDEX($AD$9:$AF$22,MATCH(P$7,$AD$9:$AD$22,0),3)),""),"")</f>
        <v/>
      </c>
      <c r="Q10" s="286" t="str">
        <f>IF($A10&lt;&gt;"",IF(INDEX(BDHK2,MATCH($A10,DiemHKII!$B$4:$B$58,0),INDEX($AD$9:$AF$22,MATCH(Q$7,$AD$9:$AD$22,0),2))&lt;&gt;"",INDEX(BDHK2,MATCH($A10,DiemHKII!$B$4:$B$58,0),INDEX($AD$9:$AF$22,MATCH(Q$7,$AD$9:$AD$22,0),3)),""),"")</f>
        <v/>
      </c>
      <c r="R10" s="464" t="str">
        <f>IF($A10&lt;&gt;"",IF(INDEX(BDHK2,MATCH($A10,DiemHKII!$B$4:$B$58,0),INDEX($AD$9:$AF$22,MATCH(R$7,$AD$9:$AD$22,0),2))&lt;&gt;"",INDEX(BDHK2,MATCH($A10,DiemHKII!$B$4:$B$58,0),INDEX($AD$9:$AF$22,MATCH(R$7,$AD$9:$AD$22,0),3)),""),"")</f>
        <v/>
      </c>
      <c r="S10" s="464" t="str">
        <f t="shared" si="0"/>
        <v/>
      </c>
      <c r="T10" s="286" t="str">
        <f>IF($A10&lt;&gt;"",IF(INDEX(BDHK2,MATCH($A10,DiemHKII!$B$4:$B$58,0),INDEX($AD$9:$AF$22,MATCH(T$7,$AD$9:$AD$22,0),2))&lt;&gt;"",INDEX(BDHK2,MATCH($A10,DiemHKII!$B$4:$B$58,0),INDEX($AD$9:$AF$22,MATCH(T$7,$AD$9:$AD$22,0),3)),""),"")</f>
        <v/>
      </c>
      <c r="U10" s="287" t="str">
        <f>IF($A10&lt;&gt;"",IF(INDEX(BDHK2,MATCH($A10,DiemHKII!$B$4:$B$58,0),INDEX($AD$9:$AF$22,MATCH(U$7,$AD$9:$AD$22,0),2))&lt;&gt;"",INDEX(BDHK2,MATCH($A10,DiemHKII!$B$4:$B$58,0),INDEX($AD$9:$AF$22,MATCH(U$7,$AD$9:$AD$22,0),3)),""),"")</f>
        <v/>
      </c>
      <c r="V10" s="288" t="str">
        <f t="shared" si="1"/>
        <v/>
      </c>
      <c r="W10" s="464" t="str">
        <f t="shared" si="2"/>
        <v/>
      </c>
      <c r="X10" s="353"/>
      <c r="Y10" s="289" t="str">
        <f t="shared" si="3"/>
        <v/>
      </c>
      <c r="Z10" s="1"/>
      <c r="AA10" s="641" t="str">
        <f t="shared" si="4"/>
        <v/>
      </c>
      <c r="AC10" s="268" t="s">
        <v>12</v>
      </c>
      <c r="AD10" s="268" t="s">
        <v>27</v>
      </c>
      <c r="AE10" s="268">
        <v>25</v>
      </c>
      <c r="AF10" s="268">
        <v>27</v>
      </c>
      <c r="AG10" s="268" t="str">
        <f>IF($A10&lt;&gt;"",INDEX(DiemHKII!$B$4:$K$58,MATCH($A10,DiemHKII!$B$4:$B$58,0),2),"")</f>
        <v>12A1Lê TuấnAnh20/10/2004</v>
      </c>
      <c r="AH10" s="674" t="str">
        <f t="shared" ref="AH10:AH62" si="7">IF(AND(V10&gt;=8,W10="Khá"),IF(G10&lt;8,"Toán "&amp;G10&amp;", ",""),"")&amp;IF(AND(V10&gt;=8,W10="Khá"),IF(L10&lt;8,"Văn "&amp;L10&amp;", ",""),"")&amp;IF(AND(V10&gt;=8,W10="Khá"),IF(O10&lt;8,"Anh "&amp;O10&amp;", ",""),"")&amp;IF(AND(V10&gt;=6.5,W10="Tb"),IF(G10&lt;6.5,"Toán "&amp;G10&amp;", ",""),"")&amp;IF(AND(V10&gt;=6.5,W10="Tb"),IF(L10&lt;6.5,"Văn "&amp;L10&amp;", ",""),"")&amp;IF(AND(V10&gt;=6.5,W10="Tb"),IF(O10&lt;6.5,"Anh "&amp;O10&amp;", ",""),"")&amp;IF(AND(V10&gt;=5,W10="Yếu"),IF(G10&lt;5,"Toán "&amp;G10&amp;", ",""),"")&amp;IF(AND(V10&gt;=5,W10="Yếu"),IF(L10&lt;5,"Văn "&amp;L10&amp;", ",""),"")&amp;IF(AND(V10&gt;=5,W10="Yếu"),IF(O10&lt;5,"Anh "&amp;O10&amp;", ",""),"")</f>
        <v/>
      </c>
      <c r="AI10" s="672" t="str">
        <f t="shared" ca="1" si="6"/>
        <v/>
      </c>
    </row>
    <row r="11" spans="1:35" s="268" customFormat="1" ht="29.1" customHeight="1">
      <c r="A11" s="281">
        <f>IF(A10&lt;MAX(DiemHKII!$B$4:$B$58),A10+1,"")</f>
        <v>4</v>
      </c>
      <c r="B11" s="282" t="str">
        <f>IF($A11&lt;&gt;"",PROPER(INDEX(DiemHKII!$B$4:$K$58,MATCH($A11,DiemHKII!$B$4:$B$58,0),4)),"")</f>
        <v>Nguyễn Quách Mai</v>
      </c>
      <c r="C11" s="283" t="str">
        <f>IF($A11&lt;&gt;"",PROPER(INDEX(DiemHKII!$B$4:$K$58,MATCH($A11,DiemHKII!$B$4:$B$58,0),5)),"")</f>
        <v>Anh</v>
      </c>
      <c r="D11" s="284" t="str">
        <f>IF($A11&lt;&gt;"",IF(INDEX(DiemHKII!$B$4:$K$58,MATCH($A11,DiemHKII!$B$4:$B$58,0),8)&lt;&gt;"",INDEX(DiemHKII!$B$4:$K$58,MATCH($A11,DiemHKII!$B$4:$B$58,0),8),""),"")</f>
        <v/>
      </c>
      <c r="E11" s="284" t="str">
        <f>IF($A11&lt;&gt;"",IF(INDEX(DiemHKII!$B$4:$K$58,MATCH($A11,DiemHKII!$B$4:$B$58,0),9)&lt;&gt;"",INDEX(DiemHKII!$B$4:$K$58,MATCH($A11,DiemHKII!$B$4:$B$58,0),9),""),"")</f>
        <v/>
      </c>
      <c r="F11" s="284" t="str">
        <f>IF($A11&lt;&gt;"",IF(INDEX(DiemHKII!$B$4:$K$58,MATCH($A11,DiemHKII!$B$4:$B$58,0),10)&lt;&gt;"",INDEX(DiemHKII!$B$4:$K$58,MATCH($A11,DiemHKII!$B$4:$B$58,0),10),""),"")</f>
        <v/>
      </c>
      <c r="G11" s="285" t="str">
        <f>IF($A11&lt;&gt;"",IF(INDEX(BDHK2,MATCH($A11,DiemHKII!$B$4:$B$58,0),INDEX($AD$9:$AF$22,MATCH(G$7,$AD$9:$AD$22,0),2))&lt;&gt;"",INDEX(BDHK2,MATCH($A11,DiemHKII!$B$4:$B$58,0),INDEX($AD$9:$AF$22,MATCH(G$7,$AD$9:$AD$22,0),3)),""),"")</f>
        <v/>
      </c>
      <c r="H11" s="286" t="str">
        <f>IF($A11&lt;&gt;"",IF(INDEX(BDHK2,MATCH($A11,DiemHKII!$B$4:$B$58,0),INDEX($AD$9:$AF$22,MATCH(H$7,$AD$9:$AD$22,0),2))&lt;&gt;"",INDEX(BDHK2,MATCH($A11,DiemHKII!$B$4:$B$58,0),INDEX($AD$9:$AF$22,MATCH(H$7,$AD$9:$AD$22,0),3)),""),"")</f>
        <v/>
      </c>
      <c r="I11" s="286" t="str">
        <f>IF($A11&lt;&gt;"",IF(INDEX(BDHK2,MATCH($A11,DiemHKII!$B$4:$B$58,0),INDEX($AD$9:$AF$22,MATCH(I$7,$AD$9:$AD$22,0),2))&lt;&gt;"",INDEX(BDHK2,MATCH($A11,DiemHKII!$B$4:$B$58,0),INDEX($AD$9:$AF$22,MATCH(I$7,$AD$9:$AD$22,0),3)),""),"")</f>
        <v/>
      </c>
      <c r="J11" s="286" t="str">
        <f>IF($A11&lt;&gt;"",IF(INDEX(BDHK2,MATCH($A11,DiemHKII!$B$4:$B$58,0),INDEX($AD$9:$AF$22,MATCH(J$7,$AD$9:$AD$22,0),2))&lt;&gt;"",INDEX(BDHK2,MATCH($A11,DiemHKII!$B$4:$B$58,0),INDEX($AD$9:$AF$22,MATCH(J$7,$AD$9:$AD$22,0),3)),""),"")</f>
        <v/>
      </c>
      <c r="K11" s="286" t="str">
        <f>IF($A11&lt;&gt;"",IF(INDEX(BDHK2,MATCH($A11,DiemHKII!$B$4:$B$58,0),INDEX($AD$9:$AF$22,MATCH(K$7,$AD$9:$AD$22,0),2))&lt;&gt;"",INDEX(BDHK2,MATCH($A11,DiemHKII!$B$4:$B$58,0),INDEX($AD$9:$AF$22,MATCH(K$7,$AD$9:$AD$22,0),3)),""),"")</f>
        <v/>
      </c>
      <c r="L11" s="286" t="str">
        <f>IF($A11&lt;&gt;"",IF(INDEX(BDHK2,MATCH($A11,DiemHKII!$B$4:$B$58,0),INDEX($AD$9:$AF$22,MATCH(L$7,$AD$9:$AD$22,0),2))&lt;&gt;"",INDEX(BDHK2,MATCH($A11,DiemHKII!$B$4:$B$58,0),INDEX($AD$9:$AF$22,MATCH(L$7,$AD$9:$AD$22,0),3)),""),"")</f>
        <v/>
      </c>
      <c r="M11" s="286" t="str">
        <f>IF($A11&lt;&gt;"",IF(INDEX(BDHK2,MATCH($A11,DiemHKII!$B$4:$B$58,0),INDEX($AD$9:$AF$22,MATCH(M$7,$AD$9:$AD$22,0),2))&lt;&gt;"",INDEX(BDHK2,MATCH($A11,DiemHKII!$B$4:$B$58,0),INDEX($AD$9:$AF$22,MATCH(M$7,$AD$9:$AD$22,0),3)),""),"")</f>
        <v/>
      </c>
      <c r="N11" s="286" t="str">
        <f>IF($A11&lt;&gt;"",IF(INDEX(BDHK2,MATCH($A11,DiemHKII!$B$4:$B$58,0),INDEX($AD$9:$AF$22,MATCH(N$7,$AD$9:$AD$22,0),2))&lt;&gt;"",INDEX(BDHK2,MATCH($A11,DiemHKII!$B$4:$B$58,0),INDEX($AD$9:$AF$22,MATCH(N$7,$AD$9:$AD$22,0),3)),""),"")</f>
        <v/>
      </c>
      <c r="O11" s="286" t="str">
        <f>IF($A11&lt;&gt;"",IF(INDEX(BDHK2,MATCH($A11,DiemHKII!$B$4:$B$58,0),INDEX($AD$9:$AF$22,MATCH(O$7,$AD$9:$AD$22,0),2))&lt;&gt;"",INDEX(BDHK2,MATCH($A11,DiemHKII!$B$4:$B$58,0),INDEX($AD$9:$AF$22,MATCH(O$7,$AD$9:$AD$22,0),3)),""),"")</f>
        <v/>
      </c>
      <c r="P11" s="286" t="str">
        <f>IF($A11&lt;&gt;"",IF(INDEX(BDHK2,MATCH($A11,DiemHKII!$B$4:$B$58,0),INDEX($AD$9:$AF$22,MATCH(P$7,$AD$9:$AD$22,0),2))&lt;&gt;"",INDEX(BDHK2,MATCH($A11,DiemHKII!$B$4:$B$58,0),INDEX($AD$9:$AF$22,MATCH(P$7,$AD$9:$AD$22,0),3)),""),"")</f>
        <v/>
      </c>
      <c r="Q11" s="286" t="str">
        <f>IF($A11&lt;&gt;"",IF(INDEX(BDHK2,MATCH($A11,DiemHKII!$B$4:$B$58,0),INDEX($AD$9:$AF$22,MATCH(Q$7,$AD$9:$AD$22,0),2))&lt;&gt;"",INDEX(BDHK2,MATCH($A11,DiemHKII!$B$4:$B$58,0),INDEX($AD$9:$AF$22,MATCH(Q$7,$AD$9:$AD$22,0),3)),""),"")</f>
        <v/>
      </c>
      <c r="R11" s="464" t="str">
        <f>IF($A11&lt;&gt;"",IF(INDEX(BDHK2,MATCH($A11,DiemHKII!$B$4:$B$58,0),INDEX($AD$9:$AF$22,MATCH(R$7,$AD$9:$AD$22,0),2))&lt;&gt;"",INDEX(BDHK2,MATCH($A11,DiemHKII!$B$4:$B$58,0),INDEX($AD$9:$AF$22,MATCH(R$7,$AD$9:$AD$22,0),3)),""),"")</f>
        <v/>
      </c>
      <c r="S11" s="464" t="str">
        <f t="shared" si="0"/>
        <v/>
      </c>
      <c r="T11" s="286" t="str">
        <f>IF($A11&lt;&gt;"",IF(INDEX(BDHK2,MATCH($A11,DiemHKII!$B$4:$B$58,0),INDEX($AD$9:$AF$22,MATCH(T$7,$AD$9:$AD$22,0),2))&lt;&gt;"",INDEX(BDHK2,MATCH($A11,DiemHKII!$B$4:$B$58,0),INDEX($AD$9:$AF$22,MATCH(T$7,$AD$9:$AD$22,0),3)),""),"")</f>
        <v/>
      </c>
      <c r="U11" s="287" t="str">
        <f>IF($A11&lt;&gt;"",IF(INDEX(BDHK2,MATCH($A11,DiemHKII!$B$4:$B$58,0),INDEX($AD$9:$AF$22,MATCH(U$7,$AD$9:$AD$22,0),2))&lt;&gt;"",INDEX(BDHK2,MATCH($A11,DiemHKII!$B$4:$B$58,0),INDEX($AD$9:$AF$22,MATCH(U$7,$AD$9:$AD$22,0),3)),""),"")</f>
        <v/>
      </c>
      <c r="V11" s="288" t="str">
        <f>IF(COUNT(G11:Q11,T11)&gt;=11,ROUND(AVERAGE(G11:Q11,T11),1),"")</f>
        <v/>
      </c>
      <c r="W11" s="464" t="str">
        <f t="shared" si="2"/>
        <v/>
      </c>
      <c r="X11" s="353"/>
      <c r="Y11" s="289" t="str">
        <f t="shared" si="3"/>
        <v/>
      </c>
      <c r="Z11" s="1"/>
      <c r="AA11" s="641" t="str">
        <f t="shared" si="4"/>
        <v/>
      </c>
      <c r="AC11" s="268" t="s">
        <v>39</v>
      </c>
      <c r="AD11" s="268" t="s">
        <v>28</v>
      </c>
      <c r="AE11" s="268">
        <v>34</v>
      </c>
      <c r="AF11" s="268">
        <v>36</v>
      </c>
      <c r="AG11" s="268" t="str">
        <f>IF($A11&lt;&gt;"",INDEX(DiemHKII!$B$4:$K$58,MATCH($A11,DiemHKII!$B$4:$B$58,0),2),"")</f>
        <v>12A1Nguyễn Quách MaiAnh12/05/2004</v>
      </c>
      <c r="AH11" s="674" t="str">
        <f t="shared" si="7"/>
        <v/>
      </c>
      <c r="AI11" s="672" t="str">
        <f t="shared" ca="1" si="6"/>
        <v/>
      </c>
    </row>
    <row r="12" spans="1:35" s="268" customFormat="1" ht="29.1" customHeight="1" thickBot="1">
      <c r="A12" s="290">
        <f>IF(A11&lt;MAX(DiemHKII!$B$4:$B$58),A11+1,"")</f>
        <v>5</v>
      </c>
      <c r="B12" s="291" t="str">
        <f>IF($A12&lt;&gt;"",PROPER(INDEX(DiemHKII!$B$4:$K$58,MATCH($A12,DiemHKII!$B$4:$B$58,0),4)),"")</f>
        <v>Vũ Song</v>
      </c>
      <c r="C12" s="292" t="str">
        <f>IF($A12&lt;&gt;"",PROPER(INDEX(DiemHKII!$B$4:$K$58,MATCH($A12,DiemHKII!$B$4:$B$58,0),5)),"")</f>
        <v>Anh</v>
      </c>
      <c r="D12" s="293" t="str">
        <f>IF($A12&lt;&gt;"",IF(INDEX(DiemHKII!$B$4:$K$58,MATCH($A12,DiemHKII!$B$4:$B$58,0),8)&lt;&gt;"",INDEX(DiemHKII!$B$4:$K$58,MATCH($A12,DiemHKII!$B$4:$B$58,0),8),""),"")</f>
        <v/>
      </c>
      <c r="E12" s="293" t="str">
        <f>IF($A12&lt;&gt;"",IF(INDEX(DiemHKII!$B$4:$K$58,MATCH($A12,DiemHKII!$B$4:$B$58,0),9)&lt;&gt;"",INDEX(DiemHKII!$B$4:$K$58,MATCH($A12,DiemHKII!$B$4:$B$58,0),9),""),"")</f>
        <v/>
      </c>
      <c r="F12" s="293" t="str">
        <f>IF($A12&lt;&gt;"",IF(INDEX(DiemHKII!$B$4:$K$58,MATCH($A12,DiemHKII!$B$4:$B$58,0),10)&lt;&gt;"",INDEX(DiemHKII!$B$4:$K$58,MATCH($A12,DiemHKII!$B$4:$B$58,0),10),""),"")</f>
        <v/>
      </c>
      <c r="G12" s="294" t="str">
        <f>IF($A12&lt;&gt;"",IF(INDEX(BDHK2,MATCH($A12,DiemHKII!$B$4:$B$58,0),INDEX($AD$9:$AF$22,MATCH(G$7,$AD$9:$AD$22,0),2))&lt;&gt;"",INDEX(BDHK2,MATCH($A12,DiemHKII!$B$4:$B$58,0),INDEX($AD$9:$AF$22,MATCH(G$7,$AD$9:$AD$22,0),3)),""),"")</f>
        <v/>
      </c>
      <c r="H12" s="295" t="str">
        <f>IF($A12&lt;&gt;"",IF(INDEX(BDHK2,MATCH($A12,DiemHKII!$B$4:$B$58,0),INDEX($AD$9:$AF$22,MATCH(H$7,$AD$9:$AD$22,0),2))&lt;&gt;"",INDEX(BDHK2,MATCH($A12,DiemHKII!$B$4:$B$58,0),INDEX($AD$9:$AF$22,MATCH(H$7,$AD$9:$AD$22,0),3)),""),"")</f>
        <v/>
      </c>
      <c r="I12" s="295" t="str">
        <f>IF($A12&lt;&gt;"",IF(INDEX(BDHK2,MATCH($A12,DiemHKII!$B$4:$B$58,0),INDEX($AD$9:$AF$22,MATCH(I$7,$AD$9:$AD$22,0),2))&lt;&gt;"",INDEX(BDHK2,MATCH($A12,DiemHKII!$B$4:$B$58,0),INDEX($AD$9:$AF$22,MATCH(I$7,$AD$9:$AD$22,0),3)),""),"")</f>
        <v/>
      </c>
      <c r="J12" s="295" t="str">
        <f>IF($A12&lt;&gt;"",IF(INDEX(BDHK2,MATCH($A12,DiemHKII!$B$4:$B$58,0),INDEX($AD$9:$AF$22,MATCH(J$7,$AD$9:$AD$22,0),2))&lt;&gt;"",INDEX(BDHK2,MATCH($A12,DiemHKII!$B$4:$B$58,0),INDEX($AD$9:$AF$22,MATCH(J$7,$AD$9:$AD$22,0),3)),""),"")</f>
        <v/>
      </c>
      <c r="K12" s="295" t="str">
        <f>IF($A12&lt;&gt;"",IF(INDEX(BDHK2,MATCH($A12,DiemHKII!$B$4:$B$58,0),INDEX($AD$9:$AF$22,MATCH(K$7,$AD$9:$AD$22,0),2))&lt;&gt;"",INDEX(BDHK2,MATCH($A12,DiemHKII!$B$4:$B$58,0),INDEX($AD$9:$AF$22,MATCH(K$7,$AD$9:$AD$22,0),3)),""),"")</f>
        <v/>
      </c>
      <c r="L12" s="295" t="str">
        <f>IF($A12&lt;&gt;"",IF(INDEX(BDHK2,MATCH($A12,DiemHKII!$B$4:$B$58,0),INDEX($AD$9:$AF$22,MATCH(L$7,$AD$9:$AD$22,0),2))&lt;&gt;"",INDEX(BDHK2,MATCH($A12,DiemHKII!$B$4:$B$58,0),INDEX($AD$9:$AF$22,MATCH(L$7,$AD$9:$AD$22,0),3)),""),"")</f>
        <v/>
      </c>
      <c r="M12" s="295" t="str">
        <f>IF($A12&lt;&gt;"",IF(INDEX(BDHK2,MATCH($A12,DiemHKII!$B$4:$B$58,0),INDEX($AD$9:$AF$22,MATCH(M$7,$AD$9:$AD$22,0),2))&lt;&gt;"",INDEX(BDHK2,MATCH($A12,DiemHKII!$B$4:$B$58,0),INDEX($AD$9:$AF$22,MATCH(M$7,$AD$9:$AD$22,0),3)),""),"")</f>
        <v/>
      </c>
      <c r="N12" s="295" t="str">
        <f>IF($A12&lt;&gt;"",IF(INDEX(BDHK2,MATCH($A12,DiemHKII!$B$4:$B$58,0),INDEX($AD$9:$AF$22,MATCH(N$7,$AD$9:$AD$22,0),2))&lt;&gt;"",INDEX(BDHK2,MATCH($A12,DiemHKII!$B$4:$B$58,0),INDEX($AD$9:$AF$22,MATCH(N$7,$AD$9:$AD$22,0),3)),""),"")</f>
        <v/>
      </c>
      <c r="O12" s="295" t="str">
        <f>IF($A12&lt;&gt;"",IF(INDEX(BDHK2,MATCH($A12,DiemHKII!$B$4:$B$58,0),INDEX($AD$9:$AF$22,MATCH(O$7,$AD$9:$AD$22,0),2))&lt;&gt;"",INDEX(BDHK2,MATCH($A12,DiemHKII!$B$4:$B$58,0),INDEX($AD$9:$AF$22,MATCH(O$7,$AD$9:$AD$22,0),3)),""),"")</f>
        <v/>
      </c>
      <c r="P12" s="295" t="str">
        <f>IF($A12&lt;&gt;"",IF(INDEX(BDHK2,MATCH($A12,DiemHKII!$B$4:$B$58,0),INDEX($AD$9:$AF$22,MATCH(P$7,$AD$9:$AD$22,0),2))&lt;&gt;"",INDEX(BDHK2,MATCH($A12,DiemHKII!$B$4:$B$58,0),INDEX($AD$9:$AF$22,MATCH(P$7,$AD$9:$AD$22,0),3)),""),"")</f>
        <v/>
      </c>
      <c r="Q12" s="295" t="str">
        <f>IF($A12&lt;&gt;"",IF(INDEX(BDHK2,MATCH($A12,DiemHKII!$B$4:$B$58,0),INDEX($AD$9:$AF$22,MATCH(Q$7,$AD$9:$AD$22,0),2))&lt;&gt;"",INDEX(BDHK2,MATCH($A12,DiemHKII!$B$4:$B$58,0),INDEX($AD$9:$AF$22,MATCH(Q$7,$AD$9:$AD$22,0),3)),""),"")</f>
        <v/>
      </c>
      <c r="R12" s="296" t="str">
        <f>IF($A12&lt;&gt;"",IF(INDEX(BDHK2,MATCH($A12,DiemHKII!$B$4:$B$58,0),INDEX($AD$9:$AF$22,MATCH(R$7,$AD$9:$AD$22,0),2))&lt;&gt;"",INDEX(BDHK2,MATCH($A12,DiemHKII!$B$4:$B$58,0),INDEX($AD$9:$AF$22,MATCH(R$7,$AD$9:$AD$22,0),3)),""),"")</f>
        <v/>
      </c>
      <c r="S12" s="296" t="str">
        <f t="shared" si="0"/>
        <v/>
      </c>
      <c r="T12" s="295" t="str">
        <f>IF($A12&lt;&gt;"",IF(INDEX(BDHK2,MATCH($A12,DiemHKII!$B$4:$B$58,0),INDEX($AD$9:$AF$22,MATCH(T$7,$AD$9:$AD$22,0),2))&lt;&gt;"",INDEX(BDHK2,MATCH($A12,DiemHKII!$B$4:$B$58,0),INDEX($AD$9:$AF$22,MATCH(T$7,$AD$9:$AD$22,0),3)),""),"")</f>
        <v/>
      </c>
      <c r="U12" s="297" t="str">
        <f>IF($A12&lt;&gt;"",IF(INDEX(BDHK2,MATCH($A12,DiemHKII!$B$4:$B$58,0),INDEX($AD$9:$AF$22,MATCH(U$7,$AD$9:$AD$22,0),2))&lt;&gt;"",INDEX(BDHK2,MATCH($A12,DiemHKII!$B$4:$B$58,0),INDEX($AD$9:$AF$22,MATCH(U$7,$AD$9:$AD$22,0),3)),""),"")</f>
        <v/>
      </c>
      <c r="V12" s="298" t="str">
        <f t="shared" si="1"/>
        <v/>
      </c>
      <c r="W12" s="296" t="str">
        <f t="shared" si="2"/>
        <v/>
      </c>
      <c r="X12" s="354"/>
      <c r="Y12" s="299" t="str">
        <f t="shared" si="3"/>
        <v/>
      </c>
      <c r="Z12" s="1"/>
      <c r="AA12" s="641" t="str">
        <f t="shared" si="4"/>
        <v/>
      </c>
      <c r="AC12" s="268" t="s">
        <v>14</v>
      </c>
      <c r="AD12" s="268" t="s">
        <v>29</v>
      </c>
      <c r="AE12" s="268">
        <v>43</v>
      </c>
      <c r="AF12" s="268">
        <v>45</v>
      </c>
      <c r="AG12" s="268" t="str">
        <f>IF($A12&lt;&gt;"",INDEX(DiemHKII!$B$4:$K$58,MATCH($A12,DiemHKII!$B$4:$B$58,0),2),"")</f>
        <v>12A1Vũ SongAnh20/04/2004</v>
      </c>
      <c r="AH12" s="674" t="str">
        <f t="shared" si="7"/>
        <v/>
      </c>
      <c r="AI12" s="672" t="str">
        <f t="shared" ca="1" si="6"/>
        <v/>
      </c>
    </row>
    <row r="13" spans="1:35" s="268" customFormat="1" ht="29.1" customHeight="1">
      <c r="A13" s="274">
        <f>IF(A12&lt;MAX(DiemHKII!$B$4:$B$58),A12+1,"")</f>
        <v>6</v>
      </c>
      <c r="B13" s="275" t="str">
        <f>IF($A13&lt;&gt;"",PROPER(INDEX(DiemHKII!$B$4:$K$58,MATCH($A13,DiemHKII!$B$4:$B$58,0),4)),"")</f>
        <v>Phan Gia</v>
      </c>
      <c r="C13" s="276" t="str">
        <f>IF($A13&lt;&gt;"",PROPER(INDEX(DiemHKII!$B$4:$K$58,MATCH($A13,DiemHKII!$B$4:$B$58,0),5)),"")</f>
        <v>Bảo</v>
      </c>
      <c r="D13" s="277" t="str">
        <f>IF($A13&lt;&gt;"",IF(INDEX(DiemHKII!$B$4:$K$58,MATCH($A13,DiemHKII!$B$4:$B$58,0),8)&lt;&gt;"",INDEX(DiemHKII!$B$4:$K$58,MATCH($A13,DiemHKII!$B$4:$B$58,0),8),""),"")</f>
        <v/>
      </c>
      <c r="E13" s="277" t="str">
        <f>IF($A13&lt;&gt;"",IF(INDEX(DiemHKII!$B$4:$K$58,MATCH($A13,DiemHKII!$B$4:$B$58,0),9)&lt;&gt;"",INDEX(DiemHKII!$B$4:$K$58,MATCH($A13,DiemHKII!$B$4:$B$58,0),9),""),"")</f>
        <v/>
      </c>
      <c r="F13" s="277" t="str">
        <f>IF($A13&lt;&gt;"",IF(INDEX(DiemHKII!$B$4:$K$58,MATCH($A13,DiemHKII!$B$4:$B$58,0),10)&lt;&gt;"",INDEX(DiemHKII!$B$4:$K$58,MATCH($A13,DiemHKII!$B$4:$B$58,0),10),""),"")</f>
        <v/>
      </c>
      <c r="G13" s="443" t="str">
        <f>IF($A13&lt;&gt;"",IF(INDEX(BDHK2,MATCH($A13,DiemHKII!$B$4:$B$58,0),INDEX($AD$9:$AF$22,MATCH(G$7,$AD$9:$AD$22,0),2))&lt;&gt;"",INDEX(BDHK2,MATCH($A13,DiemHKII!$B$4:$B$58,0),INDEX($AD$9:$AF$22,MATCH(G$7,$AD$9:$AD$22,0),3)),""),"")</f>
        <v/>
      </c>
      <c r="H13" s="301" t="str">
        <f>IF($A13&lt;&gt;"",IF(INDEX(BDHK2,MATCH($A13,DiemHKII!$B$4:$B$58,0),INDEX($AD$9:$AF$22,MATCH(H$7,$AD$9:$AD$22,0),2))&lt;&gt;"",INDEX(BDHK2,MATCH($A13,DiemHKII!$B$4:$B$58,0),INDEX($AD$9:$AF$22,MATCH(H$7,$AD$9:$AD$22,0),3)),""),"")</f>
        <v/>
      </c>
      <c r="I13" s="301" t="str">
        <f>IF($A13&lt;&gt;"",IF(INDEX(BDHK2,MATCH($A13,DiemHKII!$B$4:$B$58,0),INDEX($AD$9:$AF$22,MATCH(I$7,$AD$9:$AD$22,0),2))&lt;&gt;"",INDEX(BDHK2,MATCH($A13,DiemHKII!$B$4:$B$58,0),INDEX($AD$9:$AF$22,MATCH(I$7,$AD$9:$AD$22,0),3)),""),"")</f>
        <v/>
      </c>
      <c r="J13" s="301" t="str">
        <f>IF($A13&lt;&gt;"",IF(INDEX(BDHK2,MATCH($A13,DiemHKII!$B$4:$B$58,0),INDEX($AD$9:$AF$22,MATCH(J$7,$AD$9:$AD$22,0),2))&lt;&gt;"",INDEX(BDHK2,MATCH($A13,DiemHKII!$B$4:$B$58,0),INDEX($AD$9:$AF$22,MATCH(J$7,$AD$9:$AD$22,0),3)),""),"")</f>
        <v/>
      </c>
      <c r="K13" s="301" t="str">
        <f>IF($A13&lt;&gt;"",IF(INDEX(BDHK2,MATCH($A13,DiemHKII!$B$4:$B$58,0),INDEX($AD$9:$AF$22,MATCH(K$7,$AD$9:$AD$22,0),2))&lt;&gt;"",INDEX(BDHK2,MATCH($A13,DiemHKII!$B$4:$B$58,0),INDEX($AD$9:$AF$22,MATCH(K$7,$AD$9:$AD$22,0),3)),""),"")</f>
        <v/>
      </c>
      <c r="L13" s="301" t="str">
        <f>IF($A13&lt;&gt;"",IF(INDEX(BDHK2,MATCH($A13,DiemHKII!$B$4:$B$58,0),INDEX($AD$9:$AF$22,MATCH(L$7,$AD$9:$AD$22,0),2))&lt;&gt;"",INDEX(BDHK2,MATCH($A13,DiemHKII!$B$4:$B$58,0),INDEX($AD$9:$AF$22,MATCH(L$7,$AD$9:$AD$22,0),3)),""),"")</f>
        <v/>
      </c>
      <c r="M13" s="301" t="str">
        <f>IF($A13&lt;&gt;"",IF(INDEX(BDHK2,MATCH($A13,DiemHKII!$B$4:$B$58,0),INDEX($AD$9:$AF$22,MATCH(M$7,$AD$9:$AD$22,0),2))&lt;&gt;"",INDEX(BDHK2,MATCH($A13,DiemHKII!$B$4:$B$58,0),INDEX($AD$9:$AF$22,MATCH(M$7,$AD$9:$AD$22,0),3)),""),"")</f>
        <v/>
      </c>
      <c r="N13" s="301" t="str">
        <f>IF($A13&lt;&gt;"",IF(INDEX(BDHK2,MATCH($A13,DiemHKII!$B$4:$B$58,0),INDEX($AD$9:$AF$22,MATCH(N$7,$AD$9:$AD$22,0),2))&lt;&gt;"",INDEX(BDHK2,MATCH($A13,DiemHKII!$B$4:$B$58,0),INDEX($AD$9:$AF$22,MATCH(N$7,$AD$9:$AD$22,0),3)),""),"")</f>
        <v/>
      </c>
      <c r="O13" s="301" t="str">
        <f>IF($A13&lt;&gt;"",IF(INDEX(BDHK2,MATCH($A13,DiemHKII!$B$4:$B$58,0),INDEX($AD$9:$AF$22,MATCH(O$7,$AD$9:$AD$22,0),2))&lt;&gt;"",INDEX(BDHK2,MATCH($A13,DiemHKII!$B$4:$B$58,0),INDEX($AD$9:$AF$22,MATCH(O$7,$AD$9:$AD$22,0),3)),""),"")</f>
        <v/>
      </c>
      <c r="P13" s="301" t="str">
        <f>IF($A13&lt;&gt;"",IF(INDEX(BDHK2,MATCH($A13,DiemHKII!$B$4:$B$58,0),INDEX($AD$9:$AF$22,MATCH(P$7,$AD$9:$AD$22,0),2))&lt;&gt;"",INDEX(BDHK2,MATCH($A13,DiemHKII!$B$4:$B$58,0),INDEX($AD$9:$AF$22,MATCH(P$7,$AD$9:$AD$22,0),3)),""),"")</f>
        <v/>
      </c>
      <c r="Q13" s="301" t="str">
        <f>IF($A13&lt;&gt;"",IF(INDEX(BDHK2,MATCH($A13,DiemHKII!$B$4:$B$58,0),INDEX($AD$9:$AF$22,MATCH(Q$7,$AD$9:$AD$22,0),2))&lt;&gt;"",INDEX(BDHK2,MATCH($A13,DiemHKII!$B$4:$B$58,0),INDEX($AD$9:$AF$22,MATCH(Q$7,$AD$9:$AD$22,0),3)),""),"")</f>
        <v/>
      </c>
      <c r="R13" s="279" t="str">
        <f>IF($A13&lt;&gt;"",IF(INDEX(BDHK2,MATCH($A13,DiemHKII!$B$4:$B$58,0),INDEX($AD$9:$AF$22,MATCH(R$7,$AD$9:$AD$22,0),2))&lt;&gt;"",INDEX(BDHK2,MATCH($A13,DiemHKII!$B$4:$B$58,0),INDEX($AD$9:$AF$22,MATCH(R$7,$AD$9:$AD$22,0),3)),""),"")</f>
        <v/>
      </c>
      <c r="S13" s="279" t="str">
        <f t="shared" si="0"/>
        <v/>
      </c>
      <c r="T13" s="301" t="str">
        <f>IF($A13&lt;&gt;"",IF(INDEX(BDHK2,MATCH($A13,DiemHKII!$B$4:$B$58,0),INDEX($AD$9:$AF$22,MATCH(T$7,$AD$9:$AD$22,0),2))&lt;&gt;"",INDEX(BDHK2,MATCH($A13,DiemHKII!$B$4:$B$58,0),INDEX($AD$9:$AF$22,MATCH(T$7,$AD$9:$AD$22,0),3)),""),"")</f>
        <v/>
      </c>
      <c r="U13" s="302" t="str">
        <f>IF($A13&lt;&gt;"",IF(INDEX(BDHK2,MATCH($A13,DiemHKII!$B$4:$B$58,0),INDEX($AD$9:$AF$22,MATCH(U$7,$AD$9:$AD$22,0),2))&lt;&gt;"",INDEX(BDHK2,MATCH($A13,DiemHKII!$B$4:$B$58,0),INDEX($AD$9:$AF$22,MATCH(U$7,$AD$9:$AD$22,0),3)),""),"")</f>
        <v/>
      </c>
      <c r="V13" s="278" t="str">
        <f t="shared" si="1"/>
        <v/>
      </c>
      <c r="W13" s="279" t="str">
        <f t="shared" si="2"/>
        <v/>
      </c>
      <c r="X13" s="352"/>
      <c r="Y13" s="280" t="str">
        <f t="shared" si="3"/>
        <v/>
      </c>
      <c r="Z13" s="1"/>
      <c r="AA13" s="641" t="str">
        <f t="shared" si="4"/>
        <v/>
      </c>
      <c r="AD13" s="268" t="s">
        <v>120</v>
      </c>
      <c r="AE13" s="268">
        <v>52</v>
      </c>
      <c r="AF13" s="268">
        <v>54</v>
      </c>
      <c r="AG13" s="268" t="str">
        <f>IF($A13&lt;&gt;"",INDEX(DiemHKII!$B$4:$K$58,MATCH($A13,DiemHKII!$B$4:$B$58,0),2),"")</f>
        <v>12A1Phan GiaBảo27/10/2004</v>
      </c>
      <c r="AH13" s="674" t="str">
        <f t="shared" si="7"/>
        <v/>
      </c>
      <c r="AI13" s="672" t="str">
        <f t="shared" ca="1" si="6"/>
        <v/>
      </c>
    </row>
    <row r="14" spans="1:35" s="268" customFormat="1" ht="29.1" customHeight="1">
      <c r="A14" s="281">
        <f>IF(A13&lt;MAX(DiemHKII!$B$4:$B$58),A13+1,"")</f>
        <v>7</v>
      </c>
      <c r="B14" s="282" t="str">
        <f>IF($A14&lt;&gt;"",PROPER(INDEX(DiemHKII!$B$4:$K$58,MATCH($A14,DiemHKII!$B$4:$B$58,0),4)),"")</f>
        <v>Nguyễn Phúc</v>
      </c>
      <c r="C14" s="283" t="str">
        <f>IF($A14&lt;&gt;"",PROPER(INDEX(DiemHKII!$B$4:$K$58,MATCH($A14,DiemHKII!$B$4:$B$58,0),5)),"")</f>
        <v>Bình</v>
      </c>
      <c r="D14" s="284" t="str">
        <f>IF($A14&lt;&gt;"",IF(INDEX(DiemHKII!$B$4:$K$58,MATCH($A14,DiemHKII!$B$4:$B$58,0),8)&lt;&gt;"",INDEX(DiemHKII!$B$4:$K$58,MATCH($A14,DiemHKII!$B$4:$B$58,0),8),""),"")</f>
        <v/>
      </c>
      <c r="E14" s="284" t="str">
        <f>IF($A14&lt;&gt;"",IF(INDEX(DiemHKII!$B$4:$K$58,MATCH($A14,DiemHKII!$B$4:$B$58,0),9)&lt;&gt;"",INDEX(DiemHKII!$B$4:$K$58,MATCH($A14,DiemHKII!$B$4:$B$58,0),9),""),"")</f>
        <v/>
      </c>
      <c r="F14" s="284" t="str">
        <f>IF($A14&lt;&gt;"",IF(INDEX(DiemHKII!$B$4:$K$58,MATCH($A14,DiemHKII!$B$4:$B$58,0),10)&lt;&gt;"",INDEX(DiemHKII!$B$4:$K$58,MATCH($A14,DiemHKII!$B$4:$B$58,0),10),""),"")</f>
        <v/>
      </c>
      <c r="G14" s="285" t="str">
        <f>IF($A14&lt;&gt;"",IF(INDEX(BDHK2,MATCH($A14,DiemHKII!$B$4:$B$58,0),INDEX($AD$9:$AF$22,MATCH(G$7,$AD$9:$AD$22,0),2))&lt;&gt;"",INDEX(BDHK2,MATCH($A14,DiemHKII!$B$4:$B$58,0),INDEX($AD$9:$AF$22,MATCH(G$7,$AD$9:$AD$22,0),3)),""),"")</f>
        <v/>
      </c>
      <c r="H14" s="286" t="str">
        <f>IF($A14&lt;&gt;"",IF(INDEX(BDHK2,MATCH($A14,DiemHKII!$B$4:$B$58,0),INDEX($AD$9:$AF$22,MATCH(H$7,$AD$9:$AD$22,0),2))&lt;&gt;"",INDEX(BDHK2,MATCH($A14,DiemHKII!$B$4:$B$58,0),INDEX($AD$9:$AF$22,MATCH(H$7,$AD$9:$AD$22,0),3)),""),"")</f>
        <v/>
      </c>
      <c r="I14" s="286" t="str">
        <f>IF($A14&lt;&gt;"",IF(INDEX(BDHK2,MATCH($A14,DiemHKII!$B$4:$B$58,0),INDEX($AD$9:$AF$22,MATCH(I$7,$AD$9:$AD$22,0),2))&lt;&gt;"",INDEX(BDHK2,MATCH($A14,DiemHKII!$B$4:$B$58,0),INDEX($AD$9:$AF$22,MATCH(I$7,$AD$9:$AD$22,0),3)),""),"")</f>
        <v/>
      </c>
      <c r="J14" s="286" t="str">
        <f>IF($A14&lt;&gt;"",IF(INDEX(BDHK2,MATCH($A14,DiemHKII!$B$4:$B$58,0),INDEX($AD$9:$AF$22,MATCH(J$7,$AD$9:$AD$22,0),2))&lt;&gt;"",INDEX(BDHK2,MATCH($A14,DiemHKII!$B$4:$B$58,0),INDEX($AD$9:$AF$22,MATCH(J$7,$AD$9:$AD$22,0),3)),""),"")</f>
        <v/>
      </c>
      <c r="K14" s="286" t="str">
        <f>IF($A14&lt;&gt;"",IF(INDEX(BDHK2,MATCH($A14,DiemHKII!$B$4:$B$58,0),INDEX($AD$9:$AF$22,MATCH(K$7,$AD$9:$AD$22,0),2))&lt;&gt;"",INDEX(BDHK2,MATCH($A14,DiemHKII!$B$4:$B$58,0),INDEX($AD$9:$AF$22,MATCH(K$7,$AD$9:$AD$22,0),3)),""),"")</f>
        <v/>
      </c>
      <c r="L14" s="286" t="str">
        <f>IF($A14&lt;&gt;"",IF(INDEX(BDHK2,MATCH($A14,DiemHKII!$B$4:$B$58,0),INDEX($AD$9:$AF$22,MATCH(L$7,$AD$9:$AD$22,0),2))&lt;&gt;"",INDEX(BDHK2,MATCH($A14,DiemHKII!$B$4:$B$58,0),INDEX($AD$9:$AF$22,MATCH(L$7,$AD$9:$AD$22,0),3)),""),"")</f>
        <v/>
      </c>
      <c r="M14" s="286" t="str">
        <f>IF($A14&lt;&gt;"",IF(INDEX(BDHK2,MATCH($A14,DiemHKII!$B$4:$B$58,0),INDEX($AD$9:$AF$22,MATCH(M$7,$AD$9:$AD$22,0),2))&lt;&gt;"",INDEX(BDHK2,MATCH($A14,DiemHKII!$B$4:$B$58,0),INDEX($AD$9:$AF$22,MATCH(M$7,$AD$9:$AD$22,0),3)),""),"")</f>
        <v/>
      </c>
      <c r="N14" s="286" t="str">
        <f>IF($A14&lt;&gt;"",IF(INDEX(BDHK2,MATCH($A14,DiemHKII!$B$4:$B$58,0),INDEX($AD$9:$AF$22,MATCH(N$7,$AD$9:$AD$22,0),2))&lt;&gt;"",INDEX(BDHK2,MATCH($A14,DiemHKII!$B$4:$B$58,0),INDEX($AD$9:$AF$22,MATCH(N$7,$AD$9:$AD$22,0),3)),""),"")</f>
        <v/>
      </c>
      <c r="O14" s="286" t="str">
        <f>IF($A14&lt;&gt;"",IF(INDEX(BDHK2,MATCH($A14,DiemHKII!$B$4:$B$58,0),INDEX($AD$9:$AF$22,MATCH(O$7,$AD$9:$AD$22,0),2))&lt;&gt;"",INDEX(BDHK2,MATCH($A14,DiemHKII!$B$4:$B$58,0),INDEX($AD$9:$AF$22,MATCH(O$7,$AD$9:$AD$22,0),3)),""),"")</f>
        <v/>
      </c>
      <c r="P14" s="286" t="str">
        <f>IF($A14&lt;&gt;"",IF(INDEX(BDHK2,MATCH($A14,DiemHKII!$B$4:$B$58,0),INDEX($AD$9:$AF$22,MATCH(P$7,$AD$9:$AD$22,0),2))&lt;&gt;"",INDEX(BDHK2,MATCH($A14,DiemHKII!$B$4:$B$58,0),INDEX($AD$9:$AF$22,MATCH(P$7,$AD$9:$AD$22,0),3)),""),"")</f>
        <v/>
      </c>
      <c r="Q14" s="286" t="str">
        <f>IF($A14&lt;&gt;"",IF(INDEX(BDHK2,MATCH($A14,DiemHKII!$B$4:$B$58,0),INDEX($AD$9:$AF$22,MATCH(Q$7,$AD$9:$AD$22,0),2))&lt;&gt;"",INDEX(BDHK2,MATCH($A14,DiemHKII!$B$4:$B$58,0),INDEX($AD$9:$AF$22,MATCH(Q$7,$AD$9:$AD$22,0),3)),""),"")</f>
        <v/>
      </c>
      <c r="R14" s="464" t="str">
        <f>IF($A14&lt;&gt;"",IF(INDEX(BDHK2,MATCH($A14,DiemHKII!$B$4:$B$58,0),INDEX($AD$9:$AF$22,MATCH(R$7,$AD$9:$AD$22,0),2))&lt;&gt;"",INDEX(BDHK2,MATCH($A14,DiemHKII!$B$4:$B$58,0),INDEX($AD$9:$AF$22,MATCH(R$7,$AD$9:$AD$22,0),3)),""),"")</f>
        <v/>
      </c>
      <c r="S14" s="464" t="str">
        <f t="shared" ref="S14:S62" si="8">IF(R14&lt;&gt;"",IF(R14="CĐ",3.4,8),"")</f>
        <v/>
      </c>
      <c r="T14" s="286" t="str">
        <f>IF($A14&lt;&gt;"",IF(INDEX(BDHK2,MATCH($A14,DiemHKII!$B$4:$B$58,0),INDEX($AD$9:$AF$22,MATCH(T$7,$AD$9:$AD$22,0),2))&lt;&gt;"",INDEX(BDHK2,MATCH($A14,DiemHKII!$B$4:$B$58,0),INDEX($AD$9:$AF$22,MATCH(T$7,$AD$9:$AD$22,0),3)),""),"")</f>
        <v/>
      </c>
      <c r="U14" s="287" t="str">
        <f>IF($A14&lt;&gt;"",IF(INDEX(BDHK2,MATCH($A14,DiemHKII!$B$4:$B$58,0),INDEX($AD$9:$AF$22,MATCH(U$7,$AD$9:$AD$22,0),2))&lt;&gt;"",INDEX(BDHK2,MATCH($A14,DiemHKII!$B$4:$B$58,0),INDEX($AD$9:$AF$22,MATCH(U$7,$AD$9:$AD$22,0),3)),""),"")</f>
        <v/>
      </c>
      <c r="V14" s="288" t="str">
        <f t="shared" ref="V14:V62" si="9">IF(COUNT(G14:Q14,T14)&gt;=11,ROUND(AVERAGE(G14:Q14,T14),1),"")</f>
        <v/>
      </c>
      <c r="W14" s="464" t="str">
        <f t="shared" ref="W14:W62" si="10">IF(V14="","",IF(AND(V14&gt;=8,MIN(G14:T14)&gt;6.4,OR(G14&gt;=8,L14&gt;=8,O14&gt;=8)),"Giỏi",IF(OR(AND(V14&gt;=8,MIN(G14:T14)&gt;3.4,OR(G14&gt;=8,L14&gt;=8,O14&gt;=8),COUNT(G14:T14)-COUNTIF(G14:T14,"&gt;6.4")=1,COUNTIF(G14:T14,"&lt;5")=1),AND(V14&gt;=6.5,MIN(G14:T14)&gt;4.9,OR(G14&gt;=6.5,L14&gt;=6.5,O14&gt;=6.5))),"Khá",IF(OR(AND(V14&gt;6.4,MIN(G14:T14)&gt;1.9,OR(G14&gt;6.4,L14&gt;6.4,O14&gt;6.4),COUNT(G14:T14)-COUNTIF(G14:T14,"&gt;=5")=1,COUNTIF(G14:T14,"&lt;3.5")=1),AND(V14&gt;=8,OR(G14&gt;=8,L14&gt;=8,O14&gt;=8),COUNT(G14:T14)-COUNTIF(G14:T14,"&gt;=6.5")=1,MIN(G14:T14)&gt;1.9,COUNTIF(G14:T14,"&lt;3.5")=1),AND(V14&gt;=5,MIN(G14:T14)&gt;3.4,OR(G14&gt;=5,L14&gt;=5,O14&gt;=5))),"Tb",IF(OR(AND(V14&gt;=8,OR(G14&gt;=8,L14&gt;=8,O14&gt;=8),COUNT(G14:T14)-COUNTIF(G14:T14,"&gt;=5")=2,MIN(G14:T14)&gt;=2),AND(V14&gt;6.4,OR(G14&gt;6.4,L14&gt;6.4,O14&gt;6.4),COUNT(G14:T14)-COUNTIF(G14:T14,"&gt;=5")=1,COUNTIF(G14:T14,"&lt;2")=1),AND(V14&gt;3.4,MIN(G14:T14)&gt;1.9)),"Yếu","Kém")))))</f>
        <v/>
      </c>
      <c r="X14" s="353"/>
      <c r="Y14" s="289" t="str">
        <f t="shared" ref="Y14:Y62" si="11">IF(A14="","",IF(AND(W14="Giỏi",X14="Tốt"),"HSG",IF(AND(W14="Giỏi",X14="Khá"),"HSTT",IF(AND(W14="Khá",OR(X14="Tốt",X14="Khá")),"HSTT",""))))</f>
        <v/>
      </c>
      <c r="Z14" s="1"/>
      <c r="AA14" s="641" t="str">
        <f t="shared" si="4"/>
        <v/>
      </c>
      <c r="AD14" s="268" t="s">
        <v>30</v>
      </c>
      <c r="AE14" s="268">
        <v>61</v>
      </c>
      <c r="AF14" s="268">
        <v>63</v>
      </c>
      <c r="AG14" s="268" t="str">
        <f>IF($A14&lt;&gt;"",INDEX(DiemHKII!$B$4:$K$58,MATCH($A14,DiemHKII!$B$4:$B$58,0),2),"")</f>
        <v>12A1Nguyễn PhúcBình20/06/2004</v>
      </c>
      <c r="AH14" s="674" t="str">
        <f t="shared" si="7"/>
        <v/>
      </c>
      <c r="AI14" s="672" t="str">
        <f t="shared" ca="1" si="6"/>
        <v/>
      </c>
    </row>
    <row r="15" spans="1:35" s="268" customFormat="1" ht="29.1" customHeight="1">
      <c r="A15" s="281">
        <f>IF(A14&lt;MAX(DiemHKII!$B$4:$B$58),A14+1,"")</f>
        <v>8</v>
      </c>
      <c r="B15" s="282" t="str">
        <f>IF($A15&lt;&gt;"",PROPER(INDEX(DiemHKII!$B$4:$K$58,MATCH($A15,DiemHKII!$B$4:$B$58,0),4)),"")</f>
        <v>Trần Lê</v>
      </c>
      <c r="C15" s="283" t="str">
        <f>IF($A15&lt;&gt;"",PROPER(INDEX(DiemHKII!$B$4:$K$58,MATCH($A15,DiemHKII!$B$4:$B$58,0),5)),"")</f>
        <v>Cường</v>
      </c>
      <c r="D15" s="284" t="str">
        <f>IF($A15&lt;&gt;"",IF(INDEX(DiemHKII!$B$4:$K$58,MATCH($A15,DiemHKII!$B$4:$B$58,0),8)&lt;&gt;"",INDEX(DiemHKII!$B$4:$K$58,MATCH($A15,DiemHKII!$B$4:$B$58,0),8),""),"")</f>
        <v/>
      </c>
      <c r="E15" s="284" t="str">
        <f>IF($A15&lt;&gt;"",IF(INDEX(DiemHKII!$B$4:$K$58,MATCH($A15,DiemHKII!$B$4:$B$58,0),9)&lt;&gt;"",INDEX(DiemHKII!$B$4:$K$58,MATCH($A15,DiemHKII!$B$4:$B$58,0),9),""),"")</f>
        <v/>
      </c>
      <c r="F15" s="284" t="str">
        <f>IF($A15&lt;&gt;"",IF(INDEX(DiemHKII!$B$4:$K$58,MATCH($A15,DiemHKII!$B$4:$B$58,0),10)&lt;&gt;"",INDEX(DiemHKII!$B$4:$K$58,MATCH($A15,DiemHKII!$B$4:$B$58,0),10),""),"")</f>
        <v/>
      </c>
      <c r="G15" s="285" t="str">
        <f>IF($A15&lt;&gt;"",IF(INDEX(BDHK2,MATCH($A15,DiemHKII!$B$4:$B$58,0),INDEX($AD$9:$AF$22,MATCH(G$7,$AD$9:$AD$22,0),2))&lt;&gt;"",INDEX(BDHK2,MATCH($A15,DiemHKII!$B$4:$B$58,0),INDEX($AD$9:$AF$22,MATCH(G$7,$AD$9:$AD$22,0),3)),""),"")</f>
        <v/>
      </c>
      <c r="H15" s="286" t="str">
        <f>IF($A15&lt;&gt;"",IF(INDEX(BDHK2,MATCH($A15,DiemHKII!$B$4:$B$58,0),INDEX($AD$9:$AF$22,MATCH(H$7,$AD$9:$AD$22,0),2))&lt;&gt;"",INDEX(BDHK2,MATCH($A15,DiemHKII!$B$4:$B$58,0),INDEX($AD$9:$AF$22,MATCH(H$7,$AD$9:$AD$22,0),3)),""),"")</f>
        <v/>
      </c>
      <c r="I15" s="286" t="str">
        <f>IF($A15&lt;&gt;"",IF(INDEX(BDHK2,MATCH($A15,DiemHKII!$B$4:$B$58,0),INDEX($AD$9:$AF$22,MATCH(I$7,$AD$9:$AD$22,0),2))&lt;&gt;"",INDEX(BDHK2,MATCH($A15,DiemHKII!$B$4:$B$58,0),INDEX($AD$9:$AF$22,MATCH(I$7,$AD$9:$AD$22,0),3)),""),"")</f>
        <v/>
      </c>
      <c r="J15" s="286" t="str">
        <f>IF($A15&lt;&gt;"",IF(INDEX(BDHK2,MATCH($A15,DiemHKII!$B$4:$B$58,0),INDEX($AD$9:$AF$22,MATCH(J$7,$AD$9:$AD$22,0),2))&lt;&gt;"",INDEX(BDHK2,MATCH($A15,DiemHKII!$B$4:$B$58,0),INDEX($AD$9:$AF$22,MATCH(J$7,$AD$9:$AD$22,0),3)),""),"")</f>
        <v/>
      </c>
      <c r="K15" s="286" t="str">
        <f>IF($A15&lt;&gt;"",IF(INDEX(BDHK2,MATCH($A15,DiemHKII!$B$4:$B$58,0),INDEX($AD$9:$AF$22,MATCH(K$7,$AD$9:$AD$22,0),2))&lt;&gt;"",INDEX(BDHK2,MATCH($A15,DiemHKII!$B$4:$B$58,0),INDEX($AD$9:$AF$22,MATCH(K$7,$AD$9:$AD$22,0),3)),""),"")</f>
        <v/>
      </c>
      <c r="L15" s="286" t="str">
        <f>IF($A15&lt;&gt;"",IF(INDEX(BDHK2,MATCH($A15,DiemHKII!$B$4:$B$58,0),INDEX($AD$9:$AF$22,MATCH(L$7,$AD$9:$AD$22,0),2))&lt;&gt;"",INDEX(BDHK2,MATCH($A15,DiemHKII!$B$4:$B$58,0),INDEX($AD$9:$AF$22,MATCH(L$7,$AD$9:$AD$22,0),3)),""),"")</f>
        <v/>
      </c>
      <c r="M15" s="286" t="str">
        <f>IF($A15&lt;&gt;"",IF(INDEX(BDHK2,MATCH($A15,DiemHKII!$B$4:$B$58,0),INDEX($AD$9:$AF$22,MATCH(M$7,$AD$9:$AD$22,0),2))&lt;&gt;"",INDEX(BDHK2,MATCH($A15,DiemHKII!$B$4:$B$58,0),INDEX($AD$9:$AF$22,MATCH(M$7,$AD$9:$AD$22,0),3)),""),"")</f>
        <v/>
      </c>
      <c r="N15" s="286" t="str">
        <f>IF($A15&lt;&gt;"",IF(INDEX(BDHK2,MATCH($A15,DiemHKII!$B$4:$B$58,0),INDEX($AD$9:$AF$22,MATCH(N$7,$AD$9:$AD$22,0),2))&lt;&gt;"",INDEX(BDHK2,MATCH($A15,DiemHKII!$B$4:$B$58,0),INDEX($AD$9:$AF$22,MATCH(N$7,$AD$9:$AD$22,0),3)),""),"")</f>
        <v/>
      </c>
      <c r="O15" s="286" t="str">
        <f>IF($A15&lt;&gt;"",IF(INDEX(BDHK2,MATCH($A15,DiemHKII!$B$4:$B$58,0),INDEX($AD$9:$AF$22,MATCH(O$7,$AD$9:$AD$22,0),2))&lt;&gt;"",INDEX(BDHK2,MATCH($A15,DiemHKII!$B$4:$B$58,0),INDEX($AD$9:$AF$22,MATCH(O$7,$AD$9:$AD$22,0),3)),""),"")</f>
        <v/>
      </c>
      <c r="P15" s="286" t="str">
        <f>IF($A15&lt;&gt;"",IF(INDEX(BDHK2,MATCH($A15,DiemHKII!$B$4:$B$58,0),INDEX($AD$9:$AF$22,MATCH(P$7,$AD$9:$AD$22,0),2))&lt;&gt;"",INDEX(BDHK2,MATCH($A15,DiemHKII!$B$4:$B$58,0),INDEX($AD$9:$AF$22,MATCH(P$7,$AD$9:$AD$22,0),3)),""),"")</f>
        <v/>
      </c>
      <c r="Q15" s="286" t="str">
        <f>IF($A15&lt;&gt;"",IF(INDEX(BDHK2,MATCH($A15,DiemHKII!$B$4:$B$58,0),INDEX($AD$9:$AF$22,MATCH(Q$7,$AD$9:$AD$22,0),2))&lt;&gt;"",INDEX(BDHK2,MATCH($A15,DiemHKII!$B$4:$B$58,0),INDEX($AD$9:$AF$22,MATCH(Q$7,$AD$9:$AD$22,0),3)),""),"")</f>
        <v/>
      </c>
      <c r="R15" s="464" t="str">
        <f>IF($A15&lt;&gt;"",IF(INDEX(BDHK2,MATCH($A15,DiemHKII!$B$4:$B$58,0),INDEX($AD$9:$AF$22,MATCH(R$7,$AD$9:$AD$22,0),2))&lt;&gt;"",INDEX(BDHK2,MATCH($A15,DiemHKII!$B$4:$B$58,0),INDEX($AD$9:$AF$22,MATCH(R$7,$AD$9:$AD$22,0),3)),""),"")</f>
        <v/>
      </c>
      <c r="S15" s="464" t="str">
        <f t="shared" si="8"/>
        <v/>
      </c>
      <c r="T15" s="286" t="str">
        <f>IF($A15&lt;&gt;"",IF(INDEX(BDHK2,MATCH($A15,DiemHKII!$B$4:$B$58,0),INDEX($AD$9:$AF$22,MATCH(T$7,$AD$9:$AD$22,0),2))&lt;&gt;"",INDEX(BDHK2,MATCH($A15,DiemHKII!$B$4:$B$58,0),INDEX($AD$9:$AF$22,MATCH(T$7,$AD$9:$AD$22,0),3)),""),"")</f>
        <v/>
      </c>
      <c r="U15" s="287" t="str">
        <f>IF($A15&lt;&gt;"",IF(INDEX(BDHK2,MATCH($A15,DiemHKII!$B$4:$B$58,0),INDEX($AD$9:$AF$22,MATCH(U$7,$AD$9:$AD$22,0),2))&lt;&gt;"",INDEX(BDHK2,MATCH($A15,DiemHKII!$B$4:$B$58,0),INDEX($AD$9:$AF$22,MATCH(U$7,$AD$9:$AD$22,0),3)),""),"")</f>
        <v/>
      </c>
      <c r="V15" s="288" t="str">
        <f t="shared" si="9"/>
        <v/>
      </c>
      <c r="W15" s="464" t="str">
        <f t="shared" si="10"/>
        <v/>
      </c>
      <c r="X15" s="353"/>
      <c r="Y15" s="289" t="str">
        <f t="shared" si="11"/>
        <v/>
      </c>
      <c r="AA15" s="641" t="str">
        <f t="shared" si="4"/>
        <v/>
      </c>
      <c r="AD15" s="268" t="s">
        <v>31</v>
      </c>
      <c r="AE15" s="268">
        <v>70</v>
      </c>
      <c r="AF15" s="268">
        <v>72</v>
      </c>
      <c r="AG15" s="268" t="str">
        <f>IF($A15&lt;&gt;"",INDEX(DiemHKII!$B$4:$K$58,MATCH($A15,DiemHKII!$B$4:$B$58,0),2),"")</f>
        <v>12A1Trần LêCường08/04/2004</v>
      </c>
      <c r="AH15" s="674" t="str">
        <f t="shared" si="7"/>
        <v/>
      </c>
      <c r="AI15" s="672" t="str">
        <f t="shared" ca="1" si="6"/>
        <v/>
      </c>
    </row>
    <row r="16" spans="1:35" s="268" customFormat="1" ht="29.1" customHeight="1">
      <c r="A16" s="281">
        <f>IF(A15&lt;MAX(DiemHKII!$B$4:$B$58),A15+1,"")</f>
        <v>9</v>
      </c>
      <c r="B16" s="282" t="str">
        <f>IF($A16&lt;&gt;"",PROPER(INDEX(DiemHKII!$B$4:$K$58,MATCH($A16,DiemHKII!$B$4:$B$58,0),4)),"")</f>
        <v>Nguyễn Thanh</v>
      </c>
      <c r="C16" s="283" t="str">
        <f>IF($A16&lt;&gt;"",PROPER(INDEX(DiemHKII!$B$4:$K$58,MATCH($A16,DiemHKII!$B$4:$B$58,0),5)),"")</f>
        <v>Duyên</v>
      </c>
      <c r="D16" s="284" t="str">
        <f>IF($A16&lt;&gt;"",IF(INDEX(DiemHKII!$B$4:$K$58,MATCH($A16,DiemHKII!$B$4:$B$58,0),8)&lt;&gt;"",INDEX(DiemHKII!$B$4:$K$58,MATCH($A16,DiemHKII!$B$4:$B$58,0),8),""),"")</f>
        <v/>
      </c>
      <c r="E16" s="284" t="str">
        <f>IF($A16&lt;&gt;"",IF(INDEX(DiemHKII!$B$4:$K$58,MATCH($A16,DiemHKII!$B$4:$B$58,0),9)&lt;&gt;"",INDEX(DiemHKII!$B$4:$K$58,MATCH($A16,DiemHKII!$B$4:$B$58,0),9),""),"")</f>
        <v/>
      </c>
      <c r="F16" s="284" t="str">
        <f>IF($A16&lt;&gt;"",IF(INDEX(DiemHKII!$B$4:$K$58,MATCH($A16,DiemHKII!$B$4:$B$58,0),10)&lt;&gt;"",INDEX(DiemHKII!$B$4:$K$58,MATCH($A16,DiemHKII!$B$4:$B$58,0),10),""),"")</f>
        <v/>
      </c>
      <c r="G16" s="285" t="str">
        <f>IF($A16&lt;&gt;"",IF(INDEX(BDHK2,MATCH($A16,DiemHKII!$B$4:$B$58,0),INDEX($AD$9:$AF$22,MATCH(G$7,$AD$9:$AD$22,0),2))&lt;&gt;"",INDEX(BDHK2,MATCH($A16,DiemHKII!$B$4:$B$58,0),INDEX($AD$9:$AF$22,MATCH(G$7,$AD$9:$AD$22,0),3)),""),"")</f>
        <v/>
      </c>
      <c r="H16" s="286" t="str">
        <f>IF($A16&lt;&gt;"",IF(INDEX(BDHK2,MATCH($A16,DiemHKII!$B$4:$B$58,0),INDEX($AD$9:$AF$22,MATCH(H$7,$AD$9:$AD$22,0),2))&lt;&gt;"",INDEX(BDHK2,MATCH($A16,DiemHKII!$B$4:$B$58,0),INDEX($AD$9:$AF$22,MATCH(H$7,$AD$9:$AD$22,0),3)),""),"")</f>
        <v/>
      </c>
      <c r="I16" s="286" t="str">
        <f>IF($A16&lt;&gt;"",IF(INDEX(BDHK2,MATCH($A16,DiemHKII!$B$4:$B$58,0),INDEX($AD$9:$AF$22,MATCH(I$7,$AD$9:$AD$22,0),2))&lt;&gt;"",INDEX(BDHK2,MATCH($A16,DiemHKII!$B$4:$B$58,0),INDEX($AD$9:$AF$22,MATCH(I$7,$AD$9:$AD$22,0),3)),""),"")</f>
        <v/>
      </c>
      <c r="J16" s="286" t="str">
        <f>IF($A16&lt;&gt;"",IF(INDEX(BDHK2,MATCH($A16,DiemHKII!$B$4:$B$58,0),INDEX($AD$9:$AF$22,MATCH(J$7,$AD$9:$AD$22,0),2))&lt;&gt;"",INDEX(BDHK2,MATCH($A16,DiemHKII!$B$4:$B$58,0),INDEX($AD$9:$AF$22,MATCH(J$7,$AD$9:$AD$22,0),3)),""),"")</f>
        <v/>
      </c>
      <c r="K16" s="286" t="str">
        <f>IF($A16&lt;&gt;"",IF(INDEX(BDHK2,MATCH($A16,DiemHKII!$B$4:$B$58,0),INDEX($AD$9:$AF$22,MATCH(K$7,$AD$9:$AD$22,0),2))&lt;&gt;"",INDEX(BDHK2,MATCH($A16,DiemHKII!$B$4:$B$58,0),INDEX($AD$9:$AF$22,MATCH(K$7,$AD$9:$AD$22,0),3)),""),"")</f>
        <v/>
      </c>
      <c r="L16" s="286" t="str">
        <f>IF($A16&lt;&gt;"",IF(INDEX(BDHK2,MATCH($A16,DiemHKII!$B$4:$B$58,0),INDEX($AD$9:$AF$22,MATCH(L$7,$AD$9:$AD$22,0),2))&lt;&gt;"",INDEX(BDHK2,MATCH($A16,DiemHKII!$B$4:$B$58,0),INDEX($AD$9:$AF$22,MATCH(L$7,$AD$9:$AD$22,0),3)),""),"")</f>
        <v/>
      </c>
      <c r="M16" s="286" t="str">
        <f>IF($A16&lt;&gt;"",IF(INDEX(BDHK2,MATCH($A16,DiemHKII!$B$4:$B$58,0),INDEX($AD$9:$AF$22,MATCH(M$7,$AD$9:$AD$22,0),2))&lt;&gt;"",INDEX(BDHK2,MATCH($A16,DiemHKII!$B$4:$B$58,0),INDEX($AD$9:$AF$22,MATCH(M$7,$AD$9:$AD$22,0),3)),""),"")</f>
        <v/>
      </c>
      <c r="N16" s="286" t="str">
        <f>IF($A16&lt;&gt;"",IF(INDEX(BDHK2,MATCH($A16,DiemHKII!$B$4:$B$58,0),INDEX($AD$9:$AF$22,MATCH(N$7,$AD$9:$AD$22,0),2))&lt;&gt;"",INDEX(BDHK2,MATCH($A16,DiemHKII!$B$4:$B$58,0),INDEX($AD$9:$AF$22,MATCH(N$7,$AD$9:$AD$22,0),3)),""),"")</f>
        <v/>
      </c>
      <c r="O16" s="286" t="str">
        <f>IF($A16&lt;&gt;"",IF(INDEX(BDHK2,MATCH($A16,DiemHKII!$B$4:$B$58,0),INDEX($AD$9:$AF$22,MATCH(O$7,$AD$9:$AD$22,0),2))&lt;&gt;"",INDEX(BDHK2,MATCH($A16,DiemHKII!$B$4:$B$58,0),INDEX($AD$9:$AF$22,MATCH(O$7,$AD$9:$AD$22,0),3)),""),"")</f>
        <v/>
      </c>
      <c r="P16" s="286" t="str">
        <f>IF($A16&lt;&gt;"",IF(INDEX(BDHK2,MATCH($A16,DiemHKII!$B$4:$B$58,0),INDEX($AD$9:$AF$22,MATCH(P$7,$AD$9:$AD$22,0),2))&lt;&gt;"",INDEX(BDHK2,MATCH($A16,DiemHKII!$B$4:$B$58,0),INDEX($AD$9:$AF$22,MATCH(P$7,$AD$9:$AD$22,0),3)),""),"")</f>
        <v/>
      </c>
      <c r="Q16" s="286" t="str">
        <f>IF($A16&lt;&gt;"",IF(INDEX(BDHK2,MATCH($A16,DiemHKII!$B$4:$B$58,0),INDEX($AD$9:$AF$22,MATCH(Q$7,$AD$9:$AD$22,0),2))&lt;&gt;"",INDEX(BDHK2,MATCH($A16,DiemHKII!$B$4:$B$58,0),INDEX($AD$9:$AF$22,MATCH(Q$7,$AD$9:$AD$22,0),3)),""),"")</f>
        <v/>
      </c>
      <c r="R16" s="464" t="str">
        <f>IF($A16&lt;&gt;"",IF(INDEX(BDHK2,MATCH($A16,DiemHKII!$B$4:$B$58,0),INDEX($AD$9:$AF$22,MATCH(R$7,$AD$9:$AD$22,0),2))&lt;&gt;"",INDEX(BDHK2,MATCH($A16,DiemHKII!$B$4:$B$58,0),INDEX($AD$9:$AF$22,MATCH(R$7,$AD$9:$AD$22,0),3)),""),"")</f>
        <v/>
      </c>
      <c r="S16" s="464" t="str">
        <f t="shared" si="8"/>
        <v/>
      </c>
      <c r="T16" s="286" t="str">
        <f>IF($A16&lt;&gt;"",IF(INDEX(BDHK2,MATCH($A16,DiemHKII!$B$4:$B$58,0),INDEX($AD$9:$AF$22,MATCH(T$7,$AD$9:$AD$22,0),2))&lt;&gt;"",INDEX(BDHK2,MATCH($A16,DiemHKII!$B$4:$B$58,0),INDEX($AD$9:$AF$22,MATCH(T$7,$AD$9:$AD$22,0),3)),""),"")</f>
        <v/>
      </c>
      <c r="U16" s="287" t="str">
        <f>IF($A16&lt;&gt;"",IF(INDEX(BDHK2,MATCH($A16,DiemHKII!$B$4:$B$58,0),INDEX($AD$9:$AF$22,MATCH(U$7,$AD$9:$AD$22,0),2))&lt;&gt;"",INDEX(BDHK2,MATCH($A16,DiemHKII!$B$4:$B$58,0),INDEX($AD$9:$AF$22,MATCH(U$7,$AD$9:$AD$22,0),3)),""),"")</f>
        <v/>
      </c>
      <c r="V16" s="288" t="str">
        <f t="shared" si="9"/>
        <v/>
      </c>
      <c r="W16" s="464" t="str">
        <f t="shared" si="10"/>
        <v/>
      </c>
      <c r="X16" s="353"/>
      <c r="Y16" s="289" t="str">
        <f t="shared" si="11"/>
        <v/>
      </c>
      <c r="AA16" s="641" t="str">
        <f t="shared" si="4"/>
        <v/>
      </c>
      <c r="AD16" s="268" t="s">
        <v>32</v>
      </c>
      <c r="AE16" s="268">
        <v>79</v>
      </c>
      <c r="AF16" s="268">
        <v>81</v>
      </c>
      <c r="AG16" s="268" t="str">
        <f>IF($A16&lt;&gt;"",INDEX(DiemHKII!$B$4:$K$58,MATCH($A16,DiemHKII!$B$4:$B$58,0),2),"")</f>
        <v>12A1Nguyễn ThanhDuyên16/11/2004</v>
      </c>
      <c r="AH16" s="674" t="str">
        <f t="shared" si="7"/>
        <v/>
      </c>
      <c r="AI16" s="672" t="str">
        <f t="shared" ca="1" si="6"/>
        <v/>
      </c>
    </row>
    <row r="17" spans="1:35" s="268" customFormat="1" ht="29.1" customHeight="1" thickBot="1">
      <c r="A17" s="290">
        <f>IF(A16&lt;MAX(DiemHKII!$B$4:$B$58),A16+1,"")</f>
        <v>10</v>
      </c>
      <c r="B17" s="291" t="str">
        <f>IF($A17&lt;&gt;"",PROPER(INDEX(DiemHKII!$B$4:$K$58,MATCH($A17,DiemHKII!$B$4:$B$58,0),4)),"")</f>
        <v>Trương Đắc</v>
      </c>
      <c r="C17" s="292" t="str">
        <f>IF($A17&lt;&gt;"",PROPER(INDEX(DiemHKII!$B$4:$K$58,MATCH($A17,DiemHKII!$B$4:$B$58,0),5)),"")</f>
        <v>Điền</v>
      </c>
      <c r="D17" s="293" t="str">
        <f>IF($A17&lt;&gt;"",IF(INDEX(DiemHKII!$B$4:$K$58,MATCH($A17,DiemHKII!$B$4:$B$58,0),8)&lt;&gt;"",INDEX(DiemHKII!$B$4:$K$58,MATCH($A17,DiemHKII!$B$4:$B$58,0),8),""),"")</f>
        <v/>
      </c>
      <c r="E17" s="293" t="str">
        <f>IF($A17&lt;&gt;"",IF(INDEX(DiemHKII!$B$4:$K$58,MATCH($A17,DiemHKII!$B$4:$B$58,0),9)&lt;&gt;"",INDEX(DiemHKII!$B$4:$K$58,MATCH($A17,DiemHKII!$B$4:$B$58,0),9),""),"")</f>
        <v/>
      </c>
      <c r="F17" s="293" t="str">
        <f>IF($A17&lt;&gt;"",IF(INDEX(DiemHKII!$B$4:$K$58,MATCH($A17,DiemHKII!$B$4:$B$58,0),10)&lt;&gt;"",INDEX(DiemHKII!$B$4:$K$58,MATCH($A17,DiemHKII!$B$4:$B$58,0),10),""),"")</f>
        <v/>
      </c>
      <c r="G17" s="294" t="str">
        <f>IF($A17&lt;&gt;"",IF(INDEX(BDHK2,MATCH($A17,DiemHKII!$B$4:$B$58,0),INDEX($AD$9:$AF$22,MATCH(G$7,$AD$9:$AD$22,0),2))&lt;&gt;"",INDEX(BDHK2,MATCH($A17,DiemHKII!$B$4:$B$58,0),INDEX($AD$9:$AF$22,MATCH(G$7,$AD$9:$AD$22,0),3)),""),"")</f>
        <v/>
      </c>
      <c r="H17" s="295" t="str">
        <f>IF($A17&lt;&gt;"",IF(INDEX(BDHK2,MATCH($A17,DiemHKII!$B$4:$B$58,0),INDEX($AD$9:$AF$22,MATCH(H$7,$AD$9:$AD$22,0),2))&lt;&gt;"",INDEX(BDHK2,MATCH($A17,DiemHKII!$B$4:$B$58,0),INDEX($AD$9:$AF$22,MATCH(H$7,$AD$9:$AD$22,0),3)),""),"")</f>
        <v/>
      </c>
      <c r="I17" s="295" t="str">
        <f>IF($A17&lt;&gt;"",IF(INDEX(BDHK2,MATCH($A17,DiemHKII!$B$4:$B$58,0),INDEX($AD$9:$AF$22,MATCH(I$7,$AD$9:$AD$22,0),2))&lt;&gt;"",INDEX(BDHK2,MATCH($A17,DiemHKII!$B$4:$B$58,0),INDEX($AD$9:$AF$22,MATCH(I$7,$AD$9:$AD$22,0),3)),""),"")</f>
        <v/>
      </c>
      <c r="J17" s="295" t="str">
        <f>IF($A17&lt;&gt;"",IF(INDEX(BDHK2,MATCH($A17,DiemHKII!$B$4:$B$58,0),INDEX($AD$9:$AF$22,MATCH(J$7,$AD$9:$AD$22,0),2))&lt;&gt;"",INDEX(BDHK2,MATCH($A17,DiemHKII!$B$4:$B$58,0),INDEX($AD$9:$AF$22,MATCH(J$7,$AD$9:$AD$22,0),3)),""),"")</f>
        <v/>
      </c>
      <c r="K17" s="295" t="str">
        <f>IF($A17&lt;&gt;"",IF(INDEX(BDHK2,MATCH($A17,DiemHKII!$B$4:$B$58,0),INDEX($AD$9:$AF$22,MATCH(K$7,$AD$9:$AD$22,0),2))&lt;&gt;"",INDEX(BDHK2,MATCH($A17,DiemHKII!$B$4:$B$58,0),INDEX($AD$9:$AF$22,MATCH(K$7,$AD$9:$AD$22,0),3)),""),"")</f>
        <v/>
      </c>
      <c r="L17" s="295" t="str">
        <f>IF($A17&lt;&gt;"",IF(INDEX(BDHK2,MATCH($A17,DiemHKII!$B$4:$B$58,0),INDEX($AD$9:$AF$22,MATCH(L$7,$AD$9:$AD$22,0),2))&lt;&gt;"",INDEX(BDHK2,MATCH($A17,DiemHKII!$B$4:$B$58,0),INDEX($AD$9:$AF$22,MATCH(L$7,$AD$9:$AD$22,0),3)),""),"")</f>
        <v/>
      </c>
      <c r="M17" s="295" t="str">
        <f>IF($A17&lt;&gt;"",IF(INDEX(BDHK2,MATCH($A17,DiemHKII!$B$4:$B$58,0),INDEX($AD$9:$AF$22,MATCH(M$7,$AD$9:$AD$22,0),2))&lt;&gt;"",INDEX(BDHK2,MATCH($A17,DiemHKII!$B$4:$B$58,0),INDEX($AD$9:$AF$22,MATCH(M$7,$AD$9:$AD$22,0),3)),""),"")</f>
        <v/>
      </c>
      <c r="N17" s="295" t="str">
        <f>IF($A17&lt;&gt;"",IF(INDEX(BDHK2,MATCH($A17,DiemHKII!$B$4:$B$58,0),INDEX($AD$9:$AF$22,MATCH(N$7,$AD$9:$AD$22,0),2))&lt;&gt;"",INDEX(BDHK2,MATCH($A17,DiemHKII!$B$4:$B$58,0),INDEX($AD$9:$AF$22,MATCH(N$7,$AD$9:$AD$22,0),3)),""),"")</f>
        <v/>
      </c>
      <c r="O17" s="295" t="str">
        <f>IF($A17&lt;&gt;"",IF(INDEX(BDHK2,MATCH($A17,DiemHKII!$B$4:$B$58,0),INDEX($AD$9:$AF$22,MATCH(O$7,$AD$9:$AD$22,0),2))&lt;&gt;"",INDEX(BDHK2,MATCH($A17,DiemHKII!$B$4:$B$58,0),INDEX($AD$9:$AF$22,MATCH(O$7,$AD$9:$AD$22,0),3)),""),"")</f>
        <v/>
      </c>
      <c r="P17" s="295" t="str">
        <f>IF($A17&lt;&gt;"",IF(INDEX(BDHK2,MATCH($A17,DiemHKII!$B$4:$B$58,0),INDEX($AD$9:$AF$22,MATCH(P$7,$AD$9:$AD$22,0),2))&lt;&gt;"",INDEX(BDHK2,MATCH($A17,DiemHKII!$B$4:$B$58,0),INDEX($AD$9:$AF$22,MATCH(P$7,$AD$9:$AD$22,0),3)),""),"")</f>
        <v/>
      </c>
      <c r="Q17" s="295" t="str">
        <f>IF($A17&lt;&gt;"",IF(INDEX(BDHK2,MATCH($A17,DiemHKII!$B$4:$B$58,0),INDEX($AD$9:$AF$22,MATCH(Q$7,$AD$9:$AD$22,0),2))&lt;&gt;"",INDEX(BDHK2,MATCH($A17,DiemHKII!$B$4:$B$58,0),INDEX($AD$9:$AF$22,MATCH(Q$7,$AD$9:$AD$22,0),3)),""),"")</f>
        <v/>
      </c>
      <c r="R17" s="296" t="str">
        <f>IF($A17&lt;&gt;"",IF(INDEX(BDHK2,MATCH($A17,DiemHKII!$B$4:$B$58,0),INDEX($AD$9:$AF$22,MATCH(R$7,$AD$9:$AD$22,0),2))&lt;&gt;"",INDEX(BDHK2,MATCH($A17,DiemHKII!$B$4:$B$58,0),INDEX($AD$9:$AF$22,MATCH(R$7,$AD$9:$AD$22,0),3)),""),"")</f>
        <v/>
      </c>
      <c r="S17" s="296" t="str">
        <f t="shared" si="8"/>
        <v/>
      </c>
      <c r="T17" s="295" t="str">
        <f>IF($A17&lt;&gt;"",IF(INDEX(BDHK2,MATCH($A17,DiemHKII!$B$4:$B$58,0),INDEX($AD$9:$AF$22,MATCH(T$7,$AD$9:$AD$22,0),2))&lt;&gt;"",INDEX(BDHK2,MATCH($A17,DiemHKII!$B$4:$B$58,0),INDEX($AD$9:$AF$22,MATCH(T$7,$AD$9:$AD$22,0),3)),""),"")</f>
        <v/>
      </c>
      <c r="U17" s="297" t="str">
        <f>IF($A17&lt;&gt;"",IF(INDEX(BDHK2,MATCH($A17,DiemHKII!$B$4:$B$58,0),INDEX($AD$9:$AF$22,MATCH(U$7,$AD$9:$AD$22,0),2))&lt;&gt;"",INDEX(BDHK2,MATCH($A17,DiemHKII!$B$4:$B$58,0),INDEX($AD$9:$AF$22,MATCH(U$7,$AD$9:$AD$22,0),3)),""),"")</f>
        <v/>
      </c>
      <c r="V17" s="298" t="str">
        <f t="shared" si="9"/>
        <v/>
      </c>
      <c r="W17" s="296" t="str">
        <f t="shared" si="10"/>
        <v/>
      </c>
      <c r="X17" s="354"/>
      <c r="Y17" s="299" t="str">
        <f t="shared" si="11"/>
        <v/>
      </c>
      <c r="AA17" s="641" t="str">
        <f t="shared" si="4"/>
        <v/>
      </c>
      <c r="AD17" s="268" t="s">
        <v>33</v>
      </c>
      <c r="AE17" s="268">
        <v>88</v>
      </c>
      <c r="AF17" s="268">
        <v>90</v>
      </c>
      <c r="AG17" s="268" t="str">
        <f>IF($A17&lt;&gt;"",INDEX(DiemHKII!$B$4:$K$58,MATCH($A17,DiemHKII!$B$4:$B$58,0),2),"")</f>
        <v>12A1Trương ĐắcĐiền08/05/2004</v>
      </c>
      <c r="AH17" s="674" t="str">
        <f t="shared" si="7"/>
        <v/>
      </c>
      <c r="AI17" s="672" t="str">
        <f t="shared" ca="1" si="6"/>
        <v/>
      </c>
    </row>
    <row r="18" spans="1:35" s="268" customFormat="1" ht="29.1" customHeight="1">
      <c r="A18" s="274">
        <f>IF(A17&lt;MAX(DiemHKII!$B$4:$B$58),A17+1,"")</f>
        <v>11</v>
      </c>
      <c r="B18" s="275" t="str">
        <f>IF($A18&lt;&gt;"",PROPER(INDEX(DiemHKII!$B$4:$K$58,MATCH($A18,DiemHKII!$B$4:$B$58,0),4)),"")</f>
        <v>Hồ Ngọc</v>
      </c>
      <c r="C18" s="276" t="str">
        <f>IF($A18&lt;&gt;"",PROPER(INDEX(DiemHKII!$B$4:$K$58,MATCH($A18,DiemHKII!$B$4:$B$58,0),5)),"")</f>
        <v>Hải</v>
      </c>
      <c r="D18" s="277" t="str">
        <f>IF($A18&lt;&gt;"",IF(INDEX(DiemHKII!$B$4:$K$58,MATCH($A18,DiemHKII!$B$4:$B$58,0),8)&lt;&gt;"",INDEX(DiemHKII!$B$4:$K$58,MATCH($A18,DiemHKII!$B$4:$B$58,0),8),""),"")</f>
        <v/>
      </c>
      <c r="E18" s="277" t="str">
        <f>IF($A18&lt;&gt;"",IF(INDEX(DiemHKII!$B$4:$K$58,MATCH($A18,DiemHKII!$B$4:$B$58,0),9)&lt;&gt;"",INDEX(DiemHKII!$B$4:$K$58,MATCH($A18,DiemHKII!$B$4:$B$58,0),9),""),"")</f>
        <v/>
      </c>
      <c r="F18" s="277" t="str">
        <f>IF($A18&lt;&gt;"",IF(INDEX(DiemHKII!$B$4:$K$58,MATCH($A18,DiemHKII!$B$4:$B$58,0),10)&lt;&gt;"",INDEX(DiemHKII!$B$4:$K$58,MATCH($A18,DiemHKII!$B$4:$B$58,0),10),""),"")</f>
        <v/>
      </c>
      <c r="G18" s="443" t="str">
        <f>IF($A18&lt;&gt;"",IF(INDEX(BDHK2,MATCH($A18,DiemHKII!$B$4:$B$58,0),INDEX($AD$9:$AF$22,MATCH(G$7,$AD$9:$AD$22,0),2))&lt;&gt;"",INDEX(BDHK2,MATCH($A18,DiemHKII!$B$4:$B$58,0),INDEX($AD$9:$AF$22,MATCH(G$7,$AD$9:$AD$22,0),3)),""),"")</f>
        <v/>
      </c>
      <c r="H18" s="301" t="str">
        <f>IF($A18&lt;&gt;"",IF(INDEX(BDHK2,MATCH($A18,DiemHKII!$B$4:$B$58,0),INDEX($AD$9:$AF$22,MATCH(H$7,$AD$9:$AD$22,0),2))&lt;&gt;"",INDEX(BDHK2,MATCH($A18,DiemHKII!$B$4:$B$58,0),INDEX($AD$9:$AF$22,MATCH(H$7,$AD$9:$AD$22,0),3)),""),"")</f>
        <v/>
      </c>
      <c r="I18" s="301" t="str">
        <f>IF($A18&lt;&gt;"",IF(INDEX(BDHK2,MATCH($A18,DiemHKII!$B$4:$B$58,0),INDEX($AD$9:$AF$22,MATCH(I$7,$AD$9:$AD$22,0),2))&lt;&gt;"",INDEX(BDHK2,MATCH($A18,DiemHKII!$B$4:$B$58,0),INDEX($AD$9:$AF$22,MATCH(I$7,$AD$9:$AD$22,0),3)),""),"")</f>
        <v/>
      </c>
      <c r="J18" s="301" t="str">
        <f>IF($A18&lt;&gt;"",IF(INDEX(BDHK2,MATCH($A18,DiemHKII!$B$4:$B$58,0),INDEX($AD$9:$AF$22,MATCH(J$7,$AD$9:$AD$22,0),2))&lt;&gt;"",INDEX(BDHK2,MATCH($A18,DiemHKII!$B$4:$B$58,0),INDEX($AD$9:$AF$22,MATCH(J$7,$AD$9:$AD$22,0),3)),""),"")</f>
        <v/>
      </c>
      <c r="K18" s="301" t="str">
        <f>IF($A18&lt;&gt;"",IF(INDEX(BDHK2,MATCH($A18,DiemHKII!$B$4:$B$58,0),INDEX($AD$9:$AF$22,MATCH(K$7,$AD$9:$AD$22,0),2))&lt;&gt;"",INDEX(BDHK2,MATCH($A18,DiemHKII!$B$4:$B$58,0),INDEX($AD$9:$AF$22,MATCH(K$7,$AD$9:$AD$22,0),3)),""),"")</f>
        <v/>
      </c>
      <c r="L18" s="301" t="str">
        <f>IF($A18&lt;&gt;"",IF(INDEX(BDHK2,MATCH($A18,DiemHKII!$B$4:$B$58,0),INDEX($AD$9:$AF$22,MATCH(L$7,$AD$9:$AD$22,0),2))&lt;&gt;"",INDEX(BDHK2,MATCH($A18,DiemHKII!$B$4:$B$58,0),INDEX($AD$9:$AF$22,MATCH(L$7,$AD$9:$AD$22,0),3)),""),"")</f>
        <v/>
      </c>
      <c r="M18" s="301" t="str">
        <f>IF($A18&lt;&gt;"",IF(INDEX(BDHK2,MATCH($A18,DiemHKII!$B$4:$B$58,0),INDEX($AD$9:$AF$22,MATCH(M$7,$AD$9:$AD$22,0),2))&lt;&gt;"",INDEX(BDHK2,MATCH($A18,DiemHKII!$B$4:$B$58,0),INDEX($AD$9:$AF$22,MATCH(M$7,$AD$9:$AD$22,0),3)),""),"")</f>
        <v/>
      </c>
      <c r="N18" s="301" t="str">
        <f>IF($A18&lt;&gt;"",IF(INDEX(BDHK2,MATCH($A18,DiemHKII!$B$4:$B$58,0),INDEX($AD$9:$AF$22,MATCH(N$7,$AD$9:$AD$22,0),2))&lt;&gt;"",INDEX(BDHK2,MATCH($A18,DiemHKII!$B$4:$B$58,0),INDEX($AD$9:$AF$22,MATCH(N$7,$AD$9:$AD$22,0),3)),""),"")</f>
        <v/>
      </c>
      <c r="O18" s="301" t="str">
        <f>IF($A18&lt;&gt;"",IF(INDEX(BDHK2,MATCH($A18,DiemHKII!$B$4:$B$58,0),INDEX($AD$9:$AF$22,MATCH(O$7,$AD$9:$AD$22,0),2))&lt;&gt;"",INDEX(BDHK2,MATCH($A18,DiemHKII!$B$4:$B$58,0),INDEX($AD$9:$AF$22,MATCH(O$7,$AD$9:$AD$22,0),3)),""),"")</f>
        <v/>
      </c>
      <c r="P18" s="301" t="str">
        <f>IF($A18&lt;&gt;"",IF(INDEX(BDHK2,MATCH($A18,DiemHKII!$B$4:$B$58,0),INDEX($AD$9:$AF$22,MATCH(P$7,$AD$9:$AD$22,0),2))&lt;&gt;"",INDEX(BDHK2,MATCH($A18,DiemHKII!$B$4:$B$58,0),INDEX($AD$9:$AF$22,MATCH(P$7,$AD$9:$AD$22,0),3)),""),"")</f>
        <v/>
      </c>
      <c r="Q18" s="301" t="str">
        <f>IF($A18&lt;&gt;"",IF(INDEX(BDHK2,MATCH($A18,DiemHKII!$B$4:$B$58,0),INDEX($AD$9:$AF$22,MATCH(Q$7,$AD$9:$AD$22,0),2))&lt;&gt;"",INDEX(BDHK2,MATCH($A18,DiemHKII!$B$4:$B$58,0),INDEX($AD$9:$AF$22,MATCH(Q$7,$AD$9:$AD$22,0),3)),""),"")</f>
        <v/>
      </c>
      <c r="R18" s="279" t="str">
        <f>IF($A18&lt;&gt;"",IF(INDEX(BDHK2,MATCH($A18,DiemHKII!$B$4:$B$58,0),INDEX($AD$9:$AF$22,MATCH(R$7,$AD$9:$AD$22,0),2))&lt;&gt;"",INDEX(BDHK2,MATCH($A18,DiemHKII!$B$4:$B$58,0),INDEX($AD$9:$AF$22,MATCH(R$7,$AD$9:$AD$22,0),3)),""),"")</f>
        <v/>
      </c>
      <c r="S18" s="279" t="str">
        <f t="shared" si="8"/>
        <v/>
      </c>
      <c r="T18" s="301" t="str">
        <f>IF($A18&lt;&gt;"",IF(INDEX(BDHK2,MATCH($A18,DiemHKII!$B$4:$B$58,0),INDEX($AD$9:$AF$22,MATCH(T$7,$AD$9:$AD$22,0),2))&lt;&gt;"",INDEX(BDHK2,MATCH($A18,DiemHKII!$B$4:$B$58,0),INDEX($AD$9:$AF$22,MATCH(T$7,$AD$9:$AD$22,0),3)),""),"")</f>
        <v/>
      </c>
      <c r="U18" s="302" t="str">
        <f>IF($A18&lt;&gt;"",IF(INDEX(BDHK2,MATCH($A18,DiemHKII!$B$4:$B$58,0),INDEX($AD$9:$AF$22,MATCH(U$7,$AD$9:$AD$22,0),2))&lt;&gt;"",INDEX(BDHK2,MATCH($A18,DiemHKII!$B$4:$B$58,0),INDEX($AD$9:$AF$22,MATCH(U$7,$AD$9:$AD$22,0),3)),""),"")</f>
        <v/>
      </c>
      <c r="V18" s="278" t="str">
        <f t="shared" si="9"/>
        <v/>
      </c>
      <c r="W18" s="279" t="str">
        <f t="shared" si="10"/>
        <v/>
      </c>
      <c r="X18" s="352"/>
      <c r="Y18" s="280" t="str">
        <f t="shared" si="11"/>
        <v/>
      </c>
      <c r="AA18" s="641" t="str">
        <f t="shared" si="4"/>
        <v/>
      </c>
      <c r="AD18" s="268" t="s">
        <v>60</v>
      </c>
      <c r="AE18" s="268">
        <v>97</v>
      </c>
      <c r="AF18" s="268">
        <v>99</v>
      </c>
      <c r="AG18" s="268" t="str">
        <f>IF($A18&lt;&gt;"",INDEX(DiemHKII!$B$4:$K$58,MATCH($A18,DiemHKII!$B$4:$B$58,0),2),"")</f>
        <v>12A1Hồ NgọcHải25/10/2004</v>
      </c>
      <c r="AH18" s="674" t="str">
        <f t="shared" si="7"/>
        <v/>
      </c>
      <c r="AI18" s="672" t="str">
        <f t="shared" ca="1" si="6"/>
        <v/>
      </c>
    </row>
    <row r="19" spans="1:35" s="268" customFormat="1" ht="29.1" customHeight="1">
      <c r="A19" s="281">
        <f>IF(A18&lt;MAX(DiemHKII!$B$4:$B$58),A18+1,"")</f>
        <v>12</v>
      </c>
      <c r="B19" s="282" t="str">
        <f>IF($A19&lt;&gt;"",PROPER(INDEX(DiemHKII!$B$4:$K$58,MATCH($A19,DiemHKII!$B$4:$B$58,0),4)),"")</f>
        <v>Hồ Sơn</v>
      </c>
      <c r="C19" s="283" t="str">
        <f>IF($A19&lt;&gt;"",PROPER(INDEX(DiemHKII!$B$4:$K$58,MATCH($A19,DiemHKII!$B$4:$B$58,0),5)),"")</f>
        <v>Hậu</v>
      </c>
      <c r="D19" s="284" t="str">
        <f>IF($A19&lt;&gt;"",IF(INDEX(DiemHKII!$B$4:$K$58,MATCH($A19,DiemHKII!$B$4:$B$58,0),8)&lt;&gt;"",INDEX(DiemHKII!$B$4:$K$58,MATCH($A19,DiemHKII!$B$4:$B$58,0),8),""),"")</f>
        <v/>
      </c>
      <c r="E19" s="284" t="str">
        <f>IF($A19&lt;&gt;"",IF(INDEX(DiemHKII!$B$4:$K$58,MATCH($A19,DiemHKII!$B$4:$B$58,0),9)&lt;&gt;"",INDEX(DiemHKII!$B$4:$K$58,MATCH($A19,DiemHKII!$B$4:$B$58,0),9),""),"")</f>
        <v/>
      </c>
      <c r="F19" s="284" t="str">
        <f>IF($A19&lt;&gt;"",IF(INDEX(DiemHKII!$B$4:$K$58,MATCH($A19,DiemHKII!$B$4:$B$58,0),10)&lt;&gt;"",INDEX(DiemHKII!$B$4:$K$58,MATCH($A19,DiemHKII!$B$4:$B$58,0),10),""),"")</f>
        <v/>
      </c>
      <c r="G19" s="285" t="str">
        <f>IF($A19&lt;&gt;"",IF(INDEX(BDHK2,MATCH($A19,DiemHKII!$B$4:$B$58,0),INDEX($AD$9:$AF$22,MATCH(G$7,$AD$9:$AD$22,0),2))&lt;&gt;"",INDEX(BDHK2,MATCH($A19,DiemHKII!$B$4:$B$58,0),INDEX($AD$9:$AF$22,MATCH(G$7,$AD$9:$AD$22,0),3)),""),"")</f>
        <v/>
      </c>
      <c r="H19" s="286" t="str">
        <f>IF($A19&lt;&gt;"",IF(INDEX(BDHK2,MATCH($A19,DiemHKII!$B$4:$B$58,0),INDEX($AD$9:$AF$22,MATCH(H$7,$AD$9:$AD$22,0),2))&lt;&gt;"",INDEX(BDHK2,MATCH($A19,DiemHKII!$B$4:$B$58,0),INDEX($AD$9:$AF$22,MATCH(H$7,$AD$9:$AD$22,0),3)),""),"")</f>
        <v/>
      </c>
      <c r="I19" s="286" t="str">
        <f>IF($A19&lt;&gt;"",IF(INDEX(BDHK2,MATCH($A19,DiemHKII!$B$4:$B$58,0),INDEX($AD$9:$AF$22,MATCH(I$7,$AD$9:$AD$22,0),2))&lt;&gt;"",INDEX(BDHK2,MATCH($A19,DiemHKII!$B$4:$B$58,0),INDEX($AD$9:$AF$22,MATCH(I$7,$AD$9:$AD$22,0),3)),""),"")</f>
        <v/>
      </c>
      <c r="J19" s="286" t="str">
        <f>IF($A19&lt;&gt;"",IF(INDEX(BDHK2,MATCH($A19,DiemHKII!$B$4:$B$58,0),INDEX($AD$9:$AF$22,MATCH(J$7,$AD$9:$AD$22,0),2))&lt;&gt;"",INDEX(BDHK2,MATCH($A19,DiemHKII!$B$4:$B$58,0),INDEX($AD$9:$AF$22,MATCH(J$7,$AD$9:$AD$22,0),3)),""),"")</f>
        <v/>
      </c>
      <c r="K19" s="286" t="str">
        <f>IF($A19&lt;&gt;"",IF(INDEX(BDHK2,MATCH($A19,DiemHKII!$B$4:$B$58,0),INDEX($AD$9:$AF$22,MATCH(K$7,$AD$9:$AD$22,0),2))&lt;&gt;"",INDEX(BDHK2,MATCH($A19,DiemHKII!$B$4:$B$58,0),INDEX($AD$9:$AF$22,MATCH(K$7,$AD$9:$AD$22,0),3)),""),"")</f>
        <v/>
      </c>
      <c r="L19" s="286" t="str">
        <f>IF($A19&lt;&gt;"",IF(INDEX(BDHK2,MATCH($A19,DiemHKII!$B$4:$B$58,0),INDEX($AD$9:$AF$22,MATCH(L$7,$AD$9:$AD$22,0),2))&lt;&gt;"",INDEX(BDHK2,MATCH($A19,DiemHKII!$B$4:$B$58,0),INDEX($AD$9:$AF$22,MATCH(L$7,$AD$9:$AD$22,0),3)),""),"")</f>
        <v/>
      </c>
      <c r="M19" s="286" t="str">
        <f>IF($A19&lt;&gt;"",IF(INDEX(BDHK2,MATCH($A19,DiemHKII!$B$4:$B$58,0),INDEX($AD$9:$AF$22,MATCH(M$7,$AD$9:$AD$22,0),2))&lt;&gt;"",INDEX(BDHK2,MATCH($A19,DiemHKII!$B$4:$B$58,0),INDEX($AD$9:$AF$22,MATCH(M$7,$AD$9:$AD$22,0),3)),""),"")</f>
        <v/>
      </c>
      <c r="N19" s="286" t="str">
        <f>IF($A19&lt;&gt;"",IF(INDEX(BDHK2,MATCH($A19,DiemHKII!$B$4:$B$58,0),INDEX($AD$9:$AF$22,MATCH(N$7,$AD$9:$AD$22,0),2))&lt;&gt;"",INDEX(BDHK2,MATCH($A19,DiemHKII!$B$4:$B$58,0),INDEX($AD$9:$AF$22,MATCH(N$7,$AD$9:$AD$22,0),3)),""),"")</f>
        <v/>
      </c>
      <c r="O19" s="286" t="str">
        <f>IF($A19&lt;&gt;"",IF(INDEX(BDHK2,MATCH($A19,DiemHKII!$B$4:$B$58,0),INDEX($AD$9:$AF$22,MATCH(O$7,$AD$9:$AD$22,0),2))&lt;&gt;"",INDEX(BDHK2,MATCH($A19,DiemHKII!$B$4:$B$58,0),INDEX($AD$9:$AF$22,MATCH(O$7,$AD$9:$AD$22,0),3)),""),"")</f>
        <v/>
      </c>
      <c r="P19" s="286" t="str">
        <f>IF($A19&lt;&gt;"",IF(INDEX(BDHK2,MATCH($A19,DiemHKII!$B$4:$B$58,0),INDEX($AD$9:$AF$22,MATCH(P$7,$AD$9:$AD$22,0),2))&lt;&gt;"",INDEX(BDHK2,MATCH($A19,DiemHKII!$B$4:$B$58,0),INDEX($AD$9:$AF$22,MATCH(P$7,$AD$9:$AD$22,0),3)),""),"")</f>
        <v/>
      </c>
      <c r="Q19" s="286" t="str">
        <f>IF($A19&lt;&gt;"",IF(INDEX(BDHK2,MATCH($A19,DiemHKII!$B$4:$B$58,0),INDEX($AD$9:$AF$22,MATCH(Q$7,$AD$9:$AD$22,0),2))&lt;&gt;"",INDEX(BDHK2,MATCH($A19,DiemHKII!$B$4:$B$58,0),INDEX($AD$9:$AF$22,MATCH(Q$7,$AD$9:$AD$22,0),3)),""),"")</f>
        <v/>
      </c>
      <c r="R19" s="464" t="str">
        <f>IF($A19&lt;&gt;"",IF(INDEX(BDHK2,MATCH($A19,DiemHKII!$B$4:$B$58,0),INDEX($AD$9:$AF$22,MATCH(R$7,$AD$9:$AD$22,0),2))&lt;&gt;"",INDEX(BDHK2,MATCH($A19,DiemHKII!$B$4:$B$58,0),INDEX($AD$9:$AF$22,MATCH(R$7,$AD$9:$AD$22,0),3)),""),"")</f>
        <v/>
      </c>
      <c r="S19" s="464" t="str">
        <f t="shared" si="8"/>
        <v/>
      </c>
      <c r="T19" s="286" t="str">
        <f>IF($A19&lt;&gt;"",IF(INDEX(BDHK2,MATCH($A19,DiemHKII!$B$4:$B$58,0),INDEX($AD$9:$AF$22,MATCH(T$7,$AD$9:$AD$22,0),2))&lt;&gt;"",INDEX(BDHK2,MATCH($A19,DiemHKII!$B$4:$B$58,0),INDEX($AD$9:$AF$22,MATCH(T$7,$AD$9:$AD$22,0),3)),""),"")</f>
        <v/>
      </c>
      <c r="U19" s="287" t="str">
        <f>IF($A19&lt;&gt;"",IF(INDEX(BDHK2,MATCH($A19,DiemHKII!$B$4:$B$58,0),INDEX($AD$9:$AF$22,MATCH(U$7,$AD$9:$AD$22,0),2))&lt;&gt;"",INDEX(BDHK2,MATCH($A19,DiemHKII!$B$4:$B$58,0),INDEX($AD$9:$AF$22,MATCH(U$7,$AD$9:$AD$22,0),3)),""),"")</f>
        <v/>
      </c>
      <c r="V19" s="288" t="str">
        <f t="shared" si="9"/>
        <v/>
      </c>
      <c r="W19" s="464" t="str">
        <f t="shared" si="10"/>
        <v/>
      </c>
      <c r="X19" s="353"/>
      <c r="Y19" s="289" t="str">
        <f t="shared" si="11"/>
        <v/>
      </c>
      <c r="AA19" s="641" t="str">
        <f t="shared" si="4"/>
        <v/>
      </c>
      <c r="AD19" s="268" t="s">
        <v>34</v>
      </c>
      <c r="AE19" s="268">
        <v>106</v>
      </c>
      <c r="AF19" s="268">
        <v>108</v>
      </c>
      <c r="AG19" s="268" t="str">
        <f>IF($A19&lt;&gt;"",INDEX(DiemHKII!$B$4:$K$58,MATCH($A19,DiemHKII!$B$4:$B$58,0),2),"")</f>
        <v>12A1Hồ SơnHậu08/01/2004</v>
      </c>
      <c r="AH19" s="674" t="str">
        <f t="shared" si="7"/>
        <v/>
      </c>
      <c r="AI19" s="672" t="str">
        <f t="shared" ca="1" si="6"/>
        <v/>
      </c>
    </row>
    <row r="20" spans="1:35" s="268" customFormat="1" ht="29.1" customHeight="1">
      <c r="A20" s="281">
        <f>IF(A19&lt;MAX(DiemHKII!$B$4:$B$58),A19+1,"")</f>
        <v>13</v>
      </c>
      <c r="B20" s="282" t="str">
        <f>IF($A20&lt;&gt;"",PROPER(INDEX(DiemHKII!$B$4:$K$58,MATCH($A20,DiemHKII!$B$4:$B$58,0),4)),"")</f>
        <v xml:space="preserve">Nguyễn Thị Thu </v>
      </c>
      <c r="C20" s="283" t="str">
        <f>IF($A20&lt;&gt;"",PROPER(INDEX(DiemHKII!$B$4:$K$58,MATCH($A20,DiemHKII!$B$4:$B$58,0),5)),"")</f>
        <v>Hiền</v>
      </c>
      <c r="D20" s="284" t="str">
        <f>IF($A20&lt;&gt;"",IF(INDEX(DiemHKII!$B$4:$K$58,MATCH($A20,DiemHKII!$B$4:$B$58,0),8)&lt;&gt;"",INDEX(DiemHKII!$B$4:$K$58,MATCH($A20,DiemHKII!$B$4:$B$58,0),8),""),"")</f>
        <v/>
      </c>
      <c r="E20" s="284" t="str">
        <f>IF($A20&lt;&gt;"",IF(INDEX(DiemHKII!$B$4:$K$58,MATCH($A20,DiemHKII!$B$4:$B$58,0),9)&lt;&gt;"",INDEX(DiemHKII!$B$4:$K$58,MATCH($A20,DiemHKII!$B$4:$B$58,0),9),""),"")</f>
        <v/>
      </c>
      <c r="F20" s="284" t="str">
        <f>IF($A20&lt;&gt;"",IF(INDEX(DiemHKII!$B$4:$K$58,MATCH($A20,DiemHKII!$B$4:$B$58,0),10)&lt;&gt;"",INDEX(DiemHKII!$B$4:$K$58,MATCH($A20,DiemHKII!$B$4:$B$58,0),10),""),"")</f>
        <v/>
      </c>
      <c r="G20" s="285" t="str">
        <f>IF($A20&lt;&gt;"",IF(INDEX(BDHK2,MATCH($A20,DiemHKII!$B$4:$B$58,0),INDEX($AD$9:$AF$22,MATCH(G$7,$AD$9:$AD$22,0),2))&lt;&gt;"",INDEX(BDHK2,MATCH($A20,DiemHKII!$B$4:$B$58,0),INDEX($AD$9:$AF$22,MATCH(G$7,$AD$9:$AD$22,0),3)),""),"")</f>
        <v/>
      </c>
      <c r="H20" s="286" t="str">
        <f>IF($A20&lt;&gt;"",IF(INDEX(BDHK2,MATCH($A20,DiemHKII!$B$4:$B$58,0),INDEX($AD$9:$AF$22,MATCH(H$7,$AD$9:$AD$22,0),2))&lt;&gt;"",INDEX(BDHK2,MATCH($A20,DiemHKII!$B$4:$B$58,0),INDEX($AD$9:$AF$22,MATCH(H$7,$AD$9:$AD$22,0),3)),""),"")</f>
        <v/>
      </c>
      <c r="I20" s="286" t="str">
        <f>IF($A20&lt;&gt;"",IF(INDEX(BDHK2,MATCH($A20,DiemHKII!$B$4:$B$58,0),INDEX($AD$9:$AF$22,MATCH(I$7,$AD$9:$AD$22,0),2))&lt;&gt;"",INDEX(BDHK2,MATCH($A20,DiemHKII!$B$4:$B$58,0),INDEX($AD$9:$AF$22,MATCH(I$7,$AD$9:$AD$22,0),3)),""),"")</f>
        <v/>
      </c>
      <c r="J20" s="286" t="str">
        <f>IF($A20&lt;&gt;"",IF(INDEX(BDHK2,MATCH($A20,DiemHKII!$B$4:$B$58,0),INDEX($AD$9:$AF$22,MATCH(J$7,$AD$9:$AD$22,0),2))&lt;&gt;"",INDEX(BDHK2,MATCH($A20,DiemHKII!$B$4:$B$58,0),INDEX($AD$9:$AF$22,MATCH(J$7,$AD$9:$AD$22,0),3)),""),"")</f>
        <v/>
      </c>
      <c r="K20" s="286" t="str">
        <f>IF($A20&lt;&gt;"",IF(INDEX(BDHK2,MATCH($A20,DiemHKII!$B$4:$B$58,0),INDEX($AD$9:$AF$22,MATCH(K$7,$AD$9:$AD$22,0),2))&lt;&gt;"",INDEX(BDHK2,MATCH($A20,DiemHKII!$B$4:$B$58,0),INDEX($AD$9:$AF$22,MATCH(K$7,$AD$9:$AD$22,0),3)),""),"")</f>
        <v/>
      </c>
      <c r="L20" s="286" t="str">
        <f>IF($A20&lt;&gt;"",IF(INDEX(BDHK2,MATCH($A20,DiemHKII!$B$4:$B$58,0),INDEX($AD$9:$AF$22,MATCH(L$7,$AD$9:$AD$22,0),2))&lt;&gt;"",INDEX(BDHK2,MATCH($A20,DiemHKII!$B$4:$B$58,0),INDEX($AD$9:$AF$22,MATCH(L$7,$AD$9:$AD$22,0),3)),""),"")</f>
        <v/>
      </c>
      <c r="M20" s="286" t="str">
        <f>IF($A20&lt;&gt;"",IF(INDEX(BDHK2,MATCH($A20,DiemHKII!$B$4:$B$58,0),INDEX($AD$9:$AF$22,MATCH(M$7,$AD$9:$AD$22,0),2))&lt;&gt;"",INDEX(BDHK2,MATCH($A20,DiemHKII!$B$4:$B$58,0),INDEX($AD$9:$AF$22,MATCH(M$7,$AD$9:$AD$22,0),3)),""),"")</f>
        <v/>
      </c>
      <c r="N20" s="286" t="str">
        <f>IF($A20&lt;&gt;"",IF(INDEX(BDHK2,MATCH($A20,DiemHKII!$B$4:$B$58,0),INDEX($AD$9:$AF$22,MATCH(N$7,$AD$9:$AD$22,0),2))&lt;&gt;"",INDEX(BDHK2,MATCH($A20,DiemHKII!$B$4:$B$58,0),INDEX($AD$9:$AF$22,MATCH(N$7,$AD$9:$AD$22,0),3)),""),"")</f>
        <v/>
      </c>
      <c r="O20" s="286" t="str">
        <f>IF($A20&lt;&gt;"",IF(INDEX(BDHK2,MATCH($A20,DiemHKII!$B$4:$B$58,0),INDEX($AD$9:$AF$22,MATCH(O$7,$AD$9:$AD$22,0),2))&lt;&gt;"",INDEX(BDHK2,MATCH($A20,DiemHKII!$B$4:$B$58,0),INDEX($AD$9:$AF$22,MATCH(O$7,$AD$9:$AD$22,0),3)),""),"")</f>
        <v/>
      </c>
      <c r="P20" s="286" t="str">
        <f>IF($A20&lt;&gt;"",IF(INDEX(BDHK2,MATCH($A20,DiemHKII!$B$4:$B$58,0),INDEX($AD$9:$AF$22,MATCH(P$7,$AD$9:$AD$22,0),2))&lt;&gt;"",INDEX(BDHK2,MATCH($A20,DiemHKII!$B$4:$B$58,0),INDEX($AD$9:$AF$22,MATCH(P$7,$AD$9:$AD$22,0),3)),""),"")</f>
        <v/>
      </c>
      <c r="Q20" s="286" t="str">
        <f>IF($A20&lt;&gt;"",IF(INDEX(BDHK2,MATCH($A20,DiemHKII!$B$4:$B$58,0),INDEX($AD$9:$AF$22,MATCH(Q$7,$AD$9:$AD$22,0),2))&lt;&gt;"",INDEX(BDHK2,MATCH($A20,DiemHKII!$B$4:$B$58,0),INDEX($AD$9:$AF$22,MATCH(Q$7,$AD$9:$AD$22,0),3)),""),"")</f>
        <v/>
      </c>
      <c r="R20" s="464" t="str">
        <f>IF($A20&lt;&gt;"",IF(INDEX(BDHK2,MATCH($A20,DiemHKII!$B$4:$B$58,0),INDEX($AD$9:$AF$22,MATCH(R$7,$AD$9:$AD$22,0),2))&lt;&gt;"",INDEX(BDHK2,MATCH($A20,DiemHKII!$B$4:$B$58,0),INDEX($AD$9:$AF$22,MATCH(R$7,$AD$9:$AD$22,0),3)),""),"")</f>
        <v/>
      </c>
      <c r="S20" s="464" t="str">
        <f t="shared" si="8"/>
        <v/>
      </c>
      <c r="T20" s="286" t="str">
        <f>IF($A20&lt;&gt;"",IF(INDEX(BDHK2,MATCH($A20,DiemHKII!$B$4:$B$58,0),INDEX($AD$9:$AF$22,MATCH(T$7,$AD$9:$AD$22,0),2))&lt;&gt;"",INDEX(BDHK2,MATCH($A20,DiemHKII!$B$4:$B$58,0),INDEX($AD$9:$AF$22,MATCH(T$7,$AD$9:$AD$22,0),3)),""),"")</f>
        <v/>
      </c>
      <c r="U20" s="287" t="str">
        <f>IF($A20&lt;&gt;"",IF(INDEX(BDHK2,MATCH($A20,DiemHKII!$B$4:$B$58,0),INDEX($AD$9:$AF$22,MATCH(U$7,$AD$9:$AD$22,0),2))&lt;&gt;"",INDEX(BDHK2,MATCH($A20,DiemHKII!$B$4:$B$58,0),INDEX($AD$9:$AF$22,MATCH(U$7,$AD$9:$AD$22,0),3)),""),"")</f>
        <v/>
      </c>
      <c r="V20" s="288" t="str">
        <f t="shared" si="9"/>
        <v/>
      </c>
      <c r="W20" s="464" t="str">
        <f t="shared" si="10"/>
        <v/>
      </c>
      <c r="X20" s="353"/>
      <c r="Y20" s="289" t="str">
        <f t="shared" si="11"/>
        <v/>
      </c>
      <c r="AA20" s="641" t="str">
        <f t="shared" si="4"/>
        <v/>
      </c>
      <c r="AD20" s="268" t="s">
        <v>35</v>
      </c>
      <c r="AE20" s="268">
        <v>115</v>
      </c>
      <c r="AF20" s="268">
        <v>117</v>
      </c>
      <c r="AG20" s="268" t="str">
        <f>IF($A20&lt;&gt;"",INDEX(DiemHKII!$B$4:$K$58,MATCH($A20,DiemHKII!$B$4:$B$58,0),2),"")</f>
        <v>12A1Nguyễn Thị ThuHiền20/05/2004</v>
      </c>
      <c r="AH20" s="674" t="str">
        <f t="shared" si="7"/>
        <v/>
      </c>
      <c r="AI20" s="672" t="str">
        <f t="shared" ca="1" si="6"/>
        <v/>
      </c>
    </row>
    <row r="21" spans="1:35" s="268" customFormat="1" ht="29.1" customHeight="1">
      <c r="A21" s="281">
        <f>IF(A20&lt;MAX(DiemHKII!$B$4:$B$58),A20+1,"")</f>
        <v>14</v>
      </c>
      <c r="B21" s="282" t="str">
        <f>IF($A21&lt;&gt;"",PROPER(INDEX(DiemHKII!$B$4:$K$58,MATCH($A21,DiemHKII!$B$4:$B$58,0),4)),"")</f>
        <v>Lê Phan Ngọc</v>
      </c>
      <c r="C21" s="283" t="str">
        <f>IF($A21&lt;&gt;"",PROPER(INDEX(DiemHKII!$B$4:$K$58,MATCH($A21,DiemHKII!$B$4:$B$58,0),5)),"")</f>
        <v>Hiếu</v>
      </c>
      <c r="D21" s="284" t="str">
        <f>IF($A21&lt;&gt;"",IF(INDEX(DiemHKII!$B$4:$K$58,MATCH($A21,DiemHKII!$B$4:$B$58,0),8)&lt;&gt;"",INDEX(DiemHKII!$B$4:$K$58,MATCH($A21,DiemHKII!$B$4:$B$58,0),8),""),"")</f>
        <v/>
      </c>
      <c r="E21" s="284" t="str">
        <f>IF($A21&lt;&gt;"",IF(INDEX(DiemHKII!$B$4:$K$58,MATCH($A21,DiemHKII!$B$4:$B$58,0),9)&lt;&gt;"",INDEX(DiemHKII!$B$4:$K$58,MATCH($A21,DiemHKII!$B$4:$B$58,0),9),""),"")</f>
        <v/>
      </c>
      <c r="F21" s="284" t="str">
        <f>IF($A21&lt;&gt;"",IF(INDEX(DiemHKII!$B$4:$K$58,MATCH($A21,DiemHKII!$B$4:$B$58,0),10)&lt;&gt;"",INDEX(DiemHKII!$B$4:$K$58,MATCH($A21,DiemHKII!$B$4:$B$58,0),10),""),"")</f>
        <v/>
      </c>
      <c r="G21" s="285" t="str">
        <f>IF($A21&lt;&gt;"",IF(INDEX(BDHK2,MATCH($A21,DiemHKII!$B$4:$B$58,0),INDEX($AD$9:$AF$22,MATCH(G$7,$AD$9:$AD$22,0),2))&lt;&gt;"",INDEX(BDHK2,MATCH($A21,DiemHKII!$B$4:$B$58,0),INDEX($AD$9:$AF$22,MATCH(G$7,$AD$9:$AD$22,0),3)),""),"")</f>
        <v/>
      </c>
      <c r="H21" s="286" t="str">
        <f>IF($A21&lt;&gt;"",IF(INDEX(BDHK2,MATCH($A21,DiemHKII!$B$4:$B$58,0),INDEX($AD$9:$AF$22,MATCH(H$7,$AD$9:$AD$22,0),2))&lt;&gt;"",INDEX(BDHK2,MATCH($A21,DiemHKII!$B$4:$B$58,0),INDEX($AD$9:$AF$22,MATCH(H$7,$AD$9:$AD$22,0),3)),""),"")</f>
        <v/>
      </c>
      <c r="I21" s="286" t="str">
        <f>IF($A21&lt;&gt;"",IF(INDEX(BDHK2,MATCH($A21,DiemHKII!$B$4:$B$58,0),INDEX($AD$9:$AF$22,MATCH(I$7,$AD$9:$AD$22,0),2))&lt;&gt;"",INDEX(BDHK2,MATCH($A21,DiemHKII!$B$4:$B$58,0),INDEX($AD$9:$AF$22,MATCH(I$7,$AD$9:$AD$22,0),3)),""),"")</f>
        <v/>
      </c>
      <c r="J21" s="286" t="str">
        <f>IF($A21&lt;&gt;"",IF(INDEX(BDHK2,MATCH($A21,DiemHKII!$B$4:$B$58,0),INDEX($AD$9:$AF$22,MATCH(J$7,$AD$9:$AD$22,0),2))&lt;&gt;"",INDEX(BDHK2,MATCH($A21,DiemHKII!$B$4:$B$58,0),INDEX($AD$9:$AF$22,MATCH(J$7,$AD$9:$AD$22,0),3)),""),"")</f>
        <v/>
      </c>
      <c r="K21" s="286" t="str">
        <f>IF($A21&lt;&gt;"",IF(INDEX(BDHK2,MATCH($A21,DiemHKII!$B$4:$B$58,0),INDEX($AD$9:$AF$22,MATCH(K$7,$AD$9:$AD$22,0),2))&lt;&gt;"",INDEX(BDHK2,MATCH($A21,DiemHKII!$B$4:$B$58,0),INDEX($AD$9:$AF$22,MATCH(K$7,$AD$9:$AD$22,0),3)),""),"")</f>
        <v/>
      </c>
      <c r="L21" s="286" t="str">
        <f>IF($A21&lt;&gt;"",IF(INDEX(BDHK2,MATCH($A21,DiemHKII!$B$4:$B$58,0),INDEX($AD$9:$AF$22,MATCH(L$7,$AD$9:$AD$22,0),2))&lt;&gt;"",INDEX(BDHK2,MATCH($A21,DiemHKII!$B$4:$B$58,0),INDEX($AD$9:$AF$22,MATCH(L$7,$AD$9:$AD$22,0),3)),""),"")</f>
        <v/>
      </c>
      <c r="M21" s="286" t="str">
        <f>IF($A21&lt;&gt;"",IF(INDEX(BDHK2,MATCH($A21,DiemHKII!$B$4:$B$58,0),INDEX($AD$9:$AF$22,MATCH(M$7,$AD$9:$AD$22,0),2))&lt;&gt;"",INDEX(BDHK2,MATCH($A21,DiemHKII!$B$4:$B$58,0),INDEX($AD$9:$AF$22,MATCH(M$7,$AD$9:$AD$22,0),3)),""),"")</f>
        <v/>
      </c>
      <c r="N21" s="286" t="str">
        <f>IF($A21&lt;&gt;"",IF(INDEX(BDHK2,MATCH($A21,DiemHKII!$B$4:$B$58,0),INDEX($AD$9:$AF$22,MATCH(N$7,$AD$9:$AD$22,0),2))&lt;&gt;"",INDEX(BDHK2,MATCH($A21,DiemHKII!$B$4:$B$58,0),INDEX($AD$9:$AF$22,MATCH(N$7,$AD$9:$AD$22,0),3)),""),"")</f>
        <v/>
      </c>
      <c r="O21" s="286" t="str">
        <f>IF($A21&lt;&gt;"",IF(INDEX(BDHK2,MATCH($A21,DiemHKII!$B$4:$B$58,0),INDEX($AD$9:$AF$22,MATCH(O$7,$AD$9:$AD$22,0),2))&lt;&gt;"",INDEX(BDHK2,MATCH($A21,DiemHKII!$B$4:$B$58,0),INDEX($AD$9:$AF$22,MATCH(O$7,$AD$9:$AD$22,0),3)),""),"")</f>
        <v/>
      </c>
      <c r="P21" s="286" t="str">
        <f>IF($A21&lt;&gt;"",IF(INDEX(BDHK2,MATCH($A21,DiemHKII!$B$4:$B$58,0),INDEX($AD$9:$AF$22,MATCH(P$7,$AD$9:$AD$22,0),2))&lt;&gt;"",INDEX(BDHK2,MATCH($A21,DiemHKII!$B$4:$B$58,0),INDEX($AD$9:$AF$22,MATCH(P$7,$AD$9:$AD$22,0),3)),""),"")</f>
        <v/>
      </c>
      <c r="Q21" s="286" t="str">
        <f>IF($A21&lt;&gt;"",IF(INDEX(BDHK2,MATCH($A21,DiemHKII!$B$4:$B$58,0),INDEX($AD$9:$AF$22,MATCH(Q$7,$AD$9:$AD$22,0),2))&lt;&gt;"",INDEX(BDHK2,MATCH($A21,DiemHKII!$B$4:$B$58,0),INDEX($AD$9:$AF$22,MATCH(Q$7,$AD$9:$AD$22,0),3)),""),"")</f>
        <v/>
      </c>
      <c r="R21" s="464" t="str">
        <f>IF($A21&lt;&gt;"",IF(INDEX(BDHK2,MATCH($A21,DiemHKII!$B$4:$B$58,0),INDEX($AD$9:$AF$22,MATCH(R$7,$AD$9:$AD$22,0),2))&lt;&gt;"",INDEX(BDHK2,MATCH($A21,DiemHKII!$B$4:$B$58,0),INDEX($AD$9:$AF$22,MATCH(R$7,$AD$9:$AD$22,0),3)),""),"")</f>
        <v/>
      </c>
      <c r="S21" s="464" t="str">
        <f t="shared" si="8"/>
        <v/>
      </c>
      <c r="T21" s="286" t="str">
        <f>IF($A21&lt;&gt;"",IF(INDEX(BDHK2,MATCH($A21,DiemHKII!$B$4:$B$58,0),INDEX($AD$9:$AF$22,MATCH(T$7,$AD$9:$AD$22,0),2))&lt;&gt;"",INDEX(BDHK2,MATCH($A21,DiemHKII!$B$4:$B$58,0),INDEX($AD$9:$AF$22,MATCH(T$7,$AD$9:$AD$22,0),3)),""),"")</f>
        <v/>
      </c>
      <c r="U21" s="287" t="str">
        <f>IF($A21&lt;&gt;"",IF(INDEX(BDHK2,MATCH($A21,DiemHKII!$B$4:$B$58,0),INDEX($AD$9:$AF$22,MATCH(U$7,$AD$9:$AD$22,0),2))&lt;&gt;"",INDEX(BDHK2,MATCH($A21,DiemHKII!$B$4:$B$58,0),INDEX($AD$9:$AF$22,MATCH(U$7,$AD$9:$AD$22,0),3)),""),"")</f>
        <v/>
      </c>
      <c r="V21" s="288" t="str">
        <f t="shared" si="9"/>
        <v/>
      </c>
      <c r="W21" s="464" t="str">
        <f t="shared" si="10"/>
        <v/>
      </c>
      <c r="X21" s="353"/>
      <c r="Y21" s="289" t="str">
        <f t="shared" si="11"/>
        <v/>
      </c>
      <c r="AA21" s="641" t="str">
        <f t="shared" si="4"/>
        <v/>
      </c>
      <c r="AD21" s="268" t="s">
        <v>121</v>
      </c>
      <c r="AE21" s="268">
        <v>124</v>
      </c>
      <c r="AF21" s="268">
        <v>126</v>
      </c>
      <c r="AG21" s="268" t="str">
        <f>IF($A21&lt;&gt;"",INDEX(DiemHKII!$B$4:$K$58,MATCH($A21,DiemHKII!$B$4:$B$58,0),2),"")</f>
        <v>12A1Lê Phan NgọcHiếu01/02/2004</v>
      </c>
      <c r="AH21" s="674" t="str">
        <f t="shared" si="7"/>
        <v/>
      </c>
      <c r="AI21" s="672" t="str">
        <f t="shared" ca="1" si="6"/>
        <v/>
      </c>
    </row>
    <row r="22" spans="1:35" s="268" customFormat="1" ht="29.1" customHeight="1" thickBot="1">
      <c r="A22" s="290">
        <f>IF(A21&lt;MAX(DiemHKII!$B$4:$B$58),A21+1,"")</f>
        <v>15</v>
      </c>
      <c r="B22" s="291" t="str">
        <f>IF($A22&lt;&gt;"",PROPER(INDEX(DiemHKII!$B$4:$K$58,MATCH($A22,DiemHKII!$B$4:$B$58,0),4)),"")</f>
        <v>Trần Hoàng</v>
      </c>
      <c r="C22" s="292" t="str">
        <f>IF($A22&lt;&gt;"",PROPER(INDEX(DiemHKII!$B$4:$K$58,MATCH($A22,DiemHKII!$B$4:$B$58,0),5)),"")</f>
        <v>Hưng</v>
      </c>
      <c r="D22" s="293" t="str">
        <f>IF($A22&lt;&gt;"",IF(INDEX(DiemHKII!$B$4:$K$58,MATCH($A22,DiemHKII!$B$4:$B$58,0),8)&lt;&gt;"",INDEX(DiemHKII!$B$4:$K$58,MATCH($A22,DiemHKII!$B$4:$B$58,0),8),""),"")</f>
        <v/>
      </c>
      <c r="E22" s="293" t="str">
        <f>IF($A22&lt;&gt;"",IF(INDEX(DiemHKII!$B$4:$K$58,MATCH($A22,DiemHKII!$B$4:$B$58,0),9)&lt;&gt;"",INDEX(DiemHKII!$B$4:$K$58,MATCH($A22,DiemHKII!$B$4:$B$58,0),9),""),"")</f>
        <v/>
      </c>
      <c r="F22" s="293" t="str">
        <f>IF($A22&lt;&gt;"",IF(INDEX(DiemHKII!$B$4:$K$58,MATCH($A22,DiemHKII!$B$4:$B$58,0),10)&lt;&gt;"",INDEX(DiemHKII!$B$4:$K$58,MATCH($A22,DiemHKII!$B$4:$B$58,0),10),""),"")</f>
        <v/>
      </c>
      <c r="G22" s="294" t="str">
        <f>IF($A22&lt;&gt;"",IF(INDEX(BDHK2,MATCH($A22,DiemHKII!$B$4:$B$58,0),INDEX($AD$9:$AF$22,MATCH(G$7,$AD$9:$AD$22,0),2))&lt;&gt;"",INDEX(BDHK2,MATCH($A22,DiemHKII!$B$4:$B$58,0),INDEX($AD$9:$AF$22,MATCH(G$7,$AD$9:$AD$22,0),3)),""),"")</f>
        <v/>
      </c>
      <c r="H22" s="295" t="str">
        <f>IF($A22&lt;&gt;"",IF(INDEX(BDHK2,MATCH($A22,DiemHKII!$B$4:$B$58,0),INDEX($AD$9:$AF$22,MATCH(H$7,$AD$9:$AD$22,0),2))&lt;&gt;"",INDEX(BDHK2,MATCH($A22,DiemHKII!$B$4:$B$58,0),INDEX($AD$9:$AF$22,MATCH(H$7,$AD$9:$AD$22,0),3)),""),"")</f>
        <v/>
      </c>
      <c r="I22" s="295" t="str">
        <f>IF($A22&lt;&gt;"",IF(INDEX(BDHK2,MATCH($A22,DiemHKII!$B$4:$B$58,0),INDEX($AD$9:$AF$22,MATCH(I$7,$AD$9:$AD$22,0),2))&lt;&gt;"",INDEX(BDHK2,MATCH($A22,DiemHKII!$B$4:$B$58,0),INDEX($AD$9:$AF$22,MATCH(I$7,$AD$9:$AD$22,0),3)),""),"")</f>
        <v/>
      </c>
      <c r="J22" s="295" t="str">
        <f>IF($A22&lt;&gt;"",IF(INDEX(BDHK2,MATCH($A22,DiemHKII!$B$4:$B$58,0),INDEX($AD$9:$AF$22,MATCH(J$7,$AD$9:$AD$22,0),2))&lt;&gt;"",INDEX(BDHK2,MATCH($A22,DiemHKII!$B$4:$B$58,0),INDEX($AD$9:$AF$22,MATCH(J$7,$AD$9:$AD$22,0),3)),""),"")</f>
        <v/>
      </c>
      <c r="K22" s="295" t="str">
        <f>IF($A22&lt;&gt;"",IF(INDEX(BDHK2,MATCH($A22,DiemHKII!$B$4:$B$58,0),INDEX($AD$9:$AF$22,MATCH(K$7,$AD$9:$AD$22,0),2))&lt;&gt;"",INDEX(BDHK2,MATCH($A22,DiemHKII!$B$4:$B$58,0),INDEX($AD$9:$AF$22,MATCH(K$7,$AD$9:$AD$22,0),3)),""),"")</f>
        <v/>
      </c>
      <c r="L22" s="295" t="str">
        <f>IF($A22&lt;&gt;"",IF(INDEX(BDHK2,MATCH($A22,DiemHKII!$B$4:$B$58,0),INDEX($AD$9:$AF$22,MATCH(L$7,$AD$9:$AD$22,0),2))&lt;&gt;"",INDEX(BDHK2,MATCH($A22,DiemHKII!$B$4:$B$58,0),INDEX($AD$9:$AF$22,MATCH(L$7,$AD$9:$AD$22,0),3)),""),"")</f>
        <v/>
      </c>
      <c r="M22" s="295" t="str">
        <f>IF($A22&lt;&gt;"",IF(INDEX(BDHK2,MATCH($A22,DiemHKII!$B$4:$B$58,0),INDEX($AD$9:$AF$22,MATCH(M$7,$AD$9:$AD$22,0),2))&lt;&gt;"",INDEX(BDHK2,MATCH($A22,DiemHKII!$B$4:$B$58,0),INDEX($AD$9:$AF$22,MATCH(M$7,$AD$9:$AD$22,0),3)),""),"")</f>
        <v/>
      </c>
      <c r="N22" s="295" t="str">
        <f>IF($A22&lt;&gt;"",IF(INDEX(BDHK2,MATCH($A22,DiemHKII!$B$4:$B$58,0),INDEX($AD$9:$AF$22,MATCH(N$7,$AD$9:$AD$22,0),2))&lt;&gt;"",INDEX(BDHK2,MATCH($A22,DiemHKII!$B$4:$B$58,0),INDEX($AD$9:$AF$22,MATCH(N$7,$AD$9:$AD$22,0),3)),""),"")</f>
        <v/>
      </c>
      <c r="O22" s="295" t="str">
        <f>IF($A22&lt;&gt;"",IF(INDEX(BDHK2,MATCH($A22,DiemHKII!$B$4:$B$58,0),INDEX($AD$9:$AF$22,MATCH(O$7,$AD$9:$AD$22,0),2))&lt;&gt;"",INDEX(BDHK2,MATCH($A22,DiemHKII!$B$4:$B$58,0),INDEX($AD$9:$AF$22,MATCH(O$7,$AD$9:$AD$22,0),3)),""),"")</f>
        <v/>
      </c>
      <c r="P22" s="295" t="str">
        <f>IF($A22&lt;&gt;"",IF(INDEX(BDHK2,MATCH($A22,DiemHKII!$B$4:$B$58,0),INDEX($AD$9:$AF$22,MATCH(P$7,$AD$9:$AD$22,0),2))&lt;&gt;"",INDEX(BDHK2,MATCH($A22,DiemHKII!$B$4:$B$58,0),INDEX($AD$9:$AF$22,MATCH(P$7,$AD$9:$AD$22,0),3)),""),"")</f>
        <v/>
      </c>
      <c r="Q22" s="295" t="str">
        <f>IF($A22&lt;&gt;"",IF(INDEX(BDHK2,MATCH($A22,DiemHKII!$B$4:$B$58,0),INDEX($AD$9:$AF$22,MATCH(Q$7,$AD$9:$AD$22,0),2))&lt;&gt;"",INDEX(BDHK2,MATCH($A22,DiemHKII!$B$4:$B$58,0),INDEX($AD$9:$AF$22,MATCH(Q$7,$AD$9:$AD$22,0),3)),""),"")</f>
        <v/>
      </c>
      <c r="R22" s="296" t="str">
        <f>IF($A22&lt;&gt;"",IF(INDEX(BDHK2,MATCH($A22,DiemHKII!$B$4:$B$58,0),INDEX($AD$9:$AF$22,MATCH(R$7,$AD$9:$AD$22,0),2))&lt;&gt;"",INDEX(BDHK2,MATCH($A22,DiemHKII!$B$4:$B$58,0),INDEX($AD$9:$AF$22,MATCH(R$7,$AD$9:$AD$22,0),3)),""),"")</f>
        <v/>
      </c>
      <c r="S22" s="296" t="str">
        <f t="shared" si="8"/>
        <v/>
      </c>
      <c r="T22" s="295" t="str">
        <f>IF($A22&lt;&gt;"",IF(INDEX(BDHK2,MATCH($A22,DiemHKII!$B$4:$B$58,0),INDEX($AD$9:$AF$22,MATCH(T$7,$AD$9:$AD$22,0),2))&lt;&gt;"",INDEX(BDHK2,MATCH($A22,DiemHKII!$B$4:$B$58,0),INDEX($AD$9:$AF$22,MATCH(T$7,$AD$9:$AD$22,0),3)),""),"")</f>
        <v/>
      </c>
      <c r="U22" s="297" t="str">
        <f>IF($A22&lt;&gt;"",IF(INDEX(BDHK2,MATCH($A22,DiemHKII!$B$4:$B$58,0),INDEX($AD$9:$AF$22,MATCH(U$7,$AD$9:$AD$22,0),2))&lt;&gt;"",INDEX(BDHK2,MATCH($A22,DiemHKII!$B$4:$B$58,0),INDEX($AD$9:$AF$22,MATCH(U$7,$AD$9:$AD$22,0),3)),""),"")</f>
        <v/>
      </c>
      <c r="V22" s="298" t="str">
        <f t="shared" si="9"/>
        <v/>
      </c>
      <c r="W22" s="296" t="str">
        <f t="shared" si="10"/>
        <v/>
      </c>
      <c r="X22" s="354"/>
      <c r="Y22" s="299" t="str">
        <f t="shared" si="11"/>
        <v/>
      </c>
      <c r="AA22" s="641" t="str">
        <f t="shared" si="4"/>
        <v/>
      </c>
      <c r="AD22" s="268" t="s">
        <v>122</v>
      </c>
      <c r="AE22" s="268">
        <v>133</v>
      </c>
      <c r="AF22" s="268">
        <v>135</v>
      </c>
      <c r="AG22" s="268" t="str">
        <f>IF($A22&lt;&gt;"",INDEX(DiemHKII!$B$4:$K$58,MATCH($A22,DiemHKII!$B$4:$B$58,0),2),"")</f>
        <v>12A1Trần HoàngHưng11/06/2004</v>
      </c>
      <c r="AH22" s="674" t="str">
        <f t="shared" si="7"/>
        <v/>
      </c>
      <c r="AI22" s="672" t="str">
        <f t="shared" ca="1" si="6"/>
        <v/>
      </c>
    </row>
    <row r="23" spans="1:35" s="268" customFormat="1" ht="29.1" customHeight="1">
      <c r="A23" s="274">
        <f>IF(A22&lt;MAX(DiemHKII!$B$4:$B$58),A22+1,"")</f>
        <v>16</v>
      </c>
      <c r="B23" s="275" t="str">
        <f>IF($A23&lt;&gt;"",PROPER(INDEX(DiemHKII!$B$4:$K$58,MATCH($A23,DiemHKII!$B$4:$B$58,0),4)),"")</f>
        <v>Trần Đăng</v>
      </c>
      <c r="C23" s="276" t="str">
        <f>IF($A23&lt;&gt;"",PROPER(INDEX(DiemHKII!$B$4:$K$58,MATCH($A23,DiemHKII!$B$4:$B$58,0),5)),"")</f>
        <v>Khải</v>
      </c>
      <c r="D23" s="277" t="str">
        <f>IF($A23&lt;&gt;"",IF(INDEX(DiemHKII!$B$4:$K$58,MATCH($A23,DiemHKII!$B$4:$B$58,0),8)&lt;&gt;"",INDEX(DiemHKII!$B$4:$K$58,MATCH($A23,DiemHKII!$B$4:$B$58,0),8),""),"")</f>
        <v/>
      </c>
      <c r="E23" s="277" t="str">
        <f>IF($A23&lt;&gt;"",IF(INDEX(DiemHKII!$B$4:$K$58,MATCH($A23,DiemHKII!$B$4:$B$58,0),9)&lt;&gt;"",INDEX(DiemHKII!$B$4:$K$58,MATCH($A23,DiemHKII!$B$4:$B$58,0),9),""),"")</f>
        <v/>
      </c>
      <c r="F23" s="277" t="str">
        <f>IF($A23&lt;&gt;"",IF(INDEX(DiemHKII!$B$4:$K$58,MATCH($A23,DiemHKII!$B$4:$B$58,0),10)&lt;&gt;"",INDEX(DiemHKII!$B$4:$K$58,MATCH($A23,DiemHKII!$B$4:$B$58,0),10),""),"")</f>
        <v/>
      </c>
      <c r="G23" s="443" t="str">
        <f>IF($A23&lt;&gt;"",IF(INDEX(BDHK2,MATCH($A23,DiemHKII!$B$4:$B$58,0),INDEX($AD$9:$AF$22,MATCH(G$7,$AD$9:$AD$22,0),2))&lt;&gt;"",INDEX(BDHK2,MATCH($A23,DiemHKII!$B$4:$B$58,0),INDEX($AD$9:$AF$22,MATCH(G$7,$AD$9:$AD$22,0),3)),""),"")</f>
        <v/>
      </c>
      <c r="H23" s="301" t="str">
        <f>IF($A23&lt;&gt;"",IF(INDEX(BDHK2,MATCH($A23,DiemHKII!$B$4:$B$58,0),INDEX($AD$9:$AF$22,MATCH(H$7,$AD$9:$AD$22,0),2))&lt;&gt;"",INDEX(BDHK2,MATCH($A23,DiemHKII!$B$4:$B$58,0),INDEX($AD$9:$AF$22,MATCH(H$7,$AD$9:$AD$22,0),3)),""),"")</f>
        <v/>
      </c>
      <c r="I23" s="301" t="str">
        <f>IF($A23&lt;&gt;"",IF(INDEX(BDHK2,MATCH($A23,DiemHKII!$B$4:$B$58,0),INDEX($AD$9:$AF$22,MATCH(I$7,$AD$9:$AD$22,0),2))&lt;&gt;"",INDEX(BDHK2,MATCH($A23,DiemHKII!$B$4:$B$58,0),INDEX($AD$9:$AF$22,MATCH(I$7,$AD$9:$AD$22,0),3)),""),"")</f>
        <v/>
      </c>
      <c r="J23" s="301" t="str">
        <f>IF($A23&lt;&gt;"",IF(INDEX(BDHK2,MATCH($A23,DiemHKII!$B$4:$B$58,0),INDEX($AD$9:$AF$22,MATCH(J$7,$AD$9:$AD$22,0),2))&lt;&gt;"",INDEX(BDHK2,MATCH($A23,DiemHKII!$B$4:$B$58,0),INDEX($AD$9:$AF$22,MATCH(J$7,$AD$9:$AD$22,0),3)),""),"")</f>
        <v/>
      </c>
      <c r="K23" s="301" t="str">
        <f>IF($A23&lt;&gt;"",IF(INDEX(BDHK2,MATCH($A23,DiemHKII!$B$4:$B$58,0),INDEX($AD$9:$AF$22,MATCH(K$7,$AD$9:$AD$22,0),2))&lt;&gt;"",INDEX(BDHK2,MATCH($A23,DiemHKII!$B$4:$B$58,0),INDEX($AD$9:$AF$22,MATCH(K$7,$AD$9:$AD$22,0),3)),""),"")</f>
        <v/>
      </c>
      <c r="L23" s="301" t="str">
        <f>IF($A23&lt;&gt;"",IF(INDEX(BDHK2,MATCH($A23,DiemHKII!$B$4:$B$58,0),INDEX($AD$9:$AF$22,MATCH(L$7,$AD$9:$AD$22,0),2))&lt;&gt;"",INDEX(BDHK2,MATCH($A23,DiemHKII!$B$4:$B$58,0),INDEX($AD$9:$AF$22,MATCH(L$7,$AD$9:$AD$22,0),3)),""),"")</f>
        <v/>
      </c>
      <c r="M23" s="301" t="str">
        <f>IF($A23&lt;&gt;"",IF(INDEX(BDHK2,MATCH($A23,DiemHKII!$B$4:$B$58,0),INDEX($AD$9:$AF$22,MATCH(M$7,$AD$9:$AD$22,0),2))&lt;&gt;"",INDEX(BDHK2,MATCH($A23,DiemHKII!$B$4:$B$58,0),INDEX($AD$9:$AF$22,MATCH(M$7,$AD$9:$AD$22,0),3)),""),"")</f>
        <v/>
      </c>
      <c r="N23" s="301" t="str">
        <f>IF($A23&lt;&gt;"",IF(INDEX(BDHK2,MATCH($A23,DiemHKII!$B$4:$B$58,0),INDEX($AD$9:$AF$22,MATCH(N$7,$AD$9:$AD$22,0),2))&lt;&gt;"",INDEX(BDHK2,MATCH($A23,DiemHKII!$B$4:$B$58,0),INDEX($AD$9:$AF$22,MATCH(N$7,$AD$9:$AD$22,0),3)),""),"")</f>
        <v/>
      </c>
      <c r="O23" s="301" t="str">
        <f>IF($A23&lt;&gt;"",IF(INDEX(BDHK2,MATCH($A23,DiemHKII!$B$4:$B$58,0),INDEX($AD$9:$AF$22,MATCH(O$7,$AD$9:$AD$22,0),2))&lt;&gt;"",INDEX(BDHK2,MATCH($A23,DiemHKII!$B$4:$B$58,0),INDEX($AD$9:$AF$22,MATCH(O$7,$AD$9:$AD$22,0),3)),""),"")</f>
        <v/>
      </c>
      <c r="P23" s="301" t="str">
        <f>IF($A23&lt;&gt;"",IF(INDEX(BDHK2,MATCH($A23,DiemHKII!$B$4:$B$58,0),INDEX($AD$9:$AF$22,MATCH(P$7,$AD$9:$AD$22,0),2))&lt;&gt;"",INDEX(BDHK2,MATCH($A23,DiemHKII!$B$4:$B$58,0),INDEX($AD$9:$AF$22,MATCH(P$7,$AD$9:$AD$22,0),3)),""),"")</f>
        <v/>
      </c>
      <c r="Q23" s="301" t="str">
        <f>IF($A23&lt;&gt;"",IF(INDEX(BDHK2,MATCH($A23,DiemHKII!$B$4:$B$58,0),INDEX($AD$9:$AF$22,MATCH(Q$7,$AD$9:$AD$22,0),2))&lt;&gt;"",INDEX(BDHK2,MATCH($A23,DiemHKII!$B$4:$B$58,0),INDEX($AD$9:$AF$22,MATCH(Q$7,$AD$9:$AD$22,0),3)),""),"")</f>
        <v/>
      </c>
      <c r="R23" s="279" t="str">
        <f>IF($A23&lt;&gt;"",IF(INDEX(BDHK2,MATCH($A23,DiemHKII!$B$4:$B$58,0),INDEX($AD$9:$AF$22,MATCH(R$7,$AD$9:$AD$22,0),2))&lt;&gt;"",INDEX(BDHK2,MATCH($A23,DiemHKII!$B$4:$B$58,0),INDEX($AD$9:$AF$22,MATCH(R$7,$AD$9:$AD$22,0),3)),""),"")</f>
        <v/>
      </c>
      <c r="S23" s="279" t="str">
        <f t="shared" si="8"/>
        <v/>
      </c>
      <c r="T23" s="301" t="str">
        <f>IF($A23&lt;&gt;"",IF(INDEX(BDHK2,MATCH($A23,DiemHKII!$B$4:$B$58,0),INDEX($AD$9:$AF$22,MATCH(T$7,$AD$9:$AD$22,0),2))&lt;&gt;"",INDEX(BDHK2,MATCH($A23,DiemHKII!$B$4:$B$58,0),INDEX($AD$9:$AF$22,MATCH(T$7,$AD$9:$AD$22,0),3)),""),"")</f>
        <v/>
      </c>
      <c r="U23" s="302" t="str">
        <f>IF($A23&lt;&gt;"",IF(INDEX(BDHK2,MATCH($A23,DiemHKII!$B$4:$B$58,0),INDEX($AD$9:$AF$22,MATCH(U$7,$AD$9:$AD$22,0),2))&lt;&gt;"",INDEX(BDHK2,MATCH($A23,DiemHKII!$B$4:$B$58,0),INDEX($AD$9:$AF$22,MATCH(U$7,$AD$9:$AD$22,0),3)),""),"")</f>
        <v/>
      </c>
      <c r="V23" s="278" t="str">
        <f t="shared" si="9"/>
        <v/>
      </c>
      <c r="W23" s="279" t="str">
        <f t="shared" si="10"/>
        <v/>
      </c>
      <c r="X23" s="352"/>
      <c r="Y23" s="280" t="str">
        <f t="shared" si="11"/>
        <v/>
      </c>
      <c r="AA23" s="641" t="str">
        <f t="shared" si="4"/>
        <v/>
      </c>
      <c r="AG23" s="268" t="str">
        <f>IF($A23&lt;&gt;"",INDEX(DiemHKII!$B$4:$K$58,MATCH($A23,DiemHKII!$B$4:$B$58,0),2),"")</f>
        <v>12A1Trần ĐăngKhải22/04/2004</v>
      </c>
      <c r="AH23" s="674" t="str">
        <f t="shared" si="7"/>
        <v/>
      </c>
      <c r="AI23" s="672" t="str">
        <f t="shared" ca="1" si="6"/>
        <v/>
      </c>
    </row>
    <row r="24" spans="1:35" s="268" customFormat="1" ht="29.1" customHeight="1">
      <c r="A24" s="281">
        <f>IF(A23&lt;MAX(DiemHKII!$B$4:$B$58),A23+1,"")</f>
        <v>17</v>
      </c>
      <c r="B24" s="282" t="str">
        <f>IF($A24&lt;&gt;"",PROPER(INDEX(DiemHKII!$B$4:$K$58,MATCH($A24,DiemHKII!$B$4:$B$58,0),4)),"")</f>
        <v>Nguyễn Huỳnh Phúc</v>
      </c>
      <c r="C24" s="283" t="str">
        <f>IF($A24&lt;&gt;"",PROPER(INDEX(DiemHKII!$B$4:$K$58,MATCH($A24,DiemHKII!$B$4:$B$58,0),5)),"")</f>
        <v>Khang</v>
      </c>
      <c r="D24" s="284" t="str">
        <f>IF($A24&lt;&gt;"",IF(INDEX(DiemHKII!$B$4:$K$58,MATCH($A24,DiemHKII!$B$4:$B$58,0),8)&lt;&gt;"",INDEX(DiemHKII!$B$4:$K$58,MATCH($A24,DiemHKII!$B$4:$B$58,0),8),""),"")</f>
        <v/>
      </c>
      <c r="E24" s="284" t="str">
        <f>IF($A24&lt;&gt;"",IF(INDEX(DiemHKII!$B$4:$K$58,MATCH($A24,DiemHKII!$B$4:$B$58,0),9)&lt;&gt;"",INDEX(DiemHKII!$B$4:$K$58,MATCH($A24,DiemHKII!$B$4:$B$58,0),9),""),"")</f>
        <v/>
      </c>
      <c r="F24" s="284" t="str">
        <f>IF($A24&lt;&gt;"",IF(INDEX(DiemHKII!$B$4:$K$58,MATCH($A24,DiemHKII!$B$4:$B$58,0),10)&lt;&gt;"",INDEX(DiemHKII!$B$4:$K$58,MATCH($A24,DiemHKII!$B$4:$B$58,0),10),""),"")</f>
        <v/>
      </c>
      <c r="G24" s="285" t="str">
        <f>IF($A24&lt;&gt;"",IF(INDEX(BDHK2,MATCH($A24,DiemHKII!$B$4:$B$58,0),INDEX($AD$9:$AF$22,MATCH(G$7,$AD$9:$AD$22,0),2))&lt;&gt;"",INDEX(BDHK2,MATCH($A24,DiemHKII!$B$4:$B$58,0),INDEX($AD$9:$AF$22,MATCH(G$7,$AD$9:$AD$22,0),3)),""),"")</f>
        <v/>
      </c>
      <c r="H24" s="286" t="str">
        <f>IF($A24&lt;&gt;"",IF(INDEX(BDHK2,MATCH($A24,DiemHKII!$B$4:$B$58,0),INDEX($AD$9:$AF$22,MATCH(H$7,$AD$9:$AD$22,0),2))&lt;&gt;"",INDEX(BDHK2,MATCH($A24,DiemHKII!$B$4:$B$58,0),INDEX($AD$9:$AF$22,MATCH(H$7,$AD$9:$AD$22,0),3)),""),"")</f>
        <v/>
      </c>
      <c r="I24" s="286" t="str">
        <f>IF($A24&lt;&gt;"",IF(INDEX(BDHK2,MATCH($A24,DiemHKII!$B$4:$B$58,0),INDEX($AD$9:$AF$22,MATCH(I$7,$AD$9:$AD$22,0),2))&lt;&gt;"",INDEX(BDHK2,MATCH($A24,DiemHKII!$B$4:$B$58,0),INDEX($AD$9:$AF$22,MATCH(I$7,$AD$9:$AD$22,0),3)),""),"")</f>
        <v/>
      </c>
      <c r="J24" s="286" t="str">
        <f>IF($A24&lt;&gt;"",IF(INDEX(BDHK2,MATCH($A24,DiemHKII!$B$4:$B$58,0),INDEX($AD$9:$AF$22,MATCH(J$7,$AD$9:$AD$22,0),2))&lt;&gt;"",INDEX(BDHK2,MATCH($A24,DiemHKII!$B$4:$B$58,0),INDEX($AD$9:$AF$22,MATCH(J$7,$AD$9:$AD$22,0),3)),""),"")</f>
        <v/>
      </c>
      <c r="K24" s="286" t="str">
        <f>IF($A24&lt;&gt;"",IF(INDEX(BDHK2,MATCH($A24,DiemHKII!$B$4:$B$58,0),INDEX($AD$9:$AF$22,MATCH(K$7,$AD$9:$AD$22,0),2))&lt;&gt;"",INDEX(BDHK2,MATCH($A24,DiemHKII!$B$4:$B$58,0),INDEX($AD$9:$AF$22,MATCH(K$7,$AD$9:$AD$22,0),3)),""),"")</f>
        <v/>
      </c>
      <c r="L24" s="286" t="str">
        <f>IF($A24&lt;&gt;"",IF(INDEX(BDHK2,MATCH($A24,DiemHKII!$B$4:$B$58,0),INDEX($AD$9:$AF$22,MATCH(L$7,$AD$9:$AD$22,0),2))&lt;&gt;"",INDEX(BDHK2,MATCH($A24,DiemHKII!$B$4:$B$58,0),INDEX($AD$9:$AF$22,MATCH(L$7,$AD$9:$AD$22,0),3)),""),"")</f>
        <v/>
      </c>
      <c r="M24" s="286" t="str">
        <f>IF($A24&lt;&gt;"",IF(INDEX(BDHK2,MATCH($A24,DiemHKII!$B$4:$B$58,0),INDEX($AD$9:$AF$22,MATCH(M$7,$AD$9:$AD$22,0),2))&lt;&gt;"",INDEX(BDHK2,MATCH($A24,DiemHKII!$B$4:$B$58,0),INDEX($AD$9:$AF$22,MATCH(M$7,$AD$9:$AD$22,0),3)),""),"")</f>
        <v/>
      </c>
      <c r="N24" s="286" t="str">
        <f>IF($A24&lt;&gt;"",IF(INDEX(BDHK2,MATCH($A24,DiemHKII!$B$4:$B$58,0),INDEX($AD$9:$AF$22,MATCH(N$7,$AD$9:$AD$22,0),2))&lt;&gt;"",INDEX(BDHK2,MATCH($A24,DiemHKII!$B$4:$B$58,0),INDEX($AD$9:$AF$22,MATCH(N$7,$AD$9:$AD$22,0),3)),""),"")</f>
        <v/>
      </c>
      <c r="O24" s="286" t="str">
        <f>IF($A24&lt;&gt;"",IF(INDEX(BDHK2,MATCH($A24,DiemHKII!$B$4:$B$58,0),INDEX($AD$9:$AF$22,MATCH(O$7,$AD$9:$AD$22,0),2))&lt;&gt;"",INDEX(BDHK2,MATCH($A24,DiemHKII!$B$4:$B$58,0),INDEX($AD$9:$AF$22,MATCH(O$7,$AD$9:$AD$22,0),3)),""),"")</f>
        <v/>
      </c>
      <c r="P24" s="286" t="str">
        <f>IF($A24&lt;&gt;"",IF(INDEX(BDHK2,MATCH($A24,DiemHKII!$B$4:$B$58,0),INDEX($AD$9:$AF$22,MATCH(P$7,$AD$9:$AD$22,0),2))&lt;&gt;"",INDEX(BDHK2,MATCH($A24,DiemHKII!$B$4:$B$58,0),INDEX($AD$9:$AF$22,MATCH(P$7,$AD$9:$AD$22,0),3)),""),"")</f>
        <v/>
      </c>
      <c r="Q24" s="286" t="str">
        <f>IF($A24&lt;&gt;"",IF(INDEX(BDHK2,MATCH($A24,DiemHKII!$B$4:$B$58,0),INDEX($AD$9:$AF$22,MATCH(Q$7,$AD$9:$AD$22,0),2))&lt;&gt;"",INDEX(BDHK2,MATCH($A24,DiemHKII!$B$4:$B$58,0),INDEX($AD$9:$AF$22,MATCH(Q$7,$AD$9:$AD$22,0),3)),""),"")</f>
        <v/>
      </c>
      <c r="R24" s="464" t="str">
        <f>IF($A24&lt;&gt;"",IF(INDEX(BDHK2,MATCH($A24,DiemHKII!$B$4:$B$58,0),INDEX($AD$9:$AF$22,MATCH(R$7,$AD$9:$AD$22,0),2))&lt;&gt;"",INDEX(BDHK2,MATCH($A24,DiemHKII!$B$4:$B$58,0),INDEX($AD$9:$AF$22,MATCH(R$7,$AD$9:$AD$22,0),3)),""),"")</f>
        <v/>
      </c>
      <c r="S24" s="464" t="str">
        <f t="shared" si="8"/>
        <v/>
      </c>
      <c r="T24" s="286" t="str">
        <f>IF($A24&lt;&gt;"",IF(INDEX(BDHK2,MATCH($A24,DiemHKII!$B$4:$B$58,0),INDEX($AD$9:$AF$22,MATCH(T$7,$AD$9:$AD$22,0),2))&lt;&gt;"",INDEX(BDHK2,MATCH($A24,DiemHKII!$B$4:$B$58,0),INDEX($AD$9:$AF$22,MATCH(T$7,$AD$9:$AD$22,0),3)),""),"")</f>
        <v/>
      </c>
      <c r="U24" s="287" t="str">
        <f>IF($A24&lt;&gt;"",IF(INDEX(BDHK2,MATCH($A24,DiemHKII!$B$4:$B$58,0),INDEX($AD$9:$AF$22,MATCH(U$7,$AD$9:$AD$22,0),2))&lt;&gt;"",INDEX(BDHK2,MATCH($A24,DiemHKII!$B$4:$B$58,0),INDEX($AD$9:$AF$22,MATCH(U$7,$AD$9:$AD$22,0),3)),""),"")</f>
        <v/>
      </c>
      <c r="V24" s="288" t="str">
        <f t="shared" si="9"/>
        <v/>
      </c>
      <c r="W24" s="464" t="str">
        <f t="shared" si="10"/>
        <v/>
      </c>
      <c r="X24" s="353"/>
      <c r="Y24" s="289" t="str">
        <f t="shared" si="11"/>
        <v/>
      </c>
      <c r="AA24" s="641" t="str">
        <f t="shared" si="4"/>
        <v/>
      </c>
      <c r="AG24" s="268" t="str">
        <f>IF($A24&lt;&gt;"",INDEX(DiemHKII!$B$4:$K$58,MATCH($A24,DiemHKII!$B$4:$B$58,0),2),"")</f>
        <v>12A1Nguyễn Huỳnh PhúcKhang14/12/2004</v>
      </c>
      <c r="AH24" s="674" t="str">
        <f t="shared" si="7"/>
        <v/>
      </c>
      <c r="AI24" s="672" t="str">
        <f t="shared" ca="1" si="6"/>
        <v/>
      </c>
    </row>
    <row r="25" spans="1:35" s="268" customFormat="1" ht="29.1" customHeight="1">
      <c r="A25" s="281">
        <f>IF(A24&lt;MAX(DiemHKII!$B$4:$B$58),A24+1,"")</f>
        <v>18</v>
      </c>
      <c r="B25" s="282" t="str">
        <f>IF($A25&lt;&gt;"",PROPER(INDEX(DiemHKII!$B$4:$K$58,MATCH($A25,DiemHKII!$B$4:$B$58,0),4)),"")</f>
        <v>Nguyễn Đăng</v>
      </c>
      <c r="C25" s="283" t="str">
        <f>IF($A25&lt;&gt;"",PROPER(INDEX(DiemHKII!$B$4:$K$58,MATCH($A25,DiemHKII!$B$4:$B$58,0),5)),"")</f>
        <v>Khoa</v>
      </c>
      <c r="D25" s="284" t="str">
        <f>IF($A25&lt;&gt;"",IF(INDEX(DiemHKII!$B$4:$K$58,MATCH($A25,DiemHKII!$B$4:$B$58,0),8)&lt;&gt;"",INDEX(DiemHKII!$B$4:$K$58,MATCH($A25,DiemHKII!$B$4:$B$58,0),8),""),"")</f>
        <v/>
      </c>
      <c r="E25" s="284" t="str">
        <f>IF($A25&lt;&gt;"",IF(INDEX(DiemHKII!$B$4:$K$58,MATCH($A25,DiemHKII!$B$4:$B$58,0),9)&lt;&gt;"",INDEX(DiemHKII!$B$4:$K$58,MATCH($A25,DiemHKII!$B$4:$B$58,0),9),""),"")</f>
        <v/>
      </c>
      <c r="F25" s="284" t="str">
        <f>IF($A25&lt;&gt;"",IF(INDEX(DiemHKII!$B$4:$K$58,MATCH($A25,DiemHKII!$B$4:$B$58,0),10)&lt;&gt;"",INDEX(DiemHKII!$B$4:$K$58,MATCH($A25,DiemHKII!$B$4:$B$58,0),10),""),"")</f>
        <v/>
      </c>
      <c r="G25" s="285" t="str">
        <f>IF($A25&lt;&gt;"",IF(INDEX(BDHK2,MATCH($A25,DiemHKII!$B$4:$B$58,0),INDEX($AD$9:$AF$22,MATCH(G$7,$AD$9:$AD$22,0),2))&lt;&gt;"",INDEX(BDHK2,MATCH($A25,DiemHKII!$B$4:$B$58,0),INDEX($AD$9:$AF$22,MATCH(G$7,$AD$9:$AD$22,0),3)),""),"")</f>
        <v/>
      </c>
      <c r="H25" s="286" t="str">
        <f>IF($A25&lt;&gt;"",IF(INDEX(BDHK2,MATCH($A25,DiemHKII!$B$4:$B$58,0),INDEX($AD$9:$AF$22,MATCH(H$7,$AD$9:$AD$22,0),2))&lt;&gt;"",INDEX(BDHK2,MATCH($A25,DiemHKII!$B$4:$B$58,0),INDEX($AD$9:$AF$22,MATCH(H$7,$AD$9:$AD$22,0),3)),""),"")</f>
        <v/>
      </c>
      <c r="I25" s="286" t="str">
        <f>IF($A25&lt;&gt;"",IF(INDEX(BDHK2,MATCH($A25,DiemHKII!$B$4:$B$58,0),INDEX($AD$9:$AF$22,MATCH(I$7,$AD$9:$AD$22,0),2))&lt;&gt;"",INDEX(BDHK2,MATCH($A25,DiemHKII!$B$4:$B$58,0),INDEX($AD$9:$AF$22,MATCH(I$7,$AD$9:$AD$22,0),3)),""),"")</f>
        <v/>
      </c>
      <c r="J25" s="286" t="str">
        <f>IF($A25&lt;&gt;"",IF(INDEX(BDHK2,MATCH($A25,DiemHKII!$B$4:$B$58,0),INDEX($AD$9:$AF$22,MATCH(J$7,$AD$9:$AD$22,0),2))&lt;&gt;"",INDEX(BDHK2,MATCH($A25,DiemHKII!$B$4:$B$58,0),INDEX($AD$9:$AF$22,MATCH(J$7,$AD$9:$AD$22,0),3)),""),"")</f>
        <v/>
      </c>
      <c r="K25" s="286" t="str">
        <f>IF($A25&lt;&gt;"",IF(INDEX(BDHK2,MATCH($A25,DiemHKII!$B$4:$B$58,0),INDEX($AD$9:$AF$22,MATCH(K$7,$AD$9:$AD$22,0),2))&lt;&gt;"",INDEX(BDHK2,MATCH($A25,DiemHKII!$B$4:$B$58,0),INDEX($AD$9:$AF$22,MATCH(K$7,$AD$9:$AD$22,0),3)),""),"")</f>
        <v/>
      </c>
      <c r="L25" s="286" t="str">
        <f>IF($A25&lt;&gt;"",IF(INDEX(BDHK2,MATCH($A25,DiemHKII!$B$4:$B$58,0),INDEX($AD$9:$AF$22,MATCH(L$7,$AD$9:$AD$22,0),2))&lt;&gt;"",INDEX(BDHK2,MATCH($A25,DiemHKII!$B$4:$B$58,0),INDEX($AD$9:$AF$22,MATCH(L$7,$AD$9:$AD$22,0),3)),""),"")</f>
        <v/>
      </c>
      <c r="M25" s="286" t="str">
        <f>IF($A25&lt;&gt;"",IF(INDEX(BDHK2,MATCH($A25,DiemHKII!$B$4:$B$58,0),INDEX($AD$9:$AF$22,MATCH(M$7,$AD$9:$AD$22,0),2))&lt;&gt;"",INDEX(BDHK2,MATCH($A25,DiemHKII!$B$4:$B$58,0),INDEX($AD$9:$AF$22,MATCH(M$7,$AD$9:$AD$22,0),3)),""),"")</f>
        <v/>
      </c>
      <c r="N25" s="286" t="str">
        <f>IF($A25&lt;&gt;"",IF(INDEX(BDHK2,MATCH($A25,DiemHKII!$B$4:$B$58,0),INDEX($AD$9:$AF$22,MATCH(N$7,$AD$9:$AD$22,0),2))&lt;&gt;"",INDEX(BDHK2,MATCH($A25,DiemHKII!$B$4:$B$58,0),INDEX($AD$9:$AF$22,MATCH(N$7,$AD$9:$AD$22,0),3)),""),"")</f>
        <v/>
      </c>
      <c r="O25" s="286" t="str">
        <f>IF($A25&lt;&gt;"",IF(INDEX(BDHK2,MATCH($A25,DiemHKII!$B$4:$B$58,0),INDEX($AD$9:$AF$22,MATCH(O$7,$AD$9:$AD$22,0),2))&lt;&gt;"",INDEX(BDHK2,MATCH($A25,DiemHKII!$B$4:$B$58,0),INDEX($AD$9:$AF$22,MATCH(O$7,$AD$9:$AD$22,0),3)),""),"")</f>
        <v/>
      </c>
      <c r="P25" s="286" t="str">
        <f>IF($A25&lt;&gt;"",IF(INDEX(BDHK2,MATCH($A25,DiemHKII!$B$4:$B$58,0),INDEX($AD$9:$AF$22,MATCH(P$7,$AD$9:$AD$22,0),2))&lt;&gt;"",INDEX(BDHK2,MATCH($A25,DiemHKII!$B$4:$B$58,0),INDEX($AD$9:$AF$22,MATCH(P$7,$AD$9:$AD$22,0),3)),""),"")</f>
        <v/>
      </c>
      <c r="Q25" s="286" t="str">
        <f>IF($A25&lt;&gt;"",IF(INDEX(BDHK2,MATCH($A25,DiemHKII!$B$4:$B$58,0),INDEX($AD$9:$AF$22,MATCH(Q$7,$AD$9:$AD$22,0),2))&lt;&gt;"",INDEX(BDHK2,MATCH($A25,DiemHKII!$B$4:$B$58,0),INDEX($AD$9:$AF$22,MATCH(Q$7,$AD$9:$AD$22,0),3)),""),"")</f>
        <v/>
      </c>
      <c r="R25" s="464" t="str">
        <f>IF($A25&lt;&gt;"",IF(INDEX(BDHK2,MATCH($A25,DiemHKII!$B$4:$B$58,0),INDEX($AD$9:$AF$22,MATCH(R$7,$AD$9:$AD$22,0),2))&lt;&gt;"",INDEX(BDHK2,MATCH($A25,DiemHKII!$B$4:$B$58,0),INDEX($AD$9:$AF$22,MATCH(R$7,$AD$9:$AD$22,0),3)),""),"")</f>
        <v/>
      </c>
      <c r="S25" s="464" t="str">
        <f t="shared" si="8"/>
        <v/>
      </c>
      <c r="T25" s="286" t="str">
        <f>IF($A25&lt;&gt;"",IF(INDEX(BDHK2,MATCH($A25,DiemHKII!$B$4:$B$58,0),INDEX($AD$9:$AF$22,MATCH(T$7,$AD$9:$AD$22,0),2))&lt;&gt;"",INDEX(BDHK2,MATCH($A25,DiemHKII!$B$4:$B$58,0),INDEX($AD$9:$AF$22,MATCH(T$7,$AD$9:$AD$22,0),3)),""),"")</f>
        <v/>
      </c>
      <c r="U25" s="287" t="str">
        <f>IF($A25&lt;&gt;"",IF(INDEX(BDHK2,MATCH($A25,DiemHKII!$B$4:$B$58,0),INDEX($AD$9:$AF$22,MATCH(U$7,$AD$9:$AD$22,0),2))&lt;&gt;"",INDEX(BDHK2,MATCH($A25,DiemHKII!$B$4:$B$58,0),INDEX($AD$9:$AF$22,MATCH(U$7,$AD$9:$AD$22,0),3)),""),"")</f>
        <v/>
      </c>
      <c r="V25" s="288" t="str">
        <f t="shared" si="9"/>
        <v/>
      </c>
      <c r="W25" s="464" t="str">
        <f t="shared" si="10"/>
        <v/>
      </c>
      <c r="X25" s="353"/>
      <c r="Y25" s="289" t="str">
        <f t="shared" si="11"/>
        <v/>
      </c>
      <c r="AA25" s="641" t="str">
        <f t="shared" si="4"/>
        <v/>
      </c>
      <c r="AG25" s="268" t="str">
        <f>IF($A25&lt;&gt;"",INDEX(DiemHKII!$B$4:$K$58,MATCH($A25,DiemHKII!$B$4:$B$58,0),2),"")</f>
        <v>12A1Nguyễn ĐăngKhoa07/11/2004</v>
      </c>
      <c r="AH25" s="674" t="str">
        <f t="shared" si="7"/>
        <v/>
      </c>
      <c r="AI25" s="672" t="str">
        <f t="shared" ca="1" si="6"/>
        <v/>
      </c>
    </row>
    <row r="26" spans="1:35" s="268" customFormat="1" ht="29.1" customHeight="1">
      <c r="A26" s="281">
        <f>IF(A25&lt;MAX(DiemHKII!$B$4:$B$58),A25+1,"")</f>
        <v>19</v>
      </c>
      <c r="B26" s="282" t="str">
        <f>IF($A26&lt;&gt;"",PROPER(INDEX(DiemHKII!$B$4:$K$58,MATCH($A26,DiemHKII!$B$4:$B$58,0),4)),"")</f>
        <v>Lê Tiến</v>
      </c>
      <c r="C26" s="283" t="str">
        <f>IF($A26&lt;&gt;"",PROPER(INDEX(DiemHKII!$B$4:$K$58,MATCH($A26,DiemHKII!$B$4:$B$58,0),5)),"")</f>
        <v>Khôi</v>
      </c>
      <c r="D26" s="284" t="str">
        <f>IF($A26&lt;&gt;"",IF(INDEX(DiemHKII!$B$4:$K$58,MATCH($A26,DiemHKII!$B$4:$B$58,0),8)&lt;&gt;"",INDEX(DiemHKII!$B$4:$K$58,MATCH($A26,DiemHKII!$B$4:$B$58,0),8),""),"")</f>
        <v/>
      </c>
      <c r="E26" s="284" t="str">
        <f>IF($A26&lt;&gt;"",IF(INDEX(DiemHKII!$B$4:$K$58,MATCH($A26,DiemHKII!$B$4:$B$58,0),9)&lt;&gt;"",INDEX(DiemHKII!$B$4:$K$58,MATCH($A26,DiemHKII!$B$4:$B$58,0),9),""),"")</f>
        <v/>
      </c>
      <c r="F26" s="284" t="str">
        <f>IF($A26&lt;&gt;"",IF(INDEX(DiemHKII!$B$4:$K$58,MATCH($A26,DiemHKII!$B$4:$B$58,0),10)&lt;&gt;"",INDEX(DiemHKII!$B$4:$K$58,MATCH($A26,DiemHKII!$B$4:$B$58,0),10),""),"")</f>
        <v/>
      </c>
      <c r="G26" s="285" t="str">
        <f>IF($A26&lt;&gt;"",IF(INDEX(BDHK2,MATCH($A26,DiemHKII!$B$4:$B$58,0),INDEX($AD$9:$AF$22,MATCH(G$7,$AD$9:$AD$22,0),2))&lt;&gt;"",INDEX(BDHK2,MATCH($A26,DiemHKII!$B$4:$B$58,0),INDEX($AD$9:$AF$22,MATCH(G$7,$AD$9:$AD$22,0),3)),""),"")</f>
        <v/>
      </c>
      <c r="H26" s="286" t="str">
        <f>IF($A26&lt;&gt;"",IF(INDEX(BDHK2,MATCH($A26,DiemHKII!$B$4:$B$58,0),INDEX($AD$9:$AF$22,MATCH(H$7,$AD$9:$AD$22,0),2))&lt;&gt;"",INDEX(BDHK2,MATCH($A26,DiemHKII!$B$4:$B$58,0),INDEX($AD$9:$AF$22,MATCH(H$7,$AD$9:$AD$22,0),3)),""),"")</f>
        <v/>
      </c>
      <c r="I26" s="286" t="str">
        <f>IF($A26&lt;&gt;"",IF(INDEX(BDHK2,MATCH($A26,DiemHKII!$B$4:$B$58,0),INDEX($AD$9:$AF$22,MATCH(I$7,$AD$9:$AD$22,0),2))&lt;&gt;"",INDEX(BDHK2,MATCH($A26,DiemHKII!$B$4:$B$58,0),INDEX($AD$9:$AF$22,MATCH(I$7,$AD$9:$AD$22,0),3)),""),"")</f>
        <v/>
      </c>
      <c r="J26" s="286" t="str">
        <f>IF($A26&lt;&gt;"",IF(INDEX(BDHK2,MATCH($A26,DiemHKII!$B$4:$B$58,0),INDEX($AD$9:$AF$22,MATCH(J$7,$AD$9:$AD$22,0),2))&lt;&gt;"",INDEX(BDHK2,MATCH($A26,DiemHKII!$B$4:$B$58,0),INDEX($AD$9:$AF$22,MATCH(J$7,$AD$9:$AD$22,0),3)),""),"")</f>
        <v/>
      </c>
      <c r="K26" s="286" t="str">
        <f>IF($A26&lt;&gt;"",IF(INDEX(BDHK2,MATCH($A26,DiemHKII!$B$4:$B$58,0),INDEX($AD$9:$AF$22,MATCH(K$7,$AD$9:$AD$22,0),2))&lt;&gt;"",INDEX(BDHK2,MATCH($A26,DiemHKII!$B$4:$B$58,0),INDEX($AD$9:$AF$22,MATCH(K$7,$AD$9:$AD$22,0),3)),""),"")</f>
        <v/>
      </c>
      <c r="L26" s="286" t="str">
        <f>IF($A26&lt;&gt;"",IF(INDEX(BDHK2,MATCH($A26,DiemHKII!$B$4:$B$58,0),INDEX($AD$9:$AF$22,MATCH(L$7,$AD$9:$AD$22,0),2))&lt;&gt;"",INDEX(BDHK2,MATCH($A26,DiemHKII!$B$4:$B$58,0),INDEX($AD$9:$AF$22,MATCH(L$7,$AD$9:$AD$22,0),3)),""),"")</f>
        <v/>
      </c>
      <c r="M26" s="286" t="str">
        <f>IF($A26&lt;&gt;"",IF(INDEX(BDHK2,MATCH($A26,DiemHKII!$B$4:$B$58,0),INDEX($AD$9:$AF$22,MATCH(M$7,$AD$9:$AD$22,0),2))&lt;&gt;"",INDEX(BDHK2,MATCH($A26,DiemHKII!$B$4:$B$58,0),INDEX($AD$9:$AF$22,MATCH(M$7,$AD$9:$AD$22,0),3)),""),"")</f>
        <v/>
      </c>
      <c r="N26" s="286" t="str">
        <f>IF($A26&lt;&gt;"",IF(INDEX(BDHK2,MATCH($A26,DiemHKII!$B$4:$B$58,0),INDEX($AD$9:$AF$22,MATCH(N$7,$AD$9:$AD$22,0),2))&lt;&gt;"",INDEX(BDHK2,MATCH($A26,DiemHKII!$B$4:$B$58,0),INDEX($AD$9:$AF$22,MATCH(N$7,$AD$9:$AD$22,0),3)),""),"")</f>
        <v/>
      </c>
      <c r="O26" s="286" t="str">
        <f>IF($A26&lt;&gt;"",IF(INDEX(BDHK2,MATCH($A26,DiemHKII!$B$4:$B$58,0),INDEX($AD$9:$AF$22,MATCH(O$7,$AD$9:$AD$22,0),2))&lt;&gt;"",INDEX(BDHK2,MATCH($A26,DiemHKII!$B$4:$B$58,0),INDEX($AD$9:$AF$22,MATCH(O$7,$AD$9:$AD$22,0),3)),""),"")</f>
        <v/>
      </c>
      <c r="P26" s="286" t="str">
        <f>IF($A26&lt;&gt;"",IF(INDEX(BDHK2,MATCH($A26,DiemHKII!$B$4:$B$58,0),INDEX($AD$9:$AF$22,MATCH(P$7,$AD$9:$AD$22,0),2))&lt;&gt;"",INDEX(BDHK2,MATCH($A26,DiemHKII!$B$4:$B$58,0),INDEX($AD$9:$AF$22,MATCH(P$7,$AD$9:$AD$22,0),3)),""),"")</f>
        <v/>
      </c>
      <c r="Q26" s="286" t="str">
        <f>IF($A26&lt;&gt;"",IF(INDEX(BDHK2,MATCH($A26,DiemHKII!$B$4:$B$58,0),INDEX($AD$9:$AF$22,MATCH(Q$7,$AD$9:$AD$22,0),2))&lt;&gt;"",INDEX(BDHK2,MATCH($A26,DiemHKII!$B$4:$B$58,0),INDEX($AD$9:$AF$22,MATCH(Q$7,$AD$9:$AD$22,0),3)),""),"")</f>
        <v/>
      </c>
      <c r="R26" s="464" t="str">
        <f>IF($A26&lt;&gt;"",IF(INDEX(BDHK2,MATCH($A26,DiemHKII!$B$4:$B$58,0),INDEX($AD$9:$AF$22,MATCH(R$7,$AD$9:$AD$22,0),2))&lt;&gt;"",INDEX(BDHK2,MATCH($A26,DiemHKII!$B$4:$B$58,0),INDEX($AD$9:$AF$22,MATCH(R$7,$AD$9:$AD$22,0),3)),""),"")</f>
        <v/>
      </c>
      <c r="S26" s="464" t="str">
        <f t="shared" si="8"/>
        <v/>
      </c>
      <c r="T26" s="286" t="str">
        <f>IF($A26&lt;&gt;"",IF(INDEX(BDHK2,MATCH($A26,DiemHKII!$B$4:$B$58,0),INDEX($AD$9:$AF$22,MATCH(T$7,$AD$9:$AD$22,0),2))&lt;&gt;"",INDEX(BDHK2,MATCH($A26,DiemHKII!$B$4:$B$58,0),INDEX($AD$9:$AF$22,MATCH(T$7,$AD$9:$AD$22,0),3)),""),"")</f>
        <v/>
      </c>
      <c r="U26" s="287" t="str">
        <f>IF($A26&lt;&gt;"",IF(INDEX(BDHK2,MATCH($A26,DiemHKII!$B$4:$B$58,0),INDEX($AD$9:$AF$22,MATCH(U$7,$AD$9:$AD$22,0),2))&lt;&gt;"",INDEX(BDHK2,MATCH($A26,DiemHKII!$B$4:$B$58,0),INDEX($AD$9:$AF$22,MATCH(U$7,$AD$9:$AD$22,0),3)),""),"")</f>
        <v/>
      </c>
      <c r="V26" s="288" t="str">
        <f t="shared" si="9"/>
        <v/>
      </c>
      <c r="W26" s="464" t="str">
        <f t="shared" si="10"/>
        <v/>
      </c>
      <c r="X26" s="353"/>
      <c r="Y26" s="289" t="str">
        <f t="shared" si="11"/>
        <v/>
      </c>
      <c r="AA26" s="641" t="str">
        <f t="shared" si="4"/>
        <v/>
      </c>
      <c r="AG26" s="268" t="str">
        <f>IF($A26&lt;&gt;"",INDEX(DiemHKII!$B$4:$K$58,MATCH($A26,DiemHKII!$B$4:$B$58,0),2),"")</f>
        <v>12A1Lê TiếnKhôi14/10/2004</v>
      </c>
      <c r="AH26" s="674" t="str">
        <f t="shared" si="7"/>
        <v/>
      </c>
      <c r="AI26" s="672" t="str">
        <f t="shared" ca="1" si="6"/>
        <v/>
      </c>
    </row>
    <row r="27" spans="1:35" s="268" customFormat="1" ht="29.1" customHeight="1" thickBot="1">
      <c r="A27" s="290">
        <f>IF(A26&lt;MAX(DiemHKII!$B$4:$B$58),A26+1,"")</f>
        <v>20</v>
      </c>
      <c r="B27" s="291" t="str">
        <f>IF($A27&lt;&gt;"",PROPER(INDEX(DiemHKII!$B$4:$K$58,MATCH($A27,DiemHKII!$B$4:$B$58,0),4)),"")</f>
        <v>Nguyễn Phúc</v>
      </c>
      <c r="C27" s="292" t="str">
        <f>IF($A27&lt;&gt;"",PROPER(INDEX(DiemHKII!$B$4:$K$58,MATCH($A27,DiemHKII!$B$4:$B$58,0),5)),"")</f>
        <v>Lâm</v>
      </c>
      <c r="D27" s="293" t="str">
        <f>IF($A27&lt;&gt;"",IF(INDEX(DiemHKII!$B$4:$K$58,MATCH($A27,DiemHKII!$B$4:$B$58,0),8)&lt;&gt;"",INDEX(DiemHKII!$B$4:$K$58,MATCH($A27,DiemHKII!$B$4:$B$58,0),8),""),"")</f>
        <v/>
      </c>
      <c r="E27" s="293" t="str">
        <f>IF($A27&lt;&gt;"",IF(INDEX(DiemHKII!$B$4:$K$58,MATCH($A27,DiemHKII!$B$4:$B$58,0),9)&lt;&gt;"",INDEX(DiemHKII!$B$4:$K$58,MATCH($A27,DiemHKII!$B$4:$B$58,0),9),""),"")</f>
        <v/>
      </c>
      <c r="F27" s="293" t="str">
        <f>IF($A27&lt;&gt;"",IF(INDEX(DiemHKII!$B$4:$K$58,MATCH($A27,DiemHKII!$B$4:$B$58,0),10)&lt;&gt;"",INDEX(DiemHKII!$B$4:$K$58,MATCH($A27,DiemHKII!$B$4:$B$58,0),10),""),"")</f>
        <v/>
      </c>
      <c r="G27" s="294" t="str">
        <f>IF($A27&lt;&gt;"",IF(INDEX(BDHK2,MATCH($A27,DiemHKII!$B$4:$B$58,0),INDEX($AD$9:$AF$22,MATCH(G$7,$AD$9:$AD$22,0),2))&lt;&gt;"",INDEX(BDHK2,MATCH($A27,DiemHKII!$B$4:$B$58,0),INDEX($AD$9:$AF$22,MATCH(G$7,$AD$9:$AD$22,0),3)),""),"")</f>
        <v/>
      </c>
      <c r="H27" s="295" t="str">
        <f>IF($A27&lt;&gt;"",IF(INDEX(BDHK2,MATCH($A27,DiemHKII!$B$4:$B$58,0),INDEX($AD$9:$AF$22,MATCH(H$7,$AD$9:$AD$22,0),2))&lt;&gt;"",INDEX(BDHK2,MATCH($A27,DiemHKII!$B$4:$B$58,0),INDEX($AD$9:$AF$22,MATCH(H$7,$AD$9:$AD$22,0),3)),""),"")</f>
        <v/>
      </c>
      <c r="I27" s="295" t="str">
        <f>IF($A27&lt;&gt;"",IF(INDEX(BDHK2,MATCH($A27,DiemHKII!$B$4:$B$58,0),INDEX($AD$9:$AF$22,MATCH(I$7,$AD$9:$AD$22,0),2))&lt;&gt;"",INDEX(BDHK2,MATCH($A27,DiemHKII!$B$4:$B$58,0),INDEX($AD$9:$AF$22,MATCH(I$7,$AD$9:$AD$22,0),3)),""),"")</f>
        <v/>
      </c>
      <c r="J27" s="295" t="str">
        <f>IF($A27&lt;&gt;"",IF(INDEX(BDHK2,MATCH($A27,DiemHKII!$B$4:$B$58,0),INDEX($AD$9:$AF$22,MATCH(J$7,$AD$9:$AD$22,0),2))&lt;&gt;"",INDEX(BDHK2,MATCH($A27,DiemHKII!$B$4:$B$58,0),INDEX($AD$9:$AF$22,MATCH(J$7,$AD$9:$AD$22,0),3)),""),"")</f>
        <v/>
      </c>
      <c r="K27" s="295" t="str">
        <f>IF($A27&lt;&gt;"",IF(INDEX(BDHK2,MATCH($A27,DiemHKII!$B$4:$B$58,0),INDEX($AD$9:$AF$22,MATCH(K$7,$AD$9:$AD$22,0),2))&lt;&gt;"",INDEX(BDHK2,MATCH($A27,DiemHKII!$B$4:$B$58,0),INDEX($AD$9:$AF$22,MATCH(K$7,$AD$9:$AD$22,0),3)),""),"")</f>
        <v/>
      </c>
      <c r="L27" s="295" t="str">
        <f>IF($A27&lt;&gt;"",IF(INDEX(BDHK2,MATCH($A27,DiemHKII!$B$4:$B$58,0),INDEX($AD$9:$AF$22,MATCH(L$7,$AD$9:$AD$22,0),2))&lt;&gt;"",INDEX(BDHK2,MATCH($A27,DiemHKII!$B$4:$B$58,0),INDEX($AD$9:$AF$22,MATCH(L$7,$AD$9:$AD$22,0),3)),""),"")</f>
        <v/>
      </c>
      <c r="M27" s="295" t="str">
        <f>IF($A27&lt;&gt;"",IF(INDEX(BDHK2,MATCH($A27,DiemHKII!$B$4:$B$58,0),INDEX($AD$9:$AF$22,MATCH(M$7,$AD$9:$AD$22,0),2))&lt;&gt;"",INDEX(BDHK2,MATCH($A27,DiemHKII!$B$4:$B$58,0),INDEX($AD$9:$AF$22,MATCH(M$7,$AD$9:$AD$22,0),3)),""),"")</f>
        <v/>
      </c>
      <c r="N27" s="295" t="str">
        <f>IF($A27&lt;&gt;"",IF(INDEX(BDHK2,MATCH($A27,DiemHKII!$B$4:$B$58,0),INDEX($AD$9:$AF$22,MATCH(N$7,$AD$9:$AD$22,0),2))&lt;&gt;"",INDEX(BDHK2,MATCH($A27,DiemHKII!$B$4:$B$58,0),INDEX($AD$9:$AF$22,MATCH(N$7,$AD$9:$AD$22,0),3)),""),"")</f>
        <v/>
      </c>
      <c r="O27" s="295" t="str">
        <f>IF($A27&lt;&gt;"",IF(INDEX(BDHK2,MATCH($A27,DiemHKII!$B$4:$B$58,0),INDEX($AD$9:$AF$22,MATCH(O$7,$AD$9:$AD$22,0),2))&lt;&gt;"",INDEX(BDHK2,MATCH($A27,DiemHKII!$B$4:$B$58,0),INDEX($AD$9:$AF$22,MATCH(O$7,$AD$9:$AD$22,0),3)),""),"")</f>
        <v/>
      </c>
      <c r="P27" s="295" t="str">
        <f>IF($A27&lt;&gt;"",IF(INDEX(BDHK2,MATCH($A27,DiemHKII!$B$4:$B$58,0),INDEX($AD$9:$AF$22,MATCH(P$7,$AD$9:$AD$22,0),2))&lt;&gt;"",INDEX(BDHK2,MATCH($A27,DiemHKII!$B$4:$B$58,0),INDEX($AD$9:$AF$22,MATCH(P$7,$AD$9:$AD$22,0),3)),""),"")</f>
        <v/>
      </c>
      <c r="Q27" s="295" t="str">
        <f>IF($A27&lt;&gt;"",IF(INDEX(BDHK2,MATCH($A27,DiemHKII!$B$4:$B$58,0),INDEX($AD$9:$AF$22,MATCH(Q$7,$AD$9:$AD$22,0),2))&lt;&gt;"",INDEX(BDHK2,MATCH($A27,DiemHKII!$B$4:$B$58,0),INDEX($AD$9:$AF$22,MATCH(Q$7,$AD$9:$AD$22,0),3)),""),"")</f>
        <v/>
      </c>
      <c r="R27" s="296" t="str">
        <f>IF($A27&lt;&gt;"",IF(INDEX(BDHK2,MATCH($A27,DiemHKII!$B$4:$B$58,0),INDEX($AD$9:$AF$22,MATCH(R$7,$AD$9:$AD$22,0),2))&lt;&gt;"",INDEX(BDHK2,MATCH($A27,DiemHKII!$B$4:$B$58,0),INDEX($AD$9:$AF$22,MATCH(R$7,$AD$9:$AD$22,0),3)),""),"")</f>
        <v/>
      </c>
      <c r="S27" s="296" t="str">
        <f t="shared" si="8"/>
        <v/>
      </c>
      <c r="T27" s="295" t="str">
        <f>IF($A27&lt;&gt;"",IF(INDEX(BDHK2,MATCH($A27,DiemHKII!$B$4:$B$58,0),INDEX($AD$9:$AF$22,MATCH(T$7,$AD$9:$AD$22,0),2))&lt;&gt;"",INDEX(BDHK2,MATCH($A27,DiemHKII!$B$4:$B$58,0),INDEX($AD$9:$AF$22,MATCH(T$7,$AD$9:$AD$22,0),3)),""),"")</f>
        <v/>
      </c>
      <c r="U27" s="297" t="str">
        <f>IF($A27&lt;&gt;"",IF(INDEX(BDHK2,MATCH($A27,DiemHKII!$B$4:$B$58,0),INDEX($AD$9:$AF$22,MATCH(U$7,$AD$9:$AD$22,0),2))&lt;&gt;"",INDEX(BDHK2,MATCH($A27,DiemHKII!$B$4:$B$58,0),INDEX($AD$9:$AF$22,MATCH(U$7,$AD$9:$AD$22,0),3)),""),"")</f>
        <v/>
      </c>
      <c r="V27" s="298" t="str">
        <f t="shared" si="9"/>
        <v/>
      </c>
      <c r="W27" s="296" t="str">
        <f t="shared" si="10"/>
        <v/>
      </c>
      <c r="X27" s="354"/>
      <c r="Y27" s="299" t="str">
        <f t="shared" si="11"/>
        <v/>
      </c>
      <c r="AA27" s="641" t="str">
        <f t="shared" si="4"/>
        <v/>
      </c>
      <c r="AG27" s="268" t="str">
        <f>IF($A27&lt;&gt;"",INDEX(DiemHKII!$B$4:$K$58,MATCH($A27,DiemHKII!$B$4:$B$58,0),2),"")</f>
        <v>12A1Nguyễn PhúcLâm02/04/2004</v>
      </c>
      <c r="AH27" s="674" t="str">
        <f t="shared" si="7"/>
        <v/>
      </c>
      <c r="AI27" s="672" t="str">
        <f t="shared" ca="1" si="6"/>
        <v/>
      </c>
    </row>
    <row r="28" spans="1:35" s="268" customFormat="1" ht="29.1" customHeight="1">
      <c r="A28" s="274">
        <f>IF(A27&lt;MAX(DiemHKII!$B$4:$B$58),A27+1,"")</f>
        <v>21</v>
      </c>
      <c r="B28" s="275" t="str">
        <f>IF($A28&lt;&gt;"",PROPER(INDEX(DiemHKII!$B$4:$K$58,MATCH($A28,DiemHKII!$B$4:$B$58,0),4)),"")</f>
        <v>Phạm Tấn</v>
      </c>
      <c r="C28" s="276" t="str">
        <f>IF($A28&lt;&gt;"",PROPER(INDEX(DiemHKII!$B$4:$K$58,MATCH($A28,DiemHKII!$B$4:$B$58,0),5)),"")</f>
        <v>Lộc</v>
      </c>
      <c r="D28" s="277" t="str">
        <f>IF($A28&lt;&gt;"",IF(INDEX(DiemHKII!$B$4:$K$58,MATCH($A28,DiemHKII!$B$4:$B$58,0),8)&lt;&gt;"",INDEX(DiemHKII!$B$4:$K$58,MATCH($A28,DiemHKII!$B$4:$B$58,0),8),""),"")</f>
        <v/>
      </c>
      <c r="E28" s="277" t="str">
        <f>IF($A28&lt;&gt;"",IF(INDEX(DiemHKII!$B$4:$K$58,MATCH($A28,DiemHKII!$B$4:$B$58,0),9)&lt;&gt;"",INDEX(DiemHKII!$B$4:$K$58,MATCH($A28,DiemHKII!$B$4:$B$58,0),9),""),"")</f>
        <v/>
      </c>
      <c r="F28" s="277" t="str">
        <f>IF($A28&lt;&gt;"",IF(INDEX(DiemHKII!$B$4:$K$58,MATCH($A28,DiemHKII!$B$4:$B$58,0),10)&lt;&gt;"",INDEX(DiemHKII!$B$4:$K$58,MATCH($A28,DiemHKII!$B$4:$B$58,0),10),""),"")</f>
        <v/>
      </c>
      <c r="G28" s="443" t="str">
        <f>IF($A28&lt;&gt;"",IF(INDEX(BDHK2,MATCH($A28,DiemHKII!$B$4:$B$58,0),INDEX($AD$9:$AF$22,MATCH(G$7,$AD$9:$AD$22,0),2))&lt;&gt;"",INDEX(BDHK2,MATCH($A28,DiemHKII!$B$4:$B$58,0),INDEX($AD$9:$AF$22,MATCH(G$7,$AD$9:$AD$22,0),3)),""),"")</f>
        <v/>
      </c>
      <c r="H28" s="301" t="str">
        <f>IF($A28&lt;&gt;"",IF(INDEX(BDHK2,MATCH($A28,DiemHKII!$B$4:$B$58,0),INDEX($AD$9:$AF$22,MATCH(H$7,$AD$9:$AD$22,0),2))&lt;&gt;"",INDEX(BDHK2,MATCH($A28,DiemHKII!$B$4:$B$58,0),INDEX($AD$9:$AF$22,MATCH(H$7,$AD$9:$AD$22,0),3)),""),"")</f>
        <v/>
      </c>
      <c r="I28" s="301" t="str">
        <f>IF($A28&lt;&gt;"",IF(INDEX(BDHK2,MATCH($A28,DiemHKII!$B$4:$B$58,0),INDEX($AD$9:$AF$22,MATCH(I$7,$AD$9:$AD$22,0),2))&lt;&gt;"",INDEX(BDHK2,MATCH($A28,DiemHKII!$B$4:$B$58,0),INDEX($AD$9:$AF$22,MATCH(I$7,$AD$9:$AD$22,0),3)),""),"")</f>
        <v/>
      </c>
      <c r="J28" s="301" t="str">
        <f>IF($A28&lt;&gt;"",IF(INDEX(BDHK2,MATCH($A28,DiemHKII!$B$4:$B$58,0),INDEX($AD$9:$AF$22,MATCH(J$7,$AD$9:$AD$22,0),2))&lt;&gt;"",INDEX(BDHK2,MATCH($A28,DiemHKII!$B$4:$B$58,0),INDEX($AD$9:$AF$22,MATCH(J$7,$AD$9:$AD$22,0),3)),""),"")</f>
        <v/>
      </c>
      <c r="K28" s="301" t="str">
        <f>IF($A28&lt;&gt;"",IF(INDEX(BDHK2,MATCH($A28,DiemHKII!$B$4:$B$58,0),INDEX($AD$9:$AF$22,MATCH(K$7,$AD$9:$AD$22,0),2))&lt;&gt;"",INDEX(BDHK2,MATCH($A28,DiemHKII!$B$4:$B$58,0),INDEX($AD$9:$AF$22,MATCH(K$7,$AD$9:$AD$22,0),3)),""),"")</f>
        <v/>
      </c>
      <c r="L28" s="301" t="str">
        <f>IF($A28&lt;&gt;"",IF(INDEX(BDHK2,MATCH($A28,DiemHKII!$B$4:$B$58,0),INDEX($AD$9:$AF$22,MATCH(L$7,$AD$9:$AD$22,0),2))&lt;&gt;"",INDEX(BDHK2,MATCH($A28,DiemHKII!$B$4:$B$58,0),INDEX($AD$9:$AF$22,MATCH(L$7,$AD$9:$AD$22,0),3)),""),"")</f>
        <v/>
      </c>
      <c r="M28" s="301" t="str">
        <f>IF($A28&lt;&gt;"",IF(INDEX(BDHK2,MATCH($A28,DiemHKII!$B$4:$B$58,0),INDEX($AD$9:$AF$22,MATCH(M$7,$AD$9:$AD$22,0),2))&lt;&gt;"",INDEX(BDHK2,MATCH($A28,DiemHKII!$B$4:$B$58,0),INDEX($AD$9:$AF$22,MATCH(M$7,$AD$9:$AD$22,0),3)),""),"")</f>
        <v/>
      </c>
      <c r="N28" s="301" t="str">
        <f>IF($A28&lt;&gt;"",IF(INDEX(BDHK2,MATCH($A28,DiemHKII!$B$4:$B$58,0),INDEX($AD$9:$AF$22,MATCH(N$7,$AD$9:$AD$22,0),2))&lt;&gt;"",INDEX(BDHK2,MATCH($A28,DiemHKII!$B$4:$B$58,0),INDEX($AD$9:$AF$22,MATCH(N$7,$AD$9:$AD$22,0),3)),""),"")</f>
        <v/>
      </c>
      <c r="O28" s="301" t="str">
        <f>IF($A28&lt;&gt;"",IF(INDEX(BDHK2,MATCH($A28,DiemHKII!$B$4:$B$58,0),INDEX($AD$9:$AF$22,MATCH(O$7,$AD$9:$AD$22,0),2))&lt;&gt;"",INDEX(BDHK2,MATCH($A28,DiemHKII!$B$4:$B$58,0),INDEX($AD$9:$AF$22,MATCH(O$7,$AD$9:$AD$22,0),3)),""),"")</f>
        <v/>
      </c>
      <c r="P28" s="301" t="str">
        <f>IF($A28&lt;&gt;"",IF(INDEX(BDHK2,MATCH($A28,DiemHKII!$B$4:$B$58,0),INDEX($AD$9:$AF$22,MATCH(P$7,$AD$9:$AD$22,0),2))&lt;&gt;"",INDEX(BDHK2,MATCH($A28,DiemHKII!$B$4:$B$58,0),INDEX($AD$9:$AF$22,MATCH(P$7,$AD$9:$AD$22,0),3)),""),"")</f>
        <v/>
      </c>
      <c r="Q28" s="301" t="str">
        <f>IF($A28&lt;&gt;"",IF(INDEX(BDHK2,MATCH($A28,DiemHKII!$B$4:$B$58,0),INDEX($AD$9:$AF$22,MATCH(Q$7,$AD$9:$AD$22,0),2))&lt;&gt;"",INDEX(BDHK2,MATCH($A28,DiemHKII!$B$4:$B$58,0),INDEX($AD$9:$AF$22,MATCH(Q$7,$AD$9:$AD$22,0),3)),""),"")</f>
        <v/>
      </c>
      <c r="R28" s="279" t="str">
        <f>IF($A28&lt;&gt;"",IF(INDEX(BDHK2,MATCH($A28,DiemHKII!$B$4:$B$58,0),INDEX($AD$9:$AF$22,MATCH(R$7,$AD$9:$AD$22,0),2))&lt;&gt;"",INDEX(BDHK2,MATCH($A28,DiemHKII!$B$4:$B$58,0),INDEX($AD$9:$AF$22,MATCH(R$7,$AD$9:$AD$22,0),3)),""),"")</f>
        <v/>
      </c>
      <c r="S28" s="279" t="str">
        <f t="shared" si="8"/>
        <v/>
      </c>
      <c r="T28" s="301" t="str">
        <f>IF($A28&lt;&gt;"",IF(INDEX(BDHK2,MATCH($A28,DiemHKII!$B$4:$B$58,0),INDEX($AD$9:$AF$22,MATCH(T$7,$AD$9:$AD$22,0),2))&lt;&gt;"",INDEX(BDHK2,MATCH($A28,DiemHKII!$B$4:$B$58,0),INDEX($AD$9:$AF$22,MATCH(T$7,$AD$9:$AD$22,0),3)),""),"")</f>
        <v/>
      </c>
      <c r="U28" s="302" t="str">
        <f>IF($A28&lt;&gt;"",IF(INDEX(BDHK2,MATCH($A28,DiemHKII!$B$4:$B$58,0),INDEX($AD$9:$AF$22,MATCH(U$7,$AD$9:$AD$22,0),2))&lt;&gt;"",INDEX(BDHK2,MATCH($A28,DiemHKII!$B$4:$B$58,0),INDEX($AD$9:$AF$22,MATCH(U$7,$AD$9:$AD$22,0),3)),""),"")</f>
        <v/>
      </c>
      <c r="V28" s="278" t="str">
        <f t="shared" si="9"/>
        <v/>
      </c>
      <c r="W28" s="279" t="str">
        <f t="shared" si="10"/>
        <v/>
      </c>
      <c r="X28" s="352"/>
      <c r="Y28" s="280" t="str">
        <f t="shared" si="11"/>
        <v/>
      </c>
      <c r="AA28" s="641" t="str">
        <f t="shared" si="4"/>
        <v/>
      </c>
      <c r="AG28" s="268" t="str">
        <f>IF($A28&lt;&gt;"",INDEX(DiemHKII!$B$4:$K$58,MATCH($A28,DiemHKII!$B$4:$B$58,0),2),"")</f>
        <v>12A1Phạm TấnLộc05/07/2004</v>
      </c>
      <c r="AH28" s="674" t="str">
        <f t="shared" si="7"/>
        <v/>
      </c>
      <c r="AI28" s="672" t="str">
        <f t="shared" ca="1" si="6"/>
        <v/>
      </c>
    </row>
    <row r="29" spans="1:35" s="268" customFormat="1" ht="29.1" customHeight="1">
      <c r="A29" s="281">
        <f>IF(A28&lt;MAX(DiemHKII!$B$4:$B$58),A28+1,"")</f>
        <v>22</v>
      </c>
      <c r="B29" s="282" t="str">
        <f>IF($A29&lt;&gt;"",PROPER(INDEX(DiemHKII!$B$4:$K$58,MATCH($A29,DiemHKII!$B$4:$B$58,0),4)),"")</f>
        <v xml:space="preserve">Phạm Thị Khả </v>
      </c>
      <c r="C29" s="283" t="str">
        <f>IF($A29&lt;&gt;"",PROPER(INDEX(DiemHKII!$B$4:$K$58,MATCH($A29,DiemHKII!$B$4:$B$58,0),5)),"")</f>
        <v>My</v>
      </c>
      <c r="D29" s="284" t="str">
        <f>IF($A29&lt;&gt;"",IF(INDEX(DiemHKII!$B$4:$K$58,MATCH($A29,DiemHKII!$B$4:$B$58,0),8)&lt;&gt;"",INDEX(DiemHKII!$B$4:$K$58,MATCH($A29,DiemHKII!$B$4:$B$58,0),8),""),"")</f>
        <v/>
      </c>
      <c r="E29" s="284" t="str">
        <f>IF($A29&lt;&gt;"",IF(INDEX(DiemHKII!$B$4:$K$58,MATCH($A29,DiemHKII!$B$4:$B$58,0),9)&lt;&gt;"",INDEX(DiemHKII!$B$4:$K$58,MATCH($A29,DiemHKII!$B$4:$B$58,0),9),""),"")</f>
        <v/>
      </c>
      <c r="F29" s="284" t="str">
        <f>IF($A29&lt;&gt;"",IF(INDEX(DiemHKII!$B$4:$K$58,MATCH($A29,DiemHKII!$B$4:$B$58,0),10)&lt;&gt;"",INDEX(DiemHKII!$B$4:$K$58,MATCH($A29,DiemHKII!$B$4:$B$58,0),10),""),"")</f>
        <v/>
      </c>
      <c r="G29" s="285" t="str">
        <f>IF($A29&lt;&gt;"",IF(INDEX(BDHK2,MATCH($A29,DiemHKII!$B$4:$B$58,0),INDEX($AD$9:$AF$22,MATCH(G$7,$AD$9:$AD$22,0),2))&lt;&gt;"",INDEX(BDHK2,MATCH($A29,DiemHKII!$B$4:$B$58,0),INDEX($AD$9:$AF$22,MATCH(G$7,$AD$9:$AD$22,0),3)),""),"")</f>
        <v/>
      </c>
      <c r="H29" s="286" t="str">
        <f>IF($A29&lt;&gt;"",IF(INDEX(BDHK2,MATCH($A29,DiemHKII!$B$4:$B$58,0),INDEX($AD$9:$AF$22,MATCH(H$7,$AD$9:$AD$22,0),2))&lt;&gt;"",INDEX(BDHK2,MATCH($A29,DiemHKII!$B$4:$B$58,0),INDEX($AD$9:$AF$22,MATCH(H$7,$AD$9:$AD$22,0),3)),""),"")</f>
        <v/>
      </c>
      <c r="I29" s="286" t="str">
        <f>IF($A29&lt;&gt;"",IF(INDEX(BDHK2,MATCH($A29,DiemHKII!$B$4:$B$58,0),INDEX($AD$9:$AF$22,MATCH(I$7,$AD$9:$AD$22,0),2))&lt;&gt;"",INDEX(BDHK2,MATCH($A29,DiemHKII!$B$4:$B$58,0),INDEX($AD$9:$AF$22,MATCH(I$7,$AD$9:$AD$22,0),3)),""),"")</f>
        <v/>
      </c>
      <c r="J29" s="286" t="str">
        <f>IF($A29&lt;&gt;"",IF(INDEX(BDHK2,MATCH($A29,DiemHKII!$B$4:$B$58,0),INDEX($AD$9:$AF$22,MATCH(J$7,$AD$9:$AD$22,0),2))&lt;&gt;"",INDEX(BDHK2,MATCH($A29,DiemHKII!$B$4:$B$58,0),INDEX($AD$9:$AF$22,MATCH(J$7,$AD$9:$AD$22,0),3)),""),"")</f>
        <v/>
      </c>
      <c r="K29" s="286" t="str">
        <f>IF($A29&lt;&gt;"",IF(INDEX(BDHK2,MATCH($A29,DiemHKII!$B$4:$B$58,0),INDEX($AD$9:$AF$22,MATCH(K$7,$AD$9:$AD$22,0),2))&lt;&gt;"",INDEX(BDHK2,MATCH($A29,DiemHKII!$B$4:$B$58,0),INDEX($AD$9:$AF$22,MATCH(K$7,$AD$9:$AD$22,0),3)),""),"")</f>
        <v/>
      </c>
      <c r="L29" s="286" t="str">
        <f>IF($A29&lt;&gt;"",IF(INDEX(BDHK2,MATCH($A29,DiemHKII!$B$4:$B$58,0),INDEX($AD$9:$AF$22,MATCH(L$7,$AD$9:$AD$22,0),2))&lt;&gt;"",INDEX(BDHK2,MATCH($A29,DiemHKII!$B$4:$B$58,0),INDEX($AD$9:$AF$22,MATCH(L$7,$AD$9:$AD$22,0),3)),""),"")</f>
        <v/>
      </c>
      <c r="M29" s="286" t="str">
        <f>IF($A29&lt;&gt;"",IF(INDEX(BDHK2,MATCH($A29,DiemHKII!$B$4:$B$58,0),INDEX($AD$9:$AF$22,MATCH(M$7,$AD$9:$AD$22,0),2))&lt;&gt;"",INDEX(BDHK2,MATCH($A29,DiemHKII!$B$4:$B$58,0),INDEX($AD$9:$AF$22,MATCH(M$7,$AD$9:$AD$22,0),3)),""),"")</f>
        <v/>
      </c>
      <c r="N29" s="286" t="str">
        <f>IF($A29&lt;&gt;"",IF(INDEX(BDHK2,MATCH($A29,DiemHKII!$B$4:$B$58,0),INDEX($AD$9:$AF$22,MATCH(N$7,$AD$9:$AD$22,0),2))&lt;&gt;"",INDEX(BDHK2,MATCH($A29,DiemHKII!$B$4:$B$58,0),INDEX($AD$9:$AF$22,MATCH(N$7,$AD$9:$AD$22,0),3)),""),"")</f>
        <v/>
      </c>
      <c r="O29" s="286" t="str">
        <f>IF($A29&lt;&gt;"",IF(INDEX(BDHK2,MATCH($A29,DiemHKII!$B$4:$B$58,0),INDEX($AD$9:$AF$22,MATCH(O$7,$AD$9:$AD$22,0),2))&lt;&gt;"",INDEX(BDHK2,MATCH($A29,DiemHKII!$B$4:$B$58,0),INDEX($AD$9:$AF$22,MATCH(O$7,$AD$9:$AD$22,0),3)),""),"")</f>
        <v/>
      </c>
      <c r="P29" s="286" t="str">
        <f>IF($A29&lt;&gt;"",IF(INDEX(BDHK2,MATCH($A29,DiemHKII!$B$4:$B$58,0),INDEX($AD$9:$AF$22,MATCH(P$7,$AD$9:$AD$22,0),2))&lt;&gt;"",INDEX(BDHK2,MATCH($A29,DiemHKII!$B$4:$B$58,0),INDEX($AD$9:$AF$22,MATCH(P$7,$AD$9:$AD$22,0),3)),""),"")</f>
        <v/>
      </c>
      <c r="Q29" s="286" t="str">
        <f>IF($A29&lt;&gt;"",IF(INDEX(BDHK2,MATCH($A29,DiemHKII!$B$4:$B$58,0),INDEX($AD$9:$AF$22,MATCH(Q$7,$AD$9:$AD$22,0),2))&lt;&gt;"",INDEX(BDHK2,MATCH($A29,DiemHKII!$B$4:$B$58,0),INDEX($AD$9:$AF$22,MATCH(Q$7,$AD$9:$AD$22,0),3)),""),"")</f>
        <v/>
      </c>
      <c r="R29" s="464" t="str">
        <f>IF($A29&lt;&gt;"",IF(INDEX(BDHK2,MATCH($A29,DiemHKII!$B$4:$B$58,0),INDEX($AD$9:$AF$22,MATCH(R$7,$AD$9:$AD$22,0),2))&lt;&gt;"",INDEX(BDHK2,MATCH($A29,DiemHKII!$B$4:$B$58,0),INDEX($AD$9:$AF$22,MATCH(R$7,$AD$9:$AD$22,0),3)),""),"")</f>
        <v/>
      </c>
      <c r="S29" s="464" t="str">
        <f t="shared" si="8"/>
        <v/>
      </c>
      <c r="T29" s="286" t="str">
        <f>IF($A29&lt;&gt;"",IF(INDEX(BDHK2,MATCH($A29,DiemHKII!$B$4:$B$58,0),INDEX($AD$9:$AF$22,MATCH(T$7,$AD$9:$AD$22,0),2))&lt;&gt;"",INDEX(BDHK2,MATCH($A29,DiemHKII!$B$4:$B$58,0),INDEX($AD$9:$AF$22,MATCH(T$7,$AD$9:$AD$22,0),3)),""),"")</f>
        <v/>
      </c>
      <c r="U29" s="287" t="str">
        <f>IF($A29&lt;&gt;"",IF(INDEX(BDHK2,MATCH($A29,DiemHKII!$B$4:$B$58,0),INDEX($AD$9:$AF$22,MATCH(U$7,$AD$9:$AD$22,0),2))&lt;&gt;"",INDEX(BDHK2,MATCH($A29,DiemHKII!$B$4:$B$58,0),INDEX($AD$9:$AF$22,MATCH(U$7,$AD$9:$AD$22,0),3)),""),"")</f>
        <v/>
      </c>
      <c r="V29" s="288" t="str">
        <f t="shared" si="9"/>
        <v/>
      </c>
      <c r="W29" s="464" t="str">
        <f t="shared" si="10"/>
        <v/>
      </c>
      <c r="X29" s="353"/>
      <c r="Y29" s="289" t="str">
        <f t="shared" si="11"/>
        <v/>
      </c>
      <c r="AA29" s="641" t="str">
        <f t="shared" si="4"/>
        <v/>
      </c>
      <c r="AG29" s="268" t="str">
        <f>IF($A29&lt;&gt;"",INDEX(DiemHKII!$B$4:$K$58,MATCH($A29,DiemHKII!$B$4:$B$58,0),2),"")</f>
        <v>12A1Phạm Thị KhảMy28/02/2004</v>
      </c>
      <c r="AH29" s="674" t="str">
        <f t="shared" si="7"/>
        <v/>
      </c>
      <c r="AI29" s="672" t="str">
        <f t="shared" ca="1" si="6"/>
        <v/>
      </c>
    </row>
    <row r="30" spans="1:35" s="268" customFormat="1" ht="29.1" customHeight="1">
      <c r="A30" s="281">
        <f>IF(A29&lt;MAX(DiemHKII!$B$4:$B$58),A29+1,"")</f>
        <v>23</v>
      </c>
      <c r="B30" s="282" t="str">
        <f>IF($A30&lt;&gt;"",PROPER(INDEX(DiemHKII!$B$4:$K$58,MATCH($A30,DiemHKII!$B$4:$B$58,0),4)),"")</f>
        <v>Lê</v>
      </c>
      <c r="C30" s="283" t="str">
        <f>IF($A30&lt;&gt;"",PROPER(INDEX(DiemHKII!$B$4:$K$58,MATCH($A30,DiemHKII!$B$4:$B$58,0),5)),"")</f>
        <v>Na</v>
      </c>
      <c r="D30" s="284" t="str">
        <f>IF($A30&lt;&gt;"",IF(INDEX(DiemHKII!$B$4:$K$58,MATCH($A30,DiemHKII!$B$4:$B$58,0),8)&lt;&gt;"",INDEX(DiemHKII!$B$4:$K$58,MATCH($A30,DiemHKII!$B$4:$B$58,0),8),""),"")</f>
        <v/>
      </c>
      <c r="E30" s="284" t="str">
        <f>IF($A30&lt;&gt;"",IF(INDEX(DiemHKII!$B$4:$K$58,MATCH($A30,DiemHKII!$B$4:$B$58,0),9)&lt;&gt;"",INDEX(DiemHKII!$B$4:$K$58,MATCH($A30,DiemHKII!$B$4:$B$58,0),9),""),"")</f>
        <v/>
      </c>
      <c r="F30" s="284" t="str">
        <f>IF($A30&lt;&gt;"",IF(INDEX(DiemHKII!$B$4:$K$58,MATCH($A30,DiemHKII!$B$4:$B$58,0),10)&lt;&gt;"",INDEX(DiemHKII!$B$4:$K$58,MATCH($A30,DiemHKII!$B$4:$B$58,0),10),""),"")</f>
        <v/>
      </c>
      <c r="G30" s="285" t="str">
        <f>IF($A30&lt;&gt;"",IF(INDEX(BDHK2,MATCH($A30,DiemHKII!$B$4:$B$58,0),INDEX($AD$9:$AF$22,MATCH(G$7,$AD$9:$AD$22,0),2))&lt;&gt;"",INDEX(BDHK2,MATCH($A30,DiemHKII!$B$4:$B$58,0),INDEX($AD$9:$AF$22,MATCH(G$7,$AD$9:$AD$22,0),3)),""),"")</f>
        <v/>
      </c>
      <c r="H30" s="286" t="str">
        <f>IF($A30&lt;&gt;"",IF(INDEX(BDHK2,MATCH($A30,DiemHKII!$B$4:$B$58,0),INDEX($AD$9:$AF$22,MATCH(H$7,$AD$9:$AD$22,0),2))&lt;&gt;"",INDEX(BDHK2,MATCH($A30,DiemHKII!$B$4:$B$58,0),INDEX($AD$9:$AF$22,MATCH(H$7,$AD$9:$AD$22,0),3)),""),"")</f>
        <v/>
      </c>
      <c r="I30" s="286" t="str">
        <f>IF($A30&lt;&gt;"",IF(INDEX(BDHK2,MATCH($A30,DiemHKII!$B$4:$B$58,0),INDEX($AD$9:$AF$22,MATCH(I$7,$AD$9:$AD$22,0),2))&lt;&gt;"",INDEX(BDHK2,MATCH($A30,DiemHKII!$B$4:$B$58,0),INDEX($AD$9:$AF$22,MATCH(I$7,$AD$9:$AD$22,0),3)),""),"")</f>
        <v/>
      </c>
      <c r="J30" s="286" t="str">
        <f>IF($A30&lt;&gt;"",IF(INDEX(BDHK2,MATCH($A30,DiemHKII!$B$4:$B$58,0),INDEX($AD$9:$AF$22,MATCH(J$7,$AD$9:$AD$22,0),2))&lt;&gt;"",INDEX(BDHK2,MATCH($A30,DiemHKII!$B$4:$B$58,0),INDEX($AD$9:$AF$22,MATCH(J$7,$AD$9:$AD$22,0),3)),""),"")</f>
        <v/>
      </c>
      <c r="K30" s="286" t="str">
        <f>IF($A30&lt;&gt;"",IF(INDEX(BDHK2,MATCH($A30,DiemHKII!$B$4:$B$58,0),INDEX($AD$9:$AF$22,MATCH(K$7,$AD$9:$AD$22,0),2))&lt;&gt;"",INDEX(BDHK2,MATCH($A30,DiemHKII!$B$4:$B$58,0),INDEX($AD$9:$AF$22,MATCH(K$7,$AD$9:$AD$22,0),3)),""),"")</f>
        <v/>
      </c>
      <c r="L30" s="286" t="str">
        <f>IF($A30&lt;&gt;"",IF(INDEX(BDHK2,MATCH($A30,DiemHKII!$B$4:$B$58,0),INDEX($AD$9:$AF$22,MATCH(L$7,$AD$9:$AD$22,0),2))&lt;&gt;"",INDEX(BDHK2,MATCH($A30,DiemHKII!$B$4:$B$58,0),INDEX($AD$9:$AF$22,MATCH(L$7,$AD$9:$AD$22,0),3)),""),"")</f>
        <v/>
      </c>
      <c r="M30" s="286" t="str">
        <f>IF($A30&lt;&gt;"",IF(INDEX(BDHK2,MATCH($A30,DiemHKII!$B$4:$B$58,0),INDEX($AD$9:$AF$22,MATCH(M$7,$AD$9:$AD$22,0),2))&lt;&gt;"",INDEX(BDHK2,MATCH($A30,DiemHKII!$B$4:$B$58,0),INDEX($AD$9:$AF$22,MATCH(M$7,$AD$9:$AD$22,0),3)),""),"")</f>
        <v/>
      </c>
      <c r="N30" s="286" t="str">
        <f>IF($A30&lt;&gt;"",IF(INDEX(BDHK2,MATCH($A30,DiemHKII!$B$4:$B$58,0),INDEX($AD$9:$AF$22,MATCH(N$7,$AD$9:$AD$22,0),2))&lt;&gt;"",INDEX(BDHK2,MATCH($A30,DiemHKII!$B$4:$B$58,0),INDEX($AD$9:$AF$22,MATCH(N$7,$AD$9:$AD$22,0),3)),""),"")</f>
        <v/>
      </c>
      <c r="O30" s="286" t="str">
        <f>IF($A30&lt;&gt;"",IF(INDEX(BDHK2,MATCH($A30,DiemHKII!$B$4:$B$58,0),INDEX($AD$9:$AF$22,MATCH(O$7,$AD$9:$AD$22,0),2))&lt;&gt;"",INDEX(BDHK2,MATCH($A30,DiemHKII!$B$4:$B$58,0),INDEX($AD$9:$AF$22,MATCH(O$7,$AD$9:$AD$22,0),3)),""),"")</f>
        <v/>
      </c>
      <c r="P30" s="286" t="str">
        <f>IF($A30&lt;&gt;"",IF(INDEX(BDHK2,MATCH($A30,DiemHKII!$B$4:$B$58,0),INDEX($AD$9:$AF$22,MATCH(P$7,$AD$9:$AD$22,0),2))&lt;&gt;"",INDEX(BDHK2,MATCH($A30,DiemHKII!$B$4:$B$58,0),INDEX($AD$9:$AF$22,MATCH(P$7,$AD$9:$AD$22,0),3)),""),"")</f>
        <v/>
      </c>
      <c r="Q30" s="286" t="str">
        <f>IF($A30&lt;&gt;"",IF(INDEX(BDHK2,MATCH($A30,DiemHKII!$B$4:$B$58,0),INDEX($AD$9:$AF$22,MATCH(Q$7,$AD$9:$AD$22,0),2))&lt;&gt;"",INDEX(BDHK2,MATCH($A30,DiemHKII!$B$4:$B$58,0),INDEX($AD$9:$AF$22,MATCH(Q$7,$AD$9:$AD$22,0),3)),""),"")</f>
        <v/>
      </c>
      <c r="R30" s="464" t="str">
        <f>IF($A30&lt;&gt;"",IF(INDEX(BDHK2,MATCH($A30,DiemHKII!$B$4:$B$58,0),INDEX($AD$9:$AF$22,MATCH(R$7,$AD$9:$AD$22,0),2))&lt;&gt;"",INDEX(BDHK2,MATCH($A30,DiemHKII!$B$4:$B$58,0),INDEX($AD$9:$AF$22,MATCH(R$7,$AD$9:$AD$22,0),3)),""),"")</f>
        <v/>
      </c>
      <c r="S30" s="464" t="str">
        <f t="shared" si="8"/>
        <v/>
      </c>
      <c r="T30" s="286" t="str">
        <f>IF($A30&lt;&gt;"",IF(INDEX(BDHK2,MATCH($A30,DiemHKII!$B$4:$B$58,0),INDEX($AD$9:$AF$22,MATCH(T$7,$AD$9:$AD$22,0),2))&lt;&gt;"",INDEX(BDHK2,MATCH($A30,DiemHKII!$B$4:$B$58,0),INDEX($AD$9:$AF$22,MATCH(T$7,$AD$9:$AD$22,0),3)),""),"")</f>
        <v/>
      </c>
      <c r="U30" s="287" t="str">
        <f>IF($A30&lt;&gt;"",IF(INDEX(BDHK2,MATCH($A30,DiemHKII!$B$4:$B$58,0),INDEX($AD$9:$AF$22,MATCH(U$7,$AD$9:$AD$22,0),2))&lt;&gt;"",INDEX(BDHK2,MATCH($A30,DiemHKII!$B$4:$B$58,0),INDEX($AD$9:$AF$22,MATCH(U$7,$AD$9:$AD$22,0),3)),""),"")</f>
        <v/>
      </c>
      <c r="V30" s="288" t="str">
        <f t="shared" si="9"/>
        <v/>
      </c>
      <c r="W30" s="464" t="str">
        <f t="shared" si="10"/>
        <v/>
      </c>
      <c r="X30" s="353"/>
      <c r="Y30" s="289" t="str">
        <f t="shared" si="11"/>
        <v/>
      </c>
      <c r="AA30" s="641" t="str">
        <f t="shared" si="4"/>
        <v/>
      </c>
      <c r="AG30" s="268" t="str">
        <f>IF($A30&lt;&gt;"",INDEX(DiemHKII!$B$4:$K$58,MATCH($A30,DiemHKII!$B$4:$B$58,0),2),"")</f>
        <v>12A1LêNa29/02/2004</v>
      </c>
      <c r="AH30" s="674" t="str">
        <f t="shared" si="7"/>
        <v/>
      </c>
      <c r="AI30" s="672" t="str">
        <f t="shared" ca="1" si="6"/>
        <v/>
      </c>
    </row>
    <row r="31" spans="1:35" s="268" customFormat="1" ht="29.1" customHeight="1">
      <c r="A31" s="281">
        <f>IF(A30&lt;MAX(DiemHKII!$B$4:$B$58),A30+1,"")</f>
        <v>24</v>
      </c>
      <c r="B31" s="282" t="str">
        <f>IF($A31&lt;&gt;"",PROPER(INDEX(DiemHKII!$B$4:$K$58,MATCH($A31,DiemHKII!$B$4:$B$58,0),4)),"")</f>
        <v>Quách Tống Minh</v>
      </c>
      <c r="C31" s="283" t="str">
        <f>IF($A31&lt;&gt;"",PROPER(INDEX(DiemHKII!$B$4:$K$58,MATCH($A31,DiemHKII!$B$4:$B$58,0),5)),"")</f>
        <v>Nhật</v>
      </c>
      <c r="D31" s="284" t="str">
        <f>IF($A31&lt;&gt;"",IF(INDEX(DiemHKII!$B$4:$K$58,MATCH($A31,DiemHKII!$B$4:$B$58,0),8)&lt;&gt;"",INDEX(DiemHKII!$B$4:$K$58,MATCH($A31,DiemHKII!$B$4:$B$58,0),8),""),"")</f>
        <v/>
      </c>
      <c r="E31" s="284" t="str">
        <f>IF($A31&lt;&gt;"",IF(INDEX(DiemHKII!$B$4:$K$58,MATCH($A31,DiemHKII!$B$4:$B$58,0),9)&lt;&gt;"",INDEX(DiemHKII!$B$4:$K$58,MATCH($A31,DiemHKII!$B$4:$B$58,0),9),""),"")</f>
        <v/>
      </c>
      <c r="F31" s="284" t="str">
        <f>IF($A31&lt;&gt;"",IF(INDEX(DiemHKII!$B$4:$K$58,MATCH($A31,DiemHKII!$B$4:$B$58,0),10)&lt;&gt;"",INDEX(DiemHKII!$B$4:$K$58,MATCH($A31,DiemHKII!$B$4:$B$58,0),10),""),"")</f>
        <v/>
      </c>
      <c r="G31" s="285" t="str">
        <f>IF($A31&lt;&gt;"",IF(INDEX(BDHK2,MATCH($A31,DiemHKII!$B$4:$B$58,0),INDEX($AD$9:$AF$22,MATCH(G$7,$AD$9:$AD$22,0),2))&lt;&gt;"",INDEX(BDHK2,MATCH($A31,DiemHKII!$B$4:$B$58,0),INDEX($AD$9:$AF$22,MATCH(G$7,$AD$9:$AD$22,0),3)),""),"")</f>
        <v/>
      </c>
      <c r="H31" s="286" t="str">
        <f>IF($A31&lt;&gt;"",IF(INDEX(BDHK2,MATCH($A31,DiemHKII!$B$4:$B$58,0),INDEX($AD$9:$AF$22,MATCH(H$7,$AD$9:$AD$22,0),2))&lt;&gt;"",INDEX(BDHK2,MATCH($A31,DiemHKII!$B$4:$B$58,0),INDEX($AD$9:$AF$22,MATCH(H$7,$AD$9:$AD$22,0),3)),""),"")</f>
        <v/>
      </c>
      <c r="I31" s="286" t="str">
        <f>IF($A31&lt;&gt;"",IF(INDEX(BDHK2,MATCH($A31,DiemHKII!$B$4:$B$58,0),INDEX($AD$9:$AF$22,MATCH(I$7,$AD$9:$AD$22,0),2))&lt;&gt;"",INDEX(BDHK2,MATCH($A31,DiemHKII!$B$4:$B$58,0),INDEX($AD$9:$AF$22,MATCH(I$7,$AD$9:$AD$22,0),3)),""),"")</f>
        <v/>
      </c>
      <c r="J31" s="286" t="str">
        <f>IF($A31&lt;&gt;"",IF(INDEX(BDHK2,MATCH($A31,DiemHKII!$B$4:$B$58,0),INDEX($AD$9:$AF$22,MATCH(J$7,$AD$9:$AD$22,0),2))&lt;&gt;"",INDEX(BDHK2,MATCH($A31,DiemHKII!$B$4:$B$58,0),INDEX($AD$9:$AF$22,MATCH(J$7,$AD$9:$AD$22,0),3)),""),"")</f>
        <v/>
      </c>
      <c r="K31" s="286" t="str">
        <f>IF($A31&lt;&gt;"",IF(INDEX(BDHK2,MATCH($A31,DiemHKII!$B$4:$B$58,0),INDEX($AD$9:$AF$22,MATCH(K$7,$AD$9:$AD$22,0),2))&lt;&gt;"",INDEX(BDHK2,MATCH($A31,DiemHKII!$B$4:$B$58,0),INDEX($AD$9:$AF$22,MATCH(K$7,$AD$9:$AD$22,0),3)),""),"")</f>
        <v/>
      </c>
      <c r="L31" s="286" t="str">
        <f>IF($A31&lt;&gt;"",IF(INDEX(BDHK2,MATCH($A31,DiemHKII!$B$4:$B$58,0),INDEX($AD$9:$AF$22,MATCH(L$7,$AD$9:$AD$22,0),2))&lt;&gt;"",INDEX(BDHK2,MATCH($A31,DiemHKII!$B$4:$B$58,0),INDEX($AD$9:$AF$22,MATCH(L$7,$AD$9:$AD$22,0),3)),""),"")</f>
        <v/>
      </c>
      <c r="M31" s="286" t="str">
        <f>IF($A31&lt;&gt;"",IF(INDEX(BDHK2,MATCH($A31,DiemHKII!$B$4:$B$58,0),INDEX($AD$9:$AF$22,MATCH(M$7,$AD$9:$AD$22,0),2))&lt;&gt;"",INDEX(BDHK2,MATCH($A31,DiemHKII!$B$4:$B$58,0),INDEX($AD$9:$AF$22,MATCH(M$7,$AD$9:$AD$22,0),3)),""),"")</f>
        <v/>
      </c>
      <c r="N31" s="286" t="str">
        <f>IF($A31&lt;&gt;"",IF(INDEX(BDHK2,MATCH($A31,DiemHKII!$B$4:$B$58,0),INDEX($AD$9:$AF$22,MATCH(N$7,$AD$9:$AD$22,0),2))&lt;&gt;"",INDEX(BDHK2,MATCH($A31,DiemHKII!$B$4:$B$58,0),INDEX($AD$9:$AF$22,MATCH(N$7,$AD$9:$AD$22,0),3)),""),"")</f>
        <v/>
      </c>
      <c r="O31" s="286" t="str">
        <f>IF($A31&lt;&gt;"",IF(INDEX(BDHK2,MATCH($A31,DiemHKII!$B$4:$B$58,0),INDEX($AD$9:$AF$22,MATCH(O$7,$AD$9:$AD$22,0),2))&lt;&gt;"",INDEX(BDHK2,MATCH($A31,DiemHKII!$B$4:$B$58,0),INDEX($AD$9:$AF$22,MATCH(O$7,$AD$9:$AD$22,0),3)),""),"")</f>
        <v/>
      </c>
      <c r="P31" s="286" t="str">
        <f>IF($A31&lt;&gt;"",IF(INDEX(BDHK2,MATCH($A31,DiemHKII!$B$4:$B$58,0),INDEX($AD$9:$AF$22,MATCH(P$7,$AD$9:$AD$22,0),2))&lt;&gt;"",INDEX(BDHK2,MATCH($A31,DiemHKII!$B$4:$B$58,0),INDEX($AD$9:$AF$22,MATCH(P$7,$AD$9:$AD$22,0),3)),""),"")</f>
        <v/>
      </c>
      <c r="Q31" s="286" t="str">
        <f>IF($A31&lt;&gt;"",IF(INDEX(BDHK2,MATCH($A31,DiemHKII!$B$4:$B$58,0),INDEX($AD$9:$AF$22,MATCH(Q$7,$AD$9:$AD$22,0),2))&lt;&gt;"",INDEX(BDHK2,MATCH($A31,DiemHKII!$B$4:$B$58,0),INDEX($AD$9:$AF$22,MATCH(Q$7,$AD$9:$AD$22,0),3)),""),"")</f>
        <v/>
      </c>
      <c r="R31" s="464" t="str">
        <f>IF($A31&lt;&gt;"",IF(INDEX(BDHK2,MATCH($A31,DiemHKII!$B$4:$B$58,0),INDEX($AD$9:$AF$22,MATCH(R$7,$AD$9:$AD$22,0),2))&lt;&gt;"",INDEX(BDHK2,MATCH($A31,DiemHKII!$B$4:$B$58,0),INDEX($AD$9:$AF$22,MATCH(R$7,$AD$9:$AD$22,0),3)),""),"")</f>
        <v/>
      </c>
      <c r="S31" s="464" t="str">
        <f t="shared" si="8"/>
        <v/>
      </c>
      <c r="T31" s="286" t="str">
        <f>IF($A31&lt;&gt;"",IF(INDEX(BDHK2,MATCH($A31,DiemHKII!$B$4:$B$58,0),INDEX($AD$9:$AF$22,MATCH(T$7,$AD$9:$AD$22,0),2))&lt;&gt;"",INDEX(BDHK2,MATCH($A31,DiemHKII!$B$4:$B$58,0),INDEX($AD$9:$AF$22,MATCH(T$7,$AD$9:$AD$22,0),3)),""),"")</f>
        <v/>
      </c>
      <c r="U31" s="287" t="str">
        <f>IF($A31&lt;&gt;"",IF(INDEX(BDHK2,MATCH($A31,DiemHKII!$B$4:$B$58,0),INDEX($AD$9:$AF$22,MATCH(U$7,$AD$9:$AD$22,0),2))&lt;&gt;"",INDEX(BDHK2,MATCH($A31,DiemHKII!$B$4:$B$58,0),INDEX($AD$9:$AF$22,MATCH(U$7,$AD$9:$AD$22,0),3)),""),"")</f>
        <v/>
      </c>
      <c r="V31" s="288" t="str">
        <f t="shared" si="9"/>
        <v/>
      </c>
      <c r="W31" s="464" t="str">
        <f t="shared" si="10"/>
        <v/>
      </c>
      <c r="X31" s="353"/>
      <c r="Y31" s="289" t="str">
        <f t="shared" si="11"/>
        <v/>
      </c>
      <c r="AA31" s="641" t="str">
        <f t="shared" si="4"/>
        <v/>
      </c>
      <c r="AG31" s="268" t="str">
        <f>IF($A31&lt;&gt;"",INDEX(DiemHKII!$B$4:$K$58,MATCH($A31,DiemHKII!$B$4:$B$58,0),2),"")</f>
        <v>12A1Quách Tống MinhNhật01/12/2004</v>
      </c>
      <c r="AH31" s="674" t="str">
        <f t="shared" si="7"/>
        <v/>
      </c>
      <c r="AI31" s="672" t="str">
        <f t="shared" ca="1" si="6"/>
        <v/>
      </c>
    </row>
    <row r="32" spans="1:35" s="268" customFormat="1" ht="29.1" customHeight="1" thickBot="1">
      <c r="A32" s="290">
        <f>IF(A31&lt;MAX(DiemHKII!$B$4:$B$58),A31+1,"")</f>
        <v>25</v>
      </c>
      <c r="B32" s="291" t="str">
        <f>IF($A32&lt;&gt;"",PROPER(INDEX(DiemHKII!$B$4:$K$58,MATCH($A32,DiemHKII!$B$4:$B$58,0),4)),"")</f>
        <v>Nguyễn Thục</v>
      </c>
      <c r="C32" s="292" t="str">
        <f>IF($A32&lt;&gt;"",PROPER(INDEX(DiemHKII!$B$4:$K$58,MATCH($A32,DiemHKII!$B$4:$B$58,0),5)),"")</f>
        <v>Nhi</v>
      </c>
      <c r="D32" s="293" t="str">
        <f>IF($A32&lt;&gt;"",IF(INDEX(DiemHKII!$B$4:$K$58,MATCH($A32,DiemHKII!$B$4:$B$58,0),8)&lt;&gt;"",INDEX(DiemHKII!$B$4:$K$58,MATCH($A32,DiemHKII!$B$4:$B$58,0),8),""),"")</f>
        <v/>
      </c>
      <c r="E32" s="293" t="str">
        <f>IF($A32&lt;&gt;"",IF(INDEX(DiemHKII!$B$4:$K$58,MATCH($A32,DiemHKII!$B$4:$B$58,0),9)&lt;&gt;"",INDEX(DiemHKII!$B$4:$K$58,MATCH($A32,DiemHKII!$B$4:$B$58,0),9),""),"")</f>
        <v/>
      </c>
      <c r="F32" s="293" t="str">
        <f>IF($A32&lt;&gt;"",IF(INDEX(DiemHKII!$B$4:$K$58,MATCH($A32,DiemHKII!$B$4:$B$58,0),10)&lt;&gt;"",INDEX(DiemHKII!$B$4:$K$58,MATCH($A32,DiemHKII!$B$4:$B$58,0),10),""),"")</f>
        <v/>
      </c>
      <c r="G32" s="294" t="str">
        <f>IF($A32&lt;&gt;"",IF(INDEX(BDHK2,MATCH($A32,DiemHKII!$B$4:$B$58,0),INDEX($AD$9:$AF$22,MATCH(G$7,$AD$9:$AD$22,0),2))&lt;&gt;"",INDEX(BDHK2,MATCH($A32,DiemHKII!$B$4:$B$58,0),INDEX($AD$9:$AF$22,MATCH(G$7,$AD$9:$AD$22,0),3)),""),"")</f>
        <v/>
      </c>
      <c r="H32" s="295" t="str">
        <f>IF($A32&lt;&gt;"",IF(INDEX(BDHK2,MATCH($A32,DiemHKII!$B$4:$B$58,0),INDEX($AD$9:$AF$22,MATCH(H$7,$AD$9:$AD$22,0),2))&lt;&gt;"",INDEX(BDHK2,MATCH($A32,DiemHKII!$B$4:$B$58,0),INDEX($AD$9:$AF$22,MATCH(H$7,$AD$9:$AD$22,0),3)),""),"")</f>
        <v/>
      </c>
      <c r="I32" s="295" t="str">
        <f>IF($A32&lt;&gt;"",IF(INDEX(BDHK2,MATCH($A32,DiemHKII!$B$4:$B$58,0),INDEX($AD$9:$AF$22,MATCH(I$7,$AD$9:$AD$22,0),2))&lt;&gt;"",INDEX(BDHK2,MATCH($A32,DiemHKII!$B$4:$B$58,0),INDEX($AD$9:$AF$22,MATCH(I$7,$AD$9:$AD$22,0),3)),""),"")</f>
        <v/>
      </c>
      <c r="J32" s="295" t="str">
        <f>IF($A32&lt;&gt;"",IF(INDEX(BDHK2,MATCH($A32,DiemHKII!$B$4:$B$58,0),INDEX($AD$9:$AF$22,MATCH(J$7,$AD$9:$AD$22,0),2))&lt;&gt;"",INDEX(BDHK2,MATCH($A32,DiemHKII!$B$4:$B$58,0),INDEX($AD$9:$AF$22,MATCH(J$7,$AD$9:$AD$22,0),3)),""),"")</f>
        <v/>
      </c>
      <c r="K32" s="295" t="str">
        <f>IF($A32&lt;&gt;"",IF(INDEX(BDHK2,MATCH($A32,DiemHKII!$B$4:$B$58,0),INDEX($AD$9:$AF$22,MATCH(K$7,$AD$9:$AD$22,0),2))&lt;&gt;"",INDEX(BDHK2,MATCH($A32,DiemHKII!$B$4:$B$58,0),INDEX($AD$9:$AF$22,MATCH(K$7,$AD$9:$AD$22,0),3)),""),"")</f>
        <v/>
      </c>
      <c r="L32" s="295" t="str">
        <f>IF($A32&lt;&gt;"",IF(INDEX(BDHK2,MATCH($A32,DiemHKII!$B$4:$B$58,0),INDEX($AD$9:$AF$22,MATCH(L$7,$AD$9:$AD$22,0),2))&lt;&gt;"",INDEX(BDHK2,MATCH($A32,DiemHKII!$B$4:$B$58,0),INDEX($AD$9:$AF$22,MATCH(L$7,$AD$9:$AD$22,0),3)),""),"")</f>
        <v/>
      </c>
      <c r="M32" s="295" t="str">
        <f>IF($A32&lt;&gt;"",IF(INDEX(BDHK2,MATCH($A32,DiemHKII!$B$4:$B$58,0),INDEX($AD$9:$AF$22,MATCH(M$7,$AD$9:$AD$22,0),2))&lt;&gt;"",INDEX(BDHK2,MATCH($A32,DiemHKII!$B$4:$B$58,0),INDEX($AD$9:$AF$22,MATCH(M$7,$AD$9:$AD$22,0),3)),""),"")</f>
        <v/>
      </c>
      <c r="N32" s="295" t="str">
        <f>IF($A32&lt;&gt;"",IF(INDEX(BDHK2,MATCH($A32,DiemHKII!$B$4:$B$58,0),INDEX($AD$9:$AF$22,MATCH(N$7,$AD$9:$AD$22,0),2))&lt;&gt;"",INDEX(BDHK2,MATCH($A32,DiemHKII!$B$4:$B$58,0),INDEX($AD$9:$AF$22,MATCH(N$7,$AD$9:$AD$22,0),3)),""),"")</f>
        <v/>
      </c>
      <c r="O32" s="295" t="str">
        <f>IF($A32&lt;&gt;"",IF(INDEX(BDHK2,MATCH($A32,DiemHKII!$B$4:$B$58,0),INDEX($AD$9:$AF$22,MATCH(O$7,$AD$9:$AD$22,0),2))&lt;&gt;"",INDEX(BDHK2,MATCH($A32,DiemHKII!$B$4:$B$58,0),INDEX($AD$9:$AF$22,MATCH(O$7,$AD$9:$AD$22,0),3)),""),"")</f>
        <v/>
      </c>
      <c r="P32" s="295" t="str">
        <f>IF($A32&lt;&gt;"",IF(INDEX(BDHK2,MATCH($A32,DiemHKII!$B$4:$B$58,0),INDEX($AD$9:$AF$22,MATCH(P$7,$AD$9:$AD$22,0),2))&lt;&gt;"",INDEX(BDHK2,MATCH($A32,DiemHKII!$B$4:$B$58,0),INDEX($AD$9:$AF$22,MATCH(P$7,$AD$9:$AD$22,0),3)),""),"")</f>
        <v/>
      </c>
      <c r="Q32" s="295" t="str">
        <f>IF($A32&lt;&gt;"",IF(INDEX(BDHK2,MATCH($A32,DiemHKII!$B$4:$B$58,0),INDEX($AD$9:$AF$22,MATCH(Q$7,$AD$9:$AD$22,0),2))&lt;&gt;"",INDEX(BDHK2,MATCH($A32,DiemHKII!$B$4:$B$58,0),INDEX($AD$9:$AF$22,MATCH(Q$7,$AD$9:$AD$22,0),3)),""),"")</f>
        <v/>
      </c>
      <c r="R32" s="296" t="str">
        <f>IF($A32&lt;&gt;"",IF(INDEX(BDHK2,MATCH($A32,DiemHKII!$B$4:$B$58,0),INDEX($AD$9:$AF$22,MATCH(R$7,$AD$9:$AD$22,0),2))&lt;&gt;"",INDEX(BDHK2,MATCH($A32,DiemHKII!$B$4:$B$58,0),INDEX($AD$9:$AF$22,MATCH(R$7,$AD$9:$AD$22,0),3)),""),"")</f>
        <v/>
      </c>
      <c r="S32" s="296" t="str">
        <f t="shared" si="8"/>
        <v/>
      </c>
      <c r="T32" s="295" t="str">
        <f>IF($A32&lt;&gt;"",IF(INDEX(BDHK2,MATCH($A32,DiemHKII!$B$4:$B$58,0),INDEX($AD$9:$AF$22,MATCH(T$7,$AD$9:$AD$22,0),2))&lt;&gt;"",INDEX(BDHK2,MATCH($A32,DiemHKII!$B$4:$B$58,0),INDEX($AD$9:$AF$22,MATCH(T$7,$AD$9:$AD$22,0),3)),""),"")</f>
        <v/>
      </c>
      <c r="U32" s="297" t="str">
        <f>IF($A32&lt;&gt;"",IF(INDEX(BDHK2,MATCH($A32,DiemHKII!$B$4:$B$58,0),INDEX($AD$9:$AF$22,MATCH(U$7,$AD$9:$AD$22,0),2))&lt;&gt;"",INDEX(BDHK2,MATCH($A32,DiemHKII!$B$4:$B$58,0),INDEX($AD$9:$AF$22,MATCH(U$7,$AD$9:$AD$22,0),3)),""),"")</f>
        <v/>
      </c>
      <c r="V32" s="298" t="str">
        <f t="shared" si="9"/>
        <v/>
      </c>
      <c r="W32" s="296" t="str">
        <f t="shared" si="10"/>
        <v/>
      </c>
      <c r="X32" s="354"/>
      <c r="Y32" s="299" t="str">
        <f t="shared" si="11"/>
        <v/>
      </c>
      <c r="AA32" s="641" t="str">
        <f t="shared" si="4"/>
        <v/>
      </c>
      <c r="AG32" s="268" t="str">
        <f>IF($A32&lt;&gt;"",INDEX(DiemHKII!$B$4:$K$58,MATCH($A32,DiemHKII!$B$4:$B$58,0),2),"")</f>
        <v>12A1Nguyễn ThụcNhi04/10/2004</v>
      </c>
      <c r="AH32" s="674" t="str">
        <f t="shared" si="7"/>
        <v/>
      </c>
      <c r="AI32" s="672" t="str">
        <f t="shared" ca="1" si="6"/>
        <v/>
      </c>
    </row>
    <row r="33" spans="1:35" s="268" customFormat="1" ht="29.1" customHeight="1">
      <c r="A33" s="274">
        <f>IF(A32&lt;MAX(DiemHKII!$B$4:$B$58),A32+1,"")</f>
        <v>26</v>
      </c>
      <c r="B33" s="275" t="str">
        <f>IF($A33&lt;&gt;"",PROPER(INDEX(DiemHKII!$B$4:$K$58,MATCH($A33,DiemHKII!$B$4:$B$58,0),4)),"")</f>
        <v>Trần Thị Hải</v>
      </c>
      <c r="C33" s="276" t="str">
        <f>IF($A33&lt;&gt;"",PROPER(INDEX(DiemHKII!$B$4:$K$58,MATCH($A33,DiemHKII!$B$4:$B$58,0),5)),"")</f>
        <v>Như</v>
      </c>
      <c r="D33" s="277" t="str">
        <f>IF($A33&lt;&gt;"",IF(INDEX(DiemHKII!$B$4:$K$58,MATCH($A33,DiemHKII!$B$4:$B$58,0),8)&lt;&gt;"",INDEX(DiemHKII!$B$4:$K$58,MATCH($A33,DiemHKII!$B$4:$B$58,0),8),""),"")</f>
        <v/>
      </c>
      <c r="E33" s="277" t="str">
        <f>IF($A33&lt;&gt;"",IF(INDEX(DiemHKII!$B$4:$K$58,MATCH($A33,DiemHKII!$B$4:$B$58,0),9)&lt;&gt;"",INDEX(DiemHKII!$B$4:$K$58,MATCH($A33,DiemHKII!$B$4:$B$58,0),9),""),"")</f>
        <v/>
      </c>
      <c r="F33" s="277" t="str">
        <f>IF($A33&lt;&gt;"",IF(INDEX(DiemHKII!$B$4:$K$58,MATCH($A33,DiemHKII!$B$4:$B$58,0),10)&lt;&gt;"",INDEX(DiemHKII!$B$4:$K$58,MATCH($A33,DiemHKII!$B$4:$B$58,0),10),""),"")</f>
        <v/>
      </c>
      <c r="G33" s="443" t="str">
        <f>IF($A33&lt;&gt;"",IF(INDEX(BDHK2,MATCH($A33,DiemHKII!$B$4:$B$58,0),INDEX($AD$9:$AF$22,MATCH(G$7,$AD$9:$AD$22,0),2))&lt;&gt;"",INDEX(BDHK2,MATCH($A33,DiemHKII!$B$4:$B$58,0),INDEX($AD$9:$AF$22,MATCH(G$7,$AD$9:$AD$22,0),3)),""),"")</f>
        <v/>
      </c>
      <c r="H33" s="301" t="str">
        <f>IF($A33&lt;&gt;"",IF(INDEX(BDHK2,MATCH($A33,DiemHKII!$B$4:$B$58,0),INDEX($AD$9:$AF$22,MATCH(H$7,$AD$9:$AD$22,0),2))&lt;&gt;"",INDEX(BDHK2,MATCH($A33,DiemHKII!$B$4:$B$58,0),INDEX($AD$9:$AF$22,MATCH(H$7,$AD$9:$AD$22,0),3)),""),"")</f>
        <v/>
      </c>
      <c r="I33" s="301" t="str">
        <f>IF($A33&lt;&gt;"",IF(INDEX(BDHK2,MATCH($A33,DiemHKII!$B$4:$B$58,0),INDEX($AD$9:$AF$22,MATCH(I$7,$AD$9:$AD$22,0),2))&lt;&gt;"",INDEX(BDHK2,MATCH($A33,DiemHKII!$B$4:$B$58,0),INDEX($AD$9:$AF$22,MATCH(I$7,$AD$9:$AD$22,0),3)),""),"")</f>
        <v/>
      </c>
      <c r="J33" s="301" t="str">
        <f>IF($A33&lt;&gt;"",IF(INDEX(BDHK2,MATCH($A33,DiemHKII!$B$4:$B$58,0),INDEX($AD$9:$AF$22,MATCH(J$7,$AD$9:$AD$22,0),2))&lt;&gt;"",INDEX(BDHK2,MATCH($A33,DiemHKII!$B$4:$B$58,0),INDEX($AD$9:$AF$22,MATCH(J$7,$AD$9:$AD$22,0),3)),""),"")</f>
        <v/>
      </c>
      <c r="K33" s="301" t="str">
        <f>IF($A33&lt;&gt;"",IF(INDEX(BDHK2,MATCH($A33,DiemHKII!$B$4:$B$58,0),INDEX($AD$9:$AF$22,MATCH(K$7,$AD$9:$AD$22,0),2))&lt;&gt;"",INDEX(BDHK2,MATCH($A33,DiemHKII!$B$4:$B$58,0),INDEX($AD$9:$AF$22,MATCH(K$7,$AD$9:$AD$22,0),3)),""),"")</f>
        <v/>
      </c>
      <c r="L33" s="301" t="str">
        <f>IF($A33&lt;&gt;"",IF(INDEX(BDHK2,MATCH($A33,DiemHKII!$B$4:$B$58,0),INDEX($AD$9:$AF$22,MATCH(L$7,$AD$9:$AD$22,0),2))&lt;&gt;"",INDEX(BDHK2,MATCH($A33,DiemHKII!$B$4:$B$58,0),INDEX($AD$9:$AF$22,MATCH(L$7,$AD$9:$AD$22,0),3)),""),"")</f>
        <v/>
      </c>
      <c r="M33" s="301" t="str">
        <f>IF($A33&lt;&gt;"",IF(INDEX(BDHK2,MATCH($A33,DiemHKII!$B$4:$B$58,0),INDEX($AD$9:$AF$22,MATCH(M$7,$AD$9:$AD$22,0),2))&lt;&gt;"",INDEX(BDHK2,MATCH($A33,DiemHKII!$B$4:$B$58,0),INDEX($AD$9:$AF$22,MATCH(M$7,$AD$9:$AD$22,0),3)),""),"")</f>
        <v/>
      </c>
      <c r="N33" s="301" t="str">
        <f>IF($A33&lt;&gt;"",IF(INDEX(BDHK2,MATCH($A33,DiemHKII!$B$4:$B$58,0),INDEX($AD$9:$AF$22,MATCH(N$7,$AD$9:$AD$22,0),2))&lt;&gt;"",INDEX(BDHK2,MATCH($A33,DiemHKII!$B$4:$B$58,0),INDEX($AD$9:$AF$22,MATCH(N$7,$AD$9:$AD$22,0),3)),""),"")</f>
        <v/>
      </c>
      <c r="O33" s="301" t="str">
        <f>IF($A33&lt;&gt;"",IF(INDEX(BDHK2,MATCH($A33,DiemHKII!$B$4:$B$58,0),INDEX($AD$9:$AF$22,MATCH(O$7,$AD$9:$AD$22,0),2))&lt;&gt;"",INDEX(BDHK2,MATCH($A33,DiemHKII!$B$4:$B$58,0),INDEX($AD$9:$AF$22,MATCH(O$7,$AD$9:$AD$22,0),3)),""),"")</f>
        <v/>
      </c>
      <c r="P33" s="301" t="str">
        <f>IF($A33&lt;&gt;"",IF(INDEX(BDHK2,MATCH($A33,DiemHKII!$B$4:$B$58,0),INDEX($AD$9:$AF$22,MATCH(P$7,$AD$9:$AD$22,0),2))&lt;&gt;"",INDEX(BDHK2,MATCH($A33,DiemHKII!$B$4:$B$58,0),INDEX($AD$9:$AF$22,MATCH(P$7,$AD$9:$AD$22,0),3)),""),"")</f>
        <v/>
      </c>
      <c r="Q33" s="301" t="str">
        <f>IF($A33&lt;&gt;"",IF(INDEX(BDHK2,MATCH($A33,DiemHKII!$B$4:$B$58,0),INDEX($AD$9:$AF$22,MATCH(Q$7,$AD$9:$AD$22,0),2))&lt;&gt;"",INDEX(BDHK2,MATCH($A33,DiemHKII!$B$4:$B$58,0),INDEX($AD$9:$AF$22,MATCH(Q$7,$AD$9:$AD$22,0),3)),""),"")</f>
        <v/>
      </c>
      <c r="R33" s="279" t="str">
        <f>IF($A33&lt;&gt;"",IF(INDEX(BDHK2,MATCH($A33,DiemHKII!$B$4:$B$58,0),INDEX($AD$9:$AF$22,MATCH(R$7,$AD$9:$AD$22,0),2))&lt;&gt;"",INDEX(BDHK2,MATCH($A33,DiemHKII!$B$4:$B$58,0),INDEX($AD$9:$AF$22,MATCH(R$7,$AD$9:$AD$22,0),3)),""),"")</f>
        <v/>
      </c>
      <c r="S33" s="279" t="str">
        <f t="shared" si="8"/>
        <v/>
      </c>
      <c r="T33" s="301" t="str">
        <f>IF($A33&lt;&gt;"",IF(INDEX(BDHK2,MATCH($A33,DiemHKII!$B$4:$B$58,0),INDEX($AD$9:$AF$22,MATCH(T$7,$AD$9:$AD$22,0),2))&lt;&gt;"",INDEX(BDHK2,MATCH($A33,DiemHKII!$B$4:$B$58,0),INDEX($AD$9:$AF$22,MATCH(T$7,$AD$9:$AD$22,0),3)),""),"")</f>
        <v/>
      </c>
      <c r="U33" s="302" t="str">
        <f>IF($A33&lt;&gt;"",IF(INDEX(BDHK2,MATCH($A33,DiemHKII!$B$4:$B$58,0),INDEX($AD$9:$AF$22,MATCH(U$7,$AD$9:$AD$22,0),2))&lt;&gt;"",INDEX(BDHK2,MATCH($A33,DiemHKII!$B$4:$B$58,0),INDEX($AD$9:$AF$22,MATCH(U$7,$AD$9:$AD$22,0),3)),""),"")</f>
        <v/>
      </c>
      <c r="V33" s="278" t="str">
        <f t="shared" si="9"/>
        <v/>
      </c>
      <c r="W33" s="279" t="str">
        <f t="shared" si="10"/>
        <v/>
      </c>
      <c r="X33" s="352"/>
      <c r="Y33" s="280" t="str">
        <f t="shared" si="11"/>
        <v/>
      </c>
      <c r="AA33" s="641" t="str">
        <f t="shared" si="4"/>
        <v/>
      </c>
      <c r="AG33" s="268" t="str">
        <f>IF($A33&lt;&gt;"",INDEX(DiemHKII!$B$4:$K$58,MATCH($A33,DiemHKII!$B$4:$B$58,0),2),"")</f>
        <v>12A1Trần Thị HảiNhư17/08/2004</v>
      </c>
      <c r="AH33" s="674" t="str">
        <f t="shared" si="7"/>
        <v/>
      </c>
      <c r="AI33" s="672" t="str">
        <f t="shared" ca="1" si="6"/>
        <v/>
      </c>
    </row>
    <row r="34" spans="1:35" s="268" customFormat="1" ht="29.1" customHeight="1">
      <c r="A34" s="281">
        <f>IF(A33&lt;MAX(DiemHKII!$B$4:$B$58),A33+1,"")</f>
        <v>27</v>
      </c>
      <c r="B34" s="282" t="str">
        <f>IF($A34&lt;&gt;"",PROPER(INDEX(DiemHKII!$B$4:$K$58,MATCH($A34,DiemHKII!$B$4:$B$58,0),4)),"")</f>
        <v>Nguyễn Bá Nhật</v>
      </c>
      <c r="C34" s="283" t="str">
        <f>IF($A34&lt;&gt;"",PROPER(INDEX(DiemHKII!$B$4:$K$58,MATCH($A34,DiemHKII!$B$4:$B$58,0),5)),"")</f>
        <v>Quang</v>
      </c>
      <c r="D34" s="284" t="str">
        <f>IF($A34&lt;&gt;"",IF(INDEX(DiemHKII!$B$4:$K$58,MATCH($A34,DiemHKII!$B$4:$B$58,0),8)&lt;&gt;"",INDEX(DiemHKII!$B$4:$K$58,MATCH($A34,DiemHKII!$B$4:$B$58,0),8),""),"")</f>
        <v/>
      </c>
      <c r="E34" s="284" t="str">
        <f>IF($A34&lt;&gt;"",IF(INDEX(DiemHKII!$B$4:$K$58,MATCH($A34,DiemHKII!$B$4:$B$58,0),9)&lt;&gt;"",INDEX(DiemHKII!$B$4:$K$58,MATCH($A34,DiemHKII!$B$4:$B$58,0),9),""),"")</f>
        <v/>
      </c>
      <c r="F34" s="284" t="str">
        <f>IF($A34&lt;&gt;"",IF(INDEX(DiemHKII!$B$4:$K$58,MATCH($A34,DiemHKII!$B$4:$B$58,0),10)&lt;&gt;"",INDEX(DiemHKII!$B$4:$K$58,MATCH($A34,DiemHKII!$B$4:$B$58,0),10),""),"")</f>
        <v/>
      </c>
      <c r="G34" s="285" t="str">
        <f>IF($A34&lt;&gt;"",IF(INDEX(BDHK2,MATCH($A34,DiemHKII!$B$4:$B$58,0),INDEX($AD$9:$AF$22,MATCH(G$7,$AD$9:$AD$22,0),2))&lt;&gt;"",INDEX(BDHK2,MATCH($A34,DiemHKII!$B$4:$B$58,0),INDEX($AD$9:$AF$22,MATCH(G$7,$AD$9:$AD$22,0),3)),""),"")</f>
        <v/>
      </c>
      <c r="H34" s="286" t="str">
        <f>IF($A34&lt;&gt;"",IF(INDEX(BDHK2,MATCH($A34,DiemHKII!$B$4:$B$58,0),INDEX($AD$9:$AF$22,MATCH(H$7,$AD$9:$AD$22,0),2))&lt;&gt;"",INDEX(BDHK2,MATCH($A34,DiemHKII!$B$4:$B$58,0),INDEX($AD$9:$AF$22,MATCH(H$7,$AD$9:$AD$22,0),3)),""),"")</f>
        <v/>
      </c>
      <c r="I34" s="286" t="str">
        <f>IF($A34&lt;&gt;"",IF(INDEX(BDHK2,MATCH($A34,DiemHKII!$B$4:$B$58,0),INDEX($AD$9:$AF$22,MATCH(I$7,$AD$9:$AD$22,0),2))&lt;&gt;"",INDEX(BDHK2,MATCH($A34,DiemHKII!$B$4:$B$58,0),INDEX($AD$9:$AF$22,MATCH(I$7,$AD$9:$AD$22,0),3)),""),"")</f>
        <v/>
      </c>
      <c r="J34" s="286" t="str">
        <f>IF($A34&lt;&gt;"",IF(INDEX(BDHK2,MATCH($A34,DiemHKII!$B$4:$B$58,0),INDEX($AD$9:$AF$22,MATCH(J$7,$AD$9:$AD$22,0),2))&lt;&gt;"",INDEX(BDHK2,MATCH($A34,DiemHKII!$B$4:$B$58,0),INDEX($AD$9:$AF$22,MATCH(J$7,$AD$9:$AD$22,0),3)),""),"")</f>
        <v/>
      </c>
      <c r="K34" s="286" t="str">
        <f>IF($A34&lt;&gt;"",IF(INDEX(BDHK2,MATCH($A34,DiemHKII!$B$4:$B$58,0),INDEX($AD$9:$AF$22,MATCH(K$7,$AD$9:$AD$22,0),2))&lt;&gt;"",INDEX(BDHK2,MATCH($A34,DiemHKII!$B$4:$B$58,0),INDEX($AD$9:$AF$22,MATCH(K$7,$AD$9:$AD$22,0),3)),""),"")</f>
        <v/>
      </c>
      <c r="L34" s="286" t="str">
        <f>IF($A34&lt;&gt;"",IF(INDEX(BDHK2,MATCH($A34,DiemHKII!$B$4:$B$58,0),INDEX($AD$9:$AF$22,MATCH(L$7,$AD$9:$AD$22,0),2))&lt;&gt;"",INDEX(BDHK2,MATCH($A34,DiemHKII!$B$4:$B$58,0),INDEX($AD$9:$AF$22,MATCH(L$7,$AD$9:$AD$22,0),3)),""),"")</f>
        <v/>
      </c>
      <c r="M34" s="286" t="str">
        <f>IF($A34&lt;&gt;"",IF(INDEX(BDHK2,MATCH($A34,DiemHKII!$B$4:$B$58,0),INDEX($AD$9:$AF$22,MATCH(M$7,$AD$9:$AD$22,0),2))&lt;&gt;"",INDEX(BDHK2,MATCH($A34,DiemHKII!$B$4:$B$58,0),INDEX($AD$9:$AF$22,MATCH(M$7,$AD$9:$AD$22,0),3)),""),"")</f>
        <v/>
      </c>
      <c r="N34" s="286" t="str">
        <f>IF($A34&lt;&gt;"",IF(INDEX(BDHK2,MATCH($A34,DiemHKII!$B$4:$B$58,0),INDEX($AD$9:$AF$22,MATCH(N$7,$AD$9:$AD$22,0),2))&lt;&gt;"",INDEX(BDHK2,MATCH($A34,DiemHKII!$B$4:$B$58,0),INDEX($AD$9:$AF$22,MATCH(N$7,$AD$9:$AD$22,0),3)),""),"")</f>
        <v/>
      </c>
      <c r="O34" s="286" t="str">
        <f>IF($A34&lt;&gt;"",IF(INDEX(BDHK2,MATCH($A34,DiemHKII!$B$4:$B$58,0),INDEX($AD$9:$AF$22,MATCH(O$7,$AD$9:$AD$22,0),2))&lt;&gt;"",INDEX(BDHK2,MATCH($A34,DiemHKII!$B$4:$B$58,0),INDEX($AD$9:$AF$22,MATCH(O$7,$AD$9:$AD$22,0),3)),""),"")</f>
        <v/>
      </c>
      <c r="P34" s="286" t="str">
        <f>IF($A34&lt;&gt;"",IF(INDEX(BDHK2,MATCH($A34,DiemHKII!$B$4:$B$58,0),INDEX($AD$9:$AF$22,MATCH(P$7,$AD$9:$AD$22,0),2))&lt;&gt;"",INDEX(BDHK2,MATCH($A34,DiemHKII!$B$4:$B$58,0),INDEX($AD$9:$AF$22,MATCH(P$7,$AD$9:$AD$22,0),3)),""),"")</f>
        <v/>
      </c>
      <c r="Q34" s="286" t="str">
        <f>IF($A34&lt;&gt;"",IF(INDEX(BDHK2,MATCH($A34,DiemHKII!$B$4:$B$58,0),INDEX($AD$9:$AF$22,MATCH(Q$7,$AD$9:$AD$22,0),2))&lt;&gt;"",INDEX(BDHK2,MATCH($A34,DiemHKII!$B$4:$B$58,0),INDEX($AD$9:$AF$22,MATCH(Q$7,$AD$9:$AD$22,0),3)),""),"")</f>
        <v/>
      </c>
      <c r="R34" s="464" t="str">
        <f>IF($A34&lt;&gt;"",IF(INDEX(BDHK2,MATCH($A34,DiemHKII!$B$4:$B$58,0),INDEX($AD$9:$AF$22,MATCH(R$7,$AD$9:$AD$22,0),2))&lt;&gt;"",INDEX(BDHK2,MATCH($A34,DiemHKII!$B$4:$B$58,0),INDEX($AD$9:$AF$22,MATCH(R$7,$AD$9:$AD$22,0),3)),""),"")</f>
        <v/>
      </c>
      <c r="S34" s="464" t="str">
        <f t="shared" si="8"/>
        <v/>
      </c>
      <c r="T34" s="286" t="str">
        <f>IF($A34&lt;&gt;"",IF(INDEX(BDHK2,MATCH($A34,DiemHKII!$B$4:$B$58,0),INDEX($AD$9:$AF$22,MATCH(T$7,$AD$9:$AD$22,0),2))&lt;&gt;"",INDEX(BDHK2,MATCH($A34,DiemHKII!$B$4:$B$58,0),INDEX($AD$9:$AF$22,MATCH(T$7,$AD$9:$AD$22,0),3)),""),"")</f>
        <v/>
      </c>
      <c r="U34" s="287" t="str">
        <f>IF($A34&lt;&gt;"",IF(INDEX(BDHK2,MATCH($A34,DiemHKII!$B$4:$B$58,0),INDEX($AD$9:$AF$22,MATCH(U$7,$AD$9:$AD$22,0),2))&lt;&gt;"",INDEX(BDHK2,MATCH($A34,DiemHKII!$B$4:$B$58,0),INDEX($AD$9:$AF$22,MATCH(U$7,$AD$9:$AD$22,0),3)),""),"")</f>
        <v/>
      </c>
      <c r="V34" s="288" t="str">
        <f t="shared" si="9"/>
        <v/>
      </c>
      <c r="W34" s="464" t="str">
        <f t="shared" si="10"/>
        <v/>
      </c>
      <c r="X34" s="353"/>
      <c r="Y34" s="289" t="str">
        <f t="shared" si="11"/>
        <v/>
      </c>
      <c r="AA34" s="641" t="str">
        <f t="shared" si="4"/>
        <v/>
      </c>
      <c r="AG34" s="268" t="str">
        <f>IF($A34&lt;&gt;"",INDEX(DiemHKII!$B$4:$K$58,MATCH($A34,DiemHKII!$B$4:$B$58,0),2),"")</f>
        <v>12A1Nguyễn Bá NhậtQuang18/07/2004</v>
      </c>
      <c r="AH34" s="674" t="str">
        <f t="shared" si="7"/>
        <v/>
      </c>
      <c r="AI34" s="672" t="str">
        <f t="shared" ca="1" si="6"/>
        <v/>
      </c>
    </row>
    <row r="35" spans="1:35" s="268" customFormat="1" ht="29.1" customHeight="1">
      <c r="A35" s="281">
        <f>IF(A34&lt;MAX(DiemHKII!$B$4:$B$58),A34+1,"")</f>
        <v>28</v>
      </c>
      <c r="B35" s="282" t="str">
        <f>IF($A35&lt;&gt;"",PROPER(INDEX(DiemHKII!$B$4:$K$58,MATCH($A35,DiemHKII!$B$4:$B$58,0),4)),"")</f>
        <v>Phan Trương Kiến</v>
      </c>
      <c r="C35" s="283" t="str">
        <f>IF($A35&lt;&gt;"",PROPER(INDEX(DiemHKII!$B$4:$K$58,MATCH($A35,DiemHKII!$B$4:$B$58,0),5)),"")</f>
        <v>Quốc</v>
      </c>
      <c r="D35" s="284" t="str">
        <f>IF($A35&lt;&gt;"",IF(INDEX(DiemHKII!$B$4:$K$58,MATCH($A35,DiemHKII!$B$4:$B$58,0),8)&lt;&gt;"",INDEX(DiemHKII!$B$4:$K$58,MATCH($A35,DiemHKII!$B$4:$B$58,0),8),""),"")</f>
        <v/>
      </c>
      <c r="E35" s="284" t="str">
        <f>IF($A35&lt;&gt;"",IF(INDEX(DiemHKII!$B$4:$K$58,MATCH($A35,DiemHKII!$B$4:$B$58,0),9)&lt;&gt;"",INDEX(DiemHKII!$B$4:$K$58,MATCH($A35,DiemHKII!$B$4:$B$58,0),9),""),"")</f>
        <v/>
      </c>
      <c r="F35" s="284" t="str">
        <f>IF($A35&lt;&gt;"",IF(INDEX(DiemHKII!$B$4:$K$58,MATCH($A35,DiemHKII!$B$4:$B$58,0),10)&lt;&gt;"",INDEX(DiemHKII!$B$4:$K$58,MATCH($A35,DiemHKII!$B$4:$B$58,0),10),""),"")</f>
        <v/>
      </c>
      <c r="G35" s="285" t="str">
        <f>IF($A35&lt;&gt;"",IF(INDEX(BDHK2,MATCH($A35,DiemHKII!$B$4:$B$58,0),INDEX($AD$9:$AF$22,MATCH(G$7,$AD$9:$AD$22,0),2))&lt;&gt;"",INDEX(BDHK2,MATCH($A35,DiemHKII!$B$4:$B$58,0),INDEX($AD$9:$AF$22,MATCH(G$7,$AD$9:$AD$22,0),3)),""),"")</f>
        <v/>
      </c>
      <c r="H35" s="286" t="str">
        <f>IF($A35&lt;&gt;"",IF(INDEX(BDHK2,MATCH($A35,DiemHKII!$B$4:$B$58,0),INDEX($AD$9:$AF$22,MATCH(H$7,$AD$9:$AD$22,0),2))&lt;&gt;"",INDEX(BDHK2,MATCH($A35,DiemHKII!$B$4:$B$58,0),INDEX($AD$9:$AF$22,MATCH(H$7,$AD$9:$AD$22,0),3)),""),"")</f>
        <v/>
      </c>
      <c r="I35" s="286" t="str">
        <f>IF($A35&lt;&gt;"",IF(INDEX(BDHK2,MATCH($A35,DiemHKII!$B$4:$B$58,0),INDEX($AD$9:$AF$22,MATCH(I$7,$AD$9:$AD$22,0),2))&lt;&gt;"",INDEX(BDHK2,MATCH($A35,DiemHKII!$B$4:$B$58,0),INDEX($AD$9:$AF$22,MATCH(I$7,$AD$9:$AD$22,0),3)),""),"")</f>
        <v/>
      </c>
      <c r="J35" s="286" t="str">
        <f>IF($A35&lt;&gt;"",IF(INDEX(BDHK2,MATCH($A35,DiemHKII!$B$4:$B$58,0),INDEX($AD$9:$AF$22,MATCH(J$7,$AD$9:$AD$22,0),2))&lt;&gt;"",INDEX(BDHK2,MATCH($A35,DiemHKII!$B$4:$B$58,0),INDEX($AD$9:$AF$22,MATCH(J$7,$AD$9:$AD$22,0),3)),""),"")</f>
        <v/>
      </c>
      <c r="K35" s="286" t="str">
        <f>IF($A35&lt;&gt;"",IF(INDEX(BDHK2,MATCH($A35,DiemHKII!$B$4:$B$58,0),INDEX($AD$9:$AF$22,MATCH(K$7,$AD$9:$AD$22,0),2))&lt;&gt;"",INDEX(BDHK2,MATCH($A35,DiemHKII!$B$4:$B$58,0),INDEX($AD$9:$AF$22,MATCH(K$7,$AD$9:$AD$22,0),3)),""),"")</f>
        <v/>
      </c>
      <c r="L35" s="286" t="str">
        <f>IF($A35&lt;&gt;"",IF(INDEX(BDHK2,MATCH($A35,DiemHKII!$B$4:$B$58,0),INDEX($AD$9:$AF$22,MATCH(L$7,$AD$9:$AD$22,0),2))&lt;&gt;"",INDEX(BDHK2,MATCH($A35,DiemHKII!$B$4:$B$58,0),INDEX($AD$9:$AF$22,MATCH(L$7,$AD$9:$AD$22,0),3)),""),"")</f>
        <v/>
      </c>
      <c r="M35" s="286" t="str">
        <f>IF($A35&lt;&gt;"",IF(INDEX(BDHK2,MATCH($A35,DiemHKII!$B$4:$B$58,0),INDEX($AD$9:$AF$22,MATCH(M$7,$AD$9:$AD$22,0),2))&lt;&gt;"",INDEX(BDHK2,MATCH($A35,DiemHKII!$B$4:$B$58,0),INDEX($AD$9:$AF$22,MATCH(M$7,$AD$9:$AD$22,0),3)),""),"")</f>
        <v/>
      </c>
      <c r="N35" s="286" t="str">
        <f>IF($A35&lt;&gt;"",IF(INDEX(BDHK2,MATCH($A35,DiemHKII!$B$4:$B$58,0),INDEX($AD$9:$AF$22,MATCH(N$7,$AD$9:$AD$22,0),2))&lt;&gt;"",INDEX(BDHK2,MATCH($A35,DiemHKII!$B$4:$B$58,0),INDEX($AD$9:$AF$22,MATCH(N$7,$AD$9:$AD$22,0),3)),""),"")</f>
        <v/>
      </c>
      <c r="O35" s="286" t="str">
        <f>IF($A35&lt;&gt;"",IF(INDEX(BDHK2,MATCH($A35,DiemHKII!$B$4:$B$58,0),INDEX($AD$9:$AF$22,MATCH(O$7,$AD$9:$AD$22,0),2))&lt;&gt;"",INDEX(BDHK2,MATCH($A35,DiemHKII!$B$4:$B$58,0),INDEX($AD$9:$AF$22,MATCH(O$7,$AD$9:$AD$22,0),3)),""),"")</f>
        <v/>
      </c>
      <c r="P35" s="286" t="str">
        <f>IF($A35&lt;&gt;"",IF(INDEX(BDHK2,MATCH($A35,DiemHKII!$B$4:$B$58,0),INDEX($AD$9:$AF$22,MATCH(P$7,$AD$9:$AD$22,0),2))&lt;&gt;"",INDEX(BDHK2,MATCH($A35,DiemHKII!$B$4:$B$58,0),INDEX($AD$9:$AF$22,MATCH(P$7,$AD$9:$AD$22,0),3)),""),"")</f>
        <v/>
      </c>
      <c r="Q35" s="286" t="str">
        <f>IF($A35&lt;&gt;"",IF(INDEX(BDHK2,MATCH($A35,DiemHKII!$B$4:$B$58,0),INDEX($AD$9:$AF$22,MATCH(Q$7,$AD$9:$AD$22,0),2))&lt;&gt;"",INDEX(BDHK2,MATCH($A35,DiemHKII!$B$4:$B$58,0),INDEX($AD$9:$AF$22,MATCH(Q$7,$AD$9:$AD$22,0),3)),""),"")</f>
        <v/>
      </c>
      <c r="R35" s="464" t="str">
        <f>IF($A35&lt;&gt;"",IF(INDEX(BDHK2,MATCH($A35,DiemHKII!$B$4:$B$58,0),INDEX($AD$9:$AF$22,MATCH(R$7,$AD$9:$AD$22,0),2))&lt;&gt;"",INDEX(BDHK2,MATCH($A35,DiemHKII!$B$4:$B$58,0),INDEX($AD$9:$AF$22,MATCH(R$7,$AD$9:$AD$22,0),3)),""),"")</f>
        <v/>
      </c>
      <c r="S35" s="464" t="str">
        <f t="shared" si="8"/>
        <v/>
      </c>
      <c r="T35" s="286" t="str">
        <f>IF($A35&lt;&gt;"",IF(INDEX(BDHK2,MATCH($A35,DiemHKII!$B$4:$B$58,0),INDEX($AD$9:$AF$22,MATCH(T$7,$AD$9:$AD$22,0),2))&lt;&gt;"",INDEX(BDHK2,MATCH($A35,DiemHKII!$B$4:$B$58,0),INDEX($AD$9:$AF$22,MATCH(T$7,$AD$9:$AD$22,0),3)),""),"")</f>
        <v/>
      </c>
      <c r="U35" s="287" t="str">
        <f>IF($A35&lt;&gt;"",IF(INDEX(BDHK2,MATCH($A35,DiemHKII!$B$4:$B$58,0),INDEX($AD$9:$AF$22,MATCH(U$7,$AD$9:$AD$22,0),2))&lt;&gt;"",INDEX(BDHK2,MATCH($A35,DiemHKII!$B$4:$B$58,0),INDEX($AD$9:$AF$22,MATCH(U$7,$AD$9:$AD$22,0),3)),""),"")</f>
        <v/>
      </c>
      <c r="V35" s="288" t="str">
        <f t="shared" si="9"/>
        <v/>
      </c>
      <c r="W35" s="464" t="str">
        <f t="shared" si="10"/>
        <v/>
      </c>
      <c r="X35" s="353"/>
      <c r="Y35" s="289" t="str">
        <f t="shared" si="11"/>
        <v/>
      </c>
      <c r="AA35" s="641" t="str">
        <f t="shared" si="4"/>
        <v/>
      </c>
      <c r="AG35" s="268" t="str">
        <f>IF($A35&lt;&gt;"",INDEX(DiemHKII!$B$4:$K$58,MATCH($A35,DiemHKII!$B$4:$B$58,0),2),"")</f>
        <v>12A1Phan Trương KiếnQuốc03/12/2004</v>
      </c>
      <c r="AH35" s="674" t="str">
        <f t="shared" si="7"/>
        <v/>
      </c>
      <c r="AI35" s="672" t="str">
        <f t="shared" ca="1" si="6"/>
        <v/>
      </c>
    </row>
    <row r="36" spans="1:35" s="268" customFormat="1" ht="29.1" customHeight="1">
      <c r="A36" s="281">
        <f>IF(A35&lt;MAX(DiemHKII!$B$4:$B$58),A35+1,"")</f>
        <v>29</v>
      </c>
      <c r="B36" s="282" t="str">
        <f>IF($A36&lt;&gt;"",PROPER(INDEX(DiemHKII!$B$4:$K$58,MATCH($A36,DiemHKII!$B$4:$B$58,0),4)),"")</f>
        <v>Trần Thị Như</v>
      </c>
      <c r="C36" s="283" t="str">
        <f>IF($A36&lt;&gt;"",PROPER(INDEX(DiemHKII!$B$4:$K$58,MATCH($A36,DiemHKII!$B$4:$B$58,0),5)),"")</f>
        <v>Quỳnh</v>
      </c>
      <c r="D36" s="284" t="str">
        <f>IF($A36&lt;&gt;"",IF(INDEX(DiemHKII!$B$4:$K$58,MATCH($A36,DiemHKII!$B$4:$B$58,0),8)&lt;&gt;"",INDEX(DiemHKII!$B$4:$K$58,MATCH($A36,DiemHKII!$B$4:$B$58,0),8),""),"")</f>
        <v/>
      </c>
      <c r="E36" s="284" t="str">
        <f>IF($A36&lt;&gt;"",IF(INDEX(DiemHKII!$B$4:$K$58,MATCH($A36,DiemHKII!$B$4:$B$58,0),9)&lt;&gt;"",INDEX(DiemHKII!$B$4:$K$58,MATCH($A36,DiemHKII!$B$4:$B$58,0),9),""),"")</f>
        <v/>
      </c>
      <c r="F36" s="284" t="str">
        <f>IF($A36&lt;&gt;"",IF(INDEX(DiemHKII!$B$4:$K$58,MATCH($A36,DiemHKII!$B$4:$B$58,0),10)&lt;&gt;"",INDEX(DiemHKII!$B$4:$K$58,MATCH($A36,DiemHKII!$B$4:$B$58,0),10),""),"")</f>
        <v/>
      </c>
      <c r="G36" s="285" t="str">
        <f>IF($A36&lt;&gt;"",IF(INDEX(BDHK2,MATCH($A36,DiemHKII!$B$4:$B$58,0),INDEX($AD$9:$AF$22,MATCH(G$7,$AD$9:$AD$22,0),2))&lt;&gt;"",INDEX(BDHK2,MATCH($A36,DiemHKII!$B$4:$B$58,0),INDEX($AD$9:$AF$22,MATCH(G$7,$AD$9:$AD$22,0),3)),""),"")</f>
        <v/>
      </c>
      <c r="H36" s="286" t="str">
        <f>IF($A36&lt;&gt;"",IF(INDEX(BDHK2,MATCH($A36,DiemHKII!$B$4:$B$58,0),INDEX($AD$9:$AF$22,MATCH(H$7,$AD$9:$AD$22,0),2))&lt;&gt;"",INDEX(BDHK2,MATCH($A36,DiemHKII!$B$4:$B$58,0),INDEX($AD$9:$AF$22,MATCH(H$7,$AD$9:$AD$22,0),3)),""),"")</f>
        <v/>
      </c>
      <c r="I36" s="286" t="str">
        <f>IF($A36&lt;&gt;"",IF(INDEX(BDHK2,MATCH($A36,DiemHKII!$B$4:$B$58,0),INDEX($AD$9:$AF$22,MATCH(I$7,$AD$9:$AD$22,0),2))&lt;&gt;"",INDEX(BDHK2,MATCH($A36,DiemHKII!$B$4:$B$58,0),INDEX($AD$9:$AF$22,MATCH(I$7,$AD$9:$AD$22,0),3)),""),"")</f>
        <v/>
      </c>
      <c r="J36" s="286" t="str">
        <f>IF($A36&lt;&gt;"",IF(INDEX(BDHK2,MATCH($A36,DiemHKII!$B$4:$B$58,0),INDEX($AD$9:$AF$22,MATCH(J$7,$AD$9:$AD$22,0),2))&lt;&gt;"",INDEX(BDHK2,MATCH($A36,DiemHKII!$B$4:$B$58,0),INDEX($AD$9:$AF$22,MATCH(J$7,$AD$9:$AD$22,0),3)),""),"")</f>
        <v/>
      </c>
      <c r="K36" s="286" t="str">
        <f>IF($A36&lt;&gt;"",IF(INDEX(BDHK2,MATCH($A36,DiemHKII!$B$4:$B$58,0),INDEX($AD$9:$AF$22,MATCH(K$7,$AD$9:$AD$22,0),2))&lt;&gt;"",INDEX(BDHK2,MATCH($A36,DiemHKII!$B$4:$B$58,0),INDEX($AD$9:$AF$22,MATCH(K$7,$AD$9:$AD$22,0),3)),""),"")</f>
        <v/>
      </c>
      <c r="L36" s="286" t="str">
        <f>IF($A36&lt;&gt;"",IF(INDEX(BDHK2,MATCH($A36,DiemHKII!$B$4:$B$58,0),INDEX($AD$9:$AF$22,MATCH(L$7,$AD$9:$AD$22,0),2))&lt;&gt;"",INDEX(BDHK2,MATCH($A36,DiemHKII!$B$4:$B$58,0),INDEX($AD$9:$AF$22,MATCH(L$7,$AD$9:$AD$22,0),3)),""),"")</f>
        <v/>
      </c>
      <c r="M36" s="286" t="str">
        <f>IF($A36&lt;&gt;"",IF(INDEX(BDHK2,MATCH($A36,DiemHKII!$B$4:$B$58,0),INDEX($AD$9:$AF$22,MATCH(M$7,$AD$9:$AD$22,0),2))&lt;&gt;"",INDEX(BDHK2,MATCH($A36,DiemHKII!$B$4:$B$58,0),INDEX($AD$9:$AF$22,MATCH(M$7,$AD$9:$AD$22,0),3)),""),"")</f>
        <v/>
      </c>
      <c r="N36" s="286" t="str">
        <f>IF($A36&lt;&gt;"",IF(INDEX(BDHK2,MATCH($A36,DiemHKII!$B$4:$B$58,0),INDEX($AD$9:$AF$22,MATCH(N$7,$AD$9:$AD$22,0),2))&lt;&gt;"",INDEX(BDHK2,MATCH($A36,DiemHKII!$B$4:$B$58,0),INDEX($AD$9:$AF$22,MATCH(N$7,$AD$9:$AD$22,0),3)),""),"")</f>
        <v/>
      </c>
      <c r="O36" s="286" t="str">
        <f>IF($A36&lt;&gt;"",IF(INDEX(BDHK2,MATCH($A36,DiemHKII!$B$4:$B$58,0),INDEX($AD$9:$AF$22,MATCH(O$7,$AD$9:$AD$22,0),2))&lt;&gt;"",INDEX(BDHK2,MATCH($A36,DiemHKII!$B$4:$B$58,0),INDEX($AD$9:$AF$22,MATCH(O$7,$AD$9:$AD$22,0),3)),""),"")</f>
        <v/>
      </c>
      <c r="P36" s="286" t="str">
        <f>IF($A36&lt;&gt;"",IF(INDEX(BDHK2,MATCH($A36,DiemHKII!$B$4:$B$58,0),INDEX($AD$9:$AF$22,MATCH(P$7,$AD$9:$AD$22,0),2))&lt;&gt;"",INDEX(BDHK2,MATCH($A36,DiemHKII!$B$4:$B$58,0),INDEX($AD$9:$AF$22,MATCH(P$7,$AD$9:$AD$22,0),3)),""),"")</f>
        <v/>
      </c>
      <c r="Q36" s="286" t="str">
        <f>IF($A36&lt;&gt;"",IF(INDEX(BDHK2,MATCH($A36,DiemHKII!$B$4:$B$58,0),INDEX($AD$9:$AF$22,MATCH(Q$7,$AD$9:$AD$22,0),2))&lt;&gt;"",INDEX(BDHK2,MATCH($A36,DiemHKII!$B$4:$B$58,0),INDEX($AD$9:$AF$22,MATCH(Q$7,$AD$9:$AD$22,0),3)),""),"")</f>
        <v/>
      </c>
      <c r="R36" s="464" t="str">
        <f>IF($A36&lt;&gt;"",IF(INDEX(BDHK2,MATCH($A36,DiemHKII!$B$4:$B$58,0),INDEX($AD$9:$AF$22,MATCH(R$7,$AD$9:$AD$22,0),2))&lt;&gt;"",INDEX(BDHK2,MATCH($A36,DiemHKII!$B$4:$B$58,0),INDEX($AD$9:$AF$22,MATCH(R$7,$AD$9:$AD$22,0),3)),""),"")</f>
        <v/>
      </c>
      <c r="S36" s="464" t="str">
        <f t="shared" si="8"/>
        <v/>
      </c>
      <c r="T36" s="286" t="str">
        <f>IF($A36&lt;&gt;"",IF(INDEX(BDHK2,MATCH($A36,DiemHKII!$B$4:$B$58,0),INDEX($AD$9:$AF$22,MATCH(T$7,$AD$9:$AD$22,0),2))&lt;&gt;"",INDEX(BDHK2,MATCH($A36,DiemHKII!$B$4:$B$58,0),INDEX($AD$9:$AF$22,MATCH(T$7,$AD$9:$AD$22,0),3)),""),"")</f>
        <v/>
      </c>
      <c r="U36" s="287" t="str">
        <f>IF($A36&lt;&gt;"",IF(INDEX(BDHK2,MATCH($A36,DiemHKII!$B$4:$B$58,0),INDEX($AD$9:$AF$22,MATCH(U$7,$AD$9:$AD$22,0),2))&lt;&gt;"",INDEX(BDHK2,MATCH($A36,DiemHKII!$B$4:$B$58,0),INDEX($AD$9:$AF$22,MATCH(U$7,$AD$9:$AD$22,0),3)),""),"")</f>
        <v/>
      </c>
      <c r="V36" s="288" t="str">
        <f t="shared" si="9"/>
        <v/>
      </c>
      <c r="W36" s="464" t="str">
        <f t="shared" si="10"/>
        <v/>
      </c>
      <c r="X36" s="353"/>
      <c r="Y36" s="289" t="str">
        <f t="shared" si="11"/>
        <v/>
      </c>
      <c r="AA36" s="641" t="str">
        <f t="shared" si="4"/>
        <v/>
      </c>
      <c r="AG36" s="268" t="str">
        <f>IF($A36&lt;&gt;"",INDEX(DiemHKII!$B$4:$K$58,MATCH($A36,DiemHKII!$B$4:$B$58,0),2),"")</f>
        <v>12A1Trần Thị NhưQuỳnh28/01/2004</v>
      </c>
      <c r="AH36" s="674" t="str">
        <f t="shared" si="7"/>
        <v/>
      </c>
      <c r="AI36" s="672" t="str">
        <f t="shared" ca="1" si="6"/>
        <v/>
      </c>
    </row>
    <row r="37" spans="1:35" s="268" customFormat="1" ht="29.1" customHeight="1" thickBot="1">
      <c r="A37" s="290">
        <f>IF(A36&lt;MAX(DiemHKII!$B$4:$B$58),A36+1,"")</f>
        <v>30</v>
      </c>
      <c r="B37" s="291" t="str">
        <f>IF($A37&lt;&gt;"",PROPER(INDEX(DiemHKII!$B$4:$K$58,MATCH($A37,DiemHKII!$B$4:$B$58,0),4)),"")</f>
        <v>Nguyễn Thái</v>
      </c>
      <c r="C37" s="292" t="str">
        <f>IF($A37&lt;&gt;"",PROPER(INDEX(DiemHKII!$B$4:$K$58,MATCH($A37,DiemHKII!$B$4:$B$58,0),5)),"")</f>
        <v>Sơn</v>
      </c>
      <c r="D37" s="293" t="str">
        <f>IF($A37&lt;&gt;"",IF(INDEX(DiemHKII!$B$4:$K$58,MATCH($A37,DiemHKII!$B$4:$B$58,0),8)&lt;&gt;"",INDEX(DiemHKII!$B$4:$K$58,MATCH($A37,DiemHKII!$B$4:$B$58,0),8),""),"")</f>
        <v/>
      </c>
      <c r="E37" s="293" t="str">
        <f>IF($A37&lt;&gt;"",IF(INDEX(DiemHKII!$B$4:$K$58,MATCH($A37,DiemHKII!$B$4:$B$58,0),9)&lt;&gt;"",INDEX(DiemHKII!$B$4:$K$58,MATCH($A37,DiemHKII!$B$4:$B$58,0),9),""),"")</f>
        <v/>
      </c>
      <c r="F37" s="293" t="str">
        <f>IF($A37&lt;&gt;"",IF(INDEX(DiemHKII!$B$4:$K$58,MATCH($A37,DiemHKII!$B$4:$B$58,0),10)&lt;&gt;"",INDEX(DiemHKII!$B$4:$K$58,MATCH($A37,DiemHKII!$B$4:$B$58,0),10),""),"")</f>
        <v/>
      </c>
      <c r="G37" s="294" t="str">
        <f>IF($A37&lt;&gt;"",IF(INDEX(BDHK2,MATCH($A37,DiemHKII!$B$4:$B$58,0),INDEX($AD$9:$AF$22,MATCH(G$7,$AD$9:$AD$22,0),2))&lt;&gt;"",INDEX(BDHK2,MATCH($A37,DiemHKII!$B$4:$B$58,0),INDEX($AD$9:$AF$22,MATCH(G$7,$AD$9:$AD$22,0),3)),""),"")</f>
        <v/>
      </c>
      <c r="H37" s="295" t="str">
        <f>IF($A37&lt;&gt;"",IF(INDEX(BDHK2,MATCH($A37,DiemHKII!$B$4:$B$58,0),INDEX($AD$9:$AF$22,MATCH(H$7,$AD$9:$AD$22,0),2))&lt;&gt;"",INDEX(BDHK2,MATCH($A37,DiemHKII!$B$4:$B$58,0),INDEX($AD$9:$AF$22,MATCH(H$7,$AD$9:$AD$22,0),3)),""),"")</f>
        <v/>
      </c>
      <c r="I37" s="295" t="str">
        <f>IF($A37&lt;&gt;"",IF(INDEX(BDHK2,MATCH($A37,DiemHKII!$B$4:$B$58,0),INDEX($AD$9:$AF$22,MATCH(I$7,$AD$9:$AD$22,0),2))&lt;&gt;"",INDEX(BDHK2,MATCH($A37,DiemHKII!$B$4:$B$58,0),INDEX($AD$9:$AF$22,MATCH(I$7,$AD$9:$AD$22,0),3)),""),"")</f>
        <v/>
      </c>
      <c r="J37" s="295" t="str">
        <f>IF($A37&lt;&gt;"",IF(INDEX(BDHK2,MATCH($A37,DiemHKII!$B$4:$B$58,0),INDEX($AD$9:$AF$22,MATCH(J$7,$AD$9:$AD$22,0),2))&lt;&gt;"",INDEX(BDHK2,MATCH($A37,DiemHKII!$B$4:$B$58,0),INDEX($AD$9:$AF$22,MATCH(J$7,$AD$9:$AD$22,0),3)),""),"")</f>
        <v/>
      </c>
      <c r="K37" s="295" t="str">
        <f>IF($A37&lt;&gt;"",IF(INDEX(BDHK2,MATCH($A37,DiemHKII!$B$4:$B$58,0),INDEX($AD$9:$AF$22,MATCH(K$7,$AD$9:$AD$22,0),2))&lt;&gt;"",INDEX(BDHK2,MATCH($A37,DiemHKII!$B$4:$B$58,0),INDEX($AD$9:$AF$22,MATCH(K$7,$AD$9:$AD$22,0),3)),""),"")</f>
        <v/>
      </c>
      <c r="L37" s="295" t="str">
        <f>IF($A37&lt;&gt;"",IF(INDEX(BDHK2,MATCH($A37,DiemHKII!$B$4:$B$58,0),INDEX($AD$9:$AF$22,MATCH(L$7,$AD$9:$AD$22,0),2))&lt;&gt;"",INDEX(BDHK2,MATCH($A37,DiemHKII!$B$4:$B$58,0),INDEX($AD$9:$AF$22,MATCH(L$7,$AD$9:$AD$22,0),3)),""),"")</f>
        <v/>
      </c>
      <c r="M37" s="295" t="str">
        <f>IF($A37&lt;&gt;"",IF(INDEX(BDHK2,MATCH($A37,DiemHKII!$B$4:$B$58,0),INDEX($AD$9:$AF$22,MATCH(M$7,$AD$9:$AD$22,0),2))&lt;&gt;"",INDEX(BDHK2,MATCH($A37,DiemHKII!$B$4:$B$58,0),INDEX($AD$9:$AF$22,MATCH(M$7,$AD$9:$AD$22,0),3)),""),"")</f>
        <v/>
      </c>
      <c r="N37" s="295" t="str">
        <f>IF($A37&lt;&gt;"",IF(INDEX(BDHK2,MATCH($A37,DiemHKII!$B$4:$B$58,0),INDEX($AD$9:$AF$22,MATCH(N$7,$AD$9:$AD$22,0),2))&lt;&gt;"",INDEX(BDHK2,MATCH($A37,DiemHKII!$B$4:$B$58,0),INDEX($AD$9:$AF$22,MATCH(N$7,$AD$9:$AD$22,0),3)),""),"")</f>
        <v/>
      </c>
      <c r="O37" s="295" t="str">
        <f>IF($A37&lt;&gt;"",IF(INDEX(BDHK2,MATCH($A37,DiemHKII!$B$4:$B$58,0),INDEX($AD$9:$AF$22,MATCH(O$7,$AD$9:$AD$22,0),2))&lt;&gt;"",INDEX(BDHK2,MATCH($A37,DiemHKII!$B$4:$B$58,0),INDEX($AD$9:$AF$22,MATCH(O$7,$AD$9:$AD$22,0),3)),""),"")</f>
        <v/>
      </c>
      <c r="P37" s="295" t="str">
        <f>IF($A37&lt;&gt;"",IF(INDEX(BDHK2,MATCH($A37,DiemHKII!$B$4:$B$58,0),INDEX($AD$9:$AF$22,MATCH(P$7,$AD$9:$AD$22,0),2))&lt;&gt;"",INDEX(BDHK2,MATCH($A37,DiemHKII!$B$4:$B$58,0),INDEX($AD$9:$AF$22,MATCH(P$7,$AD$9:$AD$22,0),3)),""),"")</f>
        <v/>
      </c>
      <c r="Q37" s="295" t="str">
        <f>IF($A37&lt;&gt;"",IF(INDEX(BDHK2,MATCH($A37,DiemHKII!$B$4:$B$58,0),INDEX($AD$9:$AF$22,MATCH(Q$7,$AD$9:$AD$22,0),2))&lt;&gt;"",INDEX(BDHK2,MATCH($A37,DiemHKII!$B$4:$B$58,0),INDEX($AD$9:$AF$22,MATCH(Q$7,$AD$9:$AD$22,0),3)),""),"")</f>
        <v/>
      </c>
      <c r="R37" s="296" t="str">
        <f>IF($A37&lt;&gt;"",IF(INDEX(BDHK2,MATCH($A37,DiemHKII!$B$4:$B$58,0),INDEX($AD$9:$AF$22,MATCH(R$7,$AD$9:$AD$22,0),2))&lt;&gt;"",INDEX(BDHK2,MATCH($A37,DiemHKII!$B$4:$B$58,0),INDEX($AD$9:$AF$22,MATCH(R$7,$AD$9:$AD$22,0),3)),""),"")</f>
        <v/>
      </c>
      <c r="S37" s="296" t="str">
        <f t="shared" si="8"/>
        <v/>
      </c>
      <c r="T37" s="295" t="str">
        <f>IF($A37&lt;&gt;"",IF(INDEX(BDHK2,MATCH($A37,DiemHKII!$B$4:$B$58,0),INDEX($AD$9:$AF$22,MATCH(T$7,$AD$9:$AD$22,0),2))&lt;&gt;"",INDEX(BDHK2,MATCH($A37,DiemHKII!$B$4:$B$58,0),INDEX($AD$9:$AF$22,MATCH(T$7,$AD$9:$AD$22,0),3)),""),"")</f>
        <v/>
      </c>
      <c r="U37" s="297" t="str">
        <f>IF($A37&lt;&gt;"",IF(INDEX(BDHK2,MATCH($A37,DiemHKII!$B$4:$B$58,0),INDEX($AD$9:$AF$22,MATCH(U$7,$AD$9:$AD$22,0),2))&lt;&gt;"",INDEX(BDHK2,MATCH($A37,DiemHKII!$B$4:$B$58,0),INDEX($AD$9:$AF$22,MATCH(U$7,$AD$9:$AD$22,0),3)),""),"")</f>
        <v/>
      </c>
      <c r="V37" s="298" t="str">
        <f t="shared" si="9"/>
        <v/>
      </c>
      <c r="W37" s="296" t="str">
        <f t="shared" si="10"/>
        <v/>
      </c>
      <c r="X37" s="354"/>
      <c r="Y37" s="299" t="str">
        <f t="shared" si="11"/>
        <v/>
      </c>
      <c r="AA37" s="641" t="str">
        <f t="shared" si="4"/>
        <v/>
      </c>
      <c r="AG37" s="268" t="str">
        <f>IF($A37&lt;&gt;"",INDEX(DiemHKII!$B$4:$K$58,MATCH($A37,DiemHKII!$B$4:$B$58,0),2),"")</f>
        <v>12A1Nguyễn TháiSơn14/04/2004</v>
      </c>
      <c r="AH37" s="674" t="str">
        <f t="shared" si="7"/>
        <v/>
      </c>
      <c r="AI37" s="672" t="str">
        <f t="shared" ca="1" si="6"/>
        <v/>
      </c>
    </row>
    <row r="38" spans="1:35" s="268" customFormat="1" ht="29.1" customHeight="1">
      <c r="A38" s="274">
        <f>IF(A37&lt;MAX(DiemHKII!$B$4:$B$58),A37+1,"")</f>
        <v>31</v>
      </c>
      <c r="B38" s="275" t="str">
        <f>IF($A38&lt;&gt;"",PROPER(INDEX(DiemHKII!$B$4:$K$58,MATCH($A38,DiemHKII!$B$4:$B$58,0),4)),"")</f>
        <v>Đặng Hoàng</v>
      </c>
      <c r="C38" s="276" t="str">
        <f>IF($A38&lt;&gt;"",PROPER(INDEX(DiemHKII!$B$4:$K$58,MATCH($A38,DiemHKII!$B$4:$B$58,0),5)),"")</f>
        <v>Tân</v>
      </c>
      <c r="D38" s="277" t="str">
        <f>IF($A38&lt;&gt;"",IF(INDEX(DiemHKII!$B$4:$K$58,MATCH($A38,DiemHKII!$B$4:$B$58,0),8)&lt;&gt;"",INDEX(DiemHKII!$B$4:$K$58,MATCH($A38,DiemHKII!$B$4:$B$58,0),8),""),"")</f>
        <v/>
      </c>
      <c r="E38" s="277" t="str">
        <f>IF($A38&lt;&gt;"",IF(INDEX(DiemHKII!$B$4:$K$58,MATCH($A38,DiemHKII!$B$4:$B$58,0),9)&lt;&gt;"",INDEX(DiemHKII!$B$4:$K$58,MATCH($A38,DiemHKII!$B$4:$B$58,0),9),""),"")</f>
        <v/>
      </c>
      <c r="F38" s="277" t="str">
        <f>IF($A38&lt;&gt;"",IF(INDEX(DiemHKII!$B$4:$K$58,MATCH($A38,DiemHKII!$B$4:$B$58,0),10)&lt;&gt;"",INDEX(DiemHKII!$B$4:$K$58,MATCH($A38,DiemHKII!$B$4:$B$58,0),10),""),"")</f>
        <v/>
      </c>
      <c r="G38" s="443" t="str">
        <f>IF($A38&lt;&gt;"",IF(INDEX(BDHK2,MATCH($A38,DiemHKII!$B$4:$B$58,0),INDEX($AD$9:$AF$22,MATCH(G$7,$AD$9:$AD$22,0),2))&lt;&gt;"",INDEX(BDHK2,MATCH($A38,DiemHKII!$B$4:$B$58,0),INDEX($AD$9:$AF$22,MATCH(G$7,$AD$9:$AD$22,0),3)),""),"")</f>
        <v/>
      </c>
      <c r="H38" s="301" t="str">
        <f>IF($A38&lt;&gt;"",IF(INDEX(BDHK2,MATCH($A38,DiemHKII!$B$4:$B$58,0),INDEX($AD$9:$AF$22,MATCH(H$7,$AD$9:$AD$22,0),2))&lt;&gt;"",INDEX(BDHK2,MATCH($A38,DiemHKII!$B$4:$B$58,0),INDEX($AD$9:$AF$22,MATCH(H$7,$AD$9:$AD$22,0),3)),""),"")</f>
        <v/>
      </c>
      <c r="I38" s="301" t="str">
        <f>IF($A38&lt;&gt;"",IF(INDEX(BDHK2,MATCH($A38,DiemHKII!$B$4:$B$58,0),INDEX($AD$9:$AF$22,MATCH(I$7,$AD$9:$AD$22,0),2))&lt;&gt;"",INDEX(BDHK2,MATCH($A38,DiemHKII!$B$4:$B$58,0),INDEX($AD$9:$AF$22,MATCH(I$7,$AD$9:$AD$22,0),3)),""),"")</f>
        <v/>
      </c>
      <c r="J38" s="301" t="str">
        <f>IF($A38&lt;&gt;"",IF(INDEX(BDHK2,MATCH($A38,DiemHKII!$B$4:$B$58,0),INDEX($AD$9:$AF$22,MATCH(J$7,$AD$9:$AD$22,0),2))&lt;&gt;"",INDEX(BDHK2,MATCH($A38,DiemHKII!$B$4:$B$58,0),INDEX($AD$9:$AF$22,MATCH(J$7,$AD$9:$AD$22,0),3)),""),"")</f>
        <v/>
      </c>
      <c r="K38" s="301" t="str">
        <f>IF($A38&lt;&gt;"",IF(INDEX(BDHK2,MATCH($A38,DiemHKII!$B$4:$B$58,0),INDEX($AD$9:$AF$22,MATCH(K$7,$AD$9:$AD$22,0),2))&lt;&gt;"",INDEX(BDHK2,MATCH($A38,DiemHKII!$B$4:$B$58,0),INDEX($AD$9:$AF$22,MATCH(K$7,$AD$9:$AD$22,0),3)),""),"")</f>
        <v/>
      </c>
      <c r="L38" s="301" t="str">
        <f>IF($A38&lt;&gt;"",IF(INDEX(BDHK2,MATCH($A38,DiemHKII!$B$4:$B$58,0),INDEX($AD$9:$AF$22,MATCH(L$7,$AD$9:$AD$22,0),2))&lt;&gt;"",INDEX(BDHK2,MATCH($A38,DiemHKII!$B$4:$B$58,0),INDEX($AD$9:$AF$22,MATCH(L$7,$AD$9:$AD$22,0),3)),""),"")</f>
        <v/>
      </c>
      <c r="M38" s="301" t="str">
        <f>IF($A38&lt;&gt;"",IF(INDEX(BDHK2,MATCH($A38,DiemHKII!$B$4:$B$58,0),INDEX($AD$9:$AF$22,MATCH(M$7,$AD$9:$AD$22,0),2))&lt;&gt;"",INDEX(BDHK2,MATCH($A38,DiemHKII!$B$4:$B$58,0),INDEX($AD$9:$AF$22,MATCH(M$7,$AD$9:$AD$22,0),3)),""),"")</f>
        <v/>
      </c>
      <c r="N38" s="301" t="str">
        <f>IF($A38&lt;&gt;"",IF(INDEX(BDHK2,MATCH($A38,DiemHKII!$B$4:$B$58,0),INDEX($AD$9:$AF$22,MATCH(N$7,$AD$9:$AD$22,0),2))&lt;&gt;"",INDEX(BDHK2,MATCH($A38,DiemHKII!$B$4:$B$58,0),INDEX($AD$9:$AF$22,MATCH(N$7,$AD$9:$AD$22,0),3)),""),"")</f>
        <v/>
      </c>
      <c r="O38" s="301" t="str">
        <f>IF($A38&lt;&gt;"",IF(INDEX(BDHK2,MATCH($A38,DiemHKII!$B$4:$B$58,0),INDEX($AD$9:$AF$22,MATCH(O$7,$AD$9:$AD$22,0),2))&lt;&gt;"",INDEX(BDHK2,MATCH($A38,DiemHKII!$B$4:$B$58,0),INDEX($AD$9:$AF$22,MATCH(O$7,$AD$9:$AD$22,0),3)),""),"")</f>
        <v/>
      </c>
      <c r="P38" s="301" t="str">
        <f>IF($A38&lt;&gt;"",IF(INDEX(BDHK2,MATCH($A38,DiemHKII!$B$4:$B$58,0),INDEX($AD$9:$AF$22,MATCH(P$7,$AD$9:$AD$22,0),2))&lt;&gt;"",INDEX(BDHK2,MATCH($A38,DiemHKII!$B$4:$B$58,0),INDEX($AD$9:$AF$22,MATCH(P$7,$AD$9:$AD$22,0),3)),""),"")</f>
        <v/>
      </c>
      <c r="Q38" s="301" t="str">
        <f>IF($A38&lt;&gt;"",IF(INDEX(BDHK2,MATCH($A38,DiemHKII!$B$4:$B$58,0),INDEX($AD$9:$AF$22,MATCH(Q$7,$AD$9:$AD$22,0),2))&lt;&gt;"",INDEX(BDHK2,MATCH($A38,DiemHKII!$B$4:$B$58,0),INDEX($AD$9:$AF$22,MATCH(Q$7,$AD$9:$AD$22,0),3)),""),"")</f>
        <v/>
      </c>
      <c r="R38" s="279" t="str">
        <f>IF($A38&lt;&gt;"",IF(INDEX(BDHK2,MATCH($A38,DiemHKII!$B$4:$B$58,0),INDEX($AD$9:$AF$22,MATCH(R$7,$AD$9:$AD$22,0),2))&lt;&gt;"",INDEX(BDHK2,MATCH($A38,DiemHKII!$B$4:$B$58,0),INDEX($AD$9:$AF$22,MATCH(R$7,$AD$9:$AD$22,0),3)),""),"")</f>
        <v/>
      </c>
      <c r="S38" s="279" t="str">
        <f t="shared" si="8"/>
        <v/>
      </c>
      <c r="T38" s="301" t="str">
        <f>IF($A38&lt;&gt;"",IF(INDEX(BDHK2,MATCH($A38,DiemHKII!$B$4:$B$58,0),INDEX($AD$9:$AF$22,MATCH(T$7,$AD$9:$AD$22,0),2))&lt;&gt;"",INDEX(BDHK2,MATCH($A38,DiemHKII!$B$4:$B$58,0),INDEX($AD$9:$AF$22,MATCH(T$7,$AD$9:$AD$22,0),3)),""),"")</f>
        <v/>
      </c>
      <c r="U38" s="302" t="str">
        <f>IF($A38&lt;&gt;"",IF(INDEX(BDHK2,MATCH($A38,DiemHKII!$B$4:$B$58,0),INDEX($AD$9:$AF$22,MATCH(U$7,$AD$9:$AD$22,0),2))&lt;&gt;"",INDEX(BDHK2,MATCH($A38,DiemHKII!$B$4:$B$58,0),INDEX($AD$9:$AF$22,MATCH(U$7,$AD$9:$AD$22,0),3)),""),"")</f>
        <v/>
      </c>
      <c r="V38" s="278" t="str">
        <f t="shared" si="9"/>
        <v/>
      </c>
      <c r="W38" s="279" t="str">
        <f t="shared" si="10"/>
        <v/>
      </c>
      <c r="X38" s="352"/>
      <c r="Y38" s="280" t="str">
        <f t="shared" si="11"/>
        <v/>
      </c>
      <c r="AA38" s="641" t="str">
        <f t="shared" si="4"/>
        <v/>
      </c>
      <c r="AG38" s="268" t="str">
        <f>IF($A38&lt;&gt;"",INDEX(DiemHKII!$B$4:$K$58,MATCH($A38,DiemHKII!$B$4:$B$58,0),2),"")</f>
        <v>12A1Đặng HoàngTân26/09/2004</v>
      </c>
      <c r="AH38" s="674" t="str">
        <f t="shared" si="7"/>
        <v/>
      </c>
      <c r="AI38" s="672" t="str">
        <f t="shared" ca="1" si="6"/>
        <v/>
      </c>
    </row>
    <row r="39" spans="1:35" s="268" customFormat="1" ht="29.1" customHeight="1">
      <c r="A39" s="281">
        <f>IF(A38&lt;MAX(DiemHKII!$B$4:$B$58),A38+1,"")</f>
        <v>32</v>
      </c>
      <c r="B39" s="282" t="str">
        <f>IF($A39&lt;&gt;"",PROPER(INDEX(DiemHKII!$B$4:$K$58,MATCH($A39,DiemHKII!$B$4:$B$58,0),4)),"")</f>
        <v>Hồ Quang</v>
      </c>
      <c r="C39" s="283" t="str">
        <f>IF($A39&lt;&gt;"",PROPER(INDEX(DiemHKII!$B$4:$K$58,MATCH($A39,DiemHKII!$B$4:$B$58,0),5)),"")</f>
        <v>Thành</v>
      </c>
      <c r="D39" s="284" t="str">
        <f>IF($A39&lt;&gt;"",IF(INDEX(DiemHKII!$B$4:$K$58,MATCH($A39,DiemHKII!$B$4:$B$58,0),8)&lt;&gt;"",INDEX(DiemHKII!$B$4:$K$58,MATCH($A39,DiemHKII!$B$4:$B$58,0),8),""),"")</f>
        <v/>
      </c>
      <c r="E39" s="284" t="str">
        <f>IF($A39&lt;&gt;"",IF(INDEX(DiemHKII!$B$4:$K$58,MATCH($A39,DiemHKII!$B$4:$B$58,0),9)&lt;&gt;"",INDEX(DiemHKII!$B$4:$K$58,MATCH($A39,DiemHKII!$B$4:$B$58,0),9),""),"")</f>
        <v/>
      </c>
      <c r="F39" s="284" t="str">
        <f>IF($A39&lt;&gt;"",IF(INDEX(DiemHKII!$B$4:$K$58,MATCH($A39,DiemHKII!$B$4:$B$58,0),10)&lt;&gt;"",INDEX(DiemHKII!$B$4:$K$58,MATCH($A39,DiemHKII!$B$4:$B$58,0),10),""),"")</f>
        <v/>
      </c>
      <c r="G39" s="285" t="str">
        <f>IF($A39&lt;&gt;"",IF(INDEX(BDHK2,MATCH($A39,DiemHKII!$B$4:$B$58,0),INDEX($AD$9:$AF$22,MATCH(G$7,$AD$9:$AD$22,0),2))&lt;&gt;"",INDEX(BDHK2,MATCH($A39,DiemHKII!$B$4:$B$58,0),INDEX($AD$9:$AF$22,MATCH(G$7,$AD$9:$AD$22,0),3)),""),"")</f>
        <v/>
      </c>
      <c r="H39" s="286" t="str">
        <f>IF($A39&lt;&gt;"",IF(INDEX(BDHK2,MATCH($A39,DiemHKII!$B$4:$B$58,0),INDEX($AD$9:$AF$22,MATCH(H$7,$AD$9:$AD$22,0),2))&lt;&gt;"",INDEX(BDHK2,MATCH($A39,DiemHKII!$B$4:$B$58,0),INDEX($AD$9:$AF$22,MATCH(H$7,$AD$9:$AD$22,0),3)),""),"")</f>
        <v/>
      </c>
      <c r="I39" s="286" t="str">
        <f>IF($A39&lt;&gt;"",IF(INDEX(BDHK2,MATCH($A39,DiemHKII!$B$4:$B$58,0),INDEX($AD$9:$AF$22,MATCH(I$7,$AD$9:$AD$22,0),2))&lt;&gt;"",INDEX(BDHK2,MATCH($A39,DiemHKII!$B$4:$B$58,0),INDEX($AD$9:$AF$22,MATCH(I$7,$AD$9:$AD$22,0),3)),""),"")</f>
        <v/>
      </c>
      <c r="J39" s="286" t="str">
        <f>IF($A39&lt;&gt;"",IF(INDEX(BDHK2,MATCH($A39,DiemHKII!$B$4:$B$58,0),INDEX($AD$9:$AF$22,MATCH(J$7,$AD$9:$AD$22,0),2))&lt;&gt;"",INDEX(BDHK2,MATCH($A39,DiemHKII!$B$4:$B$58,0),INDEX($AD$9:$AF$22,MATCH(J$7,$AD$9:$AD$22,0),3)),""),"")</f>
        <v/>
      </c>
      <c r="K39" s="286" t="str">
        <f>IF($A39&lt;&gt;"",IF(INDEX(BDHK2,MATCH($A39,DiemHKII!$B$4:$B$58,0),INDEX($AD$9:$AF$22,MATCH(K$7,$AD$9:$AD$22,0),2))&lt;&gt;"",INDEX(BDHK2,MATCH($A39,DiemHKII!$B$4:$B$58,0),INDEX($AD$9:$AF$22,MATCH(K$7,$AD$9:$AD$22,0),3)),""),"")</f>
        <v/>
      </c>
      <c r="L39" s="286" t="str">
        <f>IF($A39&lt;&gt;"",IF(INDEX(BDHK2,MATCH($A39,DiemHKII!$B$4:$B$58,0),INDEX($AD$9:$AF$22,MATCH(L$7,$AD$9:$AD$22,0),2))&lt;&gt;"",INDEX(BDHK2,MATCH($A39,DiemHKII!$B$4:$B$58,0),INDEX($AD$9:$AF$22,MATCH(L$7,$AD$9:$AD$22,0),3)),""),"")</f>
        <v/>
      </c>
      <c r="M39" s="286" t="str">
        <f>IF($A39&lt;&gt;"",IF(INDEX(BDHK2,MATCH($A39,DiemHKII!$B$4:$B$58,0),INDEX($AD$9:$AF$22,MATCH(M$7,$AD$9:$AD$22,0),2))&lt;&gt;"",INDEX(BDHK2,MATCH($A39,DiemHKII!$B$4:$B$58,0),INDEX($AD$9:$AF$22,MATCH(M$7,$AD$9:$AD$22,0),3)),""),"")</f>
        <v/>
      </c>
      <c r="N39" s="286" t="str">
        <f>IF($A39&lt;&gt;"",IF(INDEX(BDHK2,MATCH($A39,DiemHKII!$B$4:$B$58,0),INDEX($AD$9:$AF$22,MATCH(N$7,$AD$9:$AD$22,0),2))&lt;&gt;"",INDEX(BDHK2,MATCH($A39,DiemHKII!$B$4:$B$58,0),INDEX($AD$9:$AF$22,MATCH(N$7,$AD$9:$AD$22,0),3)),""),"")</f>
        <v/>
      </c>
      <c r="O39" s="286" t="str">
        <f>IF($A39&lt;&gt;"",IF(INDEX(BDHK2,MATCH($A39,DiemHKII!$B$4:$B$58,0),INDEX($AD$9:$AF$22,MATCH(O$7,$AD$9:$AD$22,0),2))&lt;&gt;"",INDEX(BDHK2,MATCH($A39,DiemHKII!$B$4:$B$58,0),INDEX($AD$9:$AF$22,MATCH(O$7,$AD$9:$AD$22,0),3)),""),"")</f>
        <v/>
      </c>
      <c r="P39" s="286" t="str">
        <f>IF($A39&lt;&gt;"",IF(INDEX(BDHK2,MATCH($A39,DiemHKII!$B$4:$B$58,0),INDEX($AD$9:$AF$22,MATCH(P$7,$AD$9:$AD$22,0),2))&lt;&gt;"",INDEX(BDHK2,MATCH($A39,DiemHKII!$B$4:$B$58,0),INDEX($AD$9:$AF$22,MATCH(P$7,$AD$9:$AD$22,0),3)),""),"")</f>
        <v/>
      </c>
      <c r="Q39" s="286" t="str">
        <f>IF($A39&lt;&gt;"",IF(INDEX(BDHK2,MATCH($A39,DiemHKII!$B$4:$B$58,0),INDEX($AD$9:$AF$22,MATCH(Q$7,$AD$9:$AD$22,0),2))&lt;&gt;"",INDEX(BDHK2,MATCH($A39,DiemHKII!$B$4:$B$58,0),INDEX($AD$9:$AF$22,MATCH(Q$7,$AD$9:$AD$22,0),3)),""),"")</f>
        <v/>
      </c>
      <c r="R39" s="464" t="str">
        <f>IF($A39&lt;&gt;"",IF(INDEX(BDHK2,MATCH($A39,DiemHKII!$B$4:$B$58,0),INDEX($AD$9:$AF$22,MATCH(R$7,$AD$9:$AD$22,0),2))&lt;&gt;"",INDEX(BDHK2,MATCH($A39,DiemHKII!$B$4:$B$58,0),INDEX($AD$9:$AF$22,MATCH(R$7,$AD$9:$AD$22,0),3)),""),"")</f>
        <v/>
      </c>
      <c r="S39" s="464" t="str">
        <f t="shared" si="8"/>
        <v/>
      </c>
      <c r="T39" s="286" t="str">
        <f>IF($A39&lt;&gt;"",IF(INDEX(BDHK2,MATCH($A39,DiemHKII!$B$4:$B$58,0),INDEX($AD$9:$AF$22,MATCH(T$7,$AD$9:$AD$22,0),2))&lt;&gt;"",INDEX(BDHK2,MATCH($A39,DiemHKII!$B$4:$B$58,0),INDEX($AD$9:$AF$22,MATCH(T$7,$AD$9:$AD$22,0),3)),""),"")</f>
        <v/>
      </c>
      <c r="U39" s="287" t="str">
        <f>IF($A39&lt;&gt;"",IF(INDEX(BDHK2,MATCH($A39,DiemHKII!$B$4:$B$58,0),INDEX($AD$9:$AF$22,MATCH(U$7,$AD$9:$AD$22,0),2))&lt;&gt;"",INDEX(BDHK2,MATCH($A39,DiemHKII!$B$4:$B$58,0),INDEX($AD$9:$AF$22,MATCH(U$7,$AD$9:$AD$22,0),3)),""),"")</f>
        <v/>
      </c>
      <c r="V39" s="288" t="str">
        <f t="shared" si="9"/>
        <v/>
      </c>
      <c r="W39" s="464" t="str">
        <f t="shared" si="10"/>
        <v/>
      </c>
      <c r="X39" s="353"/>
      <c r="Y39" s="289" t="str">
        <f t="shared" si="11"/>
        <v/>
      </c>
      <c r="AA39" s="641" t="str">
        <f t="shared" si="4"/>
        <v/>
      </c>
      <c r="AG39" s="268" t="str">
        <f>IF($A39&lt;&gt;"",INDEX(DiemHKII!$B$4:$K$58,MATCH($A39,DiemHKII!$B$4:$B$58,0),2),"")</f>
        <v>12A1Hồ QuangThành28/02/2004</v>
      </c>
      <c r="AH39" s="674" t="str">
        <f t="shared" si="7"/>
        <v/>
      </c>
      <c r="AI39" s="672" t="str">
        <f t="shared" ca="1" si="6"/>
        <v/>
      </c>
    </row>
    <row r="40" spans="1:35" s="268" customFormat="1" ht="29.1" customHeight="1">
      <c r="A40" s="281">
        <f>IF(A39&lt;MAX(DiemHKII!$B$4:$B$58),A39+1,"")</f>
        <v>33</v>
      </c>
      <c r="B40" s="282" t="str">
        <f>IF($A40&lt;&gt;"",PROPER(INDEX(DiemHKII!$B$4:$K$58,MATCH($A40,DiemHKII!$B$4:$B$58,0),4)),"")</f>
        <v>Trần Thịnh</v>
      </c>
      <c r="C40" s="283" t="str">
        <f>IF($A40&lt;&gt;"",PROPER(INDEX(DiemHKII!$B$4:$K$58,MATCH($A40,DiemHKII!$B$4:$B$58,0),5)),"")</f>
        <v>Thịnh</v>
      </c>
      <c r="D40" s="284" t="str">
        <f>IF($A40&lt;&gt;"",IF(INDEX(DiemHKII!$B$4:$K$58,MATCH($A40,DiemHKII!$B$4:$B$58,0),8)&lt;&gt;"",INDEX(DiemHKII!$B$4:$K$58,MATCH($A40,DiemHKII!$B$4:$B$58,0),8),""),"")</f>
        <v/>
      </c>
      <c r="E40" s="284" t="str">
        <f>IF($A40&lt;&gt;"",IF(INDEX(DiemHKII!$B$4:$K$58,MATCH($A40,DiemHKII!$B$4:$B$58,0),9)&lt;&gt;"",INDEX(DiemHKII!$B$4:$K$58,MATCH($A40,DiemHKII!$B$4:$B$58,0),9),""),"")</f>
        <v/>
      </c>
      <c r="F40" s="284" t="str">
        <f>IF($A40&lt;&gt;"",IF(INDEX(DiemHKII!$B$4:$K$58,MATCH($A40,DiemHKII!$B$4:$B$58,0),10)&lt;&gt;"",INDEX(DiemHKII!$B$4:$K$58,MATCH($A40,DiemHKII!$B$4:$B$58,0),10),""),"")</f>
        <v/>
      </c>
      <c r="G40" s="285" t="str">
        <f>IF($A40&lt;&gt;"",IF(INDEX(BDHK2,MATCH($A40,DiemHKII!$B$4:$B$58,0),INDEX($AD$9:$AF$22,MATCH(G$7,$AD$9:$AD$22,0),2))&lt;&gt;"",INDEX(BDHK2,MATCH($A40,DiemHKII!$B$4:$B$58,0),INDEX($AD$9:$AF$22,MATCH(G$7,$AD$9:$AD$22,0),3)),""),"")</f>
        <v/>
      </c>
      <c r="H40" s="286" t="str">
        <f>IF($A40&lt;&gt;"",IF(INDEX(BDHK2,MATCH($A40,DiemHKII!$B$4:$B$58,0),INDEX($AD$9:$AF$22,MATCH(H$7,$AD$9:$AD$22,0),2))&lt;&gt;"",INDEX(BDHK2,MATCH($A40,DiemHKII!$B$4:$B$58,0),INDEX($AD$9:$AF$22,MATCH(H$7,$AD$9:$AD$22,0),3)),""),"")</f>
        <v/>
      </c>
      <c r="I40" s="286" t="str">
        <f>IF($A40&lt;&gt;"",IF(INDEX(BDHK2,MATCH($A40,DiemHKII!$B$4:$B$58,0),INDEX($AD$9:$AF$22,MATCH(I$7,$AD$9:$AD$22,0),2))&lt;&gt;"",INDEX(BDHK2,MATCH($A40,DiemHKII!$B$4:$B$58,0),INDEX($AD$9:$AF$22,MATCH(I$7,$AD$9:$AD$22,0),3)),""),"")</f>
        <v/>
      </c>
      <c r="J40" s="286" t="str">
        <f>IF($A40&lt;&gt;"",IF(INDEX(BDHK2,MATCH($A40,DiemHKII!$B$4:$B$58,0),INDEX($AD$9:$AF$22,MATCH(J$7,$AD$9:$AD$22,0),2))&lt;&gt;"",INDEX(BDHK2,MATCH($A40,DiemHKII!$B$4:$B$58,0),INDEX($AD$9:$AF$22,MATCH(J$7,$AD$9:$AD$22,0),3)),""),"")</f>
        <v/>
      </c>
      <c r="K40" s="286" t="str">
        <f>IF($A40&lt;&gt;"",IF(INDEX(BDHK2,MATCH($A40,DiemHKII!$B$4:$B$58,0),INDEX($AD$9:$AF$22,MATCH(K$7,$AD$9:$AD$22,0),2))&lt;&gt;"",INDEX(BDHK2,MATCH($A40,DiemHKII!$B$4:$B$58,0),INDEX($AD$9:$AF$22,MATCH(K$7,$AD$9:$AD$22,0),3)),""),"")</f>
        <v/>
      </c>
      <c r="L40" s="286" t="str">
        <f>IF($A40&lt;&gt;"",IF(INDEX(BDHK2,MATCH($A40,DiemHKII!$B$4:$B$58,0),INDEX($AD$9:$AF$22,MATCH(L$7,$AD$9:$AD$22,0),2))&lt;&gt;"",INDEX(BDHK2,MATCH($A40,DiemHKII!$B$4:$B$58,0),INDEX($AD$9:$AF$22,MATCH(L$7,$AD$9:$AD$22,0),3)),""),"")</f>
        <v/>
      </c>
      <c r="M40" s="286" t="str">
        <f>IF($A40&lt;&gt;"",IF(INDEX(BDHK2,MATCH($A40,DiemHKII!$B$4:$B$58,0),INDEX($AD$9:$AF$22,MATCH(M$7,$AD$9:$AD$22,0),2))&lt;&gt;"",INDEX(BDHK2,MATCH($A40,DiemHKII!$B$4:$B$58,0),INDEX($AD$9:$AF$22,MATCH(M$7,$AD$9:$AD$22,0),3)),""),"")</f>
        <v/>
      </c>
      <c r="N40" s="286" t="str">
        <f>IF($A40&lt;&gt;"",IF(INDEX(BDHK2,MATCH($A40,DiemHKII!$B$4:$B$58,0),INDEX($AD$9:$AF$22,MATCH(N$7,$AD$9:$AD$22,0),2))&lt;&gt;"",INDEX(BDHK2,MATCH($A40,DiemHKII!$B$4:$B$58,0),INDEX($AD$9:$AF$22,MATCH(N$7,$AD$9:$AD$22,0),3)),""),"")</f>
        <v/>
      </c>
      <c r="O40" s="286" t="str">
        <f>IF($A40&lt;&gt;"",IF(INDEX(BDHK2,MATCH($A40,DiemHKII!$B$4:$B$58,0),INDEX($AD$9:$AF$22,MATCH(O$7,$AD$9:$AD$22,0),2))&lt;&gt;"",INDEX(BDHK2,MATCH($A40,DiemHKII!$B$4:$B$58,0),INDEX($AD$9:$AF$22,MATCH(O$7,$AD$9:$AD$22,0),3)),""),"")</f>
        <v/>
      </c>
      <c r="P40" s="286" t="str">
        <f>IF($A40&lt;&gt;"",IF(INDEX(BDHK2,MATCH($A40,DiemHKII!$B$4:$B$58,0),INDEX($AD$9:$AF$22,MATCH(P$7,$AD$9:$AD$22,0),2))&lt;&gt;"",INDEX(BDHK2,MATCH($A40,DiemHKII!$B$4:$B$58,0),INDEX($AD$9:$AF$22,MATCH(P$7,$AD$9:$AD$22,0),3)),""),"")</f>
        <v/>
      </c>
      <c r="Q40" s="286" t="str">
        <f>IF($A40&lt;&gt;"",IF(INDEX(BDHK2,MATCH($A40,DiemHKII!$B$4:$B$58,0),INDEX($AD$9:$AF$22,MATCH(Q$7,$AD$9:$AD$22,0),2))&lt;&gt;"",INDEX(BDHK2,MATCH($A40,DiemHKII!$B$4:$B$58,0),INDEX($AD$9:$AF$22,MATCH(Q$7,$AD$9:$AD$22,0),3)),""),"")</f>
        <v/>
      </c>
      <c r="R40" s="464" t="str">
        <f>IF($A40&lt;&gt;"",IF(INDEX(BDHK2,MATCH($A40,DiemHKII!$B$4:$B$58,0),INDEX($AD$9:$AF$22,MATCH(R$7,$AD$9:$AD$22,0),2))&lt;&gt;"",INDEX(BDHK2,MATCH($A40,DiemHKII!$B$4:$B$58,0),INDEX($AD$9:$AF$22,MATCH(R$7,$AD$9:$AD$22,0),3)),""),"")</f>
        <v/>
      </c>
      <c r="S40" s="464" t="str">
        <f t="shared" si="8"/>
        <v/>
      </c>
      <c r="T40" s="286" t="str">
        <f>IF($A40&lt;&gt;"",IF(INDEX(BDHK2,MATCH($A40,DiemHKII!$B$4:$B$58,0),INDEX($AD$9:$AF$22,MATCH(T$7,$AD$9:$AD$22,0),2))&lt;&gt;"",INDEX(BDHK2,MATCH($A40,DiemHKII!$B$4:$B$58,0),INDEX($AD$9:$AF$22,MATCH(T$7,$AD$9:$AD$22,0),3)),""),"")</f>
        <v/>
      </c>
      <c r="U40" s="287" t="str">
        <f>IF($A40&lt;&gt;"",IF(INDEX(BDHK2,MATCH($A40,DiemHKII!$B$4:$B$58,0),INDEX($AD$9:$AF$22,MATCH(U$7,$AD$9:$AD$22,0),2))&lt;&gt;"",INDEX(BDHK2,MATCH($A40,DiemHKII!$B$4:$B$58,0),INDEX($AD$9:$AF$22,MATCH(U$7,$AD$9:$AD$22,0),3)),""),"")</f>
        <v/>
      </c>
      <c r="V40" s="288" t="str">
        <f t="shared" si="9"/>
        <v/>
      </c>
      <c r="W40" s="464" t="str">
        <f t="shared" si="10"/>
        <v/>
      </c>
      <c r="X40" s="353"/>
      <c r="Y40" s="289" t="str">
        <f t="shared" si="11"/>
        <v/>
      </c>
      <c r="AA40" s="641" t="str">
        <f t="shared" si="4"/>
        <v/>
      </c>
      <c r="AG40" s="268" t="str">
        <f>IF($A40&lt;&gt;"",INDEX(DiemHKII!$B$4:$K$58,MATCH($A40,DiemHKII!$B$4:$B$58,0),2),"")</f>
        <v>12A1Trần ThịnhThịnh18/08/2004</v>
      </c>
      <c r="AH40" s="674" t="str">
        <f t="shared" si="7"/>
        <v/>
      </c>
      <c r="AI40" s="672" t="str">
        <f t="shared" ca="1" si="6"/>
        <v/>
      </c>
    </row>
    <row r="41" spans="1:35" s="268" customFormat="1" ht="29.1" customHeight="1">
      <c r="A41" s="281">
        <f>IF(A40&lt;MAX(DiemHKII!$B$4:$B$58),A40+1,"")</f>
        <v>34</v>
      </c>
      <c r="B41" s="282" t="str">
        <f>IF($A41&lt;&gt;"",PROPER(INDEX(DiemHKII!$B$4:$K$58,MATCH($A41,DiemHKII!$B$4:$B$58,0),4)),"")</f>
        <v>Trần Kim Bảo</v>
      </c>
      <c r="C41" s="283" t="str">
        <f>IF($A41&lt;&gt;"",PROPER(INDEX(DiemHKII!$B$4:$K$58,MATCH($A41,DiemHKII!$B$4:$B$58,0),5)),"")</f>
        <v>Trân</v>
      </c>
      <c r="D41" s="284" t="str">
        <f>IF($A41&lt;&gt;"",IF(INDEX(DiemHKII!$B$4:$K$58,MATCH($A41,DiemHKII!$B$4:$B$58,0),8)&lt;&gt;"",INDEX(DiemHKII!$B$4:$K$58,MATCH($A41,DiemHKII!$B$4:$B$58,0),8),""),"")</f>
        <v/>
      </c>
      <c r="E41" s="284" t="str">
        <f>IF($A41&lt;&gt;"",IF(INDEX(DiemHKII!$B$4:$K$58,MATCH($A41,DiemHKII!$B$4:$B$58,0),9)&lt;&gt;"",INDEX(DiemHKII!$B$4:$K$58,MATCH($A41,DiemHKII!$B$4:$B$58,0),9),""),"")</f>
        <v/>
      </c>
      <c r="F41" s="284" t="str">
        <f>IF($A41&lt;&gt;"",IF(INDEX(DiemHKII!$B$4:$K$58,MATCH($A41,DiemHKII!$B$4:$B$58,0),10)&lt;&gt;"",INDEX(DiemHKII!$B$4:$K$58,MATCH($A41,DiemHKII!$B$4:$B$58,0),10),""),"")</f>
        <v/>
      </c>
      <c r="G41" s="285" t="str">
        <f>IF($A41&lt;&gt;"",IF(INDEX(BDHK2,MATCH($A41,DiemHKII!$B$4:$B$58,0),INDEX($AD$9:$AF$22,MATCH(G$7,$AD$9:$AD$22,0),2))&lt;&gt;"",INDEX(BDHK2,MATCH($A41,DiemHKII!$B$4:$B$58,0),INDEX($AD$9:$AF$22,MATCH(G$7,$AD$9:$AD$22,0),3)),""),"")</f>
        <v/>
      </c>
      <c r="H41" s="286" t="str">
        <f>IF($A41&lt;&gt;"",IF(INDEX(BDHK2,MATCH($A41,DiemHKII!$B$4:$B$58,0),INDEX($AD$9:$AF$22,MATCH(H$7,$AD$9:$AD$22,0),2))&lt;&gt;"",INDEX(BDHK2,MATCH($A41,DiemHKII!$B$4:$B$58,0),INDEX($AD$9:$AF$22,MATCH(H$7,$AD$9:$AD$22,0),3)),""),"")</f>
        <v/>
      </c>
      <c r="I41" s="286" t="str">
        <f>IF($A41&lt;&gt;"",IF(INDEX(BDHK2,MATCH($A41,DiemHKII!$B$4:$B$58,0),INDEX($AD$9:$AF$22,MATCH(I$7,$AD$9:$AD$22,0),2))&lt;&gt;"",INDEX(BDHK2,MATCH($A41,DiemHKII!$B$4:$B$58,0),INDEX($AD$9:$AF$22,MATCH(I$7,$AD$9:$AD$22,0),3)),""),"")</f>
        <v/>
      </c>
      <c r="J41" s="286" t="str">
        <f>IF($A41&lt;&gt;"",IF(INDEX(BDHK2,MATCH($A41,DiemHKII!$B$4:$B$58,0),INDEX($AD$9:$AF$22,MATCH(J$7,$AD$9:$AD$22,0),2))&lt;&gt;"",INDEX(BDHK2,MATCH($A41,DiemHKII!$B$4:$B$58,0),INDEX($AD$9:$AF$22,MATCH(J$7,$AD$9:$AD$22,0),3)),""),"")</f>
        <v/>
      </c>
      <c r="K41" s="286" t="str">
        <f>IF($A41&lt;&gt;"",IF(INDEX(BDHK2,MATCH($A41,DiemHKII!$B$4:$B$58,0),INDEX($AD$9:$AF$22,MATCH(K$7,$AD$9:$AD$22,0),2))&lt;&gt;"",INDEX(BDHK2,MATCH($A41,DiemHKII!$B$4:$B$58,0),INDEX($AD$9:$AF$22,MATCH(K$7,$AD$9:$AD$22,0),3)),""),"")</f>
        <v/>
      </c>
      <c r="L41" s="286" t="str">
        <f>IF($A41&lt;&gt;"",IF(INDEX(BDHK2,MATCH($A41,DiemHKII!$B$4:$B$58,0),INDEX($AD$9:$AF$22,MATCH(L$7,$AD$9:$AD$22,0),2))&lt;&gt;"",INDEX(BDHK2,MATCH($A41,DiemHKII!$B$4:$B$58,0),INDEX($AD$9:$AF$22,MATCH(L$7,$AD$9:$AD$22,0),3)),""),"")</f>
        <v/>
      </c>
      <c r="M41" s="286" t="str">
        <f>IF($A41&lt;&gt;"",IF(INDEX(BDHK2,MATCH($A41,DiemHKII!$B$4:$B$58,0),INDEX($AD$9:$AF$22,MATCH(M$7,$AD$9:$AD$22,0),2))&lt;&gt;"",INDEX(BDHK2,MATCH($A41,DiemHKII!$B$4:$B$58,0),INDEX($AD$9:$AF$22,MATCH(M$7,$AD$9:$AD$22,0),3)),""),"")</f>
        <v/>
      </c>
      <c r="N41" s="286" t="str">
        <f>IF($A41&lt;&gt;"",IF(INDEX(BDHK2,MATCH($A41,DiemHKII!$B$4:$B$58,0),INDEX($AD$9:$AF$22,MATCH(N$7,$AD$9:$AD$22,0),2))&lt;&gt;"",INDEX(BDHK2,MATCH($A41,DiemHKII!$B$4:$B$58,0),INDEX($AD$9:$AF$22,MATCH(N$7,$AD$9:$AD$22,0),3)),""),"")</f>
        <v/>
      </c>
      <c r="O41" s="286" t="str">
        <f>IF($A41&lt;&gt;"",IF(INDEX(BDHK2,MATCH($A41,DiemHKII!$B$4:$B$58,0),INDEX($AD$9:$AF$22,MATCH(O$7,$AD$9:$AD$22,0),2))&lt;&gt;"",INDEX(BDHK2,MATCH($A41,DiemHKII!$B$4:$B$58,0),INDEX($AD$9:$AF$22,MATCH(O$7,$AD$9:$AD$22,0),3)),""),"")</f>
        <v/>
      </c>
      <c r="P41" s="286" t="str">
        <f>IF($A41&lt;&gt;"",IF(INDEX(BDHK2,MATCH($A41,DiemHKII!$B$4:$B$58,0),INDEX($AD$9:$AF$22,MATCH(P$7,$AD$9:$AD$22,0),2))&lt;&gt;"",INDEX(BDHK2,MATCH($A41,DiemHKII!$B$4:$B$58,0),INDEX($AD$9:$AF$22,MATCH(P$7,$AD$9:$AD$22,0),3)),""),"")</f>
        <v/>
      </c>
      <c r="Q41" s="286" t="str">
        <f>IF($A41&lt;&gt;"",IF(INDEX(BDHK2,MATCH($A41,DiemHKII!$B$4:$B$58,0),INDEX($AD$9:$AF$22,MATCH(Q$7,$AD$9:$AD$22,0),2))&lt;&gt;"",INDEX(BDHK2,MATCH($A41,DiemHKII!$B$4:$B$58,0),INDEX($AD$9:$AF$22,MATCH(Q$7,$AD$9:$AD$22,0),3)),""),"")</f>
        <v/>
      </c>
      <c r="R41" s="464" t="str">
        <f>IF($A41&lt;&gt;"",IF(INDEX(BDHK2,MATCH($A41,DiemHKII!$B$4:$B$58,0),INDEX($AD$9:$AF$22,MATCH(R$7,$AD$9:$AD$22,0),2))&lt;&gt;"",INDEX(BDHK2,MATCH($A41,DiemHKII!$B$4:$B$58,0),INDEX($AD$9:$AF$22,MATCH(R$7,$AD$9:$AD$22,0),3)),""),"")</f>
        <v/>
      </c>
      <c r="S41" s="464" t="str">
        <f t="shared" si="8"/>
        <v/>
      </c>
      <c r="T41" s="286" t="str">
        <f>IF($A41&lt;&gt;"",IF(INDEX(BDHK2,MATCH($A41,DiemHKII!$B$4:$B$58,0),INDEX($AD$9:$AF$22,MATCH(T$7,$AD$9:$AD$22,0),2))&lt;&gt;"",INDEX(BDHK2,MATCH($A41,DiemHKII!$B$4:$B$58,0),INDEX($AD$9:$AF$22,MATCH(T$7,$AD$9:$AD$22,0),3)),""),"")</f>
        <v/>
      </c>
      <c r="U41" s="287" t="str">
        <f>IF($A41&lt;&gt;"",IF(INDEX(BDHK2,MATCH($A41,DiemHKII!$B$4:$B$58,0),INDEX($AD$9:$AF$22,MATCH(U$7,$AD$9:$AD$22,0),2))&lt;&gt;"",INDEX(BDHK2,MATCH($A41,DiemHKII!$B$4:$B$58,0),INDEX($AD$9:$AF$22,MATCH(U$7,$AD$9:$AD$22,0),3)),""),"")</f>
        <v/>
      </c>
      <c r="V41" s="288" t="str">
        <f t="shared" si="9"/>
        <v/>
      </c>
      <c r="W41" s="464" t="str">
        <f t="shared" si="10"/>
        <v/>
      </c>
      <c r="X41" s="353"/>
      <c r="Y41" s="289" t="str">
        <f t="shared" si="11"/>
        <v/>
      </c>
      <c r="AA41" s="641" t="str">
        <f t="shared" si="4"/>
        <v/>
      </c>
      <c r="AG41" s="268" t="str">
        <f>IF($A41&lt;&gt;"",INDEX(DiemHKII!$B$4:$K$58,MATCH($A41,DiemHKII!$B$4:$B$58,0),2),"")</f>
        <v>12A1Trần Kim BảoTrân05/06/2004</v>
      </c>
      <c r="AH41" s="674" t="str">
        <f t="shared" si="7"/>
        <v/>
      </c>
      <c r="AI41" s="672" t="str">
        <f t="shared" ca="1" si="6"/>
        <v/>
      </c>
    </row>
    <row r="42" spans="1:35" s="268" customFormat="1" ht="29.1" customHeight="1" thickBot="1">
      <c r="A42" s="290">
        <f>IF(A41&lt;MAX(DiemHKII!$B$4:$B$58),A41+1,"")</f>
        <v>35</v>
      </c>
      <c r="B42" s="291" t="str">
        <f>IF($A42&lt;&gt;"",PROPER(INDEX(DiemHKII!$B$4:$K$58,MATCH($A42,DiemHKII!$B$4:$B$58,0),4)),"")</f>
        <v>Phạm Đức</v>
      </c>
      <c r="C42" s="292" t="str">
        <f>IF($A42&lt;&gt;"",PROPER(INDEX(DiemHKII!$B$4:$K$58,MATCH($A42,DiemHKII!$B$4:$B$58,0),5)),"")</f>
        <v>Trung</v>
      </c>
      <c r="D42" s="293" t="str">
        <f>IF($A42&lt;&gt;"",IF(INDEX(DiemHKII!$B$4:$K$58,MATCH($A42,DiemHKII!$B$4:$B$58,0),8)&lt;&gt;"",INDEX(DiemHKII!$B$4:$K$58,MATCH($A42,DiemHKII!$B$4:$B$58,0),8),""),"")</f>
        <v/>
      </c>
      <c r="E42" s="293" t="str">
        <f>IF($A42&lt;&gt;"",IF(INDEX(DiemHKII!$B$4:$K$58,MATCH($A42,DiemHKII!$B$4:$B$58,0),9)&lt;&gt;"",INDEX(DiemHKII!$B$4:$K$58,MATCH($A42,DiemHKII!$B$4:$B$58,0),9),""),"")</f>
        <v/>
      </c>
      <c r="F42" s="293" t="str">
        <f>IF($A42&lt;&gt;"",IF(INDEX(DiemHKII!$B$4:$K$58,MATCH($A42,DiemHKII!$B$4:$B$58,0),10)&lt;&gt;"",INDEX(DiemHKII!$B$4:$K$58,MATCH($A42,DiemHKII!$B$4:$B$58,0),10),""),"")</f>
        <v/>
      </c>
      <c r="G42" s="294" t="str">
        <f>IF($A42&lt;&gt;"",IF(INDEX(BDHK2,MATCH($A42,DiemHKII!$B$4:$B$58,0),INDEX($AD$9:$AF$22,MATCH(G$7,$AD$9:$AD$22,0),2))&lt;&gt;"",INDEX(BDHK2,MATCH($A42,DiemHKII!$B$4:$B$58,0),INDEX($AD$9:$AF$22,MATCH(G$7,$AD$9:$AD$22,0),3)),""),"")</f>
        <v/>
      </c>
      <c r="H42" s="295" t="str">
        <f>IF($A42&lt;&gt;"",IF(INDEX(BDHK2,MATCH($A42,DiemHKII!$B$4:$B$58,0),INDEX($AD$9:$AF$22,MATCH(H$7,$AD$9:$AD$22,0),2))&lt;&gt;"",INDEX(BDHK2,MATCH($A42,DiemHKII!$B$4:$B$58,0),INDEX($AD$9:$AF$22,MATCH(H$7,$AD$9:$AD$22,0),3)),""),"")</f>
        <v/>
      </c>
      <c r="I42" s="295" t="str">
        <f>IF($A42&lt;&gt;"",IF(INDEX(BDHK2,MATCH($A42,DiemHKII!$B$4:$B$58,0),INDEX($AD$9:$AF$22,MATCH(I$7,$AD$9:$AD$22,0),2))&lt;&gt;"",INDEX(BDHK2,MATCH($A42,DiemHKII!$B$4:$B$58,0),INDEX($AD$9:$AF$22,MATCH(I$7,$AD$9:$AD$22,0),3)),""),"")</f>
        <v/>
      </c>
      <c r="J42" s="295" t="str">
        <f>IF($A42&lt;&gt;"",IF(INDEX(BDHK2,MATCH($A42,DiemHKII!$B$4:$B$58,0),INDEX($AD$9:$AF$22,MATCH(J$7,$AD$9:$AD$22,0),2))&lt;&gt;"",INDEX(BDHK2,MATCH($A42,DiemHKII!$B$4:$B$58,0),INDEX($AD$9:$AF$22,MATCH(J$7,$AD$9:$AD$22,0),3)),""),"")</f>
        <v/>
      </c>
      <c r="K42" s="295" t="str">
        <f>IF($A42&lt;&gt;"",IF(INDEX(BDHK2,MATCH($A42,DiemHKII!$B$4:$B$58,0),INDEX($AD$9:$AF$22,MATCH(K$7,$AD$9:$AD$22,0),2))&lt;&gt;"",INDEX(BDHK2,MATCH($A42,DiemHKII!$B$4:$B$58,0),INDEX($AD$9:$AF$22,MATCH(K$7,$AD$9:$AD$22,0),3)),""),"")</f>
        <v/>
      </c>
      <c r="L42" s="295" t="str">
        <f>IF($A42&lt;&gt;"",IF(INDEX(BDHK2,MATCH($A42,DiemHKII!$B$4:$B$58,0),INDEX($AD$9:$AF$22,MATCH(L$7,$AD$9:$AD$22,0),2))&lt;&gt;"",INDEX(BDHK2,MATCH($A42,DiemHKII!$B$4:$B$58,0),INDEX($AD$9:$AF$22,MATCH(L$7,$AD$9:$AD$22,0),3)),""),"")</f>
        <v/>
      </c>
      <c r="M42" s="295" t="str">
        <f>IF($A42&lt;&gt;"",IF(INDEX(BDHK2,MATCH($A42,DiemHKII!$B$4:$B$58,0),INDEX($AD$9:$AF$22,MATCH(M$7,$AD$9:$AD$22,0),2))&lt;&gt;"",INDEX(BDHK2,MATCH($A42,DiemHKII!$B$4:$B$58,0),INDEX($AD$9:$AF$22,MATCH(M$7,$AD$9:$AD$22,0),3)),""),"")</f>
        <v/>
      </c>
      <c r="N42" s="295" t="str">
        <f>IF($A42&lt;&gt;"",IF(INDEX(BDHK2,MATCH($A42,DiemHKII!$B$4:$B$58,0),INDEX($AD$9:$AF$22,MATCH(N$7,$AD$9:$AD$22,0),2))&lt;&gt;"",INDEX(BDHK2,MATCH($A42,DiemHKII!$B$4:$B$58,0),INDEX($AD$9:$AF$22,MATCH(N$7,$AD$9:$AD$22,0),3)),""),"")</f>
        <v/>
      </c>
      <c r="O42" s="295" t="str">
        <f>IF($A42&lt;&gt;"",IF(INDEX(BDHK2,MATCH($A42,DiemHKII!$B$4:$B$58,0),INDEX($AD$9:$AF$22,MATCH(O$7,$AD$9:$AD$22,0),2))&lt;&gt;"",INDEX(BDHK2,MATCH($A42,DiemHKII!$B$4:$B$58,0),INDEX($AD$9:$AF$22,MATCH(O$7,$AD$9:$AD$22,0),3)),""),"")</f>
        <v/>
      </c>
      <c r="P42" s="295" t="str">
        <f>IF($A42&lt;&gt;"",IF(INDEX(BDHK2,MATCH($A42,DiemHKII!$B$4:$B$58,0),INDEX($AD$9:$AF$22,MATCH(P$7,$AD$9:$AD$22,0),2))&lt;&gt;"",INDEX(BDHK2,MATCH($A42,DiemHKII!$B$4:$B$58,0),INDEX($AD$9:$AF$22,MATCH(P$7,$AD$9:$AD$22,0),3)),""),"")</f>
        <v/>
      </c>
      <c r="Q42" s="295" t="str">
        <f>IF($A42&lt;&gt;"",IF(INDEX(BDHK2,MATCH($A42,DiemHKII!$B$4:$B$58,0),INDEX($AD$9:$AF$22,MATCH(Q$7,$AD$9:$AD$22,0),2))&lt;&gt;"",INDEX(BDHK2,MATCH($A42,DiemHKII!$B$4:$B$58,0),INDEX($AD$9:$AF$22,MATCH(Q$7,$AD$9:$AD$22,0),3)),""),"")</f>
        <v/>
      </c>
      <c r="R42" s="296" t="str">
        <f>IF($A42&lt;&gt;"",IF(INDEX(BDHK2,MATCH($A42,DiemHKII!$B$4:$B$58,0),INDEX($AD$9:$AF$22,MATCH(R$7,$AD$9:$AD$22,0),2))&lt;&gt;"",INDEX(BDHK2,MATCH($A42,DiemHKII!$B$4:$B$58,0),INDEX($AD$9:$AF$22,MATCH(R$7,$AD$9:$AD$22,0),3)),""),"")</f>
        <v/>
      </c>
      <c r="S42" s="296" t="str">
        <f t="shared" si="8"/>
        <v/>
      </c>
      <c r="T42" s="295" t="str">
        <f>IF($A42&lt;&gt;"",IF(INDEX(BDHK2,MATCH($A42,DiemHKII!$B$4:$B$58,0),INDEX($AD$9:$AF$22,MATCH(T$7,$AD$9:$AD$22,0),2))&lt;&gt;"",INDEX(BDHK2,MATCH($A42,DiemHKII!$B$4:$B$58,0),INDEX($AD$9:$AF$22,MATCH(T$7,$AD$9:$AD$22,0),3)),""),"")</f>
        <v/>
      </c>
      <c r="U42" s="297" t="str">
        <f>IF($A42&lt;&gt;"",IF(INDEX(BDHK2,MATCH($A42,DiemHKII!$B$4:$B$58,0),INDEX($AD$9:$AF$22,MATCH(U$7,$AD$9:$AD$22,0),2))&lt;&gt;"",INDEX(BDHK2,MATCH($A42,DiemHKII!$B$4:$B$58,0),INDEX($AD$9:$AF$22,MATCH(U$7,$AD$9:$AD$22,0),3)),""),"")</f>
        <v/>
      </c>
      <c r="V42" s="298" t="str">
        <f t="shared" si="9"/>
        <v/>
      </c>
      <c r="W42" s="296" t="str">
        <f t="shared" si="10"/>
        <v/>
      </c>
      <c r="X42" s="354"/>
      <c r="Y42" s="299" t="str">
        <f t="shared" si="11"/>
        <v/>
      </c>
      <c r="AA42" s="641" t="str">
        <f t="shared" si="4"/>
        <v/>
      </c>
      <c r="AG42" s="268" t="str">
        <f>IF($A42&lt;&gt;"",INDEX(DiemHKII!$B$4:$K$58,MATCH($A42,DiemHKII!$B$4:$B$58,0),2),"")</f>
        <v>12A1Phạm ĐứcTrung07/10/2004</v>
      </c>
      <c r="AH42" s="674" t="str">
        <f t="shared" si="7"/>
        <v/>
      </c>
      <c r="AI42" s="672" t="str">
        <f t="shared" ca="1" si="6"/>
        <v/>
      </c>
    </row>
    <row r="43" spans="1:35" s="268" customFormat="1" ht="29.1" customHeight="1">
      <c r="A43" s="274">
        <f>IF(A42&lt;MAX(DiemHKII!$B$4:$B$58),A42+1,"")</f>
        <v>36</v>
      </c>
      <c r="B43" s="275" t="str">
        <f>IF($A43&lt;&gt;"",PROPER(INDEX(DiemHKII!$B$4:$K$58,MATCH($A43,DiemHKII!$B$4:$B$58,0),4)),"")</f>
        <v>Võ Thủy</v>
      </c>
      <c r="C43" s="276" t="str">
        <f>IF($A43&lt;&gt;"",PROPER(INDEX(DiemHKII!$B$4:$K$58,MATCH($A43,DiemHKII!$B$4:$B$58,0),5)),"")</f>
        <v>Vân</v>
      </c>
      <c r="D43" s="277" t="str">
        <f>IF($A43&lt;&gt;"",IF(INDEX(DiemHKII!$B$4:$K$58,MATCH($A43,DiemHKII!$B$4:$B$58,0),8)&lt;&gt;"",INDEX(DiemHKII!$B$4:$K$58,MATCH($A43,DiemHKII!$B$4:$B$58,0),8),""),"")</f>
        <v/>
      </c>
      <c r="E43" s="277" t="str">
        <f>IF($A43&lt;&gt;"",IF(INDEX(DiemHKII!$B$4:$K$58,MATCH($A43,DiemHKII!$B$4:$B$58,0),9)&lt;&gt;"",INDEX(DiemHKII!$B$4:$K$58,MATCH($A43,DiemHKII!$B$4:$B$58,0),9),""),"")</f>
        <v/>
      </c>
      <c r="F43" s="277" t="str">
        <f>IF($A43&lt;&gt;"",IF(INDEX(DiemHKII!$B$4:$K$58,MATCH($A43,DiemHKII!$B$4:$B$58,0),10)&lt;&gt;"",INDEX(DiemHKII!$B$4:$K$58,MATCH($A43,DiemHKII!$B$4:$B$58,0),10),""),"")</f>
        <v/>
      </c>
      <c r="G43" s="443" t="str">
        <f>IF($A43&lt;&gt;"",IF(INDEX(BDHK2,MATCH($A43,DiemHKII!$B$4:$B$58,0),INDEX($AD$9:$AF$22,MATCH(G$7,$AD$9:$AD$22,0),2))&lt;&gt;"",INDEX(BDHK2,MATCH($A43,DiemHKII!$B$4:$B$58,0),INDEX($AD$9:$AF$22,MATCH(G$7,$AD$9:$AD$22,0),3)),""),"")</f>
        <v/>
      </c>
      <c r="H43" s="301" t="str">
        <f>IF($A43&lt;&gt;"",IF(INDEX(BDHK2,MATCH($A43,DiemHKII!$B$4:$B$58,0),INDEX($AD$9:$AF$22,MATCH(H$7,$AD$9:$AD$22,0),2))&lt;&gt;"",INDEX(BDHK2,MATCH($A43,DiemHKII!$B$4:$B$58,0),INDEX($AD$9:$AF$22,MATCH(H$7,$AD$9:$AD$22,0),3)),""),"")</f>
        <v/>
      </c>
      <c r="I43" s="301" t="str">
        <f>IF($A43&lt;&gt;"",IF(INDEX(BDHK2,MATCH($A43,DiemHKII!$B$4:$B$58,0),INDEX($AD$9:$AF$22,MATCH(I$7,$AD$9:$AD$22,0),2))&lt;&gt;"",INDEX(BDHK2,MATCH($A43,DiemHKII!$B$4:$B$58,0),INDEX($AD$9:$AF$22,MATCH(I$7,$AD$9:$AD$22,0),3)),""),"")</f>
        <v/>
      </c>
      <c r="J43" s="301" t="str">
        <f>IF($A43&lt;&gt;"",IF(INDEX(BDHK2,MATCH($A43,DiemHKII!$B$4:$B$58,0),INDEX($AD$9:$AF$22,MATCH(J$7,$AD$9:$AD$22,0),2))&lt;&gt;"",INDEX(BDHK2,MATCH($A43,DiemHKII!$B$4:$B$58,0),INDEX($AD$9:$AF$22,MATCH(J$7,$AD$9:$AD$22,0),3)),""),"")</f>
        <v/>
      </c>
      <c r="K43" s="301" t="str">
        <f>IF($A43&lt;&gt;"",IF(INDEX(BDHK2,MATCH($A43,DiemHKII!$B$4:$B$58,0),INDEX($AD$9:$AF$22,MATCH(K$7,$AD$9:$AD$22,0),2))&lt;&gt;"",INDEX(BDHK2,MATCH($A43,DiemHKII!$B$4:$B$58,0),INDEX($AD$9:$AF$22,MATCH(K$7,$AD$9:$AD$22,0),3)),""),"")</f>
        <v/>
      </c>
      <c r="L43" s="301" t="str">
        <f>IF($A43&lt;&gt;"",IF(INDEX(BDHK2,MATCH($A43,DiemHKII!$B$4:$B$58,0),INDEX($AD$9:$AF$22,MATCH(L$7,$AD$9:$AD$22,0),2))&lt;&gt;"",INDEX(BDHK2,MATCH($A43,DiemHKII!$B$4:$B$58,0),INDEX($AD$9:$AF$22,MATCH(L$7,$AD$9:$AD$22,0),3)),""),"")</f>
        <v/>
      </c>
      <c r="M43" s="301" t="str">
        <f>IF($A43&lt;&gt;"",IF(INDEX(BDHK2,MATCH($A43,DiemHKII!$B$4:$B$58,0),INDEX($AD$9:$AF$22,MATCH(M$7,$AD$9:$AD$22,0),2))&lt;&gt;"",INDEX(BDHK2,MATCH($A43,DiemHKII!$B$4:$B$58,0),INDEX($AD$9:$AF$22,MATCH(M$7,$AD$9:$AD$22,0),3)),""),"")</f>
        <v/>
      </c>
      <c r="N43" s="301" t="str">
        <f>IF($A43&lt;&gt;"",IF(INDEX(BDHK2,MATCH($A43,DiemHKII!$B$4:$B$58,0),INDEX($AD$9:$AF$22,MATCH(N$7,$AD$9:$AD$22,0),2))&lt;&gt;"",INDEX(BDHK2,MATCH($A43,DiemHKII!$B$4:$B$58,0),INDEX($AD$9:$AF$22,MATCH(N$7,$AD$9:$AD$22,0),3)),""),"")</f>
        <v/>
      </c>
      <c r="O43" s="301" t="str">
        <f>IF($A43&lt;&gt;"",IF(INDEX(BDHK2,MATCH($A43,DiemHKII!$B$4:$B$58,0),INDEX($AD$9:$AF$22,MATCH(O$7,$AD$9:$AD$22,0),2))&lt;&gt;"",INDEX(BDHK2,MATCH($A43,DiemHKII!$B$4:$B$58,0),INDEX($AD$9:$AF$22,MATCH(O$7,$AD$9:$AD$22,0),3)),""),"")</f>
        <v/>
      </c>
      <c r="P43" s="301" t="str">
        <f>IF($A43&lt;&gt;"",IF(INDEX(BDHK2,MATCH($A43,DiemHKII!$B$4:$B$58,0),INDEX($AD$9:$AF$22,MATCH(P$7,$AD$9:$AD$22,0),2))&lt;&gt;"",INDEX(BDHK2,MATCH($A43,DiemHKII!$B$4:$B$58,0),INDEX($AD$9:$AF$22,MATCH(P$7,$AD$9:$AD$22,0),3)),""),"")</f>
        <v/>
      </c>
      <c r="Q43" s="301" t="str">
        <f>IF($A43&lt;&gt;"",IF(INDEX(BDHK2,MATCH($A43,DiemHKII!$B$4:$B$58,0),INDEX($AD$9:$AF$22,MATCH(Q$7,$AD$9:$AD$22,0),2))&lt;&gt;"",INDEX(BDHK2,MATCH($A43,DiemHKII!$B$4:$B$58,0),INDEX($AD$9:$AF$22,MATCH(Q$7,$AD$9:$AD$22,0),3)),""),"")</f>
        <v/>
      </c>
      <c r="R43" s="279" t="str">
        <f>IF($A43&lt;&gt;"",IF(INDEX(BDHK2,MATCH($A43,DiemHKII!$B$4:$B$58,0),INDEX($AD$9:$AF$22,MATCH(R$7,$AD$9:$AD$22,0),2))&lt;&gt;"",INDEX(BDHK2,MATCH($A43,DiemHKII!$B$4:$B$58,0),INDEX($AD$9:$AF$22,MATCH(R$7,$AD$9:$AD$22,0),3)),""),"")</f>
        <v/>
      </c>
      <c r="S43" s="279" t="str">
        <f t="shared" si="8"/>
        <v/>
      </c>
      <c r="T43" s="301" t="str">
        <f>IF($A43&lt;&gt;"",IF(INDEX(BDHK2,MATCH($A43,DiemHKII!$B$4:$B$58,0),INDEX($AD$9:$AF$22,MATCH(T$7,$AD$9:$AD$22,0),2))&lt;&gt;"",INDEX(BDHK2,MATCH($A43,DiemHKII!$B$4:$B$58,0),INDEX($AD$9:$AF$22,MATCH(T$7,$AD$9:$AD$22,0),3)),""),"")</f>
        <v/>
      </c>
      <c r="U43" s="302" t="str">
        <f>IF($A43&lt;&gt;"",IF(INDEX(BDHK2,MATCH($A43,DiemHKII!$B$4:$B$58,0),INDEX($AD$9:$AF$22,MATCH(U$7,$AD$9:$AD$22,0),2))&lt;&gt;"",INDEX(BDHK2,MATCH($A43,DiemHKII!$B$4:$B$58,0),INDEX($AD$9:$AF$22,MATCH(U$7,$AD$9:$AD$22,0),3)),""),"")</f>
        <v/>
      </c>
      <c r="V43" s="278" t="str">
        <f t="shared" si="9"/>
        <v/>
      </c>
      <c r="W43" s="279" t="str">
        <f t="shared" si="10"/>
        <v/>
      </c>
      <c r="X43" s="352"/>
      <c r="Y43" s="280" t="str">
        <f t="shared" si="11"/>
        <v/>
      </c>
      <c r="AA43" s="641" t="str">
        <f t="shared" si="4"/>
        <v/>
      </c>
      <c r="AG43" s="268" t="str">
        <f>IF($A43&lt;&gt;"",INDEX(DiemHKII!$B$4:$K$58,MATCH($A43,DiemHKII!$B$4:$B$58,0),2),"")</f>
        <v>12A1Võ ThủyVân30/10/2004</v>
      </c>
      <c r="AH43" s="674" t="str">
        <f t="shared" si="7"/>
        <v/>
      </c>
      <c r="AI43" s="672" t="str">
        <f t="shared" ca="1" si="6"/>
        <v/>
      </c>
    </row>
    <row r="44" spans="1:35" s="268" customFormat="1" ht="29.1" customHeight="1">
      <c r="A44" s="281" t="str">
        <f>IF(A43&lt;MAX(DiemHKII!$B$4:$B$58),A43+1,"")</f>
        <v/>
      </c>
      <c r="B44" s="282" t="str">
        <f>IF($A44&lt;&gt;"",PROPER(INDEX(DiemHKII!$B$4:$K$58,MATCH($A44,DiemHKII!$B$4:$B$58,0),4)),"")</f>
        <v/>
      </c>
      <c r="C44" s="283" t="str">
        <f>IF($A44&lt;&gt;"",PROPER(INDEX(DiemHKII!$B$4:$K$58,MATCH($A44,DiemHKII!$B$4:$B$58,0),5)),"")</f>
        <v/>
      </c>
      <c r="D44" s="284" t="str">
        <f>IF($A44&lt;&gt;"",IF(INDEX(DiemHKII!$B$4:$K$58,MATCH($A44,DiemHKII!$B$4:$B$58,0),8)&lt;&gt;"",INDEX(DiemHKII!$B$4:$K$58,MATCH($A44,DiemHKII!$B$4:$B$58,0),8),""),"")</f>
        <v/>
      </c>
      <c r="E44" s="284" t="str">
        <f>IF($A44&lt;&gt;"",IF(INDEX(DiemHKII!$B$4:$K$58,MATCH($A44,DiemHKII!$B$4:$B$58,0),9)&lt;&gt;"",INDEX(DiemHKII!$B$4:$K$58,MATCH($A44,DiemHKII!$B$4:$B$58,0),9),""),"")</f>
        <v/>
      </c>
      <c r="F44" s="284" t="str">
        <f>IF($A44&lt;&gt;"",IF(INDEX(DiemHKII!$B$4:$K$58,MATCH($A44,DiemHKII!$B$4:$B$58,0),10)&lt;&gt;"",INDEX(DiemHKII!$B$4:$K$58,MATCH($A44,DiemHKII!$B$4:$B$58,0),10),""),"")</f>
        <v/>
      </c>
      <c r="G44" s="285" t="str">
        <f>IF($A44&lt;&gt;"",IF(INDEX(BDHK2,MATCH($A44,DiemHKII!$B$4:$B$58,0),INDEX($AD$9:$AF$22,MATCH(G$7,$AD$9:$AD$22,0),2))&lt;&gt;"",INDEX(BDHK2,MATCH($A44,DiemHKII!$B$4:$B$58,0),INDEX($AD$9:$AF$22,MATCH(G$7,$AD$9:$AD$22,0),3)),""),"")</f>
        <v/>
      </c>
      <c r="H44" s="286" t="str">
        <f>IF($A44&lt;&gt;"",IF(INDEX(BDHK2,MATCH($A44,DiemHKII!$B$4:$B$58,0),INDEX($AD$9:$AF$22,MATCH(H$7,$AD$9:$AD$22,0),2))&lt;&gt;"",INDEX(BDHK2,MATCH($A44,DiemHKII!$B$4:$B$58,0),INDEX($AD$9:$AF$22,MATCH(H$7,$AD$9:$AD$22,0),3)),""),"")</f>
        <v/>
      </c>
      <c r="I44" s="286" t="str">
        <f>IF($A44&lt;&gt;"",IF(INDEX(BDHK2,MATCH($A44,DiemHKII!$B$4:$B$58,0),INDEX($AD$9:$AF$22,MATCH(I$7,$AD$9:$AD$22,0),2))&lt;&gt;"",INDEX(BDHK2,MATCH($A44,DiemHKII!$B$4:$B$58,0),INDEX($AD$9:$AF$22,MATCH(I$7,$AD$9:$AD$22,0),3)),""),"")</f>
        <v/>
      </c>
      <c r="J44" s="286" t="str">
        <f>IF($A44&lt;&gt;"",IF(INDEX(BDHK2,MATCH($A44,DiemHKII!$B$4:$B$58,0),INDEX($AD$9:$AF$22,MATCH(J$7,$AD$9:$AD$22,0),2))&lt;&gt;"",INDEX(BDHK2,MATCH($A44,DiemHKII!$B$4:$B$58,0),INDEX($AD$9:$AF$22,MATCH(J$7,$AD$9:$AD$22,0),3)),""),"")</f>
        <v/>
      </c>
      <c r="K44" s="286" t="str">
        <f>IF($A44&lt;&gt;"",IF(INDEX(BDHK2,MATCH($A44,DiemHKII!$B$4:$B$58,0),INDEX($AD$9:$AF$22,MATCH(K$7,$AD$9:$AD$22,0),2))&lt;&gt;"",INDEX(BDHK2,MATCH($A44,DiemHKII!$B$4:$B$58,0),INDEX($AD$9:$AF$22,MATCH(K$7,$AD$9:$AD$22,0),3)),""),"")</f>
        <v/>
      </c>
      <c r="L44" s="286" t="str">
        <f>IF($A44&lt;&gt;"",IF(INDEX(BDHK2,MATCH($A44,DiemHKII!$B$4:$B$58,0),INDEX($AD$9:$AF$22,MATCH(L$7,$AD$9:$AD$22,0),2))&lt;&gt;"",INDEX(BDHK2,MATCH($A44,DiemHKII!$B$4:$B$58,0),INDEX($AD$9:$AF$22,MATCH(L$7,$AD$9:$AD$22,0),3)),""),"")</f>
        <v/>
      </c>
      <c r="M44" s="286" t="str">
        <f>IF($A44&lt;&gt;"",IF(INDEX(BDHK2,MATCH($A44,DiemHKII!$B$4:$B$58,0),INDEX($AD$9:$AF$22,MATCH(M$7,$AD$9:$AD$22,0),2))&lt;&gt;"",INDEX(BDHK2,MATCH($A44,DiemHKII!$B$4:$B$58,0),INDEX($AD$9:$AF$22,MATCH(M$7,$AD$9:$AD$22,0),3)),""),"")</f>
        <v/>
      </c>
      <c r="N44" s="286" t="str">
        <f>IF($A44&lt;&gt;"",IF(INDEX(BDHK2,MATCH($A44,DiemHKII!$B$4:$B$58,0),INDEX($AD$9:$AF$22,MATCH(N$7,$AD$9:$AD$22,0),2))&lt;&gt;"",INDEX(BDHK2,MATCH($A44,DiemHKII!$B$4:$B$58,0),INDEX($AD$9:$AF$22,MATCH(N$7,$AD$9:$AD$22,0),3)),""),"")</f>
        <v/>
      </c>
      <c r="O44" s="286" t="str">
        <f>IF($A44&lt;&gt;"",IF(INDEX(BDHK2,MATCH($A44,DiemHKII!$B$4:$B$58,0),INDEX($AD$9:$AF$22,MATCH(O$7,$AD$9:$AD$22,0),2))&lt;&gt;"",INDEX(BDHK2,MATCH($A44,DiemHKII!$B$4:$B$58,0),INDEX($AD$9:$AF$22,MATCH(O$7,$AD$9:$AD$22,0),3)),""),"")</f>
        <v/>
      </c>
      <c r="P44" s="286" t="str">
        <f>IF($A44&lt;&gt;"",IF(INDEX(BDHK2,MATCH($A44,DiemHKII!$B$4:$B$58,0),INDEX($AD$9:$AF$22,MATCH(P$7,$AD$9:$AD$22,0),2))&lt;&gt;"",INDEX(BDHK2,MATCH($A44,DiemHKII!$B$4:$B$58,0),INDEX($AD$9:$AF$22,MATCH(P$7,$AD$9:$AD$22,0),3)),""),"")</f>
        <v/>
      </c>
      <c r="Q44" s="286" t="str">
        <f>IF($A44&lt;&gt;"",IF(INDEX(BDHK2,MATCH($A44,DiemHKII!$B$4:$B$58,0),INDEX($AD$9:$AF$22,MATCH(Q$7,$AD$9:$AD$22,0),2))&lt;&gt;"",INDEX(BDHK2,MATCH($A44,DiemHKII!$B$4:$B$58,0),INDEX($AD$9:$AF$22,MATCH(Q$7,$AD$9:$AD$22,0),3)),""),"")</f>
        <v/>
      </c>
      <c r="R44" s="464" t="str">
        <f>IF($A44&lt;&gt;"",IF(INDEX(BDHK2,MATCH($A44,DiemHKII!$B$4:$B$58,0),INDEX($AD$9:$AF$22,MATCH(R$7,$AD$9:$AD$22,0),2))&lt;&gt;"",INDEX(BDHK2,MATCH($A44,DiemHKII!$B$4:$B$58,0),INDEX($AD$9:$AF$22,MATCH(R$7,$AD$9:$AD$22,0),3)),""),"")</f>
        <v/>
      </c>
      <c r="S44" s="464" t="str">
        <f t="shared" si="8"/>
        <v/>
      </c>
      <c r="T44" s="286" t="str">
        <f>IF($A44&lt;&gt;"",IF(INDEX(BDHK2,MATCH($A44,DiemHKII!$B$4:$B$58,0),INDEX($AD$9:$AF$22,MATCH(T$7,$AD$9:$AD$22,0),2))&lt;&gt;"",INDEX(BDHK2,MATCH($A44,DiemHKII!$B$4:$B$58,0),INDEX($AD$9:$AF$22,MATCH(T$7,$AD$9:$AD$22,0),3)),""),"")</f>
        <v/>
      </c>
      <c r="U44" s="287" t="str">
        <f>IF($A44&lt;&gt;"",IF(INDEX(BDHK2,MATCH($A44,DiemHKII!$B$4:$B$58,0),INDEX($AD$9:$AF$22,MATCH(U$7,$AD$9:$AD$22,0),2))&lt;&gt;"",INDEX(BDHK2,MATCH($A44,DiemHKII!$B$4:$B$58,0),INDEX($AD$9:$AF$22,MATCH(U$7,$AD$9:$AD$22,0),3)),""),"")</f>
        <v/>
      </c>
      <c r="V44" s="288" t="str">
        <f t="shared" si="9"/>
        <v/>
      </c>
      <c r="W44" s="464" t="str">
        <f t="shared" si="10"/>
        <v/>
      </c>
      <c r="X44" s="353"/>
      <c r="Y44" s="289" t="str">
        <f t="shared" si="11"/>
        <v/>
      </c>
      <c r="AA44" s="641" t="str">
        <f t="shared" si="4"/>
        <v/>
      </c>
      <c r="AG44" s="268" t="str">
        <f>IF($A44&lt;&gt;"",INDEX(DiemHKII!$B$4:$K$58,MATCH($A44,DiemHKII!$B$4:$B$58,0),2),"")</f>
        <v/>
      </c>
      <c r="AH44" s="674" t="str">
        <f t="shared" si="7"/>
        <v/>
      </c>
      <c r="AI44" s="672" t="str">
        <f t="shared" ca="1" si="6"/>
        <v/>
      </c>
    </row>
    <row r="45" spans="1:35" s="268" customFormat="1" ht="29.1" customHeight="1">
      <c r="A45" s="281" t="str">
        <f>IF(A44&lt;MAX(DiemHKII!$B$4:$B$58),A44+1,"")</f>
        <v/>
      </c>
      <c r="B45" s="282" t="str">
        <f>IF($A45&lt;&gt;"",PROPER(INDEX(DiemHKII!$B$4:$K$58,MATCH($A45,DiemHKII!$B$4:$B$58,0),4)),"")</f>
        <v/>
      </c>
      <c r="C45" s="283" t="str">
        <f>IF($A45&lt;&gt;"",PROPER(INDEX(DiemHKII!$B$4:$K$58,MATCH($A45,DiemHKII!$B$4:$B$58,0),5)),"")</f>
        <v/>
      </c>
      <c r="D45" s="284" t="str">
        <f>IF($A45&lt;&gt;"",IF(INDEX(DiemHKII!$B$4:$K$58,MATCH($A45,DiemHKII!$B$4:$B$58,0),8)&lt;&gt;"",INDEX(DiemHKII!$B$4:$K$58,MATCH($A45,DiemHKII!$B$4:$B$58,0),8),""),"")</f>
        <v/>
      </c>
      <c r="E45" s="284" t="str">
        <f>IF($A45&lt;&gt;"",IF(INDEX(DiemHKII!$B$4:$K$58,MATCH($A45,DiemHKII!$B$4:$B$58,0),9)&lt;&gt;"",INDEX(DiemHKII!$B$4:$K$58,MATCH($A45,DiemHKII!$B$4:$B$58,0),9),""),"")</f>
        <v/>
      </c>
      <c r="F45" s="284" t="str">
        <f>IF($A45&lt;&gt;"",IF(INDEX(DiemHKII!$B$4:$K$58,MATCH($A45,DiemHKII!$B$4:$B$58,0),10)&lt;&gt;"",INDEX(DiemHKII!$B$4:$K$58,MATCH($A45,DiemHKII!$B$4:$B$58,0),10),""),"")</f>
        <v/>
      </c>
      <c r="G45" s="285" t="str">
        <f>IF($A45&lt;&gt;"",IF(INDEX(BDHK2,MATCH($A45,DiemHKII!$B$4:$B$58,0),INDEX($AD$9:$AF$22,MATCH(G$7,$AD$9:$AD$22,0),2))&lt;&gt;"",INDEX(BDHK2,MATCH($A45,DiemHKII!$B$4:$B$58,0),INDEX($AD$9:$AF$22,MATCH(G$7,$AD$9:$AD$22,0),3)),""),"")</f>
        <v/>
      </c>
      <c r="H45" s="286" t="str">
        <f>IF($A45&lt;&gt;"",IF(INDEX(BDHK2,MATCH($A45,DiemHKII!$B$4:$B$58,0),INDEX($AD$9:$AF$22,MATCH(H$7,$AD$9:$AD$22,0),2))&lt;&gt;"",INDEX(BDHK2,MATCH($A45,DiemHKII!$B$4:$B$58,0),INDEX($AD$9:$AF$22,MATCH(H$7,$AD$9:$AD$22,0),3)),""),"")</f>
        <v/>
      </c>
      <c r="I45" s="286" t="str">
        <f>IF($A45&lt;&gt;"",IF(INDEX(BDHK2,MATCH($A45,DiemHKII!$B$4:$B$58,0),INDEX($AD$9:$AF$22,MATCH(I$7,$AD$9:$AD$22,0),2))&lt;&gt;"",INDEX(BDHK2,MATCH($A45,DiemHKII!$B$4:$B$58,0),INDEX($AD$9:$AF$22,MATCH(I$7,$AD$9:$AD$22,0),3)),""),"")</f>
        <v/>
      </c>
      <c r="J45" s="286" t="str">
        <f>IF($A45&lt;&gt;"",IF(INDEX(BDHK2,MATCH($A45,DiemHKII!$B$4:$B$58,0),INDEX($AD$9:$AF$22,MATCH(J$7,$AD$9:$AD$22,0),2))&lt;&gt;"",INDEX(BDHK2,MATCH($A45,DiemHKII!$B$4:$B$58,0),INDEX($AD$9:$AF$22,MATCH(J$7,$AD$9:$AD$22,0),3)),""),"")</f>
        <v/>
      </c>
      <c r="K45" s="286" t="str">
        <f>IF($A45&lt;&gt;"",IF(INDEX(BDHK2,MATCH($A45,DiemHKII!$B$4:$B$58,0),INDEX($AD$9:$AF$22,MATCH(K$7,$AD$9:$AD$22,0),2))&lt;&gt;"",INDEX(BDHK2,MATCH($A45,DiemHKII!$B$4:$B$58,0),INDEX($AD$9:$AF$22,MATCH(K$7,$AD$9:$AD$22,0),3)),""),"")</f>
        <v/>
      </c>
      <c r="L45" s="286" t="str">
        <f>IF($A45&lt;&gt;"",IF(INDEX(BDHK2,MATCH($A45,DiemHKII!$B$4:$B$58,0),INDEX($AD$9:$AF$22,MATCH(L$7,$AD$9:$AD$22,0),2))&lt;&gt;"",INDEX(BDHK2,MATCH($A45,DiemHKII!$B$4:$B$58,0),INDEX($AD$9:$AF$22,MATCH(L$7,$AD$9:$AD$22,0),3)),""),"")</f>
        <v/>
      </c>
      <c r="M45" s="286" t="str">
        <f>IF($A45&lt;&gt;"",IF(INDEX(BDHK2,MATCH($A45,DiemHKII!$B$4:$B$58,0),INDEX($AD$9:$AF$22,MATCH(M$7,$AD$9:$AD$22,0),2))&lt;&gt;"",INDEX(BDHK2,MATCH($A45,DiemHKII!$B$4:$B$58,0),INDEX($AD$9:$AF$22,MATCH(M$7,$AD$9:$AD$22,0),3)),""),"")</f>
        <v/>
      </c>
      <c r="N45" s="286" t="str">
        <f>IF($A45&lt;&gt;"",IF(INDEX(BDHK2,MATCH($A45,DiemHKII!$B$4:$B$58,0),INDEX($AD$9:$AF$22,MATCH(N$7,$AD$9:$AD$22,0),2))&lt;&gt;"",INDEX(BDHK2,MATCH($A45,DiemHKII!$B$4:$B$58,0),INDEX($AD$9:$AF$22,MATCH(N$7,$AD$9:$AD$22,0),3)),""),"")</f>
        <v/>
      </c>
      <c r="O45" s="286" t="str">
        <f>IF($A45&lt;&gt;"",IF(INDEX(BDHK2,MATCH($A45,DiemHKII!$B$4:$B$58,0),INDEX($AD$9:$AF$22,MATCH(O$7,$AD$9:$AD$22,0),2))&lt;&gt;"",INDEX(BDHK2,MATCH($A45,DiemHKII!$B$4:$B$58,0),INDEX($AD$9:$AF$22,MATCH(O$7,$AD$9:$AD$22,0),3)),""),"")</f>
        <v/>
      </c>
      <c r="P45" s="286" t="str">
        <f>IF($A45&lt;&gt;"",IF(INDEX(BDHK2,MATCH($A45,DiemHKII!$B$4:$B$58,0),INDEX($AD$9:$AF$22,MATCH(P$7,$AD$9:$AD$22,0),2))&lt;&gt;"",INDEX(BDHK2,MATCH($A45,DiemHKII!$B$4:$B$58,0),INDEX($AD$9:$AF$22,MATCH(P$7,$AD$9:$AD$22,0),3)),""),"")</f>
        <v/>
      </c>
      <c r="Q45" s="286" t="str">
        <f>IF($A45&lt;&gt;"",IF(INDEX(BDHK2,MATCH($A45,DiemHKII!$B$4:$B$58,0),INDEX($AD$9:$AF$22,MATCH(Q$7,$AD$9:$AD$22,0),2))&lt;&gt;"",INDEX(BDHK2,MATCH($A45,DiemHKII!$B$4:$B$58,0),INDEX($AD$9:$AF$22,MATCH(Q$7,$AD$9:$AD$22,0),3)),""),"")</f>
        <v/>
      </c>
      <c r="R45" s="464" t="str">
        <f>IF($A45&lt;&gt;"",IF(INDEX(BDHK2,MATCH($A45,DiemHKII!$B$4:$B$58,0),INDEX($AD$9:$AF$22,MATCH(R$7,$AD$9:$AD$22,0),2))&lt;&gt;"",INDEX(BDHK2,MATCH($A45,DiemHKII!$B$4:$B$58,0),INDEX($AD$9:$AF$22,MATCH(R$7,$AD$9:$AD$22,0),3)),""),"")</f>
        <v/>
      </c>
      <c r="S45" s="464" t="str">
        <f t="shared" si="8"/>
        <v/>
      </c>
      <c r="T45" s="286" t="str">
        <f>IF($A45&lt;&gt;"",IF(INDEX(BDHK2,MATCH($A45,DiemHKII!$B$4:$B$58,0),INDEX($AD$9:$AF$22,MATCH(T$7,$AD$9:$AD$22,0),2))&lt;&gt;"",INDEX(BDHK2,MATCH($A45,DiemHKII!$B$4:$B$58,0),INDEX($AD$9:$AF$22,MATCH(T$7,$AD$9:$AD$22,0),3)),""),"")</f>
        <v/>
      </c>
      <c r="U45" s="287" t="str">
        <f>IF($A45&lt;&gt;"",IF(INDEX(BDHK2,MATCH($A45,DiemHKII!$B$4:$B$58,0),INDEX($AD$9:$AF$22,MATCH(U$7,$AD$9:$AD$22,0),2))&lt;&gt;"",INDEX(BDHK2,MATCH($A45,DiemHKII!$B$4:$B$58,0),INDEX($AD$9:$AF$22,MATCH(U$7,$AD$9:$AD$22,0),3)),""),"")</f>
        <v/>
      </c>
      <c r="V45" s="288" t="str">
        <f t="shared" si="9"/>
        <v/>
      </c>
      <c r="W45" s="464" t="str">
        <f t="shared" si="10"/>
        <v/>
      </c>
      <c r="X45" s="353"/>
      <c r="Y45" s="289" t="str">
        <f t="shared" si="11"/>
        <v/>
      </c>
      <c r="AA45" s="641" t="str">
        <f t="shared" si="4"/>
        <v/>
      </c>
      <c r="AG45" s="268" t="str">
        <f>IF($A45&lt;&gt;"",INDEX(DiemHKII!$B$4:$K$58,MATCH($A45,DiemHKII!$B$4:$B$58,0),2),"")</f>
        <v/>
      </c>
      <c r="AH45" s="674" t="str">
        <f t="shared" si="7"/>
        <v/>
      </c>
      <c r="AI45" s="672" t="str">
        <f t="shared" ca="1" si="6"/>
        <v/>
      </c>
    </row>
    <row r="46" spans="1:35" s="268" customFormat="1" ht="29.1" customHeight="1">
      <c r="A46" s="281" t="str">
        <f>IF(A45&lt;MAX(DiemHKII!$B$4:$B$58),A45+1,"")</f>
        <v/>
      </c>
      <c r="B46" s="282" t="str">
        <f>IF($A46&lt;&gt;"",PROPER(INDEX(DiemHKII!$B$4:$K$58,MATCH($A46,DiemHKII!$B$4:$B$58,0),4)),"")</f>
        <v/>
      </c>
      <c r="C46" s="283" t="str">
        <f>IF($A46&lt;&gt;"",PROPER(INDEX(DiemHKII!$B$4:$K$58,MATCH($A46,DiemHKII!$B$4:$B$58,0),5)),"")</f>
        <v/>
      </c>
      <c r="D46" s="284" t="str">
        <f>IF($A46&lt;&gt;"",IF(INDEX(DiemHKII!$B$4:$K$58,MATCH($A46,DiemHKII!$B$4:$B$58,0),8)&lt;&gt;"",INDEX(DiemHKII!$B$4:$K$58,MATCH($A46,DiemHKII!$B$4:$B$58,0),8),""),"")</f>
        <v/>
      </c>
      <c r="E46" s="284" t="str">
        <f>IF($A46&lt;&gt;"",IF(INDEX(DiemHKII!$B$4:$K$58,MATCH($A46,DiemHKII!$B$4:$B$58,0),9)&lt;&gt;"",INDEX(DiemHKII!$B$4:$K$58,MATCH($A46,DiemHKII!$B$4:$B$58,0),9),""),"")</f>
        <v/>
      </c>
      <c r="F46" s="284" t="str">
        <f>IF($A46&lt;&gt;"",IF(INDEX(DiemHKII!$B$4:$K$58,MATCH($A46,DiemHKII!$B$4:$B$58,0),10)&lt;&gt;"",INDEX(DiemHKII!$B$4:$K$58,MATCH($A46,DiemHKII!$B$4:$B$58,0),10),""),"")</f>
        <v/>
      </c>
      <c r="G46" s="285" t="str">
        <f>IF($A46&lt;&gt;"",IF(INDEX(BDHK2,MATCH($A46,DiemHKII!$B$4:$B$58,0),INDEX($AD$9:$AF$22,MATCH(G$7,$AD$9:$AD$22,0),2))&lt;&gt;"",INDEX(BDHK2,MATCH($A46,DiemHKII!$B$4:$B$58,0),INDEX($AD$9:$AF$22,MATCH(G$7,$AD$9:$AD$22,0),3)),""),"")</f>
        <v/>
      </c>
      <c r="H46" s="286" t="str">
        <f>IF($A46&lt;&gt;"",IF(INDEX(BDHK2,MATCH($A46,DiemHKII!$B$4:$B$58,0),INDEX($AD$9:$AF$22,MATCH(H$7,$AD$9:$AD$22,0),2))&lt;&gt;"",INDEX(BDHK2,MATCH($A46,DiemHKII!$B$4:$B$58,0),INDEX($AD$9:$AF$22,MATCH(H$7,$AD$9:$AD$22,0),3)),""),"")</f>
        <v/>
      </c>
      <c r="I46" s="286" t="str">
        <f>IF($A46&lt;&gt;"",IF(INDEX(BDHK2,MATCH($A46,DiemHKII!$B$4:$B$58,0),INDEX($AD$9:$AF$22,MATCH(I$7,$AD$9:$AD$22,0),2))&lt;&gt;"",INDEX(BDHK2,MATCH($A46,DiemHKII!$B$4:$B$58,0),INDEX($AD$9:$AF$22,MATCH(I$7,$AD$9:$AD$22,0),3)),""),"")</f>
        <v/>
      </c>
      <c r="J46" s="286" t="str">
        <f>IF($A46&lt;&gt;"",IF(INDEX(BDHK2,MATCH($A46,DiemHKII!$B$4:$B$58,0),INDEX($AD$9:$AF$22,MATCH(J$7,$AD$9:$AD$22,0),2))&lt;&gt;"",INDEX(BDHK2,MATCH($A46,DiemHKII!$B$4:$B$58,0),INDEX($AD$9:$AF$22,MATCH(J$7,$AD$9:$AD$22,0),3)),""),"")</f>
        <v/>
      </c>
      <c r="K46" s="286" t="str">
        <f>IF($A46&lt;&gt;"",IF(INDEX(BDHK2,MATCH($A46,DiemHKII!$B$4:$B$58,0),INDEX($AD$9:$AF$22,MATCH(K$7,$AD$9:$AD$22,0),2))&lt;&gt;"",INDEX(BDHK2,MATCH($A46,DiemHKII!$B$4:$B$58,0),INDEX($AD$9:$AF$22,MATCH(K$7,$AD$9:$AD$22,0),3)),""),"")</f>
        <v/>
      </c>
      <c r="L46" s="286" t="str">
        <f>IF($A46&lt;&gt;"",IF(INDEX(BDHK2,MATCH($A46,DiemHKII!$B$4:$B$58,0),INDEX($AD$9:$AF$22,MATCH(L$7,$AD$9:$AD$22,0),2))&lt;&gt;"",INDEX(BDHK2,MATCH($A46,DiemHKII!$B$4:$B$58,0),INDEX($AD$9:$AF$22,MATCH(L$7,$AD$9:$AD$22,0),3)),""),"")</f>
        <v/>
      </c>
      <c r="M46" s="286" t="str">
        <f>IF($A46&lt;&gt;"",IF(INDEX(BDHK2,MATCH($A46,DiemHKII!$B$4:$B$58,0),INDEX($AD$9:$AF$22,MATCH(M$7,$AD$9:$AD$22,0),2))&lt;&gt;"",INDEX(BDHK2,MATCH($A46,DiemHKII!$B$4:$B$58,0),INDEX($AD$9:$AF$22,MATCH(M$7,$AD$9:$AD$22,0),3)),""),"")</f>
        <v/>
      </c>
      <c r="N46" s="286" t="str">
        <f>IF($A46&lt;&gt;"",IF(INDEX(BDHK2,MATCH($A46,DiemHKII!$B$4:$B$58,0),INDEX($AD$9:$AF$22,MATCH(N$7,$AD$9:$AD$22,0),2))&lt;&gt;"",INDEX(BDHK2,MATCH($A46,DiemHKII!$B$4:$B$58,0),INDEX($AD$9:$AF$22,MATCH(N$7,$AD$9:$AD$22,0),3)),""),"")</f>
        <v/>
      </c>
      <c r="O46" s="286" t="str">
        <f>IF($A46&lt;&gt;"",IF(INDEX(BDHK2,MATCH($A46,DiemHKII!$B$4:$B$58,0),INDEX($AD$9:$AF$22,MATCH(O$7,$AD$9:$AD$22,0),2))&lt;&gt;"",INDEX(BDHK2,MATCH($A46,DiemHKII!$B$4:$B$58,0),INDEX($AD$9:$AF$22,MATCH(O$7,$AD$9:$AD$22,0),3)),""),"")</f>
        <v/>
      </c>
      <c r="P46" s="286" t="str">
        <f>IF($A46&lt;&gt;"",IF(INDEX(BDHK2,MATCH($A46,DiemHKII!$B$4:$B$58,0),INDEX($AD$9:$AF$22,MATCH(P$7,$AD$9:$AD$22,0),2))&lt;&gt;"",INDEX(BDHK2,MATCH($A46,DiemHKII!$B$4:$B$58,0),INDEX($AD$9:$AF$22,MATCH(P$7,$AD$9:$AD$22,0),3)),""),"")</f>
        <v/>
      </c>
      <c r="Q46" s="286" t="str">
        <f>IF($A46&lt;&gt;"",IF(INDEX(BDHK2,MATCH($A46,DiemHKII!$B$4:$B$58,0),INDEX($AD$9:$AF$22,MATCH(Q$7,$AD$9:$AD$22,0),2))&lt;&gt;"",INDEX(BDHK2,MATCH($A46,DiemHKII!$B$4:$B$58,0),INDEX($AD$9:$AF$22,MATCH(Q$7,$AD$9:$AD$22,0),3)),""),"")</f>
        <v/>
      </c>
      <c r="R46" s="464" t="str">
        <f>IF($A46&lt;&gt;"",IF(INDEX(BDHK2,MATCH($A46,DiemHKII!$B$4:$B$58,0),INDEX($AD$9:$AF$22,MATCH(R$7,$AD$9:$AD$22,0),2))&lt;&gt;"",INDEX(BDHK2,MATCH($A46,DiemHKII!$B$4:$B$58,0),INDEX($AD$9:$AF$22,MATCH(R$7,$AD$9:$AD$22,0),3)),""),"")</f>
        <v/>
      </c>
      <c r="S46" s="464" t="str">
        <f t="shared" si="8"/>
        <v/>
      </c>
      <c r="T46" s="286" t="str">
        <f>IF($A46&lt;&gt;"",IF(INDEX(BDHK2,MATCH($A46,DiemHKII!$B$4:$B$58,0),INDEX($AD$9:$AF$22,MATCH(T$7,$AD$9:$AD$22,0),2))&lt;&gt;"",INDEX(BDHK2,MATCH($A46,DiemHKII!$B$4:$B$58,0),INDEX($AD$9:$AF$22,MATCH(T$7,$AD$9:$AD$22,0),3)),""),"")</f>
        <v/>
      </c>
      <c r="U46" s="287" t="str">
        <f>IF($A46&lt;&gt;"",IF(INDEX(BDHK2,MATCH($A46,DiemHKII!$B$4:$B$58,0),INDEX($AD$9:$AF$22,MATCH(U$7,$AD$9:$AD$22,0),2))&lt;&gt;"",INDEX(BDHK2,MATCH($A46,DiemHKII!$B$4:$B$58,0),INDEX($AD$9:$AF$22,MATCH(U$7,$AD$9:$AD$22,0),3)),""),"")</f>
        <v/>
      </c>
      <c r="V46" s="288" t="str">
        <f t="shared" si="9"/>
        <v/>
      </c>
      <c r="W46" s="464" t="str">
        <f t="shared" si="10"/>
        <v/>
      </c>
      <c r="X46" s="353"/>
      <c r="Y46" s="289" t="str">
        <f t="shared" si="11"/>
        <v/>
      </c>
      <c r="AA46" s="641" t="str">
        <f t="shared" si="4"/>
        <v/>
      </c>
      <c r="AG46" s="268" t="str">
        <f>IF($A46&lt;&gt;"",INDEX(DiemHKII!$B$4:$K$58,MATCH($A46,DiemHKII!$B$4:$B$58,0),2),"")</f>
        <v/>
      </c>
      <c r="AH46" s="674" t="str">
        <f t="shared" si="7"/>
        <v/>
      </c>
      <c r="AI46" s="672" t="str">
        <f t="shared" ca="1" si="6"/>
        <v/>
      </c>
    </row>
    <row r="47" spans="1:35" s="268" customFormat="1" ht="29.1" customHeight="1" thickBot="1">
      <c r="A47" s="290" t="str">
        <f>IF(A46&lt;MAX(DiemHKII!$B$4:$B$58),A46+1,"")</f>
        <v/>
      </c>
      <c r="B47" s="291" t="str">
        <f>IF($A47&lt;&gt;"",PROPER(INDEX(DiemHKII!$B$4:$K$58,MATCH($A47,DiemHKII!$B$4:$B$58,0),4)),"")</f>
        <v/>
      </c>
      <c r="C47" s="292" t="str">
        <f>IF($A47&lt;&gt;"",PROPER(INDEX(DiemHKII!$B$4:$K$58,MATCH($A47,DiemHKII!$B$4:$B$58,0),5)),"")</f>
        <v/>
      </c>
      <c r="D47" s="293" t="str">
        <f>IF($A47&lt;&gt;"",IF(INDEX(DiemHKII!$B$4:$K$58,MATCH($A47,DiemHKII!$B$4:$B$58,0),8)&lt;&gt;"",INDEX(DiemHKII!$B$4:$K$58,MATCH($A47,DiemHKII!$B$4:$B$58,0),8),""),"")</f>
        <v/>
      </c>
      <c r="E47" s="293" t="str">
        <f>IF($A47&lt;&gt;"",IF(INDEX(DiemHKII!$B$4:$K$58,MATCH($A47,DiemHKII!$B$4:$B$58,0),9)&lt;&gt;"",INDEX(DiemHKII!$B$4:$K$58,MATCH($A47,DiemHKII!$B$4:$B$58,0),9),""),"")</f>
        <v/>
      </c>
      <c r="F47" s="293" t="str">
        <f>IF($A47&lt;&gt;"",IF(INDEX(DiemHKII!$B$4:$K$58,MATCH($A47,DiemHKII!$B$4:$B$58,0),10)&lt;&gt;"",INDEX(DiemHKII!$B$4:$K$58,MATCH($A47,DiemHKII!$B$4:$B$58,0),10),""),"")</f>
        <v/>
      </c>
      <c r="G47" s="294" t="str">
        <f>IF($A47&lt;&gt;"",IF(INDEX(BDHK2,MATCH($A47,DiemHKII!$B$4:$B$58,0),INDEX($AD$9:$AF$22,MATCH(G$7,$AD$9:$AD$22,0),2))&lt;&gt;"",INDEX(BDHK2,MATCH($A47,DiemHKII!$B$4:$B$58,0),INDEX($AD$9:$AF$22,MATCH(G$7,$AD$9:$AD$22,0),3)),""),"")</f>
        <v/>
      </c>
      <c r="H47" s="295" t="str">
        <f>IF($A47&lt;&gt;"",IF(INDEX(BDHK2,MATCH($A47,DiemHKII!$B$4:$B$58,0),INDEX($AD$9:$AF$22,MATCH(H$7,$AD$9:$AD$22,0),2))&lt;&gt;"",INDEX(BDHK2,MATCH($A47,DiemHKII!$B$4:$B$58,0),INDEX($AD$9:$AF$22,MATCH(H$7,$AD$9:$AD$22,0),3)),""),"")</f>
        <v/>
      </c>
      <c r="I47" s="295" t="str">
        <f>IF($A47&lt;&gt;"",IF(INDEX(BDHK2,MATCH($A47,DiemHKII!$B$4:$B$58,0),INDEX($AD$9:$AF$22,MATCH(I$7,$AD$9:$AD$22,0),2))&lt;&gt;"",INDEX(BDHK2,MATCH($A47,DiemHKII!$B$4:$B$58,0),INDEX($AD$9:$AF$22,MATCH(I$7,$AD$9:$AD$22,0),3)),""),"")</f>
        <v/>
      </c>
      <c r="J47" s="295" t="str">
        <f>IF($A47&lt;&gt;"",IF(INDEX(BDHK2,MATCH($A47,DiemHKII!$B$4:$B$58,0),INDEX($AD$9:$AF$22,MATCH(J$7,$AD$9:$AD$22,0),2))&lt;&gt;"",INDEX(BDHK2,MATCH($A47,DiemHKII!$B$4:$B$58,0),INDEX($AD$9:$AF$22,MATCH(J$7,$AD$9:$AD$22,0),3)),""),"")</f>
        <v/>
      </c>
      <c r="K47" s="295" t="str">
        <f>IF($A47&lt;&gt;"",IF(INDEX(BDHK2,MATCH($A47,DiemHKII!$B$4:$B$58,0),INDEX($AD$9:$AF$22,MATCH(K$7,$AD$9:$AD$22,0),2))&lt;&gt;"",INDEX(BDHK2,MATCH($A47,DiemHKII!$B$4:$B$58,0),INDEX($AD$9:$AF$22,MATCH(K$7,$AD$9:$AD$22,0),3)),""),"")</f>
        <v/>
      </c>
      <c r="L47" s="295" t="str">
        <f>IF($A47&lt;&gt;"",IF(INDEX(BDHK2,MATCH($A47,DiemHKII!$B$4:$B$58,0),INDEX($AD$9:$AF$22,MATCH(L$7,$AD$9:$AD$22,0),2))&lt;&gt;"",INDEX(BDHK2,MATCH($A47,DiemHKII!$B$4:$B$58,0),INDEX($AD$9:$AF$22,MATCH(L$7,$AD$9:$AD$22,0),3)),""),"")</f>
        <v/>
      </c>
      <c r="M47" s="295" t="str">
        <f>IF($A47&lt;&gt;"",IF(INDEX(BDHK2,MATCH($A47,DiemHKII!$B$4:$B$58,0),INDEX($AD$9:$AF$22,MATCH(M$7,$AD$9:$AD$22,0),2))&lt;&gt;"",INDEX(BDHK2,MATCH($A47,DiemHKII!$B$4:$B$58,0),INDEX($AD$9:$AF$22,MATCH(M$7,$AD$9:$AD$22,0),3)),""),"")</f>
        <v/>
      </c>
      <c r="N47" s="295" t="str">
        <f>IF($A47&lt;&gt;"",IF(INDEX(BDHK2,MATCH($A47,DiemHKII!$B$4:$B$58,0),INDEX($AD$9:$AF$22,MATCH(N$7,$AD$9:$AD$22,0),2))&lt;&gt;"",INDEX(BDHK2,MATCH($A47,DiemHKII!$B$4:$B$58,0),INDEX($AD$9:$AF$22,MATCH(N$7,$AD$9:$AD$22,0),3)),""),"")</f>
        <v/>
      </c>
      <c r="O47" s="295" t="str">
        <f>IF($A47&lt;&gt;"",IF(INDEX(BDHK2,MATCH($A47,DiemHKII!$B$4:$B$58,0),INDEX($AD$9:$AF$22,MATCH(O$7,$AD$9:$AD$22,0),2))&lt;&gt;"",INDEX(BDHK2,MATCH($A47,DiemHKII!$B$4:$B$58,0),INDEX($AD$9:$AF$22,MATCH(O$7,$AD$9:$AD$22,0),3)),""),"")</f>
        <v/>
      </c>
      <c r="P47" s="295" t="str">
        <f>IF($A47&lt;&gt;"",IF(INDEX(BDHK2,MATCH($A47,DiemHKII!$B$4:$B$58,0),INDEX($AD$9:$AF$22,MATCH(P$7,$AD$9:$AD$22,0),2))&lt;&gt;"",INDEX(BDHK2,MATCH($A47,DiemHKII!$B$4:$B$58,0),INDEX($AD$9:$AF$22,MATCH(P$7,$AD$9:$AD$22,0),3)),""),"")</f>
        <v/>
      </c>
      <c r="Q47" s="295" t="str">
        <f>IF($A47&lt;&gt;"",IF(INDEX(BDHK2,MATCH($A47,DiemHKII!$B$4:$B$58,0),INDEX($AD$9:$AF$22,MATCH(Q$7,$AD$9:$AD$22,0),2))&lt;&gt;"",INDEX(BDHK2,MATCH($A47,DiemHKII!$B$4:$B$58,0),INDEX($AD$9:$AF$22,MATCH(Q$7,$AD$9:$AD$22,0),3)),""),"")</f>
        <v/>
      </c>
      <c r="R47" s="296" t="str">
        <f>IF($A47&lt;&gt;"",IF(INDEX(BDHK2,MATCH($A47,DiemHKII!$B$4:$B$58,0),INDEX($AD$9:$AF$22,MATCH(R$7,$AD$9:$AD$22,0),2))&lt;&gt;"",INDEX(BDHK2,MATCH($A47,DiemHKII!$B$4:$B$58,0),INDEX($AD$9:$AF$22,MATCH(R$7,$AD$9:$AD$22,0),3)),""),"")</f>
        <v/>
      </c>
      <c r="S47" s="296" t="str">
        <f t="shared" si="8"/>
        <v/>
      </c>
      <c r="T47" s="295" t="str">
        <f>IF($A47&lt;&gt;"",IF(INDEX(BDHK2,MATCH($A47,DiemHKII!$B$4:$B$58,0),INDEX($AD$9:$AF$22,MATCH(T$7,$AD$9:$AD$22,0),2))&lt;&gt;"",INDEX(BDHK2,MATCH($A47,DiemHKII!$B$4:$B$58,0),INDEX($AD$9:$AF$22,MATCH(T$7,$AD$9:$AD$22,0),3)),""),"")</f>
        <v/>
      </c>
      <c r="U47" s="297" t="str">
        <f>IF($A47&lt;&gt;"",IF(INDEX(BDHK2,MATCH($A47,DiemHKII!$B$4:$B$58,0),INDEX($AD$9:$AF$22,MATCH(U$7,$AD$9:$AD$22,0),2))&lt;&gt;"",INDEX(BDHK2,MATCH($A47,DiemHKII!$B$4:$B$58,0),INDEX($AD$9:$AF$22,MATCH(U$7,$AD$9:$AD$22,0),3)),""),"")</f>
        <v/>
      </c>
      <c r="V47" s="298" t="str">
        <f t="shared" si="9"/>
        <v/>
      </c>
      <c r="W47" s="296" t="str">
        <f t="shared" si="10"/>
        <v/>
      </c>
      <c r="X47" s="354"/>
      <c r="Y47" s="299" t="str">
        <f t="shared" si="11"/>
        <v/>
      </c>
      <c r="AA47" s="641" t="str">
        <f t="shared" si="4"/>
        <v/>
      </c>
      <c r="AG47" s="268" t="str">
        <f>IF($A47&lt;&gt;"",INDEX(DiemHKII!$B$4:$K$58,MATCH($A47,DiemHKII!$B$4:$B$58,0),2),"")</f>
        <v/>
      </c>
      <c r="AH47" s="674" t="str">
        <f t="shared" si="7"/>
        <v/>
      </c>
      <c r="AI47" s="672" t="str">
        <f t="shared" ca="1" si="6"/>
        <v/>
      </c>
    </row>
    <row r="48" spans="1:35" s="268" customFormat="1" ht="29.1" hidden="1" customHeight="1">
      <c r="A48" s="274" t="str">
        <f>IF(A47&lt;MAX(DiemHKII!$B$4:$B$58),A47+1,"")</f>
        <v/>
      </c>
      <c r="B48" s="275" t="str">
        <f>IF($A48&lt;&gt;"",PROPER(INDEX(DiemHKII!$B$4:$K$58,MATCH($A48,DiemHKII!$B$4:$B$58,0),4)),"")</f>
        <v/>
      </c>
      <c r="C48" s="276" t="str">
        <f>IF($A48&lt;&gt;"",PROPER(INDEX(DiemHKII!$B$4:$K$58,MATCH($A48,DiemHKII!$B$4:$B$58,0),5)),"")</f>
        <v/>
      </c>
      <c r="D48" s="277" t="str">
        <f>IF($A48&lt;&gt;"",IF(INDEX(DiemHKII!$B$4:$K$58,MATCH($A48,DiemHKII!$B$4:$B$58,0),8)&lt;&gt;"",INDEX(DiemHKII!$B$4:$K$58,MATCH($A48,DiemHKII!$B$4:$B$58,0),8),""),"")</f>
        <v/>
      </c>
      <c r="E48" s="277" t="str">
        <f>IF($A48&lt;&gt;"",IF(INDEX(DiemHKII!$B$4:$K$58,MATCH($A48,DiemHKII!$B$4:$B$58,0),9)&lt;&gt;"",INDEX(DiemHKII!$B$4:$K$58,MATCH($A48,DiemHKII!$B$4:$B$58,0),9),""),"")</f>
        <v/>
      </c>
      <c r="F48" s="277" t="str">
        <f>IF($A48&lt;&gt;"",IF(INDEX(DiemHKII!$B$4:$K$58,MATCH($A48,DiemHKII!$B$4:$B$58,0),10)&lt;&gt;"",INDEX(DiemHKII!$B$4:$K$58,MATCH($A48,DiemHKII!$B$4:$B$58,0),10),""),"")</f>
        <v/>
      </c>
      <c r="G48" s="443" t="str">
        <f>IF($A48&lt;&gt;"",IF(INDEX(BDHK2,MATCH($A48,DiemHKII!$B$4:$B$58,0),INDEX($AD$9:$AF$22,MATCH(G$7,$AD$9:$AD$22,0),2))&lt;&gt;"",INDEX(BDHK2,MATCH($A48,DiemHKII!$B$4:$B$58,0),INDEX($AD$9:$AF$22,MATCH(G$7,$AD$9:$AD$22,0),3)),""),"")</f>
        <v/>
      </c>
      <c r="H48" s="301" t="str">
        <f>IF($A48&lt;&gt;"",IF(INDEX(BDHK2,MATCH($A48,DiemHKII!$B$4:$B$58,0),INDEX($AD$9:$AF$22,MATCH(H$7,$AD$9:$AD$22,0),2))&lt;&gt;"",INDEX(BDHK2,MATCH($A48,DiemHKII!$B$4:$B$58,0),INDEX($AD$9:$AF$22,MATCH(H$7,$AD$9:$AD$22,0),3)),""),"")</f>
        <v/>
      </c>
      <c r="I48" s="301" t="str">
        <f>IF($A48&lt;&gt;"",IF(INDEX(BDHK2,MATCH($A48,DiemHKII!$B$4:$B$58,0),INDEX($AD$9:$AF$22,MATCH(I$7,$AD$9:$AD$22,0),2))&lt;&gt;"",INDEX(BDHK2,MATCH($A48,DiemHKII!$B$4:$B$58,0),INDEX($AD$9:$AF$22,MATCH(I$7,$AD$9:$AD$22,0),3)),""),"")</f>
        <v/>
      </c>
      <c r="J48" s="301" t="str">
        <f>IF($A48&lt;&gt;"",IF(INDEX(BDHK2,MATCH($A48,DiemHKII!$B$4:$B$58,0),INDEX($AD$9:$AF$22,MATCH(J$7,$AD$9:$AD$22,0),2))&lt;&gt;"",INDEX(BDHK2,MATCH($A48,DiemHKII!$B$4:$B$58,0),INDEX($AD$9:$AF$22,MATCH(J$7,$AD$9:$AD$22,0),3)),""),"")</f>
        <v/>
      </c>
      <c r="K48" s="301" t="str">
        <f>IF($A48&lt;&gt;"",IF(INDEX(BDHK2,MATCH($A48,DiemHKII!$B$4:$B$58,0),INDEX($AD$9:$AF$22,MATCH(K$7,$AD$9:$AD$22,0),2))&lt;&gt;"",INDEX(BDHK2,MATCH($A48,DiemHKII!$B$4:$B$58,0),INDEX($AD$9:$AF$22,MATCH(K$7,$AD$9:$AD$22,0),3)),""),"")</f>
        <v/>
      </c>
      <c r="L48" s="301" t="str">
        <f>IF($A48&lt;&gt;"",IF(INDEX(BDHK2,MATCH($A48,DiemHKII!$B$4:$B$58,0),INDEX($AD$9:$AF$22,MATCH(L$7,$AD$9:$AD$22,0),2))&lt;&gt;"",INDEX(BDHK2,MATCH($A48,DiemHKII!$B$4:$B$58,0),INDEX($AD$9:$AF$22,MATCH(L$7,$AD$9:$AD$22,0),3)),""),"")</f>
        <v/>
      </c>
      <c r="M48" s="301" t="str">
        <f>IF($A48&lt;&gt;"",IF(INDEX(BDHK2,MATCH($A48,DiemHKII!$B$4:$B$58,0),INDEX($AD$9:$AF$22,MATCH(M$7,$AD$9:$AD$22,0),2))&lt;&gt;"",INDEX(BDHK2,MATCH($A48,DiemHKII!$B$4:$B$58,0),INDEX($AD$9:$AF$22,MATCH(M$7,$AD$9:$AD$22,0),3)),""),"")</f>
        <v/>
      </c>
      <c r="N48" s="301" t="str">
        <f>IF($A48&lt;&gt;"",IF(INDEX(BDHK2,MATCH($A48,DiemHKII!$B$4:$B$58,0),INDEX($AD$9:$AF$22,MATCH(N$7,$AD$9:$AD$22,0),2))&lt;&gt;"",INDEX(BDHK2,MATCH($A48,DiemHKII!$B$4:$B$58,0),INDEX($AD$9:$AF$22,MATCH(N$7,$AD$9:$AD$22,0),3)),""),"")</f>
        <v/>
      </c>
      <c r="O48" s="301" t="str">
        <f>IF($A48&lt;&gt;"",IF(INDEX(BDHK2,MATCH($A48,DiemHKII!$B$4:$B$58,0),INDEX($AD$9:$AF$22,MATCH(O$7,$AD$9:$AD$22,0),2))&lt;&gt;"",INDEX(BDHK2,MATCH($A48,DiemHKII!$B$4:$B$58,0),INDEX($AD$9:$AF$22,MATCH(O$7,$AD$9:$AD$22,0),3)),""),"")</f>
        <v/>
      </c>
      <c r="P48" s="301" t="str">
        <f>IF($A48&lt;&gt;"",IF(INDEX(BDHK2,MATCH($A48,DiemHKII!$B$4:$B$58,0),INDEX($AD$9:$AF$22,MATCH(P$7,$AD$9:$AD$22,0),2))&lt;&gt;"",INDEX(BDHK2,MATCH($A48,DiemHKII!$B$4:$B$58,0),INDEX($AD$9:$AF$22,MATCH(P$7,$AD$9:$AD$22,0),3)),""),"")</f>
        <v/>
      </c>
      <c r="Q48" s="301" t="str">
        <f>IF($A48&lt;&gt;"",IF(INDEX(BDHK2,MATCH($A48,DiemHKII!$B$4:$B$58,0),INDEX($AD$9:$AF$22,MATCH(Q$7,$AD$9:$AD$22,0),2))&lt;&gt;"",INDEX(BDHK2,MATCH($A48,DiemHKII!$B$4:$B$58,0),INDEX($AD$9:$AF$22,MATCH(Q$7,$AD$9:$AD$22,0),3)),""),"")</f>
        <v/>
      </c>
      <c r="R48" s="279" t="str">
        <f>IF($A48&lt;&gt;"",IF(INDEX(BDHK2,MATCH($A48,DiemHKII!$B$4:$B$58,0),INDEX($AD$9:$AF$22,MATCH(R$7,$AD$9:$AD$22,0),2))&lt;&gt;"",INDEX(BDHK2,MATCH($A48,DiemHKII!$B$4:$B$58,0),INDEX($AD$9:$AF$22,MATCH(R$7,$AD$9:$AD$22,0),3)),""),"")</f>
        <v/>
      </c>
      <c r="S48" s="279" t="str">
        <f t="shared" si="8"/>
        <v/>
      </c>
      <c r="T48" s="301" t="str">
        <f>IF($A48&lt;&gt;"",IF(INDEX(BDHK2,MATCH($A48,DiemHKII!$B$4:$B$58,0),INDEX($AD$9:$AF$22,MATCH(T$7,$AD$9:$AD$22,0),2))&lt;&gt;"",INDEX(BDHK2,MATCH($A48,DiemHKII!$B$4:$B$58,0),INDEX($AD$9:$AF$22,MATCH(T$7,$AD$9:$AD$22,0),3)),""),"")</f>
        <v/>
      </c>
      <c r="U48" s="302" t="str">
        <f>IF($A48&lt;&gt;"",IF(INDEX(BDHK2,MATCH($A48,DiemHKII!$B$4:$B$58,0),INDEX($AD$9:$AF$22,MATCH(U$7,$AD$9:$AD$22,0),2))&lt;&gt;"",INDEX(BDHK2,MATCH($A48,DiemHKII!$B$4:$B$58,0),INDEX($AD$9:$AF$22,MATCH(U$7,$AD$9:$AD$22,0),3)),""),"")</f>
        <v/>
      </c>
      <c r="V48" s="278" t="str">
        <f t="shared" si="9"/>
        <v/>
      </c>
      <c r="W48" s="279" t="str">
        <f t="shared" si="10"/>
        <v/>
      </c>
      <c r="X48" s="352"/>
      <c r="Y48" s="280" t="str">
        <f t="shared" si="11"/>
        <v/>
      </c>
      <c r="AA48" s="641" t="str">
        <f t="shared" si="4"/>
        <v/>
      </c>
      <c r="AG48" s="268" t="str">
        <f>IF($A48&lt;&gt;"",INDEX(DiemHKII!$B$4:$K$58,MATCH($A48,DiemHKII!$B$4:$B$58,0),2),"")</f>
        <v/>
      </c>
      <c r="AH48" s="674" t="str">
        <f t="shared" si="7"/>
        <v/>
      </c>
      <c r="AI48" s="672" t="str">
        <f t="shared" ca="1" si="6"/>
        <v/>
      </c>
    </row>
    <row r="49" spans="1:35" s="268" customFormat="1" ht="29.1" hidden="1" customHeight="1">
      <c r="A49" s="281" t="str">
        <f>IF(A48&lt;MAX(DiemHKII!$B$4:$B$58),A48+1,"")</f>
        <v/>
      </c>
      <c r="B49" s="282" t="str">
        <f>IF($A49&lt;&gt;"",PROPER(INDEX(DiemHKII!$B$4:$K$58,MATCH($A49,DiemHKII!$B$4:$B$58,0),4)),"")</f>
        <v/>
      </c>
      <c r="C49" s="283" t="str">
        <f>IF($A49&lt;&gt;"",PROPER(INDEX(DiemHKII!$B$4:$K$58,MATCH($A49,DiemHKII!$B$4:$B$58,0),5)),"")</f>
        <v/>
      </c>
      <c r="D49" s="284" t="str">
        <f>IF($A49&lt;&gt;"",IF(INDEX(DiemHKII!$B$4:$K$58,MATCH($A49,DiemHKII!$B$4:$B$58,0),8)&lt;&gt;"",INDEX(DiemHKII!$B$4:$K$58,MATCH($A49,DiemHKII!$B$4:$B$58,0),8),""),"")</f>
        <v/>
      </c>
      <c r="E49" s="284" t="str">
        <f>IF($A49&lt;&gt;"",IF(INDEX(DiemHKII!$B$4:$K$58,MATCH($A49,DiemHKII!$B$4:$B$58,0),9)&lt;&gt;"",INDEX(DiemHKII!$B$4:$K$58,MATCH($A49,DiemHKII!$B$4:$B$58,0),9),""),"")</f>
        <v/>
      </c>
      <c r="F49" s="284" t="str">
        <f>IF($A49&lt;&gt;"",IF(INDEX(DiemHKII!$B$4:$K$58,MATCH($A49,DiemHKII!$B$4:$B$58,0),10)&lt;&gt;"",INDEX(DiemHKII!$B$4:$K$58,MATCH($A49,DiemHKII!$B$4:$B$58,0),10),""),"")</f>
        <v/>
      </c>
      <c r="G49" s="285" t="str">
        <f>IF($A49&lt;&gt;"",IF(INDEX(BDHK2,MATCH($A49,DiemHKII!$B$4:$B$58,0),INDEX($AD$9:$AF$22,MATCH(G$7,$AD$9:$AD$22,0),2))&lt;&gt;"",INDEX(BDHK2,MATCH($A49,DiemHKII!$B$4:$B$58,0),INDEX($AD$9:$AF$22,MATCH(G$7,$AD$9:$AD$22,0),3)),""),"")</f>
        <v/>
      </c>
      <c r="H49" s="286" t="str">
        <f>IF($A49&lt;&gt;"",IF(INDEX(BDHK2,MATCH($A49,DiemHKII!$B$4:$B$58,0),INDEX($AD$9:$AF$22,MATCH(H$7,$AD$9:$AD$22,0),2))&lt;&gt;"",INDEX(BDHK2,MATCH($A49,DiemHKII!$B$4:$B$58,0),INDEX($AD$9:$AF$22,MATCH(H$7,$AD$9:$AD$22,0),3)),""),"")</f>
        <v/>
      </c>
      <c r="I49" s="286" t="str">
        <f>IF($A49&lt;&gt;"",IF(INDEX(BDHK2,MATCH($A49,DiemHKII!$B$4:$B$58,0),INDEX($AD$9:$AF$22,MATCH(I$7,$AD$9:$AD$22,0),2))&lt;&gt;"",INDEX(BDHK2,MATCH($A49,DiemHKII!$B$4:$B$58,0),INDEX($AD$9:$AF$22,MATCH(I$7,$AD$9:$AD$22,0),3)),""),"")</f>
        <v/>
      </c>
      <c r="J49" s="286" t="str">
        <f>IF($A49&lt;&gt;"",IF(INDEX(BDHK2,MATCH($A49,DiemHKII!$B$4:$B$58,0),INDEX($AD$9:$AF$22,MATCH(J$7,$AD$9:$AD$22,0),2))&lt;&gt;"",INDEX(BDHK2,MATCH($A49,DiemHKII!$B$4:$B$58,0),INDEX($AD$9:$AF$22,MATCH(J$7,$AD$9:$AD$22,0),3)),""),"")</f>
        <v/>
      </c>
      <c r="K49" s="286" t="str">
        <f>IF($A49&lt;&gt;"",IF(INDEX(BDHK2,MATCH($A49,DiemHKII!$B$4:$B$58,0),INDEX($AD$9:$AF$22,MATCH(K$7,$AD$9:$AD$22,0),2))&lt;&gt;"",INDEX(BDHK2,MATCH($A49,DiemHKII!$B$4:$B$58,0),INDEX($AD$9:$AF$22,MATCH(K$7,$AD$9:$AD$22,0),3)),""),"")</f>
        <v/>
      </c>
      <c r="L49" s="286" t="str">
        <f>IF($A49&lt;&gt;"",IF(INDEX(BDHK2,MATCH($A49,DiemHKII!$B$4:$B$58,0),INDEX($AD$9:$AF$22,MATCH(L$7,$AD$9:$AD$22,0),2))&lt;&gt;"",INDEX(BDHK2,MATCH($A49,DiemHKII!$B$4:$B$58,0),INDEX($AD$9:$AF$22,MATCH(L$7,$AD$9:$AD$22,0),3)),""),"")</f>
        <v/>
      </c>
      <c r="M49" s="286" t="str">
        <f>IF($A49&lt;&gt;"",IF(INDEX(BDHK2,MATCH($A49,DiemHKII!$B$4:$B$58,0),INDEX($AD$9:$AF$22,MATCH(M$7,$AD$9:$AD$22,0),2))&lt;&gt;"",INDEX(BDHK2,MATCH($A49,DiemHKII!$B$4:$B$58,0),INDEX($AD$9:$AF$22,MATCH(M$7,$AD$9:$AD$22,0),3)),""),"")</f>
        <v/>
      </c>
      <c r="N49" s="286" t="str">
        <f>IF($A49&lt;&gt;"",IF(INDEX(BDHK2,MATCH($A49,DiemHKII!$B$4:$B$58,0),INDEX($AD$9:$AF$22,MATCH(N$7,$AD$9:$AD$22,0),2))&lt;&gt;"",INDEX(BDHK2,MATCH($A49,DiemHKII!$B$4:$B$58,0),INDEX($AD$9:$AF$22,MATCH(N$7,$AD$9:$AD$22,0),3)),""),"")</f>
        <v/>
      </c>
      <c r="O49" s="286" t="str">
        <f>IF($A49&lt;&gt;"",IF(INDEX(BDHK2,MATCH($A49,DiemHKII!$B$4:$B$58,0),INDEX($AD$9:$AF$22,MATCH(O$7,$AD$9:$AD$22,0),2))&lt;&gt;"",INDEX(BDHK2,MATCH($A49,DiemHKII!$B$4:$B$58,0),INDEX($AD$9:$AF$22,MATCH(O$7,$AD$9:$AD$22,0),3)),""),"")</f>
        <v/>
      </c>
      <c r="P49" s="286" t="str">
        <f>IF($A49&lt;&gt;"",IF(INDEX(BDHK2,MATCH($A49,DiemHKII!$B$4:$B$58,0),INDEX($AD$9:$AF$22,MATCH(P$7,$AD$9:$AD$22,0),2))&lt;&gt;"",INDEX(BDHK2,MATCH($A49,DiemHKII!$B$4:$B$58,0),INDEX($AD$9:$AF$22,MATCH(P$7,$AD$9:$AD$22,0),3)),""),"")</f>
        <v/>
      </c>
      <c r="Q49" s="286" t="str">
        <f>IF($A49&lt;&gt;"",IF(INDEX(BDHK2,MATCH($A49,DiemHKII!$B$4:$B$58,0),INDEX($AD$9:$AF$22,MATCH(Q$7,$AD$9:$AD$22,0),2))&lt;&gt;"",INDEX(BDHK2,MATCH($A49,DiemHKII!$B$4:$B$58,0),INDEX($AD$9:$AF$22,MATCH(Q$7,$AD$9:$AD$22,0),3)),""),"")</f>
        <v/>
      </c>
      <c r="R49" s="464" t="str">
        <f>IF($A49&lt;&gt;"",IF(INDEX(BDHK2,MATCH($A49,DiemHKII!$B$4:$B$58,0),INDEX($AD$9:$AF$22,MATCH(R$7,$AD$9:$AD$22,0),2))&lt;&gt;"",INDEX(BDHK2,MATCH($A49,DiemHKII!$B$4:$B$58,0),INDEX($AD$9:$AF$22,MATCH(R$7,$AD$9:$AD$22,0),3)),""),"")</f>
        <v/>
      </c>
      <c r="S49" s="464" t="str">
        <f t="shared" si="8"/>
        <v/>
      </c>
      <c r="T49" s="286" t="str">
        <f>IF($A49&lt;&gt;"",IF(INDEX(BDHK2,MATCH($A49,DiemHKII!$B$4:$B$58,0),INDEX($AD$9:$AF$22,MATCH(T$7,$AD$9:$AD$22,0),2))&lt;&gt;"",INDEX(BDHK2,MATCH($A49,DiemHKII!$B$4:$B$58,0),INDEX($AD$9:$AF$22,MATCH(T$7,$AD$9:$AD$22,0),3)),""),"")</f>
        <v/>
      </c>
      <c r="U49" s="287" t="str">
        <f>IF($A49&lt;&gt;"",IF(INDEX(BDHK2,MATCH($A49,DiemHKII!$B$4:$B$58,0),INDEX($AD$9:$AF$22,MATCH(U$7,$AD$9:$AD$22,0),2))&lt;&gt;"",INDEX(BDHK2,MATCH($A49,DiemHKII!$B$4:$B$58,0),INDEX($AD$9:$AF$22,MATCH(U$7,$AD$9:$AD$22,0),3)),""),"")</f>
        <v/>
      </c>
      <c r="V49" s="288" t="str">
        <f t="shared" si="9"/>
        <v/>
      </c>
      <c r="W49" s="464" t="str">
        <f t="shared" si="10"/>
        <v/>
      </c>
      <c r="X49" s="353"/>
      <c r="Y49" s="289" t="str">
        <f t="shared" si="11"/>
        <v/>
      </c>
      <c r="AA49" s="641" t="str">
        <f t="shared" si="4"/>
        <v/>
      </c>
      <c r="AG49" s="268" t="str">
        <f>IF($A49&lt;&gt;"",INDEX(DiemHKII!$B$4:$K$58,MATCH($A49,DiemHKII!$B$4:$B$58,0),2),"")</f>
        <v/>
      </c>
      <c r="AH49" s="674" t="str">
        <f t="shared" si="7"/>
        <v/>
      </c>
      <c r="AI49" s="672" t="str">
        <f t="shared" ca="1" si="6"/>
        <v/>
      </c>
    </row>
    <row r="50" spans="1:35" s="268" customFormat="1" ht="29.1" hidden="1" customHeight="1">
      <c r="A50" s="281" t="str">
        <f>IF(A49&lt;MAX(DiemHKII!$B$4:$B$58),A49+1,"")</f>
        <v/>
      </c>
      <c r="B50" s="282" t="str">
        <f>IF($A50&lt;&gt;"",PROPER(INDEX(DiemHKII!$B$4:$K$58,MATCH($A50,DiemHKII!$B$4:$B$58,0),4)),"")</f>
        <v/>
      </c>
      <c r="C50" s="283" t="str">
        <f>IF($A50&lt;&gt;"",PROPER(INDEX(DiemHKII!$B$4:$K$58,MATCH($A50,DiemHKII!$B$4:$B$58,0),5)),"")</f>
        <v/>
      </c>
      <c r="D50" s="284" t="str">
        <f>IF($A50&lt;&gt;"",IF(INDEX(DiemHKII!$B$4:$K$58,MATCH($A50,DiemHKII!$B$4:$B$58,0),8)&lt;&gt;"",INDEX(DiemHKII!$B$4:$K$58,MATCH($A50,DiemHKII!$B$4:$B$58,0),8),""),"")</f>
        <v/>
      </c>
      <c r="E50" s="284" t="str">
        <f>IF($A50&lt;&gt;"",IF(INDEX(DiemHKII!$B$4:$K$58,MATCH($A50,DiemHKII!$B$4:$B$58,0),9)&lt;&gt;"",INDEX(DiemHKII!$B$4:$K$58,MATCH($A50,DiemHKII!$B$4:$B$58,0),9),""),"")</f>
        <v/>
      </c>
      <c r="F50" s="284" t="str">
        <f>IF($A50&lt;&gt;"",IF(INDEX(DiemHKII!$B$4:$K$58,MATCH($A50,DiemHKII!$B$4:$B$58,0),10)&lt;&gt;"",INDEX(DiemHKII!$B$4:$K$58,MATCH($A50,DiemHKII!$B$4:$B$58,0),10),""),"")</f>
        <v/>
      </c>
      <c r="G50" s="285" t="str">
        <f>IF($A50&lt;&gt;"",IF(INDEX(BDHK2,MATCH($A50,DiemHKII!$B$4:$B$58,0),INDEX($AD$9:$AF$22,MATCH(G$7,$AD$9:$AD$22,0),2))&lt;&gt;"",INDEX(BDHK2,MATCH($A50,DiemHKII!$B$4:$B$58,0),INDEX($AD$9:$AF$22,MATCH(G$7,$AD$9:$AD$22,0),3)),""),"")</f>
        <v/>
      </c>
      <c r="H50" s="286" t="str">
        <f>IF($A50&lt;&gt;"",IF(INDEX(BDHK2,MATCH($A50,DiemHKII!$B$4:$B$58,0),INDEX($AD$9:$AF$22,MATCH(H$7,$AD$9:$AD$22,0),2))&lt;&gt;"",INDEX(BDHK2,MATCH($A50,DiemHKII!$B$4:$B$58,0),INDEX($AD$9:$AF$22,MATCH(H$7,$AD$9:$AD$22,0),3)),""),"")</f>
        <v/>
      </c>
      <c r="I50" s="286" t="str">
        <f>IF($A50&lt;&gt;"",IF(INDEX(BDHK2,MATCH($A50,DiemHKII!$B$4:$B$58,0),INDEX($AD$9:$AF$22,MATCH(I$7,$AD$9:$AD$22,0),2))&lt;&gt;"",INDEX(BDHK2,MATCH($A50,DiemHKII!$B$4:$B$58,0),INDEX($AD$9:$AF$22,MATCH(I$7,$AD$9:$AD$22,0),3)),""),"")</f>
        <v/>
      </c>
      <c r="J50" s="286" t="str">
        <f>IF($A50&lt;&gt;"",IF(INDEX(BDHK2,MATCH($A50,DiemHKII!$B$4:$B$58,0),INDEX($AD$9:$AF$22,MATCH(J$7,$AD$9:$AD$22,0),2))&lt;&gt;"",INDEX(BDHK2,MATCH($A50,DiemHKII!$B$4:$B$58,0),INDEX($AD$9:$AF$22,MATCH(J$7,$AD$9:$AD$22,0),3)),""),"")</f>
        <v/>
      </c>
      <c r="K50" s="286" t="str">
        <f>IF($A50&lt;&gt;"",IF(INDEX(BDHK2,MATCH($A50,DiemHKII!$B$4:$B$58,0),INDEX($AD$9:$AF$22,MATCH(K$7,$AD$9:$AD$22,0),2))&lt;&gt;"",INDEX(BDHK2,MATCH($A50,DiemHKII!$B$4:$B$58,0),INDEX($AD$9:$AF$22,MATCH(K$7,$AD$9:$AD$22,0),3)),""),"")</f>
        <v/>
      </c>
      <c r="L50" s="286" t="str">
        <f>IF($A50&lt;&gt;"",IF(INDEX(BDHK2,MATCH($A50,DiemHKII!$B$4:$B$58,0),INDEX($AD$9:$AF$22,MATCH(L$7,$AD$9:$AD$22,0),2))&lt;&gt;"",INDEX(BDHK2,MATCH($A50,DiemHKII!$B$4:$B$58,0),INDEX($AD$9:$AF$22,MATCH(L$7,$AD$9:$AD$22,0),3)),""),"")</f>
        <v/>
      </c>
      <c r="M50" s="286" t="str">
        <f>IF($A50&lt;&gt;"",IF(INDEX(BDHK2,MATCH($A50,DiemHKII!$B$4:$B$58,0),INDEX($AD$9:$AF$22,MATCH(M$7,$AD$9:$AD$22,0),2))&lt;&gt;"",INDEX(BDHK2,MATCH($A50,DiemHKII!$B$4:$B$58,0),INDEX($AD$9:$AF$22,MATCH(M$7,$AD$9:$AD$22,0),3)),""),"")</f>
        <v/>
      </c>
      <c r="N50" s="286" t="str">
        <f>IF($A50&lt;&gt;"",IF(INDEX(BDHK2,MATCH($A50,DiemHKII!$B$4:$B$58,0),INDEX($AD$9:$AF$22,MATCH(N$7,$AD$9:$AD$22,0),2))&lt;&gt;"",INDEX(BDHK2,MATCH($A50,DiemHKII!$B$4:$B$58,0),INDEX($AD$9:$AF$22,MATCH(N$7,$AD$9:$AD$22,0),3)),""),"")</f>
        <v/>
      </c>
      <c r="O50" s="286" t="str">
        <f>IF($A50&lt;&gt;"",IF(INDEX(BDHK2,MATCH($A50,DiemHKII!$B$4:$B$58,0),INDEX($AD$9:$AF$22,MATCH(O$7,$AD$9:$AD$22,0),2))&lt;&gt;"",INDEX(BDHK2,MATCH($A50,DiemHKII!$B$4:$B$58,0),INDEX($AD$9:$AF$22,MATCH(O$7,$AD$9:$AD$22,0),3)),""),"")</f>
        <v/>
      </c>
      <c r="P50" s="286" t="str">
        <f>IF($A50&lt;&gt;"",IF(INDEX(BDHK2,MATCH($A50,DiemHKII!$B$4:$B$58,0),INDEX($AD$9:$AF$22,MATCH(P$7,$AD$9:$AD$22,0),2))&lt;&gt;"",INDEX(BDHK2,MATCH($A50,DiemHKII!$B$4:$B$58,0),INDEX($AD$9:$AF$22,MATCH(P$7,$AD$9:$AD$22,0),3)),""),"")</f>
        <v/>
      </c>
      <c r="Q50" s="286" t="str">
        <f>IF($A50&lt;&gt;"",IF(INDEX(BDHK2,MATCH($A50,DiemHKII!$B$4:$B$58,0),INDEX($AD$9:$AF$22,MATCH(Q$7,$AD$9:$AD$22,0),2))&lt;&gt;"",INDEX(BDHK2,MATCH($A50,DiemHKII!$B$4:$B$58,0),INDEX($AD$9:$AF$22,MATCH(Q$7,$AD$9:$AD$22,0),3)),""),"")</f>
        <v/>
      </c>
      <c r="R50" s="464" t="str">
        <f>IF($A50&lt;&gt;"",IF(INDEX(BDHK2,MATCH($A50,DiemHKII!$B$4:$B$58,0),INDEX($AD$9:$AF$22,MATCH(R$7,$AD$9:$AD$22,0),2))&lt;&gt;"",INDEX(BDHK2,MATCH($A50,DiemHKII!$B$4:$B$58,0),INDEX($AD$9:$AF$22,MATCH(R$7,$AD$9:$AD$22,0),3)),""),"")</f>
        <v/>
      </c>
      <c r="S50" s="464" t="str">
        <f t="shared" si="8"/>
        <v/>
      </c>
      <c r="T50" s="286" t="str">
        <f>IF($A50&lt;&gt;"",IF(INDEX(BDHK2,MATCH($A50,DiemHKII!$B$4:$B$58,0),INDEX($AD$9:$AF$22,MATCH(T$7,$AD$9:$AD$22,0),2))&lt;&gt;"",INDEX(BDHK2,MATCH($A50,DiemHKII!$B$4:$B$58,0),INDEX($AD$9:$AF$22,MATCH(T$7,$AD$9:$AD$22,0),3)),""),"")</f>
        <v/>
      </c>
      <c r="U50" s="287" t="str">
        <f>IF($A50&lt;&gt;"",IF(INDEX(BDHK2,MATCH($A50,DiemHKII!$B$4:$B$58,0),INDEX($AD$9:$AF$22,MATCH(U$7,$AD$9:$AD$22,0),2))&lt;&gt;"",INDEX(BDHK2,MATCH($A50,DiemHKII!$B$4:$B$58,0),INDEX($AD$9:$AF$22,MATCH(U$7,$AD$9:$AD$22,0),3)),""),"")</f>
        <v/>
      </c>
      <c r="V50" s="288" t="str">
        <f t="shared" si="9"/>
        <v/>
      </c>
      <c r="W50" s="464" t="str">
        <f t="shared" si="10"/>
        <v/>
      </c>
      <c r="X50" s="353"/>
      <c r="Y50" s="289" t="str">
        <f t="shared" si="11"/>
        <v/>
      </c>
      <c r="AA50" s="641" t="str">
        <f t="shared" si="4"/>
        <v/>
      </c>
      <c r="AG50" s="268" t="str">
        <f>IF($A50&lt;&gt;"",INDEX(DiemHKII!$B$4:$K$58,MATCH($A50,DiemHKII!$B$4:$B$58,0),2),"")</f>
        <v/>
      </c>
      <c r="AH50" s="674" t="str">
        <f t="shared" si="7"/>
        <v/>
      </c>
      <c r="AI50" s="672" t="str">
        <f t="shared" ca="1" si="6"/>
        <v/>
      </c>
    </row>
    <row r="51" spans="1:35" s="268" customFormat="1" ht="29.1" hidden="1" customHeight="1">
      <c r="A51" s="281" t="str">
        <f>IF(A50&lt;MAX(DiemHKII!$B$4:$B$58),A50+1,"")</f>
        <v/>
      </c>
      <c r="B51" s="282" t="str">
        <f>IF($A51&lt;&gt;"",PROPER(INDEX(DiemHKII!$B$4:$K$58,MATCH($A51,DiemHKII!$B$4:$B$58,0),4)),"")</f>
        <v/>
      </c>
      <c r="C51" s="283" t="str">
        <f>IF($A51&lt;&gt;"",PROPER(INDEX(DiemHKII!$B$4:$K$58,MATCH($A51,DiemHKII!$B$4:$B$58,0),5)),"")</f>
        <v/>
      </c>
      <c r="D51" s="284" t="str">
        <f>IF($A51&lt;&gt;"",IF(INDEX(DiemHKII!$B$4:$K$58,MATCH($A51,DiemHKII!$B$4:$B$58,0),8)&lt;&gt;"",INDEX(DiemHKII!$B$4:$K$58,MATCH($A51,DiemHKII!$B$4:$B$58,0),8),""),"")</f>
        <v/>
      </c>
      <c r="E51" s="284" t="str">
        <f>IF($A51&lt;&gt;"",IF(INDEX(DiemHKII!$B$4:$K$58,MATCH($A51,DiemHKII!$B$4:$B$58,0),9)&lt;&gt;"",INDEX(DiemHKII!$B$4:$K$58,MATCH($A51,DiemHKII!$B$4:$B$58,0),9),""),"")</f>
        <v/>
      </c>
      <c r="F51" s="284" t="str">
        <f>IF($A51&lt;&gt;"",IF(INDEX(DiemHKII!$B$4:$K$58,MATCH($A51,DiemHKII!$B$4:$B$58,0),10)&lt;&gt;"",INDEX(DiemHKII!$B$4:$K$58,MATCH($A51,DiemHKII!$B$4:$B$58,0),10),""),"")</f>
        <v/>
      </c>
      <c r="G51" s="285" t="str">
        <f>IF($A51&lt;&gt;"",IF(INDEX(BDHK2,MATCH($A51,DiemHKII!$B$4:$B$58,0),INDEX($AD$9:$AF$22,MATCH(G$7,$AD$9:$AD$22,0),2))&lt;&gt;"",INDEX(BDHK2,MATCH($A51,DiemHKII!$B$4:$B$58,0),INDEX($AD$9:$AF$22,MATCH(G$7,$AD$9:$AD$22,0),3)),""),"")</f>
        <v/>
      </c>
      <c r="H51" s="286" t="str">
        <f>IF($A51&lt;&gt;"",IF(INDEX(BDHK2,MATCH($A51,DiemHKII!$B$4:$B$58,0),INDEX($AD$9:$AF$22,MATCH(H$7,$AD$9:$AD$22,0),2))&lt;&gt;"",INDEX(BDHK2,MATCH($A51,DiemHKII!$B$4:$B$58,0),INDEX($AD$9:$AF$22,MATCH(H$7,$AD$9:$AD$22,0),3)),""),"")</f>
        <v/>
      </c>
      <c r="I51" s="286" t="str">
        <f>IF($A51&lt;&gt;"",IF(INDEX(BDHK2,MATCH($A51,DiemHKII!$B$4:$B$58,0),INDEX($AD$9:$AF$22,MATCH(I$7,$AD$9:$AD$22,0),2))&lt;&gt;"",INDEX(BDHK2,MATCH($A51,DiemHKII!$B$4:$B$58,0),INDEX($AD$9:$AF$22,MATCH(I$7,$AD$9:$AD$22,0),3)),""),"")</f>
        <v/>
      </c>
      <c r="J51" s="286" t="str">
        <f>IF($A51&lt;&gt;"",IF(INDEX(BDHK2,MATCH($A51,DiemHKII!$B$4:$B$58,0),INDEX($AD$9:$AF$22,MATCH(J$7,$AD$9:$AD$22,0),2))&lt;&gt;"",INDEX(BDHK2,MATCH($A51,DiemHKII!$B$4:$B$58,0),INDEX($AD$9:$AF$22,MATCH(J$7,$AD$9:$AD$22,0),3)),""),"")</f>
        <v/>
      </c>
      <c r="K51" s="286" t="str">
        <f>IF($A51&lt;&gt;"",IF(INDEX(BDHK2,MATCH($A51,DiemHKII!$B$4:$B$58,0),INDEX($AD$9:$AF$22,MATCH(K$7,$AD$9:$AD$22,0),2))&lt;&gt;"",INDEX(BDHK2,MATCH($A51,DiemHKII!$B$4:$B$58,0),INDEX($AD$9:$AF$22,MATCH(K$7,$AD$9:$AD$22,0),3)),""),"")</f>
        <v/>
      </c>
      <c r="L51" s="286" t="str">
        <f>IF($A51&lt;&gt;"",IF(INDEX(BDHK2,MATCH($A51,DiemHKII!$B$4:$B$58,0),INDEX($AD$9:$AF$22,MATCH(L$7,$AD$9:$AD$22,0),2))&lt;&gt;"",INDEX(BDHK2,MATCH($A51,DiemHKII!$B$4:$B$58,0),INDEX($AD$9:$AF$22,MATCH(L$7,$AD$9:$AD$22,0),3)),""),"")</f>
        <v/>
      </c>
      <c r="M51" s="286" t="str">
        <f>IF($A51&lt;&gt;"",IF(INDEX(BDHK2,MATCH($A51,DiemHKII!$B$4:$B$58,0),INDEX($AD$9:$AF$22,MATCH(M$7,$AD$9:$AD$22,0),2))&lt;&gt;"",INDEX(BDHK2,MATCH($A51,DiemHKII!$B$4:$B$58,0),INDEX($AD$9:$AF$22,MATCH(M$7,$AD$9:$AD$22,0),3)),""),"")</f>
        <v/>
      </c>
      <c r="N51" s="286" t="str">
        <f>IF($A51&lt;&gt;"",IF(INDEX(BDHK2,MATCH($A51,DiemHKII!$B$4:$B$58,0),INDEX($AD$9:$AF$22,MATCH(N$7,$AD$9:$AD$22,0),2))&lt;&gt;"",INDEX(BDHK2,MATCH($A51,DiemHKII!$B$4:$B$58,0),INDEX($AD$9:$AF$22,MATCH(N$7,$AD$9:$AD$22,0),3)),""),"")</f>
        <v/>
      </c>
      <c r="O51" s="286" t="str">
        <f>IF($A51&lt;&gt;"",IF(INDEX(BDHK2,MATCH($A51,DiemHKII!$B$4:$B$58,0),INDEX($AD$9:$AF$22,MATCH(O$7,$AD$9:$AD$22,0),2))&lt;&gt;"",INDEX(BDHK2,MATCH($A51,DiemHKII!$B$4:$B$58,0),INDEX($AD$9:$AF$22,MATCH(O$7,$AD$9:$AD$22,0),3)),""),"")</f>
        <v/>
      </c>
      <c r="P51" s="286" t="str">
        <f>IF($A51&lt;&gt;"",IF(INDEX(BDHK2,MATCH($A51,DiemHKII!$B$4:$B$58,0),INDEX($AD$9:$AF$22,MATCH(P$7,$AD$9:$AD$22,0),2))&lt;&gt;"",INDEX(BDHK2,MATCH($A51,DiemHKII!$B$4:$B$58,0),INDEX($AD$9:$AF$22,MATCH(P$7,$AD$9:$AD$22,0),3)),""),"")</f>
        <v/>
      </c>
      <c r="Q51" s="286" t="str">
        <f>IF($A51&lt;&gt;"",IF(INDEX(BDHK2,MATCH($A51,DiemHKII!$B$4:$B$58,0),INDEX($AD$9:$AF$22,MATCH(Q$7,$AD$9:$AD$22,0),2))&lt;&gt;"",INDEX(BDHK2,MATCH($A51,DiemHKII!$B$4:$B$58,0),INDEX($AD$9:$AF$22,MATCH(Q$7,$AD$9:$AD$22,0),3)),""),"")</f>
        <v/>
      </c>
      <c r="R51" s="464" t="str">
        <f>IF($A51&lt;&gt;"",IF(INDEX(BDHK2,MATCH($A51,DiemHKII!$B$4:$B$58,0),INDEX($AD$9:$AF$22,MATCH(R$7,$AD$9:$AD$22,0),2))&lt;&gt;"",INDEX(BDHK2,MATCH($A51,DiemHKII!$B$4:$B$58,0),INDEX($AD$9:$AF$22,MATCH(R$7,$AD$9:$AD$22,0),3)),""),"")</f>
        <v/>
      </c>
      <c r="S51" s="464" t="str">
        <f t="shared" si="8"/>
        <v/>
      </c>
      <c r="T51" s="286" t="str">
        <f>IF($A51&lt;&gt;"",IF(INDEX(BDHK2,MATCH($A51,DiemHKII!$B$4:$B$58,0),INDEX($AD$9:$AF$22,MATCH(T$7,$AD$9:$AD$22,0),2))&lt;&gt;"",INDEX(BDHK2,MATCH($A51,DiemHKII!$B$4:$B$58,0),INDEX($AD$9:$AF$22,MATCH(T$7,$AD$9:$AD$22,0),3)),""),"")</f>
        <v/>
      </c>
      <c r="U51" s="287" t="str">
        <f>IF($A51&lt;&gt;"",IF(INDEX(BDHK2,MATCH($A51,DiemHKII!$B$4:$B$58,0),INDEX($AD$9:$AF$22,MATCH(U$7,$AD$9:$AD$22,0),2))&lt;&gt;"",INDEX(BDHK2,MATCH($A51,DiemHKII!$B$4:$B$58,0),INDEX($AD$9:$AF$22,MATCH(U$7,$AD$9:$AD$22,0),3)),""),"")</f>
        <v/>
      </c>
      <c r="V51" s="288" t="str">
        <f t="shared" si="9"/>
        <v/>
      </c>
      <c r="W51" s="464" t="str">
        <f t="shared" si="10"/>
        <v/>
      </c>
      <c r="X51" s="353"/>
      <c r="Y51" s="289" t="str">
        <f t="shared" si="11"/>
        <v/>
      </c>
      <c r="AA51" s="641" t="str">
        <f t="shared" si="4"/>
        <v/>
      </c>
      <c r="AG51" s="268" t="str">
        <f>IF($A51&lt;&gt;"",INDEX(DiemHKII!$B$4:$K$58,MATCH($A51,DiemHKII!$B$4:$B$58,0),2),"")</f>
        <v/>
      </c>
      <c r="AH51" s="674" t="str">
        <f t="shared" si="7"/>
        <v/>
      </c>
      <c r="AI51" s="672" t="str">
        <f t="shared" ca="1" si="6"/>
        <v/>
      </c>
    </row>
    <row r="52" spans="1:35" s="268" customFormat="1" ht="29.1" hidden="1" customHeight="1" thickBot="1">
      <c r="A52" s="290" t="str">
        <f>IF(A51&lt;MAX(DiemHKII!$B$4:$B$58),A51+1,"")</f>
        <v/>
      </c>
      <c r="B52" s="291" t="str">
        <f>IF($A52&lt;&gt;"",PROPER(INDEX(DiemHKII!$B$4:$K$58,MATCH($A52,DiemHKII!$B$4:$B$58,0),4)),"")</f>
        <v/>
      </c>
      <c r="C52" s="292" t="str">
        <f>IF($A52&lt;&gt;"",PROPER(INDEX(DiemHKII!$B$4:$K$58,MATCH($A52,DiemHKII!$B$4:$B$58,0),5)),"")</f>
        <v/>
      </c>
      <c r="D52" s="293" t="str">
        <f>IF($A52&lt;&gt;"",IF(INDEX(DiemHKII!$B$4:$K$58,MATCH($A52,DiemHKII!$B$4:$B$58,0),8)&lt;&gt;"",INDEX(DiemHKII!$B$4:$K$58,MATCH($A52,DiemHKII!$B$4:$B$58,0),8),""),"")</f>
        <v/>
      </c>
      <c r="E52" s="293" t="str">
        <f>IF($A52&lt;&gt;"",IF(INDEX(DiemHKII!$B$4:$K$58,MATCH($A52,DiemHKII!$B$4:$B$58,0),9)&lt;&gt;"",INDEX(DiemHKII!$B$4:$K$58,MATCH($A52,DiemHKII!$B$4:$B$58,0),9),""),"")</f>
        <v/>
      </c>
      <c r="F52" s="293" t="str">
        <f>IF($A52&lt;&gt;"",IF(INDEX(DiemHKII!$B$4:$K$58,MATCH($A52,DiemHKII!$B$4:$B$58,0),10)&lt;&gt;"",INDEX(DiemHKII!$B$4:$K$58,MATCH($A52,DiemHKII!$B$4:$B$58,0),10),""),"")</f>
        <v/>
      </c>
      <c r="G52" s="294" t="str">
        <f>IF($A52&lt;&gt;"",IF(INDEX(BDHK2,MATCH($A52,DiemHKII!$B$4:$B$58,0),INDEX($AD$9:$AF$22,MATCH(G$7,$AD$9:$AD$22,0),2))&lt;&gt;"",INDEX(BDHK2,MATCH($A52,DiemHKII!$B$4:$B$58,0),INDEX($AD$9:$AF$22,MATCH(G$7,$AD$9:$AD$22,0),3)),""),"")</f>
        <v/>
      </c>
      <c r="H52" s="295" t="str">
        <f>IF($A52&lt;&gt;"",IF(INDEX(BDHK2,MATCH($A52,DiemHKII!$B$4:$B$58,0),INDEX($AD$9:$AF$22,MATCH(H$7,$AD$9:$AD$22,0),2))&lt;&gt;"",INDEX(BDHK2,MATCH($A52,DiemHKII!$B$4:$B$58,0),INDEX($AD$9:$AF$22,MATCH(H$7,$AD$9:$AD$22,0),3)),""),"")</f>
        <v/>
      </c>
      <c r="I52" s="295" t="str">
        <f>IF($A52&lt;&gt;"",IF(INDEX(BDHK2,MATCH($A52,DiemHKII!$B$4:$B$58,0),INDEX($AD$9:$AF$22,MATCH(I$7,$AD$9:$AD$22,0),2))&lt;&gt;"",INDEX(BDHK2,MATCH($A52,DiemHKII!$B$4:$B$58,0),INDEX($AD$9:$AF$22,MATCH(I$7,$AD$9:$AD$22,0),3)),""),"")</f>
        <v/>
      </c>
      <c r="J52" s="295" t="str">
        <f>IF($A52&lt;&gt;"",IF(INDEX(BDHK2,MATCH($A52,DiemHKII!$B$4:$B$58,0),INDEX($AD$9:$AF$22,MATCH(J$7,$AD$9:$AD$22,0),2))&lt;&gt;"",INDEX(BDHK2,MATCH($A52,DiemHKII!$B$4:$B$58,0),INDEX($AD$9:$AF$22,MATCH(J$7,$AD$9:$AD$22,0),3)),""),"")</f>
        <v/>
      </c>
      <c r="K52" s="295" t="str">
        <f>IF($A52&lt;&gt;"",IF(INDEX(BDHK2,MATCH($A52,DiemHKII!$B$4:$B$58,0),INDEX($AD$9:$AF$22,MATCH(K$7,$AD$9:$AD$22,0),2))&lt;&gt;"",INDEX(BDHK2,MATCH($A52,DiemHKII!$B$4:$B$58,0),INDEX($AD$9:$AF$22,MATCH(K$7,$AD$9:$AD$22,0),3)),""),"")</f>
        <v/>
      </c>
      <c r="L52" s="295" t="str">
        <f>IF($A52&lt;&gt;"",IF(INDEX(BDHK2,MATCH($A52,DiemHKII!$B$4:$B$58,0),INDEX($AD$9:$AF$22,MATCH(L$7,$AD$9:$AD$22,0),2))&lt;&gt;"",INDEX(BDHK2,MATCH($A52,DiemHKII!$B$4:$B$58,0),INDEX($AD$9:$AF$22,MATCH(L$7,$AD$9:$AD$22,0),3)),""),"")</f>
        <v/>
      </c>
      <c r="M52" s="295" t="str">
        <f>IF($A52&lt;&gt;"",IF(INDEX(BDHK2,MATCH($A52,DiemHKII!$B$4:$B$58,0),INDEX($AD$9:$AF$22,MATCH(M$7,$AD$9:$AD$22,0),2))&lt;&gt;"",INDEX(BDHK2,MATCH($A52,DiemHKII!$B$4:$B$58,0),INDEX($AD$9:$AF$22,MATCH(M$7,$AD$9:$AD$22,0),3)),""),"")</f>
        <v/>
      </c>
      <c r="N52" s="295" t="str">
        <f>IF($A52&lt;&gt;"",IF(INDEX(BDHK2,MATCH($A52,DiemHKII!$B$4:$B$58,0),INDEX($AD$9:$AF$22,MATCH(N$7,$AD$9:$AD$22,0),2))&lt;&gt;"",INDEX(BDHK2,MATCH($A52,DiemHKII!$B$4:$B$58,0),INDEX($AD$9:$AF$22,MATCH(N$7,$AD$9:$AD$22,0),3)),""),"")</f>
        <v/>
      </c>
      <c r="O52" s="295" t="str">
        <f>IF($A52&lt;&gt;"",IF(INDEX(BDHK2,MATCH($A52,DiemHKII!$B$4:$B$58,0),INDEX($AD$9:$AF$22,MATCH(O$7,$AD$9:$AD$22,0),2))&lt;&gt;"",INDEX(BDHK2,MATCH($A52,DiemHKII!$B$4:$B$58,0),INDEX($AD$9:$AF$22,MATCH(O$7,$AD$9:$AD$22,0),3)),""),"")</f>
        <v/>
      </c>
      <c r="P52" s="295" t="str">
        <f>IF($A52&lt;&gt;"",IF(INDEX(BDHK2,MATCH($A52,DiemHKII!$B$4:$B$58,0),INDEX($AD$9:$AF$22,MATCH(P$7,$AD$9:$AD$22,0),2))&lt;&gt;"",INDEX(BDHK2,MATCH($A52,DiemHKII!$B$4:$B$58,0),INDEX($AD$9:$AF$22,MATCH(P$7,$AD$9:$AD$22,0),3)),""),"")</f>
        <v/>
      </c>
      <c r="Q52" s="295" t="str">
        <f>IF($A52&lt;&gt;"",IF(INDEX(BDHK2,MATCH($A52,DiemHKII!$B$4:$B$58,0),INDEX($AD$9:$AF$22,MATCH(Q$7,$AD$9:$AD$22,0),2))&lt;&gt;"",INDEX(BDHK2,MATCH($A52,DiemHKII!$B$4:$B$58,0),INDEX($AD$9:$AF$22,MATCH(Q$7,$AD$9:$AD$22,0),3)),""),"")</f>
        <v/>
      </c>
      <c r="R52" s="296" t="str">
        <f>IF($A52&lt;&gt;"",IF(INDEX(BDHK2,MATCH($A52,DiemHKII!$B$4:$B$58,0),INDEX($AD$9:$AF$22,MATCH(R$7,$AD$9:$AD$22,0),2))&lt;&gt;"",INDEX(BDHK2,MATCH($A52,DiemHKII!$B$4:$B$58,0),INDEX($AD$9:$AF$22,MATCH(R$7,$AD$9:$AD$22,0),3)),""),"")</f>
        <v/>
      </c>
      <c r="S52" s="296" t="str">
        <f t="shared" si="8"/>
        <v/>
      </c>
      <c r="T52" s="295" t="str">
        <f>IF($A52&lt;&gt;"",IF(INDEX(BDHK2,MATCH($A52,DiemHKII!$B$4:$B$58,0),INDEX($AD$9:$AF$22,MATCH(T$7,$AD$9:$AD$22,0),2))&lt;&gt;"",INDEX(BDHK2,MATCH($A52,DiemHKII!$B$4:$B$58,0),INDEX($AD$9:$AF$22,MATCH(T$7,$AD$9:$AD$22,0),3)),""),"")</f>
        <v/>
      </c>
      <c r="U52" s="297" t="str">
        <f>IF($A52&lt;&gt;"",IF(INDEX(BDHK2,MATCH($A52,DiemHKII!$B$4:$B$58,0),INDEX($AD$9:$AF$22,MATCH(U$7,$AD$9:$AD$22,0),2))&lt;&gt;"",INDEX(BDHK2,MATCH($A52,DiemHKII!$B$4:$B$58,0),INDEX($AD$9:$AF$22,MATCH(U$7,$AD$9:$AD$22,0),3)),""),"")</f>
        <v/>
      </c>
      <c r="V52" s="298" t="str">
        <f t="shared" si="9"/>
        <v/>
      </c>
      <c r="W52" s="296" t="str">
        <f t="shared" si="10"/>
        <v/>
      </c>
      <c r="X52" s="354"/>
      <c r="Y52" s="299" t="str">
        <f t="shared" si="11"/>
        <v/>
      </c>
      <c r="AA52" s="641" t="str">
        <f t="shared" si="4"/>
        <v/>
      </c>
      <c r="AG52" s="268" t="str">
        <f>IF($A52&lt;&gt;"",INDEX(DiemHKII!$B$4:$K$58,MATCH($A52,DiemHKII!$B$4:$B$58,0),2),"")</f>
        <v/>
      </c>
      <c r="AH52" s="674" t="str">
        <f t="shared" si="7"/>
        <v/>
      </c>
      <c r="AI52" s="672" t="str">
        <f t="shared" ca="1" si="6"/>
        <v/>
      </c>
    </row>
    <row r="53" spans="1:35" s="268" customFormat="1" ht="29.1" hidden="1" customHeight="1">
      <c r="A53" s="274" t="str">
        <f>IF(A52&lt;MAX(DiemHKII!$B$4:$B$58),A52+1,"")</f>
        <v/>
      </c>
      <c r="B53" s="275" t="str">
        <f>IF($A53&lt;&gt;"",PROPER(INDEX(DiemHKII!$B$4:$K$58,MATCH($A53,DiemHKII!$B$4:$B$58,0),4)),"")</f>
        <v/>
      </c>
      <c r="C53" s="276" t="str">
        <f>IF($A53&lt;&gt;"",PROPER(INDEX(DiemHKII!$B$4:$K$58,MATCH($A53,DiemHKII!$B$4:$B$58,0),5)),"")</f>
        <v/>
      </c>
      <c r="D53" s="277" t="str">
        <f>IF($A53&lt;&gt;"",IF(INDEX(DiemHKII!$B$4:$K$58,MATCH($A53,DiemHKII!$B$4:$B$58,0),8)&lt;&gt;"",INDEX(DiemHKII!$B$4:$K$58,MATCH($A53,DiemHKII!$B$4:$B$58,0),8),""),"")</f>
        <v/>
      </c>
      <c r="E53" s="277" t="str">
        <f>IF($A53&lt;&gt;"",IF(INDEX(DiemHKII!$B$4:$K$58,MATCH($A53,DiemHKII!$B$4:$B$58,0),9)&lt;&gt;"",INDEX(DiemHKII!$B$4:$K$58,MATCH($A53,DiemHKII!$B$4:$B$58,0),9),""),"")</f>
        <v/>
      </c>
      <c r="F53" s="277" t="str">
        <f>IF($A53&lt;&gt;"",IF(INDEX(DiemHKII!$B$4:$K$58,MATCH($A53,DiemHKII!$B$4:$B$58,0),10)&lt;&gt;"",INDEX(DiemHKII!$B$4:$K$58,MATCH($A53,DiemHKII!$B$4:$B$58,0),10),""),"")</f>
        <v/>
      </c>
      <c r="G53" s="443" t="str">
        <f>IF($A53&lt;&gt;"",IF(INDEX(BDHK2,MATCH($A53,DiemHKII!$B$4:$B$58,0),INDEX($AD$9:$AF$22,MATCH(G$7,$AD$9:$AD$22,0),2))&lt;&gt;"",INDEX(BDHK2,MATCH($A53,DiemHKII!$B$4:$B$58,0),INDEX($AD$9:$AF$22,MATCH(G$7,$AD$9:$AD$22,0),3)),""),"")</f>
        <v/>
      </c>
      <c r="H53" s="301" t="str">
        <f>IF($A53&lt;&gt;"",IF(INDEX(BDHK2,MATCH($A53,DiemHKII!$B$4:$B$58,0),INDEX($AD$9:$AF$22,MATCH(H$7,$AD$9:$AD$22,0),2))&lt;&gt;"",INDEX(BDHK2,MATCH($A53,DiemHKII!$B$4:$B$58,0),INDEX($AD$9:$AF$22,MATCH(H$7,$AD$9:$AD$22,0),3)),""),"")</f>
        <v/>
      </c>
      <c r="I53" s="301" t="str">
        <f>IF($A53&lt;&gt;"",IF(INDEX(BDHK2,MATCH($A53,DiemHKII!$B$4:$B$58,0),INDEX($AD$9:$AF$22,MATCH(I$7,$AD$9:$AD$22,0),2))&lt;&gt;"",INDEX(BDHK2,MATCH($A53,DiemHKII!$B$4:$B$58,0),INDEX($AD$9:$AF$22,MATCH(I$7,$AD$9:$AD$22,0),3)),""),"")</f>
        <v/>
      </c>
      <c r="J53" s="301" t="str">
        <f>IF($A53&lt;&gt;"",IF(INDEX(BDHK2,MATCH($A53,DiemHKII!$B$4:$B$58,0),INDEX($AD$9:$AF$22,MATCH(J$7,$AD$9:$AD$22,0),2))&lt;&gt;"",INDEX(BDHK2,MATCH($A53,DiemHKII!$B$4:$B$58,0),INDEX($AD$9:$AF$22,MATCH(J$7,$AD$9:$AD$22,0),3)),""),"")</f>
        <v/>
      </c>
      <c r="K53" s="301" t="str">
        <f>IF($A53&lt;&gt;"",IF(INDEX(BDHK2,MATCH($A53,DiemHKII!$B$4:$B$58,0),INDEX($AD$9:$AF$22,MATCH(K$7,$AD$9:$AD$22,0),2))&lt;&gt;"",INDEX(BDHK2,MATCH($A53,DiemHKII!$B$4:$B$58,0),INDEX($AD$9:$AF$22,MATCH(K$7,$AD$9:$AD$22,0),3)),""),"")</f>
        <v/>
      </c>
      <c r="L53" s="301" t="str">
        <f>IF($A53&lt;&gt;"",IF(INDEX(BDHK2,MATCH($A53,DiemHKII!$B$4:$B$58,0),INDEX($AD$9:$AF$22,MATCH(L$7,$AD$9:$AD$22,0),2))&lt;&gt;"",INDEX(BDHK2,MATCH($A53,DiemHKII!$B$4:$B$58,0),INDEX($AD$9:$AF$22,MATCH(L$7,$AD$9:$AD$22,0),3)),""),"")</f>
        <v/>
      </c>
      <c r="M53" s="301" t="str">
        <f>IF($A53&lt;&gt;"",IF(INDEX(BDHK2,MATCH($A53,DiemHKII!$B$4:$B$58,0),INDEX($AD$9:$AF$22,MATCH(M$7,$AD$9:$AD$22,0),2))&lt;&gt;"",INDEX(BDHK2,MATCH($A53,DiemHKII!$B$4:$B$58,0),INDEX($AD$9:$AF$22,MATCH(M$7,$AD$9:$AD$22,0),3)),""),"")</f>
        <v/>
      </c>
      <c r="N53" s="301" t="str">
        <f>IF($A53&lt;&gt;"",IF(INDEX(BDHK2,MATCH($A53,DiemHKII!$B$4:$B$58,0),INDEX($AD$9:$AF$22,MATCH(N$7,$AD$9:$AD$22,0),2))&lt;&gt;"",INDEX(BDHK2,MATCH($A53,DiemHKII!$B$4:$B$58,0),INDEX($AD$9:$AF$22,MATCH(N$7,$AD$9:$AD$22,0),3)),""),"")</f>
        <v/>
      </c>
      <c r="O53" s="301" t="str">
        <f>IF($A53&lt;&gt;"",IF(INDEX(BDHK2,MATCH($A53,DiemHKII!$B$4:$B$58,0),INDEX($AD$9:$AF$22,MATCH(O$7,$AD$9:$AD$22,0),2))&lt;&gt;"",INDEX(BDHK2,MATCH($A53,DiemHKII!$B$4:$B$58,0),INDEX($AD$9:$AF$22,MATCH(O$7,$AD$9:$AD$22,0),3)),""),"")</f>
        <v/>
      </c>
      <c r="P53" s="301" t="str">
        <f>IF($A53&lt;&gt;"",IF(INDEX(BDHK2,MATCH($A53,DiemHKII!$B$4:$B$58,0),INDEX($AD$9:$AF$22,MATCH(P$7,$AD$9:$AD$22,0),2))&lt;&gt;"",INDEX(BDHK2,MATCH($A53,DiemHKII!$B$4:$B$58,0),INDEX($AD$9:$AF$22,MATCH(P$7,$AD$9:$AD$22,0),3)),""),"")</f>
        <v/>
      </c>
      <c r="Q53" s="301" t="str">
        <f>IF($A53&lt;&gt;"",IF(INDEX(BDHK2,MATCH($A53,DiemHKII!$B$4:$B$58,0),INDEX($AD$9:$AF$22,MATCH(Q$7,$AD$9:$AD$22,0),2))&lt;&gt;"",INDEX(BDHK2,MATCH($A53,DiemHKII!$B$4:$B$58,0),INDEX($AD$9:$AF$22,MATCH(Q$7,$AD$9:$AD$22,0),3)),""),"")</f>
        <v/>
      </c>
      <c r="R53" s="279" t="str">
        <f>IF($A53&lt;&gt;"",IF(INDEX(BDHK2,MATCH($A53,DiemHKII!$B$4:$B$58,0),INDEX($AD$9:$AF$22,MATCH(R$7,$AD$9:$AD$22,0),2))&lt;&gt;"",INDEX(BDHK2,MATCH($A53,DiemHKII!$B$4:$B$58,0),INDEX($AD$9:$AF$22,MATCH(R$7,$AD$9:$AD$22,0),3)),""),"")</f>
        <v/>
      </c>
      <c r="S53" s="279" t="str">
        <f t="shared" si="8"/>
        <v/>
      </c>
      <c r="T53" s="301" t="str">
        <f>IF($A53&lt;&gt;"",IF(INDEX(BDHK2,MATCH($A53,DiemHKII!$B$4:$B$58,0),INDEX($AD$9:$AF$22,MATCH(T$7,$AD$9:$AD$22,0),2))&lt;&gt;"",INDEX(BDHK2,MATCH($A53,DiemHKII!$B$4:$B$58,0),INDEX($AD$9:$AF$22,MATCH(T$7,$AD$9:$AD$22,0),3)),""),"")</f>
        <v/>
      </c>
      <c r="U53" s="302" t="str">
        <f>IF($A53&lt;&gt;"",IF(INDEX(BDHK2,MATCH($A53,DiemHKII!$B$4:$B$58,0),INDEX($AD$9:$AF$22,MATCH(U$7,$AD$9:$AD$22,0),2))&lt;&gt;"",INDEX(BDHK2,MATCH($A53,DiemHKII!$B$4:$B$58,0),INDEX($AD$9:$AF$22,MATCH(U$7,$AD$9:$AD$22,0),3)),""),"")</f>
        <v/>
      </c>
      <c r="V53" s="278" t="str">
        <f t="shared" si="9"/>
        <v/>
      </c>
      <c r="W53" s="279" t="str">
        <f t="shared" si="10"/>
        <v/>
      </c>
      <c r="X53" s="352"/>
      <c r="Y53" s="280" t="str">
        <f t="shared" si="11"/>
        <v/>
      </c>
      <c r="AA53" s="641" t="str">
        <f t="shared" si="4"/>
        <v/>
      </c>
      <c r="AG53" s="268" t="str">
        <f>IF($A53&lt;&gt;"",INDEX(DiemHKII!$B$4:$K$58,MATCH($A53,DiemHKII!$B$4:$B$58,0),2),"")</f>
        <v/>
      </c>
      <c r="AH53" s="674" t="str">
        <f t="shared" si="7"/>
        <v/>
      </c>
      <c r="AI53" s="672" t="str">
        <f t="shared" ca="1" si="6"/>
        <v/>
      </c>
    </row>
    <row r="54" spans="1:35" s="268" customFormat="1" ht="29.1" hidden="1" customHeight="1">
      <c r="A54" s="281" t="str">
        <f>IF(A53&lt;MAX(DiemHKII!$B$4:$B$58),A53+1,"")</f>
        <v/>
      </c>
      <c r="B54" s="282" t="str">
        <f>IF($A54&lt;&gt;"",PROPER(INDEX(DiemHKII!$B$4:$K$58,MATCH($A54,DiemHKII!$B$4:$B$58,0),4)),"")</f>
        <v/>
      </c>
      <c r="C54" s="283" t="str">
        <f>IF($A54&lt;&gt;"",PROPER(INDEX(DiemHKII!$B$4:$K$58,MATCH($A54,DiemHKII!$B$4:$B$58,0),5)),"")</f>
        <v/>
      </c>
      <c r="D54" s="284" t="str">
        <f>IF($A54&lt;&gt;"",IF(INDEX(DiemHKII!$B$4:$K$58,MATCH($A54,DiemHKII!$B$4:$B$58,0),8)&lt;&gt;"",INDEX(DiemHKII!$B$4:$K$58,MATCH($A54,DiemHKII!$B$4:$B$58,0),8),""),"")</f>
        <v/>
      </c>
      <c r="E54" s="284" t="str">
        <f>IF($A54&lt;&gt;"",IF(INDEX(DiemHKII!$B$4:$K$58,MATCH($A54,DiemHKII!$B$4:$B$58,0),9)&lt;&gt;"",INDEX(DiemHKII!$B$4:$K$58,MATCH($A54,DiemHKII!$B$4:$B$58,0),9),""),"")</f>
        <v/>
      </c>
      <c r="F54" s="284" t="str">
        <f>IF($A54&lt;&gt;"",IF(INDEX(DiemHKII!$B$4:$K$58,MATCH($A54,DiemHKII!$B$4:$B$58,0),10)&lt;&gt;"",INDEX(DiemHKII!$B$4:$K$58,MATCH($A54,DiemHKII!$B$4:$B$58,0),10),""),"")</f>
        <v/>
      </c>
      <c r="G54" s="285" t="str">
        <f>IF($A54&lt;&gt;"",IF(INDEX(BDHK2,MATCH($A54,DiemHKII!$B$4:$B$58,0),INDEX($AD$9:$AF$22,MATCH(G$7,$AD$9:$AD$22,0),2))&lt;&gt;"",INDEX(BDHK2,MATCH($A54,DiemHKII!$B$4:$B$58,0),INDEX($AD$9:$AF$22,MATCH(G$7,$AD$9:$AD$22,0),3)),""),"")</f>
        <v/>
      </c>
      <c r="H54" s="286" t="str">
        <f>IF($A54&lt;&gt;"",IF(INDEX(BDHK2,MATCH($A54,DiemHKII!$B$4:$B$58,0),INDEX($AD$9:$AF$22,MATCH(H$7,$AD$9:$AD$22,0),2))&lt;&gt;"",INDEX(BDHK2,MATCH($A54,DiemHKII!$B$4:$B$58,0),INDEX($AD$9:$AF$22,MATCH(H$7,$AD$9:$AD$22,0),3)),""),"")</f>
        <v/>
      </c>
      <c r="I54" s="286" t="str">
        <f>IF($A54&lt;&gt;"",IF(INDEX(BDHK2,MATCH($A54,DiemHKII!$B$4:$B$58,0),INDEX($AD$9:$AF$22,MATCH(I$7,$AD$9:$AD$22,0),2))&lt;&gt;"",INDEX(BDHK2,MATCH($A54,DiemHKII!$B$4:$B$58,0),INDEX($AD$9:$AF$22,MATCH(I$7,$AD$9:$AD$22,0),3)),""),"")</f>
        <v/>
      </c>
      <c r="J54" s="286" t="str">
        <f>IF($A54&lt;&gt;"",IF(INDEX(BDHK2,MATCH($A54,DiemHKII!$B$4:$B$58,0),INDEX($AD$9:$AF$22,MATCH(J$7,$AD$9:$AD$22,0),2))&lt;&gt;"",INDEX(BDHK2,MATCH($A54,DiemHKII!$B$4:$B$58,0),INDEX($AD$9:$AF$22,MATCH(J$7,$AD$9:$AD$22,0),3)),""),"")</f>
        <v/>
      </c>
      <c r="K54" s="286" t="str">
        <f>IF($A54&lt;&gt;"",IF(INDEX(BDHK2,MATCH($A54,DiemHKII!$B$4:$B$58,0),INDEX($AD$9:$AF$22,MATCH(K$7,$AD$9:$AD$22,0),2))&lt;&gt;"",INDEX(BDHK2,MATCH($A54,DiemHKII!$B$4:$B$58,0),INDEX($AD$9:$AF$22,MATCH(K$7,$AD$9:$AD$22,0),3)),""),"")</f>
        <v/>
      </c>
      <c r="L54" s="286" t="str">
        <f>IF($A54&lt;&gt;"",IF(INDEX(BDHK2,MATCH($A54,DiemHKII!$B$4:$B$58,0),INDEX($AD$9:$AF$22,MATCH(L$7,$AD$9:$AD$22,0),2))&lt;&gt;"",INDEX(BDHK2,MATCH($A54,DiemHKII!$B$4:$B$58,0),INDEX($AD$9:$AF$22,MATCH(L$7,$AD$9:$AD$22,0),3)),""),"")</f>
        <v/>
      </c>
      <c r="M54" s="286" t="str">
        <f>IF($A54&lt;&gt;"",IF(INDEX(BDHK2,MATCH($A54,DiemHKII!$B$4:$B$58,0),INDEX($AD$9:$AF$22,MATCH(M$7,$AD$9:$AD$22,0),2))&lt;&gt;"",INDEX(BDHK2,MATCH($A54,DiemHKII!$B$4:$B$58,0),INDEX($AD$9:$AF$22,MATCH(M$7,$AD$9:$AD$22,0),3)),""),"")</f>
        <v/>
      </c>
      <c r="N54" s="286" t="str">
        <f>IF($A54&lt;&gt;"",IF(INDEX(BDHK2,MATCH($A54,DiemHKII!$B$4:$B$58,0),INDEX($AD$9:$AF$22,MATCH(N$7,$AD$9:$AD$22,0),2))&lt;&gt;"",INDEX(BDHK2,MATCH($A54,DiemHKII!$B$4:$B$58,0),INDEX($AD$9:$AF$22,MATCH(N$7,$AD$9:$AD$22,0),3)),""),"")</f>
        <v/>
      </c>
      <c r="O54" s="286" t="str">
        <f>IF($A54&lt;&gt;"",IF(INDEX(BDHK2,MATCH($A54,DiemHKII!$B$4:$B$58,0),INDEX($AD$9:$AF$22,MATCH(O$7,$AD$9:$AD$22,0),2))&lt;&gt;"",INDEX(BDHK2,MATCH($A54,DiemHKII!$B$4:$B$58,0),INDEX($AD$9:$AF$22,MATCH(O$7,$AD$9:$AD$22,0),3)),""),"")</f>
        <v/>
      </c>
      <c r="P54" s="286" t="str">
        <f>IF($A54&lt;&gt;"",IF(INDEX(BDHK2,MATCH($A54,DiemHKII!$B$4:$B$58,0),INDEX($AD$9:$AF$22,MATCH(P$7,$AD$9:$AD$22,0),2))&lt;&gt;"",INDEX(BDHK2,MATCH($A54,DiemHKII!$B$4:$B$58,0),INDEX($AD$9:$AF$22,MATCH(P$7,$AD$9:$AD$22,0),3)),""),"")</f>
        <v/>
      </c>
      <c r="Q54" s="286" t="str">
        <f>IF($A54&lt;&gt;"",IF(INDEX(BDHK2,MATCH($A54,DiemHKII!$B$4:$B$58,0),INDEX($AD$9:$AF$22,MATCH(Q$7,$AD$9:$AD$22,0),2))&lt;&gt;"",INDEX(BDHK2,MATCH($A54,DiemHKII!$B$4:$B$58,0),INDEX($AD$9:$AF$22,MATCH(Q$7,$AD$9:$AD$22,0),3)),""),"")</f>
        <v/>
      </c>
      <c r="R54" s="464" t="str">
        <f>IF($A54&lt;&gt;"",IF(INDEX(BDHK2,MATCH($A54,DiemHKII!$B$4:$B$58,0),INDEX($AD$9:$AF$22,MATCH(R$7,$AD$9:$AD$22,0),2))&lt;&gt;"",INDEX(BDHK2,MATCH($A54,DiemHKII!$B$4:$B$58,0),INDEX($AD$9:$AF$22,MATCH(R$7,$AD$9:$AD$22,0),3)),""),"")</f>
        <v/>
      </c>
      <c r="S54" s="464" t="str">
        <f t="shared" si="8"/>
        <v/>
      </c>
      <c r="T54" s="286" t="str">
        <f>IF($A54&lt;&gt;"",IF(INDEX(BDHK2,MATCH($A54,DiemHKII!$B$4:$B$58,0),INDEX($AD$9:$AF$22,MATCH(T$7,$AD$9:$AD$22,0),2))&lt;&gt;"",INDEX(BDHK2,MATCH($A54,DiemHKII!$B$4:$B$58,0),INDEX($AD$9:$AF$22,MATCH(T$7,$AD$9:$AD$22,0),3)),""),"")</f>
        <v/>
      </c>
      <c r="U54" s="287" t="str">
        <f>IF($A54&lt;&gt;"",IF(INDEX(BDHK2,MATCH($A54,DiemHKII!$B$4:$B$58,0),INDEX($AD$9:$AF$22,MATCH(U$7,$AD$9:$AD$22,0),2))&lt;&gt;"",INDEX(BDHK2,MATCH($A54,DiemHKII!$B$4:$B$58,0),INDEX($AD$9:$AF$22,MATCH(U$7,$AD$9:$AD$22,0),3)),""),"")</f>
        <v/>
      </c>
      <c r="V54" s="288" t="str">
        <f t="shared" si="9"/>
        <v/>
      </c>
      <c r="W54" s="464" t="str">
        <f t="shared" si="10"/>
        <v/>
      </c>
      <c r="X54" s="353"/>
      <c r="Y54" s="289" t="str">
        <f t="shared" si="11"/>
        <v/>
      </c>
      <c r="AA54" s="641" t="str">
        <f t="shared" si="4"/>
        <v/>
      </c>
      <c r="AG54" s="268" t="str">
        <f>IF($A54&lt;&gt;"",INDEX(DiemHKII!$B$4:$K$58,MATCH($A54,DiemHKII!$B$4:$B$58,0),2),"")</f>
        <v/>
      </c>
      <c r="AH54" s="674" t="str">
        <f t="shared" si="7"/>
        <v/>
      </c>
      <c r="AI54" s="672" t="str">
        <f t="shared" ca="1" si="6"/>
        <v/>
      </c>
    </row>
    <row r="55" spans="1:35" s="268" customFormat="1" ht="29.1" hidden="1" customHeight="1">
      <c r="A55" s="281" t="str">
        <f>IF(A54&lt;MAX(DiemHKII!$B$4:$B$58),A54+1,"")</f>
        <v/>
      </c>
      <c r="B55" s="282" t="str">
        <f>IF($A55&lt;&gt;"",PROPER(INDEX(DiemHKII!$B$4:$K$58,MATCH($A55,DiemHKII!$B$4:$B$58,0),4)),"")</f>
        <v/>
      </c>
      <c r="C55" s="283" t="str">
        <f>IF($A55&lt;&gt;"",PROPER(INDEX(DiemHKII!$B$4:$K$58,MATCH($A55,DiemHKII!$B$4:$B$58,0),5)),"")</f>
        <v/>
      </c>
      <c r="D55" s="284" t="str">
        <f>IF($A55&lt;&gt;"",IF(INDEX(DiemHKII!$B$4:$K$58,MATCH($A55,DiemHKII!$B$4:$B$58,0),8)&lt;&gt;"",INDEX(DiemHKII!$B$4:$K$58,MATCH($A55,DiemHKII!$B$4:$B$58,0),8),""),"")</f>
        <v/>
      </c>
      <c r="E55" s="284" t="str">
        <f>IF($A55&lt;&gt;"",IF(INDEX(DiemHKII!$B$4:$K$58,MATCH($A55,DiemHKII!$B$4:$B$58,0),9)&lt;&gt;"",INDEX(DiemHKII!$B$4:$K$58,MATCH($A55,DiemHKII!$B$4:$B$58,0),9),""),"")</f>
        <v/>
      </c>
      <c r="F55" s="284" t="str">
        <f>IF($A55&lt;&gt;"",IF(INDEX(DiemHKII!$B$4:$K$58,MATCH($A55,DiemHKII!$B$4:$B$58,0),10)&lt;&gt;"",INDEX(DiemHKII!$B$4:$K$58,MATCH($A55,DiemHKII!$B$4:$B$58,0),10),""),"")</f>
        <v/>
      </c>
      <c r="G55" s="285" t="str">
        <f>IF($A55&lt;&gt;"",IF(INDEX(BDHK2,MATCH($A55,DiemHKII!$B$4:$B$58,0),INDEX($AD$9:$AF$22,MATCH(G$7,$AD$9:$AD$22,0),2))&lt;&gt;"",INDEX(BDHK2,MATCH($A55,DiemHKII!$B$4:$B$58,0),INDEX($AD$9:$AF$22,MATCH(G$7,$AD$9:$AD$22,0),3)),""),"")</f>
        <v/>
      </c>
      <c r="H55" s="286" t="str">
        <f>IF($A55&lt;&gt;"",IF(INDEX(BDHK2,MATCH($A55,DiemHKII!$B$4:$B$58,0),INDEX($AD$9:$AF$22,MATCH(H$7,$AD$9:$AD$22,0),2))&lt;&gt;"",INDEX(BDHK2,MATCH($A55,DiemHKII!$B$4:$B$58,0),INDEX($AD$9:$AF$22,MATCH(H$7,$AD$9:$AD$22,0),3)),""),"")</f>
        <v/>
      </c>
      <c r="I55" s="286" t="str">
        <f>IF($A55&lt;&gt;"",IF(INDEX(BDHK2,MATCH($A55,DiemHKII!$B$4:$B$58,0),INDEX($AD$9:$AF$22,MATCH(I$7,$AD$9:$AD$22,0),2))&lt;&gt;"",INDEX(BDHK2,MATCH($A55,DiemHKII!$B$4:$B$58,0),INDEX($AD$9:$AF$22,MATCH(I$7,$AD$9:$AD$22,0),3)),""),"")</f>
        <v/>
      </c>
      <c r="J55" s="286" t="str">
        <f>IF($A55&lt;&gt;"",IF(INDEX(BDHK2,MATCH($A55,DiemHKII!$B$4:$B$58,0),INDEX($AD$9:$AF$22,MATCH(J$7,$AD$9:$AD$22,0),2))&lt;&gt;"",INDEX(BDHK2,MATCH($A55,DiemHKII!$B$4:$B$58,0),INDEX($AD$9:$AF$22,MATCH(J$7,$AD$9:$AD$22,0),3)),""),"")</f>
        <v/>
      </c>
      <c r="K55" s="286" t="str">
        <f>IF($A55&lt;&gt;"",IF(INDEX(BDHK2,MATCH($A55,DiemHKII!$B$4:$B$58,0),INDEX($AD$9:$AF$22,MATCH(K$7,$AD$9:$AD$22,0),2))&lt;&gt;"",INDEX(BDHK2,MATCH($A55,DiemHKII!$B$4:$B$58,0),INDEX($AD$9:$AF$22,MATCH(K$7,$AD$9:$AD$22,0),3)),""),"")</f>
        <v/>
      </c>
      <c r="L55" s="286" t="str">
        <f>IF($A55&lt;&gt;"",IF(INDEX(BDHK2,MATCH($A55,DiemHKII!$B$4:$B$58,0),INDEX($AD$9:$AF$22,MATCH(L$7,$AD$9:$AD$22,0),2))&lt;&gt;"",INDEX(BDHK2,MATCH($A55,DiemHKII!$B$4:$B$58,0),INDEX($AD$9:$AF$22,MATCH(L$7,$AD$9:$AD$22,0),3)),""),"")</f>
        <v/>
      </c>
      <c r="M55" s="286" t="str">
        <f>IF($A55&lt;&gt;"",IF(INDEX(BDHK2,MATCH($A55,DiemHKII!$B$4:$B$58,0),INDEX($AD$9:$AF$22,MATCH(M$7,$AD$9:$AD$22,0),2))&lt;&gt;"",INDEX(BDHK2,MATCH($A55,DiemHKII!$B$4:$B$58,0),INDEX($AD$9:$AF$22,MATCH(M$7,$AD$9:$AD$22,0),3)),""),"")</f>
        <v/>
      </c>
      <c r="N55" s="286" t="str">
        <f>IF($A55&lt;&gt;"",IF(INDEX(BDHK2,MATCH($A55,DiemHKII!$B$4:$B$58,0),INDEX($AD$9:$AF$22,MATCH(N$7,$AD$9:$AD$22,0),2))&lt;&gt;"",INDEX(BDHK2,MATCH($A55,DiemHKII!$B$4:$B$58,0),INDEX($AD$9:$AF$22,MATCH(N$7,$AD$9:$AD$22,0),3)),""),"")</f>
        <v/>
      </c>
      <c r="O55" s="286" t="str">
        <f>IF($A55&lt;&gt;"",IF(INDEX(BDHK2,MATCH($A55,DiemHKII!$B$4:$B$58,0),INDEX($AD$9:$AF$22,MATCH(O$7,$AD$9:$AD$22,0),2))&lt;&gt;"",INDEX(BDHK2,MATCH($A55,DiemHKII!$B$4:$B$58,0),INDEX($AD$9:$AF$22,MATCH(O$7,$AD$9:$AD$22,0),3)),""),"")</f>
        <v/>
      </c>
      <c r="P55" s="286" t="str">
        <f>IF($A55&lt;&gt;"",IF(INDEX(BDHK2,MATCH($A55,DiemHKII!$B$4:$B$58,0),INDEX($AD$9:$AF$22,MATCH(P$7,$AD$9:$AD$22,0),2))&lt;&gt;"",INDEX(BDHK2,MATCH($A55,DiemHKII!$B$4:$B$58,0),INDEX($AD$9:$AF$22,MATCH(P$7,$AD$9:$AD$22,0),3)),""),"")</f>
        <v/>
      </c>
      <c r="Q55" s="286" t="str">
        <f>IF($A55&lt;&gt;"",IF(INDEX(BDHK2,MATCH($A55,DiemHKII!$B$4:$B$58,0),INDEX($AD$9:$AF$22,MATCH(Q$7,$AD$9:$AD$22,0),2))&lt;&gt;"",INDEX(BDHK2,MATCH($A55,DiemHKII!$B$4:$B$58,0),INDEX($AD$9:$AF$22,MATCH(Q$7,$AD$9:$AD$22,0),3)),""),"")</f>
        <v/>
      </c>
      <c r="R55" s="464" t="str">
        <f>IF($A55&lt;&gt;"",IF(INDEX(BDHK2,MATCH($A55,DiemHKII!$B$4:$B$58,0),INDEX($AD$9:$AF$22,MATCH(R$7,$AD$9:$AD$22,0),2))&lt;&gt;"",INDEX(BDHK2,MATCH($A55,DiemHKII!$B$4:$B$58,0),INDEX($AD$9:$AF$22,MATCH(R$7,$AD$9:$AD$22,0),3)),""),"")</f>
        <v/>
      </c>
      <c r="S55" s="464" t="str">
        <f t="shared" si="8"/>
        <v/>
      </c>
      <c r="T55" s="286" t="str">
        <f>IF($A55&lt;&gt;"",IF(INDEX(BDHK2,MATCH($A55,DiemHKII!$B$4:$B$58,0),INDEX($AD$9:$AF$22,MATCH(T$7,$AD$9:$AD$22,0),2))&lt;&gt;"",INDEX(BDHK2,MATCH($A55,DiemHKII!$B$4:$B$58,0),INDEX($AD$9:$AF$22,MATCH(T$7,$AD$9:$AD$22,0),3)),""),"")</f>
        <v/>
      </c>
      <c r="U55" s="287" t="str">
        <f>IF($A55&lt;&gt;"",IF(INDEX(BDHK2,MATCH($A55,DiemHKII!$B$4:$B$58,0),INDEX($AD$9:$AF$22,MATCH(U$7,$AD$9:$AD$22,0),2))&lt;&gt;"",INDEX(BDHK2,MATCH($A55,DiemHKII!$B$4:$B$58,0),INDEX($AD$9:$AF$22,MATCH(U$7,$AD$9:$AD$22,0),3)),""),"")</f>
        <v/>
      </c>
      <c r="V55" s="288" t="str">
        <f t="shared" si="9"/>
        <v/>
      </c>
      <c r="W55" s="464" t="str">
        <f t="shared" si="10"/>
        <v/>
      </c>
      <c r="X55" s="353"/>
      <c r="Y55" s="289" t="str">
        <f t="shared" si="11"/>
        <v/>
      </c>
      <c r="AA55" s="641" t="str">
        <f t="shared" si="4"/>
        <v/>
      </c>
      <c r="AG55" s="268" t="str">
        <f>IF($A55&lt;&gt;"",INDEX(DiemHKII!$B$4:$K$58,MATCH($A55,DiemHKII!$B$4:$B$58,0),2),"")</f>
        <v/>
      </c>
      <c r="AH55" s="674" t="str">
        <f t="shared" si="7"/>
        <v/>
      </c>
      <c r="AI55" s="672" t="str">
        <f t="shared" ca="1" si="6"/>
        <v/>
      </c>
    </row>
    <row r="56" spans="1:35" s="268" customFormat="1" ht="29.1" hidden="1" customHeight="1">
      <c r="A56" s="281" t="str">
        <f>IF(A55&lt;MAX(DiemHKII!$B$4:$B$58),A55+1,"")</f>
        <v/>
      </c>
      <c r="B56" s="282" t="str">
        <f>IF($A56&lt;&gt;"",PROPER(INDEX(DiemHKII!$B$4:$K$58,MATCH($A56,DiemHKII!$B$4:$B$58,0),4)),"")</f>
        <v/>
      </c>
      <c r="C56" s="283" t="str">
        <f>IF($A56&lt;&gt;"",PROPER(INDEX(DiemHKII!$B$4:$K$58,MATCH($A56,DiemHKII!$B$4:$B$58,0),5)),"")</f>
        <v/>
      </c>
      <c r="D56" s="284" t="str">
        <f>IF($A56&lt;&gt;"",IF(INDEX(DiemHKII!$B$4:$K$58,MATCH($A56,DiemHKII!$B$4:$B$58,0),8)&lt;&gt;"",INDEX(DiemHKII!$B$4:$K$58,MATCH($A56,DiemHKII!$B$4:$B$58,0),8),""),"")</f>
        <v/>
      </c>
      <c r="E56" s="284" t="str">
        <f>IF($A56&lt;&gt;"",IF(INDEX(DiemHKII!$B$4:$K$58,MATCH($A56,DiemHKII!$B$4:$B$58,0),9)&lt;&gt;"",INDEX(DiemHKII!$B$4:$K$58,MATCH($A56,DiemHKII!$B$4:$B$58,0),9),""),"")</f>
        <v/>
      </c>
      <c r="F56" s="284" t="str">
        <f>IF($A56&lt;&gt;"",IF(INDEX(DiemHKII!$B$4:$K$58,MATCH($A56,DiemHKII!$B$4:$B$58,0),10)&lt;&gt;"",INDEX(DiemHKII!$B$4:$K$58,MATCH($A56,DiemHKII!$B$4:$B$58,0),10),""),"")</f>
        <v/>
      </c>
      <c r="G56" s="285" t="str">
        <f>IF($A56&lt;&gt;"",IF(INDEX(BDHK2,MATCH($A56,DiemHKII!$B$4:$B$58,0),INDEX($AD$9:$AF$22,MATCH(G$7,$AD$9:$AD$22,0),2))&lt;&gt;"",INDEX(BDHK2,MATCH($A56,DiemHKII!$B$4:$B$58,0),INDEX($AD$9:$AF$22,MATCH(G$7,$AD$9:$AD$22,0),3)),""),"")</f>
        <v/>
      </c>
      <c r="H56" s="286" t="str">
        <f>IF($A56&lt;&gt;"",IF(INDEX(BDHK2,MATCH($A56,DiemHKII!$B$4:$B$58,0),INDEX($AD$9:$AF$22,MATCH(H$7,$AD$9:$AD$22,0),2))&lt;&gt;"",INDEX(BDHK2,MATCH($A56,DiemHKII!$B$4:$B$58,0),INDEX($AD$9:$AF$22,MATCH(H$7,$AD$9:$AD$22,0),3)),""),"")</f>
        <v/>
      </c>
      <c r="I56" s="286" t="str">
        <f>IF($A56&lt;&gt;"",IF(INDEX(BDHK2,MATCH($A56,DiemHKII!$B$4:$B$58,0),INDEX($AD$9:$AF$22,MATCH(I$7,$AD$9:$AD$22,0),2))&lt;&gt;"",INDEX(BDHK2,MATCH($A56,DiemHKII!$B$4:$B$58,0),INDEX($AD$9:$AF$22,MATCH(I$7,$AD$9:$AD$22,0),3)),""),"")</f>
        <v/>
      </c>
      <c r="J56" s="286" t="str">
        <f>IF($A56&lt;&gt;"",IF(INDEX(BDHK2,MATCH($A56,DiemHKII!$B$4:$B$58,0),INDEX($AD$9:$AF$22,MATCH(J$7,$AD$9:$AD$22,0),2))&lt;&gt;"",INDEX(BDHK2,MATCH($A56,DiemHKII!$B$4:$B$58,0),INDEX($AD$9:$AF$22,MATCH(J$7,$AD$9:$AD$22,0),3)),""),"")</f>
        <v/>
      </c>
      <c r="K56" s="286" t="str">
        <f>IF($A56&lt;&gt;"",IF(INDEX(BDHK2,MATCH($A56,DiemHKII!$B$4:$B$58,0),INDEX($AD$9:$AF$22,MATCH(K$7,$AD$9:$AD$22,0),2))&lt;&gt;"",INDEX(BDHK2,MATCH($A56,DiemHKII!$B$4:$B$58,0),INDEX($AD$9:$AF$22,MATCH(K$7,$AD$9:$AD$22,0),3)),""),"")</f>
        <v/>
      </c>
      <c r="L56" s="286" t="str">
        <f>IF($A56&lt;&gt;"",IF(INDEX(BDHK2,MATCH($A56,DiemHKII!$B$4:$B$58,0),INDEX($AD$9:$AF$22,MATCH(L$7,$AD$9:$AD$22,0),2))&lt;&gt;"",INDEX(BDHK2,MATCH($A56,DiemHKII!$B$4:$B$58,0),INDEX($AD$9:$AF$22,MATCH(L$7,$AD$9:$AD$22,0),3)),""),"")</f>
        <v/>
      </c>
      <c r="M56" s="286" t="str">
        <f>IF($A56&lt;&gt;"",IF(INDEX(BDHK2,MATCH($A56,DiemHKII!$B$4:$B$58,0),INDEX($AD$9:$AF$22,MATCH(M$7,$AD$9:$AD$22,0),2))&lt;&gt;"",INDEX(BDHK2,MATCH($A56,DiemHKII!$B$4:$B$58,0),INDEX($AD$9:$AF$22,MATCH(M$7,$AD$9:$AD$22,0),3)),""),"")</f>
        <v/>
      </c>
      <c r="N56" s="286" t="str">
        <f>IF($A56&lt;&gt;"",IF(INDEX(BDHK2,MATCH($A56,DiemHKII!$B$4:$B$58,0),INDEX($AD$9:$AF$22,MATCH(N$7,$AD$9:$AD$22,0),2))&lt;&gt;"",INDEX(BDHK2,MATCH($A56,DiemHKII!$B$4:$B$58,0),INDEX($AD$9:$AF$22,MATCH(N$7,$AD$9:$AD$22,0),3)),""),"")</f>
        <v/>
      </c>
      <c r="O56" s="286" t="str">
        <f>IF($A56&lt;&gt;"",IF(INDEX(BDHK2,MATCH($A56,DiemHKII!$B$4:$B$58,0),INDEX($AD$9:$AF$22,MATCH(O$7,$AD$9:$AD$22,0),2))&lt;&gt;"",INDEX(BDHK2,MATCH($A56,DiemHKII!$B$4:$B$58,0),INDEX($AD$9:$AF$22,MATCH(O$7,$AD$9:$AD$22,0),3)),""),"")</f>
        <v/>
      </c>
      <c r="P56" s="286" t="str">
        <f>IF($A56&lt;&gt;"",IF(INDEX(BDHK2,MATCH($A56,DiemHKII!$B$4:$B$58,0),INDEX($AD$9:$AF$22,MATCH(P$7,$AD$9:$AD$22,0),2))&lt;&gt;"",INDEX(BDHK2,MATCH($A56,DiemHKII!$B$4:$B$58,0),INDEX($AD$9:$AF$22,MATCH(P$7,$AD$9:$AD$22,0),3)),""),"")</f>
        <v/>
      </c>
      <c r="Q56" s="286" t="str">
        <f>IF($A56&lt;&gt;"",IF(INDEX(BDHK2,MATCH($A56,DiemHKII!$B$4:$B$58,0),INDEX($AD$9:$AF$22,MATCH(Q$7,$AD$9:$AD$22,0),2))&lt;&gt;"",INDEX(BDHK2,MATCH($A56,DiemHKII!$B$4:$B$58,0),INDEX($AD$9:$AF$22,MATCH(Q$7,$AD$9:$AD$22,0),3)),""),"")</f>
        <v/>
      </c>
      <c r="R56" s="464" t="str">
        <f>IF($A56&lt;&gt;"",IF(INDEX(BDHK2,MATCH($A56,DiemHKII!$B$4:$B$58,0),INDEX($AD$9:$AF$22,MATCH(R$7,$AD$9:$AD$22,0),2))&lt;&gt;"",INDEX(BDHK2,MATCH($A56,DiemHKII!$B$4:$B$58,0),INDEX($AD$9:$AF$22,MATCH(R$7,$AD$9:$AD$22,0),3)),""),"")</f>
        <v/>
      </c>
      <c r="S56" s="464" t="str">
        <f t="shared" si="8"/>
        <v/>
      </c>
      <c r="T56" s="286" t="str">
        <f>IF($A56&lt;&gt;"",IF(INDEX(BDHK2,MATCH($A56,DiemHKII!$B$4:$B$58,0),INDEX($AD$9:$AF$22,MATCH(T$7,$AD$9:$AD$22,0),2))&lt;&gt;"",INDEX(BDHK2,MATCH($A56,DiemHKII!$B$4:$B$58,0),INDEX($AD$9:$AF$22,MATCH(T$7,$AD$9:$AD$22,0),3)),""),"")</f>
        <v/>
      </c>
      <c r="U56" s="287" t="str">
        <f>IF($A56&lt;&gt;"",IF(INDEX(BDHK2,MATCH($A56,DiemHKII!$B$4:$B$58,0),INDEX($AD$9:$AF$22,MATCH(U$7,$AD$9:$AD$22,0),2))&lt;&gt;"",INDEX(BDHK2,MATCH($A56,DiemHKII!$B$4:$B$58,0),INDEX($AD$9:$AF$22,MATCH(U$7,$AD$9:$AD$22,0),3)),""),"")</f>
        <v/>
      </c>
      <c r="V56" s="288" t="str">
        <f t="shared" si="9"/>
        <v/>
      </c>
      <c r="W56" s="464" t="str">
        <f t="shared" si="10"/>
        <v/>
      </c>
      <c r="X56" s="353"/>
      <c r="Y56" s="289" t="str">
        <f t="shared" si="11"/>
        <v/>
      </c>
      <c r="AA56" s="641" t="str">
        <f t="shared" si="4"/>
        <v/>
      </c>
      <c r="AG56" s="268" t="str">
        <f>IF($A56&lt;&gt;"",INDEX(DiemHKII!$B$4:$K$58,MATCH($A56,DiemHKII!$B$4:$B$58,0),2),"")</f>
        <v/>
      </c>
      <c r="AH56" s="674" t="str">
        <f t="shared" si="7"/>
        <v/>
      </c>
      <c r="AI56" s="672" t="str">
        <f t="shared" ca="1" si="6"/>
        <v/>
      </c>
    </row>
    <row r="57" spans="1:35" s="268" customFormat="1" ht="29.1" hidden="1" customHeight="1" thickBot="1">
      <c r="A57" s="290" t="str">
        <f>IF(A56&lt;MAX(DiemHKII!$B$4:$B$58),A56+1,"")</f>
        <v/>
      </c>
      <c r="B57" s="291" t="str">
        <f>IF($A57&lt;&gt;"",PROPER(INDEX(DiemHKII!$B$4:$K$58,MATCH($A57,DiemHKII!$B$4:$B$58,0),4)),"")</f>
        <v/>
      </c>
      <c r="C57" s="292" t="str">
        <f>IF($A57&lt;&gt;"",PROPER(INDEX(DiemHKII!$B$4:$K$58,MATCH($A57,DiemHKII!$B$4:$B$58,0),5)),"")</f>
        <v/>
      </c>
      <c r="D57" s="293" t="str">
        <f>IF($A57&lt;&gt;"",IF(INDEX(DiemHKII!$B$4:$K$58,MATCH($A57,DiemHKII!$B$4:$B$58,0),8)&lt;&gt;"",INDEX(DiemHKII!$B$4:$K$58,MATCH($A57,DiemHKII!$B$4:$B$58,0),8),""),"")</f>
        <v/>
      </c>
      <c r="E57" s="293" t="str">
        <f>IF($A57&lt;&gt;"",IF(INDEX(DiemHKII!$B$4:$K$58,MATCH($A57,DiemHKII!$B$4:$B$58,0),9)&lt;&gt;"",INDEX(DiemHKII!$B$4:$K$58,MATCH($A57,DiemHKII!$B$4:$B$58,0),9),""),"")</f>
        <v/>
      </c>
      <c r="F57" s="293" t="str">
        <f>IF($A57&lt;&gt;"",IF(INDEX(DiemHKII!$B$4:$K$58,MATCH($A57,DiemHKII!$B$4:$B$58,0),10)&lt;&gt;"",INDEX(DiemHKII!$B$4:$K$58,MATCH($A57,DiemHKII!$B$4:$B$58,0),10),""),"")</f>
        <v/>
      </c>
      <c r="G57" s="294" t="str">
        <f>IF($A57&lt;&gt;"",IF(INDEX(BDHK2,MATCH($A57,DiemHKII!$B$4:$B$58,0),INDEX($AD$9:$AF$22,MATCH(G$7,$AD$9:$AD$22,0),2))&lt;&gt;"",INDEX(BDHK2,MATCH($A57,DiemHKII!$B$4:$B$58,0),INDEX($AD$9:$AF$22,MATCH(G$7,$AD$9:$AD$22,0),3)),""),"")</f>
        <v/>
      </c>
      <c r="H57" s="295" t="str">
        <f>IF($A57&lt;&gt;"",IF(INDEX(BDHK2,MATCH($A57,DiemHKII!$B$4:$B$58,0),INDEX($AD$9:$AF$22,MATCH(H$7,$AD$9:$AD$22,0),2))&lt;&gt;"",INDEX(BDHK2,MATCH($A57,DiemHKII!$B$4:$B$58,0),INDEX($AD$9:$AF$22,MATCH(H$7,$AD$9:$AD$22,0),3)),""),"")</f>
        <v/>
      </c>
      <c r="I57" s="295" t="str">
        <f>IF($A57&lt;&gt;"",IF(INDEX(BDHK2,MATCH($A57,DiemHKII!$B$4:$B$58,0),INDEX($AD$9:$AF$22,MATCH(I$7,$AD$9:$AD$22,0),2))&lt;&gt;"",INDEX(BDHK2,MATCH($A57,DiemHKII!$B$4:$B$58,0),INDEX($AD$9:$AF$22,MATCH(I$7,$AD$9:$AD$22,0),3)),""),"")</f>
        <v/>
      </c>
      <c r="J57" s="295" t="str">
        <f>IF($A57&lt;&gt;"",IF(INDEX(BDHK2,MATCH($A57,DiemHKII!$B$4:$B$58,0),INDEX($AD$9:$AF$22,MATCH(J$7,$AD$9:$AD$22,0),2))&lt;&gt;"",INDEX(BDHK2,MATCH($A57,DiemHKII!$B$4:$B$58,0),INDEX($AD$9:$AF$22,MATCH(J$7,$AD$9:$AD$22,0),3)),""),"")</f>
        <v/>
      </c>
      <c r="K57" s="295" t="str">
        <f>IF($A57&lt;&gt;"",IF(INDEX(BDHK2,MATCH($A57,DiemHKII!$B$4:$B$58,0),INDEX($AD$9:$AF$22,MATCH(K$7,$AD$9:$AD$22,0),2))&lt;&gt;"",INDEX(BDHK2,MATCH($A57,DiemHKII!$B$4:$B$58,0),INDEX($AD$9:$AF$22,MATCH(K$7,$AD$9:$AD$22,0),3)),""),"")</f>
        <v/>
      </c>
      <c r="L57" s="295" t="str">
        <f>IF($A57&lt;&gt;"",IF(INDEX(BDHK2,MATCH($A57,DiemHKII!$B$4:$B$58,0),INDEX($AD$9:$AF$22,MATCH(L$7,$AD$9:$AD$22,0),2))&lt;&gt;"",INDEX(BDHK2,MATCH($A57,DiemHKII!$B$4:$B$58,0),INDEX($AD$9:$AF$22,MATCH(L$7,$AD$9:$AD$22,0),3)),""),"")</f>
        <v/>
      </c>
      <c r="M57" s="295" t="str">
        <f>IF($A57&lt;&gt;"",IF(INDEX(BDHK2,MATCH($A57,DiemHKII!$B$4:$B$58,0),INDEX($AD$9:$AF$22,MATCH(M$7,$AD$9:$AD$22,0),2))&lt;&gt;"",INDEX(BDHK2,MATCH($A57,DiemHKII!$B$4:$B$58,0),INDEX($AD$9:$AF$22,MATCH(M$7,$AD$9:$AD$22,0),3)),""),"")</f>
        <v/>
      </c>
      <c r="N57" s="295" t="str">
        <f>IF($A57&lt;&gt;"",IF(INDEX(BDHK2,MATCH($A57,DiemHKII!$B$4:$B$58,0),INDEX($AD$9:$AF$22,MATCH(N$7,$AD$9:$AD$22,0),2))&lt;&gt;"",INDEX(BDHK2,MATCH($A57,DiemHKII!$B$4:$B$58,0),INDEX($AD$9:$AF$22,MATCH(N$7,$AD$9:$AD$22,0),3)),""),"")</f>
        <v/>
      </c>
      <c r="O57" s="295" t="str">
        <f>IF($A57&lt;&gt;"",IF(INDEX(BDHK2,MATCH($A57,DiemHKII!$B$4:$B$58,0),INDEX($AD$9:$AF$22,MATCH(O$7,$AD$9:$AD$22,0),2))&lt;&gt;"",INDEX(BDHK2,MATCH($A57,DiemHKII!$B$4:$B$58,0),INDEX($AD$9:$AF$22,MATCH(O$7,$AD$9:$AD$22,0),3)),""),"")</f>
        <v/>
      </c>
      <c r="P57" s="295" t="str">
        <f>IF($A57&lt;&gt;"",IF(INDEX(BDHK2,MATCH($A57,DiemHKII!$B$4:$B$58,0),INDEX($AD$9:$AF$22,MATCH(P$7,$AD$9:$AD$22,0),2))&lt;&gt;"",INDEX(BDHK2,MATCH($A57,DiemHKII!$B$4:$B$58,0),INDEX($AD$9:$AF$22,MATCH(P$7,$AD$9:$AD$22,0),3)),""),"")</f>
        <v/>
      </c>
      <c r="Q57" s="295" t="str">
        <f>IF($A57&lt;&gt;"",IF(INDEX(BDHK2,MATCH($A57,DiemHKII!$B$4:$B$58,0),INDEX($AD$9:$AF$22,MATCH(Q$7,$AD$9:$AD$22,0),2))&lt;&gt;"",INDEX(BDHK2,MATCH($A57,DiemHKII!$B$4:$B$58,0),INDEX($AD$9:$AF$22,MATCH(Q$7,$AD$9:$AD$22,0),3)),""),"")</f>
        <v/>
      </c>
      <c r="R57" s="296" t="str">
        <f>IF($A57&lt;&gt;"",IF(INDEX(BDHK2,MATCH($A57,DiemHKII!$B$4:$B$58,0),INDEX($AD$9:$AF$22,MATCH(R$7,$AD$9:$AD$22,0),2))&lt;&gt;"",INDEX(BDHK2,MATCH($A57,DiemHKII!$B$4:$B$58,0),INDEX($AD$9:$AF$22,MATCH(R$7,$AD$9:$AD$22,0),3)),""),"")</f>
        <v/>
      </c>
      <c r="S57" s="296" t="str">
        <f t="shared" si="8"/>
        <v/>
      </c>
      <c r="T57" s="295" t="str">
        <f>IF($A57&lt;&gt;"",IF(INDEX(BDHK2,MATCH($A57,DiemHKII!$B$4:$B$58,0),INDEX($AD$9:$AF$22,MATCH(T$7,$AD$9:$AD$22,0),2))&lt;&gt;"",INDEX(BDHK2,MATCH($A57,DiemHKII!$B$4:$B$58,0),INDEX($AD$9:$AF$22,MATCH(T$7,$AD$9:$AD$22,0),3)),""),"")</f>
        <v/>
      </c>
      <c r="U57" s="297" t="str">
        <f>IF($A57&lt;&gt;"",IF(INDEX(BDHK2,MATCH($A57,DiemHKII!$B$4:$B$58,0),INDEX($AD$9:$AF$22,MATCH(U$7,$AD$9:$AD$22,0),2))&lt;&gt;"",INDEX(BDHK2,MATCH($A57,DiemHKII!$B$4:$B$58,0),INDEX($AD$9:$AF$22,MATCH(U$7,$AD$9:$AD$22,0),3)),""),"")</f>
        <v/>
      </c>
      <c r="V57" s="298" t="str">
        <f t="shared" si="9"/>
        <v/>
      </c>
      <c r="W57" s="296" t="str">
        <f t="shared" si="10"/>
        <v/>
      </c>
      <c r="X57" s="354"/>
      <c r="Y57" s="299" t="str">
        <f t="shared" si="11"/>
        <v/>
      </c>
      <c r="AA57" s="641" t="str">
        <f t="shared" si="4"/>
        <v/>
      </c>
      <c r="AG57" s="268" t="str">
        <f>IF($A57&lt;&gt;"",INDEX(DiemHKII!$B$4:$K$58,MATCH($A57,DiemHKII!$B$4:$B$58,0),2),"")</f>
        <v/>
      </c>
      <c r="AH57" s="674" t="str">
        <f t="shared" si="7"/>
        <v/>
      </c>
      <c r="AI57" s="672" t="str">
        <f t="shared" ca="1" si="6"/>
        <v/>
      </c>
    </row>
    <row r="58" spans="1:35" s="268" customFormat="1" ht="29.1" hidden="1" customHeight="1">
      <c r="A58" s="274" t="str">
        <f>IF(A57&lt;MAX(DiemHKII!$B$4:$B$58),A57+1,"")</f>
        <v/>
      </c>
      <c r="B58" s="275" t="str">
        <f>IF($A58&lt;&gt;"",PROPER(INDEX(DiemHKII!$B$4:$K$58,MATCH($A58,DiemHKII!$B$4:$B$58,0),4)),"")</f>
        <v/>
      </c>
      <c r="C58" s="276" t="str">
        <f>IF($A58&lt;&gt;"",PROPER(INDEX(DiemHKII!$B$4:$K$58,MATCH($A58,DiemHKII!$B$4:$B$58,0),5)),"")</f>
        <v/>
      </c>
      <c r="D58" s="277" t="str">
        <f>IF($A58&lt;&gt;"",IF(INDEX(DiemHKII!$B$4:$K$58,MATCH($A58,DiemHKII!$B$4:$B$58,0),8)&lt;&gt;"",INDEX(DiemHKII!$B$4:$K$58,MATCH($A58,DiemHKII!$B$4:$B$58,0),8),""),"")</f>
        <v/>
      </c>
      <c r="E58" s="277" t="str">
        <f>IF($A58&lt;&gt;"",IF(INDEX(DiemHKII!$B$4:$K$58,MATCH($A58,DiemHKII!$B$4:$B$58,0),9)&lt;&gt;"",INDEX(DiemHKII!$B$4:$K$58,MATCH($A58,DiemHKII!$B$4:$B$58,0),9),""),"")</f>
        <v/>
      </c>
      <c r="F58" s="277" t="str">
        <f>IF($A58&lt;&gt;"",IF(INDEX(DiemHKII!$B$4:$K$58,MATCH($A58,DiemHKII!$B$4:$B$58,0),10)&lt;&gt;"",INDEX(DiemHKII!$B$4:$K$58,MATCH($A58,DiemHKII!$B$4:$B$58,0),10),""),"")</f>
        <v/>
      </c>
      <c r="G58" s="443" t="str">
        <f>IF($A58&lt;&gt;"",IF(INDEX(BDHK2,MATCH($A58,DiemHKII!$B$4:$B$58,0),INDEX($AD$9:$AF$22,MATCH(G$7,$AD$9:$AD$22,0),2))&lt;&gt;"",INDEX(BDHK2,MATCH($A58,DiemHKII!$B$4:$B$58,0),INDEX($AD$9:$AF$22,MATCH(G$7,$AD$9:$AD$22,0),3)),""),"")</f>
        <v/>
      </c>
      <c r="H58" s="301" t="str">
        <f>IF($A58&lt;&gt;"",IF(INDEX(BDHK2,MATCH($A58,DiemHKII!$B$4:$B$58,0),INDEX($AD$9:$AF$22,MATCH(H$7,$AD$9:$AD$22,0),2))&lt;&gt;"",INDEX(BDHK2,MATCH($A58,DiemHKII!$B$4:$B$58,0),INDEX($AD$9:$AF$22,MATCH(H$7,$AD$9:$AD$22,0),3)),""),"")</f>
        <v/>
      </c>
      <c r="I58" s="301" t="str">
        <f>IF($A58&lt;&gt;"",IF(INDEX(BDHK2,MATCH($A58,DiemHKII!$B$4:$B$58,0),INDEX($AD$9:$AF$22,MATCH(I$7,$AD$9:$AD$22,0),2))&lt;&gt;"",INDEX(BDHK2,MATCH($A58,DiemHKII!$B$4:$B$58,0),INDEX($AD$9:$AF$22,MATCH(I$7,$AD$9:$AD$22,0),3)),""),"")</f>
        <v/>
      </c>
      <c r="J58" s="301" t="str">
        <f>IF($A58&lt;&gt;"",IF(INDEX(BDHK2,MATCH($A58,DiemHKII!$B$4:$B$58,0),INDEX($AD$9:$AF$22,MATCH(J$7,$AD$9:$AD$22,0),2))&lt;&gt;"",INDEX(BDHK2,MATCH($A58,DiemHKII!$B$4:$B$58,0),INDEX($AD$9:$AF$22,MATCH(J$7,$AD$9:$AD$22,0),3)),""),"")</f>
        <v/>
      </c>
      <c r="K58" s="301" t="str">
        <f>IF($A58&lt;&gt;"",IF(INDEX(BDHK2,MATCH($A58,DiemHKII!$B$4:$B$58,0),INDEX($AD$9:$AF$22,MATCH(K$7,$AD$9:$AD$22,0),2))&lt;&gt;"",INDEX(BDHK2,MATCH($A58,DiemHKII!$B$4:$B$58,0),INDEX($AD$9:$AF$22,MATCH(K$7,$AD$9:$AD$22,0),3)),""),"")</f>
        <v/>
      </c>
      <c r="L58" s="301" t="str">
        <f>IF($A58&lt;&gt;"",IF(INDEX(BDHK2,MATCH($A58,DiemHKII!$B$4:$B$58,0),INDEX($AD$9:$AF$22,MATCH(L$7,$AD$9:$AD$22,0),2))&lt;&gt;"",INDEX(BDHK2,MATCH($A58,DiemHKII!$B$4:$B$58,0),INDEX($AD$9:$AF$22,MATCH(L$7,$AD$9:$AD$22,0),3)),""),"")</f>
        <v/>
      </c>
      <c r="M58" s="301" t="str">
        <f>IF($A58&lt;&gt;"",IF(INDEX(BDHK2,MATCH($A58,DiemHKII!$B$4:$B$58,0),INDEX($AD$9:$AF$22,MATCH(M$7,$AD$9:$AD$22,0),2))&lt;&gt;"",INDEX(BDHK2,MATCH($A58,DiemHKII!$B$4:$B$58,0),INDEX($AD$9:$AF$22,MATCH(M$7,$AD$9:$AD$22,0),3)),""),"")</f>
        <v/>
      </c>
      <c r="N58" s="301" t="str">
        <f>IF($A58&lt;&gt;"",IF(INDEX(BDHK2,MATCH($A58,DiemHKII!$B$4:$B$58,0),INDEX($AD$9:$AF$22,MATCH(N$7,$AD$9:$AD$22,0),2))&lt;&gt;"",INDEX(BDHK2,MATCH($A58,DiemHKII!$B$4:$B$58,0),INDEX($AD$9:$AF$22,MATCH(N$7,$AD$9:$AD$22,0),3)),""),"")</f>
        <v/>
      </c>
      <c r="O58" s="301" t="str">
        <f>IF($A58&lt;&gt;"",IF(INDEX(BDHK2,MATCH($A58,DiemHKII!$B$4:$B$58,0),INDEX($AD$9:$AF$22,MATCH(O$7,$AD$9:$AD$22,0),2))&lt;&gt;"",INDEX(BDHK2,MATCH($A58,DiemHKII!$B$4:$B$58,0),INDEX($AD$9:$AF$22,MATCH(O$7,$AD$9:$AD$22,0),3)),""),"")</f>
        <v/>
      </c>
      <c r="P58" s="301" t="str">
        <f>IF($A58&lt;&gt;"",IF(INDEX(BDHK2,MATCH($A58,DiemHKII!$B$4:$B$58,0),INDEX($AD$9:$AF$22,MATCH(P$7,$AD$9:$AD$22,0),2))&lt;&gt;"",INDEX(BDHK2,MATCH($A58,DiemHKII!$B$4:$B$58,0),INDEX($AD$9:$AF$22,MATCH(P$7,$AD$9:$AD$22,0),3)),""),"")</f>
        <v/>
      </c>
      <c r="Q58" s="301" t="str">
        <f>IF($A58&lt;&gt;"",IF(INDEX(BDHK2,MATCH($A58,DiemHKII!$B$4:$B$58,0),INDEX($AD$9:$AF$22,MATCH(Q$7,$AD$9:$AD$22,0),2))&lt;&gt;"",INDEX(BDHK2,MATCH($A58,DiemHKII!$B$4:$B$58,0),INDEX($AD$9:$AF$22,MATCH(Q$7,$AD$9:$AD$22,0),3)),""),"")</f>
        <v/>
      </c>
      <c r="R58" s="279" t="str">
        <f>IF($A58&lt;&gt;"",IF(INDEX(BDHK2,MATCH($A58,DiemHKII!$B$4:$B$58,0),INDEX($AD$9:$AF$22,MATCH(R$7,$AD$9:$AD$22,0),2))&lt;&gt;"",INDEX(BDHK2,MATCH($A58,DiemHKII!$B$4:$B$58,0),INDEX($AD$9:$AF$22,MATCH(R$7,$AD$9:$AD$22,0),3)),""),"")</f>
        <v/>
      </c>
      <c r="S58" s="279" t="str">
        <f t="shared" si="8"/>
        <v/>
      </c>
      <c r="T58" s="301" t="str">
        <f>IF($A58&lt;&gt;"",IF(INDEX(BDHK2,MATCH($A58,DiemHKII!$B$4:$B$58,0),INDEX($AD$9:$AF$22,MATCH(T$7,$AD$9:$AD$22,0),2))&lt;&gt;"",INDEX(BDHK2,MATCH($A58,DiemHKII!$B$4:$B$58,0),INDEX($AD$9:$AF$22,MATCH(T$7,$AD$9:$AD$22,0),3)),""),"")</f>
        <v/>
      </c>
      <c r="U58" s="302" t="str">
        <f>IF($A58&lt;&gt;"",IF(INDEX(BDHK2,MATCH($A58,DiemHKII!$B$4:$B$58,0),INDEX($AD$9:$AF$22,MATCH(U$7,$AD$9:$AD$22,0),2))&lt;&gt;"",INDEX(BDHK2,MATCH($A58,DiemHKII!$B$4:$B$58,0),INDEX($AD$9:$AF$22,MATCH(U$7,$AD$9:$AD$22,0),3)),""),"")</f>
        <v/>
      </c>
      <c r="V58" s="278" t="str">
        <f t="shared" si="9"/>
        <v/>
      </c>
      <c r="W58" s="279" t="str">
        <f t="shared" si="10"/>
        <v/>
      </c>
      <c r="X58" s="352"/>
      <c r="Y58" s="280" t="str">
        <f t="shared" si="11"/>
        <v/>
      </c>
      <c r="AA58" s="641" t="str">
        <f t="shared" si="4"/>
        <v/>
      </c>
      <c r="AG58" s="268" t="str">
        <f>IF($A58&lt;&gt;"",INDEX(DiemHKII!$B$4:$K$58,MATCH($A58,DiemHKII!$B$4:$B$58,0),2),"")</f>
        <v/>
      </c>
      <c r="AH58" s="674" t="str">
        <f t="shared" si="7"/>
        <v/>
      </c>
      <c r="AI58" s="672" t="str">
        <f t="shared" ca="1" si="6"/>
        <v/>
      </c>
    </row>
    <row r="59" spans="1:35" s="268" customFormat="1" ht="29.1" hidden="1" customHeight="1">
      <c r="A59" s="281" t="str">
        <f>IF(A58&lt;MAX(DiemHKII!$B$4:$B$58),A58+1,"")</f>
        <v/>
      </c>
      <c r="B59" s="282" t="str">
        <f>IF($A59&lt;&gt;"",PROPER(INDEX(DiemHKII!$B$4:$K$58,MATCH($A59,DiemHKII!$B$4:$B$58,0),4)),"")</f>
        <v/>
      </c>
      <c r="C59" s="283" t="str">
        <f>IF($A59&lt;&gt;"",PROPER(INDEX(DiemHKII!$B$4:$K$58,MATCH($A59,DiemHKII!$B$4:$B$58,0),5)),"")</f>
        <v/>
      </c>
      <c r="D59" s="284" t="str">
        <f>IF($A59&lt;&gt;"",IF(INDEX(DiemHKII!$B$4:$K$58,MATCH($A59,DiemHKII!$B$4:$B$58,0),8)&lt;&gt;"",INDEX(DiemHKII!$B$4:$K$58,MATCH($A59,DiemHKII!$B$4:$B$58,0),8),""),"")</f>
        <v/>
      </c>
      <c r="E59" s="284" t="str">
        <f>IF($A59&lt;&gt;"",IF(INDEX(DiemHKII!$B$4:$K$58,MATCH($A59,DiemHKII!$B$4:$B$58,0),9)&lt;&gt;"",INDEX(DiemHKII!$B$4:$K$58,MATCH($A59,DiemHKII!$B$4:$B$58,0),9),""),"")</f>
        <v/>
      </c>
      <c r="F59" s="284" t="str">
        <f>IF($A59&lt;&gt;"",IF(INDEX(DiemHKII!$B$4:$K$58,MATCH($A59,DiemHKII!$B$4:$B$58,0),10)&lt;&gt;"",INDEX(DiemHKII!$B$4:$K$58,MATCH($A59,DiemHKII!$B$4:$B$58,0),10),""),"")</f>
        <v/>
      </c>
      <c r="G59" s="285" t="str">
        <f>IF($A59&lt;&gt;"",IF(INDEX(BDHK2,MATCH($A59,DiemHKII!$B$4:$B$58,0),INDEX($AD$9:$AF$22,MATCH(G$7,$AD$9:$AD$22,0),2))&lt;&gt;"",INDEX(BDHK2,MATCH($A59,DiemHKII!$B$4:$B$58,0),INDEX($AD$9:$AF$22,MATCH(G$7,$AD$9:$AD$22,0),3)),""),"")</f>
        <v/>
      </c>
      <c r="H59" s="286" t="str">
        <f>IF($A59&lt;&gt;"",IF(INDEX(BDHK2,MATCH($A59,DiemHKII!$B$4:$B$58,0),INDEX($AD$9:$AF$22,MATCH(H$7,$AD$9:$AD$22,0),2))&lt;&gt;"",INDEX(BDHK2,MATCH($A59,DiemHKII!$B$4:$B$58,0),INDEX($AD$9:$AF$22,MATCH(H$7,$AD$9:$AD$22,0),3)),""),"")</f>
        <v/>
      </c>
      <c r="I59" s="286" t="str">
        <f>IF($A59&lt;&gt;"",IF(INDEX(BDHK2,MATCH($A59,DiemHKII!$B$4:$B$58,0),INDEX($AD$9:$AF$22,MATCH(I$7,$AD$9:$AD$22,0),2))&lt;&gt;"",INDEX(BDHK2,MATCH($A59,DiemHKII!$B$4:$B$58,0),INDEX($AD$9:$AF$22,MATCH(I$7,$AD$9:$AD$22,0),3)),""),"")</f>
        <v/>
      </c>
      <c r="J59" s="286" t="str">
        <f>IF($A59&lt;&gt;"",IF(INDEX(BDHK2,MATCH($A59,DiemHKII!$B$4:$B$58,0),INDEX($AD$9:$AF$22,MATCH(J$7,$AD$9:$AD$22,0),2))&lt;&gt;"",INDEX(BDHK2,MATCH($A59,DiemHKII!$B$4:$B$58,0),INDEX($AD$9:$AF$22,MATCH(J$7,$AD$9:$AD$22,0),3)),""),"")</f>
        <v/>
      </c>
      <c r="K59" s="286" t="str">
        <f>IF($A59&lt;&gt;"",IF(INDEX(BDHK2,MATCH($A59,DiemHKII!$B$4:$B$58,0),INDEX($AD$9:$AF$22,MATCH(K$7,$AD$9:$AD$22,0),2))&lt;&gt;"",INDEX(BDHK2,MATCH($A59,DiemHKII!$B$4:$B$58,0),INDEX($AD$9:$AF$22,MATCH(K$7,$AD$9:$AD$22,0),3)),""),"")</f>
        <v/>
      </c>
      <c r="L59" s="286" t="str">
        <f>IF($A59&lt;&gt;"",IF(INDEX(BDHK2,MATCH($A59,DiemHKII!$B$4:$B$58,0),INDEX($AD$9:$AF$22,MATCH(L$7,$AD$9:$AD$22,0),2))&lt;&gt;"",INDEX(BDHK2,MATCH($A59,DiemHKII!$B$4:$B$58,0),INDEX($AD$9:$AF$22,MATCH(L$7,$AD$9:$AD$22,0),3)),""),"")</f>
        <v/>
      </c>
      <c r="M59" s="286" t="str">
        <f>IF($A59&lt;&gt;"",IF(INDEX(BDHK2,MATCH($A59,DiemHKII!$B$4:$B$58,0),INDEX($AD$9:$AF$22,MATCH(M$7,$AD$9:$AD$22,0),2))&lt;&gt;"",INDEX(BDHK2,MATCH($A59,DiemHKII!$B$4:$B$58,0),INDEX($AD$9:$AF$22,MATCH(M$7,$AD$9:$AD$22,0),3)),""),"")</f>
        <v/>
      </c>
      <c r="N59" s="286" t="str">
        <f>IF($A59&lt;&gt;"",IF(INDEX(BDHK2,MATCH($A59,DiemHKII!$B$4:$B$58,0),INDEX($AD$9:$AF$22,MATCH(N$7,$AD$9:$AD$22,0),2))&lt;&gt;"",INDEX(BDHK2,MATCH($A59,DiemHKII!$B$4:$B$58,0),INDEX($AD$9:$AF$22,MATCH(N$7,$AD$9:$AD$22,0),3)),""),"")</f>
        <v/>
      </c>
      <c r="O59" s="286" t="str">
        <f>IF($A59&lt;&gt;"",IF(INDEX(BDHK2,MATCH($A59,DiemHKII!$B$4:$B$58,0),INDEX($AD$9:$AF$22,MATCH(O$7,$AD$9:$AD$22,0),2))&lt;&gt;"",INDEX(BDHK2,MATCH($A59,DiemHKII!$B$4:$B$58,0),INDEX($AD$9:$AF$22,MATCH(O$7,$AD$9:$AD$22,0),3)),""),"")</f>
        <v/>
      </c>
      <c r="P59" s="286" t="str">
        <f>IF($A59&lt;&gt;"",IF(INDEX(BDHK2,MATCH($A59,DiemHKII!$B$4:$B$58,0),INDEX($AD$9:$AF$22,MATCH(P$7,$AD$9:$AD$22,0),2))&lt;&gt;"",INDEX(BDHK2,MATCH($A59,DiemHKII!$B$4:$B$58,0),INDEX($AD$9:$AF$22,MATCH(P$7,$AD$9:$AD$22,0),3)),""),"")</f>
        <v/>
      </c>
      <c r="Q59" s="286" t="str">
        <f>IF($A59&lt;&gt;"",IF(INDEX(BDHK2,MATCH($A59,DiemHKII!$B$4:$B$58,0),INDEX($AD$9:$AF$22,MATCH(Q$7,$AD$9:$AD$22,0),2))&lt;&gt;"",INDEX(BDHK2,MATCH($A59,DiemHKII!$B$4:$B$58,0),INDEX($AD$9:$AF$22,MATCH(Q$7,$AD$9:$AD$22,0),3)),""),"")</f>
        <v/>
      </c>
      <c r="R59" s="464" t="str">
        <f>IF($A59&lt;&gt;"",IF(INDEX(BDHK2,MATCH($A59,DiemHKII!$B$4:$B$58,0),INDEX($AD$9:$AF$22,MATCH(R$7,$AD$9:$AD$22,0),2))&lt;&gt;"",INDEX(BDHK2,MATCH($A59,DiemHKII!$B$4:$B$58,0),INDEX($AD$9:$AF$22,MATCH(R$7,$AD$9:$AD$22,0),3)),""),"")</f>
        <v/>
      </c>
      <c r="S59" s="464" t="str">
        <f t="shared" si="8"/>
        <v/>
      </c>
      <c r="T59" s="286" t="str">
        <f>IF($A59&lt;&gt;"",IF(INDEX(BDHK2,MATCH($A59,DiemHKII!$B$4:$B$58,0),INDEX($AD$9:$AF$22,MATCH(T$7,$AD$9:$AD$22,0),2))&lt;&gt;"",INDEX(BDHK2,MATCH($A59,DiemHKII!$B$4:$B$58,0),INDEX($AD$9:$AF$22,MATCH(T$7,$AD$9:$AD$22,0),3)),""),"")</f>
        <v/>
      </c>
      <c r="U59" s="287" t="str">
        <f>IF($A59&lt;&gt;"",IF(INDEX(BDHK2,MATCH($A59,DiemHKII!$B$4:$B$58,0),INDEX($AD$9:$AF$22,MATCH(U$7,$AD$9:$AD$22,0),2))&lt;&gt;"",INDEX(BDHK2,MATCH($A59,DiemHKII!$B$4:$B$58,0),INDEX($AD$9:$AF$22,MATCH(U$7,$AD$9:$AD$22,0),3)),""),"")</f>
        <v/>
      </c>
      <c r="V59" s="288" t="str">
        <f t="shared" si="9"/>
        <v/>
      </c>
      <c r="W59" s="464" t="str">
        <f t="shared" si="10"/>
        <v/>
      </c>
      <c r="X59" s="353"/>
      <c r="Y59" s="289" t="str">
        <f t="shared" si="11"/>
        <v/>
      </c>
      <c r="AA59" s="641" t="str">
        <f t="shared" si="4"/>
        <v/>
      </c>
      <c r="AG59" s="268" t="str">
        <f>IF($A59&lt;&gt;"",INDEX(DiemHKII!$B$4:$K$58,MATCH($A59,DiemHKII!$B$4:$B$58,0),2),"")</f>
        <v/>
      </c>
      <c r="AH59" s="674" t="str">
        <f t="shared" si="7"/>
        <v/>
      </c>
      <c r="AI59" s="672" t="str">
        <f t="shared" ca="1" si="6"/>
        <v/>
      </c>
    </row>
    <row r="60" spans="1:35" s="268" customFormat="1" ht="29.1" hidden="1" customHeight="1">
      <c r="A60" s="281" t="str">
        <f>IF(A59&lt;MAX(DiemHKII!$B$4:$B$58),A59+1,"")</f>
        <v/>
      </c>
      <c r="B60" s="282" t="str">
        <f>IF($A60&lt;&gt;"",PROPER(INDEX(DiemHKII!$B$4:$K$58,MATCH($A60,DiemHKII!$B$4:$B$58,0),4)),"")</f>
        <v/>
      </c>
      <c r="C60" s="283" t="str">
        <f>IF($A60&lt;&gt;"",PROPER(INDEX(DiemHKII!$B$4:$K$58,MATCH($A60,DiemHKII!$B$4:$B$58,0),5)),"")</f>
        <v/>
      </c>
      <c r="D60" s="284" t="str">
        <f>IF($A60&lt;&gt;"",IF(INDEX(DiemHKII!$B$4:$K$58,MATCH($A60,DiemHKII!$B$4:$B$58,0),8)&lt;&gt;"",INDEX(DiemHKII!$B$4:$K$58,MATCH($A60,DiemHKII!$B$4:$B$58,0),8),""),"")</f>
        <v/>
      </c>
      <c r="E60" s="284" t="str">
        <f>IF($A60&lt;&gt;"",IF(INDEX(DiemHKII!$B$4:$K$58,MATCH($A60,DiemHKII!$B$4:$B$58,0),9)&lt;&gt;"",INDEX(DiemHKII!$B$4:$K$58,MATCH($A60,DiemHKII!$B$4:$B$58,0),9),""),"")</f>
        <v/>
      </c>
      <c r="F60" s="284" t="str">
        <f>IF($A60&lt;&gt;"",IF(INDEX(DiemHKII!$B$4:$K$58,MATCH($A60,DiemHKII!$B$4:$B$58,0),10)&lt;&gt;"",INDEX(DiemHKII!$B$4:$K$58,MATCH($A60,DiemHKII!$B$4:$B$58,0),10),""),"")</f>
        <v/>
      </c>
      <c r="G60" s="285" t="str">
        <f>IF($A60&lt;&gt;"",IF(INDEX(BDHK2,MATCH($A60,DiemHKII!$B$4:$B$58,0),INDEX($AD$9:$AF$22,MATCH(G$7,$AD$9:$AD$22,0),2))&lt;&gt;"",INDEX(BDHK2,MATCH($A60,DiemHKII!$B$4:$B$58,0),INDEX($AD$9:$AF$22,MATCH(G$7,$AD$9:$AD$22,0),3)),""),"")</f>
        <v/>
      </c>
      <c r="H60" s="286" t="str">
        <f>IF($A60&lt;&gt;"",IF(INDEX(BDHK2,MATCH($A60,DiemHKII!$B$4:$B$58,0),INDEX($AD$9:$AF$22,MATCH(H$7,$AD$9:$AD$22,0),2))&lt;&gt;"",INDEX(BDHK2,MATCH($A60,DiemHKII!$B$4:$B$58,0),INDEX($AD$9:$AF$22,MATCH(H$7,$AD$9:$AD$22,0),3)),""),"")</f>
        <v/>
      </c>
      <c r="I60" s="286" t="str">
        <f>IF($A60&lt;&gt;"",IF(INDEX(BDHK2,MATCH($A60,DiemHKII!$B$4:$B$58,0),INDEX($AD$9:$AF$22,MATCH(I$7,$AD$9:$AD$22,0),2))&lt;&gt;"",INDEX(BDHK2,MATCH($A60,DiemHKII!$B$4:$B$58,0),INDEX($AD$9:$AF$22,MATCH(I$7,$AD$9:$AD$22,0),3)),""),"")</f>
        <v/>
      </c>
      <c r="J60" s="286" t="str">
        <f>IF($A60&lt;&gt;"",IF(INDEX(BDHK2,MATCH($A60,DiemHKII!$B$4:$B$58,0),INDEX($AD$9:$AF$22,MATCH(J$7,$AD$9:$AD$22,0),2))&lt;&gt;"",INDEX(BDHK2,MATCH($A60,DiemHKII!$B$4:$B$58,0),INDEX($AD$9:$AF$22,MATCH(J$7,$AD$9:$AD$22,0),3)),""),"")</f>
        <v/>
      </c>
      <c r="K60" s="286" t="str">
        <f>IF($A60&lt;&gt;"",IF(INDEX(BDHK2,MATCH($A60,DiemHKII!$B$4:$B$58,0),INDEX($AD$9:$AF$22,MATCH(K$7,$AD$9:$AD$22,0),2))&lt;&gt;"",INDEX(BDHK2,MATCH($A60,DiemHKII!$B$4:$B$58,0),INDEX($AD$9:$AF$22,MATCH(K$7,$AD$9:$AD$22,0),3)),""),"")</f>
        <v/>
      </c>
      <c r="L60" s="286" t="str">
        <f>IF($A60&lt;&gt;"",IF(INDEX(BDHK2,MATCH($A60,DiemHKII!$B$4:$B$58,0),INDEX($AD$9:$AF$22,MATCH(L$7,$AD$9:$AD$22,0),2))&lt;&gt;"",INDEX(BDHK2,MATCH($A60,DiemHKII!$B$4:$B$58,0),INDEX($AD$9:$AF$22,MATCH(L$7,$AD$9:$AD$22,0),3)),""),"")</f>
        <v/>
      </c>
      <c r="M60" s="286" t="str">
        <f>IF($A60&lt;&gt;"",IF(INDEX(BDHK2,MATCH($A60,DiemHKII!$B$4:$B$58,0),INDEX($AD$9:$AF$22,MATCH(M$7,$AD$9:$AD$22,0),2))&lt;&gt;"",INDEX(BDHK2,MATCH($A60,DiemHKII!$B$4:$B$58,0),INDEX($AD$9:$AF$22,MATCH(M$7,$AD$9:$AD$22,0),3)),""),"")</f>
        <v/>
      </c>
      <c r="N60" s="286" t="str">
        <f>IF($A60&lt;&gt;"",IF(INDEX(BDHK2,MATCH($A60,DiemHKII!$B$4:$B$58,0),INDEX($AD$9:$AF$22,MATCH(N$7,$AD$9:$AD$22,0),2))&lt;&gt;"",INDEX(BDHK2,MATCH($A60,DiemHKII!$B$4:$B$58,0),INDEX($AD$9:$AF$22,MATCH(N$7,$AD$9:$AD$22,0),3)),""),"")</f>
        <v/>
      </c>
      <c r="O60" s="286" t="str">
        <f>IF($A60&lt;&gt;"",IF(INDEX(BDHK2,MATCH($A60,DiemHKII!$B$4:$B$58,0),INDEX($AD$9:$AF$22,MATCH(O$7,$AD$9:$AD$22,0),2))&lt;&gt;"",INDEX(BDHK2,MATCH($A60,DiemHKII!$B$4:$B$58,0),INDEX($AD$9:$AF$22,MATCH(O$7,$AD$9:$AD$22,0),3)),""),"")</f>
        <v/>
      </c>
      <c r="P60" s="286" t="str">
        <f>IF($A60&lt;&gt;"",IF(INDEX(BDHK2,MATCH($A60,DiemHKII!$B$4:$B$58,0),INDEX($AD$9:$AF$22,MATCH(P$7,$AD$9:$AD$22,0),2))&lt;&gt;"",INDEX(BDHK2,MATCH($A60,DiemHKII!$B$4:$B$58,0),INDEX($AD$9:$AF$22,MATCH(P$7,$AD$9:$AD$22,0),3)),""),"")</f>
        <v/>
      </c>
      <c r="Q60" s="286" t="str">
        <f>IF($A60&lt;&gt;"",IF(INDEX(BDHK2,MATCH($A60,DiemHKII!$B$4:$B$58,0),INDEX($AD$9:$AF$22,MATCH(Q$7,$AD$9:$AD$22,0),2))&lt;&gt;"",INDEX(BDHK2,MATCH($A60,DiemHKII!$B$4:$B$58,0),INDEX($AD$9:$AF$22,MATCH(Q$7,$AD$9:$AD$22,0),3)),""),"")</f>
        <v/>
      </c>
      <c r="R60" s="464" t="str">
        <f>IF($A60&lt;&gt;"",IF(INDEX(BDHK2,MATCH($A60,DiemHKII!$B$4:$B$58,0),INDEX($AD$9:$AF$22,MATCH(R$7,$AD$9:$AD$22,0),2))&lt;&gt;"",INDEX(BDHK2,MATCH($A60,DiemHKII!$B$4:$B$58,0),INDEX($AD$9:$AF$22,MATCH(R$7,$AD$9:$AD$22,0),3)),""),"")</f>
        <v/>
      </c>
      <c r="S60" s="464" t="str">
        <f t="shared" si="8"/>
        <v/>
      </c>
      <c r="T60" s="286" t="str">
        <f>IF($A60&lt;&gt;"",IF(INDEX(BDHK2,MATCH($A60,DiemHKII!$B$4:$B$58,0),INDEX($AD$9:$AF$22,MATCH(T$7,$AD$9:$AD$22,0),2))&lt;&gt;"",INDEX(BDHK2,MATCH($A60,DiemHKII!$B$4:$B$58,0),INDEX($AD$9:$AF$22,MATCH(T$7,$AD$9:$AD$22,0),3)),""),"")</f>
        <v/>
      </c>
      <c r="U60" s="287" t="str">
        <f>IF($A60&lt;&gt;"",IF(INDEX(BDHK2,MATCH($A60,DiemHKII!$B$4:$B$58,0),INDEX($AD$9:$AF$22,MATCH(U$7,$AD$9:$AD$22,0),2))&lt;&gt;"",INDEX(BDHK2,MATCH($A60,DiemHKII!$B$4:$B$58,0),INDEX($AD$9:$AF$22,MATCH(U$7,$AD$9:$AD$22,0),3)),""),"")</f>
        <v/>
      </c>
      <c r="V60" s="288" t="str">
        <f t="shared" si="9"/>
        <v/>
      </c>
      <c r="W60" s="464" t="str">
        <f t="shared" si="10"/>
        <v/>
      </c>
      <c r="X60" s="353"/>
      <c r="Y60" s="289" t="str">
        <f t="shared" si="11"/>
        <v/>
      </c>
      <c r="AA60" s="641" t="str">
        <f t="shared" si="4"/>
        <v/>
      </c>
      <c r="AG60" s="268" t="str">
        <f>IF($A60&lt;&gt;"",INDEX(DiemHKII!$B$4:$K$58,MATCH($A60,DiemHKII!$B$4:$B$58,0),2),"")</f>
        <v/>
      </c>
      <c r="AH60" s="674" t="str">
        <f t="shared" si="7"/>
        <v/>
      </c>
      <c r="AI60" s="672" t="str">
        <f t="shared" ca="1" si="6"/>
        <v/>
      </c>
    </row>
    <row r="61" spans="1:35" s="268" customFormat="1" ht="29.1" hidden="1" customHeight="1">
      <c r="A61" s="281" t="str">
        <f>IF(A60&lt;MAX(DiemHKII!$B$4:$B$58),A60+1,"")</f>
        <v/>
      </c>
      <c r="B61" s="282" t="str">
        <f>IF($A61&lt;&gt;"",PROPER(INDEX(DiemHKII!$B$4:$K$58,MATCH($A61,DiemHKII!$B$4:$B$58,0),4)),"")</f>
        <v/>
      </c>
      <c r="C61" s="283" t="str">
        <f>IF($A61&lt;&gt;"",PROPER(INDEX(DiemHKII!$B$4:$K$58,MATCH($A61,DiemHKII!$B$4:$B$58,0),5)),"")</f>
        <v/>
      </c>
      <c r="D61" s="284" t="str">
        <f>IF($A61&lt;&gt;"",IF(INDEX(DiemHKII!$B$4:$K$58,MATCH($A61,DiemHKII!$B$4:$B$58,0),8)&lt;&gt;"",INDEX(DiemHKII!$B$4:$K$58,MATCH($A61,DiemHKII!$B$4:$B$58,0),8),""),"")</f>
        <v/>
      </c>
      <c r="E61" s="284" t="str">
        <f>IF($A61&lt;&gt;"",IF(INDEX(DiemHKII!$B$4:$K$58,MATCH($A61,DiemHKII!$B$4:$B$58,0),9)&lt;&gt;"",INDEX(DiemHKII!$B$4:$K$58,MATCH($A61,DiemHKII!$B$4:$B$58,0),9),""),"")</f>
        <v/>
      </c>
      <c r="F61" s="284" t="str">
        <f>IF($A61&lt;&gt;"",IF(INDEX(DiemHKII!$B$4:$K$58,MATCH($A61,DiemHKII!$B$4:$B$58,0),10)&lt;&gt;"",INDEX(DiemHKII!$B$4:$K$58,MATCH($A61,DiemHKII!$B$4:$B$58,0),10),""),"")</f>
        <v/>
      </c>
      <c r="G61" s="285" t="str">
        <f>IF($A61&lt;&gt;"",IF(INDEX(BDHK2,MATCH($A61,DiemHKII!$B$4:$B$58,0),INDEX($AD$9:$AF$22,MATCH(G$7,$AD$9:$AD$22,0),2))&lt;&gt;"",INDEX(BDHK2,MATCH($A61,DiemHKII!$B$4:$B$58,0),INDEX($AD$9:$AF$22,MATCH(G$7,$AD$9:$AD$22,0),3)),""),"")</f>
        <v/>
      </c>
      <c r="H61" s="286" t="str">
        <f>IF($A61&lt;&gt;"",IF(INDEX(BDHK2,MATCH($A61,DiemHKII!$B$4:$B$58,0),INDEX($AD$9:$AF$22,MATCH(H$7,$AD$9:$AD$22,0),2))&lt;&gt;"",INDEX(BDHK2,MATCH($A61,DiemHKII!$B$4:$B$58,0),INDEX($AD$9:$AF$22,MATCH(H$7,$AD$9:$AD$22,0),3)),""),"")</f>
        <v/>
      </c>
      <c r="I61" s="286" t="str">
        <f>IF($A61&lt;&gt;"",IF(INDEX(BDHK2,MATCH($A61,DiemHKII!$B$4:$B$58,0),INDEX($AD$9:$AF$22,MATCH(I$7,$AD$9:$AD$22,0),2))&lt;&gt;"",INDEX(BDHK2,MATCH($A61,DiemHKII!$B$4:$B$58,0),INDEX($AD$9:$AF$22,MATCH(I$7,$AD$9:$AD$22,0),3)),""),"")</f>
        <v/>
      </c>
      <c r="J61" s="286" t="str">
        <f>IF($A61&lt;&gt;"",IF(INDEX(BDHK2,MATCH($A61,DiemHKII!$B$4:$B$58,0),INDEX($AD$9:$AF$22,MATCH(J$7,$AD$9:$AD$22,0),2))&lt;&gt;"",INDEX(BDHK2,MATCH($A61,DiemHKII!$B$4:$B$58,0),INDEX($AD$9:$AF$22,MATCH(J$7,$AD$9:$AD$22,0),3)),""),"")</f>
        <v/>
      </c>
      <c r="K61" s="286" t="str">
        <f>IF($A61&lt;&gt;"",IF(INDEX(BDHK2,MATCH($A61,DiemHKII!$B$4:$B$58,0),INDEX($AD$9:$AF$22,MATCH(K$7,$AD$9:$AD$22,0),2))&lt;&gt;"",INDEX(BDHK2,MATCH($A61,DiemHKII!$B$4:$B$58,0),INDEX($AD$9:$AF$22,MATCH(K$7,$AD$9:$AD$22,0),3)),""),"")</f>
        <v/>
      </c>
      <c r="L61" s="286" t="str">
        <f>IF($A61&lt;&gt;"",IF(INDEX(BDHK2,MATCH($A61,DiemHKII!$B$4:$B$58,0),INDEX($AD$9:$AF$22,MATCH(L$7,$AD$9:$AD$22,0),2))&lt;&gt;"",INDEX(BDHK2,MATCH($A61,DiemHKII!$B$4:$B$58,0),INDEX($AD$9:$AF$22,MATCH(L$7,$AD$9:$AD$22,0),3)),""),"")</f>
        <v/>
      </c>
      <c r="M61" s="286" t="str">
        <f>IF($A61&lt;&gt;"",IF(INDEX(BDHK2,MATCH($A61,DiemHKII!$B$4:$B$58,0),INDEX($AD$9:$AF$22,MATCH(M$7,$AD$9:$AD$22,0),2))&lt;&gt;"",INDEX(BDHK2,MATCH($A61,DiemHKII!$B$4:$B$58,0),INDEX($AD$9:$AF$22,MATCH(M$7,$AD$9:$AD$22,0),3)),""),"")</f>
        <v/>
      </c>
      <c r="N61" s="286" t="str">
        <f>IF($A61&lt;&gt;"",IF(INDEX(BDHK2,MATCH($A61,DiemHKII!$B$4:$B$58,0),INDEX($AD$9:$AF$22,MATCH(N$7,$AD$9:$AD$22,0),2))&lt;&gt;"",INDEX(BDHK2,MATCH($A61,DiemHKII!$B$4:$B$58,0),INDEX($AD$9:$AF$22,MATCH(N$7,$AD$9:$AD$22,0),3)),""),"")</f>
        <v/>
      </c>
      <c r="O61" s="286" t="str">
        <f>IF($A61&lt;&gt;"",IF(INDEX(BDHK2,MATCH($A61,DiemHKII!$B$4:$B$58,0),INDEX($AD$9:$AF$22,MATCH(O$7,$AD$9:$AD$22,0),2))&lt;&gt;"",INDEX(BDHK2,MATCH($A61,DiemHKII!$B$4:$B$58,0),INDEX($AD$9:$AF$22,MATCH(O$7,$AD$9:$AD$22,0),3)),""),"")</f>
        <v/>
      </c>
      <c r="P61" s="286" t="str">
        <f>IF($A61&lt;&gt;"",IF(INDEX(BDHK2,MATCH($A61,DiemHKII!$B$4:$B$58,0),INDEX($AD$9:$AF$22,MATCH(P$7,$AD$9:$AD$22,0),2))&lt;&gt;"",INDEX(BDHK2,MATCH($A61,DiemHKII!$B$4:$B$58,0),INDEX($AD$9:$AF$22,MATCH(P$7,$AD$9:$AD$22,0),3)),""),"")</f>
        <v/>
      </c>
      <c r="Q61" s="286" t="str">
        <f>IF($A61&lt;&gt;"",IF(INDEX(BDHK2,MATCH($A61,DiemHKII!$B$4:$B$58,0),INDEX($AD$9:$AF$22,MATCH(Q$7,$AD$9:$AD$22,0),2))&lt;&gt;"",INDEX(BDHK2,MATCH($A61,DiemHKII!$B$4:$B$58,0),INDEX($AD$9:$AF$22,MATCH(Q$7,$AD$9:$AD$22,0),3)),""),"")</f>
        <v/>
      </c>
      <c r="R61" s="464" t="str">
        <f>IF($A61&lt;&gt;"",IF(INDEX(BDHK2,MATCH($A61,DiemHKII!$B$4:$B$58,0),INDEX($AD$9:$AF$22,MATCH(R$7,$AD$9:$AD$22,0),2))&lt;&gt;"",INDEX(BDHK2,MATCH($A61,DiemHKII!$B$4:$B$58,0),INDEX($AD$9:$AF$22,MATCH(R$7,$AD$9:$AD$22,0),3)),""),"")</f>
        <v/>
      </c>
      <c r="S61" s="464" t="str">
        <f t="shared" si="8"/>
        <v/>
      </c>
      <c r="T61" s="286" t="str">
        <f>IF($A61&lt;&gt;"",IF(INDEX(BDHK2,MATCH($A61,DiemHKII!$B$4:$B$58,0),INDEX($AD$9:$AF$22,MATCH(T$7,$AD$9:$AD$22,0),2))&lt;&gt;"",INDEX(BDHK2,MATCH($A61,DiemHKII!$B$4:$B$58,0),INDEX($AD$9:$AF$22,MATCH(T$7,$AD$9:$AD$22,0),3)),""),"")</f>
        <v/>
      </c>
      <c r="U61" s="287" t="str">
        <f>IF($A61&lt;&gt;"",IF(INDEX(BDHK2,MATCH($A61,DiemHKII!$B$4:$B$58,0),INDEX($AD$9:$AF$22,MATCH(U$7,$AD$9:$AD$22,0),2))&lt;&gt;"",INDEX(BDHK2,MATCH($A61,DiemHKII!$B$4:$B$58,0),INDEX($AD$9:$AF$22,MATCH(U$7,$AD$9:$AD$22,0),3)),""),"")</f>
        <v/>
      </c>
      <c r="V61" s="288" t="str">
        <f t="shared" si="9"/>
        <v/>
      </c>
      <c r="W61" s="464" t="str">
        <f t="shared" si="10"/>
        <v/>
      </c>
      <c r="X61" s="353"/>
      <c r="Y61" s="289" t="str">
        <f t="shared" si="11"/>
        <v/>
      </c>
      <c r="AA61" s="641" t="str">
        <f t="shared" si="4"/>
        <v/>
      </c>
      <c r="AG61" s="268" t="str">
        <f>IF($A61&lt;&gt;"",INDEX(DiemHKII!$B$4:$K$58,MATCH($A61,DiemHKII!$B$4:$B$58,0),2),"")</f>
        <v/>
      </c>
      <c r="AH61" s="674" t="str">
        <f t="shared" si="7"/>
        <v/>
      </c>
      <c r="AI61" s="672" t="str">
        <f t="shared" ca="1" si="6"/>
        <v/>
      </c>
    </row>
    <row r="62" spans="1:35" s="268" customFormat="1" ht="29.1" hidden="1" customHeight="1" thickBot="1">
      <c r="A62" s="290" t="str">
        <f>IF(A61&lt;MAX(DiemHKII!$B$4:$B$58),A61+1,"")</f>
        <v/>
      </c>
      <c r="B62" s="291" t="str">
        <f>IF($A62&lt;&gt;"",PROPER(INDEX(DiemHKII!$B$4:$K$58,MATCH($A62,DiemHKII!$B$4:$B$58,0),4)),"")</f>
        <v/>
      </c>
      <c r="C62" s="292" t="str">
        <f>IF($A62&lt;&gt;"",PROPER(INDEX(DiemHKII!$B$4:$K$58,MATCH($A62,DiemHKII!$B$4:$B$58,0),5)),"")</f>
        <v/>
      </c>
      <c r="D62" s="293" t="str">
        <f>IF($A62&lt;&gt;"",IF(INDEX(DiemHKII!$B$4:$K$58,MATCH($A62,DiemHKII!$B$4:$B$58,0),8)&lt;&gt;"",INDEX(DiemHKII!$B$4:$K$58,MATCH($A62,DiemHKII!$B$4:$B$58,0),8),""),"")</f>
        <v/>
      </c>
      <c r="E62" s="293" t="str">
        <f>IF($A62&lt;&gt;"",IF(INDEX(DiemHKII!$B$4:$K$58,MATCH($A62,DiemHKII!$B$4:$B$58,0),9)&lt;&gt;"",INDEX(DiemHKII!$B$4:$K$58,MATCH($A62,DiemHKII!$B$4:$B$58,0),9),""),"")</f>
        <v/>
      </c>
      <c r="F62" s="293" t="str">
        <f>IF($A62&lt;&gt;"",IF(INDEX(DiemHKII!$B$4:$K$58,MATCH($A62,DiemHKII!$B$4:$B$58,0),10)&lt;&gt;"",INDEX(DiemHKII!$B$4:$K$58,MATCH($A62,DiemHKII!$B$4:$B$58,0),10),""),"")</f>
        <v/>
      </c>
      <c r="G62" s="294" t="str">
        <f>IF($A62&lt;&gt;"",IF(INDEX(BDHK2,MATCH($A62,DiemHKII!$B$4:$B$58,0),INDEX($AD$9:$AF$22,MATCH(G$7,$AD$9:$AD$22,0),2))&lt;&gt;"",INDEX(BDHK2,MATCH($A62,DiemHKII!$B$4:$B$58,0),INDEX($AD$9:$AF$22,MATCH(G$7,$AD$9:$AD$22,0),3)),""),"")</f>
        <v/>
      </c>
      <c r="H62" s="295" t="str">
        <f>IF($A62&lt;&gt;"",IF(INDEX(BDHK2,MATCH($A62,DiemHKII!$B$4:$B$58,0),INDEX($AD$9:$AF$22,MATCH(H$7,$AD$9:$AD$22,0),2))&lt;&gt;"",INDEX(BDHK2,MATCH($A62,DiemHKII!$B$4:$B$58,0),INDEX($AD$9:$AF$22,MATCH(H$7,$AD$9:$AD$22,0),3)),""),"")</f>
        <v/>
      </c>
      <c r="I62" s="295" t="str">
        <f>IF($A62&lt;&gt;"",IF(INDEX(BDHK2,MATCH($A62,DiemHKII!$B$4:$B$58,0),INDEX($AD$9:$AF$22,MATCH(I$7,$AD$9:$AD$22,0),2))&lt;&gt;"",INDEX(BDHK2,MATCH($A62,DiemHKII!$B$4:$B$58,0),INDEX($AD$9:$AF$22,MATCH(I$7,$AD$9:$AD$22,0),3)),""),"")</f>
        <v/>
      </c>
      <c r="J62" s="295" t="str">
        <f>IF($A62&lt;&gt;"",IF(INDEX(BDHK2,MATCH($A62,DiemHKII!$B$4:$B$58,0),INDEX($AD$9:$AF$22,MATCH(J$7,$AD$9:$AD$22,0),2))&lt;&gt;"",INDEX(BDHK2,MATCH($A62,DiemHKII!$B$4:$B$58,0),INDEX($AD$9:$AF$22,MATCH(J$7,$AD$9:$AD$22,0),3)),""),"")</f>
        <v/>
      </c>
      <c r="K62" s="295" t="str">
        <f>IF($A62&lt;&gt;"",IF(INDEX(BDHK2,MATCH($A62,DiemHKII!$B$4:$B$58,0),INDEX($AD$9:$AF$22,MATCH(K$7,$AD$9:$AD$22,0),2))&lt;&gt;"",INDEX(BDHK2,MATCH($A62,DiemHKII!$B$4:$B$58,0),INDEX($AD$9:$AF$22,MATCH(K$7,$AD$9:$AD$22,0),3)),""),"")</f>
        <v/>
      </c>
      <c r="L62" s="295" t="str">
        <f>IF($A62&lt;&gt;"",IF(INDEX(BDHK2,MATCH($A62,DiemHKII!$B$4:$B$58,0),INDEX($AD$9:$AF$22,MATCH(L$7,$AD$9:$AD$22,0),2))&lt;&gt;"",INDEX(BDHK2,MATCH($A62,DiemHKII!$B$4:$B$58,0),INDEX($AD$9:$AF$22,MATCH(L$7,$AD$9:$AD$22,0),3)),""),"")</f>
        <v/>
      </c>
      <c r="M62" s="295" t="str">
        <f>IF($A62&lt;&gt;"",IF(INDEX(BDHK2,MATCH($A62,DiemHKII!$B$4:$B$58,0),INDEX($AD$9:$AF$22,MATCH(M$7,$AD$9:$AD$22,0),2))&lt;&gt;"",INDEX(BDHK2,MATCH($A62,DiemHKII!$B$4:$B$58,0),INDEX($AD$9:$AF$22,MATCH(M$7,$AD$9:$AD$22,0),3)),""),"")</f>
        <v/>
      </c>
      <c r="N62" s="295" t="str">
        <f>IF($A62&lt;&gt;"",IF(INDEX(BDHK2,MATCH($A62,DiemHKII!$B$4:$B$58,0),INDEX($AD$9:$AF$22,MATCH(N$7,$AD$9:$AD$22,0),2))&lt;&gt;"",INDEX(BDHK2,MATCH($A62,DiemHKII!$B$4:$B$58,0),INDEX($AD$9:$AF$22,MATCH(N$7,$AD$9:$AD$22,0),3)),""),"")</f>
        <v/>
      </c>
      <c r="O62" s="295" t="str">
        <f>IF($A62&lt;&gt;"",IF(INDEX(BDHK2,MATCH($A62,DiemHKII!$B$4:$B$58,0),INDEX($AD$9:$AF$22,MATCH(O$7,$AD$9:$AD$22,0),2))&lt;&gt;"",INDEX(BDHK2,MATCH($A62,DiemHKII!$B$4:$B$58,0),INDEX($AD$9:$AF$22,MATCH(O$7,$AD$9:$AD$22,0),3)),""),"")</f>
        <v/>
      </c>
      <c r="P62" s="295" t="str">
        <f>IF($A62&lt;&gt;"",IF(INDEX(BDHK2,MATCH($A62,DiemHKII!$B$4:$B$58,0),INDEX($AD$9:$AF$22,MATCH(P$7,$AD$9:$AD$22,0),2))&lt;&gt;"",INDEX(BDHK2,MATCH($A62,DiemHKII!$B$4:$B$58,0),INDEX($AD$9:$AF$22,MATCH(P$7,$AD$9:$AD$22,0),3)),""),"")</f>
        <v/>
      </c>
      <c r="Q62" s="295" t="str">
        <f>IF($A62&lt;&gt;"",IF(INDEX(BDHK2,MATCH($A62,DiemHKII!$B$4:$B$58,0),INDEX($AD$9:$AF$22,MATCH(Q$7,$AD$9:$AD$22,0),2))&lt;&gt;"",INDEX(BDHK2,MATCH($A62,DiemHKII!$B$4:$B$58,0),INDEX($AD$9:$AF$22,MATCH(Q$7,$AD$9:$AD$22,0),3)),""),"")</f>
        <v/>
      </c>
      <c r="R62" s="296" t="str">
        <f>IF($A62&lt;&gt;"",IF(INDEX(BDHK2,MATCH($A62,DiemHKII!$B$4:$B$58,0),INDEX($AD$9:$AF$22,MATCH(R$7,$AD$9:$AD$22,0),2))&lt;&gt;"",INDEX(BDHK2,MATCH($A62,DiemHKII!$B$4:$B$58,0),INDEX($AD$9:$AF$22,MATCH(R$7,$AD$9:$AD$22,0),3)),""),"")</f>
        <v/>
      </c>
      <c r="S62" s="296" t="str">
        <f t="shared" si="8"/>
        <v/>
      </c>
      <c r="T62" s="295" t="str">
        <f>IF($A62&lt;&gt;"",IF(INDEX(BDHK2,MATCH($A62,DiemHKII!$B$4:$B$58,0),INDEX($AD$9:$AF$22,MATCH(T$7,$AD$9:$AD$22,0),2))&lt;&gt;"",INDEX(BDHK2,MATCH($A62,DiemHKII!$B$4:$B$58,0),INDEX($AD$9:$AF$22,MATCH(T$7,$AD$9:$AD$22,0),3)),""),"")</f>
        <v/>
      </c>
      <c r="U62" s="297" t="str">
        <f>IF($A62&lt;&gt;"",IF(INDEX(BDHK2,MATCH($A62,DiemHKII!$B$4:$B$58,0),INDEX($AD$9:$AF$22,MATCH(U$7,$AD$9:$AD$22,0),2))&lt;&gt;"",INDEX(BDHK2,MATCH($A62,DiemHKII!$B$4:$B$58,0),INDEX($AD$9:$AF$22,MATCH(U$7,$AD$9:$AD$22,0),3)),""),"")</f>
        <v/>
      </c>
      <c r="V62" s="298" t="str">
        <f t="shared" si="9"/>
        <v/>
      </c>
      <c r="W62" s="296" t="str">
        <f t="shared" si="10"/>
        <v/>
      </c>
      <c r="X62" s="354"/>
      <c r="Y62" s="299" t="str">
        <f t="shared" si="11"/>
        <v/>
      </c>
      <c r="AA62" s="659" t="str">
        <f t="shared" si="4"/>
        <v/>
      </c>
      <c r="AG62" s="268" t="str">
        <f>IF($A62&lt;&gt;"",INDEX(DiemHKII!$B$4:$K$58,MATCH($A62,DiemHKII!$B$4:$B$58,0),2),"")</f>
        <v/>
      </c>
      <c r="AH62" s="678" t="str">
        <f t="shared" si="7"/>
        <v/>
      </c>
      <c r="AI62" s="679" t="str">
        <f t="shared" ca="1" si="6"/>
        <v/>
      </c>
    </row>
    <row r="63" spans="1:35" s="268" customFormat="1" ht="17.25" customHeight="1">
      <c r="A63" s="1"/>
      <c r="D63" s="1"/>
      <c r="E63" s="1"/>
      <c r="F63" s="1"/>
      <c r="AA63" s="1"/>
    </row>
    <row r="64" spans="1:35" ht="15" customHeight="1">
      <c r="N64" s="956" t="s">
        <v>248</v>
      </c>
      <c r="O64" s="956"/>
      <c r="P64" s="956"/>
      <c r="Q64" s="956"/>
      <c r="R64" s="956"/>
      <c r="S64" s="956"/>
      <c r="T64" s="956"/>
      <c r="U64" s="956"/>
      <c r="V64" s="956"/>
      <c r="W64" s="956"/>
      <c r="X64" s="956"/>
    </row>
    <row r="65" spans="8:24" ht="15" customHeight="1">
      <c r="N65" s="957" t="s">
        <v>70</v>
      </c>
      <c r="O65" s="957"/>
      <c r="P65" s="957"/>
      <c r="Q65" s="957"/>
      <c r="R65" s="957"/>
      <c r="S65" s="957"/>
      <c r="T65" s="957"/>
      <c r="U65" s="957"/>
      <c r="V65" s="957"/>
      <c r="W65" s="957"/>
      <c r="X65" s="957"/>
    </row>
    <row r="66" spans="8:24" ht="11.25" customHeight="1"/>
    <row r="67" spans="8:24" ht="11.25" customHeight="1"/>
    <row r="68" spans="8:24" ht="11.25" customHeight="1"/>
    <row r="69" spans="8:24" ht="11.25" customHeight="1"/>
    <row r="70" spans="8:24" ht="11.25" customHeight="1"/>
    <row r="71" spans="8:24" ht="11.25" customHeight="1"/>
    <row r="73" spans="8:24">
      <c r="H73" s="938" t="s">
        <v>36</v>
      </c>
      <c r="I73" s="939"/>
      <c r="J73" s="940"/>
      <c r="K73" s="303" t="s">
        <v>11</v>
      </c>
      <c r="L73" s="304" t="s">
        <v>12</v>
      </c>
      <c r="M73" s="304" t="s">
        <v>39</v>
      </c>
      <c r="N73" s="304" t="s">
        <v>14</v>
      </c>
      <c r="O73" s="305" t="s">
        <v>15</v>
      </c>
      <c r="P73" s="306" t="s">
        <v>52</v>
      </c>
      <c r="Q73" s="1048" t="s">
        <v>37</v>
      </c>
      <c r="R73" s="1049"/>
      <c r="S73" s="1049"/>
      <c r="T73" s="1050"/>
      <c r="U73" s="303" t="s">
        <v>38</v>
      </c>
      <c r="V73" s="304" t="s">
        <v>12</v>
      </c>
      <c r="W73" s="304" t="s">
        <v>39</v>
      </c>
      <c r="X73" s="305" t="s">
        <v>14</v>
      </c>
    </row>
    <row r="74" spans="8:24">
      <c r="H74" s="942" t="s">
        <v>106</v>
      </c>
      <c r="I74" s="943"/>
      <c r="J74" s="239" t="s">
        <v>49</v>
      </c>
      <c r="K74" s="307">
        <f>COUNTIFS($B$8:$B$62,"?*",$W$8:$W$62,K73)</f>
        <v>0</v>
      </c>
      <c r="L74" s="307">
        <f>COUNTIFS($B$8:$B$62,"?*",$W$8:$W$62,L73)</f>
        <v>0</v>
      </c>
      <c r="M74" s="307">
        <f>COUNTIFS($B$8:$B$62,"?*",$W$8:$W$62,M73)</f>
        <v>0</v>
      </c>
      <c r="N74" s="307">
        <f>COUNTIFS($B$8:$B$62,"?*",$W$8:$W$62,N73)</f>
        <v>0</v>
      </c>
      <c r="O74" s="307">
        <f>COUNTIFS($B$8:$B$62,"?*",$W$8:$W$62,O73)</f>
        <v>0</v>
      </c>
      <c r="P74" s="243">
        <f>SUM(K74:O74)</f>
        <v>0</v>
      </c>
      <c r="Q74" s="937" t="s">
        <v>107</v>
      </c>
      <c r="R74" s="937"/>
      <c r="S74" s="937"/>
      <c r="T74" s="308" t="s">
        <v>49</v>
      </c>
      <c r="U74" s="307">
        <f>COUNTIFS($B$8:$B$62,"?*",$X$8:$X$62,U73)</f>
        <v>0</v>
      </c>
      <c r="V74" s="307">
        <f>COUNTIFS($B$8:$B$62,"?*",$X$8:$X$62,V73)</f>
        <v>0</v>
      </c>
      <c r="W74" s="307">
        <f>COUNTIFS($B$8:$B$62,"?*",$X$8:$X$62,W73)</f>
        <v>0</v>
      </c>
      <c r="X74" s="307">
        <f>COUNTIFS($B$8:$B$62,"?*",$X$8:$X$62,X73)</f>
        <v>0</v>
      </c>
    </row>
    <row r="75" spans="8:24">
      <c r="H75" s="875"/>
      <c r="I75" s="944"/>
      <c r="J75" s="244" t="s">
        <v>17</v>
      </c>
      <c r="K75" s="243">
        <f>COUNTIFS($B$8:$B$62,"?*",$D$8:$D$62,"",$W$8:$W$62,K73)</f>
        <v>0</v>
      </c>
      <c r="L75" s="243">
        <f>COUNTIFS($B$8:$B$62,"?*",$D$8:$D$62,"",$W$8:$W$62,L73)</f>
        <v>0</v>
      </c>
      <c r="M75" s="243">
        <f>COUNTIFS($B$8:$B$62,"?*",$D$8:$D$62,"",$W$8:$W$62,M73)</f>
        <v>0</v>
      </c>
      <c r="N75" s="243">
        <f>COUNTIFS($B$8:$B$62,"?*",$D$8:$D$62,"",$W$8:$W$62,N73)</f>
        <v>0</v>
      </c>
      <c r="O75" s="243">
        <f>COUNTIFS($B$8:$B$62,"?*",$D$8:$D$62,"",$W$8:$W$62,O73)</f>
        <v>0</v>
      </c>
      <c r="P75" s="243">
        <f t="shared" ref="P75:P78" si="12">SUM(K75:O75)</f>
        <v>0</v>
      </c>
      <c r="Q75" s="937"/>
      <c r="R75" s="937"/>
      <c r="S75" s="937"/>
      <c r="T75" s="309" t="s">
        <v>17</v>
      </c>
      <c r="U75" s="243">
        <f>COUNTIFS($B$8:$B$62,"?*",$D$8:$D$62,"",$X$8:$X$62,U73)</f>
        <v>0</v>
      </c>
      <c r="V75" s="243">
        <f>COUNTIFS($B$8:$B$62,"?*",$D$8:$D$62,"",$X$8:$X$62,V73)</f>
        <v>0</v>
      </c>
      <c r="W75" s="243">
        <f>COUNTIFS($B$8:$B$62,"?*",$D$8:$D$62,"",$X$8:$X$62,W73)</f>
        <v>0</v>
      </c>
      <c r="X75" s="243">
        <f>COUNTIFS($B$8:$B$62,"?*",$D$8:$D$62,"",$X$8:$X$62,X73)</f>
        <v>0</v>
      </c>
    </row>
    <row r="76" spans="8:24">
      <c r="H76" s="875"/>
      <c r="I76" s="944"/>
      <c r="J76" s="244" t="s">
        <v>18</v>
      </c>
      <c r="K76" s="243">
        <f>COUNTIFS($B$8:$B$62,"?*",$D$8:$D$62,"x",$W$8:$W$62,K73)</f>
        <v>0</v>
      </c>
      <c r="L76" s="243">
        <f>COUNTIFS($B$8:$B$62,"?*",$D$8:$D$62,"x",$W$8:$W$62,L73)</f>
        <v>0</v>
      </c>
      <c r="M76" s="243">
        <f>COUNTIFS($B$8:$B$62,"?*",$D$8:$D$62,"x",$W$8:$W$62,M73)</f>
        <v>0</v>
      </c>
      <c r="N76" s="243">
        <f>COUNTIFS($B$8:$B$62,"?*",$D$8:$D$62,"x",$W$8:$W$62,N73)</f>
        <v>0</v>
      </c>
      <c r="O76" s="243">
        <f>COUNTIFS($B$8:$B$62,"?*",$D$8:$D$62,"x",$W$8:$W$62,O73)</f>
        <v>0</v>
      </c>
      <c r="P76" s="243">
        <f t="shared" si="12"/>
        <v>0</v>
      </c>
      <c r="Q76" s="937"/>
      <c r="R76" s="937"/>
      <c r="S76" s="937"/>
      <c r="T76" s="309" t="s">
        <v>18</v>
      </c>
      <c r="U76" s="243">
        <f>COUNTIFS($B$8:$B$62,"?*",$D$8:$D$62,"x",$X$8:$X$62,U73)</f>
        <v>0</v>
      </c>
      <c r="V76" s="243">
        <f>COUNTIFS($B$8:$B$62,"?*",$D$8:$D$62,"x",$X$8:$X$62,V73)</f>
        <v>0</v>
      </c>
      <c r="W76" s="243">
        <f>COUNTIFS($B$8:$B$62,"?*",$D$8:$D$62,"x",$X$8:$X$62,W73)</f>
        <v>0</v>
      </c>
      <c r="X76" s="243">
        <f>COUNTIFS($B$8:$B$62,"?*",$D$8:$D$62,"x",$X$8:$X$62,X73)</f>
        <v>0</v>
      </c>
    </row>
    <row r="77" spans="8:24">
      <c r="H77" s="875"/>
      <c r="I77" s="944"/>
      <c r="J77" s="244" t="s">
        <v>50</v>
      </c>
      <c r="K77" s="243">
        <f>COUNTIFS($B$8:$B$62,"?*",$E$8:$E$62,"x",$W$8:$W$62,K73)</f>
        <v>0</v>
      </c>
      <c r="L77" s="243">
        <f>COUNTIFS($B$8:$B$62,"?*",$E$8:$E$62,"x",$W$8:$W$62,L73)</f>
        <v>0</v>
      </c>
      <c r="M77" s="243">
        <f>COUNTIFS($B$8:$B$62,"?*",$E$8:$E$62,"x",$W$8:$W$62,M73)</f>
        <v>0</v>
      </c>
      <c r="N77" s="243">
        <f>COUNTIFS($B$8:$B$62,"?*",$E$8:$E$62,"x",$W$8:$W$62,N73)</f>
        <v>0</v>
      </c>
      <c r="O77" s="243">
        <f>COUNTIFS($B$8:$B$62,"?*",$E$8:$E$62,"x",$W$8:$W$62,O73)</f>
        <v>0</v>
      </c>
      <c r="P77" s="243">
        <f t="shared" si="12"/>
        <v>0</v>
      </c>
      <c r="Q77" s="937"/>
      <c r="R77" s="937"/>
      <c r="S77" s="937"/>
      <c r="T77" s="309" t="s">
        <v>50</v>
      </c>
      <c r="U77" s="243">
        <f>COUNTIFS($B$8:$B$62,"?*",$E$8:$E$62,"x",$X$8:$X$62,U73)</f>
        <v>0</v>
      </c>
      <c r="V77" s="243">
        <f>COUNTIFS($B$8:$B$62,"?*",$E$8:$E$62,"x",$X$8:$X$62,V73)</f>
        <v>0</v>
      </c>
      <c r="W77" s="243">
        <f>COUNTIFS($B$8:$B$62,"?*",$E$8:$E$62,"x",$X$8:$X$62,W73)</f>
        <v>0</v>
      </c>
      <c r="X77" s="243">
        <f>COUNTIFS($B$8:$B$62,"?*",$E$8:$E$62,"x",$X$8:$X$62,X73)</f>
        <v>0</v>
      </c>
    </row>
    <row r="78" spans="8:24">
      <c r="H78" s="876"/>
      <c r="I78" s="945"/>
      <c r="J78" s="244" t="s">
        <v>48</v>
      </c>
      <c r="K78" s="243">
        <f>COUNTIFS($B$8:$B$62,"?*",$F$8:$F$62,"x",$W$8:$W$62,K73)</f>
        <v>0</v>
      </c>
      <c r="L78" s="243">
        <f>COUNTIFS($B$8:$B$62,"?*",$F$8:$F$62,"x",$W$8:$W$62,L73)</f>
        <v>0</v>
      </c>
      <c r="M78" s="243">
        <f>COUNTIFS($B$8:$B$62,"?*",$F$8:$F$62,"x",$W$8:$W$62,M73)</f>
        <v>0</v>
      </c>
      <c r="N78" s="243">
        <f>COUNTIFS($B$8:$B$62,"?*",$F$8:$F$62,"x",$W$8:$W$62,N73)</f>
        <v>0</v>
      </c>
      <c r="O78" s="243">
        <f>COUNTIFS($B$8:$B$62,"?*",$F$8:$F$62,"x",$W$8:$W$62,O73)</f>
        <v>0</v>
      </c>
      <c r="P78" s="243">
        <f t="shared" si="12"/>
        <v>0</v>
      </c>
      <c r="Q78" s="937"/>
      <c r="R78" s="937"/>
      <c r="S78" s="937"/>
      <c r="T78" s="309" t="s">
        <v>48</v>
      </c>
      <c r="U78" s="243">
        <f>COUNTIFS($B$8:$B$62,"?*",$F$8:$F$62,"x",$X$8:$X$62,U73)</f>
        <v>0</v>
      </c>
      <c r="V78" s="243">
        <f>COUNTIFS($B$8:$B$62,"?*",$F$8:$F$62,"x",$X$8:$X$62,V73)</f>
        <v>0</v>
      </c>
      <c r="W78" s="243">
        <f>COUNTIFS($B$8:$B$62,"?*",$F$8:$F$62,"x",$X$8:$X$62,W73)</f>
        <v>0</v>
      </c>
      <c r="X78" s="243">
        <f>COUNTIFS($B$8:$B$62,"?*",$F$8:$F$62,"x",$X$8:$X$62,X73)</f>
        <v>0</v>
      </c>
    </row>
    <row r="80" spans="8:24">
      <c r="H80" s="1044" t="s">
        <v>25</v>
      </c>
      <c r="I80" s="1045"/>
      <c r="J80" s="464" t="s">
        <v>108</v>
      </c>
      <c r="K80" s="464">
        <f>COUNTIFS($A$8:$A$62,"&gt;=1",$Y$8:$Y$62,J80)</f>
        <v>0</v>
      </c>
    </row>
    <row r="81" spans="8:11">
      <c r="H81" s="1046"/>
      <c r="I81" s="1047"/>
      <c r="J81" s="464" t="s">
        <v>109</v>
      </c>
      <c r="K81" s="464">
        <f>COUNTIFS($A$8:$A$62,"&gt;=1",$Y$8:$Y$62,J81)</f>
        <v>0</v>
      </c>
    </row>
  </sheetData>
  <sheetProtection algorithmName="SHA-512" hashValue="8d4zvHE/cg3sxuQUQCHLlW8c9HJMnFcj8YZzxT1e2zOY4fyIuY29KV4uywNdpXoUhWBK9G0A9ynJJ62Z85/WJg==" saltValue="4oTtCxMf5WzSmFeu2D3BLw==" spinCount="100000" sheet="1" formatCells="0" formatColumns="0" formatRows="0"/>
  <mergeCells count="19">
    <mergeCell ref="H80:I81"/>
    <mergeCell ref="Y6:Y7"/>
    <mergeCell ref="N64:X64"/>
    <mergeCell ref="N65:X65"/>
    <mergeCell ref="H73:J73"/>
    <mergeCell ref="Q73:T73"/>
    <mergeCell ref="V6:V7"/>
    <mergeCell ref="W6:X6"/>
    <mergeCell ref="H74:I78"/>
    <mergeCell ref="Q74:S78"/>
    <mergeCell ref="A6:A7"/>
    <mergeCell ref="B6:C7"/>
    <mergeCell ref="G6:U6"/>
    <mergeCell ref="B4:Y4"/>
    <mergeCell ref="A1:I1"/>
    <mergeCell ref="K1:Y1"/>
    <mergeCell ref="A2:I2"/>
    <mergeCell ref="K2:Y2"/>
    <mergeCell ref="A3:I3"/>
  </mergeCells>
  <conditionalFormatting sqref="V8:V62">
    <cfRule type="cellIs" dxfId="430" priority="5" operator="between">
      <formula>8</formula>
      <formula>10</formula>
    </cfRule>
  </conditionalFormatting>
  <conditionalFormatting sqref="G8:Y62">
    <cfRule type="expression" dxfId="429" priority="4">
      <formula>G8=""</formula>
    </cfRule>
  </conditionalFormatting>
  <conditionalFormatting sqref="AA8:AA62">
    <cfRule type="top10" dxfId="428" priority="2" bottom="1" rank="5"/>
    <cfRule type="top10" dxfId="427" priority="3" rank="5"/>
  </conditionalFormatting>
  <conditionalFormatting sqref="G8:W62">
    <cfRule type="expression" dxfId="426" priority="1" stopIfTrue="1">
      <formula>OR(AND($V8&gt;=8,$W8="Khá"),AND($V8&gt;=6.5,$W8="Tb"),AND($V8&gt;=5,$W8="Yếu"))</formula>
    </cfRule>
  </conditionalFormatting>
  <dataValidations count="1">
    <dataValidation type="list" allowBlank="1" showInputMessage="1" showErrorMessage="1" sqref="X8:X62">
      <formula1>$AC$9:$AC$13</formula1>
    </dataValidation>
  </dataValidations>
  <printOptions horizontalCentered="1"/>
  <pageMargins left="0.25" right="0.25" top="0.25" bottom="0.25" header="0" footer="0"/>
  <pageSetup paperSize="9" scale="58" orientation="portrait" blackAndWhite="1" r:id="rId1"/>
  <ignoredErrors>
    <ignoredError sqref="S8:S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4" name="Button 3">
              <controlPr defaultSize="0" print="0" autoFill="0" autoPict="0" macro="[0]!Nhapdiemhk2">
                <anchor moveWithCells="1" sizeWithCells="1">
                  <from>
                    <xdr:col>22</xdr:col>
                    <xdr:colOff>60960</xdr:colOff>
                    <xdr:row>1</xdr:row>
                    <xdr:rowOff>0</xdr:rowOff>
                  </from>
                  <to>
                    <xdr:col>24</xdr:col>
                    <xdr:colOff>426720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4" tint="-0.249977111117893"/>
    <pageSetUpPr fitToPage="1"/>
  </sheetPr>
  <dimension ref="A1:AI81"/>
  <sheetViews>
    <sheetView workbookViewId="0">
      <pane xSplit="6" ySplit="7" topLeftCell="G8" activePane="bottomRight" state="frozen"/>
      <selection activeCell="W23" sqref="W23"/>
      <selection pane="topRight" activeCell="W23" sqref="W23"/>
      <selection pane="bottomLeft" activeCell="W23" sqref="W23"/>
      <selection pane="bottomRight" activeCell="AC8" sqref="AC8"/>
    </sheetView>
  </sheetViews>
  <sheetFormatPr defaultColWidth="9.109375" defaultRowHeight="13.8"/>
  <cols>
    <col min="1" max="1" width="5.6640625" style="1" customWidth="1"/>
    <col min="2" max="2" width="22.44140625" style="1" customWidth="1"/>
    <col min="3" max="3" width="9.88671875" style="268" customWidth="1"/>
    <col min="4" max="6" width="5.6640625" style="1" hidden="1" customWidth="1"/>
    <col min="7" max="18" width="6.6640625" style="1" customWidth="1"/>
    <col min="19" max="19" width="6.6640625" style="1" hidden="1" customWidth="1"/>
    <col min="20" max="21" width="6.6640625" style="1" customWidth="1"/>
    <col min="22" max="22" width="8" style="1" customWidth="1"/>
    <col min="23" max="23" width="7.6640625" style="1" customWidth="1"/>
    <col min="24" max="24" width="7.88671875" style="1" customWidth="1"/>
    <col min="25" max="25" width="7.6640625" style="1" customWidth="1"/>
    <col min="26" max="26" width="3.33203125" style="1" customWidth="1"/>
    <col min="27" max="27" width="4.44140625" style="1" customWidth="1"/>
    <col min="28" max="28" width="8" style="1" customWidth="1"/>
    <col min="29" max="29" width="9.33203125" style="1" hidden="1" customWidth="1"/>
    <col min="30" max="30" width="11.5546875" style="1" hidden="1" customWidth="1"/>
    <col min="31" max="32" width="6" style="1" hidden="1" customWidth="1"/>
    <col min="33" max="33" width="29.5546875" style="1" hidden="1" customWidth="1"/>
    <col min="34" max="34" width="17.33203125" style="1" customWidth="1"/>
    <col min="35" max="35" width="16.6640625" style="1" customWidth="1"/>
    <col min="36" max="45" width="6" style="1" customWidth="1"/>
    <col min="46" max="16384" width="9.109375" style="1"/>
  </cols>
  <sheetData>
    <row r="1" spans="1:35" ht="20.25" customHeight="1">
      <c r="A1" s="1043" t="str">
        <f>IF('Huong dan'!E3&lt;&gt;"","SỞ GIÁO DỤC VÀ ĐÀO TẠO "&amp;UPPER('Huong dan'!E3),"")</f>
        <v>SỞ GIÁO DỤC VÀ ĐÀO TẠO TP. HỒ CHÍ MINH</v>
      </c>
      <c r="B1" s="1043"/>
      <c r="C1" s="1043"/>
      <c r="D1" s="1043"/>
      <c r="E1" s="1043"/>
      <c r="F1" s="1043"/>
      <c r="G1" s="1043"/>
      <c r="H1" s="1043"/>
      <c r="I1" s="1043"/>
      <c r="J1" s="251"/>
      <c r="K1" s="922" t="s">
        <v>19</v>
      </c>
      <c r="L1" s="922"/>
      <c r="M1" s="922"/>
      <c r="N1" s="922"/>
      <c r="O1" s="922"/>
      <c r="P1" s="922"/>
      <c r="Q1" s="922"/>
      <c r="R1" s="922"/>
      <c r="S1" s="922"/>
      <c r="T1" s="922"/>
      <c r="U1" s="922"/>
      <c r="V1" s="922"/>
      <c r="W1" s="922"/>
      <c r="X1" s="922"/>
      <c r="Y1" s="922"/>
    </row>
    <row r="2" spans="1:35" ht="15" customHeight="1">
      <c r="A2" s="922" t="str">
        <f>IF('Huong dan'!E4&lt;&gt;"","TRƯỜNG "&amp;UPPER('Huong dan'!E4),"")</f>
        <v>TRƯỜNG THCS VÀ THPT NGUYỄN KHUYẾN</v>
      </c>
      <c r="B2" s="922"/>
      <c r="C2" s="922"/>
      <c r="D2" s="922"/>
      <c r="E2" s="922"/>
      <c r="F2" s="922"/>
      <c r="G2" s="922"/>
      <c r="H2" s="922"/>
      <c r="I2" s="922"/>
      <c r="J2" s="251"/>
      <c r="K2" s="922" t="s">
        <v>179</v>
      </c>
      <c r="L2" s="922"/>
      <c r="M2" s="922"/>
      <c r="N2" s="922"/>
      <c r="O2" s="922"/>
      <c r="P2" s="922"/>
      <c r="Q2" s="922"/>
      <c r="R2" s="922"/>
      <c r="S2" s="922"/>
      <c r="T2" s="922"/>
      <c r="U2" s="922"/>
      <c r="V2" s="922"/>
      <c r="W2" s="922"/>
      <c r="X2" s="922"/>
      <c r="Y2" s="922"/>
    </row>
    <row r="3" spans="1:35" ht="15" customHeight="1">
      <c r="A3" s="922" t="str">
        <f>IF('Huong dan'!C3&lt;&gt;"","Lớp "&amp;UPPER('Huong dan'!C3),"")</f>
        <v>Lớp 12A1</v>
      </c>
      <c r="B3" s="922"/>
      <c r="C3" s="922"/>
      <c r="D3" s="922"/>
      <c r="E3" s="922"/>
      <c r="F3" s="922"/>
      <c r="G3" s="922"/>
      <c r="H3" s="922"/>
      <c r="I3" s="922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89"/>
      <c r="X3" s="89"/>
      <c r="Y3" s="89"/>
    </row>
    <row r="4" spans="1:35" ht="29.25" customHeight="1">
      <c r="A4" s="251"/>
      <c r="B4" s="932" t="str">
        <f>"BẢNG TỔNG HỢP KẾT QUẢ ĐÁNH GIÁ, XẾP LOẠI  CẢ NĂM - NĂM HỌC  "&amp;'Huong dan'!C5</f>
        <v>BẢNG TỔNG HỢP KẾT QUẢ ĐÁNH GIÁ, XẾP LOẠI  CẢ NĂM - NĂM HỌC  2021 - 2022</v>
      </c>
      <c r="C4" s="932"/>
      <c r="D4" s="932"/>
      <c r="E4" s="932"/>
      <c r="F4" s="932"/>
      <c r="G4" s="932"/>
      <c r="H4" s="932"/>
      <c r="I4" s="932"/>
      <c r="J4" s="932"/>
      <c r="K4" s="932"/>
      <c r="L4" s="932"/>
      <c r="M4" s="932"/>
      <c r="N4" s="932"/>
      <c r="O4" s="932"/>
      <c r="P4" s="932"/>
      <c r="Q4" s="932"/>
      <c r="R4" s="932"/>
      <c r="S4" s="932"/>
      <c r="T4" s="932"/>
      <c r="U4" s="932"/>
      <c r="V4" s="932"/>
      <c r="W4" s="932"/>
      <c r="X4" s="932"/>
      <c r="Y4" s="932"/>
      <c r="AB4" s="268"/>
    </row>
    <row r="5" spans="1:35" ht="15" customHeight="1" thickBot="1">
      <c r="A5" s="251"/>
      <c r="B5" s="251"/>
      <c r="C5" s="7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251"/>
      <c r="Q5" s="251"/>
      <c r="R5" s="251"/>
      <c r="S5" s="251"/>
      <c r="T5" s="251"/>
      <c r="U5" s="251"/>
      <c r="V5" s="251"/>
      <c r="W5" s="251"/>
      <c r="X5" s="251"/>
      <c r="Y5" s="251"/>
    </row>
    <row r="6" spans="1:35" s="270" customFormat="1" ht="19.5" customHeight="1">
      <c r="A6" s="948" t="s">
        <v>0</v>
      </c>
      <c r="B6" s="950" t="s">
        <v>20</v>
      </c>
      <c r="C6" s="951"/>
      <c r="D6" s="269" t="s">
        <v>5</v>
      </c>
      <c r="E6" s="269" t="s">
        <v>50</v>
      </c>
      <c r="F6" s="269" t="s">
        <v>9</v>
      </c>
      <c r="G6" s="950" t="s">
        <v>21</v>
      </c>
      <c r="H6" s="954"/>
      <c r="I6" s="954"/>
      <c r="J6" s="954"/>
      <c r="K6" s="954"/>
      <c r="L6" s="954"/>
      <c r="M6" s="954"/>
      <c r="N6" s="954"/>
      <c r="O6" s="954"/>
      <c r="P6" s="954"/>
      <c r="Q6" s="954"/>
      <c r="R6" s="954"/>
      <c r="S6" s="954"/>
      <c r="T6" s="954"/>
      <c r="U6" s="951"/>
      <c r="V6" s="954" t="s">
        <v>182</v>
      </c>
      <c r="W6" s="954" t="s">
        <v>24</v>
      </c>
      <c r="X6" s="954"/>
      <c r="Y6" s="946" t="s">
        <v>25</v>
      </c>
      <c r="AA6" s="1"/>
      <c r="AB6" s="639"/>
      <c r="AC6" s="642"/>
      <c r="AD6" s="642"/>
      <c r="AE6" s="642"/>
      <c r="AF6" s="642"/>
      <c r="AG6" s="642"/>
      <c r="AH6" s="744"/>
      <c r="AI6" s="745" t="s">
        <v>280</v>
      </c>
    </row>
    <row r="7" spans="1:35" s="270" customFormat="1" ht="47.25" customHeight="1" thickBot="1">
      <c r="A7" s="949"/>
      <c r="B7" s="952"/>
      <c r="C7" s="953"/>
      <c r="D7" s="271" t="s">
        <v>6</v>
      </c>
      <c r="E7" s="271" t="s">
        <v>6</v>
      </c>
      <c r="F7" s="271" t="s">
        <v>6</v>
      </c>
      <c r="G7" s="461" t="s">
        <v>26</v>
      </c>
      <c r="H7" s="463" t="s">
        <v>27</v>
      </c>
      <c r="I7" s="463" t="s">
        <v>28</v>
      </c>
      <c r="J7" s="463" t="s">
        <v>29</v>
      </c>
      <c r="K7" s="463" t="s">
        <v>120</v>
      </c>
      <c r="L7" s="463" t="s">
        <v>30</v>
      </c>
      <c r="M7" s="463" t="s">
        <v>31</v>
      </c>
      <c r="N7" s="463" t="s">
        <v>32</v>
      </c>
      <c r="O7" s="463" t="s">
        <v>33</v>
      </c>
      <c r="P7" s="463" t="s">
        <v>60</v>
      </c>
      <c r="Q7" s="463" t="s">
        <v>34</v>
      </c>
      <c r="R7" s="463" t="s">
        <v>35</v>
      </c>
      <c r="S7" s="272" t="s">
        <v>22</v>
      </c>
      <c r="T7" s="463" t="s">
        <v>121</v>
      </c>
      <c r="U7" s="462" t="s">
        <v>122</v>
      </c>
      <c r="V7" s="955"/>
      <c r="W7" s="463" t="s">
        <v>36</v>
      </c>
      <c r="X7" s="273" t="s">
        <v>37</v>
      </c>
      <c r="Y7" s="947"/>
      <c r="AA7" s="1"/>
      <c r="AB7" s="640" t="s">
        <v>279</v>
      </c>
      <c r="AC7" s="643"/>
      <c r="AD7" s="643"/>
      <c r="AE7" s="643"/>
      <c r="AF7" s="643"/>
      <c r="AG7" s="643"/>
      <c r="AH7" s="667" t="s">
        <v>282</v>
      </c>
      <c r="AI7" s="668" t="s">
        <v>281</v>
      </c>
    </row>
    <row r="8" spans="1:35" s="268" customFormat="1" ht="29.1" customHeight="1">
      <c r="A8" s="274">
        <f>IF(COUNTA(DiemHKII!D4:D58)&gt;=1,MIN(DiemHKII!B4:B58),"")</f>
        <v>1</v>
      </c>
      <c r="B8" s="275" t="str">
        <f>IF($A8&lt;&gt;"",PROPER(INDEX(DiemHKII!$B$4:$K$58,MATCH($A8,DiemHKII!$B$4:$B$58,0),4)),"")</f>
        <v>Phạm Huỳnh Hiệp</v>
      </c>
      <c r="C8" s="276" t="str">
        <f>IF($A8&lt;&gt;"",PROPER(INDEX(DiemHKII!$B$4:$K$58,MATCH($A8,DiemHKII!$B$4:$B$58,0),5)),"")</f>
        <v>An</v>
      </c>
      <c r="D8" s="277" t="str">
        <f>IF($A8&lt;&gt;"",IF(INDEX(DiemHKII!$B$4:$K$58,MATCH($A8,DiemHKII!$B$4:$B$58,0),8)&lt;&gt;"",INDEX(DiemHKII!$B$4:$K$58,MATCH($A8,DiemHKII!$B$4:$B$58,0),8),""),"")</f>
        <v/>
      </c>
      <c r="E8" s="277" t="str">
        <f>IF($A8&lt;&gt;"",IF(INDEX(DiemHKII!$B$4:$K$58,MATCH($A8,DiemHKII!$B$4:$B$58,0),9)&lt;&gt;"",INDEX(DiemHKII!$B$4:$K$58,MATCH($A8,DiemHKII!$B$4:$B$58,0),9),""),"")</f>
        <v/>
      </c>
      <c r="F8" s="277" t="str">
        <f>IF($A8&lt;&gt;"",IF(INDEX(DiemHKII!$B$4:$K$58,MATCH($A8,DiemHKII!$B$4:$B$58,0),10)&lt;&gt;"",INDEX(DiemHKII!$B$4:$K$58,MATCH($A8,DiemHKII!$B$4:$B$58,0),10),""),"")</f>
        <v/>
      </c>
      <c r="G8" s="300" t="str">
        <f>IF($A8&lt;&gt;"",IF(INDEX(BDHK2,MATCH($A8,DiemHKII!$B$4:$B$58,0),INDEX($AD$9:$AF$22,MATCH(G$7,$AD$9:$AD$22,0),2))&lt;&gt;"",INDEX(BDHK2,MATCH($A8,DiemHKII!$B$4:$B$58,0),INDEX($AD$9:$AF$22,MATCH(G$7,$AD$9:$AD$22,0),3)),""),"")</f>
        <v/>
      </c>
      <c r="H8" s="301" t="str">
        <f>IF($A8&lt;&gt;"",IF(INDEX(BDHK2,MATCH($A8,DiemHKII!$B$4:$B$58,0),INDEX($AD$9:$AF$22,MATCH(H$7,$AD$9:$AD$22,0),2))&lt;&gt;"",INDEX(BDHK2,MATCH($A8,DiemHKII!$B$4:$B$58,0),INDEX($AD$9:$AF$22,MATCH(H$7,$AD$9:$AD$22,0),3)),""),"")</f>
        <v/>
      </c>
      <c r="I8" s="301" t="str">
        <f>IF($A8&lt;&gt;"",IF(INDEX(BDHK2,MATCH($A8,DiemHKII!$B$4:$B$58,0),INDEX($AD$9:$AF$22,MATCH(I$7,$AD$9:$AD$22,0),2))&lt;&gt;"",INDEX(BDHK2,MATCH($A8,DiemHKII!$B$4:$B$58,0),INDEX($AD$9:$AF$22,MATCH(I$7,$AD$9:$AD$22,0),3)),""),"")</f>
        <v/>
      </c>
      <c r="J8" s="301" t="str">
        <f>IF($A8&lt;&gt;"",IF(INDEX(BDHK2,MATCH($A8,DiemHKII!$B$4:$B$58,0),INDEX($AD$9:$AF$22,MATCH(J$7,$AD$9:$AD$22,0),2))&lt;&gt;"",INDEX(BDHK2,MATCH($A8,DiemHKII!$B$4:$B$58,0),INDEX($AD$9:$AF$22,MATCH(J$7,$AD$9:$AD$22,0),3)),""),"")</f>
        <v/>
      </c>
      <c r="K8" s="301" t="str">
        <f>IF($A8&lt;&gt;"",IF(INDEX(BDHK2,MATCH($A8,DiemHKII!$B$4:$B$58,0),INDEX($AD$9:$AF$22,MATCH(K$7,$AD$9:$AD$22,0),2))&lt;&gt;"",INDEX(BDHK2,MATCH($A8,DiemHKII!$B$4:$B$58,0),INDEX($AD$9:$AF$22,MATCH(K$7,$AD$9:$AD$22,0),3)),""),"")</f>
        <v/>
      </c>
      <c r="L8" s="301" t="str">
        <f>IF($A8&lt;&gt;"",IF(INDEX(BDHK2,MATCH($A8,DiemHKII!$B$4:$B$58,0),INDEX($AD$9:$AF$22,MATCH(L$7,$AD$9:$AD$22,0),2))&lt;&gt;"",INDEX(BDHK2,MATCH($A8,DiemHKII!$B$4:$B$58,0),INDEX($AD$9:$AF$22,MATCH(L$7,$AD$9:$AD$22,0),3)),""),"")</f>
        <v/>
      </c>
      <c r="M8" s="301" t="str">
        <f>IF($A8&lt;&gt;"",IF(INDEX(BDHK2,MATCH($A8,DiemHKII!$B$4:$B$58,0),INDEX($AD$9:$AF$22,MATCH(M$7,$AD$9:$AD$22,0),2))&lt;&gt;"",INDEX(BDHK2,MATCH($A8,DiemHKII!$B$4:$B$58,0),INDEX($AD$9:$AF$22,MATCH(M$7,$AD$9:$AD$22,0),3)),""),"")</f>
        <v/>
      </c>
      <c r="N8" s="301" t="str">
        <f>IF($A8&lt;&gt;"",IF(INDEX(BDHK2,MATCH($A8,DiemHKII!$B$4:$B$58,0),INDEX($AD$9:$AF$22,MATCH(N$7,$AD$9:$AD$22,0),2))&lt;&gt;"",INDEX(BDHK2,MATCH($A8,DiemHKII!$B$4:$B$58,0),INDEX($AD$9:$AF$22,MATCH(N$7,$AD$9:$AD$22,0),3)),""),"")</f>
        <v/>
      </c>
      <c r="O8" s="301" t="str">
        <f>IF($A8&lt;&gt;"",IF(INDEX(BDHK2,MATCH($A8,DiemHKII!$B$4:$B$58,0),INDEX($AD$9:$AF$22,MATCH(O$7,$AD$9:$AD$22,0),2))&lt;&gt;"",INDEX(BDHK2,MATCH($A8,DiemHKII!$B$4:$B$58,0),INDEX($AD$9:$AF$22,MATCH(O$7,$AD$9:$AD$22,0),3)),""),"")</f>
        <v/>
      </c>
      <c r="P8" s="301" t="str">
        <f>IF($A8&lt;&gt;"",IF(INDEX(BDHK2,MATCH($A8,DiemHKII!$B$4:$B$58,0),INDEX($AD$9:$AF$22,MATCH(P$7,$AD$9:$AD$22,0),2))&lt;&gt;"",INDEX(BDHK2,MATCH($A8,DiemHKII!$B$4:$B$58,0),INDEX($AD$9:$AF$22,MATCH(P$7,$AD$9:$AD$22,0),3)),""),"")</f>
        <v/>
      </c>
      <c r="Q8" s="301" t="str">
        <f>IF($A8&lt;&gt;"",IF(INDEX(BDHK2,MATCH($A8,DiemHKII!$B$4:$B$58,0),INDEX($AD$9:$AF$22,MATCH(Q$7,$AD$9:$AD$22,0),2))&lt;&gt;"",INDEX(BDHK2,MATCH($A8,DiemHKII!$B$4:$B$58,0),INDEX($AD$9:$AF$22,MATCH(Q$7,$AD$9:$AD$22,0),3)),""),"")</f>
        <v/>
      </c>
      <c r="R8" s="279" t="str">
        <f>IF($A8&lt;&gt;"",IF(INDEX(BDHK2,MATCH($A8,DiemHKII!$B$4:$B$58,0),INDEX($AD$9:$AF$22,MATCH(R$7,$AD$9:$AD$22,0),2))&lt;&gt;"",INDEX(BDHK2,MATCH($A8,DiemHKII!$B$4:$B$58,0),INDEX($AD$9:$AF$22,MATCH(R$7,$AD$9:$AD$22,0),3)),""),"")</f>
        <v/>
      </c>
      <c r="S8" s="279" t="str">
        <f>IF(R8&lt;&gt;"",IF(R8="CĐ",3.4,8),"")</f>
        <v/>
      </c>
      <c r="T8" s="301" t="str">
        <f>IF($A8&lt;&gt;"",IF(INDEX(BDHK2,MATCH($A8,DiemHKII!$B$4:$B$58,0),INDEX($AD$9:$AF$22,MATCH(T$7,$AD$9:$AD$22,0),2))&lt;&gt;"",INDEX(BDHK2,MATCH($A8,DiemHKII!$B$4:$B$58,0),INDEX($AD$9:$AF$22,MATCH(T$7,$AD$9:$AD$22,0),3)),""),"")</f>
        <v/>
      </c>
      <c r="U8" s="302" t="str">
        <f>IF($A8&lt;&gt;"",IF(INDEX(BDHK2,MATCH($A8,DiemHKII!$B$4:$B$58,0),INDEX($AD$9:$AF$22,MATCH(U$7,$AD$9:$AD$22,0),2))&lt;&gt;"",INDEX(BDHK2,MATCH($A8,DiemHKII!$B$4:$B$58,0),INDEX($AD$9:$AF$22,MATCH(U$7,$AD$9:$AD$22,0),3)),""),"")</f>
        <v/>
      </c>
      <c r="V8" s="278" t="str">
        <f>IF(COUNT(G8:Q8,T8)&gt;=11,ROUND(AVERAGE(G8:Q8,T8),1),"")</f>
        <v/>
      </c>
      <c r="W8" s="279" t="str">
        <f>IF(V8="","",IF(AND(V8&gt;=8,MIN(G8:T8)&gt;6.4,OR(G8&gt;=8,L8&gt;=8,O8&gt;=8)),"Giỏi",IF(OR(AND(V8&gt;=8,MIN(G8:T8)&gt;3.4,OR(G8&gt;=8,L8&gt;=8,O8&gt;=8),COUNT(G8:T8)-COUNTIF(G8:T8,"&gt;6.4")=1,COUNTIF(G8:T8,"&lt;5")=1),AND(V8&gt;=6.5,MIN(G8:T8)&gt;4.9,OR(G8&gt;=6.5,L8&gt;=6.5,O8&gt;=6.5))),"Khá",IF(OR(AND(V8&gt;6.4,MIN(G8:T8)&gt;1.9,OR(G8&gt;6.4,L8&gt;6.4,O8&gt;6.4),COUNT(G8:T8)-COUNTIF(G8:T8,"&gt;=5")=1,COUNTIF(G8:T8,"&lt;3.5")=1),AND(V8&gt;=8,OR(G8&gt;=8,L8&gt;=8,O8&gt;=8),COUNT(G8:T8)-COUNTIF(G8:T8,"&gt;=6.5")=1,MIN(G8:T8)&gt;1.9,COUNTIF(G8:T8,"&lt;3.5")=1),AND(V8&gt;=5,MIN(G8:T8)&gt;3.4,OR(G8&gt;=5,L8&gt;=5,O8&gt;=5))),"Tb",IF(OR(AND(V8&gt;=8,OR(G8&gt;=8,L8&gt;=8,O8&gt;=8),COUNT(G8:T8)-COUNTIF(G8:T8,"&gt;=5")=2,MIN(G8:T8)&gt;=2),AND(V8&gt;6.4,OR(G8&gt;6.4,L8&gt;6.4,O8&gt;6.4),COUNT(G8:T8)-COUNTIF(G8:T8,"&gt;=5")=1,COUNTIF(G8:T8,"&lt;2")=1),AND(V8&gt;3.4,MIN(G8:T8)&gt;1.9)),"Yếu","Kém")))))</f>
        <v/>
      </c>
      <c r="X8" s="352"/>
      <c r="Y8" s="280" t="str">
        <f>IF(A8="","",IF(AND(W8="Giỏi",X8="Tốt"),"HSG",IF(AND(W8="Giỏi",X8="Khá"),"HSTT",IF(AND(W8="Khá",OR(X8="Tốt",X8="Khá")),"HSTT",""))))</f>
        <v/>
      </c>
      <c r="Z8" s="1"/>
      <c r="AA8" s="1"/>
      <c r="AB8" s="644" t="str">
        <f>IFERROR(IF(A8&lt;&gt;"",RANK(V8,$V$8:$V$62),""),"")</f>
        <v/>
      </c>
      <c r="AD8" s="268">
        <v>1</v>
      </c>
      <c r="AE8" s="268">
        <v>2</v>
      </c>
      <c r="AF8" s="268">
        <v>3</v>
      </c>
      <c r="AG8" s="268" t="str">
        <f>IF($A8&lt;&gt;"",INDEX(DiemHKII!$B$4:$K$58,MATCH($A8,DiemHKII!$B$4:$B$58,0),2),"")</f>
        <v>12A1Phạm Huỳnh HiệpAn16/10/2004</v>
      </c>
      <c r="AH8" s="712" t="str">
        <f>IF(AND(V8&gt;=8,W8="Khá"),IF(G8&lt;8,"Toán "&amp;G8&amp;", ",""),"")&amp;IF(AND(V8&gt;=8,W8="Khá"),IF(L8&lt;8,"Văn "&amp;L8&amp;", ",""),"")&amp;IF(AND(V8&gt;=8,W8="Khá"),IF(O8&lt;8,"Anh "&amp;O8&amp;", ",""),"")&amp;IF(AND(V8&gt;=6.5,W8="Tb"),IF(G8&lt;6.5,"Toán "&amp;G8&amp;", ",""),"")&amp;IF(AND(V8&gt;=6.5,W8="Tb"),IF(L8&lt;6.5,"Văn "&amp;L8&amp;", ",""),"")&amp;IF(AND(V8&gt;=6.5,W8="Tb"),IF(O8&lt;6.5,"Anh "&amp;O8&amp;", ",""),"")&amp;IF(AND(V8&gt;=5,W8="Yếu"),IF(G8&lt;5,"Toán "&amp;G8&amp;", ",""),"")&amp;IF(AND(V8&gt;=5,W8="Yếu"),IF(L8&lt;5,"Văn "&amp;L8&amp;", ",""),"")&amp;IF(AND(V8&gt;=5,W8="Yếu"),IF(O8&lt;5,"Anh "&amp;O8&amp;", ",""),"")</f>
        <v/>
      </c>
      <c r="AI8" s="672" t="str">
        <f ca="1">IF(AND(V8&gt;=8,W8="Khá",MIN(H8:K8,M8:N8,P8:Q8,T8)&lt;6.5),OFFSET(INDEX(G8:T8,1,MATCH(MIN(H8:K8,M8:N8,P8:Q8,T8),G8:T8,0)),-A8,0)&amp;" "&amp;IF(AND(V8&gt;=8,W8="Khá"),MIN(H8:K8,M8:N8,P8:Q8,T8),""),"")&amp;IF(AND(V8&gt;=6.5,W8="Tb",MIN(H8:K8,M8:N8,P8:Q8,T8)&lt;5),OFFSET(INDEX(G8:T8,1,MATCH(MIN(H8:K8,M8:N8,P8:Q8,T8),G8:T8,0)),-A8,0)&amp;" "&amp;IF(AND(V8&gt;=6.5,W8="Tb"),MIN(H8:K8,M8:N8,P8:Q8,T8),""),"")&amp;IF(AND(V8&gt;=5,W8="Yếu",MIN(H8:K8,M8:N8,P8:Q8,T8)&lt;3.5),OFFSET(INDEX(G8:T8,1,MATCH(MIN(H8:K8,M8:N8,P8:Q8,T8),G8:T8,0)),-A8,0)&amp;" "&amp;IF(AND(V8&gt;=5,W8="Yếu"),MIN(H8:K8,M8:N8,P8:Q8,T8),""),"")</f>
        <v/>
      </c>
    </row>
    <row r="9" spans="1:35" s="268" customFormat="1" ht="29.1" customHeight="1">
      <c r="A9" s="281">
        <f>IF(A8&lt;MAX(DiemHKII!$B$4:$B$58),A8+1,"")</f>
        <v>2</v>
      </c>
      <c r="B9" s="282" t="str">
        <f>IF($A9&lt;&gt;"",PROPER(INDEX(DiemHKII!$B$4:$K$58,MATCH($A9,DiemHKII!$B$4:$B$58,0),4)),"")</f>
        <v>Chử Ngọc</v>
      </c>
      <c r="C9" s="283" t="str">
        <f>IF($A9&lt;&gt;"",PROPER(INDEX(DiemHKII!$B$4:$K$58,MATCH($A9,DiemHKII!$B$4:$B$58,0),5)),"")</f>
        <v>Anh</v>
      </c>
      <c r="D9" s="284" t="str">
        <f>IF($A9&lt;&gt;"",IF(INDEX(DiemHKII!$B$4:$K$58,MATCH($A9,DiemHKII!$B$4:$B$58,0),8)&lt;&gt;"",INDEX(DiemHKII!$B$4:$K$58,MATCH($A9,DiemHKII!$B$4:$B$58,0),8),""),"")</f>
        <v/>
      </c>
      <c r="E9" s="284" t="str">
        <f>IF($A9&lt;&gt;"",IF(INDEX(DiemHKII!$B$4:$K$58,MATCH($A9,DiemHKII!$B$4:$B$58,0),9)&lt;&gt;"",INDEX(DiemHKII!$B$4:$K$58,MATCH($A9,DiemHKII!$B$4:$B$58,0),9),""),"")</f>
        <v/>
      </c>
      <c r="F9" s="284" t="str">
        <f>IF($A9&lt;&gt;"",IF(INDEX(DiemHKII!$B$4:$K$58,MATCH($A9,DiemHKII!$B$4:$B$58,0),10)&lt;&gt;"",INDEX(DiemHKII!$B$4:$K$58,MATCH($A9,DiemHKII!$B$4:$B$58,0),10),""),"")</f>
        <v/>
      </c>
      <c r="G9" s="285" t="str">
        <f>IF($A9&lt;&gt;"",IF(INDEX(BDHK2,MATCH($A9,DiemHKII!$B$4:$B$58,0),INDEX($AD$9:$AF$22,MATCH(G$7,$AD$9:$AD$22,0),2))&lt;&gt;"",INDEX(BDHK2,MATCH($A9,DiemHKII!$B$4:$B$58,0),INDEX($AD$9:$AF$22,MATCH(G$7,$AD$9:$AD$22,0),3)),""),"")</f>
        <v/>
      </c>
      <c r="H9" s="286" t="str">
        <f>IF($A9&lt;&gt;"",IF(INDEX(BDHK2,MATCH($A9,DiemHKII!$B$4:$B$58,0),INDEX($AD$9:$AF$22,MATCH(H$7,$AD$9:$AD$22,0),2))&lt;&gt;"",INDEX(BDHK2,MATCH($A9,DiemHKII!$B$4:$B$58,0),INDEX($AD$9:$AF$22,MATCH(H$7,$AD$9:$AD$22,0),3)),""),"")</f>
        <v/>
      </c>
      <c r="I9" s="286" t="str">
        <f>IF($A9&lt;&gt;"",IF(INDEX(BDHK2,MATCH($A9,DiemHKII!$B$4:$B$58,0),INDEX($AD$9:$AF$22,MATCH(I$7,$AD$9:$AD$22,0),2))&lt;&gt;"",INDEX(BDHK2,MATCH($A9,DiemHKII!$B$4:$B$58,0),INDEX($AD$9:$AF$22,MATCH(I$7,$AD$9:$AD$22,0),3)),""),"")</f>
        <v/>
      </c>
      <c r="J9" s="286" t="str">
        <f>IF($A9&lt;&gt;"",IF(INDEX(BDHK2,MATCH($A9,DiemHKII!$B$4:$B$58,0),INDEX($AD$9:$AF$22,MATCH(J$7,$AD$9:$AD$22,0),2))&lt;&gt;"",INDEX(BDHK2,MATCH($A9,DiemHKII!$B$4:$B$58,0),INDEX($AD$9:$AF$22,MATCH(J$7,$AD$9:$AD$22,0),3)),""),"")</f>
        <v/>
      </c>
      <c r="K9" s="286" t="str">
        <f>IF($A9&lt;&gt;"",IF(INDEX(BDHK2,MATCH($A9,DiemHKII!$B$4:$B$58,0),INDEX($AD$9:$AF$22,MATCH(K$7,$AD$9:$AD$22,0),2))&lt;&gt;"",INDEX(BDHK2,MATCH($A9,DiemHKII!$B$4:$B$58,0),INDEX($AD$9:$AF$22,MATCH(K$7,$AD$9:$AD$22,0),3)),""),"")</f>
        <v/>
      </c>
      <c r="L9" s="286" t="str">
        <f>IF($A9&lt;&gt;"",IF(INDEX(BDHK2,MATCH($A9,DiemHKII!$B$4:$B$58,0),INDEX($AD$9:$AF$22,MATCH(L$7,$AD$9:$AD$22,0),2))&lt;&gt;"",INDEX(BDHK2,MATCH($A9,DiemHKII!$B$4:$B$58,0),INDEX($AD$9:$AF$22,MATCH(L$7,$AD$9:$AD$22,0),3)),""),"")</f>
        <v/>
      </c>
      <c r="M9" s="286" t="str">
        <f>IF($A9&lt;&gt;"",IF(INDEX(BDHK2,MATCH($A9,DiemHKII!$B$4:$B$58,0),INDEX($AD$9:$AF$22,MATCH(M$7,$AD$9:$AD$22,0),2))&lt;&gt;"",INDEX(BDHK2,MATCH($A9,DiemHKII!$B$4:$B$58,0),INDEX($AD$9:$AF$22,MATCH(M$7,$AD$9:$AD$22,0),3)),""),"")</f>
        <v/>
      </c>
      <c r="N9" s="286" t="str">
        <f>IF($A9&lt;&gt;"",IF(INDEX(BDHK2,MATCH($A9,DiemHKII!$B$4:$B$58,0),INDEX($AD$9:$AF$22,MATCH(N$7,$AD$9:$AD$22,0),2))&lt;&gt;"",INDEX(BDHK2,MATCH($A9,DiemHKII!$B$4:$B$58,0),INDEX($AD$9:$AF$22,MATCH(N$7,$AD$9:$AD$22,0),3)),""),"")</f>
        <v/>
      </c>
      <c r="O9" s="286" t="str">
        <f>IF($A9&lt;&gt;"",IF(INDEX(BDHK2,MATCH($A9,DiemHKII!$B$4:$B$58,0),INDEX($AD$9:$AF$22,MATCH(O$7,$AD$9:$AD$22,0),2))&lt;&gt;"",INDEX(BDHK2,MATCH($A9,DiemHKII!$B$4:$B$58,0),INDEX($AD$9:$AF$22,MATCH(O$7,$AD$9:$AD$22,0),3)),""),"")</f>
        <v/>
      </c>
      <c r="P9" s="286" t="str">
        <f>IF($A9&lt;&gt;"",IF(INDEX(BDHK2,MATCH($A9,DiemHKII!$B$4:$B$58,0),INDEX($AD$9:$AF$22,MATCH(P$7,$AD$9:$AD$22,0),2))&lt;&gt;"",INDEX(BDHK2,MATCH($A9,DiemHKII!$B$4:$B$58,0),INDEX($AD$9:$AF$22,MATCH(P$7,$AD$9:$AD$22,0),3)),""),"")</f>
        <v/>
      </c>
      <c r="Q9" s="286" t="str">
        <f>IF($A9&lt;&gt;"",IF(INDEX(BDHK2,MATCH($A9,DiemHKII!$B$4:$B$58,0),INDEX($AD$9:$AF$22,MATCH(Q$7,$AD$9:$AD$22,0),2))&lt;&gt;"",INDEX(BDHK2,MATCH($A9,DiemHKII!$B$4:$B$58,0),INDEX($AD$9:$AF$22,MATCH(Q$7,$AD$9:$AD$22,0),3)),""),"")</f>
        <v/>
      </c>
      <c r="R9" s="464" t="str">
        <f>IF($A9&lt;&gt;"",IF(INDEX(BDHK2,MATCH($A9,DiemHKII!$B$4:$B$58,0),INDEX($AD$9:$AF$22,MATCH(R$7,$AD$9:$AD$22,0),2))&lt;&gt;"",INDEX(BDHK2,MATCH($A9,DiemHKII!$B$4:$B$58,0),INDEX($AD$9:$AF$22,MATCH(R$7,$AD$9:$AD$22,0),3)),""),"")</f>
        <v/>
      </c>
      <c r="S9" s="464" t="str">
        <f t="shared" ref="S9:S13" si="0">IF(R9&lt;&gt;"",IF(R9="CĐ",3.4,8),"")</f>
        <v/>
      </c>
      <c r="T9" s="286" t="str">
        <f>IF($A9&lt;&gt;"",IF(INDEX(BDHK2,MATCH($A9,DiemHKII!$B$4:$B$58,0),INDEX($AD$9:$AF$22,MATCH(T$7,$AD$9:$AD$22,0),2))&lt;&gt;"",INDEX(BDHK2,MATCH($A9,DiemHKII!$B$4:$B$58,0),INDEX($AD$9:$AF$22,MATCH(T$7,$AD$9:$AD$22,0),3)),""),"")</f>
        <v/>
      </c>
      <c r="U9" s="287" t="str">
        <f>IF($A9&lt;&gt;"",IF(INDEX(BDHK2,MATCH($A9,DiemHKII!$B$4:$B$58,0),INDEX($AD$9:$AF$22,MATCH(U$7,$AD$9:$AD$22,0),2))&lt;&gt;"",INDEX(BDHK2,MATCH($A9,DiemHKII!$B$4:$B$58,0),INDEX($AD$9:$AF$22,MATCH(U$7,$AD$9:$AD$22,0),3)),""),"")</f>
        <v/>
      </c>
      <c r="V9" s="288" t="str">
        <f>IF(COUNT(G9:Q9,T9)&gt;=11,ROUND(AVERAGE(G9:Q9,T9),1),"")</f>
        <v/>
      </c>
      <c r="W9" s="464" t="str">
        <f t="shared" ref="W9:W13" si="1">IF(V9="","",IF(AND(V9&gt;=8,MIN(G9:T9)&gt;6.4,OR(G9&gt;=8,L9&gt;=8,O9&gt;=8)),"Giỏi",IF(OR(AND(V9&gt;=8,MIN(G9:T9)&gt;3.4,OR(G9&gt;=8,L9&gt;=8,O9&gt;=8),COUNT(G9:T9)-COUNTIF(G9:T9,"&gt;6.4")=1,COUNTIF(G9:T9,"&lt;5")=1),AND(V9&gt;=6.5,MIN(G9:T9)&gt;4.9,OR(G9&gt;=6.5,L9&gt;=6.5,O9&gt;=6.5))),"Khá",IF(OR(AND(V9&gt;6.4,MIN(G9:T9)&gt;1.9,OR(G9&gt;6.4,L9&gt;6.4,O9&gt;6.4),COUNT(G9:T9)-COUNTIF(G9:T9,"&gt;=5")=1,COUNTIF(G9:T9,"&lt;3.5")=1),AND(V9&gt;=8,OR(G9&gt;=8,L9&gt;=8,O9&gt;=8),COUNT(G9:T9)-COUNTIF(G9:T9,"&gt;=6.5")=1,MIN(G9:T9)&gt;1.9,COUNTIF(G9:T9,"&lt;3.5")=1),AND(V9&gt;=5,MIN(G9:T9)&gt;3.4,OR(G9&gt;=5,L9&gt;=5,O9&gt;=5))),"Tb",IF(OR(AND(V9&gt;=8,OR(G9&gt;=8,L9&gt;=8,O9&gt;=8),COUNT(G9:T9)-COUNTIF(G9:T9,"&gt;=5")=2,MIN(G9:T9)&gt;=2),AND(V9&gt;6.4,OR(G9&gt;6.4,L9&gt;6.4,O9&gt;6.4),COUNT(G9:T9)-COUNTIF(G9:T9,"&gt;=5")=1,COUNTIF(G9:T9,"&lt;2")=1),AND(V9&gt;3.4,MIN(G9:T9)&gt;1.9)),"Yếu","Kém")))))</f>
        <v/>
      </c>
      <c r="X9" s="353"/>
      <c r="Y9" s="289" t="str">
        <f t="shared" ref="Y9:Y13" si="2">IF(A9="","",IF(AND(W9="Giỏi",X9="Tốt"),"HSG",IF(AND(W9="Giỏi",X9="Khá"),"HSTT",IF(AND(W9="Khá",OR(X9="Tốt",X9="Khá")),"HSTT",""))))</f>
        <v/>
      </c>
      <c r="Z9" s="1"/>
      <c r="AA9" s="1"/>
      <c r="AB9" s="644" t="str">
        <f t="shared" ref="AB9:AB62" si="3">IFERROR(IF(A9&lt;&gt;"",RANK(V9,$V$8:$V$62),""),"")</f>
        <v/>
      </c>
      <c r="AC9" s="268" t="s">
        <v>38</v>
      </c>
      <c r="AD9" s="268" t="s">
        <v>26</v>
      </c>
      <c r="AE9" s="268">
        <v>16</v>
      </c>
      <c r="AF9" s="268">
        <v>19</v>
      </c>
      <c r="AG9" s="268" t="str">
        <f>IF($A9&lt;&gt;"",INDEX(DiemHKII!$B$4:$K$58,MATCH($A9,DiemHKII!$B$4:$B$58,0),2),"")</f>
        <v>12A1Chử NgọcAnh14/04/2004</v>
      </c>
      <c r="AH9" s="674" t="str">
        <f t="shared" ref="AH9" si="4">IF(AND(V9&gt;=8,W9="Khá"),IF(G9&lt;8,"Toán "&amp;G9&amp;", ",""),"")&amp;IF(AND(V9&gt;=8,W9="Khá"),IF(L9&lt;8,"Văn "&amp;L9&amp;", ",""),"")&amp;IF(AND(V9&gt;=8,W9="Khá"),IF(O9&lt;8,"Anh "&amp;O9&amp;", ",""),"")&amp;IF(AND(V9&gt;=6.5,W9="Tb"),IF(G9&lt;6.5,"Toán "&amp;G9&amp;", ",""),"")&amp;IF(AND(V9&gt;=6.5,W9="Tb"),IF(L9&lt;6.5,"Văn "&amp;L9&amp;", ",""),"")&amp;IF(AND(V9&gt;=6.5,W9="Tb"),IF(O9&lt;6.5,"Anh "&amp;O9&amp;", ",""),"")&amp;IF(AND(V9&gt;=5,W9="Yếu"),IF(G9&lt;5,"Toán "&amp;G9&amp;", ",""),"")&amp;IF(AND(V9&gt;=5,W9="Yếu"),IF(L9&lt;5,"Văn "&amp;L9&amp;", ",""),"")&amp;IF(AND(V9&gt;=5,W9="Yếu"),IF(O9&lt;5,"Anh "&amp;O9&amp;", ",""),"")</f>
        <v/>
      </c>
      <c r="AI9" s="672" t="str">
        <f t="shared" ref="AI9:AI62" ca="1" si="5">IF(AND(V9&gt;=8,W9="Khá",MIN(H9:K9,M9:N9,P9:Q9,T9)&lt;6.5),OFFSET(INDEX(G9:T9,1,MATCH(MIN(H9:K9,M9:N9,P9:Q9,T9),G9:T9,0)),-A9,0)&amp;" "&amp;IF(AND(V9&gt;=8,W9="Khá"),MIN(H9:K9,M9:N9,P9:Q9,T9),""),"")&amp;IF(AND(V9&gt;=6.5,W9="Tb",MIN(H9:K9,M9:N9,P9:Q9,T9)&lt;5),OFFSET(INDEX(G9:T9,1,MATCH(MIN(H9:K9,M9:N9,P9:Q9,T9),G9:T9,0)),-A9,0)&amp;" "&amp;IF(AND(V9&gt;=6.5,W9="Tb"),MIN(H9:K9,M9:N9,P9:Q9,T9),""),"")&amp;IF(AND(V9&gt;=5,W9="Yếu",MIN(H9:K9,M9:N9,P9:Q9,T9)&lt;3.5),OFFSET(INDEX(G9:T9,1,MATCH(MIN(H9:K9,M9:N9,P9:Q9,T9),G9:T9,0)),-A9,0)&amp;" "&amp;IF(AND(V9&gt;=5,W9="Yếu"),MIN(H9:K9,M9:N9,P9:Q9,T9),""),"")</f>
        <v/>
      </c>
    </row>
    <row r="10" spans="1:35" s="268" customFormat="1" ht="29.1" customHeight="1">
      <c r="A10" s="281">
        <f>IF(A9&lt;MAX(DiemHKII!$B$4:$B$58),A9+1,"")</f>
        <v>3</v>
      </c>
      <c r="B10" s="282" t="str">
        <f>IF($A10&lt;&gt;"",PROPER(INDEX(DiemHKII!$B$4:$K$58,MATCH($A10,DiemHKII!$B$4:$B$58,0),4)),"")</f>
        <v>Lê Tuấn</v>
      </c>
      <c r="C10" s="283" t="str">
        <f>IF($A10&lt;&gt;"",PROPER(INDEX(DiemHKII!$B$4:$K$58,MATCH($A10,DiemHKII!$B$4:$B$58,0),5)),"")</f>
        <v>Anh</v>
      </c>
      <c r="D10" s="284" t="str">
        <f>IF($A10&lt;&gt;"",IF(INDEX(DiemHKII!$B$4:$K$58,MATCH($A10,DiemHKII!$B$4:$B$58,0),8)&lt;&gt;"",INDEX(DiemHKII!$B$4:$K$58,MATCH($A10,DiemHKII!$B$4:$B$58,0),8),""),"")</f>
        <v/>
      </c>
      <c r="E10" s="284" t="str">
        <f>IF($A10&lt;&gt;"",IF(INDEX(DiemHKII!$B$4:$K$58,MATCH($A10,DiemHKII!$B$4:$B$58,0),9)&lt;&gt;"",INDEX(DiemHKII!$B$4:$K$58,MATCH($A10,DiemHKII!$B$4:$B$58,0),9),""),"")</f>
        <v/>
      </c>
      <c r="F10" s="284" t="str">
        <f>IF($A10&lt;&gt;"",IF(INDEX(DiemHKII!$B$4:$K$58,MATCH($A10,DiemHKII!$B$4:$B$58,0),10)&lt;&gt;"",INDEX(DiemHKII!$B$4:$K$58,MATCH($A10,DiemHKII!$B$4:$B$58,0),10),""),"")</f>
        <v/>
      </c>
      <c r="G10" s="285" t="str">
        <f>IF($A10&lt;&gt;"",IF(INDEX(BDHK2,MATCH($A10,DiemHKII!$B$4:$B$58,0),INDEX($AD$9:$AF$22,MATCH(G$7,$AD$9:$AD$22,0),2))&lt;&gt;"",INDEX(BDHK2,MATCH($A10,DiemHKII!$B$4:$B$58,0),INDEX($AD$9:$AF$22,MATCH(G$7,$AD$9:$AD$22,0),3)),""),"")</f>
        <v/>
      </c>
      <c r="H10" s="286" t="str">
        <f>IF($A10&lt;&gt;"",IF(INDEX(BDHK2,MATCH($A10,DiemHKII!$B$4:$B$58,0),INDEX($AD$9:$AF$22,MATCH(H$7,$AD$9:$AD$22,0),2))&lt;&gt;"",INDEX(BDHK2,MATCH($A10,DiemHKII!$B$4:$B$58,0),INDEX($AD$9:$AF$22,MATCH(H$7,$AD$9:$AD$22,0),3)),""),"")</f>
        <v/>
      </c>
      <c r="I10" s="286" t="str">
        <f>IF($A10&lt;&gt;"",IF(INDEX(BDHK2,MATCH($A10,DiemHKII!$B$4:$B$58,0),INDEX($AD$9:$AF$22,MATCH(I$7,$AD$9:$AD$22,0),2))&lt;&gt;"",INDEX(BDHK2,MATCH($A10,DiemHKII!$B$4:$B$58,0),INDEX($AD$9:$AF$22,MATCH(I$7,$AD$9:$AD$22,0),3)),""),"")</f>
        <v/>
      </c>
      <c r="J10" s="286" t="str">
        <f>IF($A10&lt;&gt;"",IF(INDEX(BDHK2,MATCH($A10,DiemHKII!$B$4:$B$58,0),INDEX($AD$9:$AF$22,MATCH(J$7,$AD$9:$AD$22,0),2))&lt;&gt;"",INDEX(BDHK2,MATCH($A10,DiemHKII!$B$4:$B$58,0),INDEX($AD$9:$AF$22,MATCH(J$7,$AD$9:$AD$22,0),3)),""),"")</f>
        <v/>
      </c>
      <c r="K10" s="286" t="str">
        <f>IF($A10&lt;&gt;"",IF(INDEX(BDHK2,MATCH($A10,DiemHKII!$B$4:$B$58,0),INDEX($AD$9:$AF$22,MATCH(K$7,$AD$9:$AD$22,0),2))&lt;&gt;"",INDEX(BDHK2,MATCH($A10,DiemHKII!$B$4:$B$58,0),INDEX($AD$9:$AF$22,MATCH(K$7,$AD$9:$AD$22,0),3)),""),"")</f>
        <v/>
      </c>
      <c r="L10" s="286" t="str">
        <f>IF($A10&lt;&gt;"",IF(INDEX(BDHK2,MATCH($A10,DiemHKII!$B$4:$B$58,0),INDEX($AD$9:$AF$22,MATCH(L$7,$AD$9:$AD$22,0),2))&lt;&gt;"",INDEX(BDHK2,MATCH($A10,DiemHKII!$B$4:$B$58,0),INDEX($AD$9:$AF$22,MATCH(L$7,$AD$9:$AD$22,0),3)),""),"")</f>
        <v/>
      </c>
      <c r="M10" s="286" t="str">
        <f>IF($A10&lt;&gt;"",IF(INDEX(BDHK2,MATCH($A10,DiemHKII!$B$4:$B$58,0),INDEX($AD$9:$AF$22,MATCH(M$7,$AD$9:$AD$22,0),2))&lt;&gt;"",INDEX(BDHK2,MATCH($A10,DiemHKII!$B$4:$B$58,0),INDEX($AD$9:$AF$22,MATCH(M$7,$AD$9:$AD$22,0),3)),""),"")</f>
        <v/>
      </c>
      <c r="N10" s="286" t="str">
        <f>IF($A10&lt;&gt;"",IF(INDEX(BDHK2,MATCH($A10,DiemHKII!$B$4:$B$58,0),INDEX($AD$9:$AF$22,MATCH(N$7,$AD$9:$AD$22,0),2))&lt;&gt;"",INDEX(BDHK2,MATCH($A10,DiemHKII!$B$4:$B$58,0),INDEX($AD$9:$AF$22,MATCH(N$7,$AD$9:$AD$22,0),3)),""),"")</f>
        <v/>
      </c>
      <c r="O10" s="286" t="str">
        <f>IF($A10&lt;&gt;"",IF(INDEX(BDHK2,MATCH($A10,DiemHKII!$B$4:$B$58,0),INDEX($AD$9:$AF$22,MATCH(O$7,$AD$9:$AD$22,0),2))&lt;&gt;"",INDEX(BDHK2,MATCH($A10,DiemHKII!$B$4:$B$58,0),INDEX($AD$9:$AF$22,MATCH(O$7,$AD$9:$AD$22,0),3)),""),"")</f>
        <v/>
      </c>
      <c r="P10" s="286" t="str">
        <f>IF($A10&lt;&gt;"",IF(INDEX(BDHK2,MATCH($A10,DiemHKII!$B$4:$B$58,0),INDEX($AD$9:$AF$22,MATCH(P$7,$AD$9:$AD$22,0),2))&lt;&gt;"",INDEX(BDHK2,MATCH($A10,DiemHKII!$B$4:$B$58,0),INDEX($AD$9:$AF$22,MATCH(P$7,$AD$9:$AD$22,0),3)),""),"")</f>
        <v/>
      </c>
      <c r="Q10" s="286" t="str">
        <f>IF($A10&lt;&gt;"",IF(INDEX(BDHK2,MATCH($A10,DiemHKII!$B$4:$B$58,0),INDEX($AD$9:$AF$22,MATCH(Q$7,$AD$9:$AD$22,0),2))&lt;&gt;"",INDEX(BDHK2,MATCH($A10,DiemHKII!$B$4:$B$58,0),INDEX($AD$9:$AF$22,MATCH(Q$7,$AD$9:$AD$22,0),3)),""),"")</f>
        <v/>
      </c>
      <c r="R10" s="464" t="str">
        <f>IF($A10&lt;&gt;"",IF(INDEX(BDHK2,MATCH($A10,DiemHKII!$B$4:$B$58,0),INDEX($AD$9:$AF$22,MATCH(R$7,$AD$9:$AD$22,0),2))&lt;&gt;"",INDEX(BDHK2,MATCH($A10,DiemHKII!$B$4:$B$58,0),INDEX($AD$9:$AF$22,MATCH(R$7,$AD$9:$AD$22,0),3)),""),"")</f>
        <v/>
      </c>
      <c r="S10" s="464" t="str">
        <f t="shared" si="0"/>
        <v/>
      </c>
      <c r="T10" s="286" t="str">
        <f>IF($A10&lt;&gt;"",IF(INDEX(BDHK2,MATCH($A10,DiemHKII!$B$4:$B$58,0),INDEX($AD$9:$AF$22,MATCH(T$7,$AD$9:$AD$22,0),2))&lt;&gt;"",INDEX(BDHK2,MATCH($A10,DiemHKII!$B$4:$B$58,0),INDEX($AD$9:$AF$22,MATCH(T$7,$AD$9:$AD$22,0),3)),""),"")</f>
        <v/>
      </c>
      <c r="U10" s="287" t="str">
        <f>IF($A10&lt;&gt;"",IF(INDEX(BDHK2,MATCH($A10,DiemHKII!$B$4:$B$58,0),INDEX($AD$9:$AF$22,MATCH(U$7,$AD$9:$AD$22,0),2))&lt;&gt;"",INDEX(BDHK2,MATCH($A10,DiemHKII!$B$4:$B$58,0),INDEX($AD$9:$AF$22,MATCH(U$7,$AD$9:$AD$22,0),3)),""),"")</f>
        <v/>
      </c>
      <c r="V10" s="288" t="str">
        <f t="shared" ref="V10:V14" si="6">IF(COUNT(G10:Q10,T10)&gt;=11,ROUND(AVERAGE(G10:Q10,T10),1),"")</f>
        <v/>
      </c>
      <c r="W10" s="464" t="str">
        <f t="shared" si="1"/>
        <v/>
      </c>
      <c r="X10" s="353"/>
      <c r="Y10" s="289" t="str">
        <f t="shared" si="2"/>
        <v/>
      </c>
      <c r="Z10" s="1"/>
      <c r="AA10" s="1"/>
      <c r="AB10" s="644" t="str">
        <f t="shared" si="3"/>
        <v/>
      </c>
      <c r="AC10" s="268" t="s">
        <v>12</v>
      </c>
      <c r="AD10" s="268" t="s">
        <v>27</v>
      </c>
      <c r="AE10" s="268">
        <v>25</v>
      </c>
      <c r="AF10" s="268">
        <v>28</v>
      </c>
      <c r="AG10" s="268" t="str">
        <f>IF($A10&lt;&gt;"",INDEX(DiemHKII!$B$4:$K$58,MATCH($A10,DiemHKII!$B$4:$B$58,0),2),"")</f>
        <v>12A1Lê TuấnAnh20/10/2004</v>
      </c>
      <c r="AH10" s="674" t="str">
        <f t="shared" ref="AH10:AH62" si="7">IF(AND(V10&gt;=8,W10="Khá"),IF(G10&lt;8,"Toán "&amp;G10&amp;", ",""),"")&amp;IF(AND(V10&gt;=8,W10="Khá"),IF(L10&lt;8,"Văn "&amp;L10&amp;", ",""),"")&amp;IF(AND(V10&gt;=8,W10="Khá"),IF(O10&lt;8,"Anh "&amp;O10&amp;", ",""),"")&amp;IF(AND(V10&gt;=6.5,W10="Tb"),IF(G10&lt;6.5,"Toán "&amp;G10&amp;", ",""),"")&amp;IF(AND(V10&gt;=6.5,W10="Tb"),IF(L10&lt;6.5,"Văn "&amp;L10&amp;", ",""),"")&amp;IF(AND(V10&gt;=6.5,W10="Tb"),IF(O10&lt;6.5,"Anh "&amp;O10&amp;", ",""),"")&amp;IF(AND(V10&gt;=5,W10="Yếu"),IF(G10&lt;5,"Toán "&amp;G10&amp;", ",""),"")&amp;IF(AND(V10&gt;=5,W10="Yếu"),IF(L10&lt;5,"Văn "&amp;L10&amp;", ",""),"")&amp;IF(AND(V10&gt;=5,W10="Yếu"),IF(O10&lt;5,"Anh "&amp;O10&amp;", ",""),"")</f>
        <v/>
      </c>
      <c r="AI10" s="672" t="str">
        <f t="shared" ca="1" si="5"/>
        <v/>
      </c>
    </row>
    <row r="11" spans="1:35" s="268" customFormat="1" ht="29.1" customHeight="1">
      <c r="A11" s="281">
        <f>IF(A10&lt;MAX(DiemHKII!$B$4:$B$58),A10+1,"")</f>
        <v>4</v>
      </c>
      <c r="B11" s="282" t="str">
        <f>IF($A11&lt;&gt;"",PROPER(INDEX(DiemHKII!$B$4:$K$58,MATCH($A11,DiemHKII!$B$4:$B$58,0),4)),"")</f>
        <v>Nguyễn Quách Mai</v>
      </c>
      <c r="C11" s="283" t="str">
        <f>IF($A11&lt;&gt;"",PROPER(INDEX(DiemHKII!$B$4:$K$58,MATCH($A11,DiemHKII!$B$4:$B$58,0),5)),"")</f>
        <v>Anh</v>
      </c>
      <c r="D11" s="284" t="str">
        <f>IF($A11&lt;&gt;"",IF(INDEX(DiemHKII!$B$4:$K$58,MATCH($A11,DiemHKII!$B$4:$B$58,0),8)&lt;&gt;"",INDEX(DiemHKII!$B$4:$K$58,MATCH($A11,DiemHKII!$B$4:$B$58,0),8),""),"")</f>
        <v/>
      </c>
      <c r="E11" s="284" t="str">
        <f>IF($A11&lt;&gt;"",IF(INDEX(DiemHKII!$B$4:$K$58,MATCH($A11,DiemHKII!$B$4:$B$58,0),9)&lt;&gt;"",INDEX(DiemHKII!$B$4:$K$58,MATCH($A11,DiemHKII!$B$4:$B$58,0),9),""),"")</f>
        <v/>
      </c>
      <c r="F11" s="284" t="str">
        <f>IF($A11&lt;&gt;"",IF(INDEX(DiemHKII!$B$4:$K$58,MATCH($A11,DiemHKII!$B$4:$B$58,0),10)&lt;&gt;"",INDEX(DiemHKII!$B$4:$K$58,MATCH($A11,DiemHKII!$B$4:$B$58,0),10),""),"")</f>
        <v/>
      </c>
      <c r="G11" s="285" t="str">
        <f>IF($A11&lt;&gt;"",IF(INDEX(BDHK2,MATCH($A11,DiemHKII!$B$4:$B$58,0),INDEX($AD$9:$AF$22,MATCH(G$7,$AD$9:$AD$22,0),2))&lt;&gt;"",INDEX(BDHK2,MATCH($A11,DiemHKII!$B$4:$B$58,0),INDEX($AD$9:$AF$22,MATCH(G$7,$AD$9:$AD$22,0),3)),""),"")</f>
        <v/>
      </c>
      <c r="H11" s="286" t="str">
        <f>IF($A11&lt;&gt;"",IF(INDEX(BDHK2,MATCH($A11,DiemHKII!$B$4:$B$58,0),INDEX($AD$9:$AF$22,MATCH(H$7,$AD$9:$AD$22,0),2))&lt;&gt;"",INDEX(BDHK2,MATCH($A11,DiemHKII!$B$4:$B$58,0),INDEX($AD$9:$AF$22,MATCH(H$7,$AD$9:$AD$22,0),3)),""),"")</f>
        <v/>
      </c>
      <c r="I11" s="286" t="str">
        <f>IF($A11&lt;&gt;"",IF(INDEX(BDHK2,MATCH($A11,DiemHKII!$B$4:$B$58,0),INDEX($AD$9:$AF$22,MATCH(I$7,$AD$9:$AD$22,0),2))&lt;&gt;"",INDEX(BDHK2,MATCH($A11,DiemHKII!$B$4:$B$58,0),INDEX($AD$9:$AF$22,MATCH(I$7,$AD$9:$AD$22,0),3)),""),"")</f>
        <v/>
      </c>
      <c r="J11" s="286" t="str">
        <f>IF($A11&lt;&gt;"",IF(INDEX(BDHK2,MATCH($A11,DiemHKII!$B$4:$B$58,0),INDEX($AD$9:$AF$22,MATCH(J$7,$AD$9:$AD$22,0),2))&lt;&gt;"",INDEX(BDHK2,MATCH($A11,DiemHKII!$B$4:$B$58,0),INDEX($AD$9:$AF$22,MATCH(J$7,$AD$9:$AD$22,0),3)),""),"")</f>
        <v/>
      </c>
      <c r="K11" s="286" t="str">
        <f>IF($A11&lt;&gt;"",IF(INDEX(BDHK2,MATCH($A11,DiemHKII!$B$4:$B$58,0),INDEX($AD$9:$AF$22,MATCH(K$7,$AD$9:$AD$22,0),2))&lt;&gt;"",INDEX(BDHK2,MATCH($A11,DiemHKII!$B$4:$B$58,0),INDEX($AD$9:$AF$22,MATCH(K$7,$AD$9:$AD$22,0),3)),""),"")</f>
        <v/>
      </c>
      <c r="L11" s="286" t="str">
        <f>IF($A11&lt;&gt;"",IF(INDEX(BDHK2,MATCH($A11,DiemHKII!$B$4:$B$58,0),INDEX($AD$9:$AF$22,MATCH(L$7,$AD$9:$AD$22,0),2))&lt;&gt;"",INDEX(BDHK2,MATCH($A11,DiemHKII!$B$4:$B$58,0),INDEX($AD$9:$AF$22,MATCH(L$7,$AD$9:$AD$22,0),3)),""),"")</f>
        <v/>
      </c>
      <c r="M11" s="286" t="str">
        <f>IF($A11&lt;&gt;"",IF(INDEX(BDHK2,MATCH($A11,DiemHKII!$B$4:$B$58,0),INDEX($AD$9:$AF$22,MATCH(M$7,$AD$9:$AD$22,0),2))&lt;&gt;"",INDEX(BDHK2,MATCH($A11,DiemHKII!$B$4:$B$58,0),INDEX($AD$9:$AF$22,MATCH(M$7,$AD$9:$AD$22,0),3)),""),"")</f>
        <v/>
      </c>
      <c r="N11" s="286" t="str">
        <f>IF($A11&lt;&gt;"",IF(INDEX(BDHK2,MATCH($A11,DiemHKII!$B$4:$B$58,0),INDEX($AD$9:$AF$22,MATCH(N$7,$AD$9:$AD$22,0),2))&lt;&gt;"",INDEX(BDHK2,MATCH($A11,DiemHKII!$B$4:$B$58,0),INDEX($AD$9:$AF$22,MATCH(N$7,$AD$9:$AD$22,0),3)),""),"")</f>
        <v/>
      </c>
      <c r="O11" s="286" t="str">
        <f>IF($A11&lt;&gt;"",IF(INDEX(BDHK2,MATCH($A11,DiemHKII!$B$4:$B$58,0),INDEX($AD$9:$AF$22,MATCH(O$7,$AD$9:$AD$22,0),2))&lt;&gt;"",INDEX(BDHK2,MATCH($A11,DiemHKII!$B$4:$B$58,0),INDEX($AD$9:$AF$22,MATCH(O$7,$AD$9:$AD$22,0),3)),""),"")</f>
        <v/>
      </c>
      <c r="P11" s="286" t="str">
        <f>IF($A11&lt;&gt;"",IF(INDEX(BDHK2,MATCH($A11,DiemHKII!$B$4:$B$58,0),INDEX($AD$9:$AF$22,MATCH(P$7,$AD$9:$AD$22,0),2))&lt;&gt;"",INDEX(BDHK2,MATCH($A11,DiemHKII!$B$4:$B$58,0),INDEX($AD$9:$AF$22,MATCH(P$7,$AD$9:$AD$22,0),3)),""),"")</f>
        <v/>
      </c>
      <c r="Q11" s="286" t="str">
        <f>IF($A11&lt;&gt;"",IF(INDEX(BDHK2,MATCH($A11,DiemHKII!$B$4:$B$58,0),INDEX($AD$9:$AF$22,MATCH(Q$7,$AD$9:$AD$22,0),2))&lt;&gt;"",INDEX(BDHK2,MATCH($A11,DiemHKII!$B$4:$B$58,0),INDEX($AD$9:$AF$22,MATCH(Q$7,$AD$9:$AD$22,0),3)),""),"")</f>
        <v/>
      </c>
      <c r="R11" s="464" t="str">
        <f>IF($A11&lt;&gt;"",IF(INDEX(BDHK2,MATCH($A11,DiemHKII!$B$4:$B$58,0),INDEX($AD$9:$AF$22,MATCH(R$7,$AD$9:$AD$22,0),2))&lt;&gt;"",INDEX(BDHK2,MATCH($A11,DiemHKII!$B$4:$B$58,0),INDEX($AD$9:$AF$22,MATCH(R$7,$AD$9:$AD$22,0),3)),""),"")</f>
        <v/>
      </c>
      <c r="S11" s="464" t="str">
        <f t="shared" si="0"/>
        <v/>
      </c>
      <c r="T11" s="286" t="str">
        <f>IF($A11&lt;&gt;"",IF(INDEX(BDHK2,MATCH($A11,DiemHKII!$B$4:$B$58,0),INDEX($AD$9:$AF$22,MATCH(T$7,$AD$9:$AD$22,0),2))&lt;&gt;"",INDEX(BDHK2,MATCH($A11,DiemHKII!$B$4:$B$58,0),INDEX($AD$9:$AF$22,MATCH(T$7,$AD$9:$AD$22,0),3)),""),"")</f>
        <v/>
      </c>
      <c r="U11" s="287" t="str">
        <f>IF($A11&lt;&gt;"",IF(INDEX(BDHK2,MATCH($A11,DiemHKII!$B$4:$B$58,0),INDEX($AD$9:$AF$22,MATCH(U$7,$AD$9:$AD$22,0),2))&lt;&gt;"",INDEX(BDHK2,MATCH($A11,DiemHKII!$B$4:$B$58,0),INDEX($AD$9:$AF$22,MATCH(U$7,$AD$9:$AD$22,0),3)),""),"")</f>
        <v/>
      </c>
      <c r="V11" s="288" t="str">
        <f t="shared" si="6"/>
        <v/>
      </c>
      <c r="W11" s="464" t="str">
        <f t="shared" si="1"/>
        <v/>
      </c>
      <c r="X11" s="353"/>
      <c r="Y11" s="289" t="str">
        <f t="shared" si="2"/>
        <v/>
      </c>
      <c r="Z11" s="1"/>
      <c r="AA11" s="1"/>
      <c r="AB11" s="644" t="str">
        <f t="shared" si="3"/>
        <v/>
      </c>
      <c r="AC11" s="268" t="s">
        <v>39</v>
      </c>
      <c r="AD11" s="268" t="s">
        <v>28</v>
      </c>
      <c r="AE11" s="268">
        <v>34</v>
      </c>
      <c r="AF11" s="268">
        <v>37</v>
      </c>
      <c r="AG11" s="268" t="str">
        <f>IF($A11&lt;&gt;"",INDEX(DiemHKII!$B$4:$K$58,MATCH($A11,DiemHKII!$B$4:$B$58,0),2),"")</f>
        <v>12A1Nguyễn Quách MaiAnh12/05/2004</v>
      </c>
      <c r="AH11" s="674" t="str">
        <f t="shared" si="7"/>
        <v/>
      </c>
      <c r="AI11" s="672" t="str">
        <f t="shared" ca="1" si="5"/>
        <v/>
      </c>
    </row>
    <row r="12" spans="1:35" s="268" customFormat="1" ht="29.1" customHeight="1" thickBot="1">
      <c r="A12" s="290">
        <f>IF(A11&lt;MAX(DiemHKII!$B$4:$B$58),A11+1,"")</f>
        <v>5</v>
      </c>
      <c r="B12" s="291" t="str">
        <f>IF($A12&lt;&gt;"",PROPER(INDEX(DiemHKII!$B$4:$K$58,MATCH($A12,DiemHKII!$B$4:$B$58,0),4)),"")</f>
        <v>Vũ Song</v>
      </c>
      <c r="C12" s="292" t="str">
        <f>IF($A12&lt;&gt;"",PROPER(INDEX(DiemHKII!$B$4:$K$58,MATCH($A12,DiemHKII!$B$4:$B$58,0),5)),"")</f>
        <v>Anh</v>
      </c>
      <c r="D12" s="293" t="str">
        <f>IF($A12&lt;&gt;"",IF(INDEX(DiemHKII!$B$4:$K$58,MATCH($A12,DiemHKII!$B$4:$B$58,0),8)&lt;&gt;"",INDEX(DiemHKII!$B$4:$K$58,MATCH($A12,DiemHKII!$B$4:$B$58,0),8),""),"")</f>
        <v/>
      </c>
      <c r="E12" s="293" t="str">
        <f>IF($A12&lt;&gt;"",IF(INDEX(DiemHKII!$B$4:$K$58,MATCH($A12,DiemHKII!$B$4:$B$58,0),9)&lt;&gt;"",INDEX(DiemHKII!$B$4:$K$58,MATCH($A12,DiemHKII!$B$4:$B$58,0),9),""),"")</f>
        <v/>
      </c>
      <c r="F12" s="293" t="str">
        <f>IF($A12&lt;&gt;"",IF(INDEX(DiemHKII!$B$4:$K$58,MATCH($A12,DiemHKII!$B$4:$B$58,0),10)&lt;&gt;"",INDEX(DiemHKII!$B$4:$K$58,MATCH($A12,DiemHKII!$B$4:$B$58,0),10),""),"")</f>
        <v/>
      </c>
      <c r="G12" s="294" t="str">
        <f>IF($A12&lt;&gt;"",IF(INDEX(BDHK2,MATCH($A12,DiemHKII!$B$4:$B$58,0),INDEX($AD$9:$AF$22,MATCH(G$7,$AD$9:$AD$22,0),2))&lt;&gt;"",INDEX(BDHK2,MATCH($A12,DiemHKII!$B$4:$B$58,0),INDEX($AD$9:$AF$22,MATCH(G$7,$AD$9:$AD$22,0),3)),""),"")</f>
        <v/>
      </c>
      <c r="H12" s="295" t="str">
        <f>IF($A12&lt;&gt;"",IF(INDEX(BDHK2,MATCH($A12,DiemHKII!$B$4:$B$58,0),INDEX($AD$9:$AF$22,MATCH(H$7,$AD$9:$AD$22,0),2))&lt;&gt;"",INDEX(BDHK2,MATCH($A12,DiemHKII!$B$4:$B$58,0),INDEX($AD$9:$AF$22,MATCH(H$7,$AD$9:$AD$22,0),3)),""),"")</f>
        <v/>
      </c>
      <c r="I12" s="295" t="str">
        <f>IF($A12&lt;&gt;"",IF(INDEX(BDHK2,MATCH($A12,DiemHKII!$B$4:$B$58,0),INDEX($AD$9:$AF$22,MATCH(I$7,$AD$9:$AD$22,0),2))&lt;&gt;"",INDEX(BDHK2,MATCH($A12,DiemHKII!$B$4:$B$58,0),INDEX($AD$9:$AF$22,MATCH(I$7,$AD$9:$AD$22,0),3)),""),"")</f>
        <v/>
      </c>
      <c r="J12" s="295" t="str">
        <f>IF($A12&lt;&gt;"",IF(INDEX(BDHK2,MATCH($A12,DiemHKII!$B$4:$B$58,0),INDEX($AD$9:$AF$22,MATCH(J$7,$AD$9:$AD$22,0),2))&lt;&gt;"",INDEX(BDHK2,MATCH($A12,DiemHKII!$B$4:$B$58,0),INDEX($AD$9:$AF$22,MATCH(J$7,$AD$9:$AD$22,0),3)),""),"")</f>
        <v/>
      </c>
      <c r="K12" s="295" t="str">
        <f>IF($A12&lt;&gt;"",IF(INDEX(BDHK2,MATCH($A12,DiemHKII!$B$4:$B$58,0),INDEX($AD$9:$AF$22,MATCH(K$7,$AD$9:$AD$22,0),2))&lt;&gt;"",INDEX(BDHK2,MATCH($A12,DiemHKII!$B$4:$B$58,0),INDEX($AD$9:$AF$22,MATCH(K$7,$AD$9:$AD$22,0),3)),""),"")</f>
        <v/>
      </c>
      <c r="L12" s="295" t="str">
        <f>IF($A12&lt;&gt;"",IF(INDEX(BDHK2,MATCH($A12,DiemHKII!$B$4:$B$58,0),INDEX($AD$9:$AF$22,MATCH(L$7,$AD$9:$AD$22,0),2))&lt;&gt;"",INDEX(BDHK2,MATCH($A12,DiemHKII!$B$4:$B$58,0),INDEX($AD$9:$AF$22,MATCH(L$7,$AD$9:$AD$22,0),3)),""),"")</f>
        <v/>
      </c>
      <c r="M12" s="295" t="str">
        <f>IF($A12&lt;&gt;"",IF(INDEX(BDHK2,MATCH($A12,DiemHKII!$B$4:$B$58,0),INDEX($AD$9:$AF$22,MATCH(M$7,$AD$9:$AD$22,0),2))&lt;&gt;"",INDEX(BDHK2,MATCH($A12,DiemHKII!$B$4:$B$58,0),INDEX($AD$9:$AF$22,MATCH(M$7,$AD$9:$AD$22,0),3)),""),"")</f>
        <v/>
      </c>
      <c r="N12" s="295" t="str">
        <f>IF($A12&lt;&gt;"",IF(INDEX(BDHK2,MATCH($A12,DiemHKII!$B$4:$B$58,0),INDEX($AD$9:$AF$22,MATCH(N$7,$AD$9:$AD$22,0),2))&lt;&gt;"",INDEX(BDHK2,MATCH($A12,DiemHKII!$B$4:$B$58,0),INDEX($AD$9:$AF$22,MATCH(N$7,$AD$9:$AD$22,0),3)),""),"")</f>
        <v/>
      </c>
      <c r="O12" s="295" t="str">
        <f>IF($A12&lt;&gt;"",IF(INDEX(BDHK2,MATCH($A12,DiemHKII!$B$4:$B$58,0),INDEX($AD$9:$AF$22,MATCH(O$7,$AD$9:$AD$22,0),2))&lt;&gt;"",INDEX(BDHK2,MATCH($A12,DiemHKII!$B$4:$B$58,0),INDEX($AD$9:$AF$22,MATCH(O$7,$AD$9:$AD$22,0),3)),""),"")</f>
        <v/>
      </c>
      <c r="P12" s="295" t="str">
        <f>IF($A12&lt;&gt;"",IF(INDEX(BDHK2,MATCH($A12,DiemHKII!$B$4:$B$58,0),INDEX($AD$9:$AF$22,MATCH(P$7,$AD$9:$AD$22,0),2))&lt;&gt;"",INDEX(BDHK2,MATCH($A12,DiemHKII!$B$4:$B$58,0),INDEX($AD$9:$AF$22,MATCH(P$7,$AD$9:$AD$22,0),3)),""),"")</f>
        <v/>
      </c>
      <c r="Q12" s="295" t="str">
        <f>IF($A12&lt;&gt;"",IF(INDEX(BDHK2,MATCH($A12,DiemHKII!$B$4:$B$58,0),INDEX($AD$9:$AF$22,MATCH(Q$7,$AD$9:$AD$22,0),2))&lt;&gt;"",INDEX(BDHK2,MATCH($A12,DiemHKII!$B$4:$B$58,0),INDEX($AD$9:$AF$22,MATCH(Q$7,$AD$9:$AD$22,0),3)),""),"")</f>
        <v/>
      </c>
      <c r="R12" s="296" t="str">
        <f>IF($A12&lt;&gt;"",IF(INDEX(BDHK2,MATCH($A12,DiemHKII!$B$4:$B$58,0),INDEX($AD$9:$AF$22,MATCH(R$7,$AD$9:$AD$22,0),2))&lt;&gt;"",INDEX(BDHK2,MATCH($A12,DiemHKII!$B$4:$B$58,0),INDEX($AD$9:$AF$22,MATCH(R$7,$AD$9:$AD$22,0),3)),""),"")</f>
        <v/>
      </c>
      <c r="S12" s="296" t="str">
        <f t="shared" si="0"/>
        <v/>
      </c>
      <c r="T12" s="295" t="str">
        <f>IF($A12&lt;&gt;"",IF(INDEX(BDHK2,MATCH($A12,DiemHKII!$B$4:$B$58,0),INDEX($AD$9:$AF$22,MATCH(T$7,$AD$9:$AD$22,0),2))&lt;&gt;"",INDEX(BDHK2,MATCH($A12,DiemHKII!$B$4:$B$58,0),INDEX($AD$9:$AF$22,MATCH(T$7,$AD$9:$AD$22,0),3)),""),"")</f>
        <v/>
      </c>
      <c r="U12" s="297" t="str">
        <f>IF($A12&lt;&gt;"",IF(INDEX(BDHK2,MATCH($A12,DiemHKII!$B$4:$B$58,0),INDEX($AD$9:$AF$22,MATCH(U$7,$AD$9:$AD$22,0),2))&lt;&gt;"",INDEX(BDHK2,MATCH($A12,DiemHKII!$B$4:$B$58,0),INDEX($AD$9:$AF$22,MATCH(U$7,$AD$9:$AD$22,0),3)),""),"")</f>
        <v/>
      </c>
      <c r="V12" s="298" t="str">
        <f t="shared" si="6"/>
        <v/>
      </c>
      <c r="W12" s="296" t="str">
        <f t="shared" si="1"/>
        <v/>
      </c>
      <c r="X12" s="354"/>
      <c r="Y12" s="299" t="str">
        <f t="shared" si="2"/>
        <v/>
      </c>
      <c r="Z12" s="1"/>
      <c r="AA12" s="1"/>
      <c r="AB12" s="644" t="str">
        <f t="shared" si="3"/>
        <v/>
      </c>
      <c r="AC12" s="268" t="s">
        <v>14</v>
      </c>
      <c r="AD12" s="268" t="s">
        <v>29</v>
      </c>
      <c r="AE12" s="268">
        <v>43</v>
      </c>
      <c r="AF12" s="268">
        <v>46</v>
      </c>
      <c r="AG12" s="268" t="str">
        <f>IF($A12&lt;&gt;"",INDEX(DiemHKII!$B$4:$K$58,MATCH($A12,DiemHKII!$B$4:$B$58,0),2),"")</f>
        <v>12A1Vũ SongAnh20/04/2004</v>
      </c>
      <c r="AH12" s="674" t="str">
        <f t="shared" si="7"/>
        <v/>
      </c>
      <c r="AI12" s="672" t="str">
        <f t="shared" ca="1" si="5"/>
        <v/>
      </c>
    </row>
    <row r="13" spans="1:35" s="268" customFormat="1" ht="29.1" customHeight="1">
      <c r="A13" s="274">
        <f>IF(A12&lt;MAX(DiemHKII!$B$4:$B$58),A12+1,"")</f>
        <v>6</v>
      </c>
      <c r="B13" s="275" t="str">
        <f>IF($A13&lt;&gt;"",PROPER(INDEX(DiemHKII!$B$4:$K$58,MATCH($A13,DiemHKII!$B$4:$B$58,0),4)),"")</f>
        <v>Phan Gia</v>
      </c>
      <c r="C13" s="276" t="str">
        <f>IF($A13&lt;&gt;"",PROPER(INDEX(DiemHKII!$B$4:$K$58,MATCH($A13,DiemHKII!$B$4:$B$58,0),5)),"")</f>
        <v>Bảo</v>
      </c>
      <c r="D13" s="277" t="str">
        <f>IF($A13&lt;&gt;"",IF(INDEX(DiemHKII!$B$4:$K$58,MATCH($A13,DiemHKII!$B$4:$B$58,0),8)&lt;&gt;"",INDEX(DiemHKII!$B$4:$K$58,MATCH($A13,DiemHKII!$B$4:$B$58,0),8),""),"")</f>
        <v/>
      </c>
      <c r="E13" s="277" t="str">
        <f>IF($A13&lt;&gt;"",IF(INDEX(DiemHKII!$B$4:$K$58,MATCH($A13,DiemHKII!$B$4:$B$58,0),9)&lt;&gt;"",INDEX(DiemHKII!$B$4:$K$58,MATCH($A13,DiemHKII!$B$4:$B$58,0),9),""),"")</f>
        <v/>
      </c>
      <c r="F13" s="277" t="str">
        <f>IF($A13&lt;&gt;"",IF(INDEX(DiemHKII!$B$4:$K$58,MATCH($A13,DiemHKII!$B$4:$B$58,0),10)&lt;&gt;"",INDEX(DiemHKII!$B$4:$K$58,MATCH($A13,DiemHKII!$B$4:$B$58,0),10),""),"")</f>
        <v/>
      </c>
      <c r="G13" s="300" t="str">
        <f>IF($A13&lt;&gt;"",IF(INDEX(BDHK2,MATCH($A13,DiemHKII!$B$4:$B$58,0),INDEX($AD$9:$AF$22,MATCH(G$7,$AD$9:$AD$22,0),2))&lt;&gt;"",INDEX(BDHK2,MATCH($A13,DiemHKII!$B$4:$B$58,0),INDEX($AD$9:$AF$22,MATCH(G$7,$AD$9:$AD$22,0),3)),""),"")</f>
        <v/>
      </c>
      <c r="H13" s="301" t="str">
        <f>IF($A13&lt;&gt;"",IF(INDEX(BDHK2,MATCH($A13,DiemHKII!$B$4:$B$58,0),INDEX($AD$9:$AF$22,MATCH(H$7,$AD$9:$AD$22,0),2))&lt;&gt;"",INDEX(BDHK2,MATCH($A13,DiemHKII!$B$4:$B$58,0),INDEX($AD$9:$AF$22,MATCH(H$7,$AD$9:$AD$22,0),3)),""),"")</f>
        <v/>
      </c>
      <c r="I13" s="301" t="str">
        <f>IF($A13&lt;&gt;"",IF(INDEX(BDHK2,MATCH($A13,DiemHKII!$B$4:$B$58,0),INDEX($AD$9:$AF$22,MATCH(I$7,$AD$9:$AD$22,0),2))&lt;&gt;"",INDEX(BDHK2,MATCH($A13,DiemHKII!$B$4:$B$58,0),INDEX($AD$9:$AF$22,MATCH(I$7,$AD$9:$AD$22,0),3)),""),"")</f>
        <v/>
      </c>
      <c r="J13" s="301" t="str">
        <f>IF($A13&lt;&gt;"",IF(INDEX(BDHK2,MATCH($A13,DiemHKII!$B$4:$B$58,0),INDEX($AD$9:$AF$22,MATCH(J$7,$AD$9:$AD$22,0),2))&lt;&gt;"",INDEX(BDHK2,MATCH($A13,DiemHKII!$B$4:$B$58,0),INDEX($AD$9:$AF$22,MATCH(J$7,$AD$9:$AD$22,0),3)),""),"")</f>
        <v/>
      </c>
      <c r="K13" s="301" t="str">
        <f>IF($A13&lt;&gt;"",IF(INDEX(BDHK2,MATCH($A13,DiemHKII!$B$4:$B$58,0),INDEX($AD$9:$AF$22,MATCH(K$7,$AD$9:$AD$22,0),2))&lt;&gt;"",INDEX(BDHK2,MATCH($A13,DiemHKII!$B$4:$B$58,0),INDEX($AD$9:$AF$22,MATCH(K$7,$AD$9:$AD$22,0),3)),""),"")</f>
        <v/>
      </c>
      <c r="L13" s="301" t="str">
        <f>IF($A13&lt;&gt;"",IF(INDEX(BDHK2,MATCH($A13,DiemHKII!$B$4:$B$58,0),INDEX($AD$9:$AF$22,MATCH(L$7,$AD$9:$AD$22,0),2))&lt;&gt;"",INDEX(BDHK2,MATCH($A13,DiemHKII!$B$4:$B$58,0),INDEX($AD$9:$AF$22,MATCH(L$7,$AD$9:$AD$22,0),3)),""),"")</f>
        <v/>
      </c>
      <c r="M13" s="301" t="str">
        <f>IF($A13&lt;&gt;"",IF(INDEX(BDHK2,MATCH($A13,DiemHKII!$B$4:$B$58,0),INDEX($AD$9:$AF$22,MATCH(M$7,$AD$9:$AD$22,0),2))&lt;&gt;"",INDEX(BDHK2,MATCH($A13,DiemHKII!$B$4:$B$58,0),INDEX($AD$9:$AF$22,MATCH(M$7,$AD$9:$AD$22,0),3)),""),"")</f>
        <v/>
      </c>
      <c r="N13" s="301" t="str">
        <f>IF($A13&lt;&gt;"",IF(INDEX(BDHK2,MATCH($A13,DiemHKII!$B$4:$B$58,0),INDEX($AD$9:$AF$22,MATCH(N$7,$AD$9:$AD$22,0),2))&lt;&gt;"",INDEX(BDHK2,MATCH($A13,DiemHKII!$B$4:$B$58,0),INDEX($AD$9:$AF$22,MATCH(N$7,$AD$9:$AD$22,0),3)),""),"")</f>
        <v/>
      </c>
      <c r="O13" s="301" t="str">
        <f>IF($A13&lt;&gt;"",IF(INDEX(BDHK2,MATCH($A13,DiemHKII!$B$4:$B$58,0),INDEX($AD$9:$AF$22,MATCH(O$7,$AD$9:$AD$22,0),2))&lt;&gt;"",INDEX(BDHK2,MATCH($A13,DiemHKII!$B$4:$B$58,0),INDEX($AD$9:$AF$22,MATCH(O$7,$AD$9:$AD$22,0),3)),""),"")</f>
        <v/>
      </c>
      <c r="P13" s="301" t="str">
        <f>IF($A13&lt;&gt;"",IF(INDEX(BDHK2,MATCH($A13,DiemHKII!$B$4:$B$58,0),INDEX($AD$9:$AF$22,MATCH(P$7,$AD$9:$AD$22,0),2))&lt;&gt;"",INDEX(BDHK2,MATCH($A13,DiemHKII!$B$4:$B$58,0),INDEX($AD$9:$AF$22,MATCH(P$7,$AD$9:$AD$22,0),3)),""),"")</f>
        <v/>
      </c>
      <c r="Q13" s="301" t="str">
        <f>IF($A13&lt;&gt;"",IF(INDEX(BDHK2,MATCH($A13,DiemHKII!$B$4:$B$58,0),INDEX($AD$9:$AF$22,MATCH(Q$7,$AD$9:$AD$22,0),2))&lt;&gt;"",INDEX(BDHK2,MATCH($A13,DiemHKII!$B$4:$B$58,0),INDEX($AD$9:$AF$22,MATCH(Q$7,$AD$9:$AD$22,0),3)),""),"")</f>
        <v/>
      </c>
      <c r="R13" s="279" t="str">
        <f>IF($A13&lt;&gt;"",IF(INDEX(BDHK2,MATCH($A13,DiemHKII!$B$4:$B$58,0),INDEX($AD$9:$AF$22,MATCH(R$7,$AD$9:$AD$22,0),2))&lt;&gt;"",INDEX(BDHK2,MATCH($A13,DiemHKII!$B$4:$B$58,0),INDEX($AD$9:$AF$22,MATCH(R$7,$AD$9:$AD$22,0),3)),""),"")</f>
        <v/>
      </c>
      <c r="S13" s="279" t="str">
        <f t="shared" si="0"/>
        <v/>
      </c>
      <c r="T13" s="301" t="str">
        <f>IF($A13&lt;&gt;"",IF(INDEX(BDHK2,MATCH($A13,DiemHKII!$B$4:$B$58,0),INDEX($AD$9:$AF$22,MATCH(T$7,$AD$9:$AD$22,0),2))&lt;&gt;"",INDEX(BDHK2,MATCH($A13,DiemHKII!$B$4:$B$58,0),INDEX($AD$9:$AF$22,MATCH(T$7,$AD$9:$AD$22,0),3)),""),"")</f>
        <v/>
      </c>
      <c r="U13" s="302" t="str">
        <f>IF($A13&lt;&gt;"",IF(INDEX(BDHK2,MATCH($A13,DiemHKII!$B$4:$B$58,0),INDEX($AD$9:$AF$22,MATCH(U$7,$AD$9:$AD$22,0),2))&lt;&gt;"",INDEX(BDHK2,MATCH($A13,DiemHKII!$B$4:$B$58,0),INDEX($AD$9:$AF$22,MATCH(U$7,$AD$9:$AD$22,0),3)),""),"")</f>
        <v/>
      </c>
      <c r="V13" s="278" t="str">
        <f t="shared" si="6"/>
        <v/>
      </c>
      <c r="W13" s="279" t="str">
        <f t="shared" si="1"/>
        <v/>
      </c>
      <c r="X13" s="352"/>
      <c r="Y13" s="280" t="str">
        <f t="shared" si="2"/>
        <v/>
      </c>
      <c r="Z13" s="1"/>
      <c r="AA13" s="1"/>
      <c r="AB13" s="644" t="str">
        <f t="shared" si="3"/>
        <v/>
      </c>
      <c r="AD13" s="268" t="s">
        <v>120</v>
      </c>
      <c r="AE13" s="268">
        <v>52</v>
      </c>
      <c r="AF13" s="268">
        <v>55</v>
      </c>
      <c r="AG13" s="268" t="str">
        <f>IF($A13&lt;&gt;"",INDEX(DiemHKII!$B$4:$K$58,MATCH($A13,DiemHKII!$B$4:$B$58,0),2),"")</f>
        <v>12A1Phan GiaBảo27/10/2004</v>
      </c>
      <c r="AH13" s="674" t="str">
        <f t="shared" si="7"/>
        <v/>
      </c>
      <c r="AI13" s="672" t="str">
        <f t="shared" ca="1" si="5"/>
        <v/>
      </c>
    </row>
    <row r="14" spans="1:35" s="268" customFormat="1" ht="29.1" customHeight="1">
      <c r="A14" s="281">
        <f>IF(A13&lt;MAX(DiemHKII!$B$4:$B$58),A13+1,"")</f>
        <v>7</v>
      </c>
      <c r="B14" s="282" t="str">
        <f>IF($A14&lt;&gt;"",PROPER(INDEX(DiemHKII!$B$4:$K$58,MATCH($A14,DiemHKII!$B$4:$B$58,0),4)),"")</f>
        <v>Nguyễn Phúc</v>
      </c>
      <c r="C14" s="283" t="str">
        <f>IF($A14&lt;&gt;"",PROPER(INDEX(DiemHKII!$B$4:$K$58,MATCH($A14,DiemHKII!$B$4:$B$58,0),5)),"")</f>
        <v>Bình</v>
      </c>
      <c r="D14" s="284" t="str">
        <f>IF($A14&lt;&gt;"",IF(INDEX(DiemHKII!$B$4:$K$58,MATCH($A14,DiemHKII!$B$4:$B$58,0),8)&lt;&gt;"",INDEX(DiemHKII!$B$4:$K$58,MATCH($A14,DiemHKII!$B$4:$B$58,0),8),""),"")</f>
        <v/>
      </c>
      <c r="E14" s="284" t="str">
        <f>IF($A14&lt;&gt;"",IF(INDEX(DiemHKII!$B$4:$K$58,MATCH($A14,DiemHKII!$B$4:$B$58,0),9)&lt;&gt;"",INDEX(DiemHKII!$B$4:$K$58,MATCH($A14,DiemHKII!$B$4:$B$58,0),9),""),"")</f>
        <v/>
      </c>
      <c r="F14" s="284" t="str">
        <f>IF($A14&lt;&gt;"",IF(INDEX(DiemHKII!$B$4:$K$58,MATCH($A14,DiemHKII!$B$4:$B$58,0),10)&lt;&gt;"",INDEX(DiemHKII!$B$4:$K$58,MATCH($A14,DiemHKII!$B$4:$B$58,0),10),""),"")</f>
        <v/>
      </c>
      <c r="G14" s="285" t="str">
        <f>IF($A14&lt;&gt;"",IF(INDEX(BDHK2,MATCH($A14,DiemHKII!$B$4:$B$58,0),INDEX($AD$9:$AF$22,MATCH(G$7,$AD$9:$AD$22,0),2))&lt;&gt;"",INDEX(BDHK2,MATCH($A14,DiemHKII!$B$4:$B$58,0),INDEX($AD$9:$AF$22,MATCH(G$7,$AD$9:$AD$22,0),3)),""),"")</f>
        <v/>
      </c>
      <c r="H14" s="286" t="str">
        <f>IF($A14&lt;&gt;"",IF(INDEX(BDHK2,MATCH($A14,DiemHKII!$B$4:$B$58,0),INDEX($AD$9:$AF$22,MATCH(H$7,$AD$9:$AD$22,0),2))&lt;&gt;"",INDEX(BDHK2,MATCH($A14,DiemHKII!$B$4:$B$58,0),INDEX($AD$9:$AF$22,MATCH(H$7,$AD$9:$AD$22,0),3)),""),"")</f>
        <v/>
      </c>
      <c r="I14" s="286" t="str">
        <f>IF($A14&lt;&gt;"",IF(INDEX(BDHK2,MATCH($A14,DiemHKII!$B$4:$B$58,0),INDEX($AD$9:$AF$22,MATCH(I$7,$AD$9:$AD$22,0),2))&lt;&gt;"",INDEX(BDHK2,MATCH($A14,DiemHKII!$B$4:$B$58,0),INDEX($AD$9:$AF$22,MATCH(I$7,$AD$9:$AD$22,0),3)),""),"")</f>
        <v/>
      </c>
      <c r="J14" s="286" t="str">
        <f>IF($A14&lt;&gt;"",IF(INDEX(BDHK2,MATCH($A14,DiemHKII!$B$4:$B$58,0),INDEX($AD$9:$AF$22,MATCH(J$7,$AD$9:$AD$22,0),2))&lt;&gt;"",INDEX(BDHK2,MATCH($A14,DiemHKII!$B$4:$B$58,0),INDEX($AD$9:$AF$22,MATCH(J$7,$AD$9:$AD$22,0),3)),""),"")</f>
        <v/>
      </c>
      <c r="K14" s="286" t="str">
        <f>IF($A14&lt;&gt;"",IF(INDEX(BDHK2,MATCH($A14,DiemHKII!$B$4:$B$58,0),INDEX($AD$9:$AF$22,MATCH(K$7,$AD$9:$AD$22,0),2))&lt;&gt;"",INDEX(BDHK2,MATCH($A14,DiemHKII!$B$4:$B$58,0),INDEX($AD$9:$AF$22,MATCH(K$7,$AD$9:$AD$22,0),3)),""),"")</f>
        <v/>
      </c>
      <c r="L14" s="286" t="str">
        <f>IF($A14&lt;&gt;"",IF(INDEX(BDHK2,MATCH($A14,DiemHKII!$B$4:$B$58,0),INDEX($AD$9:$AF$22,MATCH(L$7,$AD$9:$AD$22,0),2))&lt;&gt;"",INDEX(BDHK2,MATCH($A14,DiemHKII!$B$4:$B$58,0),INDEX($AD$9:$AF$22,MATCH(L$7,$AD$9:$AD$22,0),3)),""),"")</f>
        <v/>
      </c>
      <c r="M14" s="286" t="str">
        <f>IF($A14&lt;&gt;"",IF(INDEX(BDHK2,MATCH($A14,DiemHKII!$B$4:$B$58,0),INDEX($AD$9:$AF$22,MATCH(M$7,$AD$9:$AD$22,0),2))&lt;&gt;"",INDEX(BDHK2,MATCH($A14,DiemHKII!$B$4:$B$58,0),INDEX($AD$9:$AF$22,MATCH(M$7,$AD$9:$AD$22,0),3)),""),"")</f>
        <v/>
      </c>
      <c r="N14" s="286" t="str">
        <f>IF($A14&lt;&gt;"",IF(INDEX(BDHK2,MATCH($A14,DiemHKII!$B$4:$B$58,0),INDEX($AD$9:$AF$22,MATCH(N$7,$AD$9:$AD$22,0),2))&lt;&gt;"",INDEX(BDHK2,MATCH($A14,DiemHKII!$B$4:$B$58,0),INDEX($AD$9:$AF$22,MATCH(N$7,$AD$9:$AD$22,0),3)),""),"")</f>
        <v/>
      </c>
      <c r="O14" s="286" t="str">
        <f>IF($A14&lt;&gt;"",IF(INDEX(BDHK2,MATCH($A14,DiemHKII!$B$4:$B$58,0),INDEX($AD$9:$AF$22,MATCH(O$7,$AD$9:$AD$22,0),2))&lt;&gt;"",INDEX(BDHK2,MATCH($A14,DiemHKII!$B$4:$B$58,0),INDEX($AD$9:$AF$22,MATCH(O$7,$AD$9:$AD$22,0),3)),""),"")</f>
        <v/>
      </c>
      <c r="P14" s="286" t="str">
        <f>IF($A14&lt;&gt;"",IF(INDEX(BDHK2,MATCH($A14,DiemHKII!$B$4:$B$58,0),INDEX($AD$9:$AF$22,MATCH(P$7,$AD$9:$AD$22,0),2))&lt;&gt;"",INDEX(BDHK2,MATCH($A14,DiemHKII!$B$4:$B$58,0),INDEX($AD$9:$AF$22,MATCH(P$7,$AD$9:$AD$22,0),3)),""),"")</f>
        <v/>
      </c>
      <c r="Q14" s="286" t="str">
        <f>IF($A14&lt;&gt;"",IF(INDEX(BDHK2,MATCH($A14,DiemHKII!$B$4:$B$58,0),INDEX($AD$9:$AF$22,MATCH(Q$7,$AD$9:$AD$22,0),2))&lt;&gt;"",INDEX(BDHK2,MATCH($A14,DiemHKII!$B$4:$B$58,0),INDEX($AD$9:$AF$22,MATCH(Q$7,$AD$9:$AD$22,0),3)),""),"")</f>
        <v/>
      </c>
      <c r="R14" s="464" t="str">
        <f>IF($A14&lt;&gt;"",IF(INDEX(BDHK2,MATCH($A14,DiemHKII!$B$4:$B$58,0),INDEX($AD$9:$AF$22,MATCH(R$7,$AD$9:$AD$22,0),2))&lt;&gt;"",INDEX(BDHK2,MATCH($A14,DiemHKII!$B$4:$B$58,0),INDEX($AD$9:$AF$22,MATCH(R$7,$AD$9:$AD$22,0),3)),""),"")</f>
        <v/>
      </c>
      <c r="S14" s="464" t="str">
        <f t="shared" ref="S14:S62" si="8">IF(R14&lt;&gt;"",IF(R14="CĐ",3.4,8),"")</f>
        <v/>
      </c>
      <c r="T14" s="286" t="str">
        <f>IF($A14&lt;&gt;"",IF(INDEX(BDHK2,MATCH($A14,DiemHKII!$B$4:$B$58,0),INDEX($AD$9:$AF$22,MATCH(T$7,$AD$9:$AD$22,0),2))&lt;&gt;"",INDEX(BDHK2,MATCH($A14,DiemHKII!$B$4:$B$58,0),INDEX($AD$9:$AF$22,MATCH(T$7,$AD$9:$AD$22,0),3)),""),"")</f>
        <v/>
      </c>
      <c r="U14" s="287" t="str">
        <f>IF($A14&lt;&gt;"",IF(INDEX(BDHK2,MATCH($A14,DiemHKII!$B$4:$B$58,0),INDEX($AD$9:$AF$22,MATCH(U$7,$AD$9:$AD$22,0),2))&lt;&gt;"",INDEX(BDHK2,MATCH($A14,DiemHKII!$B$4:$B$58,0),INDEX($AD$9:$AF$22,MATCH(U$7,$AD$9:$AD$22,0),3)),""),"")</f>
        <v/>
      </c>
      <c r="V14" s="288" t="str">
        <f t="shared" si="6"/>
        <v/>
      </c>
      <c r="W14" s="464" t="str">
        <f t="shared" ref="W14:W62" si="9">IF(V14="","",IF(AND(V14&gt;=8,MIN(G14:T14)&gt;6.4,OR(G14&gt;=8,L14&gt;=8,O14&gt;=8)),"Giỏi",IF(OR(AND(V14&gt;=8,MIN(G14:T14)&gt;3.4,OR(G14&gt;=8,L14&gt;=8,O14&gt;=8),COUNT(G14:T14)-COUNTIF(G14:T14,"&gt;6.4")=1,COUNTIF(G14:T14,"&lt;5")=1),AND(V14&gt;=6.5,MIN(G14:T14)&gt;4.9,OR(G14&gt;=6.5,L14&gt;=6.5,O14&gt;=6.5))),"Khá",IF(OR(AND(V14&gt;6.4,MIN(G14:T14)&gt;1.9,OR(G14&gt;6.4,L14&gt;6.4,O14&gt;6.4),COUNT(G14:T14)-COUNTIF(G14:T14,"&gt;=5")=1,COUNTIF(G14:T14,"&lt;3.5")=1),AND(V14&gt;=8,OR(G14&gt;=8,L14&gt;=8,O14&gt;=8),COUNT(G14:T14)-COUNTIF(G14:T14,"&gt;=6.5")=1,MIN(G14:T14)&gt;1.9,COUNTIF(G14:T14,"&lt;3.5")=1),AND(V14&gt;=5,MIN(G14:T14)&gt;3.4,OR(G14&gt;=5,L14&gt;=5,O14&gt;=5))),"Tb",IF(OR(AND(V14&gt;=8,OR(G14&gt;=8,L14&gt;=8,O14&gt;=8),COUNT(G14:T14)-COUNTIF(G14:T14,"&gt;=5")=2,MIN(G14:T14)&gt;=2),AND(V14&gt;6.4,OR(G14&gt;6.4,L14&gt;6.4,O14&gt;6.4),COUNT(G14:T14)-COUNTIF(G14:T14,"&gt;=5")=1,COUNTIF(G14:T14,"&lt;2")=1),AND(V14&gt;3.4,MIN(G14:T14)&gt;1.9)),"Yếu","Kém")))))</f>
        <v/>
      </c>
      <c r="X14" s="353"/>
      <c r="Y14" s="289" t="str">
        <f t="shared" ref="Y14:Y62" si="10">IF(A14="","",IF(AND(W14="Giỏi",X14="Tốt"),"HSG",IF(AND(W14="Giỏi",X14="Khá"),"HSTT",IF(AND(W14="Khá",OR(X14="Tốt",X14="Khá")),"HSTT",""))))</f>
        <v/>
      </c>
      <c r="Z14" s="1"/>
      <c r="AA14" s="1"/>
      <c r="AB14" s="644" t="str">
        <f t="shared" si="3"/>
        <v/>
      </c>
      <c r="AD14" s="268" t="s">
        <v>30</v>
      </c>
      <c r="AE14" s="268">
        <v>61</v>
      </c>
      <c r="AF14" s="268">
        <v>64</v>
      </c>
      <c r="AG14" s="268" t="str">
        <f>IF($A14&lt;&gt;"",INDEX(DiemHKII!$B$4:$K$58,MATCH($A14,DiemHKII!$B$4:$B$58,0),2),"")</f>
        <v>12A1Nguyễn PhúcBình20/06/2004</v>
      </c>
      <c r="AH14" s="674" t="str">
        <f t="shared" si="7"/>
        <v/>
      </c>
      <c r="AI14" s="672" t="str">
        <f t="shared" ca="1" si="5"/>
        <v/>
      </c>
    </row>
    <row r="15" spans="1:35" s="268" customFormat="1" ht="29.1" customHeight="1">
      <c r="A15" s="281">
        <f>IF(A14&lt;MAX(DiemHKII!$B$4:$B$58),A14+1,"")</f>
        <v>8</v>
      </c>
      <c r="B15" s="282" t="str">
        <f>IF($A15&lt;&gt;"",PROPER(INDEX(DiemHKII!$B$4:$K$58,MATCH($A15,DiemHKII!$B$4:$B$58,0),4)),"")</f>
        <v>Trần Lê</v>
      </c>
      <c r="C15" s="283" t="str">
        <f>IF($A15&lt;&gt;"",PROPER(INDEX(DiemHKII!$B$4:$K$58,MATCH($A15,DiemHKII!$B$4:$B$58,0),5)),"")</f>
        <v>Cường</v>
      </c>
      <c r="D15" s="284" t="str">
        <f>IF($A15&lt;&gt;"",IF(INDEX(DiemHKII!$B$4:$K$58,MATCH($A15,DiemHKII!$B$4:$B$58,0),8)&lt;&gt;"",INDEX(DiemHKII!$B$4:$K$58,MATCH($A15,DiemHKII!$B$4:$B$58,0),8),""),"")</f>
        <v/>
      </c>
      <c r="E15" s="284" t="str">
        <f>IF($A15&lt;&gt;"",IF(INDEX(DiemHKII!$B$4:$K$58,MATCH($A15,DiemHKII!$B$4:$B$58,0),9)&lt;&gt;"",INDEX(DiemHKII!$B$4:$K$58,MATCH($A15,DiemHKII!$B$4:$B$58,0),9),""),"")</f>
        <v/>
      </c>
      <c r="F15" s="284" t="str">
        <f>IF($A15&lt;&gt;"",IF(INDEX(DiemHKII!$B$4:$K$58,MATCH($A15,DiemHKII!$B$4:$B$58,0),10)&lt;&gt;"",INDEX(DiemHKII!$B$4:$K$58,MATCH($A15,DiemHKII!$B$4:$B$58,0),10),""),"")</f>
        <v/>
      </c>
      <c r="G15" s="285" t="str">
        <f>IF($A15&lt;&gt;"",IF(INDEX(BDHK2,MATCH($A15,DiemHKII!$B$4:$B$58,0),INDEX($AD$9:$AF$22,MATCH(G$7,$AD$9:$AD$22,0),2))&lt;&gt;"",INDEX(BDHK2,MATCH($A15,DiemHKII!$B$4:$B$58,0),INDEX($AD$9:$AF$22,MATCH(G$7,$AD$9:$AD$22,0),3)),""),"")</f>
        <v/>
      </c>
      <c r="H15" s="286" t="str">
        <f>IF($A15&lt;&gt;"",IF(INDEX(BDHK2,MATCH($A15,DiemHKII!$B$4:$B$58,0),INDEX($AD$9:$AF$22,MATCH(H$7,$AD$9:$AD$22,0),2))&lt;&gt;"",INDEX(BDHK2,MATCH($A15,DiemHKII!$B$4:$B$58,0),INDEX($AD$9:$AF$22,MATCH(H$7,$AD$9:$AD$22,0),3)),""),"")</f>
        <v/>
      </c>
      <c r="I15" s="286" t="str">
        <f>IF($A15&lt;&gt;"",IF(INDEX(BDHK2,MATCH($A15,DiemHKII!$B$4:$B$58,0),INDEX($AD$9:$AF$22,MATCH(I$7,$AD$9:$AD$22,0),2))&lt;&gt;"",INDEX(BDHK2,MATCH($A15,DiemHKII!$B$4:$B$58,0),INDEX($AD$9:$AF$22,MATCH(I$7,$AD$9:$AD$22,0),3)),""),"")</f>
        <v/>
      </c>
      <c r="J15" s="286" t="str">
        <f>IF($A15&lt;&gt;"",IF(INDEX(BDHK2,MATCH($A15,DiemHKII!$B$4:$B$58,0),INDEX($AD$9:$AF$22,MATCH(J$7,$AD$9:$AD$22,0),2))&lt;&gt;"",INDEX(BDHK2,MATCH($A15,DiemHKII!$B$4:$B$58,0),INDEX($AD$9:$AF$22,MATCH(J$7,$AD$9:$AD$22,0),3)),""),"")</f>
        <v/>
      </c>
      <c r="K15" s="286" t="str">
        <f>IF($A15&lt;&gt;"",IF(INDEX(BDHK2,MATCH($A15,DiemHKII!$B$4:$B$58,0),INDEX($AD$9:$AF$22,MATCH(K$7,$AD$9:$AD$22,0),2))&lt;&gt;"",INDEX(BDHK2,MATCH($A15,DiemHKII!$B$4:$B$58,0),INDEX($AD$9:$AF$22,MATCH(K$7,$AD$9:$AD$22,0),3)),""),"")</f>
        <v/>
      </c>
      <c r="L15" s="286" t="str">
        <f>IF($A15&lt;&gt;"",IF(INDEX(BDHK2,MATCH($A15,DiemHKII!$B$4:$B$58,0),INDEX($AD$9:$AF$22,MATCH(L$7,$AD$9:$AD$22,0),2))&lt;&gt;"",INDEX(BDHK2,MATCH($A15,DiemHKII!$B$4:$B$58,0),INDEX($AD$9:$AF$22,MATCH(L$7,$AD$9:$AD$22,0),3)),""),"")</f>
        <v/>
      </c>
      <c r="M15" s="286" t="str">
        <f>IF($A15&lt;&gt;"",IF(INDEX(BDHK2,MATCH($A15,DiemHKII!$B$4:$B$58,0),INDEX($AD$9:$AF$22,MATCH(M$7,$AD$9:$AD$22,0),2))&lt;&gt;"",INDEX(BDHK2,MATCH($A15,DiemHKII!$B$4:$B$58,0),INDEX($AD$9:$AF$22,MATCH(M$7,$AD$9:$AD$22,0),3)),""),"")</f>
        <v/>
      </c>
      <c r="N15" s="286" t="str">
        <f>IF($A15&lt;&gt;"",IF(INDEX(BDHK2,MATCH($A15,DiemHKII!$B$4:$B$58,0),INDEX($AD$9:$AF$22,MATCH(N$7,$AD$9:$AD$22,0),2))&lt;&gt;"",INDEX(BDHK2,MATCH($A15,DiemHKII!$B$4:$B$58,0),INDEX($AD$9:$AF$22,MATCH(N$7,$AD$9:$AD$22,0),3)),""),"")</f>
        <v/>
      </c>
      <c r="O15" s="286" t="str">
        <f>IF($A15&lt;&gt;"",IF(INDEX(BDHK2,MATCH($A15,DiemHKII!$B$4:$B$58,0),INDEX($AD$9:$AF$22,MATCH(O$7,$AD$9:$AD$22,0),2))&lt;&gt;"",INDEX(BDHK2,MATCH($A15,DiemHKII!$B$4:$B$58,0),INDEX($AD$9:$AF$22,MATCH(O$7,$AD$9:$AD$22,0),3)),""),"")</f>
        <v/>
      </c>
      <c r="P15" s="286" t="str">
        <f>IF($A15&lt;&gt;"",IF(INDEX(BDHK2,MATCH($A15,DiemHKII!$B$4:$B$58,0),INDEX($AD$9:$AF$22,MATCH(P$7,$AD$9:$AD$22,0),2))&lt;&gt;"",INDEX(BDHK2,MATCH($A15,DiemHKII!$B$4:$B$58,0),INDEX($AD$9:$AF$22,MATCH(P$7,$AD$9:$AD$22,0),3)),""),"")</f>
        <v/>
      </c>
      <c r="Q15" s="286" t="str">
        <f>IF($A15&lt;&gt;"",IF(INDEX(BDHK2,MATCH($A15,DiemHKII!$B$4:$B$58,0),INDEX($AD$9:$AF$22,MATCH(Q$7,$AD$9:$AD$22,0),2))&lt;&gt;"",INDEX(BDHK2,MATCH($A15,DiemHKII!$B$4:$B$58,0),INDEX($AD$9:$AF$22,MATCH(Q$7,$AD$9:$AD$22,0),3)),""),"")</f>
        <v/>
      </c>
      <c r="R15" s="464" t="str">
        <f>IF($A15&lt;&gt;"",IF(INDEX(BDHK2,MATCH($A15,DiemHKII!$B$4:$B$58,0),INDEX($AD$9:$AF$22,MATCH(R$7,$AD$9:$AD$22,0),2))&lt;&gt;"",INDEX(BDHK2,MATCH($A15,DiemHKII!$B$4:$B$58,0),INDEX($AD$9:$AF$22,MATCH(R$7,$AD$9:$AD$22,0),3)),""),"")</f>
        <v/>
      </c>
      <c r="S15" s="464" t="str">
        <f t="shared" si="8"/>
        <v/>
      </c>
      <c r="T15" s="286" t="str">
        <f>IF($A15&lt;&gt;"",IF(INDEX(BDHK2,MATCH($A15,DiemHKII!$B$4:$B$58,0),INDEX($AD$9:$AF$22,MATCH(T$7,$AD$9:$AD$22,0),2))&lt;&gt;"",INDEX(BDHK2,MATCH($A15,DiemHKII!$B$4:$B$58,0),INDEX($AD$9:$AF$22,MATCH(T$7,$AD$9:$AD$22,0),3)),""),"")</f>
        <v/>
      </c>
      <c r="U15" s="287" t="str">
        <f>IF($A15&lt;&gt;"",IF(INDEX(BDHK2,MATCH($A15,DiemHKII!$B$4:$B$58,0),INDEX($AD$9:$AF$22,MATCH(U$7,$AD$9:$AD$22,0),2))&lt;&gt;"",INDEX(BDHK2,MATCH($A15,DiemHKII!$B$4:$B$58,0),INDEX($AD$9:$AF$22,MATCH(U$7,$AD$9:$AD$22,0),3)),""),"")</f>
        <v/>
      </c>
      <c r="V15" s="288" t="str">
        <f t="shared" ref="V15:V62" si="11">IF(COUNT(G15:Q15,T15)&gt;=11,ROUND(AVERAGE(G15:Q15,T15),1),"")</f>
        <v/>
      </c>
      <c r="W15" s="464" t="str">
        <f t="shared" si="9"/>
        <v/>
      </c>
      <c r="X15" s="353"/>
      <c r="Y15" s="289" t="str">
        <f t="shared" si="10"/>
        <v/>
      </c>
      <c r="AA15" s="1"/>
      <c r="AB15" s="644" t="str">
        <f t="shared" si="3"/>
        <v/>
      </c>
      <c r="AD15" s="268" t="s">
        <v>31</v>
      </c>
      <c r="AE15" s="268">
        <v>70</v>
      </c>
      <c r="AF15" s="268">
        <v>73</v>
      </c>
      <c r="AG15" s="268" t="str">
        <f>IF($A15&lt;&gt;"",INDEX(DiemHKII!$B$4:$K$58,MATCH($A15,DiemHKII!$B$4:$B$58,0),2),"")</f>
        <v>12A1Trần LêCường08/04/2004</v>
      </c>
      <c r="AH15" s="674" t="str">
        <f t="shared" si="7"/>
        <v/>
      </c>
      <c r="AI15" s="672" t="str">
        <f t="shared" ca="1" si="5"/>
        <v/>
      </c>
    </row>
    <row r="16" spans="1:35" s="268" customFormat="1" ht="29.1" customHeight="1">
      <c r="A16" s="281">
        <f>IF(A15&lt;MAX(DiemHKII!$B$4:$B$58),A15+1,"")</f>
        <v>9</v>
      </c>
      <c r="B16" s="282" t="str">
        <f>IF($A16&lt;&gt;"",PROPER(INDEX(DiemHKII!$B$4:$K$58,MATCH($A16,DiemHKII!$B$4:$B$58,0),4)),"")</f>
        <v>Nguyễn Thanh</v>
      </c>
      <c r="C16" s="283" t="str">
        <f>IF($A16&lt;&gt;"",PROPER(INDEX(DiemHKII!$B$4:$K$58,MATCH($A16,DiemHKII!$B$4:$B$58,0),5)),"")</f>
        <v>Duyên</v>
      </c>
      <c r="D16" s="284" t="str">
        <f>IF($A16&lt;&gt;"",IF(INDEX(DiemHKII!$B$4:$K$58,MATCH($A16,DiemHKII!$B$4:$B$58,0),8)&lt;&gt;"",INDEX(DiemHKII!$B$4:$K$58,MATCH($A16,DiemHKII!$B$4:$B$58,0),8),""),"")</f>
        <v/>
      </c>
      <c r="E16" s="284" t="str">
        <f>IF($A16&lt;&gt;"",IF(INDEX(DiemHKII!$B$4:$K$58,MATCH($A16,DiemHKII!$B$4:$B$58,0),9)&lt;&gt;"",INDEX(DiemHKII!$B$4:$K$58,MATCH($A16,DiemHKII!$B$4:$B$58,0),9),""),"")</f>
        <v/>
      </c>
      <c r="F16" s="284" t="str">
        <f>IF($A16&lt;&gt;"",IF(INDEX(DiemHKII!$B$4:$K$58,MATCH($A16,DiemHKII!$B$4:$B$58,0),10)&lt;&gt;"",INDEX(DiemHKII!$B$4:$K$58,MATCH($A16,DiemHKII!$B$4:$B$58,0),10),""),"")</f>
        <v/>
      </c>
      <c r="G16" s="285" t="str">
        <f>IF($A16&lt;&gt;"",IF(INDEX(BDHK2,MATCH($A16,DiemHKII!$B$4:$B$58,0),INDEX($AD$9:$AF$22,MATCH(G$7,$AD$9:$AD$22,0),2))&lt;&gt;"",INDEX(BDHK2,MATCH($A16,DiemHKII!$B$4:$B$58,0),INDEX($AD$9:$AF$22,MATCH(G$7,$AD$9:$AD$22,0),3)),""),"")</f>
        <v/>
      </c>
      <c r="H16" s="286" t="str">
        <f>IF($A16&lt;&gt;"",IF(INDEX(BDHK2,MATCH($A16,DiemHKII!$B$4:$B$58,0),INDEX($AD$9:$AF$22,MATCH(H$7,$AD$9:$AD$22,0),2))&lt;&gt;"",INDEX(BDHK2,MATCH($A16,DiemHKII!$B$4:$B$58,0),INDEX($AD$9:$AF$22,MATCH(H$7,$AD$9:$AD$22,0),3)),""),"")</f>
        <v/>
      </c>
      <c r="I16" s="286" t="str">
        <f>IF($A16&lt;&gt;"",IF(INDEX(BDHK2,MATCH($A16,DiemHKII!$B$4:$B$58,0),INDEX($AD$9:$AF$22,MATCH(I$7,$AD$9:$AD$22,0),2))&lt;&gt;"",INDEX(BDHK2,MATCH($A16,DiemHKII!$B$4:$B$58,0),INDEX($AD$9:$AF$22,MATCH(I$7,$AD$9:$AD$22,0),3)),""),"")</f>
        <v/>
      </c>
      <c r="J16" s="286" t="str">
        <f>IF($A16&lt;&gt;"",IF(INDEX(BDHK2,MATCH($A16,DiemHKII!$B$4:$B$58,0),INDEX($AD$9:$AF$22,MATCH(J$7,$AD$9:$AD$22,0),2))&lt;&gt;"",INDEX(BDHK2,MATCH($A16,DiemHKII!$B$4:$B$58,0),INDEX($AD$9:$AF$22,MATCH(J$7,$AD$9:$AD$22,0),3)),""),"")</f>
        <v/>
      </c>
      <c r="K16" s="286" t="str">
        <f>IF($A16&lt;&gt;"",IF(INDEX(BDHK2,MATCH($A16,DiemHKII!$B$4:$B$58,0),INDEX($AD$9:$AF$22,MATCH(K$7,$AD$9:$AD$22,0),2))&lt;&gt;"",INDEX(BDHK2,MATCH($A16,DiemHKII!$B$4:$B$58,0),INDEX($AD$9:$AF$22,MATCH(K$7,$AD$9:$AD$22,0),3)),""),"")</f>
        <v/>
      </c>
      <c r="L16" s="286" t="str">
        <f>IF($A16&lt;&gt;"",IF(INDEX(BDHK2,MATCH($A16,DiemHKII!$B$4:$B$58,0),INDEX($AD$9:$AF$22,MATCH(L$7,$AD$9:$AD$22,0),2))&lt;&gt;"",INDEX(BDHK2,MATCH($A16,DiemHKII!$B$4:$B$58,0),INDEX($AD$9:$AF$22,MATCH(L$7,$AD$9:$AD$22,0),3)),""),"")</f>
        <v/>
      </c>
      <c r="M16" s="286" t="str">
        <f>IF($A16&lt;&gt;"",IF(INDEX(BDHK2,MATCH($A16,DiemHKII!$B$4:$B$58,0),INDEX($AD$9:$AF$22,MATCH(M$7,$AD$9:$AD$22,0),2))&lt;&gt;"",INDEX(BDHK2,MATCH($A16,DiemHKII!$B$4:$B$58,0),INDEX($AD$9:$AF$22,MATCH(M$7,$AD$9:$AD$22,0),3)),""),"")</f>
        <v/>
      </c>
      <c r="N16" s="286" t="str">
        <f>IF($A16&lt;&gt;"",IF(INDEX(BDHK2,MATCH($A16,DiemHKII!$B$4:$B$58,0),INDEX($AD$9:$AF$22,MATCH(N$7,$AD$9:$AD$22,0),2))&lt;&gt;"",INDEX(BDHK2,MATCH($A16,DiemHKII!$B$4:$B$58,0),INDEX($AD$9:$AF$22,MATCH(N$7,$AD$9:$AD$22,0),3)),""),"")</f>
        <v/>
      </c>
      <c r="O16" s="286" t="str">
        <f>IF($A16&lt;&gt;"",IF(INDEX(BDHK2,MATCH($A16,DiemHKII!$B$4:$B$58,0),INDEX($AD$9:$AF$22,MATCH(O$7,$AD$9:$AD$22,0),2))&lt;&gt;"",INDEX(BDHK2,MATCH($A16,DiemHKII!$B$4:$B$58,0),INDEX($AD$9:$AF$22,MATCH(O$7,$AD$9:$AD$22,0),3)),""),"")</f>
        <v/>
      </c>
      <c r="P16" s="286" t="str">
        <f>IF($A16&lt;&gt;"",IF(INDEX(BDHK2,MATCH($A16,DiemHKII!$B$4:$B$58,0),INDEX($AD$9:$AF$22,MATCH(P$7,$AD$9:$AD$22,0),2))&lt;&gt;"",INDEX(BDHK2,MATCH($A16,DiemHKII!$B$4:$B$58,0),INDEX($AD$9:$AF$22,MATCH(P$7,$AD$9:$AD$22,0),3)),""),"")</f>
        <v/>
      </c>
      <c r="Q16" s="286" t="str">
        <f>IF($A16&lt;&gt;"",IF(INDEX(BDHK2,MATCH($A16,DiemHKII!$B$4:$B$58,0),INDEX($AD$9:$AF$22,MATCH(Q$7,$AD$9:$AD$22,0),2))&lt;&gt;"",INDEX(BDHK2,MATCH($A16,DiemHKII!$B$4:$B$58,0),INDEX($AD$9:$AF$22,MATCH(Q$7,$AD$9:$AD$22,0),3)),""),"")</f>
        <v/>
      </c>
      <c r="R16" s="464" t="str">
        <f>IF($A16&lt;&gt;"",IF(INDEX(BDHK2,MATCH($A16,DiemHKII!$B$4:$B$58,0),INDEX($AD$9:$AF$22,MATCH(R$7,$AD$9:$AD$22,0),2))&lt;&gt;"",INDEX(BDHK2,MATCH($A16,DiemHKII!$B$4:$B$58,0),INDEX($AD$9:$AF$22,MATCH(R$7,$AD$9:$AD$22,0),3)),""),"")</f>
        <v/>
      </c>
      <c r="S16" s="464" t="str">
        <f t="shared" si="8"/>
        <v/>
      </c>
      <c r="T16" s="286" t="str">
        <f>IF($A16&lt;&gt;"",IF(INDEX(BDHK2,MATCH($A16,DiemHKII!$B$4:$B$58,0),INDEX($AD$9:$AF$22,MATCH(T$7,$AD$9:$AD$22,0),2))&lt;&gt;"",INDEX(BDHK2,MATCH($A16,DiemHKII!$B$4:$B$58,0),INDEX($AD$9:$AF$22,MATCH(T$7,$AD$9:$AD$22,0),3)),""),"")</f>
        <v/>
      </c>
      <c r="U16" s="287" t="str">
        <f>IF($A16&lt;&gt;"",IF(INDEX(BDHK2,MATCH($A16,DiemHKII!$B$4:$B$58,0),INDEX($AD$9:$AF$22,MATCH(U$7,$AD$9:$AD$22,0),2))&lt;&gt;"",INDEX(BDHK2,MATCH($A16,DiemHKII!$B$4:$B$58,0),INDEX($AD$9:$AF$22,MATCH(U$7,$AD$9:$AD$22,0),3)),""),"")</f>
        <v/>
      </c>
      <c r="V16" s="288" t="str">
        <f t="shared" si="11"/>
        <v/>
      </c>
      <c r="W16" s="464" t="str">
        <f t="shared" si="9"/>
        <v/>
      </c>
      <c r="X16" s="353"/>
      <c r="Y16" s="289" t="str">
        <f t="shared" si="10"/>
        <v/>
      </c>
      <c r="AA16" s="1"/>
      <c r="AB16" s="644" t="str">
        <f t="shared" si="3"/>
        <v/>
      </c>
      <c r="AD16" s="268" t="s">
        <v>32</v>
      </c>
      <c r="AE16" s="268">
        <v>79</v>
      </c>
      <c r="AF16" s="268">
        <v>82</v>
      </c>
      <c r="AG16" s="268" t="str">
        <f>IF($A16&lt;&gt;"",INDEX(DiemHKII!$B$4:$K$58,MATCH($A16,DiemHKII!$B$4:$B$58,0),2),"")</f>
        <v>12A1Nguyễn ThanhDuyên16/11/2004</v>
      </c>
      <c r="AH16" s="674" t="str">
        <f t="shared" si="7"/>
        <v/>
      </c>
      <c r="AI16" s="672" t="str">
        <f t="shared" ca="1" si="5"/>
        <v/>
      </c>
    </row>
    <row r="17" spans="1:35" s="268" customFormat="1" ht="29.1" customHeight="1" thickBot="1">
      <c r="A17" s="290">
        <f>IF(A16&lt;MAX(DiemHKII!$B$4:$B$58),A16+1,"")</f>
        <v>10</v>
      </c>
      <c r="B17" s="291" t="str">
        <f>IF($A17&lt;&gt;"",PROPER(INDEX(DiemHKII!$B$4:$K$58,MATCH($A17,DiemHKII!$B$4:$B$58,0),4)),"")</f>
        <v>Trương Đắc</v>
      </c>
      <c r="C17" s="292" t="str">
        <f>IF($A17&lt;&gt;"",PROPER(INDEX(DiemHKII!$B$4:$K$58,MATCH($A17,DiemHKII!$B$4:$B$58,0),5)),"")</f>
        <v>Điền</v>
      </c>
      <c r="D17" s="293" t="str">
        <f>IF($A17&lt;&gt;"",IF(INDEX(DiemHKII!$B$4:$K$58,MATCH($A17,DiemHKII!$B$4:$B$58,0),8)&lt;&gt;"",INDEX(DiemHKII!$B$4:$K$58,MATCH($A17,DiemHKII!$B$4:$B$58,0),8),""),"")</f>
        <v/>
      </c>
      <c r="E17" s="293" t="str">
        <f>IF($A17&lt;&gt;"",IF(INDEX(DiemHKII!$B$4:$K$58,MATCH($A17,DiemHKII!$B$4:$B$58,0),9)&lt;&gt;"",INDEX(DiemHKII!$B$4:$K$58,MATCH($A17,DiemHKII!$B$4:$B$58,0),9),""),"")</f>
        <v/>
      </c>
      <c r="F17" s="293" t="str">
        <f>IF($A17&lt;&gt;"",IF(INDEX(DiemHKII!$B$4:$K$58,MATCH($A17,DiemHKII!$B$4:$B$58,0),10)&lt;&gt;"",INDEX(DiemHKII!$B$4:$K$58,MATCH($A17,DiemHKII!$B$4:$B$58,0),10),""),"")</f>
        <v/>
      </c>
      <c r="G17" s="294" t="str">
        <f>IF($A17&lt;&gt;"",IF(INDEX(BDHK2,MATCH($A17,DiemHKII!$B$4:$B$58,0),INDEX($AD$9:$AF$22,MATCH(G$7,$AD$9:$AD$22,0),2))&lt;&gt;"",INDEX(BDHK2,MATCH($A17,DiemHKII!$B$4:$B$58,0),INDEX($AD$9:$AF$22,MATCH(G$7,$AD$9:$AD$22,0),3)),""),"")</f>
        <v/>
      </c>
      <c r="H17" s="295" t="str">
        <f>IF($A17&lt;&gt;"",IF(INDEX(BDHK2,MATCH($A17,DiemHKII!$B$4:$B$58,0),INDEX($AD$9:$AF$22,MATCH(H$7,$AD$9:$AD$22,0),2))&lt;&gt;"",INDEX(BDHK2,MATCH($A17,DiemHKII!$B$4:$B$58,0),INDEX($AD$9:$AF$22,MATCH(H$7,$AD$9:$AD$22,0),3)),""),"")</f>
        <v/>
      </c>
      <c r="I17" s="295" t="str">
        <f>IF($A17&lt;&gt;"",IF(INDEX(BDHK2,MATCH($A17,DiemHKII!$B$4:$B$58,0),INDEX($AD$9:$AF$22,MATCH(I$7,$AD$9:$AD$22,0),2))&lt;&gt;"",INDEX(BDHK2,MATCH($A17,DiemHKII!$B$4:$B$58,0),INDEX($AD$9:$AF$22,MATCH(I$7,$AD$9:$AD$22,0),3)),""),"")</f>
        <v/>
      </c>
      <c r="J17" s="295" t="str">
        <f>IF($A17&lt;&gt;"",IF(INDEX(BDHK2,MATCH($A17,DiemHKII!$B$4:$B$58,0),INDEX($AD$9:$AF$22,MATCH(J$7,$AD$9:$AD$22,0),2))&lt;&gt;"",INDEX(BDHK2,MATCH($A17,DiemHKII!$B$4:$B$58,0),INDEX($AD$9:$AF$22,MATCH(J$7,$AD$9:$AD$22,0),3)),""),"")</f>
        <v/>
      </c>
      <c r="K17" s="295" t="str">
        <f>IF($A17&lt;&gt;"",IF(INDEX(BDHK2,MATCH($A17,DiemHKII!$B$4:$B$58,0),INDEX($AD$9:$AF$22,MATCH(K$7,$AD$9:$AD$22,0),2))&lt;&gt;"",INDEX(BDHK2,MATCH($A17,DiemHKII!$B$4:$B$58,0),INDEX($AD$9:$AF$22,MATCH(K$7,$AD$9:$AD$22,0),3)),""),"")</f>
        <v/>
      </c>
      <c r="L17" s="295" t="str">
        <f>IF($A17&lt;&gt;"",IF(INDEX(BDHK2,MATCH($A17,DiemHKII!$B$4:$B$58,0),INDEX($AD$9:$AF$22,MATCH(L$7,$AD$9:$AD$22,0),2))&lt;&gt;"",INDEX(BDHK2,MATCH($A17,DiemHKII!$B$4:$B$58,0),INDEX($AD$9:$AF$22,MATCH(L$7,$AD$9:$AD$22,0),3)),""),"")</f>
        <v/>
      </c>
      <c r="M17" s="295" t="str">
        <f>IF($A17&lt;&gt;"",IF(INDEX(BDHK2,MATCH($A17,DiemHKII!$B$4:$B$58,0),INDEX($AD$9:$AF$22,MATCH(M$7,$AD$9:$AD$22,0),2))&lt;&gt;"",INDEX(BDHK2,MATCH($A17,DiemHKII!$B$4:$B$58,0),INDEX($AD$9:$AF$22,MATCH(M$7,$AD$9:$AD$22,0),3)),""),"")</f>
        <v/>
      </c>
      <c r="N17" s="295" t="str">
        <f>IF($A17&lt;&gt;"",IF(INDEX(BDHK2,MATCH($A17,DiemHKII!$B$4:$B$58,0),INDEX($AD$9:$AF$22,MATCH(N$7,$AD$9:$AD$22,0),2))&lt;&gt;"",INDEX(BDHK2,MATCH($A17,DiemHKII!$B$4:$B$58,0),INDEX($AD$9:$AF$22,MATCH(N$7,$AD$9:$AD$22,0),3)),""),"")</f>
        <v/>
      </c>
      <c r="O17" s="295" t="str">
        <f>IF($A17&lt;&gt;"",IF(INDEX(BDHK2,MATCH($A17,DiemHKII!$B$4:$B$58,0),INDEX($AD$9:$AF$22,MATCH(O$7,$AD$9:$AD$22,0),2))&lt;&gt;"",INDEX(BDHK2,MATCH($A17,DiemHKII!$B$4:$B$58,0),INDEX($AD$9:$AF$22,MATCH(O$7,$AD$9:$AD$22,0),3)),""),"")</f>
        <v/>
      </c>
      <c r="P17" s="295" t="str">
        <f>IF($A17&lt;&gt;"",IF(INDEX(BDHK2,MATCH($A17,DiemHKII!$B$4:$B$58,0),INDEX($AD$9:$AF$22,MATCH(P$7,$AD$9:$AD$22,0),2))&lt;&gt;"",INDEX(BDHK2,MATCH($A17,DiemHKII!$B$4:$B$58,0),INDEX($AD$9:$AF$22,MATCH(P$7,$AD$9:$AD$22,0),3)),""),"")</f>
        <v/>
      </c>
      <c r="Q17" s="295" t="str">
        <f>IF($A17&lt;&gt;"",IF(INDEX(BDHK2,MATCH($A17,DiemHKII!$B$4:$B$58,0),INDEX($AD$9:$AF$22,MATCH(Q$7,$AD$9:$AD$22,0),2))&lt;&gt;"",INDEX(BDHK2,MATCH($A17,DiemHKII!$B$4:$B$58,0),INDEX($AD$9:$AF$22,MATCH(Q$7,$AD$9:$AD$22,0),3)),""),"")</f>
        <v/>
      </c>
      <c r="R17" s="296" t="str">
        <f>IF($A17&lt;&gt;"",IF(INDEX(BDHK2,MATCH($A17,DiemHKII!$B$4:$B$58,0),INDEX($AD$9:$AF$22,MATCH(R$7,$AD$9:$AD$22,0),2))&lt;&gt;"",INDEX(BDHK2,MATCH($A17,DiemHKII!$B$4:$B$58,0),INDEX($AD$9:$AF$22,MATCH(R$7,$AD$9:$AD$22,0),3)),""),"")</f>
        <v/>
      </c>
      <c r="S17" s="296" t="str">
        <f t="shared" si="8"/>
        <v/>
      </c>
      <c r="T17" s="295" t="str">
        <f>IF($A17&lt;&gt;"",IF(INDEX(BDHK2,MATCH($A17,DiemHKII!$B$4:$B$58,0),INDEX($AD$9:$AF$22,MATCH(T$7,$AD$9:$AD$22,0),2))&lt;&gt;"",INDEX(BDHK2,MATCH($A17,DiemHKII!$B$4:$B$58,0),INDEX($AD$9:$AF$22,MATCH(T$7,$AD$9:$AD$22,0),3)),""),"")</f>
        <v/>
      </c>
      <c r="U17" s="297" t="str">
        <f>IF($A17&lt;&gt;"",IF(INDEX(BDHK2,MATCH($A17,DiemHKII!$B$4:$B$58,0),INDEX($AD$9:$AF$22,MATCH(U$7,$AD$9:$AD$22,0),2))&lt;&gt;"",INDEX(BDHK2,MATCH($A17,DiemHKII!$B$4:$B$58,0),INDEX($AD$9:$AF$22,MATCH(U$7,$AD$9:$AD$22,0),3)),""),"")</f>
        <v/>
      </c>
      <c r="V17" s="298" t="str">
        <f t="shared" si="11"/>
        <v/>
      </c>
      <c r="W17" s="296" t="str">
        <f t="shared" si="9"/>
        <v/>
      </c>
      <c r="X17" s="354"/>
      <c r="Y17" s="299" t="str">
        <f t="shared" si="10"/>
        <v/>
      </c>
      <c r="AA17" s="1"/>
      <c r="AB17" s="644" t="str">
        <f t="shared" si="3"/>
        <v/>
      </c>
      <c r="AD17" s="268" t="s">
        <v>33</v>
      </c>
      <c r="AE17" s="268">
        <v>88</v>
      </c>
      <c r="AF17" s="268">
        <v>91</v>
      </c>
      <c r="AG17" s="268" t="str">
        <f>IF($A17&lt;&gt;"",INDEX(DiemHKII!$B$4:$K$58,MATCH($A17,DiemHKII!$B$4:$B$58,0),2),"")</f>
        <v>12A1Trương ĐắcĐiền08/05/2004</v>
      </c>
      <c r="AH17" s="674" t="str">
        <f t="shared" si="7"/>
        <v/>
      </c>
      <c r="AI17" s="672" t="str">
        <f t="shared" ca="1" si="5"/>
        <v/>
      </c>
    </row>
    <row r="18" spans="1:35" s="268" customFormat="1" ht="29.1" customHeight="1">
      <c r="A18" s="274">
        <f>IF(A17&lt;MAX(DiemHKII!$B$4:$B$58),A17+1,"")</f>
        <v>11</v>
      </c>
      <c r="B18" s="275" t="str">
        <f>IF($A18&lt;&gt;"",PROPER(INDEX(DiemHKII!$B$4:$K$58,MATCH($A18,DiemHKII!$B$4:$B$58,0),4)),"")</f>
        <v>Hồ Ngọc</v>
      </c>
      <c r="C18" s="276" t="str">
        <f>IF($A18&lt;&gt;"",PROPER(INDEX(DiemHKII!$B$4:$K$58,MATCH($A18,DiemHKII!$B$4:$B$58,0),5)),"")</f>
        <v>Hải</v>
      </c>
      <c r="D18" s="277" t="str">
        <f>IF($A18&lt;&gt;"",IF(INDEX(DiemHKII!$B$4:$K$58,MATCH($A18,DiemHKII!$B$4:$B$58,0),8)&lt;&gt;"",INDEX(DiemHKII!$B$4:$K$58,MATCH($A18,DiemHKII!$B$4:$B$58,0),8),""),"")</f>
        <v/>
      </c>
      <c r="E18" s="277" t="str">
        <f>IF($A18&lt;&gt;"",IF(INDEX(DiemHKII!$B$4:$K$58,MATCH($A18,DiemHKII!$B$4:$B$58,0),9)&lt;&gt;"",INDEX(DiemHKII!$B$4:$K$58,MATCH($A18,DiemHKII!$B$4:$B$58,0),9),""),"")</f>
        <v/>
      </c>
      <c r="F18" s="277" t="str">
        <f>IF($A18&lt;&gt;"",IF(INDEX(DiemHKII!$B$4:$K$58,MATCH($A18,DiemHKII!$B$4:$B$58,0),10)&lt;&gt;"",INDEX(DiemHKII!$B$4:$K$58,MATCH($A18,DiemHKII!$B$4:$B$58,0),10),""),"")</f>
        <v/>
      </c>
      <c r="G18" s="300" t="str">
        <f>IF($A18&lt;&gt;"",IF(INDEX(BDHK2,MATCH($A18,DiemHKII!$B$4:$B$58,0),INDEX($AD$9:$AF$22,MATCH(G$7,$AD$9:$AD$22,0),2))&lt;&gt;"",INDEX(BDHK2,MATCH($A18,DiemHKII!$B$4:$B$58,0),INDEX($AD$9:$AF$22,MATCH(G$7,$AD$9:$AD$22,0),3)),""),"")</f>
        <v/>
      </c>
      <c r="H18" s="301" t="str">
        <f>IF($A18&lt;&gt;"",IF(INDEX(BDHK2,MATCH($A18,DiemHKII!$B$4:$B$58,0),INDEX($AD$9:$AF$22,MATCH(H$7,$AD$9:$AD$22,0),2))&lt;&gt;"",INDEX(BDHK2,MATCH($A18,DiemHKII!$B$4:$B$58,0),INDEX($AD$9:$AF$22,MATCH(H$7,$AD$9:$AD$22,0),3)),""),"")</f>
        <v/>
      </c>
      <c r="I18" s="301" t="str">
        <f>IF($A18&lt;&gt;"",IF(INDEX(BDHK2,MATCH($A18,DiemHKII!$B$4:$B$58,0),INDEX($AD$9:$AF$22,MATCH(I$7,$AD$9:$AD$22,0),2))&lt;&gt;"",INDEX(BDHK2,MATCH($A18,DiemHKII!$B$4:$B$58,0),INDEX($AD$9:$AF$22,MATCH(I$7,$AD$9:$AD$22,0),3)),""),"")</f>
        <v/>
      </c>
      <c r="J18" s="301" t="str">
        <f>IF($A18&lt;&gt;"",IF(INDEX(BDHK2,MATCH($A18,DiemHKII!$B$4:$B$58,0),INDEX($AD$9:$AF$22,MATCH(J$7,$AD$9:$AD$22,0),2))&lt;&gt;"",INDEX(BDHK2,MATCH($A18,DiemHKII!$B$4:$B$58,0),INDEX($AD$9:$AF$22,MATCH(J$7,$AD$9:$AD$22,0),3)),""),"")</f>
        <v/>
      </c>
      <c r="K18" s="301" t="str">
        <f>IF($A18&lt;&gt;"",IF(INDEX(BDHK2,MATCH($A18,DiemHKII!$B$4:$B$58,0),INDEX($AD$9:$AF$22,MATCH(K$7,$AD$9:$AD$22,0),2))&lt;&gt;"",INDEX(BDHK2,MATCH($A18,DiemHKII!$B$4:$B$58,0),INDEX($AD$9:$AF$22,MATCH(K$7,$AD$9:$AD$22,0),3)),""),"")</f>
        <v/>
      </c>
      <c r="L18" s="301" t="str">
        <f>IF($A18&lt;&gt;"",IF(INDEX(BDHK2,MATCH($A18,DiemHKII!$B$4:$B$58,0),INDEX($AD$9:$AF$22,MATCH(L$7,$AD$9:$AD$22,0),2))&lt;&gt;"",INDEX(BDHK2,MATCH($A18,DiemHKII!$B$4:$B$58,0),INDEX($AD$9:$AF$22,MATCH(L$7,$AD$9:$AD$22,0),3)),""),"")</f>
        <v/>
      </c>
      <c r="M18" s="301" t="str">
        <f>IF($A18&lt;&gt;"",IF(INDEX(BDHK2,MATCH($A18,DiemHKII!$B$4:$B$58,0),INDEX($AD$9:$AF$22,MATCH(M$7,$AD$9:$AD$22,0),2))&lt;&gt;"",INDEX(BDHK2,MATCH($A18,DiemHKII!$B$4:$B$58,0),INDEX($AD$9:$AF$22,MATCH(M$7,$AD$9:$AD$22,0),3)),""),"")</f>
        <v/>
      </c>
      <c r="N18" s="301" t="str">
        <f>IF($A18&lt;&gt;"",IF(INDEX(BDHK2,MATCH($A18,DiemHKII!$B$4:$B$58,0),INDEX($AD$9:$AF$22,MATCH(N$7,$AD$9:$AD$22,0),2))&lt;&gt;"",INDEX(BDHK2,MATCH($A18,DiemHKII!$B$4:$B$58,0),INDEX($AD$9:$AF$22,MATCH(N$7,$AD$9:$AD$22,0),3)),""),"")</f>
        <v/>
      </c>
      <c r="O18" s="301" t="str">
        <f>IF($A18&lt;&gt;"",IF(INDEX(BDHK2,MATCH($A18,DiemHKII!$B$4:$B$58,0),INDEX($AD$9:$AF$22,MATCH(O$7,$AD$9:$AD$22,0),2))&lt;&gt;"",INDEX(BDHK2,MATCH($A18,DiemHKII!$B$4:$B$58,0),INDEX($AD$9:$AF$22,MATCH(O$7,$AD$9:$AD$22,0),3)),""),"")</f>
        <v/>
      </c>
      <c r="P18" s="301" t="str">
        <f>IF($A18&lt;&gt;"",IF(INDEX(BDHK2,MATCH($A18,DiemHKII!$B$4:$B$58,0),INDEX($AD$9:$AF$22,MATCH(P$7,$AD$9:$AD$22,0),2))&lt;&gt;"",INDEX(BDHK2,MATCH($A18,DiemHKII!$B$4:$B$58,0),INDEX($AD$9:$AF$22,MATCH(P$7,$AD$9:$AD$22,0),3)),""),"")</f>
        <v/>
      </c>
      <c r="Q18" s="301" t="str">
        <f>IF($A18&lt;&gt;"",IF(INDEX(BDHK2,MATCH($A18,DiemHKII!$B$4:$B$58,0),INDEX($AD$9:$AF$22,MATCH(Q$7,$AD$9:$AD$22,0),2))&lt;&gt;"",INDEX(BDHK2,MATCH($A18,DiemHKII!$B$4:$B$58,0),INDEX($AD$9:$AF$22,MATCH(Q$7,$AD$9:$AD$22,0),3)),""),"")</f>
        <v/>
      </c>
      <c r="R18" s="279" t="str">
        <f>IF($A18&lt;&gt;"",IF(INDEX(BDHK2,MATCH($A18,DiemHKII!$B$4:$B$58,0),INDEX($AD$9:$AF$22,MATCH(R$7,$AD$9:$AD$22,0),2))&lt;&gt;"",INDEX(BDHK2,MATCH($A18,DiemHKII!$B$4:$B$58,0),INDEX($AD$9:$AF$22,MATCH(R$7,$AD$9:$AD$22,0),3)),""),"")</f>
        <v/>
      </c>
      <c r="S18" s="279" t="str">
        <f t="shared" si="8"/>
        <v/>
      </c>
      <c r="T18" s="301" t="str">
        <f>IF($A18&lt;&gt;"",IF(INDEX(BDHK2,MATCH($A18,DiemHKII!$B$4:$B$58,0),INDEX($AD$9:$AF$22,MATCH(T$7,$AD$9:$AD$22,0),2))&lt;&gt;"",INDEX(BDHK2,MATCH($A18,DiemHKII!$B$4:$B$58,0),INDEX($AD$9:$AF$22,MATCH(T$7,$AD$9:$AD$22,0),3)),""),"")</f>
        <v/>
      </c>
      <c r="U18" s="302" t="str">
        <f>IF($A18&lt;&gt;"",IF(INDEX(BDHK2,MATCH($A18,DiemHKII!$B$4:$B$58,0),INDEX($AD$9:$AF$22,MATCH(U$7,$AD$9:$AD$22,0),2))&lt;&gt;"",INDEX(BDHK2,MATCH($A18,DiemHKII!$B$4:$B$58,0),INDEX($AD$9:$AF$22,MATCH(U$7,$AD$9:$AD$22,0),3)),""),"")</f>
        <v/>
      </c>
      <c r="V18" s="278" t="str">
        <f t="shared" si="11"/>
        <v/>
      </c>
      <c r="W18" s="279" t="str">
        <f t="shared" si="9"/>
        <v/>
      </c>
      <c r="X18" s="352"/>
      <c r="Y18" s="280" t="str">
        <f t="shared" si="10"/>
        <v/>
      </c>
      <c r="AA18" s="1"/>
      <c r="AB18" s="644" t="str">
        <f t="shared" si="3"/>
        <v/>
      </c>
      <c r="AD18" s="268" t="s">
        <v>60</v>
      </c>
      <c r="AE18" s="268">
        <v>97</v>
      </c>
      <c r="AF18" s="268">
        <v>100</v>
      </c>
      <c r="AG18" s="268" t="str">
        <f>IF($A18&lt;&gt;"",INDEX(DiemHKII!$B$4:$K$58,MATCH($A18,DiemHKII!$B$4:$B$58,0),2),"")</f>
        <v>12A1Hồ NgọcHải25/10/2004</v>
      </c>
      <c r="AH18" s="674" t="str">
        <f t="shared" si="7"/>
        <v/>
      </c>
      <c r="AI18" s="672" t="str">
        <f t="shared" ca="1" si="5"/>
        <v/>
      </c>
    </row>
    <row r="19" spans="1:35" s="268" customFormat="1" ht="29.1" customHeight="1">
      <c r="A19" s="281">
        <f>IF(A18&lt;MAX(DiemHKII!$B$4:$B$58),A18+1,"")</f>
        <v>12</v>
      </c>
      <c r="B19" s="282" t="str">
        <f>IF($A19&lt;&gt;"",PROPER(INDEX(DiemHKII!$B$4:$K$58,MATCH($A19,DiemHKII!$B$4:$B$58,0),4)),"")</f>
        <v>Hồ Sơn</v>
      </c>
      <c r="C19" s="283" t="str">
        <f>IF($A19&lt;&gt;"",PROPER(INDEX(DiemHKII!$B$4:$K$58,MATCH($A19,DiemHKII!$B$4:$B$58,0),5)),"")</f>
        <v>Hậu</v>
      </c>
      <c r="D19" s="284" t="str">
        <f>IF($A19&lt;&gt;"",IF(INDEX(DiemHKII!$B$4:$K$58,MATCH($A19,DiemHKII!$B$4:$B$58,0),8)&lt;&gt;"",INDEX(DiemHKII!$B$4:$K$58,MATCH($A19,DiemHKII!$B$4:$B$58,0),8),""),"")</f>
        <v/>
      </c>
      <c r="E19" s="284" t="str">
        <f>IF($A19&lt;&gt;"",IF(INDEX(DiemHKII!$B$4:$K$58,MATCH($A19,DiemHKII!$B$4:$B$58,0),9)&lt;&gt;"",INDEX(DiemHKII!$B$4:$K$58,MATCH($A19,DiemHKII!$B$4:$B$58,0),9),""),"")</f>
        <v/>
      </c>
      <c r="F19" s="284" t="str">
        <f>IF($A19&lt;&gt;"",IF(INDEX(DiemHKII!$B$4:$K$58,MATCH($A19,DiemHKII!$B$4:$B$58,0),10)&lt;&gt;"",INDEX(DiemHKII!$B$4:$K$58,MATCH($A19,DiemHKII!$B$4:$B$58,0),10),""),"")</f>
        <v/>
      </c>
      <c r="G19" s="285" t="str">
        <f>IF($A19&lt;&gt;"",IF(INDEX(BDHK2,MATCH($A19,DiemHKII!$B$4:$B$58,0),INDEX($AD$9:$AF$22,MATCH(G$7,$AD$9:$AD$22,0),2))&lt;&gt;"",INDEX(BDHK2,MATCH($A19,DiemHKII!$B$4:$B$58,0),INDEX($AD$9:$AF$22,MATCH(G$7,$AD$9:$AD$22,0),3)),""),"")</f>
        <v/>
      </c>
      <c r="H19" s="286" t="str">
        <f>IF($A19&lt;&gt;"",IF(INDEX(BDHK2,MATCH($A19,DiemHKII!$B$4:$B$58,0),INDEX($AD$9:$AF$22,MATCH(H$7,$AD$9:$AD$22,0),2))&lt;&gt;"",INDEX(BDHK2,MATCH($A19,DiemHKII!$B$4:$B$58,0),INDEX($AD$9:$AF$22,MATCH(H$7,$AD$9:$AD$22,0),3)),""),"")</f>
        <v/>
      </c>
      <c r="I19" s="286" t="str">
        <f>IF($A19&lt;&gt;"",IF(INDEX(BDHK2,MATCH($A19,DiemHKII!$B$4:$B$58,0),INDEX($AD$9:$AF$22,MATCH(I$7,$AD$9:$AD$22,0),2))&lt;&gt;"",INDEX(BDHK2,MATCH($A19,DiemHKII!$B$4:$B$58,0),INDEX($AD$9:$AF$22,MATCH(I$7,$AD$9:$AD$22,0),3)),""),"")</f>
        <v/>
      </c>
      <c r="J19" s="286" t="str">
        <f>IF($A19&lt;&gt;"",IF(INDEX(BDHK2,MATCH($A19,DiemHKII!$B$4:$B$58,0),INDEX($AD$9:$AF$22,MATCH(J$7,$AD$9:$AD$22,0),2))&lt;&gt;"",INDEX(BDHK2,MATCH($A19,DiemHKII!$B$4:$B$58,0),INDEX($AD$9:$AF$22,MATCH(J$7,$AD$9:$AD$22,0),3)),""),"")</f>
        <v/>
      </c>
      <c r="K19" s="286" t="str">
        <f>IF($A19&lt;&gt;"",IF(INDEX(BDHK2,MATCH($A19,DiemHKII!$B$4:$B$58,0),INDEX($AD$9:$AF$22,MATCH(K$7,$AD$9:$AD$22,0),2))&lt;&gt;"",INDEX(BDHK2,MATCH($A19,DiemHKII!$B$4:$B$58,0),INDEX($AD$9:$AF$22,MATCH(K$7,$AD$9:$AD$22,0),3)),""),"")</f>
        <v/>
      </c>
      <c r="L19" s="286" t="str">
        <f>IF($A19&lt;&gt;"",IF(INDEX(BDHK2,MATCH($A19,DiemHKII!$B$4:$B$58,0),INDEX($AD$9:$AF$22,MATCH(L$7,$AD$9:$AD$22,0),2))&lt;&gt;"",INDEX(BDHK2,MATCH($A19,DiemHKII!$B$4:$B$58,0),INDEX($AD$9:$AF$22,MATCH(L$7,$AD$9:$AD$22,0),3)),""),"")</f>
        <v/>
      </c>
      <c r="M19" s="286" t="str">
        <f>IF($A19&lt;&gt;"",IF(INDEX(BDHK2,MATCH($A19,DiemHKII!$B$4:$B$58,0),INDEX($AD$9:$AF$22,MATCH(M$7,$AD$9:$AD$22,0),2))&lt;&gt;"",INDEX(BDHK2,MATCH($A19,DiemHKII!$B$4:$B$58,0),INDEX($AD$9:$AF$22,MATCH(M$7,$AD$9:$AD$22,0),3)),""),"")</f>
        <v/>
      </c>
      <c r="N19" s="286" t="str">
        <f>IF($A19&lt;&gt;"",IF(INDEX(BDHK2,MATCH($A19,DiemHKII!$B$4:$B$58,0),INDEX($AD$9:$AF$22,MATCH(N$7,$AD$9:$AD$22,0),2))&lt;&gt;"",INDEX(BDHK2,MATCH($A19,DiemHKII!$B$4:$B$58,0),INDEX($AD$9:$AF$22,MATCH(N$7,$AD$9:$AD$22,0),3)),""),"")</f>
        <v/>
      </c>
      <c r="O19" s="286" t="str">
        <f>IF($A19&lt;&gt;"",IF(INDEX(BDHK2,MATCH($A19,DiemHKII!$B$4:$B$58,0),INDEX($AD$9:$AF$22,MATCH(O$7,$AD$9:$AD$22,0),2))&lt;&gt;"",INDEX(BDHK2,MATCH($A19,DiemHKII!$B$4:$B$58,0),INDEX($AD$9:$AF$22,MATCH(O$7,$AD$9:$AD$22,0),3)),""),"")</f>
        <v/>
      </c>
      <c r="P19" s="286" t="str">
        <f>IF($A19&lt;&gt;"",IF(INDEX(BDHK2,MATCH($A19,DiemHKII!$B$4:$B$58,0),INDEX($AD$9:$AF$22,MATCH(P$7,$AD$9:$AD$22,0),2))&lt;&gt;"",INDEX(BDHK2,MATCH($A19,DiemHKII!$B$4:$B$58,0),INDEX($AD$9:$AF$22,MATCH(P$7,$AD$9:$AD$22,0),3)),""),"")</f>
        <v/>
      </c>
      <c r="Q19" s="286" t="str">
        <f>IF($A19&lt;&gt;"",IF(INDEX(BDHK2,MATCH($A19,DiemHKII!$B$4:$B$58,0),INDEX($AD$9:$AF$22,MATCH(Q$7,$AD$9:$AD$22,0),2))&lt;&gt;"",INDEX(BDHK2,MATCH($A19,DiemHKII!$B$4:$B$58,0),INDEX($AD$9:$AF$22,MATCH(Q$7,$AD$9:$AD$22,0),3)),""),"")</f>
        <v/>
      </c>
      <c r="R19" s="464" t="str">
        <f>IF($A19&lt;&gt;"",IF(INDEX(BDHK2,MATCH($A19,DiemHKII!$B$4:$B$58,0),INDEX($AD$9:$AF$22,MATCH(R$7,$AD$9:$AD$22,0),2))&lt;&gt;"",INDEX(BDHK2,MATCH($A19,DiemHKII!$B$4:$B$58,0),INDEX($AD$9:$AF$22,MATCH(R$7,$AD$9:$AD$22,0),3)),""),"")</f>
        <v/>
      </c>
      <c r="S19" s="464" t="str">
        <f t="shared" si="8"/>
        <v/>
      </c>
      <c r="T19" s="286" t="str">
        <f>IF($A19&lt;&gt;"",IF(INDEX(BDHK2,MATCH($A19,DiemHKII!$B$4:$B$58,0),INDEX($AD$9:$AF$22,MATCH(T$7,$AD$9:$AD$22,0),2))&lt;&gt;"",INDEX(BDHK2,MATCH($A19,DiemHKII!$B$4:$B$58,0),INDEX($AD$9:$AF$22,MATCH(T$7,$AD$9:$AD$22,0),3)),""),"")</f>
        <v/>
      </c>
      <c r="U19" s="287" t="str">
        <f>IF($A19&lt;&gt;"",IF(INDEX(BDHK2,MATCH($A19,DiemHKII!$B$4:$B$58,0),INDEX($AD$9:$AF$22,MATCH(U$7,$AD$9:$AD$22,0),2))&lt;&gt;"",INDEX(BDHK2,MATCH($A19,DiemHKII!$B$4:$B$58,0),INDEX($AD$9:$AF$22,MATCH(U$7,$AD$9:$AD$22,0),3)),""),"")</f>
        <v/>
      </c>
      <c r="V19" s="288" t="str">
        <f t="shared" si="11"/>
        <v/>
      </c>
      <c r="W19" s="464" t="str">
        <f t="shared" si="9"/>
        <v/>
      </c>
      <c r="X19" s="353"/>
      <c r="Y19" s="289" t="str">
        <f t="shared" si="10"/>
        <v/>
      </c>
      <c r="AA19" s="1"/>
      <c r="AB19" s="644" t="str">
        <f t="shared" si="3"/>
        <v/>
      </c>
      <c r="AD19" s="268" t="s">
        <v>34</v>
      </c>
      <c r="AE19" s="268">
        <v>106</v>
      </c>
      <c r="AF19" s="268">
        <v>109</v>
      </c>
      <c r="AG19" s="268" t="str">
        <f>IF($A19&lt;&gt;"",INDEX(DiemHKII!$B$4:$K$58,MATCH($A19,DiemHKII!$B$4:$B$58,0),2),"")</f>
        <v>12A1Hồ SơnHậu08/01/2004</v>
      </c>
      <c r="AH19" s="674" t="str">
        <f t="shared" si="7"/>
        <v/>
      </c>
      <c r="AI19" s="672" t="str">
        <f t="shared" ca="1" si="5"/>
        <v/>
      </c>
    </row>
    <row r="20" spans="1:35" s="268" customFormat="1" ht="29.1" customHeight="1">
      <c r="A20" s="281">
        <f>IF(A19&lt;MAX(DiemHKII!$B$4:$B$58),A19+1,"")</f>
        <v>13</v>
      </c>
      <c r="B20" s="282" t="str">
        <f>IF($A20&lt;&gt;"",PROPER(INDEX(DiemHKII!$B$4:$K$58,MATCH($A20,DiemHKII!$B$4:$B$58,0),4)),"")</f>
        <v xml:space="preserve">Nguyễn Thị Thu </v>
      </c>
      <c r="C20" s="283" t="str">
        <f>IF($A20&lt;&gt;"",PROPER(INDEX(DiemHKII!$B$4:$K$58,MATCH($A20,DiemHKII!$B$4:$B$58,0),5)),"")</f>
        <v>Hiền</v>
      </c>
      <c r="D20" s="284" t="str">
        <f>IF($A20&lt;&gt;"",IF(INDEX(DiemHKII!$B$4:$K$58,MATCH($A20,DiemHKII!$B$4:$B$58,0),8)&lt;&gt;"",INDEX(DiemHKII!$B$4:$K$58,MATCH($A20,DiemHKII!$B$4:$B$58,0),8),""),"")</f>
        <v/>
      </c>
      <c r="E20" s="284" t="str">
        <f>IF($A20&lt;&gt;"",IF(INDEX(DiemHKII!$B$4:$K$58,MATCH($A20,DiemHKII!$B$4:$B$58,0),9)&lt;&gt;"",INDEX(DiemHKII!$B$4:$K$58,MATCH($A20,DiemHKII!$B$4:$B$58,0),9),""),"")</f>
        <v/>
      </c>
      <c r="F20" s="284" t="str">
        <f>IF($A20&lt;&gt;"",IF(INDEX(DiemHKII!$B$4:$K$58,MATCH($A20,DiemHKII!$B$4:$B$58,0),10)&lt;&gt;"",INDEX(DiemHKII!$B$4:$K$58,MATCH($A20,DiemHKII!$B$4:$B$58,0),10),""),"")</f>
        <v/>
      </c>
      <c r="G20" s="285" t="str">
        <f>IF($A20&lt;&gt;"",IF(INDEX(BDHK2,MATCH($A20,DiemHKII!$B$4:$B$58,0),INDEX($AD$9:$AF$22,MATCH(G$7,$AD$9:$AD$22,0),2))&lt;&gt;"",INDEX(BDHK2,MATCH($A20,DiemHKII!$B$4:$B$58,0),INDEX($AD$9:$AF$22,MATCH(G$7,$AD$9:$AD$22,0),3)),""),"")</f>
        <v/>
      </c>
      <c r="H20" s="286" t="str">
        <f>IF($A20&lt;&gt;"",IF(INDEX(BDHK2,MATCH($A20,DiemHKII!$B$4:$B$58,0),INDEX($AD$9:$AF$22,MATCH(H$7,$AD$9:$AD$22,0),2))&lt;&gt;"",INDEX(BDHK2,MATCH($A20,DiemHKII!$B$4:$B$58,0),INDEX($AD$9:$AF$22,MATCH(H$7,$AD$9:$AD$22,0),3)),""),"")</f>
        <v/>
      </c>
      <c r="I20" s="286" t="str">
        <f>IF($A20&lt;&gt;"",IF(INDEX(BDHK2,MATCH($A20,DiemHKII!$B$4:$B$58,0),INDEX($AD$9:$AF$22,MATCH(I$7,$AD$9:$AD$22,0),2))&lt;&gt;"",INDEX(BDHK2,MATCH($A20,DiemHKII!$B$4:$B$58,0),INDEX($AD$9:$AF$22,MATCH(I$7,$AD$9:$AD$22,0),3)),""),"")</f>
        <v/>
      </c>
      <c r="J20" s="286" t="str">
        <f>IF($A20&lt;&gt;"",IF(INDEX(BDHK2,MATCH($A20,DiemHKII!$B$4:$B$58,0),INDEX($AD$9:$AF$22,MATCH(J$7,$AD$9:$AD$22,0),2))&lt;&gt;"",INDEX(BDHK2,MATCH($A20,DiemHKII!$B$4:$B$58,0),INDEX($AD$9:$AF$22,MATCH(J$7,$AD$9:$AD$22,0),3)),""),"")</f>
        <v/>
      </c>
      <c r="K20" s="286" t="str">
        <f>IF($A20&lt;&gt;"",IF(INDEX(BDHK2,MATCH($A20,DiemHKII!$B$4:$B$58,0),INDEX($AD$9:$AF$22,MATCH(K$7,$AD$9:$AD$22,0),2))&lt;&gt;"",INDEX(BDHK2,MATCH($A20,DiemHKII!$B$4:$B$58,0),INDEX($AD$9:$AF$22,MATCH(K$7,$AD$9:$AD$22,0),3)),""),"")</f>
        <v/>
      </c>
      <c r="L20" s="286" t="str">
        <f>IF($A20&lt;&gt;"",IF(INDEX(BDHK2,MATCH($A20,DiemHKII!$B$4:$B$58,0),INDEX($AD$9:$AF$22,MATCH(L$7,$AD$9:$AD$22,0),2))&lt;&gt;"",INDEX(BDHK2,MATCH($A20,DiemHKII!$B$4:$B$58,0),INDEX($AD$9:$AF$22,MATCH(L$7,$AD$9:$AD$22,0),3)),""),"")</f>
        <v/>
      </c>
      <c r="M20" s="286" t="str">
        <f>IF($A20&lt;&gt;"",IF(INDEX(BDHK2,MATCH($A20,DiemHKII!$B$4:$B$58,0),INDEX($AD$9:$AF$22,MATCH(M$7,$AD$9:$AD$22,0),2))&lt;&gt;"",INDEX(BDHK2,MATCH($A20,DiemHKII!$B$4:$B$58,0),INDEX($AD$9:$AF$22,MATCH(M$7,$AD$9:$AD$22,0),3)),""),"")</f>
        <v/>
      </c>
      <c r="N20" s="286" t="str">
        <f>IF($A20&lt;&gt;"",IF(INDEX(BDHK2,MATCH($A20,DiemHKII!$B$4:$B$58,0),INDEX($AD$9:$AF$22,MATCH(N$7,$AD$9:$AD$22,0),2))&lt;&gt;"",INDEX(BDHK2,MATCH($A20,DiemHKII!$B$4:$B$58,0),INDEX($AD$9:$AF$22,MATCH(N$7,$AD$9:$AD$22,0),3)),""),"")</f>
        <v/>
      </c>
      <c r="O20" s="286" t="str">
        <f>IF($A20&lt;&gt;"",IF(INDEX(BDHK2,MATCH($A20,DiemHKII!$B$4:$B$58,0),INDEX($AD$9:$AF$22,MATCH(O$7,$AD$9:$AD$22,0),2))&lt;&gt;"",INDEX(BDHK2,MATCH($A20,DiemHKII!$B$4:$B$58,0),INDEX($AD$9:$AF$22,MATCH(O$7,$AD$9:$AD$22,0),3)),""),"")</f>
        <v/>
      </c>
      <c r="P20" s="286" t="str">
        <f>IF($A20&lt;&gt;"",IF(INDEX(BDHK2,MATCH($A20,DiemHKII!$B$4:$B$58,0),INDEX($AD$9:$AF$22,MATCH(P$7,$AD$9:$AD$22,0),2))&lt;&gt;"",INDEX(BDHK2,MATCH($A20,DiemHKII!$B$4:$B$58,0),INDEX($AD$9:$AF$22,MATCH(P$7,$AD$9:$AD$22,0),3)),""),"")</f>
        <v/>
      </c>
      <c r="Q20" s="286" t="str">
        <f>IF($A20&lt;&gt;"",IF(INDEX(BDHK2,MATCH($A20,DiemHKII!$B$4:$B$58,0),INDEX($AD$9:$AF$22,MATCH(Q$7,$AD$9:$AD$22,0),2))&lt;&gt;"",INDEX(BDHK2,MATCH($A20,DiemHKII!$B$4:$B$58,0),INDEX($AD$9:$AF$22,MATCH(Q$7,$AD$9:$AD$22,0),3)),""),"")</f>
        <v/>
      </c>
      <c r="R20" s="464" t="str">
        <f>IF($A20&lt;&gt;"",IF(INDEX(BDHK2,MATCH($A20,DiemHKII!$B$4:$B$58,0),INDEX($AD$9:$AF$22,MATCH(R$7,$AD$9:$AD$22,0),2))&lt;&gt;"",INDEX(BDHK2,MATCH($A20,DiemHKII!$B$4:$B$58,0),INDEX($AD$9:$AF$22,MATCH(R$7,$AD$9:$AD$22,0),3)),""),"")</f>
        <v/>
      </c>
      <c r="S20" s="464" t="str">
        <f t="shared" si="8"/>
        <v/>
      </c>
      <c r="T20" s="286" t="str">
        <f>IF($A20&lt;&gt;"",IF(INDEX(BDHK2,MATCH($A20,DiemHKII!$B$4:$B$58,0),INDEX($AD$9:$AF$22,MATCH(T$7,$AD$9:$AD$22,0),2))&lt;&gt;"",INDEX(BDHK2,MATCH($A20,DiemHKII!$B$4:$B$58,0),INDEX($AD$9:$AF$22,MATCH(T$7,$AD$9:$AD$22,0),3)),""),"")</f>
        <v/>
      </c>
      <c r="U20" s="287" t="str">
        <f>IF($A20&lt;&gt;"",IF(INDEX(BDHK2,MATCH($A20,DiemHKII!$B$4:$B$58,0),INDEX($AD$9:$AF$22,MATCH(U$7,$AD$9:$AD$22,0),2))&lt;&gt;"",INDEX(BDHK2,MATCH($A20,DiemHKII!$B$4:$B$58,0),INDEX($AD$9:$AF$22,MATCH(U$7,$AD$9:$AD$22,0),3)),""),"")</f>
        <v/>
      </c>
      <c r="V20" s="288" t="str">
        <f t="shared" si="11"/>
        <v/>
      </c>
      <c r="W20" s="464" t="str">
        <f t="shared" si="9"/>
        <v/>
      </c>
      <c r="X20" s="353"/>
      <c r="Y20" s="289" t="str">
        <f t="shared" si="10"/>
        <v/>
      </c>
      <c r="AA20" s="1"/>
      <c r="AB20" s="644" t="str">
        <f t="shared" si="3"/>
        <v/>
      </c>
      <c r="AD20" s="268" t="s">
        <v>35</v>
      </c>
      <c r="AE20" s="268">
        <v>115</v>
      </c>
      <c r="AF20" s="268">
        <v>118</v>
      </c>
      <c r="AG20" s="268" t="str">
        <f>IF($A20&lt;&gt;"",INDEX(DiemHKII!$B$4:$K$58,MATCH($A20,DiemHKII!$B$4:$B$58,0),2),"")</f>
        <v>12A1Nguyễn Thị ThuHiền20/05/2004</v>
      </c>
      <c r="AH20" s="674" t="str">
        <f t="shared" si="7"/>
        <v/>
      </c>
      <c r="AI20" s="672" t="str">
        <f t="shared" ca="1" si="5"/>
        <v/>
      </c>
    </row>
    <row r="21" spans="1:35" s="268" customFormat="1" ht="29.1" customHeight="1">
      <c r="A21" s="281">
        <f>IF(A20&lt;MAX(DiemHKII!$B$4:$B$58),A20+1,"")</f>
        <v>14</v>
      </c>
      <c r="B21" s="282" t="str">
        <f>IF($A21&lt;&gt;"",PROPER(INDEX(DiemHKII!$B$4:$K$58,MATCH($A21,DiemHKII!$B$4:$B$58,0),4)),"")</f>
        <v>Lê Phan Ngọc</v>
      </c>
      <c r="C21" s="283" t="str">
        <f>IF($A21&lt;&gt;"",PROPER(INDEX(DiemHKII!$B$4:$K$58,MATCH($A21,DiemHKII!$B$4:$B$58,0),5)),"")</f>
        <v>Hiếu</v>
      </c>
      <c r="D21" s="284" t="str">
        <f>IF($A21&lt;&gt;"",IF(INDEX(DiemHKII!$B$4:$K$58,MATCH($A21,DiemHKII!$B$4:$B$58,0),8)&lt;&gt;"",INDEX(DiemHKII!$B$4:$K$58,MATCH($A21,DiemHKII!$B$4:$B$58,0),8),""),"")</f>
        <v/>
      </c>
      <c r="E21" s="284" t="str">
        <f>IF($A21&lt;&gt;"",IF(INDEX(DiemHKII!$B$4:$K$58,MATCH($A21,DiemHKII!$B$4:$B$58,0),9)&lt;&gt;"",INDEX(DiemHKII!$B$4:$K$58,MATCH($A21,DiemHKII!$B$4:$B$58,0),9),""),"")</f>
        <v/>
      </c>
      <c r="F21" s="284" t="str">
        <f>IF($A21&lt;&gt;"",IF(INDEX(DiemHKII!$B$4:$K$58,MATCH($A21,DiemHKII!$B$4:$B$58,0),10)&lt;&gt;"",INDEX(DiemHKII!$B$4:$K$58,MATCH($A21,DiemHKII!$B$4:$B$58,0),10),""),"")</f>
        <v/>
      </c>
      <c r="G21" s="285" t="str">
        <f>IF($A21&lt;&gt;"",IF(INDEX(BDHK2,MATCH($A21,DiemHKII!$B$4:$B$58,0),INDEX($AD$9:$AF$22,MATCH(G$7,$AD$9:$AD$22,0),2))&lt;&gt;"",INDEX(BDHK2,MATCH($A21,DiemHKII!$B$4:$B$58,0),INDEX($AD$9:$AF$22,MATCH(G$7,$AD$9:$AD$22,0),3)),""),"")</f>
        <v/>
      </c>
      <c r="H21" s="286" t="str">
        <f>IF($A21&lt;&gt;"",IF(INDEX(BDHK2,MATCH($A21,DiemHKII!$B$4:$B$58,0),INDEX($AD$9:$AF$22,MATCH(H$7,$AD$9:$AD$22,0),2))&lt;&gt;"",INDEX(BDHK2,MATCH($A21,DiemHKII!$B$4:$B$58,0),INDEX($AD$9:$AF$22,MATCH(H$7,$AD$9:$AD$22,0),3)),""),"")</f>
        <v/>
      </c>
      <c r="I21" s="286" t="str">
        <f>IF($A21&lt;&gt;"",IF(INDEX(BDHK2,MATCH($A21,DiemHKII!$B$4:$B$58,0),INDEX($AD$9:$AF$22,MATCH(I$7,$AD$9:$AD$22,0),2))&lt;&gt;"",INDEX(BDHK2,MATCH($A21,DiemHKII!$B$4:$B$58,0),INDEX($AD$9:$AF$22,MATCH(I$7,$AD$9:$AD$22,0),3)),""),"")</f>
        <v/>
      </c>
      <c r="J21" s="286" t="str">
        <f>IF($A21&lt;&gt;"",IF(INDEX(BDHK2,MATCH($A21,DiemHKII!$B$4:$B$58,0),INDEX($AD$9:$AF$22,MATCH(J$7,$AD$9:$AD$22,0),2))&lt;&gt;"",INDEX(BDHK2,MATCH($A21,DiemHKII!$B$4:$B$58,0),INDEX($AD$9:$AF$22,MATCH(J$7,$AD$9:$AD$22,0),3)),""),"")</f>
        <v/>
      </c>
      <c r="K21" s="286" t="str">
        <f>IF($A21&lt;&gt;"",IF(INDEX(BDHK2,MATCH($A21,DiemHKII!$B$4:$B$58,0),INDEX($AD$9:$AF$22,MATCH(K$7,$AD$9:$AD$22,0),2))&lt;&gt;"",INDEX(BDHK2,MATCH($A21,DiemHKII!$B$4:$B$58,0),INDEX($AD$9:$AF$22,MATCH(K$7,$AD$9:$AD$22,0),3)),""),"")</f>
        <v/>
      </c>
      <c r="L21" s="286" t="str">
        <f>IF($A21&lt;&gt;"",IF(INDEX(BDHK2,MATCH($A21,DiemHKII!$B$4:$B$58,0),INDEX($AD$9:$AF$22,MATCH(L$7,$AD$9:$AD$22,0),2))&lt;&gt;"",INDEX(BDHK2,MATCH($A21,DiemHKII!$B$4:$B$58,0),INDEX($AD$9:$AF$22,MATCH(L$7,$AD$9:$AD$22,0),3)),""),"")</f>
        <v/>
      </c>
      <c r="M21" s="286" t="str">
        <f>IF($A21&lt;&gt;"",IF(INDEX(BDHK2,MATCH($A21,DiemHKII!$B$4:$B$58,0),INDEX($AD$9:$AF$22,MATCH(M$7,$AD$9:$AD$22,0),2))&lt;&gt;"",INDEX(BDHK2,MATCH($A21,DiemHKII!$B$4:$B$58,0),INDEX($AD$9:$AF$22,MATCH(M$7,$AD$9:$AD$22,0),3)),""),"")</f>
        <v/>
      </c>
      <c r="N21" s="286" t="str">
        <f>IF($A21&lt;&gt;"",IF(INDEX(BDHK2,MATCH($A21,DiemHKII!$B$4:$B$58,0),INDEX($AD$9:$AF$22,MATCH(N$7,$AD$9:$AD$22,0),2))&lt;&gt;"",INDEX(BDHK2,MATCH($A21,DiemHKII!$B$4:$B$58,0),INDEX($AD$9:$AF$22,MATCH(N$7,$AD$9:$AD$22,0),3)),""),"")</f>
        <v/>
      </c>
      <c r="O21" s="286" t="str">
        <f>IF($A21&lt;&gt;"",IF(INDEX(BDHK2,MATCH($A21,DiemHKII!$B$4:$B$58,0),INDEX($AD$9:$AF$22,MATCH(O$7,$AD$9:$AD$22,0),2))&lt;&gt;"",INDEX(BDHK2,MATCH($A21,DiemHKII!$B$4:$B$58,0),INDEX($AD$9:$AF$22,MATCH(O$7,$AD$9:$AD$22,0),3)),""),"")</f>
        <v/>
      </c>
      <c r="P21" s="286" t="str">
        <f>IF($A21&lt;&gt;"",IF(INDEX(BDHK2,MATCH($A21,DiemHKII!$B$4:$B$58,0),INDEX($AD$9:$AF$22,MATCH(P$7,$AD$9:$AD$22,0),2))&lt;&gt;"",INDEX(BDHK2,MATCH($A21,DiemHKII!$B$4:$B$58,0),INDEX($AD$9:$AF$22,MATCH(P$7,$AD$9:$AD$22,0),3)),""),"")</f>
        <v/>
      </c>
      <c r="Q21" s="286" t="str">
        <f>IF($A21&lt;&gt;"",IF(INDEX(BDHK2,MATCH($A21,DiemHKII!$B$4:$B$58,0),INDEX($AD$9:$AF$22,MATCH(Q$7,$AD$9:$AD$22,0),2))&lt;&gt;"",INDEX(BDHK2,MATCH($A21,DiemHKII!$B$4:$B$58,0),INDEX($AD$9:$AF$22,MATCH(Q$7,$AD$9:$AD$22,0),3)),""),"")</f>
        <v/>
      </c>
      <c r="R21" s="464" t="str">
        <f>IF($A21&lt;&gt;"",IF(INDEX(BDHK2,MATCH($A21,DiemHKII!$B$4:$B$58,0),INDEX($AD$9:$AF$22,MATCH(R$7,$AD$9:$AD$22,0),2))&lt;&gt;"",INDEX(BDHK2,MATCH($A21,DiemHKII!$B$4:$B$58,0),INDEX($AD$9:$AF$22,MATCH(R$7,$AD$9:$AD$22,0),3)),""),"")</f>
        <v/>
      </c>
      <c r="S21" s="464" t="str">
        <f t="shared" si="8"/>
        <v/>
      </c>
      <c r="T21" s="286" t="str">
        <f>IF($A21&lt;&gt;"",IF(INDEX(BDHK2,MATCH($A21,DiemHKII!$B$4:$B$58,0),INDEX($AD$9:$AF$22,MATCH(T$7,$AD$9:$AD$22,0),2))&lt;&gt;"",INDEX(BDHK2,MATCH($A21,DiemHKII!$B$4:$B$58,0),INDEX($AD$9:$AF$22,MATCH(T$7,$AD$9:$AD$22,0),3)),""),"")</f>
        <v/>
      </c>
      <c r="U21" s="287" t="str">
        <f>IF($A21&lt;&gt;"",IF(INDEX(BDHK2,MATCH($A21,DiemHKII!$B$4:$B$58,0),INDEX($AD$9:$AF$22,MATCH(U$7,$AD$9:$AD$22,0),2))&lt;&gt;"",INDEX(BDHK2,MATCH($A21,DiemHKII!$B$4:$B$58,0),INDEX($AD$9:$AF$22,MATCH(U$7,$AD$9:$AD$22,0),3)),""),"")</f>
        <v/>
      </c>
      <c r="V21" s="288" t="str">
        <f t="shared" si="11"/>
        <v/>
      </c>
      <c r="W21" s="464" t="str">
        <f t="shared" si="9"/>
        <v/>
      </c>
      <c r="X21" s="353"/>
      <c r="Y21" s="289" t="str">
        <f t="shared" si="10"/>
        <v/>
      </c>
      <c r="AA21" s="1"/>
      <c r="AB21" s="644" t="str">
        <f t="shared" si="3"/>
        <v/>
      </c>
      <c r="AD21" s="268" t="s">
        <v>121</v>
      </c>
      <c r="AE21" s="268">
        <v>124</v>
      </c>
      <c r="AF21" s="268">
        <v>127</v>
      </c>
      <c r="AG21" s="268" t="str">
        <f>IF($A21&lt;&gt;"",INDEX(DiemHKII!$B$4:$K$58,MATCH($A21,DiemHKII!$B$4:$B$58,0),2),"")</f>
        <v>12A1Lê Phan NgọcHiếu01/02/2004</v>
      </c>
      <c r="AH21" s="674" t="str">
        <f t="shared" si="7"/>
        <v/>
      </c>
      <c r="AI21" s="672" t="str">
        <f t="shared" ca="1" si="5"/>
        <v/>
      </c>
    </row>
    <row r="22" spans="1:35" s="268" customFormat="1" ht="29.1" customHeight="1" thickBot="1">
      <c r="A22" s="290">
        <f>IF(A21&lt;MAX(DiemHKII!$B$4:$B$58),A21+1,"")</f>
        <v>15</v>
      </c>
      <c r="B22" s="291" t="str">
        <f>IF($A22&lt;&gt;"",PROPER(INDEX(DiemHKII!$B$4:$K$58,MATCH($A22,DiemHKII!$B$4:$B$58,0),4)),"")</f>
        <v>Trần Hoàng</v>
      </c>
      <c r="C22" s="292" t="str">
        <f>IF($A22&lt;&gt;"",PROPER(INDEX(DiemHKII!$B$4:$K$58,MATCH($A22,DiemHKII!$B$4:$B$58,0),5)),"")</f>
        <v>Hưng</v>
      </c>
      <c r="D22" s="293" t="str">
        <f>IF($A22&lt;&gt;"",IF(INDEX(DiemHKII!$B$4:$K$58,MATCH($A22,DiemHKII!$B$4:$B$58,0),8)&lt;&gt;"",INDEX(DiemHKII!$B$4:$K$58,MATCH($A22,DiemHKII!$B$4:$B$58,0),8),""),"")</f>
        <v/>
      </c>
      <c r="E22" s="293" t="str">
        <f>IF($A22&lt;&gt;"",IF(INDEX(DiemHKII!$B$4:$K$58,MATCH($A22,DiemHKII!$B$4:$B$58,0),9)&lt;&gt;"",INDEX(DiemHKII!$B$4:$K$58,MATCH($A22,DiemHKII!$B$4:$B$58,0),9),""),"")</f>
        <v/>
      </c>
      <c r="F22" s="293" t="str">
        <f>IF($A22&lt;&gt;"",IF(INDEX(DiemHKII!$B$4:$K$58,MATCH($A22,DiemHKII!$B$4:$B$58,0),10)&lt;&gt;"",INDEX(DiemHKII!$B$4:$K$58,MATCH($A22,DiemHKII!$B$4:$B$58,0),10),""),"")</f>
        <v/>
      </c>
      <c r="G22" s="294" t="str">
        <f>IF($A22&lt;&gt;"",IF(INDEX(BDHK2,MATCH($A22,DiemHKII!$B$4:$B$58,0),INDEX($AD$9:$AF$22,MATCH(G$7,$AD$9:$AD$22,0),2))&lt;&gt;"",INDEX(BDHK2,MATCH($A22,DiemHKII!$B$4:$B$58,0),INDEX($AD$9:$AF$22,MATCH(G$7,$AD$9:$AD$22,0),3)),""),"")</f>
        <v/>
      </c>
      <c r="H22" s="295" t="str">
        <f>IF($A22&lt;&gt;"",IF(INDEX(BDHK2,MATCH($A22,DiemHKII!$B$4:$B$58,0),INDEX($AD$9:$AF$22,MATCH(H$7,$AD$9:$AD$22,0),2))&lt;&gt;"",INDEX(BDHK2,MATCH($A22,DiemHKII!$B$4:$B$58,0),INDEX($AD$9:$AF$22,MATCH(H$7,$AD$9:$AD$22,0),3)),""),"")</f>
        <v/>
      </c>
      <c r="I22" s="295" t="str">
        <f>IF($A22&lt;&gt;"",IF(INDEX(BDHK2,MATCH($A22,DiemHKII!$B$4:$B$58,0),INDEX($AD$9:$AF$22,MATCH(I$7,$AD$9:$AD$22,0),2))&lt;&gt;"",INDEX(BDHK2,MATCH($A22,DiemHKII!$B$4:$B$58,0),INDEX($AD$9:$AF$22,MATCH(I$7,$AD$9:$AD$22,0),3)),""),"")</f>
        <v/>
      </c>
      <c r="J22" s="295" t="str">
        <f>IF($A22&lt;&gt;"",IF(INDEX(BDHK2,MATCH($A22,DiemHKII!$B$4:$B$58,0),INDEX($AD$9:$AF$22,MATCH(J$7,$AD$9:$AD$22,0),2))&lt;&gt;"",INDEX(BDHK2,MATCH($A22,DiemHKII!$B$4:$B$58,0),INDEX($AD$9:$AF$22,MATCH(J$7,$AD$9:$AD$22,0),3)),""),"")</f>
        <v/>
      </c>
      <c r="K22" s="295" t="str">
        <f>IF($A22&lt;&gt;"",IF(INDEX(BDHK2,MATCH($A22,DiemHKII!$B$4:$B$58,0),INDEX($AD$9:$AF$22,MATCH(K$7,$AD$9:$AD$22,0),2))&lt;&gt;"",INDEX(BDHK2,MATCH($A22,DiemHKII!$B$4:$B$58,0),INDEX($AD$9:$AF$22,MATCH(K$7,$AD$9:$AD$22,0),3)),""),"")</f>
        <v/>
      </c>
      <c r="L22" s="295" t="str">
        <f>IF($A22&lt;&gt;"",IF(INDEX(BDHK2,MATCH($A22,DiemHKII!$B$4:$B$58,0),INDEX($AD$9:$AF$22,MATCH(L$7,$AD$9:$AD$22,0),2))&lt;&gt;"",INDEX(BDHK2,MATCH($A22,DiemHKII!$B$4:$B$58,0),INDEX($AD$9:$AF$22,MATCH(L$7,$AD$9:$AD$22,0),3)),""),"")</f>
        <v/>
      </c>
      <c r="M22" s="295" t="str">
        <f>IF($A22&lt;&gt;"",IF(INDEX(BDHK2,MATCH($A22,DiemHKII!$B$4:$B$58,0),INDEX($AD$9:$AF$22,MATCH(M$7,$AD$9:$AD$22,0),2))&lt;&gt;"",INDEX(BDHK2,MATCH($A22,DiemHKII!$B$4:$B$58,0),INDEX($AD$9:$AF$22,MATCH(M$7,$AD$9:$AD$22,0),3)),""),"")</f>
        <v/>
      </c>
      <c r="N22" s="295" t="str">
        <f>IF($A22&lt;&gt;"",IF(INDEX(BDHK2,MATCH($A22,DiemHKII!$B$4:$B$58,0),INDEX($AD$9:$AF$22,MATCH(N$7,$AD$9:$AD$22,0),2))&lt;&gt;"",INDEX(BDHK2,MATCH($A22,DiemHKII!$B$4:$B$58,0),INDEX($AD$9:$AF$22,MATCH(N$7,$AD$9:$AD$22,0),3)),""),"")</f>
        <v/>
      </c>
      <c r="O22" s="295" t="str">
        <f>IF($A22&lt;&gt;"",IF(INDEX(BDHK2,MATCH($A22,DiemHKII!$B$4:$B$58,0),INDEX($AD$9:$AF$22,MATCH(O$7,$AD$9:$AD$22,0),2))&lt;&gt;"",INDEX(BDHK2,MATCH($A22,DiemHKII!$B$4:$B$58,0),INDEX($AD$9:$AF$22,MATCH(O$7,$AD$9:$AD$22,0),3)),""),"")</f>
        <v/>
      </c>
      <c r="P22" s="295" t="str">
        <f>IF($A22&lt;&gt;"",IF(INDEX(BDHK2,MATCH($A22,DiemHKII!$B$4:$B$58,0),INDEX($AD$9:$AF$22,MATCH(P$7,$AD$9:$AD$22,0),2))&lt;&gt;"",INDEX(BDHK2,MATCH($A22,DiemHKII!$B$4:$B$58,0),INDEX($AD$9:$AF$22,MATCH(P$7,$AD$9:$AD$22,0),3)),""),"")</f>
        <v/>
      </c>
      <c r="Q22" s="295" t="str">
        <f>IF($A22&lt;&gt;"",IF(INDEX(BDHK2,MATCH($A22,DiemHKII!$B$4:$B$58,0),INDEX($AD$9:$AF$22,MATCH(Q$7,$AD$9:$AD$22,0),2))&lt;&gt;"",INDEX(BDHK2,MATCH($A22,DiemHKII!$B$4:$B$58,0),INDEX($AD$9:$AF$22,MATCH(Q$7,$AD$9:$AD$22,0),3)),""),"")</f>
        <v/>
      </c>
      <c r="R22" s="296" t="str">
        <f>IF($A22&lt;&gt;"",IF(INDEX(BDHK2,MATCH($A22,DiemHKII!$B$4:$B$58,0),INDEX($AD$9:$AF$22,MATCH(R$7,$AD$9:$AD$22,0),2))&lt;&gt;"",INDEX(BDHK2,MATCH($A22,DiemHKII!$B$4:$B$58,0),INDEX($AD$9:$AF$22,MATCH(R$7,$AD$9:$AD$22,0),3)),""),"")</f>
        <v/>
      </c>
      <c r="S22" s="296" t="str">
        <f t="shared" si="8"/>
        <v/>
      </c>
      <c r="T22" s="295" t="str">
        <f>IF($A22&lt;&gt;"",IF(INDEX(BDHK2,MATCH($A22,DiemHKII!$B$4:$B$58,0),INDEX($AD$9:$AF$22,MATCH(T$7,$AD$9:$AD$22,0),2))&lt;&gt;"",INDEX(BDHK2,MATCH($A22,DiemHKII!$B$4:$B$58,0),INDEX($AD$9:$AF$22,MATCH(T$7,$AD$9:$AD$22,0),3)),""),"")</f>
        <v/>
      </c>
      <c r="U22" s="297" t="str">
        <f>IF($A22&lt;&gt;"",IF(INDEX(BDHK2,MATCH($A22,DiemHKII!$B$4:$B$58,0),INDEX($AD$9:$AF$22,MATCH(U$7,$AD$9:$AD$22,0),2))&lt;&gt;"",INDEX(BDHK2,MATCH($A22,DiemHKII!$B$4:$B$58,0),INDEX($AD$9:$AF$22,MATCH(U$7,$AD$9:$AD$22,0),3)),""),"")</f>
        <v/>
      </c>
      <c r="V22" s="298" t="str">
        <f t="shared" si="11"/>
        <v/>
      </c>
      <c r="W22" s="296" t="str">
        <f t="shared" si="9"/>
        <v/>
      </c>
      <c r="X22" s="354"/>
      <c r="Y22" s="299" t="str">
        <f t="shared" si="10"/>
        <v/>
      </c>
      <c r="AA22" s="1"/>
      <c r="AB22" s="644" t="str">
        <f t="shared" si="3"/>
        <v/>
      </c>
      <c r="AD22" s="268" t="s">
        <v>122</v>
      </c>
      <c r="AE22" s="268">
        <v>133</v>
      </c>
      <c r="AF22" s="268">
        <v>136</v>
      </c>
      <c r="AG22" s="268" t="str">
        <f>IF($A22&lt;&gt;"",INDEX(DiemHKII!$B$4:$K$58,MATCH($A22,DiemHKII!$B$4:$B$58,0),2),"")</f>
        <v>12A1Trần HoàngHưng11/06/2004</v>
      </c>
      <c r="AH22" s="674" t="str">
        <f t="shared" si="7"/>
        <v/>
      </c>
      <c r="AI22" s="672" t="str">
        <f t="shared" ca="1" si="5"/>
        <v/>
      </c>
    </row>
    <row r="23" spans="1:35" s="268" customFormat="1" ht="29.1" customHeight="1">
      <c r="A23" s="274">
        <f>IF(A22&lt;MAX(DiemHKII!$B$4:$B$58),A22+1,"")</f>
        <v>16</v>
      </c>
      <c r="B23" s="275" t="str">
        <f>IF($A23&lt;&gt;"",PROPER(INDEX(DiemHKII!$B$4:$K$58,MATCH($A23,DiemHKII!$B$4:$B$58,0),4)),"")</f>
        <v>Trần Đăng</v>
      </c>
      <c r="C23" s="276" t="str">
        <f>IF($A23&lt;&gt;"",PROPER(INDEX(DiemHKII!$B$4:$K$58,MATCH($A23,DiemHKII!$B$4:$B$58,0),5)),"")</f>
        <v>Khải</v>
      </c>
      <c r="D23" s="277" t="str">
        <f>IF($A23&lt;&gt;"",IF(INDEX(DiemHKII!$B$4:$K$58,MATCH($A23,DiemHKII!$B$4:$B$58,0),8)&lt;&gt;"",INDEX(DiemHKII!$B$4:$K$58,MATCH($A23,DiemHKII!$B$4:$B$58,0),8),""),"")</f>
        <v/>
      </c>
      <c r="E23" s="277" t="str">
        <f>IF($A23&lt;&gt;"",IF(INDEX(DiemHKII!$B$4:$K$58,MATCH($A23,DiemHKII!$B$4:$B$58,0),9)&lt;&gt;"",INDEX(DiemHKII!$B$4:$K$58,MATCH($A23,DiemHKII!$B$4:$B$58,0),9),""),"")</f>
        <v/>
      </c>
      <c r="F23" s="277" t="str">
        <f>IF($A23&lt;&gt;"",IF(INDEX(DiemHKII!$B$4:$K$58,MATCH($A23,DiemHKII!$B$4:$B$58,0),10)&lt;&gt;"",INDEX(DiemHKII!$B$4:$K$58,MATCH($A23,DiemHKII!$B$4:$B$58,0),10),""),"")</f>
        <v/>
      </c>
      <c r="G23" s="300" t="str">
        <f>IF($A23&lt;&gt;"",IF(INDEX(BDHK2,MATCH($A23,DiemHKII!$B$4:$B$58,0),INDEX($AD$9:$AF$22,MATCH(G$7,$AD$9:$AD$22,0),2))&lt;&gt;"",INDEX(BDHK2,MATCH($A23,DiemHKII!$B$4:$B$58,0),INDEX($AD$9:$AF$22,MATCH(G$7,$AD$9:$AD$22,0),3)),""),"")</f>
        <v/>
      </c>
      <c r="H23" s="301" t="str">
        <f>IF($A23&lt;&gt;"",IF(INDEX(BDHK2,MATCH($A23,DiemHKII!$B$4:$B$58,0),INDEX($AD$9:$AF$22,MATCH(H$7,$AD$9:$AD$22,0),2))&lt;&gt;"",INDEX(BDHK2,MATCH($A23,DiemHKII!$B$4:$B$58,0),INDEX($AD$9:$AF$22,MATCH(H$7,$AD$9:$AD$22,0),3)),""),"")</f>
        <v/>
      </c>
      <c r="I23" s="301" t="str">
        <f>IF($A23&lt;&gt;"",IF(INDEX(BDHK2,MATCH($A23,DiemHKII!$B$4:$B$58,0),INDEX($AD$9:$AF$22,MATCH(I$7,$AD$9:$AD$22,0),2))&lt;&gt;"",INDEX(BDHK2,MATCH($A23,DiemHKII!$B$4:$B$58,0),INDEX($AD$9:$AF$22,MATCH(I$7,$AD$9:$AD$22,0),3)),""),"")</f>
        <v/>
      </c>
      <c r="J23" s="301" t="str">
        <f>IF($A23&lt;&gt;"",IF(INDEX(BDHK2,MATCH($A23,DiemHKII!$B$4:$B$58,0),INDEX($AD$9:$AF$22,MATCH(J$7,$AD$9:$AD$22,0),2))&lt;&gt;"",INDEX(BDHK2,MATCH($A23,DiemHKII!$B$4:$B$58,0),INDEX($AD$9:$AF$22,MATCH(J$7,$AD$9:$AD$22,0),3)),""),"")</f>
        <v/>
      </c>
      <c r="K23" s="301" t="str">
        <f>IF($A23&lt;&gt;"",IF(INDEX(BDHK2,MATCH($A23,DiemHKII!$B$4:$B$58,0),INDEX($AD$9:$AF$22,MATCH(K$7,$AD$9:$AD$22,0),2))&lt;&gt;"",INDEX(BDHK2,MATCH($A23,DiemHKII!$B$4:$B$58,0),INDEX($AD$9:$AF$22,MATCH(K$7,$AD$9:$AD$22,0),3)),""),"")</f>
        <v/>
      </c>
      <c r="L23" s="301" t="str">
        <f>IF($A23&lt;&gt;"",IF(INDEX(BDHK2,MATCH($A23,DiemHKII!$B$4:$B$58,0),INDEX($AD$9:$AF$22,MATCH(L$7,$AD$9:$AD$22,0),2))&lt;&gt;"",INDEX(BDHK2,MATCH($A23,DiemHKII!$B$4:$B$58,0),INDEX($AD$9:$AF$22,MATCH(L$7,$AD$9:$AD$22,0),3)),""),"")</f>
        <v/>
      </c>
      <c r="M23" s="301" t="str">
        <f>IF($A23&lt;&gt;"",IF(INDEX(BDHK2,MATCH($A23,DiemHKII!$B$4:$B$58,0),INDEX($AD$9:$AF$22,MATCH(M$7,$AD$9:$AD$22,0),2))&lt;&gt;"",INDEX(BDHK2,MATCH($A23,DiemHKII!$B$4:$B$58,0),INDEX($AD$9:$AF$22,MATCH(M$7,$AD$9:$AD$22,0),3)),""),"")</f>
        <v/>
      </c>
      <c r="N23" s="301" t="str">
        <f>IF($A23&lt;&gt;"",IF(INDEX(BDHK2,MATCH($A23,DiemHKII!$B$4:$B$58,0),INDEX($AD$9:$AF$22,MATCH(N$7,$AD$9:$AD$22,0),2))&lt;&gt;"",INDEX(BDHK2,MATCH($A23,DiemHKII!$B$4:$B$58,0),INDEX($AD$9:$AF$22,MATCH(N$7,$AD$9:$AD$22,0),3)),""),"")</f>
        <v/>
      </c>
      <c r="O23" s="301" t="str">
        <f>IF($A23&lt;&gt;"",IF(INDEX(BDHK2,MATCH($A23,DiemHKII!$B$4:$B$58,0),INDEX($AD$9:$AF$22,MATCH(O$7,$AD$9:$AD$22,0),2))&lt;&gt;"",INDEX(BDHK2,MATCH($A23,DiemHKII!$B$4:$B$58,0),INDEX($AD$9:$AF$22,MATCH(O$7,$AD$9:$AD$22,0),3)),""),"")</f>
        <v/>
      </c>
      <c r="P23" s="301" t="str">
        <f>IF($A23&lt;&gt;"",IF(INDEX(BDHK2,MATCH($A23,DiemHKII!$B$4:$B$58,0),INDEX($AD$9:$AF$22,MATCH(P$7,$AD$9:$AD$22,0),2))&lt;&gt;"",INDEX(BDHK2,MATCH($A23,DiemHKII!$B$4:$B$58,0),INDEX($AD$9:$AF$22,MATCH(P$7,$AD$9:$AD$22,0),3)),""),"")</f>
        <v/>
      </c>
      <c r="Q23" s="301" t="str">
        <f>IF($A23&lt;&gt;"",IF(INDEX(BDHK2,MATCH($A23,DiemHKII!$B$4:$B$58,0),INDEX($AD$9:$AF$22,MATCH(Q$7,$AD$9:$AD$22,0),2))&lt;&gt;"",INDEX(BDHK2,MATCH($A23,DiemHKII!$B$4:$B$58,0),INDEX($AD$9:$AF$22,MATCH(Q$7,$AD$9:$AD$22,0),3)),""),"")</f>
        <v/>
      </c>
      <c r="R23" s="279" t="str">
        <f>IF($A23&lt;&gt;"",IF(INDEX(BDHK2,MATCH($A23,DiemHKII!$B$4:$B$58,0),INDEX($AD$9:$AF$22,MATCH(R$7,$AD$9:$AD$22,0),2))&lt;&gt;"",INDEX(BDHK2,MATCH($A23,DiemHKII!$B$4:$B$58,0),INDEX($AD$9:$AF$22,MATCH(R$7,$AD$9:$AD$22,0),3)),""),"")</f>
        <v/>
      </c>
      <c r="S23" s="279" t="str">
        <f t="shared" si="8"/>
        <v/>
      </c>
      <c r="T23" s="301" t="str">
        <f>IF($A23&lt;&gt;"",IF(INDEX(BDHK2,MATCH($A23,DiemHKII!$B$4:$B$58,0),INDEX($AD$9:$AF$22,MATCH(T$7,$AD$9:$AD$22,0),2))&lt;&gt;"",INDEX(BDHK2,MATCH($A23,DiemHKII!$B$4:$B$58,0),INDEX($AD$9:$AF$22,MATCH(T$7,$AD$9:$AD$22,0),3)),""),"")</f>
        <v/>
      </c>
      <c r="U23" s="302" t="str">
        <f>IF($A23&lt;&gt;"",IF(INDEX(BDHK2,MATCH($A23,DiemHKII!$B$4:$B$58,0),INDEX($AD$9:$AF$22,MATCH(U$7,$AD$9:$AD$22,0),2))&lt;&gt;"",INDEX(BDHK2,MATCH($A23,DiemHKII!$B$4:$B$58,0),INDEX($AD$9:$AF$22,MATCH(U$7,$AD$9:$AD$22,0),3)),""),"")</f>
        <v/>
      </c>
      <c r="V23" s="278" t="str">
        <f t="shared" si="11"/>
        <v/>
      </c>
      <c r="W23" s="279" t="str">
        <f t="shared" si="9"/>
        <v/>
      </c>
      <c r="X23" s="352"/>
      <c r="Y23" s="280" t="str">
        <f t="shared" si="10"/>
        <v/>
      </c>
      <c r="AA23" s="1"/>
      <c r="AB23" s="644" t="str">
        <f t="shared" si="3"/>
        <v/>
      </c>
      <c r="AG23" s="268" t="str">
        <f>IF($A23&lt;&gt;"",INDEX(DiemHKII!$B$4:$K$58,MATCH($A23,DiemHKII!$B$4:$B$58,0),2),"")</f>
        <v>12A1Trần ĐăngKhải22/04/2004</v>
      </c>
      <c r="AH23" s="674" t="str">
        <f t="shared" si="7"/>
        <v/>
      </c>
      <c r="AI23" s="672" t="str">
        <f t="shared" ca="1" si="5"/>
        <v/>
      </c>
    </row>
    <row r="24" spans="1:35" s="268" customFormat="1" ht="29.1" customHeight="1">
      <c r="A24" s="281">
        <f>IF(A23&lt;MAX(DiemHKII!$B$4:$B$58),A23+1,"")</f>
        <v>17</v>
      </c>
      <c r="B24" s="282" t="str">
        <f>IF($A24&lt;&gt;"",PROPER(INDEX(DiemHKII!$B$4:$K$58,MATCH($A24,DiemHKII!$B$4:$B$58,0),4)),"")</f>
        <v>Nguyễn Huỳnh Phúc</v>
      </c>
      <c r="C24" s="283" t="str">
        <f>IF($A24&lt;&gt;"",PROPER(INDEX(DiemHKII!$B$4:$K$58,MATCH($A24,DiemHKII!$B$4:$B$58,0),5)),"")</f>
        <v>Khang</v>
      </c>
      <c r="D24" s="284" t="str">
        <f>IF($A24&lt;&gt;"",IF(INDEX(DiemHKII!$B$4:$K$58,MATCH($A24,DiemHKII!$B$4:$B$58,0),8)&lt;&gt;"",INDEX(DiemHKII!$B$4:$K$58,MATCH($A24,DiemHKII!$B$4:$B$58,0),8),""),"")</f>
        <v/>
      </c>
      <c r="E24" s="284" t="str">
        <f>IF($A24&lt;&gt;"",IF(INDEX(DiemHKII!$B$4:$K$58,MATCH($A24,DiemHKII!$B$4:$B$58,0),9)&lt;&gt;"",INDEX(DiemHKII!$B$4:$K$58,MATCH($A24,DiemHKII!$B$4:$B$58,0),9),""),"")</f>
        <v/>
      </c>
      <c r="F24" s="284" t="str">
        <f>IF($A24&lt;&gt;"",IF(INDEX(DiemHKII!$B$4:$K$58,MATCH($A24,DiemHKII!$B$4:$B$58,0),10)&lt;&gt;"",INDEX(DiemHKII!$B$4:$K$58,MATCH($A24,DiemHKII!$B$4:$B$58,0),10),""),"")</f>
        <v/>
      </c>
      <c r="G24" s="285" t="str">
        <f>IF($A24&lt;&gt;"",IF(INDEX(BDHK2,MATCH($A24,DiemHKII!$B$4:$B$58,0),INDEX($AD$9:$AF$22,MATCH(G$7,$AD$9:$AD$22,0),2))&lt;&gt;"",INDEX(BDHK2,MATCH($A24,DiemHKII!$B$4:$B$58,0),INDEX($AD$9:$AF$22,MATCH(G$7,$AD$9:$AD$22,0),3)),""),"")</f>
        <v/>
      </c>
      <c r="H24" s="286" t="str">
        <f>IF($A24&lt;&gt;"",IF(INDEX(BDHK2,MATCH($A24,DiemHKII!$B$4:$B$58,0),INDEX($AD$9:$AF$22,MATCH(H$7,$AD$9:$AD$22,0),2))&lt;&gt;"",INDEX(BDHK2,MATCH($A24,DiemHKII!$B$4:$B$58,0),INDEX($AD$9:$AF$22,MATCH(H$7,$AD$9:$AD$22,0),3)),""),"")</f>
        <v/>
      </c>
      <c r="I24" s="286" t="str">
        <f>IF($A24&lt;&gt;"",IF(INDEX(BDHK2,MATCH($A24,DiemHKII!$B$4:$B$58,0),INDEX($AD$9:$AF$22,MATCH(I$7,$AD$9:$AD$22,0),2))&lt;&gt;"",INDEX(BDHK2,MATCH($A24,DiemHKII!$B$4:$B$58,0),INDEX($AD$9:$AF$22,MATCH(I$7,$AD$9:$AD$22,0),3)),""),"")</f>
        <v/>
      </c>
      <c r="J24" s="286" t="str">
        <f>IF($A24&lt;&gt;"",IF(INDEX(BDHK2,MATCH($A24,DiemHKII!$B$4:$B$58,0),INDEX($AD$9:$AF$22,MATCH(J$7,$AD$9:$AD$22,0),2))&lt;&gt;"",INDEX(BDHK2,MATCH($A24,DiemHKII!$B$4:$B$58,0),INDEX($AD$9:$AF$22,MATCH(J$7,$AD$9:$AD$22,0),3)),""),"")</f>
        <v/>
      </c>
      <c r="K24" s="286" t="str">
        <f>IF($A24&lt;&gt;"",IF(INDEX(BDHK2,MATCH($A24,DiemHKII!$B$4:$B$58,0),INDEX($AD$9:$AF$22,MATCH(K$7,$AD$9:$AD$22,0),2))&lt;&gt;"",INDEX(BDHK2,MATCH($A24,DiemHKII!$B$4:$B$58,0),INDEX($AD$9:$AF$22,MATCH(K$7,$AD$9:$AD$22,0),3)),""),"")</f>
        <v/>
      </c>
      <c r="L24" s="286" t="str">
        <f>IF($A24&lt;&gt;"",IF(INDEX(BDHK2,MATCH($A24,DiemHKII!$B$4:$B$58,0),INDEX($AD$9:$AF$22,MATCH(L$7,$AD$9:$AD$22,0),2))&lt;&gt;"",INDEX(BDHK2,MATCH($A24,DiemHKII!$B$4:$B$58,0),INDEX($AD$9:$AF$22,MATCH(L$7,$AD$9:$AD$22,0),3)),""),"")</f>
        <v/>
      </c>
      <c r="M24" s="286" t="str">
        <f>IF($A24&lt;&gt;"",IF(INDEX(BDHK2,MATCH($A24,DiemHKII!$B$4:$B$58,0),INDEX($AD$9:$AF$22,MATCH(M$7,$AD$9:$AD$22,0),2))&lt;&gt;"",INDEX(BDHK2,MATCH($A24,DiemHKII!$B$4:$B$58,0),INDEX($AD$9:$AF$22,MATCH(M$7,$AD$9:$AD$22,0),3)),""),"")</f>
        <v/>
      </c>
      <c r="N24" s="286" t="str">
        <f>IF($A24&lt;&gt;"",IF(INDEX(BDHK2,MATCH($A24,DiemHKII!$B$4:$B$58,0),INDEX($AD$9:$AF$22,MATCH(N$7,$AD$9:$AD$22,0),2))&lt;&gt;"",INDEX(BDHK2,MATCH($A24,DiemHKII!$B$4:$B$58,0),INDEX($AD$9:$AF$22,MATCH(N$7,$AD$9:$AD$22,0),3)),""),"")</f>
        <v/>
      </c>
      <c r="O24" s="286" t="str">
        <f>IF($A24&lt;&gt;"",IF(INDEX(BDHK2,MATCH($A24,DiemHKII!$B$4:$B$58,0),INDEX($AD$9:$AF$22,MATCH(O$7,$AD$9:$AD$22,0),2))&lt;&gt;"",INDEX(BDHK2,MATCH($A24,DiemHKII!$B$4:$B$58,0),INDEX($AD$9:$AF$22,MATCH(O$7,$AD$9:$AD$22,0),3)),""),"")</f>
        <v/>
      </c>
      <c r="P24" s="286" t="str">
        <f>IF($A24&lt;&gt;"",IF(INDEX(BDHK2,MATCH($A24,DiemHKII!$B$4:$B$58,0),INDEX($AD$9:$AF$22,MATCH(P$7,$AD$9:$AD$22,0),2))&lt;&gt;"",INDEX(BDHK2,MATCH($A24,DiemHKII!$B$4:$B$58,0),INDEX($AD$9:$AF$22,MATCH(P$7,$AD$9:$AD$22,0),3)),""),"")</f>
        <v/>
      </c>
      <c r="Q24" s="286" t="str">
        <f>IF($A24&lt;&gt;"",IF(INDEX(BDHK2,MATCH($A24,DiemHKII!$B$4:$B$58,0),INDEX($AD$9:$AF$22,MATCH(Q$7,$AD$9:$AD$22,0),2))&lt;&gt;"",INDEX(BDHK2,MATCH($A24,DiemHKII!$B$4:$B$58,0),INDEX($AD$9:$AF$22,MATCH(Q$7,$AD$9:$AD$22,0),3)),""),"")</f>
        <v/>
      </c>
      <c r="R24" s="464" t="str">
        <f>IF($A24&lt;&gt;"",IF(INDEX(BDHK2,MATCH($A24,DiemHKII!$B$4:$B$58,0),INDEX($AD$9:$AF$22,MATCH(R$7,$AD$9:$AD$22,0),2))&lt;&gt;"",INDEX(BDHK2,MATCH($A24,DiemHKII!$B$4:$B$58,0),INDEX($AD$9:$AF$22,MATCH(R$7,$AD$9:$AD$22,0),3)),""),"")</f>
        <v/>
      </c>
      <c r="S24" s="464" t="str">
        <f t="shared" si="8"/>
        <v/>
      </c>
      <c r="T24" s="286" t="str">
        <f>IF($A24&lt;&gt;"",IF(INDEX(BDHK2,MATCH($A24,DiemHKII!$B$4:$B$58,0),INDEX($AD$9:$AF$22,MATCH(T$7,$AD$9:$AD$22,0),2))&lt;&gt;"",INDEX(BDHK2,MATCH($A24,DiemHKII!$B$4:$B$58,0),INDEX($AD$9:$AF$22,MATCH(T$7,$AD$9:$AD$22,0),3)),""),"")</f>
        <v/>
      </c>
      <c r="U24" s="287" t="str">
        <f>IF($A24&lt;&gt;"",IF(INDEX(BDHK2,MATCH($A24,DiemHKII!$B$4:$B$58,0),INDEX($AD$9:$AF$22,MATCH(U$7,$AD$9:$AD$22,0),2))&lt;&gt;"",INDEX(BDHK2,MATCH($A24,DiemHKII!$B$4:$B$58,0),INDEX($AD$9:$AF$22,MATCH(U$7,$AD$9:$AD$22,0),3)),""),"")</f>
        <v/>
      </c>
      <c r="V24" s="288" t="str">
        <f t="shared" si="11"/>
        <v/>
      </c>
      <c r="W24" s="464" t="str">
        <f t="shared" si="9"/>
        <v/>
      </c>
      <c r="X24" s="353"/>
      <c r="Y24" s="289" t="str">
        <f t="shared" si="10"/>
        <v/>
      </c>
      <c r="AA24" s="1"/>
      <c r="AB24" s="644" t="str">
        <f t="shared" si="3"/>
        <v/>
      </c>
      <c r="AG24" s="268" t="str">
        <f>IF($A24&lt;&gt;"",INDEX(DiemHKII!$B$4:$K$58,MATCH($A24,DiemHKII!$B$4:$B$58,0),2),"")</f>
        <v>12A1Nguyễn Huỳnh PhúcKhang14/12/2004</v>
      </c>
      <c r="AH24" s="674" t="str">
        <f t="shared" si="7"/>
        <v/>
      </c>
      <c r="AI24" s="672" t="str">
        <f t="shared" ca="1" si="5"/>
        <v/>
      </c>
    </row>
    <row r="25" spans="1:35" s="268" customFormat="1" ht="29.1" customHeight="1">
      <c r="A25" s="281">
        <f>IF(A24&lt;MAX(DiemHKII!$B$4:$B$58),A24+1,"")</f>
        <v>18</v>
      </c>
      <c r="B25" s="282" t="str">
        <f>IF($A25&lt;&gt;"",PROPER(INDEX(DiemHKII!$B$4:$K$58,MATCH($A25,DiemHKII!$B$4:$B$58,0),4)),"")</f>
        <v>Nguyễn Đăng</v>
      </c>
      <c r="C25" s="283" t="str">
        <f>IF($A25&lt;&gt;"",PROPER(INDEX(DiemHKII!$B$4:$K$58,MATCH($A25,DiemHKII!$B$4:$B$58,0),5)),"")</f>
        <v>Khoa</v>
      </c>
      <c r="D25" s="284" t="str">
        <f>IF($A25&lt;&gt;"",IF(INDEX(DiemHKII!$B$4:$K$58,MATCH($A25,DiemHKII!$B$4:$B$58,0),8)&lt;&gt;"",INDEX(DiemHKII!$B$4:$K$58,MATCH($A25,DiemHKII!$B$4:$B$58,0),8),""),"")</f>
        <v/>
      </c>
      <c r="E25" s="284" t="str">
        <f>IF($A25&lt;&gt;"",IF(INDEX(DiemHKII!$B$4:$K$58,MATCH($A25,DiemHKII!$B$4:$B$58,0),9)&lt;&gt;"",INDEX(DiemHKII!$B$4:$K$58,MATCH($A25,DiemHKII!$B$4:$B$58,0),9),""),"")</f>
        <v/>
      </c>
      <c r="F25" s="284" t="str">
        <f>IF($A25&lt;&gt;"",IF(INDEX(DiemHKII!$B$4:$K$58,MATCH($A25,DiemHKII!$B$4:$B$58,0),10)&lt;&gt;"",INDEX(DiemHKII!$B$4:$K$58,MATCH($A25,DiemHKII!$B$4:$B$58,0),10),""),"")</f>
        <v/>
      </c>
      <c r="G25" s="285" t="str">
        <f>IF($A25&lt;&gt;"",IF(INDEX(BDHK2,MATCH($A25,DiemHKII!$B$4:$B$58,0),INDEX($AD$9:$AF$22,MATCH(G$7,$AD$9:$AD$22,0),2))&lt;&gt;"",INDEX(BDHK2,MATCH($A25,DiemHKII!$B$4:$B$58,0),INDEX($AD$9:$AF$22,MATCH(G$7,$AD$9:$AD$22,0),3)),""),"")</f>
        <v/>
      </c>
      <c r="H25" s="286" t="str">
        <f>IF($A25&lt;&gt;"",IF(INDEX(BDHK2,MATCH($A25,DiemHKII!$B$4:$B$58,0),INDEX($AD$9:$AF$22,MATCH(H$7,$AD$9:$AD$22,0),2))&lt;&gt;"",INDEX(BDHK2,MATCH($A25,DiemHKII!$B$4:$B$58,0),INDEX($AD$9:$AF$22,MATCH(H$7,$AD$9:$AD$22,0),3)),""),"")</f>
        <v/>
      </c>
      <c r="I25" s="286" t="str">
        <f>IF($A25&lt;&gt;"",IF(INDEX(BDHK2,MATCH($A25,DiemHKII!$B$4:$B$58,0),INDEX($AD$9:$AF$22,MATCH(I$7,$AD$9:$AD$22,0),2))&lt;&gt;"",INDEX(BDHK2,MATCH($A25,DiemHKII!$B$4:$B$58,0),INDEX($AD$9:$AF$22,MATCH(I$7,$AD$9:$AD$22,0),3)),""),"")</f>
        <v/>
      </c>
      <c r="J25" s="286" t="str">
        <f>IF($A25&lt;&gt;"",IF(INDEX(BDHK2,MATCH($A25,DiemHKII!$B$4:$B$58,0),INDEX($AD$9:$AF$22,MATCH(J$7,$AD$9:$AD$22,0),2))&lt;&gt;"",INDEX(BDHK2,MATCH($A25,DiemHKII!$B$4:$B$58,0),INDEX($AD$9:$AF$22,MATCH(J$7,$AD$9:$AD$22,0),3)),""),"")</f>
        <v/>
      </c>
      <c r="K25" s="286" t="str">
        <f>IF($A25&lt;&gt;"",IF(INDEX(BDHK2,MATCH($A25,DiemHKII!$B$4:$B$58,0),INDEX($AD$9:$AF$22,MATCH(K$7,$AD$9:$AD$22,0),2))&lt;&gt;"",INDEX(BDHK2,MATCH($A25,DiemHKII!$B$4:$B$58,0),INDEX($AD$9:$AF$22,MATCH(K$7,$AD$9:$AD$22,0),3)),""),"")</f>
        <v/>
      </c>
      <c r="L25" s="286" t="str">
        <f>IF($A25&lt;&gt;"",IF(INDEX(BDHK2,MATCH($A25,DiemHKII!$B$4:$B$58,0),INDEX($AD$9:$AF$22,MATCH(L$7,$AD$9:$AD$22,0),2))&lt;&gt;"",INDEX(BDHK2,MATCH($A25,DiemHKII!$B$4:$B$58,0),INDEX($AD$9:$AF$22,MATCH(L$7,$AD$9:$AD$22,0),3)),""),"")</f>
        <v/>
      </c>
      <c r="M25" s="286" t="str">
        <f>IF($A25&lt;&gt;"",IF(INDEX(BDHK2,MATCH($A25,DiemHKII!$B$4:$B$58,0),INDEX($AD$9:$AF$22,MATCH(M$7,$AD$9:$AD$22,0),2))&lt;&gt;"",INDEX(BDHK2,MATCH($A25,DiemHKII!$B$4:$B$58,0),INDEX($AD$9:$AF$22,MATCH(M$7,$AD$9:$AD$22,0),3)),""),"")</f>
        <v/>
      </c>
      <c r="N25" s="286" t="str">
        <f>IF($A25&lt;&gt;"",IF(INDEX(BDHK2,MATCH($A25,DiemHKII!$B$4:$B$58,0),INDEX($AD$9:$AF$22,MATCH(N$7,$AD$9:$AD$22,0),2))&lt;&gt;"",INDEX(BDHK2,MATCH($A25,DiemHKII!$B$4:$B$58,0),INDEX($AD$9:$AF$22,MATCH(N$7,$AD$9:$AD$22,0),3)),""),"")</f>
        <v/>
      </c>
      <c r="O25" s="286" t="str">
        <f>IF($A25&lt;&gt;"",IF(INDEX(BDHK2,MATCH($A25,DiemHKII!$B$4:$B$58,0),INDEX($AD$9:$AF$22,MATCH(O$7,$AD$9:$AD$22,0),2))&lt;&gt;"",INDEX(BDHK2,MATCH($A25,DiemHKII!$B$4:$B$58,0),INDEX($AD$9:$AF$22,MATCH(O$7,$AD$9:$AD$22,0),3)),""),"")</f>
        <v/>
      </c>
      <c r="P25" s="286" t="str">
        <f>IF($A25&lt;&gt;"",IF(INDEX(BDHK2,MATCH($A25,DiemHKII!$B$4:$B$58,0),INDEX($AD$9:$AF$22,MATCH(P$7,$AD$9:$AD$22,0),2))&lt;&gt;"",INDEX(BDHK2,MATCH($A25,DiemHKII!$B$4:$B$58,0),INDEX($AD$9:$AF$22,MATCH(P$7,$AD$9:$AD$22,0),3)),""),"")</f>
        <v/>
      </c>
      <c r="Q25" s="286" t="str">
        <f>IF($A25&lt;&gt;"",IF(INDEX(BDHK2,MATCH($A25,DiemHKII!$B$4:$B$58,0),INDEX($AD$9:$AF$22,MATCH(Q$7,$AD$9:$AD$22,0),2))&lt;&gt;"",INDEX(BDHK2,MATCH($A25,DiemHKII!$B$4:$B$58,0),INDEX($AD$9:$AF$22,MATCH(Q$7,$AD$9:$AD$22,0),3)),""),"")</f>
        <v/>
      </c>
      <c r="R25" s="464" t="str">
        <f>IF($A25&lt;&gt;"",IF(INDEX(BDHK2,MATCH($A25,DiemHKII!$B$4:$B$58,0),INDEX($AD$9:$AF$22,MATCH(R$7,$AD$9:$AD$22,0),2))&lt;&gt;"",INDEX(BDHK2,MATCH($A25,DiemHKII!$B$4:$B$58,0),INDEX($AD$9:$AF$22,MATCH(R$7,$AD$9:$AD$22,0),3)),""),"")</f>
        <v/>
      </c>
      <c r="S25" s="464" t="str">
        <f t="shared" si="8"/>
        <v/>
      </c>
      <c r="T25" s="286" t="str">
        <f>IF($A25&lt;&gt;"",IF(INDEX(BDHK2,MATCH($A25,DiemHKII!$B$4:$B$58,0),INDEX($AD$9:$AF$22,MATCH(T$7,$AD$9:$AD$22,0),2))&lt;&gt;"",INDEX(BDHK2,MATCH($A25,DiemHKII!$B$4:$B$58,0),INDEX($AD$9:$AF$22,MATCH(T$7,$AD$9:$AD$22,0),3)),""),"")</f>
        <v/>
      </c>
      <c r="U25" s="287" t="str">
        <f>IF($A25&lt;&gt;"",IF(INDEX(BDHK2,MATCH($A25,DiemHKII!$B$4:$B$58,0),INDEX($AD$9:$AF$22,MATCH(U$7,$AD$9:$AD$22,0),2))&lt;&gt;"",INDEX(BDHK2,MATCH($A25,DiemHKII!$B$4:$B$58,0),INDEX($AD$9:$AF$22,MATCH(U$7,$AD$9:$AD$22,0),3)),""),"")</f>
        <v/>
      </c>
      <c r="V25" s="288" t="str">
        <f t="shared" si="11"/>
        <v/>
      </c>
      <c r="W25" s="464" t="str">
        <f t="shared" si="9"/>
        <v/>
      </c>
      <c r="X25" s="353"/>
      <c r="Y25" s="289" t="str">
        <f t="shared" si="10"/>
        <v/>
      </c>
      <c r="AA25" s="1"/>
      <c r="AB25" s="644" t="str">
        <f t="shared" si="3"/>
        <v/>
      </c>
      <c r="AG25" s="268" t="str">
        <f>IF($A25&lt;&gt;"",INDEX(DiemHKII!$B$4:$K$58,MATCH($A25,DiemHKII!$B$4:$B$58,0),2),"")</f>
        <v>12A1Nguyễn ĐăngKhoa07/11/2004</v>
      </c>
      <c r="AH25" s="674" t="str">
        <f t="shared" si="7"/>
        <v/>
      </c>
      <c r="AI25" s="672" t="str">
        <f t="shared" ca="1" si="5"/>
        <v/>
      </c>
    </row>
    <row r="26" spans="1:35" s="268" customFormat="1" ht="29.1" customHeight="1">
      <c r="A26" s="281">
        <f>IF(A25&lt;MAX(DiemHKII!$B$4:$B$58),A25+1,"")</f>
        <v>19</v>
      </c>
      <c r="B26" s="282" t="str">
        <f>IF($A26&lt;&gt;"",PROPER(INDEX(DiemHKII!$B$4:$K$58,MATCH($A26,DiemHKII!$B$4:$B$58,0),4)),"")</f>
        <v>Lê Tiến</v>
      </c>
      <c r="C26" s="283" t="str">
        <f>IF($A26&lt;&gt;"",PROPER(INDEX(DiemHKII!$B$4:$K$58,MATCH($A26,DiemHKII!$B$4:$B$58,0),5)),"")</f>
        <v>Khôi</v>
      </c>
      <c r="D26" s="284" t="str">
        <f>IF($A26&lt;&gt;"",IF(INDEX(DiemHKII!$B$4:$K$58,MATCH($A26,DiemHKII!$B$4:$B$58,0),8)&lt;&gt;"",INDEX(DiemHKII!$B$4:$K$58,MATCH($A26,DiemHKII!$B$4:$B$58,0),8),""),"")</f>
        <v/>
      </c>
      <c r="E26" s="284" t="str">
        <f>IF($A26&lt;&gt;"",IF(INDEX(DiemHKII!$B$4:$K$58,MATCH($A26,DiemHKII!$B$4:$B$58,0),9)&lt;&gt;"",INDEX(DiemHKII!$B$4:$K$58,MATCH($A26,DiemHKII!$B$4:$B$58,0),9),""),"")</f>
        <v/>
      </c>
      <c r="F26" s="284" t="str">
        <f>IF($A26&lt;&gt;"",IF(INDEX(DiemHKII!$B$4:$K$58,MATCH($A26,DiemHKII!$B$4:$B$58,0),10)&lt;&gt;"",INDEX(DiemHKII!$B$4:$K$58,MATCH($A26,DiemHKII!$B$4:$B$58,0),10),""),"")</f>
        <v/>
      </c>
      <c r="G26" s="285" t="str">
        <f>IF($A26&lt;&gt;"",IF(INDEX(BDHK2,MATCH($A26,DiemHKII!$B$4:$B$58,0),INDEX($AD$9:$AF$22,MATCH(G$7,$AD$9:$AD$22,0),2))&lt;&gt;"",INDEX(BDHK2,MATCH($A26,DiemHKII!$B$4:$B$58,0),INDEX($AD$9:$AF$22,MATCH(G$7,$AD$9:$AD$22,0),3)),""),"")</f>
        <v/>
      </c>
      <c r="H26" s="286" t="str">
        <f>IF($A26&lt;&gt;"",IF(INDEX(BDHK2,MATCH($A26,DiemHKII!$B$4:$B$58,0),INDEX($AD$9:$AF$22,MATCH(H$7,$AD$9:$AD$22,0),2))&lt;&gt;"",INDEX(BDHK2,MATCH($A26,DiemHKII!$B$4:$B$58,0),INDEX($AD$9:$AF$22,MATCH(H$7,$AD$9:$AD$22,0),3)),""),"")</f>
        <v/>
      </c>
      <c r="I26" s="286" t="str">
        <f>IF($A26&lt;&gt;"",IF(INDEX(BDHK2,MATCH($A26,DiemHKII!$B$4:$B$58,0),INDEX($AD$9:$AF$22,MATCH(I$7,$AD$9:$AD$22,0),2))&lt;&gt;"",INDEX(BDHK2,MATCH($A26,DiemHKII!$B$4:$B$58,0),INDEX($AD$9:$AF$22,MATCH(I$7,$AD$9:$AD$22,0),3)),""),"")</f>
        <v/>
      </c>
      <c r="J26" s="286" t="str">
        <f>IF($A26&lt;&gt;"",IF(INDEX(BDHK2,MATCH($A26,DiemHKII!$B$4:$B$58,0),INDEX($AD$9:$AF$22,MATCH(J$7,$AD$9:$AD$22,0),2))&lt;&gt;"",INDEX(BDHK2,MATCH($A26,DiemHKII!$B$4:$B$58,0),INDEX($AD$9:$AF$22,MATCH(J$7,$AD$9:$AD$22,0),3)),""),"")</f>
        <v/>
      </c>
      <c r="K26" s="286" t="str">
        <f>IF($A26&lt;&gt;"",IF(INDEX(BDHK2,MATCH($A26,DiemHKII!$B$4:$B$58,0),INDEX($AD$9:$AF$22,MATCH(K$7,$AD$9:$AD$22,0),2))&lt;&gt;"",INDEX(BDHK2,MATCH($A26,DiemHKII!$B$4:$B$58,0),INDEX($AD$9:$AF$22,MATCH(K$7,$AD$9:$AD$22,0),3)),""),"")</f>
        <v/>
      </c>
      <c r="L26" s="286" t="str">
        <f>IF($A26&lt;&gt;"",IF(INDEX(BDHK2,MATCH($A26,DiemHKII!$B$4:$B$58,0),INDEX($AD$9:$AF$22,MATCH(L$7,$AD$9:$AD$22,0),2))&lt;&gt;"",INDEX(BDHK2,MATCH($A26,DiemHKII!$B$4:$B$58,0),INDEX($AD$9:$AF$22,MATCH(L$7,$AD$9:$AD$22,0),3)),""),"")</f>
        <v/>
      </c>
      <c r="M26" s="286" t="str">
        <f>IF($A26&lt;&gt;"",IF(INDEX(BDHK2,MATCH($A26,DiemHKII!$B$4:$B$58,0),INDEX($AD$9:$AF$22,MATCH(M$7,$AD$9:$AD$22,0),2))&lt;&gt;"",INDEX(BDHK2,MATCH($A26,DiemHKII!$B$4:$B$58,0),INDEX($AD$9:$AF$22,MATCH(M$7,$AD$9:$AD$22,0),3)),""),"")</f>
        <v/>
      </c>
      <c r="N26" s="286" t="str">
        <f>IF($A26&lt;&gt;"",IF(INDEX(BDHK2,MATCH($A26,DiemHKII!$B$4:$B$58,0),INDEX($AD$9:$AF$22,MATCH(N$7,$AD$9:$AD$22,0),2))&lt;&gt;"",INDEX(BDHK2,MATCH($A26,DiemHKII!$B$4:$B$58,0),INDEX($AD$9:$AF$22,MATCH(N$7,$AD$9:$AD$22,0),3)),""),"")</f>
        <v/>
      </c>
      <c r="O26" s="286" t="str">
        <f>IF($A26&lt;&gt;"",IF(INDEX(BDHK2,MATCH($A26,DiemHKII!$B$4:$B$58,0),INDEX($AD$9:$AF$22,MATCH(O$7,$AD$9:$AD$22,0),2))&lt;&gt;"",INDEX(BDHK2,MATCH($A26,DiemHKII!$B$4:$B$58,0),INDEX($AD$9:$AF$22,MATCH(O$7,$AD$9:$AD$22,0),3)),""),"")</f>
        <v/>
      </c>
      <c r="P26" s="286" t="str">
        <f>IF($A26&lt;&gt;"",IF(INDEX(BDHK2,MATCH($A26,DiemHKII!$B$4:$B$58,0),INDEX($AD$9:$AF$22,MATCH(P$7,$AD$9:$AD$22,0),2))&lt;&gt;"",INDEX(BDHK2,MATCH($A26,DiemHKII!$B$4:$B$58,0),INDEX($AD$9:$AF$22,MATCH(P$7,$AD$9:$AD$22,0),3)),""),"")</f>
        <v/>
      </c>
      <c r="Q26" s="286" t="str">
        <f>IF($A26&lt;&gt;"",IF(INDEX(BDHK2,MATCH($A26,DiemHKII!$B$4:$B$58,0),INDEX($AD$9:$AF$22,MATCH(Q$7,$AD$9:$AD$22,0),2))&lt;&gt;"",INDEX(BDHK2,MATCH($A26,DiemHKII!$B$4:$B$58,0),INDEX($AD$9:$AF$22,MATCH(Q$7,$AD$9:$AD$22,0),3)),""),"")</f>
        <v/>
      </c>
      <c r="R26" s="464" t="str">
        <f>IF($A26&lt;&gt;"",IF(INDEX(BDHK2,MATCH($A26,DiemHKII!$B$4:$B$58,0),INDEX($AD$9:$AF$22,MATCH(R$7,$AD$9:$AD$22,0),2))&lt;&gt;"",INDEX(BDHK2,MATCH($A26,DiemHKII!$B$4:$B$58,0),INDEX($AD$9:$AF$22,MATCH(R$7,$AD$9:$AD$22,0),3)),""),"")</f>
        <v/>
      </c>
      <c r="S26" s="464" t="str">
        <f t="shared" si="8"/>
        <v/>
      </c>
      <c r="T26" s="286" t="str">
        <f>IF($A26&lt;&gt;"",IF(INDEX(BDHK2,MATCH($A26,DiemHKII!$B$4:$B$58,0),INDEX($AD$9:$AF$22,MATCH(T$7,$AD$9:$AD$22,0),2))&lt;&gt;"",INDEX(BDHK2,MATCH($A26,DiemHKII!$B$4:$B$58,0),INDEX($AD$9:$AF$22,MATCH(T$7,$AD$9:$AD$22,0),3)),""),"")</f>
        <v/>
      </c>
      <c r="U26" s="287" t="str">
        <f>IF($A26&lt;&gt;"",IF(INDEX(BDHK2,MATCH($A26,DiemHKII!$B$4:$B$58,0),INDEX($AD$9:$AF$22,MATCH(U$7,$AD$9:$AD$22,0),2))&lt;&gt;"",INDEX(BDHK2,MATCH($A26,DiemHKII!$B$4:$B$58,0),INDEX($AD$9:$AF$22,MATCH(U$7,$AD$9:$AD$22,0),3)),""),"")</f>
        <v/>
      </c>
      <c r="V26" s="288" t="str">
        <f t="shared" si="11"/>
        <v/>
      </c>
      <c r="W26" s="464" t="str">
        <f t="shared" si="9"/>
        <v/>
      </c>
      <c r="X26" s="353"/>
      <c r="Y26" s="289" t="str">
        <f t="shared" si="10"/>
        <v/>
      </c>
      <c r="AA26" s="1"/>
      <c r="AB26" s="644" t="str">
        <f t="shared" si="3"/>
        <v/>
      </c>
      <c r="AG26" s="268" t="str">
        <f>IF($A26&lt;&gt;"",INDEX(DiemHKII!$B$4:$K$58,MATCH($A26,DiemHKII!$B$4:$B$58,0),2),"")</f>
        <v>12A1Lê TiếnKhôi14/10/2004</v>
      </c>
      <c r="AH26" s="674" t="str">
        <f t="shared" si="7"/>
        <v/>
      </c>
      <c r="AI26" s="672" t="str">
        <f t="shared" ca="1" si="5"/>
        <v/>
      </c>
    </row>
    <row r="27" spans="1:35" s="268" customFormat="1" ht="29.1" customHeight="1" thickBot="1">
      <c r="A27" s="290">
        <f>IF(A26&lt;MAX(DiemHKII!$B$4:$B$58),A26+1,"")</f>
        <v>20</v>
      </c>
      <c r="B27" s="291" t="str">
        <f>IF($A27&lt;&gt;"",PROPER(INDEX(DiemHKII!$B$4:$K$58,MATCH($A27,DiemHKII!$B$4:$B$58,0),4)),"")</f>
        <v>Nguyễn Phúc</v>
      </c>
      <c r="C27" s="292" t="str">
        <f>IF($A27&lt;&gt;"",PROPER(INDEX(DiemHKII!$B$4:$K$58,MATCH($A27,DiemHKII!$B$4:$B$58,0),5)),"")</f>
        <v>Lâm</v>
      </c>
      <c r="D27" s="293" t="str">
        <f>IF($A27&lt;&gt;"",IF(INDEX(DiemHKII!$B$4:$K$58,MATCH($A27,DiemHKII!$B$4:$B$58,0),8)&lt;&gt;"",INDEX(DiemHKII!$B$4:$K$58,MATCH($A27,DiemHKII!$B$4:$B$58,0),8),""),"")</f>
        <v/>
      </c>
      <c r="E27" s="293" t="str">
        <f>IF($A27&lt;&gt;"",IF(INDEX(DiemHKII!$B$4:$K$58,MATCH($A27,DiemHKII!$B$4:$B$58,0),9)&lt;&gt;"",INDEX(DiemHKII!$B$4:$K$58,MATCH($A27,DiemHKII!$B$4:$B$58,0),9),""),"")</f>
        <v/>
      </c>
      <c r="F27" s="293" t="str">
        <f>IF($A27&lt;&gt;"",IF(INDEX(DiemHKII!$B$4:$K$58,MATCH($A27,DiemHKII!$B$4:$B$58,0),10)&lt;&gt;"",INDEX(DiemHKII!$B$4:$K$58,MATCH($A27,DiemHKII!$B$4:$B$58,0),10),""),"")</f>
        <v/>
      </c>
      <c r="G27" s="294" t="str">
        <f>IF($A27&lt;&gt;"",IF(INDEX(BDHK2,MATCH($A27,DiemHKII!$B$4:$B$58,0),INDEX($AD$9:$AF$22,MATCH(G$7,$AD$9:$AD$22,0),2))&lt;&gt;"",INDEX(BDHK2,MATCH($A27,DiemHKII!$B$4:$B$58,0),INDEX($AD$9:$AF$22,MATCH(G$7,$AD$9:$AD$22,0),3)),""),"")</f>
        <v/>
      </c>
      <c r="H27" s="295" t="str">
        <f>IF($A27&lt;&gt;"",IF(INDEX(BDHK2,MATCH($A27,DiemHKII!$B$4:$B$58,0),INDEX($AD$9:$AF$22,MATCH(H$7,$AD$9:$AD$22,0),2))&lt;&gt;"",INDEX(BDHK2,MATCH($A27,DiemHKII!$B$4:$B$58,0),INDEX($AD$9:$AF$22,MATCH(H$7,$AD$9:$AD$22,0),3)),""),"")</f>
        <v/>
      </c>
      <c r="I27" s="295" t="str">
        <f>IF($A27&lt;&gt;"",IF(INDEX(BDHK2,MATCH($A27,DiemHKII!$B$4:$B$58,0),INDEX($AD$9:$AF$22,MATCH(I$7,$AD$9:$AD$22,0),2))&lt;&gt;"",INDEX(BDHK2,MATCH($A27,DiemHKII!$B$4:$B$58,0),INDEX($AD$9:$AF$22,MATCH(I$7,$AD$9:$AD$22,0),3)),""),"")</f>
        <v/>
      </c>
      <c r="J27" s="295" t="str">
        <f>IF($A27&lt;&gt;"",IF(INDEX(BDHK2,MATCH($A27,DiemHKII!$B$4:$B$58,0),INDEX($AD$9:$AF$22,MATCH(J$7,$AD$9:$AD$22,0),2))&lt;&gt;"",INDEX(BDHK2,MATCH($A27,DiemHKII!$B$4:$B$58,0),INDEX($AD$9:$AF$22,MATCH(J$7,$AD$9:$AD$22,0),3)),""),"")</f>
        <v/>
      </c>
      <c r="K27" s="295" t="str">
        <f>IF($A27&lt;&gt;"",IF(INDEX(BDHK2,MATCH($A27,DiemHKII!$B$4:$B$58,0),INDEX($AD$9:$AF$22,MATCH(K$7,$AD$9:$AD$22,0),2))&lt;&gt;"",INDEX(BDHK2,MATCH($A27,DiemHKII!$B$4:$B$58,0),INDEX($AD$9:$AF$22,MATCH(K$7,$AD$9:$AD$22,0),3)),""),"")</f>
        <v/>
      </c>
      <c r="L27" s="295" t="str">
        <f>IF($A27&lt;&gt;"",IF(INDEX(BDHK2,MATCH($A27,DiemHKII!$B$4:$B$58,0),INDEX($AD$9:$AF$22,MATCH(L$7,$AD$9:$AD$22,0),2))&lt;&gt;"",INDEX(BDHK2,MATCH($A27,DiemHKII!$B$4:$B$58,0),INDEX($AD$9:$AF$22,MATCH(L$7,$AD$9:$AD$22,0),3)),""),"")</f>
        <v/>
      </c>
      <c r="M27" s="295" t="str">
        <f>IF($A27&lt;&gt;"",IF(INDEX(BDHK2,MATCH($A27,DiemHKII!$B$4:$B$58,0),INDEX($AD$9:$AF$22,MATCH(M$7,$AD$9:$AD$22,0),2))&lt;&gt;"",INDEX(BDHK2,MATCH($A27,DiemHKII!$B$4:$B$58,0),INDEX($AD$9:$AF$22,MATCH(M$7,$AD$9:$AD$22,0),3)),""),"")</f>
        <v/>
      </c>
      <c r="N27" s="295" t="str">
        <f>IF($A27&lt;&gt;"",IF(INDEX(BDHK2,MATCH($A27,DiemHKII!$B$4:$B$58,0),INDEX($AD$9:$AF$22,MATCH(N$7,$AD$9:$AD$22,0),2))&lt;&gt;"",INDEX(BDHK2,MATCH($A27,DiemHKII!$B$4:$B$58,0),INDEX($AD$9:$AF$22,MATCH(N$7,$AD$9:$AD$22,0),3)),""),"")</f>
        <v/>
      </c>
      <c r="O27" s="295" t="str">
        <f>IF($A27&lt;&gt;"",IF(INDEX(BDHK2,MATCH($A27,DiemHKII!$B$4:$B$58,0),INDEX($AD$9:$AF$22,MATCH(O$7,$AD$9:$AD$22,0),2))&lt;&gt;"",INDEX(BDHK2,MATCH($A27,DiemHKII!$B$4:$B$58,0),INDEX($AD$9:$AF$22,MATCH(O$7,$AD$9:$AD$22,0),3)),""),"")</f>
        <v/>
      </c>
      <c r="P27" s="295" t="str">
        <f>IF($A27&lt;&gt;"",IF(INDEX(BDHK2,MATCH($A27,DiemHKII!$B$4:$B$58,0),INDEX($AD$9:$AF$22,MATCH(P$7,$AD$9:$AD$22,0),2))&lt;&gt;"",INDEX(BDHK2,MATCH($A27,DiemHKII!$B$4:$B$58,0),INDEX($AD$9:$AF$22,MATCH(P$7,$AD$9:$AD$22,0),3)),""),"")</f>
        <v/>
      </c>
      <c r="Q27" s="295" t="str">
        <f>IF($A27&lt;&gt;"",IF(INDEX(BDHK2,MATCH($A27,DiemHKII!$B$4:$B$58,0),INDEX($AD$9:$AF$22,MATCH(Q$7,$AD$9:$AD$22,0),2))&lt;&gt;"",INDEX(BDHK2,MATCH($A27,DiemHKII!$B$4:$B$58,0),INDEX($AD$9:$AF$22,MATCH(Q$7,$AD$9:$AD$22,0),3)),""),"")</f>
        <v/>
      </c>
      <c r="R27" s="296" t="str">
        <f>IF($A27&lt;&gt;"",IF(INDEX(BDHK2,MATCH($A27,DiemHKII!$B$4:$B$58,0),INDEX($AD$9:$AF$22,MATCH(R$7,$AD$9:$AD$22,0),2))&lt;&gt;"",INDEX(BDHK2,MATCH($A27,DiemHKII!$B$4:$B$58,0),INDEX($AD$9:$AF$22,MATCH(R$7,$AD$9:$AD$22,0),3)),""),"")</f>
        <v/>
      </c>
      <c r="S27" s="296" t="str">
        <f t="shared" si="8"/>
        <v/>
      </c>
      <c r="T27" s="295" t="str">
        <f>IF($A27&lt;&gt;"",IF(INDEX(BDHK2,MATCH($A27,DiemHKII!$B$4:$B$58,0),INDEX($AD$9:$AF$22,MATCH(T$7,$AD$9:$AD$22,0),2))&lt;&gt;"",INDEX(BDHK2,MATCH($A27,DiemHKII!$B$4:$B$58,0),INDEX($AD$9:$AF$22,MATCH(T$7,$AD$9:$AD$22,0),3)),""),"")</f>
        <v/>
      </c>
      <c r="U27" s="297" t="str">
        <f>IF($A27&lt;&gt;"",IF(INDEX(BDHK2,MATCH($A27,DiemHKII!$B$4:$B$58,0),INDEX($AD$9:$AF$22,MATCH(U$7,$AD$9:$AD$22,0),2))&lt;&gt;"",INDEX(BDHK2,MATCH($A27,DiemHKII!$B$4:$B$58,0),INDEX($AD$9:$AF$22,MATCH(U$7,$AD$9:$AD$22,0),3)),""),"")</f>
        <v/>
      </c>
      <c r="V27" s="298" t="str">
        <f t="shared" si="11"/>
        <v/>
      </c>
      <c r="W27" s="296" t="str">
        <f t="shared" si="9"/>
        <v/>
      </c>
      <c r="X27" s="354"/>
      <c r="Y27" s="299" t="str">
        <f t="shared" si="10"/>
        <v/>
      </c>
      <c r="AA27" s="1"/>
      <c r="AB27" s="644" t="str">
        <f t="shared" si="3"/>
        <v/>
      </c>
      <c r="AG27" s="268" t="str">
        <f>IF($A27&lt;&gt;"",INDEX(DiemHKII!$B$4:$K$58,MATCH($A27,DiemHKII!$B$4:$B$58,0),2),"")</f>
        <v>12A1Nguyễn PhúcLâm02/04/2004</v>
      </c>
      <c r="AH27" s="674" t="str">
        <f t="shared" si="7"/>
        <v/>
      </c>
      <c r="AI27" s="672" t="str">
        <f t="shared" ca="1" si="5"/>
        <v/>
      </c>
    </row>
    <row r="28" spans="1:35" s="268" customFormat="1" ht="29.1" customHeight="1">
      <c r="A28" s="274">
        <f>IF(A27&lt;MAX(DiemHKII!$B$4:$B$58),A27+1,"")</f>
        <v>21</v>
      </c>
      <c r="B28" s="275" t="str">
        <f>IF($A28&lt;&gt;"",PROPER(INDEX(DiemHKII!$B$4:$K$58,MATCH($A28,DiemHKII!$B$4:$B$58,0),4)),"")</f>
        <v>Phạm Tấn</v>
      </c>
      <c r="C28" s="276" t="str">
        <f>IF($A28&lt;&gt;"",PROPER(INDEX(DiemHKII!$B$4:$K$58,MATCH($A28,DiemHKII!$B$4:$B$58,0),5)),"")</f>
        <v>Lộc</v>
      </c>
      <c r="D28" s="277" t="str">
        <f>IF($A28&lt;&gt;"",IF(INDEX(DiemHKII!$B$4:$K$58,MATCH($A28,DiemHKII!$B$4:$B$58,0),8)&lt;&gt;"",INDEX(DiemHKII!$B$4:$K$58,MATCH($A28,DiemHKII!$B$4:$B$58,0),8),""),"")</f>
        <v/>
      </c>
      <c r="E28" s="277" t="str">
        <f>IF($A28&lt;&gt;"",IF(INDEX(DiemHKII!$B$4:$K$58,MATCH($A28,DiemHKII!$B$4:$B$58,0),9)&lt;&gt;"",INDEX(DiemHKII!$B$4:$K$58,MATCH($A28,DiemHKII!$B$4:$B$58,0),9),""),"")</f>
        <v/>
      </c>
      <c r="F28" s="277" t="str">
        <f>IF($A28&lt;&gt;"",IF(INDEX(DiemHKII!$B$4:$K$58,MATCH($A28,DiemHKII!$B$4:$B$58,0),10)&lt;&gt;"",INDEX(DiemHKII!$B$4:$K$58,MATCH($A28,DiemHKII!$B$4:$B$58,0),10),""),"")</f>
        <v/>
      </c>
      <c r="G28" s="300" t="str">
        <f>IF($A28&lt;&gt;"",IF(INDEX(BDHK2,MATCH($A28,DiemHKII!$B$4:$B$58,0),INDEX($AD$9:$AF$22,MATCH(G$7,$AD$9:$AD$22,0),2))&lt;&gt;"",INDEX(BDHK2,MATCH($A28,DiemHKII!$B$4:$B$58,0),INDEX($AD$9:$AF$22,MATCH(G$7,$AD$9:$AD$22,0),3)),""),"")</f>
        <v/>
      </c>
      <c r="H28" s="301" t="str">
        <f>IF($A28&lt;&gt;"",IF(INDEX(BDHK2,MATCH($A28,DiemHKII!$B$4:$B$58,0),INDEX($AD$9:$AF$22,MATCH(H$7,$AD$9:$AD$22,0),2))&lt;&gt;"",INDEX(BDHK2,MATCH($A28,DiemHKII!$B$4:$B$58,0),INDEX($AD$9:$AF$22,MATCH(H$7,$AD$9:$AD$22,0),3)),""),"")</f>
        <v/>
      </c>
      <c r="I28" s="301" t="str">
        <f>IF($A28&lt;&gt;"",IF(INDEX(BDHK2,MATCH($A28,DiemHKII!$B$4:$B$58,0),INDEX($AD$9:$AF$22,MATCH(I$7,$AD$9:$AD$22,0),2))&lt;&gt;"",INDEX(BDHK2,MATCH($A28,DiemHKII!$B$4:$B$58,0),INDEX($AD$9:$AF$22,MATCH(I$7,$AD$9:$AD$22,0),3)),""),"")</f>
        <v/>
      </c>
      <c r="J28" s="301" t="str">
        <f>IF($A28&lt;&gt;"",IF(INDEX(BDHK2,MATCH($A28,DiemHKII!$B$4:$B$58,0),INDEX($AD$9:$AF$22,MATCH(J$7,$AD$9:$AD$22,0),2))&lt;&gt;"",INDEX(BDHK2,MATCH($A28,DiemHKII!$B$4:$B$58,0),INDEX($AD$9:$AF$22,MATCH(J$7,$AD$9:$AD$22,0),3)),""),"")</f>
        <v/>
      </c>
      <c r="K28" s="301" t="str">
        <f>IF($A28&lt;&gt;"",IF(INDEX(BDHK2,MATCH($A28,DiemHKII!$B$4:$B$58,0),INDEX($AD$9:$AF$22,MATCH(K$7,$AD$9:$AD$22,0),2))&lt;&gt;"",INDEX(BDHK2,MATCH($A28,DiemHKII!$B$4:$B$58,0),INDEX($AD$9:$AF$22,MATCH(K$7,$AD$9:$AD$22,0),3)),""),"")</f>
        <v/>
      </c>
      <c r="L28" s="301" t="str">
        <f>IF($A28&lt;&gt;"",IF(INDEX(BDHK2,MATCH($A28,DiemHKII!$B$4:$B$58,0),INDEX($AD$9:$AF$22,MATCH(L$7,$AD$9:$AD$22,0),2))&lt;&gt;"",INDEX(BDHK2,MATCH($A28,DiemHKII!$B$4:$B$58,0),INDEX($AD$9:$AF$22,MATCH(L$7,$AD$9:$AD$22,0),3)),""),"")</f>
        <v/>
      </c>
      <c r="M28" s="301" t="str">
        <f>IF($A28&lt;&gt;"",IF(INDEX(BDHK2,MATCH($A28,DiemHKII!$B$4:$B$58,0),INDEX($AD$9:$AF$22,MATCH(M$7,$AD$9:$AD$22,0),2))&lt;&gt;"",INDEX(BDHK2,MATCH($A28,DiemHKII!$B$4:$B$58,0),INDEX($AD$9:$AF$22,MATCH(M$7,$AD$9:$AD$22,0),3)),""),"")</f>
        <v/>
      </c>
      <c r="N28" s="301" t="str">
        <f>IF($A28&lt;&gt;"",IF(INDEX(BDHK2,MATCH($A28,DiemHKII!$B$4:$B$58,0),INDEX($AD$9:$AF$22,MATCH(N$7,$AD$9:$AD$22,0),2))&lt;&gt;"",INDEX(BDHK2,MATCH($A28,DiemHKII!$B$4:$B$58,0),INDEX($AD$9:$AF$22,MATCH(N$7,$AD$9:$AD$22,0),3)),""),"")</f>
        <v/>
      </c>
      <c r="O28" s="301" t="str">
        <f>IF($A28&lt;&gt;"",IF(INDEX(BDHK2,MATCH($A28,DiemHKII!$B$4:$B$58,0),INDEX($AD$9:$AF$22,MATCH(O$7,$AD$9:$AD$22,0),2))&lt;&gt;"",INDEX(BDHK2,MATCH($A28,DiemHKII!$B$4:$B$58,0),INDEX($AD$9:$AF$22,MATCH(O$7,$AD$9:$AD$22,0),3)),""),"")</f>
        <v/>
      </c>
      <c r="P28" s="301" t="str">
        <f>IF($A28&lt;&gt;"",IF(INDEX(BDHK2,MATCH($A28,DiemHKII!$B$4:$B$58,0),INDEX($AD$9:$AF$22,MATCH(P$7,$AD$9:$AD$22,0),2))&lt;&gt;"",INDEX(BDHK2,MATCH($A28,DiemHKII!$B$4:$B$58,0),INDEX($AD$9:$AF$22,MATCH(P$7,$AD$9:$AD$22,0),3)),""),"")</f>
        <v/>
      </c>
      <c r="Q28" s="301" t="str">
        <f>IF($A28&lt;&gt;"",IF(INDEX(BDHK2,MATCH($A28,DiemHKII!$B$4:$B$58,0),INDEX($AD$9:$AF$22,MATCH(Q$7,$AD$9:$AD$22,0),2))&lt;&gt;"",INDEX(BDHK2,MATCH($A28,DiemHKII!$B$4:$B$58,0),INDEX($AD$9:$AF$22,MATCH(Q$7,$AD$9:$AD$22,0),3)),""),"")</f>
        <v/>
      </c>
      <c r="R28" s="279" t="str">
        <f>IF($A28&lt;&gt;"",IF(INDEX(BDHK2,MATCH($A28,DiemHKII!$B$4:$B$58,0),INDEX($AD$9:$AF$22,MATCH(R$7,$AD$9:$AD$22,0),2))&lt;&gt;"",INDEX(BDHK2,MATCH($A28,DiemHKII!$B$4:$B$58,0),INDEX($AD$9:$AF$22,MATCH(R$7,$AD$9:$AD$22,0),3)),""),"")</f>
        <v/>
      </c>
      <c r="S28" s="279" t="str">
        <f t="shared" si="8"/>
        <v/>
      </c>
      <c r="T28" s="301" t="str">
        <f>IF($A28&lt;&gt;"",IF(INDEX(BDHK2,MATCH($A28,DiemHKII!$B$4:$B$58,0),INDEX($AD$9:$AF$22,MATCH(T$7,$AD$9:$AD$22,0),2))&lt;&gt;"",INDEX(BDHK2,MATCH($A28,DiemHKII!$B$4:$B$58,0),INDEX($AD$9:$AF$22,MATCH(T$7,$AD$9:$AD$22,0),3)),""),"")</f>
        <v/>
      </c>
      <c r="U28" s="302" t="str">
        <f>IF($A28&lt;&gt;"",IF(INDEX(BDHK2,MATCH($A28,DiemHKII!$B$4:$B$58,0),INDEX($AD$9:$AF$22,MATCH(U$7,$AD$9:$AD$22,0),2))&lt;&gt;"",INDEX(BDHK2,MATCH($A28,DiemHKII!$B$4:$B$58,0),INDEX($AD$9:$AF$22,MATCH(U$7,$AD$9:$AD$22,0),3)),""),"")</f>
        <v/>
      </c>
      <c r="V28" s="278" t="str">
        <f t="shared" si="11"/>
        <v/>
      </c>
      <c r="W28" s="279" t="str">
        <f t="shared" si="9"/>
        <v/>
      </c>
      <c r="X28" s="352"/>
      <c r="Y28" s="280" t="str">
        <f t="shared" si="10"/>
        <v/>
      </c>
      <c r="AA28" s="1"/>
      <c r="AB28" s="644" t="str">
        <f t="shared" si="3"/>
        <v/>
      </c>
      <c r="AG28" s="268" t="str">
        <f>IF($A28&lt;&gt;"",INDEX(DiemHKII!$B$4:$K$58,MATCH($A28,DiemHKII!$B$4:$B$58,0),2),"")</f>
        <v>12A1Phạm TấnLộc05/07/2004</v>
      </c>
      <c r="AH28" s="674" t="str">
        <f t="shared" si="7"/>
        <v/>
      </c>
      <c r="AI28" s="672" t="str">
        <f t="shared" ca="1" si="5"/>
        <v/>
      </c>
    </row>
    <row r="29" spans="1:35" s="268" customFormat="1" ht="29.1" customHeight="1">
      <c r="A29" s="281">
        <f>IF(A28&lt;MAX(DiemHKII!$B$4:$B$58),A28+1,"")</f>
        <v>22</v>
      </c>
      <c r="B29" s="282" t="str">
        <f>IF($A29&lt;&gt;"",PROPER(INDEX(DiemHKII!$B$4:$K$58,MATCH($A29,DiemHKII!$B$4:$B$58,0),4)),"")</f>
        <v xml:space="preserve">Phạm Thị Khả </v>
      </c>
      <c r="C29" s="283" t="str">
        <f>IF($A29&lt;&gt;"",PROPER(INDEX(DiemHKII!$B$4:$K$58,MATCH($A29,DiemHKII!$B$4:$B$58,0),5)),"")</f>
        <v>My</v>
      </c>
      <c r="D29" s="284" t="str">
        <f>IF($A29&lt;&gt;"",IF(INDEX(DiemHKII!$B$4:$K$58,MATCH($A29,DiemHKII!$B$4:$B$58,0),8)&lt;&gt;"",INDEX(DiemHKII!$B$4:$K$58,MATCH($A29,DiemHKII!$B$4:$B$58,0),8),""),"")</f>
        <v/>
      </c>
      <c r="E29" s="284" t="str">
        <f>IF($A29&lt;&gt;"",IF(INDEX(DiemHKII!$B$4:$K$58,MATCH($A29,DiemHKII!$B$4:$B$58,0),9)&lt;&gt;"",INDEX(DiemHKII!$B$4:$K$58,MATCH($A29,DiemHKII!$B$4:$B$58,0),9),""),"")</f>
        <v/>
      </c>
      <c r="F29" s="284" t="str">
        <f>IF($A29&lt;&gt;"",IF(INDEX(DiemHKII!$B$4:$K$58,MATCH($A29,DiemHKII!$B$4:$B$58,0),10)&lt;&gt;"",INDEX(DiemHKII!$B$4:$K$58,MATCH($A29,DiemHKII!$B$4:$B$58,0),10),""),"")</f>
        <v/>
      </c>
      <c r="G29" s="285" t="str">
        <f>IF($A29&lt;&gt;"",IF(INDEX(BDHK2,MATCH($A29,DiemHKII!$B$4:$B$58,0),INDEX($AD$9:$AF$22,MATCH(G$7,$AD$9:$AD$22,0),2))&lt;&gt;"",INDEX(BDHK2,MATCH($A29,DiemHKII!$B$4:$B$58,0),INDEX($AD$9:$AF$22,MATCH(G$7,$AD$9:$AD$22,0),3)),""),"")</f>
        <v/>
      </c>
      <c r="H29" s="286" t="str">
        <f>IF($A29&lt;&gt;"",IF(INDEX(BDHK2,MATCH($A29,DiemHKII!$B$4:$B$58,0),INDEX($AD$9:$AF$22,MATCH(H$7,$AD$9:$AD$22,0),2))&lt;&gt;"",INDEX(BDHK2,MATCH($A29,DiemHKII!$B$4:$B$58,0),INDEX($AD$9:$AF$22,MATCH(H$7,$AD$9:$AD$22,0),3)),""),"")</f>
        <v/>
      </c>
      <c r="I29" s="286" t="str">
        <f>IF($A29&lt;&gt;"",IF(INDEX(BDHK2,MATCH($A29,DiemHKII!$B$4:$B$58,0),INDEX($AD$9:$AF$22,MATCH(I$7,$AD$9:$AD$22,0),2))&lt;&gt;"",INDEX(BDHK2,MATCH($A29,DiemHKII!$B$4:$B$58,0),INDEX($AD$9:$AF$22,MATCH(I$7,$AD$9:$AD$22,0),3)),""),"")</f>
        <v/>
      </c>
      <c r="J29" s="286" t="str">
        <f>IF($A29&lt;&gt;"",IF(INDEX(BDHK2,MATCH($A29,DiemHKII!$B$4:$B$58,0),INDEX($AD$9:$AF$22,MATCH(J$7,$AD$9:$AD$22,0),2))&lt;&gt;"",INDEX(BDHK2,MATCH($A29,DiemHKII!$B$4:$B$58,0),INDEX($AD$9:$AF$22,MATCH(J$7,$AD$9:$AD$22,0),3)),""),"")</f>
        <v/>
      </c>
      <c r="K29" s="286" t="str">
        <f>IF($A29&lt;&gt;"",IF(INDEX(BDHK2,MATCH($A29,DiemHKII!$B$4:$B$58,0),INDEX($AD$9:$AF$22,MATCH(K$7,$AD$9:$AD$22,0),2))&lt;&gt;"",INDEX(BDHK2,MATCH($A29,DiemHKII!$B$4:$B$58,0),INDEX($AD$9:$AF$22,MATCH(K$7,$AD$9:$AD$22,0),3)),""),"")</f>
        <v/>
      </c>
      <c r="L29" s="286" t="str">
        <f>IF($A29&lt;&gt;"",IF(INDEX(BDHK2,MATCH($A29,DiemHKII!$B$4:$B$58,0),INDEX($AD$9:$AF$22,MATCH(L$7,$AD$9:$AD$22,0),2))&lt;&gt;"",INDEX(BDHK2,MATCH($A29,DiemHKII!$B$4:$B$58,0),INDEX($AD$9:$AF$22,MATCH(L$7,$AD$9:$AD$22,0),3)),""),"")</f>
        <v/>
      </c>
      <c r="M29" s="286" t="str">
        <f>IF($A29&lt;&gt;"",IF(INDEX(BDHK2,MATCH($A29,DiemHKII!$B$4:$B$58,0),INDEX($AD$9:$AF$22,MATCH(M$7,$AD$9:$AD$22,0),2))&lt;&gt;"",INDEX(BDHK2,MATCH($A29,DiemHKII!$B$4:$B$58,0),INDEX($AD$9:$AF$22,MATCH(M$7,$AD$9:$AD$22,0),3)),""),"")</f>
        <v/>
      </c>
      <c r="N29" s="286" t="str">
        <f>IF($A29&lt;&gt;"",IF(INDEX(BDHK2,MATCH($A29,DiemHKII!$B$4:$B$58,0),INDEX($AD$9:$AF$22,MATCH(N$7,$AD$9:$AD$22,0),2))&lt;&gt;"",INDEX(BDHK2,MATCH($A29,DiemHKII!$B$4:$B$58,0),INDEX($AD$9:$AF$22,MATCH(N$7,$AD$9:$AD$22,0),3)),""),"")</f>
        <v/>
      </c>
      <c r="O29" s="286" t="str">
        <f>IF($A29&lt;&gt;"",IF(INDEX(BDHK2,MATCH($A29,DiemHKII!$B$4:$B$58,0),INDEX($AD$9:$AF$22,MATCH(O$7,$AD$9:$AD$22,0),2))&lt;&gt;"",INDEX(BDHK2,MATCH($A29,DiemHKII!$B$4:$B$58,0),INDEX($AD$9:$AF$22,MATCH(O$7,$AD$9:$AD$22,0),3)),""),"")</f>
        <v/>
      </c>
      <c r="P29" s="286" t="str">
        <f>IF($A29&lt;&gt;"",IF(INDEX(BDHK2,MATCH($A29,DiemHKII!$B$4:$B$58,0),INDEX($AD$9:$AF$22,MATCH(P$7,$AD$9:$AD$22,0),2))&lt;&gt;"",INDEX(BDHK2,MATCH($A29,DiemHKII!$B$4:$B$58,0),INDEX($AD$9:$AF$22,MATCH(P$7,$AD$9:$AD$22,0),3)),""),"")</f>
        <v/>
      </c>
      <c r="Q29" s="286" t="str">
        <f>IF($A29&lt;&gt;"",IF(INDEX(BDHK2,MATCH($A29,DiemHKII!$B$4:$B$58,0),INDEX($AD$9:$AF$22,MATCH(Q$7,$AD$9:$AD$22,0),2))&lt;&gt;"",INDEX(BDHK2,MATCH($A29,DiemHKII!$B$4:$B$58,0),INDEX($AD$9:$AF$22,MATCH(Q$7,$AD$9:$AD$22,0),3)),""),"")</f>
        <v/>
      </c>
      <c r="R29" s="464" t="str">
        <f>IF($A29&lt;&gt;"",IF(INDEX(BDHK2,MATCH($A29,DiemHKII!$B$4:$B$58,0),INDEX($AD$9:$AF$22,MATCH(R$7,$AD$9:$AD$22,0),2))&lt;&gt;"",INDEX(BDHK2,MATCH($A29,DiemHKII!$B$4:$B$58,0),INDEX($AD$9:$AF$22,MATCH(R$7,$AD$9:$AD$22,0),3)),""),"")</f>
        <v/>
      </c>
      <c r="S29" s="464" t="str">
        <f t="shared" si="8"/>
        <v/>
      </c>
      <c r="T29" s="286" t="str">
        <f>IF($A29&lt;&gt;"",IF(INDEX(BDHK2,MATCH($A29,DiemHKII!$B$4:$B$58,0),INDEX($AD$9:$AF$22,MATCH(T$7,$AD$9:$AD$22,0),2))&lt;&gt;"",INDEX(BDHK2,MATCH($A29,DiemHKII!$B$4:$B$58,0),INDEX($AD$9:$AF$22,MATCH(T$7,$AD$9:$AD$22,0),3)),""),"")</f>
        <v/>
      </c>
      <c r="U29" s="287" t="str">
        <f>IF($A29&lt;&gt;"",IF(INDEX(BDHK2,MATCH($A29,DiemHKII!$B$4:$B$58,0),INDEX($AD$9:$AF$22,MATCH(U$7,$AD$9:$AD$22,0),2))&lt;&gt;"",INDEX(BDHK2,MATCH($A29,DiemHKII!$B$4:$B$58,0),INDEX($AD$9:$AF$22,MATCH(U$7,$AD$9:$AD$22,0),3)),""),"")</f>
        <v/>
      </c>
      <c r="V29" s="288" t="str">
        <f t="shared" si="11"/>
        <v/>
      </c>
      <c r="W29" s="464" t="str">
        <f t="shared" si="9"/>
        <v/>
      </c>
      <c r="X29" s="353"/>
      <c r="Y29" s="289" t="str">
        <f t="shared" si="10"/>
        <v/>
      </c>
      <c r="AA29" s="1"/>
      <c r="AB29" s="644" t="str">
        <f t="shared" si="3"/>
        <v/>
      </c>
      <c r="AG29" s="268" t="str">
        <f>IF($A29&lt;&gt;"",INDEX(DiemHKII!$B$4:$K$58,MATCH($A29,DiemHKII!$B$4:$B$58,0),2),"")</f>
        <v>12A1Phạm Thị KhảMy28/02/2004</v>
      </c>
      <c r="AH29" s="674" t="str">
        <f t="shared" si="7"/>
        <v/>
      </c>
      <c r="AI29" s="672" t="str">
        <f t="shared" ca="1" si="5"/>
        <v/>
      </c>
    </row>
    <row r="30" spans="1:35" s="268" customFormat="1" ht="29.1" customHeight="1">
      <c r="A30" s="281">
        <f>IF(A29&lt;MAX(DiemHKII!$B$4:$B$58),A29+1,"")</f>
        <v>23</v>
      </c>
      <c r="B30" s="282" t="str">
        <f>IF($A30&lt;&gt;"",PROPER(INDEX(DiemHKII!$B$4:$K$58,MATCH($A30,DiemHKII!$B$4:$B$58,0),4)),"")</f>
        <v>Lê</v>
      </c>
      <c r="C30" s="283" t="str">
        <f>IF($A30&lt;&gt;"",PROPER(INDEX(DiemHKII!$B$4:$K$58,MATCH($A30,DiemHKII!$B$4:$B$58,0),5)),"")</f>
        <v>Na</v>
      </c>
      <c r="D30" s="284" t="str">
        <f>IF($A30&lt;&gt;"",IF(INDEX(DiemHKII!$B$4:$K$58,MATCH($A30,DiemHKII!$B$4:$B$58,0),8)&lt;&gt;"",INDEX(DiemHKII!$B$4:$K$58,MATCH($A30,DiemHKII!$B$4:$B$58,0),8),""),"")</f>
        <v/>
      </c>
      <c r="E30" s="284" t="str">
        <f>IF($A30&lt;&gt;"",IF(INDEX(DiemHKII!$B$4:$K$58,MATCH($A30,DiemHKII!$B$4:$B$58,0),9)&lt;&gt;"",INDEX(DiemHKII!$B$4:$K$58,MATCH($A30,DiemHKII!$B$4:$B$58,0),9),""),"")</f>
        <v/>
      </c>
      <c r="F30" s="284" t="str">
        <f>IF($A30&lt;&gt;"",IF(INDEX(DiemHKII!$B$4:$K$58,MATCH($A30,DiemHKII!$B$4:$B$58,0),10)&lt;&gt;"",INDEX(DiemHKII!$B$4:$K$58,MATCH($A30,DiemHKII!$B$4:$B$58,0),10),""),"")</f>
        <v/>
      </c>
      <c r="G30" s="285" t="str">
        <f>IF($A30&lt;&gt;"",IF(INDEX(BDHK2,MATCH($A30,DiemHKII!$B$4:$B$58,0),INDEX($AD$9:$AF$22,MATCH(G$7,$AD$9:$AD$22,0),2))&lt;&gt;"",INDEX(BDHK2,MATCH($A30,DiemHKII!$B$4:$B$58,0),INDEX($AD$9:$AF$22,MATCH(G$7,$AD$9:$AD$22,0),3)),""),"")</f>
        <v/>
      </c>
      <c r="H30" s="286" t="str">
        <f>IF($A30&lt;&gt;"",IF(INDEX(BDHK2,MATCH($A30,DiemHKII!$B$4:$B$58,0),INDEX($AD$9:$AF$22,MATCH(H$7,$AD$9:$AD$22,0),2))&lt;&gt;"",INDEX(BDHK2,MATCH($A30,DiemHKII!$B$4:$B$58,0),INDEX($AD$9:$AF$22,MATCH(H$7,$AD$9:$AD$22,0),3)),""),"")</f>
        <v/>
      </c>
      <c r="I30" s="286" t="str">
        <f>IF($A30&lt;&gt;"",IF(INDEX(BDHK2,MATCH($A30,DiemHKII!$B$4:$B$58,0),INDEX($AD$9:$AF$22,MATCH(I$7,$AD$9:$AD$22,0),2))&lt;&gt;"",INDEX(BDHK2,MATCH($A30,DiemHKII!$B$4:$B$58,0),INDEX($AD$9:$AF$22,MATCH(I$7,$AD$9:$AD$22,0),3)),""),"")</f>
        <v/>
      </c>
      <c r="J30" s="286" t="str">
        <f>IF($A30&lt;&gt;"",IF(INDEX(BDHK2,MATCH($A30,DiemHKII!$B$4:$B$58,0),INDEX($AD$9:$AF$22,MATCH(J$7,$AD$9:$AD$22,0),2))&lt;&gt;"",INDEX(BDHK2,MATCH($A30,DiemHKII!$B$4:$B$58,0),INDEX($AD$9:$AF$22,MATCH(J$7,$AD$9:$AD$22,0),3)),""),"")</f>
        <v/>
      </c>
      <c r="K30" s="286" t="str">
        <f>IF($A30&lt;&gt;"",IF(INDEX(BDHK2,MATCH($A30,DiemHKII!$B$4:$B$58,0),INDEX($AD$9:$AF$22,MATCH(K$7,$AD$9:$AD$22,0),2))&lt;&gt;"",INDEX(BDHK2,MATCH($A30,DiemHKII!$B$4:$B$58,0),INDEX($AD$9:$AF$22,MATCH(K$7,$AD$9:$AD$22,0),3)),""),"")</f>
        <v/>
      </c>
      <c r="L30" s="286" t="str">
        <f>IF($A30&lt;&gt;"",IF(INDEX(BDHK2,MATCH($A30,DiemHKII!$B$4:$B$58,0),INDEX($AD$9:$AF$22,MATCH(L$7,$AD$9:$AD$22,0),2))&lt;&gt;"",INDEX(BDHK2,MATCH($A30,DiemHKII!$B$4:$B$58,0),INDEX($AD$9:$AF$22,MATCH(L$7,$AD$9:$AD$22,0),3)),""),"")</f>
        <v/>
      </c>
      <c r="M30" s="286" t="str">
        <f>IF($A30&lt;&gt;"",IF(INDEX(BDHK2,MATCH($A30,DiemHKII!$B$4:$B$58,0),INDEX($AD$9:$AF$22,MATCH(M$7,$AD$9:$AD$22,0),2))&lt;&gt;"",INDEX(BDHK2,MATCH($A30,DiemHKII!$B$4:$B$58,0),INDEX($AD$9:$AF$22,MATCH(M$7,$AD$9:$AD$22,0),3)),""),"")</f>
        <v/>
      </c>
      <c r="N30" s="286" t="str">
        <f>IF($A30&lt;&gt;"",IF(INDEX(BDHK2,MATCH($A30,DiemHKII!$B$4:$B$58,0),INDEX($AD$9:$AF$22,MATCH(N$7,$AD$9:$AD$22,0),2))&lt;&gt;"",INDEX(BDHK2,MATCH($A30,DiemHKII!$B$4:$B$58,0),INDEX($AD$9:$AF$22,MATCH(N$7,$AD$9:$AD$22,0),3)),""),"")</f>
        <v/>
      </c>
      <c r="O30" s="286" t="str">
        <f>IF($A30&lt;&gt;"",IF(INDEX(BDHK2,MATCH($A30,DiemHKII!$B$4:$B$58,0),INDEX($AD$9:$AF$22,MATCH(O$7,$AD$9:$AD$22,0),2))&lt;&gt;"",INDEX(BDHK2,MATCH($A30,DiemHKII!$B$4:$B$58,0),INDEX($AD$9:$AF$22,MATCH(O$7,$AD$9:$AD$22,0),3)),""),"")</f>
        <v/>
      </c>
      <c r="P30" s="286" t="str">
        <f>IF($A30&lt;&gt;"",IF(INDEX(BDHK2,MATCH($A30,DiemHKII!$B$4:$B$58,0),INDEX($AD$9:$AF$22,MATCH(P$7,$AD$9:$AD$22,0),2))&lt;&gt;"",INDEX(BDHK2,MATCH($A30,DiemHKII!$B$4:$B$58,0),INDEX($AD$9:$AF$22,MATCH(P$7,$AD$9:$AD$22,0),3)),""),"")</f>
        <v/>
      </c>
      <c r="Q30" s="286" t="str">
        <f>IF($A30&lt;&gt;"",IF(INDEX(BDHK2,MATCH($A30,DiemHKII!$B$4:$B$58,0),INDEX($AD$9:$AF$22,MATCH(Q$7,$AD$9:$AD$22,0),2))&lt;&gt;"",INDEX(BDHK2,MATCH($A30,DiemHKII!$B$4:$B$58,0),INDEX($AD$9:$AF$22,MATCH(Q$7,$AD$9:$AD$22,0),3)),""),"")</f>
        <v/>
      </c>
      <c r="R30" s="464" t="str">
        <f>IF($A30&lt;&gt;"",IF(INDEX(BDHK2,MATCH($A30,DiemHKII!$B$4:$B$58,0),INDEX($AD$9:$AF$22,MATCH(R$7,$AD$9:$AD$22,0),2))&lt;&gt;"",INDEX(BDHK2,MATCH($A30,DiemHKII!$B$4:$B$58,0),INDEX($AD$9:$AF$22,MATCH(R$7,$AD$9:$AD$22,0),3)),""),"")</f>
        <v/>
      </c>
      <c r="S30" s="464" t="str">
        <f t="shared" si="8"/>
        <v/>
      </c>
      <c r="T30" s="286" t="str">
        <f>IF($A30&lt;&gt;"",IF(INDEX(BDHK2,MATCH($A30,DiemHKII!$B$4:$B$58,0),INDEX($AD$9:$AF$22,MATCH(T$7,$AD$9:$AD$22,0),2))&lt;&gt;"",INDEX(BDHK2,MATCH($A30,DiemHKII!$B$4:$B$58,0),INDEX($AD$9:$AF$22,MATCH(T$7,$AD$9:$AD$22,0),3)),""),"")</f>
        <v/>
      </c>
      <c r="U30" s="287" t="str">
        <f>IF($A30&lt;&gt;"",IF(INDEX(BDHK2,MATCH($A30,DiemHKII!$B$4:$B$58,0),INDEX($AD$9:$AF$22,MATCH(U$7,$AD$9:$AD$22,0),2))&lt;&gt;"",INDEX(BDHK2,MATCH($A30,DiemHKII!$B$4:$B$58,0),INDEX($AD$9:$AF$22,MATCH(U$7,$AD$9:$AD$22,0),3)),""),"")</f>
        <v/>
      </c>
      <c r="V30" s="288" t="str">
        <f t="shared" si="11"/>
        <v/>
      </c>
      <c r="W30" s="464" t="str">
        <f t="shared" si="9"/>
        <v/>
      </c>
      <c r="X30" s="353"/>
      <c r="Y30" s="289" t="str">
        <f t="shared" si="10"/>
        <v/>
      </c>
      <c r="AA30" s="1"/>
      <c r="AB30" s="644" t="str">
        <f t="shared" si="3"/>
        <v/>
      </c>
      <c r="AG30" s="268" t="str">
        <f>IF($A30&lt;&gt;"",INDEX(DiemHKII!$B$4:$K$58,MATCH($A30,DiemHKII!$B$4:$B$58,0),2),"")</f>
        <v>12A1LêNa29/02/2004</v>
      </c>
      <c r="AH30" s="674" t="str">
        <f t="shared" si="7"/>
        <v/>
      </c>
      <c r="AI30" s="672" t="str">
        <f t="shared" ca="1" si="5"/>
        <v/>
      </c>
    </row>
    <row r="31" spans="1:35" s="268" customFormat="1" ht="29.1" customHeight="1">
      <c r="A31" s="281">
        <f>IF(A30&lt;MAX(DiemHKII!$B$4:$B$58),A30+1,"")</f>
        <v>24</v>
      </c>
      <c r="B31" s="282" t="str">
        <f>IF($A31&lt;&gt;"",PROPER(INDEX(DiemHKII!$B$4:$K$58,MATCH($A31,DiemHKII!$B$4:$B$58,0),4)),"")</f>
        <v>Quách Tống Minh</v>
      </c>
      <c r="C31" s="283" t="str">
        <f>IF($A31&lt;&gt;"",PROPER(INDEX(DiemHKII!$B$4:$K$58,MATCH($A31,DiemHKII!$B$4:$B$58,0),5)),"")</f>
        <v>Nhật</v>
      </c>
      <c r="D31" s="284" t="str">
        <f>IF($A31&lt;&gt;"",IF(INDEX(DiemHKII!$B$4:$K$58,MATCH($A31,DiemHKII!$B$4:$B$58,0),8)&lt;&gt;"",INDEX(DiemHKII!$B$4:$K$58,MATCH($A31,DiemHKII!$B$4:$B$58,0),8),""),"")</f>
        <v/>
      </c>
      <c r="E31" s="284" t="str">
        <f>IF($A31&lt;&gt;"",IF(INDEX(DiemHKII!$B$4:$K$58,MATCH($A31,DiemHKII!$B$4:$B$58,0),9)&lt;&gt;"",INDEX(DiemHKII!$B$4:$K$58,MATCH($A31,DiemHKII!$B$4:$B$58,0),9),""),"")</f>
        <v/>
      </c>
      <c r="F31" s="284" t="str">
        <f>IF($A31&lt;&gt;"",IF(INDEX(DiemHKII!$B$4:$K$58,MATCH($A31,DiemHKII!$B$4:$B$58,0),10)&lt;&gt;"",INDEX(DiemHKII!$B$4:$K$58,MATCH($A31,DiemHKII!$B$4:$B$58,0),10),""),"")</f>
        <v/>
      </c>
      <c r="G31" s="285" t="str">
        <f>IF($A31&lt;&gt;"",IF(INDEX(BDHK2,MATCH($A31,DiemHKII!$B$4:$B$58,0),INDEX($AD$9:$AF$22,MATCH(G$7,$AD$9:$AD$22,0),2))&lt;&gt;"",INDEX(BDHK2,MATCH($A31,DiemHKII!$B$4:$B$58,0),INDEX($AD$9:$AF$22,MATCH(G$7,$AD$9:$AD$22,0),3)),""),"")</f>
        <v/>
      </c>
      <c r="H31" s="286" t="str">
        <f>IF($A31&lt;&gt;"",IF(INDEX(BDHK2,MATCH($A31,DiemHKII!$B$4:$B$58,0),INDEX($AD$9:$AF$22,MATCH(H$7,$AD$9:$AD$22,0),2))&lt;&gt;"",INDEX(BDHK2,MATCH($A31,DiemHKII!$B$4:$B$58,0),INDEX($AD$9:$AF$22,MATCH(H$7,$AD$9:$AD$22,0),3)),""),"")</f>
        <v/>
      </c>
      <c r="I31" s="286" t="str">
        <f>IF($A31&lt;&gt;"",IF(INDEX(BDHK2,MATCH($A31,DiemHKII!$B$4:$B$58,0),INDEX($AD$9:$AF$22,MATCH(I$7,$AD$9:$AD$22,0),2))&lt;&gt;"",INDEX(BDHK2,MATCH($A31,DiemHKII!$B$4:$B$58,0),INDEX($AD$9:$AF$22,MATCH(I$7,$AD$9:$AD$22,0),3)),""),"")</f>
        <v/>
      </c>
      <c r="J31" s="286" t="str">
        <f>IF($A31&lt;&gt;"",IF(INDEX(BDHK2,MATCH($A31,DiemHKII!$B$4:$B$58,0),INDEX($AD$9:$AF$22,MATCH(J$7,$AD$9:$AD$22,0),2))&lt;&gt;"",INDEX(BDHK2,MATCH($A31,DiemHKII!$B$4:$B$58,0),INDEX($AD$9:$AF$22,MATCH(J$7,$AD$9:$AD$22,0),3)),""),"")</f>
        <v/>
      </c>
      <c r="K31" s="286" t="str">
        <f>IF($A31&lt;&gt;"",IF(INDEX(BDHK2,MATCH($A31,DiemHKII!$B$4:$B$58,0),INDEX($AD$9:$AF$22,MATCH(K$7,$AD$9:$AD$22,0),2))&lt;&gt;"",INDEX(BDHK2,MATCH($A31,DiemHKII!$B$4:$B$58,0),INDEX($AD$9:$AF$22,MATCH(K$7,$AD$9:$AD$22,0),3)),""),"")</f>
        <v/>
      </c>
      <c r="L31" s="286" t="str">
        <f>IF($A31&lt;&gt;"",IF(INDEX(BDHK2,MATCH($A31,DiemHKII!$B$4:$B$58,0),INDEX($AD$9:$AF$22,MATCH(L$7,$AD$9:$AD$22,0),2))&lt;&gt;"",INDEX(BDHK2,MATCH($A31,DiemHKII!$B$4:$B$58,0),INDEX($AD$9:$AF$22,MATCH(L$7,$AD$9:$AD$22,0),3)),""),"")</f>
        <v/>
      </c>
      <c r="M31" s="286" t="str">
        <f>IF($A31&lt;&gt;"",IF(INDEX(BDHK2,MATCH($A31,DiemHKII!$B$4:$B$58,0),INDEX($AD$9:$AF$22,MATCH(M$7,$AD$9:$AD$22,0),2))&lt;&gt;"",INDEX(BDHK2,MATCH($A31,DiemHKII!$B$4:$B$58,0),INDEX($AD$9:$AF$22,MATCH(M$7,$AD$9:$AD$22,0),3)),""),"")</f>
        <v/>
      </c>
      <c r="N31" s="286" t="str">
        <f>IF($A31&lt;&gt;"",IF(INDEX(BDHK2,MATCH($A31,DiemHKII!$B$4:$B$58,0),INDEX($AD$9:$AF$22,MATCH(N$7,$AD$9:$AD$22,0),2))&lt;&gt;"",INDEX(BDHK2,MATCH($A31,DiemHKII!$B$4:$B$58,0),INDEX($AD$9:$AF$22,MATCH(N$7,$AD$9:$AD$22,0),3)),""),"")</f>
        <v/>
      </c>
      <c r="O31" s="286" t="str">
        <f>IF($A31&lt;&gt;"",IF(INDEX(BDHK2,MATCH($A31,DiemHKII!$B$4:$B$58,0),INDEX($AD$9:$AF$22,MATCH(O$7,$AD$9:$AD$22,0),2))&lt;&gt;"",INDEX(BDHK2,MATCH($A31,DiemHKII!$B$4:$B$58,0),INDEX($AD$9:$AF$22,MATCH(O$7,$AD$9:$AD$22,0),3)),""),"")</f>
        <v/>
      </c>
      <c r="P31" s="286" t="str">
        <f>IF($A31&lt;&gt;"",IF(INDEX(BDHK2,MATCH($A31,DiemHKII!$B$4:$B$58,0),INDEX($AD$9:$AF$22,MATCH(P$7,$AD$9:$AD$22,0),2))&lt;&gt;"",INDEX(BDHK2,MATCH($A31,DiemHKII!$B$4:$B$58,0),INDEX($AD$9:$AF$22,MATCH(P$7,$AD$9:$AD$22,0),3)),""),"")</f>
        <v/>
      </c>
      <c r="Q31" s="286" t="str">
        <f>IF($A31&lt;&gt;"",IF(INDEX(BDHK2,MATCH($A31,DiemHKII!$B$4:$B$58,0),INDEX($AD$9:$AF$22,MATCH(Q$7,$AD$9:$AD$22,0),2))&lt;&gt;"",INDEX(BDHK2,MATCH($A31,DiemHKII!$B$4:$B$58,0),INDEX($AD$9:$AF$22,MATCH(Q$7,$AD$9:$AD$22,0),3)),""),"")</f>
        <v/>
      </c>
      <c r="R31" s="464" t="str">
        <f>IF($A31&lt;&gt;"",IF(INDEX(BDHK2,MATCH($A31,DiemHKII!$B$4:$B$58,0),INDEX($AD$9:$AF$22,MATCH(R$7,$AD$9:$AD$22,0),2))&lt;&gt;"",INDEX(BDHK2,MATCH($A31,DiemHKII!$B$4:$B$58,0),INDEX($AD$9:$AF$22,MATCH(R$7,$AD$9:$AD$22,0),3)),""),"")</f>
        <v/>
      </c>
      <c r="S31" s="464" t="str">
        <f t="shared" si="8"/>
        <v/>
      </c>
      <c r="T31" s="286" t="str">
        <f>IF($A31&lt;&gt;"",IF(INDEX(BDHK2,MATCH($A31,DiemHKII!$B$4:$B$58,0),INDEX($AD$9:$AF$22,MATCH(T$7,$AD$9:$AD$22,0),2))&lt;&gt;"",INDEX(BDHK2,MATCH($A31,DiemHKII!$B$4:$B$58,0),INDEX($AD$9:$AF$22,MATCH(T$7,$AD$9:$AD$22,0),3)),""),"")</f>
        <v/>
      </c>
      <c r="U31" s="287" t="str">
        <f>IF($A31&lt;&gt;"",IF(INDEX(BDHK2,MATCH($A31,DiemHKII!$B$4:$B$58,0),INDEX($AD$9:$AF$22,MATCH(U$7,$AD$9:$AD$22,0),2))&lt;&gt;"",INDEX(BDHK2,MATCH($A31,DiemHKII!$B$4:$B$58,0),INDEX($AD$9:$AF$22,MATCH(U$7,$AD$9:$AD$22,0),3)),""),"")</f>
        <v/>
      </c>
      <c r="V31" s="288" t="str">
        <f t="shared" si="11"/>
        <v/>
      </c>
      <c r="W31" s="464" t="str">
        <f t="shared" si="9"/>
        <v/>
      </c>
      <c r="X31" s="353"/>
      <c r="Y31" s="289" t="str">
        <f t="shared" si="10"/>
        <v/>
      </c>
      <c r="AA31" s="1"/>
      <c r="AB31" s="644" t="str">
        <f t="shared" si="3"/>
        <v/>
      </c>
      <c r="AG31" s="268" t="str">
        <f>IF($A31&lt;&gt;"",INDEX(DiemHKII!$B$4:$K$58,MATCH($A31,DiemHKII!$B$4:$B$58,0),2),"")</f>
        <v>12A1Quách Tống MinhNhật01/12/2004</v>
      </c>
      <c r="AH31" s="674" t="str">
        <f t="shared" si="7"/>
        <v/>
      </c>
      <c r="AI31" s="672" t="str">
        <f t="shared" ca="1" si="5"/>
        <v/>
      </c>
    </row>
    <row r="32" spans="1:35" s="268" customFormat="1" ht="29.1" customHeight="1" thickBot="1">
      <c r="A32" s="290">
        <f>IF(A31&lt;MAX(DiemHKII!$B$4:$B$58),A31+1,"")</f>
        <v>25</v>
      </c>
      <c r="B32" s="291" t="str">
        <f>IF($A32&lt;&gt;"",PROPER(INDEX(DiemHKII!$B$4:$K$58,MATCH($A32,DiemHKII!$B$4:$B$58,0),4)),"")</f>
        <v>Nguyễn Thục</v>
      </c>
      <c r="C32" s="292" t="str">
        <f>IF($A32&lt;&gt;"",PROPER(INDEX(DiemHKII!$B$4:$K$58,MATCH($A32,DiemHKII!$B$4:$B$58,0),5)),"")</f>
        <v>Nhi</v>
      </c>
      <c r="D32" s="293" t="str">
        <f>IF($A32&lt;&gt;"",IF(INDEX(DiemHKII!$B$4:$K$58,MATCH($A32,DiemHKII!$B$4:$B$58,0),8)&lt;&gt;"",INDEX(DiemHKII!$B$4:$K$58,MATCH($A32,DiemHKII!$B$4:$B$58,0),8),""),"")</f>
        <v/>
      </c>
      <c r="E32" s="293" t="str">
        <f>IF($A32&lt;&gt;"",IF(INDEX(DiemHKII!$B$4:$K$58,MATCH($A32,DiemHKII!$B$4:$B$58,0),9)&lt;&gt;"",INDEX(DiemHKII!$B$4:$K$58,MATCH($A32,DiemHKII!$B$4:$B$58,0),9),""),"")</f>
        <v/>
      </c>
      <c r="F32" s="293" t="str">
        <f>IF($A32&lt;&gt;"",IF(INDEX(DiemHKII!$B$4:$K$58,MATCH($A32,DiemHKII!$B$4:$B$58,0),10)&lt;&gt;"",INDEX(DiemHKII!$B$4:$K$58,MATCH($A32,DiemHKII!$B$4:$B$58,0),10),""),"")</f>
        <v/>
      </c>
      <c r="G32" s="294" t="str">
        <f>IF($A32&lt;&gt;"",IF(INDEX(BDHK2,MATCH($A32,DiemHKII!$B$4:$B$58,0),INDEX($AD$9:$AF$22,MATCH(G$7,$AD$9:$AD$22,0),2))&lt;&gt;"",INDEX(BDHK2,MATCH($A32,DiemHKII!$B$4:$B$58,0),INDEX($AD$9:$AF$22,MATCH(G$7,$AD$9:$AD$22,0),3)),""),"")</f>
        <v/>
      </c>
      <c r="H32" s="295" t="str">
        <f>IF($A32&lt;&gt;"",IF(INDEX(BDHK2,MATCH($A32,DiemHKII!$B$4:$B$58,0),INDEX($AD$9:$AF$22,MATCH(H$7,$AD$9:$AD$22,0),2))&lt;&gt;"",INDEX(BDHK2,MATCH($A32,DiemHKII!$B$4:$B$58,0),INDEX($AD$9:$AF$22,MATCH(H$7,$AD$9:$AD$22,0),3)),""),"")</f>
        <v/>
      </c>
      <c r="I32" s="295" t="str">
        <f>IF($A32&lt;&gt;"",IF(INDEX(BDHK2,MATCH($A32,DiemHKII!$B$4:$B$58,0),INDEX($AD$9:$AF$22,MATCH(I$7,$AD$9:$AD$22,0),2))&lt;&gt;"",INDEX(BDHK2,MATCH($A32,DiemHKII!$B$4:$B$58,0),INDEX($AD$9:$AF$22,MATCH(I$7,$AD$9:$AD$22,0),3)),""),"")</f>
        <v/>
      </c>
      <c r="J32" s="295" t="str">
        <f>IF($A32&lt;&gt;"",IF(INDEX(BDHK2,MATCH($A32,DiemHKII!$B$4:$B$58,0),INDEX($AD$9:$AF$22,MATCH(J$7,$AD$9:$AD$22,0),2))&lt;&gt;"",INDEX(BDHK2,MATCH($A32,DiemHKII!$B$4:$B$58,0),INDEX($AD$9:$AF$22,MATCH(J$7,$AD$9:$AD$22,0),3)),""),"")</f>
        <v/>
      </c>
      <c r="K32" s="295" t="str">
        <f>IF($A32&lt;&gt;"",IF(INDEX(BDHK2,MATCH($A32,DiemHKII!$B$4:$B$58,0),INDEX($AD$9:$AF$22,MATCH(K$7,$AD$9:$AD$22,0),2))&lt;&gt;"",INDEX(BDHK2,MATCH($A32,DiemHKII!$B$4:$B$58,0),INDEX($AD$9:$AF$22,MATCH(K$7,$AD$9:$AD$22,0),3)),""),"")</f>
        <v/>
      </c>
      <c r="L32" s="295" t="str">
        <f>IF($A32&lt;&gt;"",IF(INDEX(BDHK2,MATCH($A32,DiemHKII!$B$4:$B$58,0),INDEX($AD$9:$AF$22,MATCH(L$7,$AD$9:$AD$22,0),2))&lt;&gt;"",INDEX(BDHK2,MATCH($A32,DiemHKII!$B$4:$B$58,0),INDEX($AD$9:$AF$22,MATCH(L$7,$AD$9:$AD$22,0),3)),""),"")</f>
        <v/>
      </c>
      <c r="M32" s="295" t="str">
        <f>IF($A32&lt;&gt;"",IF(INDEX(BDHK2,MATCH($A32,DiemHKII!$B$4:$B$58,0),INDEX($AD$9:$AF$22,MATCH(M$7,$AD$9:$AD$22,0),2))&lt;&gt;"",INDEX(BDHK2,MATCH($A32,DiemHKII!$B$4:$B$58,0),INDEX($AD$9:$AF$22,MATCH(M$7,$AD$9:$AD$22,0),3)),""),"")</f>
        <v/>
      </c>
      <c r="N32" s="295" t="str">
        <f>IF($A32&lt;&gt;"",IF(INDEX(BDHK2,MATCH($A32,DiemHKII!$B$4:$B$58,0),INDEX($AD$9:$AF$22,MATCH(N$7,$AD$9:$AD$22,0),2))&lt;&gt;"",INDEX(BDHK2,MATCH($A32,DiemHKII!$B$4:$B$58,0),INDEX($AD$9:$AF$22,MATCH(N$7,$AD$9:$AD$22,0),3)),""),"")</f>
        <v/>
      </c>
      <c r="O32" s="295" t="str">
        <f>IF($A32&lt;&gt;"",IF(INDEX(BDHK2,MATCH($A32,DiemHKII!$B$4:$B$58,0),INDEX($AD$9:$AF$22,MATCH(O$7,$AD$9:$AD$22,0),2))&lt;&gt;"",INDEX(BDHK2,MATCH($A32,DiemHKII!$B$4:$B$58,0),INDEX($AD$9:$AF$22,MATCH(O$7,$AD$9:$AD$22,0),3)),""),"")</f>
        <v/>
      </c>
      <c r="P32" s="295" t="str">
        <f>IF($A32&lt;&gt;"",IF(INDEX(BDHK2,MATCH($A32,DiemHKII!$B$4:$B$58,0),INDEX($AD$9:$AF$22,MATCH(P$7,$AD$9:$AD$22,0),2))&lt;&gt;"",INDEX(BDHK2,MATCH($A32,DiemHKII!$B$4:$B$58,0),INDEX($AD$9:$AF$22,MATCH(P$7,$AD$9:$AD$22,0),3)),""),"")</f>
        <v/>
      </c>
      <c r="Q32" s="295" t="str">
        <f>IF($A32&lt;&gt;"",IF(INDEX(BDHK2,MATCH($A32,DiemHKII!$B$4:$B$58,0),INDEX($AD$9:$AF$22,MATCH(Q$7,$AD$9:$AD$22,0),2))&lt;&gt;"",INDEX(BDHK2,MATCH($A32,DiemHKII!$B$4:$B$58,0),INDEX($AD$9:$AF$22,MATCH(Q$7,$AD$9:$AD$22,0),3)),""),"")</f>
        <v/>
      </c>
      <c r="R32" s="296" t="str">
        <f>IF($A32&lt;&gt;"",IF(INDEX(BDHK2,MATCH($A32,DiemHKII!$B$4:$B$58,0),INDEX($AD$9:$AF$22,MATCH(R$7,$AD$9:$AD$22,0),2))&lt;&gt;"",INDEX(BDHK2,MATCH($A32,DiemHKII!$B$4:$B$58,0),INDEX($AD$9:$AF$22,MATCH(R$7,$AD$9:$AD$22,0),3)),""),"")</f>
        <v/>
      </c>
      <c r="S32" s="296" t="str">
        <f t="shared" si="8"/>
        <v/>
      </c>
      <c r="T32" s="295" t="str">
        <f>IF($A32&lt;&gt;"",IF(INDEX(BDHK2,MATCH($A32,DiemHKII!$B$4:$B$58,0),INDEX($AD$9:$AF$22,MATCH(T$7,$AD$9:$AD$22,0),2))&lt;&gt;"",INDEX(BDHK2,MATCH($A32,DiemHKII!$B$4:$B$58,0),INDEX($AD$9:$AF$22,MATCH(T$7,$AD$9:$AD$22,0),3)),""),"")</f>
        <v/>
      </c>
      <c r="U32" s="297" t="str">
        <f>IF($A32&lt;&gt;"",IF(INDEX(BDHK2,MATCH($A32,DiemHKII!$B$4:$B$58,0),INDEX($AD$9:$AF$22,MATCH(U$7,$AD$9:$AD$22,0),2))&lt;&gt;"",INDEX(BDHK2,MATCH($A32,DiemHKII!$B$4:$B$58,0),INDEX($AD$9:$AF$22,MATCH(U$7,$AD$9:$AD$22,0),3)),""),"")</f>
        <v/>
      </c>
      <c r="V32" s="298" t="str">
        <f t="shared" si="11"/>
        <v/>
      </c>
      <c r="W32" s="296" t="str">
        <f t="shared" si="9"/>
        <v/>
      </c>
      <c r="X32" s="354"/>
      <c r="Y32" s="299" t="str">
        <f t="shared" si="10"/>
        <v/>
      </c>
      <c r="AA32" s="1"/>
      <c r="AB32" s="644" t="str">
        <f t="shared" si="3"/>
        <v/>
      </c>
      <c r="AG32" s="268" t="str">
        <f>IF($A32&lt;&gt;"",INDEX(DiemHKII!$B$4:$K$58,MATCH($A32,DiemHKII!$B$4:$B$58,0),2),"")</f>
        <v>12A1Nguyễn ThụcNhi04/10/2004</v>
      </c>
      <c r="AH32" s="674" t="str">
        <f t="shared" si="7"/>
        <v/>
      </c>
      <c r="AI32" s="672" t="str">
        <f t="shared" ca="1" si="5"/>
        <v/>
      </c>
    </row>
    <row r="33" spans="1:35" s="268" customFormat="1" ht="29.1" customHeight="1">
      <c r="A33" s="274">
        <f>IF(A32&lt;MAX(DiemHKII!$B$4:$B$58),A32+1,"")</f>
        <v>26</v>
      </c>
      <c r="B33" s="275" t="str">
        <f>IF($A33&lt;&gt;"",PROPER(INDEX(DiemHKII!$B$4:$K$58,MATCH($A33,DiemHKII!$B$4:$B$58,0),4)),"")</f>
        <v>Trần Thị Hải</v>
      </c>
      <c r="C33" s="276" t="str">
        <f>IF($A33&lt;&gt;"",PROPER(INDEX(DiemHKII!$B$4:$K$58,MATCH($A33,DiemHKII!$B$4:$B$58,0),5)),"")</f>
        <v>Như</v>
      </c>
      <c r="D33" s="277" t="str">
        <f>IF($A33&lt;&gt;"",IF(INDEX(DiemHKII!$B$4:$K$58,MATCH($A33,DiemHKII!$B$4:$B$58,0),8)&lt;&gt;"",INDEX(DiemHKII!$B$4:$K$58,MATCH($A33,DiemHKII!$B$4:$B$58,0),8),""),"")</f>
        <v/>
      </c>
      <c r="E33" s="277" t="str">
        <f>IF($A33&lt;&gt;"",IF(INDEX(DiemHKII!$B$4:$K$58,MATCH($A33,DiemHKII!$B$4:$B$58,0),9)&lt;&gt;"",INDEX(DiemHKII!$B$4:$K$58,MATCH($A33,DiemHKII!$B$4:$B$58,0),9),""),"")</f>
        <v/>
      </c>
      <c r="F33" s="277" t="str">
        <f>IF($A33&lt;&gt;"",IF(INDEX(DiemHKII!$B$4:$K$58,MATCH($A33,DiemHKII!$B$4:$B$58,0),10)&lt;&gt;"",INDEX(DiemHKII!$B$4:$K$58,MATCH($A33,DiemHKII!$B$4:$B$58,0),10),""),"")</f>
        <v/>
      </c>
      <c r="G33" s="300" t="str">
        <f>IF($A33&lt;&gt;"",IF(INDEX(BDHK2,MATCH($A33,DiemHKII!$B$4:$B$58,0),INDEX($AD$9:$AF$22,MATCH(G$7,$AD$9:$AD$22,0),2))&lt;&gt;"",INDEX(BDHK2,MATCH($A33,DiemHKII!$B$4:$B$58,0),INDEX($AD$9:$AF$22,MATCH(G$7,$AD$9:$AD$22,0),3)),""),"")</f>
        <v/>
      </c>
      <c r="H33" s="301" t="str">
        <f>IF($A33&lt;&gt;"",IF(INDEX(BDHK2,MATCH($A33,DiemHKII!$B$4:$B$58,0),INDEX($AD$9:$AF$22,MATCH(H$7,$AD$9:$AD$22,0),2))&lt;&gt;"",INDEX(BDHK2,MATCH($A33,DiemHKII!$B$4:$B$58,0),INDEX($AD$9:$AF$22,MATCH(H$7,$AD$9:$AD$22,0),3)),""),"")</f>
        <v/>
      </c>
      <c r="I33" s="301" t="str">
        <f>IF($A33&lt;&gt;"",IF(INDEX(BDHK2,MATCH($A33,DiemHKII!$B$4:$B$58,0),INDEX($AD$9:$AF$22,MATCH(I$7,$AD$9:$AD$22,0),2))&lt;&gt;"",INDEX(BDHK2,MATCH($A33,DiemHKII!$B$4:$B$58,0),INDEX($AD$9:$AF$22,MATCH(I$7,$AD$9:$AD$22,0),3)),""),"")</f>
        <v/>
      </c>
      <c r="J33" s="301" t="str">
        <f>IF($A33&lt;&gt;"",IF(INDEX(BDHK2,MATCH($A33,DiemHKII!$B$4:$B$58,0),INDEX($AD$9:$AF$22,MATCH(J$7,$AD$9:$AD$22,0),2))&lt;&gt;"",INDEX(BDHK2,MATCH($A33,DiemHKII!$B$4:$B$58,0),INDEX($AD$9:$AF$22,MATCH(J$7,$AD$9:$AD$22,0),3)),""),"")</f>
        <v/>
      </c>
      <c r="K33" s="301" t="str">
        <f>IF($A33&lt;&gt;"",IF(INDEX(BDHK2,MATCH($A33,DiemHKII!$B$4:$B$58,0),INDEX($AD$9:$AF$22,MATCH(K$7,$AD$9:$AD$22,0),2))&lt;&gt;"",INDEX(BDHK2,MATCH($A33,DiemHKII!$B$4:$B$58,0),INDEX($AD$9:$AF$22,MATCH(K$7,$AD$9:$AD$22,0),3)),""),"")</f>
        <v/>
      </c>
      <c r="L33" s="301" t="str">
        <f>IF($A33&lt;&gt;"",IF(INDEX(BDHK2,MATCH($A33,DiemHKII!$B$4:$B$58,0),INDEX($AD$9:$AF$22,MATCH(L$7,$AD$9:$AD$22,0),2))&lt;&gt;"",INDEX(BDHK2,MATCH($A33,DiemHKII!$B$4:$B$58,0),INDEX($AD$9:$AF$22,MATCH(L$7,$AD$9:$AD$22,0),3)),""),"")</f>
        <v/>
      </c>
      <c r="M33" s="301" t="str">
        <f>IF($A33&lt;&gt;"",IF(INDEX(BDHK2,MATCH($A33,DiemHKII!$B$4:$B$58,0),INDEX($AD$9:$AF$22,MATCH(M$7,$AD$9:$AD$22,0),2))&lt;&gt;"",INDEX(BDHK2,MATCH($A33,DiemHKII!$B$4:$B$58,0),INDEX($AD$9:$AF$22,MATCH(M$7,$AD$9:$AD$22,0),3)),""),"")</f>
        <v/>
      </c>
      <c r="N33" s="301" t="str">
        <f>IF($A33&lt;&gt;"",IF(INDEX(BDHK2,MATCH($A33,DiemHKII!$B$4:$B$58,0),INDEX($AD$9:$AF$22,MATCH(N$7,$AD$9:$AD$22,0),2))&lt;&gt;"",INDEX(BDHK2,MATCH($A33,DiemHKII!$B$4:$B$58,0),INDEX($AD$9:$AF$22,MATCH(N$7,$AD$9:$AD$22,0),3)),""),"")</f>
        <v/>
      </c>
      <c r="O33" s="301" t="str">
        <f>IF($A33&lt;&gt;"",IF(INDEX(BDHK2,MATCH($A33,DiemHKII!$B$4:$B$58,0),INDEX($AD$9:$AF$22,MATCH(O$7,$AD$9:$AD$22,0),2))&lt;&gt;"",INDEX(BDHK2,MATCH($A33,DiemHKII!$B$4:$B$58,0),INDEX($AD$9:$AF$22,MATCH(O$7,$AD$9:$AD$22,0),3)),""),"")</f>
        <v/>
      </c>
      <c r="P33" s="301" t="str">
        <f>IF($A33&lt;&gt;"",IF(INDEX(BDHK2,MATCH($A33,DiemHKII!$B$4:$B$58,0),INDEX($AD$9:$AF$22,MATCH(P$7,$AD$9:$AD$22,0),2))&lt;&gt;"",INDEX(BDHK2,MATCH($A33,DiemHKII!$B$4:$B$58,0),INDEX($AD$9:$AF$22,MATCH(P$7,$AD$9:$AD$22,0),3)),""),"")</f>
        <v/>
      </c>
      <c r="Q33" s="301" t="str">
        <f>IF($A33&lt;&gt;"",IF(INDEX(BDHK2,MATCH($A33,DiemHKII!$B$4:$B$58,0),INDEX($AD$9:$AF$22,MATCH(Q$7,$AD$9:$AD$22,0),2))&lt;&gt;"",INDEX(BDHK2,MATCH($A33,DiemHKII!$B$4:$B$58,0),INDEX($AD$9:$AF$22,MATCH(Q$7,$AD$9:$AD$22,0),3)),""),"")</f>
        <v/>
      </c>
      <c r="R33" s="279" t="str">
        <f>IF($A33&lt;&gt;"",IF(INDEX(BDHK2,MATCH($A33,DiemHKII!$B$4:$B$58,0),INDEX($AD$9:$AF$22,MATCH(R$7,$AD$9:$AD$22,0),2))&lt;&gt;"",INDEX(BDHK2,MATCH($A33,DiemHKII!$B$4:$B$58,0),INDEX($AD$9:$AF$22,MATCH(R$7,$AD$9:$AD$22,0),3)),""),"")</f>
        <v/>
      </c>
      <c r="S33" s="279" t="str">
        <f t="shared" si="8"/>
        <v/>
      </c>
      <c r="T33" s="301" t="str">
        <f>IF($A33&lt;&gt;"",IF(INDEX(BDHK2,MATCH($A33,DiemHKII!$B$4:$B$58,0),INDEX($AD$9:$AF$22,MATCH(T$7,$AD$9:$AD$22,0),2))&lt;&gt;"",INDEX(BDHK2,MATCH($A33,DiemHKII!$B$4:$B$58,0),INDEX($AD$9:$AF$22,MATCH(T$7,$AD$9:$AD$22,0),3)),""),"")</f>
        <v/>
      </c>
      <c r="U33" s="302" t="str">
        <f>IF($A33&lt;&gt;"",IF(INDEX(BDHK2,MATCH($A33,DiemHKII!$B$4:$B$58,0),INDEX($AD$9:$AF$22,MATCH(U$7,$AD$9:$AD$22,0),2))&lt;&gt;"",INDEX(BDHK2,MATCH($A33,DiemHKII!$B$4:$B$58,0),INDEX($AD$9:$AF$22,MATCH(U$7,$AD$9:$AD$22,0),3)),""),"")</f>
        <v/>
      </c>
      <c r="V33" s="278" t="str">
        <f t="shared" si="11"/>
        <v/>
      </c>
      <c r="W33" s="279" t="str">
        <f t="shared" si="9"/>
        <v/>
      </c>
      <c r="X33" s="352"/>
      <c r="Y33" s="280" t="str">
        <f t="shared" si="10"/>
        <v/>
      </c>
      <c r="AA33" s="1"/>
      <c r="AB33" s="644" t="str">
        <f t="shared" si="3"/>
        <v/>
      </c>
      <c r="AG33" s="268" t="str">
        <f>IF($A33&lt;&gt;"",INDEX(DiemHKII!$B$4:$K$58,MATCH($A33,DiemHKII!$B$4:$B$58,0),2),"")</f>
        <v>12A1Trần Thị HảiNhư17/08/2004</v>
      </c>
      <c r="AH33" s="674" t="str">
        <f t="shared" si="7"/>
        <v/>
      </c>
      <c r="AI33" s="672" t="str">
        <f t="shared" ca="1" si="5"/>
        <v/>
      </c>
    </row>
    <row r="34" spans="1:35" s="268" customFormat="1" ht="29.1" customHeight="1">
      <c r="A34" s="281">
        <f>IF(A33&lt;MAX(DiemHKII!$B$4:$B$58),A33+1,"")</f>
        <v>27</v>
      </c>
      <c r="B34" s="282" t="str">
        <f>IF($A34&lt;&gt;"",PROPER(INDEX(DiemHKII!$B$4:$K$58,MATCH($A34,DiemHKII!$B$4:$B$58,0),4)),"")</f>
        <v>Nguyễn Bá Nhật</v>
      </c>
      <c r="C34" s="283" t="str">
        <f>IF($A34&lt;&gt;"",PROPER(INDEX(DiemHKII!$B$4:$K$58,MATCH($A34,DiemHKII!$B$4:$B$58,0),5)),"")</f>
        <v>Quang</v>
      </c>
      <c r="D34" s="284" t="str">
        <f>IF($A34&lt;&gt;"",IF(INDEX(DiemHKII!$B$4:$K$58,MATCH($A34,DiemHKII!$B$4:$B$58,0),8)&lt;&gt;"",INDEX(DiemHKII!$B$4:$K$58,MATCH($A34,DiemHKII!$B$4:$B$58,0),8),""),"")</f>
        <v/>
      </c>
      <c r="E34" s="284" t="str">
        <f>IF($A34&lt;&gt;"",IF(INDEX(DiemHKII!$B$4:$K$58,MATCH($A34,DiemHKII!$B$4:$B$58,0),9)&lt;&gt;"",INDEX(DiemHKII!$B$4:$K$58,MATCH($A34,DiemHKII!$B$4:$B$58,0),9),""),"")</f>
        <v/>
      </c>
      <c r="F34" s="284" t="str">
        <f>IF($A34&lt;&gt;"",IF(INDEX(DiemHKII!$B$4:$K$58,MATCH($A34,DiemHKII!$B$4:$B$58,0),10)&lt;&gt;"",INDEX(DiemHKII!$B$4:$K$58,MATCH($A34,DiemHKII!$B$4:$B$58,0),10),""),"")</f>
        <v/>
      </c>
      <c r="G34" s="285" t="str">
        <f>IF($A34&lt;&gt;"",IF(INDEX(BDHK2,MATCH($A34,DiemHKII!$B$4:$B$58,0),INDEX($AD$9:$AF$22,MATCH(G$7,$AD$9:$AD$22,0),2))&lt;&gt;"",INDEX(BDHK2,MATCH($A34,DiemHKII!$B$4:$B$58,0),INDEX($AD$9:$AF$22,MATCH(G$7,$AD$9:$AD$22,0),3)),""),"")</f>
        <v/>
      </c>
      <c r="H34" s="286" t="str">
        <f>IF($A34&lt;&gt;"",IF(INDEX(BDHK2,MATCH($A34,DiemHKII!$B$4:$B$58,0),INDEX($AD$9:$AF$22,MATCH(H$7,$AD$9:$AD$22,0),2))&lt;&gt;"",INDEX(BDHK2,MATCH($A34,DiemHKII!$B$4:$B$58,0),INDEX($AD$9:$AF$22,MATCH(H$7,$AD$9:$AD$22,0),3)),""),"")</f>
        <v/>
      </c>
      <c r="I34" s="286" t="str">
        <f>IF($A34&lt;&gt;"",IF(INDEX(BDHK2,MATCH($A34,DiemHKII!$B$4:$B$58,0),INDEX($AD$9:$AF$22,MATCH(I$7,$AD$9:$AD$22,0),2))&lt;&gt;"",INDEX(BDHK2,MATCH($A34,DiemHKII!$B$4:$B$58,0),INDEX($AD$9:$AF$22,MATCH(I$7,$AD$9:$AD$22,0),3)),""),"")</f>
        <v/>
      </c>
      <c r="J34" s="286" t="str">
        <f>IF($A34&lt;&gt;"",IF(INDEX(BDHK2,MATCH($A34,DiemHKII!$B$4:$B$58,0),INDEX($AD$9:$AF$22,MATCH(J$7,$AD$9:$AD$22,0),2))&lt;&gt;"",INDEX(BDHK2,MATCH($A34,DiemHKII!$B$4:$B$58,0),INDEX($AD$9:$AF$22,MATCH(J$7,$AD$9:$AD$22,0),3)),""),"")</f>
        <v/>
      </c>
      <c r="K34" s="286" t="str">
        <f>IF($A34&lt;&gt;"",IF(INDEX(BDHK2,MATCH($A34,DiemHKII!$B$4:$B$58,0),INDEX($AD$9:$AF$22,MATCH(K$7,$AD$9:$AD$22,0),2))&lt;&gt;"",INDEX(BDHK2,MATCH($A34,DiemHKII!$B$4:$B$58,0),INDEX($AD$9:$AF$22,MATCH(K$7,$AD$9:$AD$22,0),3)),""),"")</f>
        <v/>
      </c>
      <c r="L34" s="286" t="str">
        <f>IF($A34&lt;&gt;"",IF(INDEX(BDHK2,MATCH($A34,DiemHKII!$B$4:$B$58,0),INDEX($AD$9:$AF$22,MATCH(L$7,$AD$9:$AD$22,0),2))&lt;&gt;"",INDEX(BDHK2,MATCH($A34,DiemHKII!$B$4:$B$58,0),INDEX($AD$9:$AF$22,MATCH(L$7,$AD$9:$AD$22,0),3)),""),"")</f>
        <v/>
      </c>
      <c r="M34" s="286" t="str">
        <f>IF($A34&lt;&gt;"",IF(INDEX(BDHK2,MATCH($A34,DiemHKII!$B$4:$B$58,0),INDEX($AD$9:$AF$22,MATCH(M$7,$AD$9:$AD$22,0),2))&lt;&gt;"",INDEX(BDHK2,MATCH($A34,DiemHKII!$B$4:$B$58,0),INDEX($AD$9:$AF$22,MATCH(M$7,$AD$9:$AD$22,0),3)),""),"")</f>
        <v/>
      </c>
      <c r="N34" s="286" t="str">
        <f>IF($A34&lt;&gt;"",IF(INDEX(BDHK2,MATCH($A34,DiemHKII!$B$4:$B$58,0),INDEX($AD$9:$AF$22,MATCH(N$7,$AD$9:$AD$22,0),2))&lt;&gt;"",INDEX(BDHK2,MATCH($A34,DiemHKII!$B$4:$B$58,0),INDEX($AD$9:$AF$22,MATCH(N$7,$AD$9:$AD$22,0),3)),""),"")</f>
        <v/>
      </c>
      <c r="O34" s="286" t="str">
        <f>IF($A34&lt;&gt;"",IF(INDEX(BDHK2,MATCH($A34,DiemHKII!$B$4:$B$58,0),INDEX($AD$9:$AF$22,MATCH(O$7,$AD$9:$AD$22,0),2))&lt;&gt;"",INDEX(BDHK2,MATCH($A34,DiemHKII!$B$4:$B$58,0),INDEX($AD$9:$AF$22,MATCH(O$7,$AD$9:$AD$22,0),3)),""),"")</f>
        <v/>
      </c>
      <c r="P34" s="286" t="str">
        <f>IF($A34&lt;&gt;"",IF(INDEX(BDHK2,MATCH($A34,DiemHKII!$B$4:$B$58,0),INDEX($AD$9:$AF$22,MATCH(P$7,$AD$9:$AD$22,0),2))&lt;&gt;"",INDEX(BDHK2,MATCH($A34,DiemHKII!$B$4:$B$58,0),INDEX($AD$9:$AF$22,MATCH(P$7,$AD$9:$AD$22,0),3)),""),"")</f>
        <v/>
      </c>
      <c r="Q34" s="286" t="str">
        <f>IF($A34&lt;&gt;"",IF(INDEX(BDHK2,MATCH($A34,DiemHKII!$B$4:$B$58,0),INDEX($AD$9:$AF$22,MATCH(Q$7,$AD$9:$AD$22,0),2))&lt;&gt;"",INDEX(BDHK2,MATCH($A34,DiemHKII!$B$4:$B$58,0),INDEX($AD$9:$AF$22,MATCH(Q$7,$AD$9:$AD$22,0),3)),""),"")</f>
        <v/>
      </c>
      <c r="R34" s="464" t="str">
        <f>IF($A34&lt;&gt;"",IF(INDEX(BDHK2,MATCH($A34,DiemHKII!$B$4:$B$58,0),INDEX($AD$9:$AF$22,MATCH(R$7,$AD$9:$AD$22,0),2))&lt;&gt;"",INDEX(BDHK2,MATCH($A34,DiemHKII!$B$4:$B$58,0),INDEX($AD$9:$AF$22,MATCH(R$7,$AD$9:$AD$22,0),3)),""),"")</f>
        <v/>
      </c>
      <c r="S34" s="464" t="str">
        <f t="shared" si="8"/>
        <v/>
      </c>
      <c r="T34" s="286" t="str">
        <f>IF($A34&lt;&gt;"",IF(INDEX(BDHK2,MATCH($A34,DiemHKII!$B$4:$B$58,0),INDEX($AD$9:$AF$22,MATCH(T$7,$AD$9:$AD$22,0),2))&lt;&gt;"",INDEX(BDHK2,MATCH($A34,DiemHKII!$B$4:$B$58,0),INDEX($AD$9:$AF$22,MATCH(T$7,$AD$9:$AD$22,0),3)),""),"")</f>
        <v/>
      </c>
      <c r="U34" s="287" t="str">
        <f>IF($A34&lt;&gt;"",IF(INDEX(BDHK2,MATCH($A34,DiemHKII!$B$4:$B$58,0),INDEX($AD$9:$AF$22,MATCH(U$7,$AD$9:$AD$22,0),2))&lt;&gt;"",INDEX(BDHK2,MATCH($A34,DiemHKII!$B$4:$B$58,0),INDEX($AD$9:$AF$22,MATCH(U$7,$AD$9:$AD$22,0),3)),""),"")</f>
        <v/>
      </c>
      <c r="V34" s="288" t="str">
        <f t="shared" si="11"/>
        <v/>
      </c>
      <c r="W34" s="464" t="str">
        <f t="shared" si="9"/>
        <v/>
      </c>
      <c r="X34" s="353"/>
      <c r="Y34" s="289" t="str">
        <f t="shared" si="10"/>
        <v/>
      </c>
      <c r="AA34" s="1"/>
      <c r="AB34" s="644" t="str">
        <f t="shared" si="3"/>
        <v/>
      </c>
      <c r="AG34" s="268" t="str">
        <f>IF($A34&lt;&gt;"",INDEX(DiemHKII!$B$4:$K$58,MATCH($A34,DiemHKII!$B$4:$B$58,0),2),"")</f>
        <v>12A1Nguyễn Bá NhậtQuang18/07/2004</v>
      </c>
      <c r="AH34" s="674" t="str">
        <f t="shared" si="7"/>
        <v/>
      </c>
      <c r="AI34" s="672" t="str">
        <f t="shared" ca="1" si="5"/>
        <v/>
      </c>
    </row>
    <row r="35" spans="1:35" s="268" customFormat="1" ht="29.1" customHeight="1">
      <c r="A35" s="281">
        <f>IF(A34&lt;MAX(DiemHKII!$B$4:$B$58),A34+1,"")</f>
        <v>28</v>
      </c>
      <c r="B35" s="282" t="str">
        <f>IF($A35&lt;&gt;"",PROPER(INDEX(DiemHKII!$B$4:$K$58,MATCH($A35,DiemHKII!$B$4:$B$58,0),4)),"")</f>
        <v>Phan Trương Kiến</v>
      </c>
      <c r="C35" s="283" t="str">
        <f>IF($A35&lt;&gt;"",PROPER(INDEX(DiemHKII!$B$4:$K$58,MATCH($A35,DiemHKII!$B$4:$B$58,0),5)),"")</f>
        <v>Quốc</v>
      </c>
      <c r="D35" s="284" t="str">
        <f>IF($A35&lt;&gt;"",IF(INDEX(DiemHKII!$B$4:$K$58,MATCH($A35,DiemHKII!$B$4:$B$58,0),8)&lt;&gt;"",INDEX(DiemHKII!$B$4:$K$58,MATCH($A35,DiemHKII!$B$4:$B$58,0),8),""),"")</f>
        <v/>
      </c>
      <c r="E35" s="284" t="str">
        <f>IF($A35&lt;&gt;"",IF(INDEX(DiemHKII!$B$4:$K$58,MATCH($A35,DiemHKII!$B$4:$B$58,0),9)&lt;&gt;"",INDEX(DiemHKII!$B$4:$K$58,MATCH($A35,DiemHKII!$B$4:$B$58,0),9),""),"")</f>
        <v/>
      </c>
      <c r="F35" s="284" t="str">
        <f>IF($A35&lt;&gt;"",IF(INDEX(DiemHKII!$B$4:$K$58,MATCH($A35,DiemHKII!$B$4:$B$58,0),10)&lt;&gt;"",INDEX(DiemHKII!$B$4:$K$58,MATCH($A35,DiemHKII!$B$4:$B$58,0),10),""),"")</f>
        <v/>
      </c>
      <c r="G35" s="285" t="str">
        <f>IF($A35&lt;&gt;"",IF(INDEX(BDHK2,MATCH($A35,DiemHKII!$B$4:$B$58,0),INDEX($AD$9:$AF$22,MATCH(G$7,$AD$9:$AD$22,0),2))&lt;&gt;"",INDEX(BDHK2,MATCH($A35,DiemHKII!$B$4:$B$58,0),INDEX($AD$9:$AF$22,MATCH(G$7,$AD$9:$AD$22,0),3)),""),"")</f>
        <v/>
      </c>
      <c r="H35" s="286" t="str">
        <f>IF($A35&lt;&gt;"",IF(INDEX(BDHK2,MATCH($A35,DiemHKII!$B$4:$B$58,0),INDEX($AD$9:$AF$22,MATCH(H$7,$AD$9:$AD$22,0),2))&lt;&gt;"",INDEX(BDHK2,MATCH($A35,DiemHKII!$B$4:$B$58,0),INDEX($AD$9:$AF$22,MATCH(H$7,$AD$9:$AD$22,0),3)),""),"")</f>
        <v/>
      </c>
      <c r="I35" s="286" t="str">
        <f>IF($A35&lt;&gt;"",IF(INDEX(BDHK2,MATCH($A35,DiemHKII!$B$4:$B$58,0),INDEX($AD$9:$AF$22,MATCH(I$7,$AD$9:$AD$22,0),2))&lt;&gt;"",INDEX(BDHK2,MATCH($A35,DiemHKII!$B$4:$B$58,0),INDEX($AD$9:$AF$22,MATCH(I$7,$AD$9:$AD$22,0),3)),""),"")</f>
        <v/>
      </c>
      <c r="J35" s="286" t="str">
        <f>IF($A35&lt;&gt;"",IF(INDEX(BDHK2,MATCH($A35,DiemHKII!$B$4:$B$58,0),INDEX($AD$9:$AF$22,MATCH(J$7,$AD$9:$AD$22,0),2))&lt;&gt;"",INDEX(BDHK2,MATCH($A35,DiemHKII!$B$4:$B$58,0),INDEX($AD$9:$AF$22,MATCH(J$7,$AD$9:$AD$22,0),3)),""),"")</f>
        <v/>
      </c>
      <c r="K35" s="286" t="str">
        <f>IF($A35&lt;&gt;"",IF(INDEX(BDHK2,MATCH($A35,DiemHKII!$B$4:$B$58,0),INDEX($AD$9:$AF$22,MATCH(K$7,$AD$9:$AD$22,0),2))&lt;&gt;"",INDEX(BDHK2,MATCH($A35,DiemHKII!$B$4:$B$58,0),INDEX($AD$9:$AF$22,MATCH(K$7,$AD$9:$AD$22,0),3)),""),"")</f>
        <v/>
      </c>
      <c r="L35" s="286" t="str">
        <f>IF($A35&lt;&gt;"",IF(INDEX(BDHK2,MATCH($A35,DiemHKII!$B$4:$B$58,0),INDEX($AD$9:$AF$22,MATCH(L$7,$AD$9:$AD$22,0),2))&lt;&gt;"",INDEX(BDHK2,MATCH($A35,DiemHKII!$B$4:$B$58,0),INDEX($AD$9:$AF$22,MATCH(L$7,$AD$9:$AD$22,0),3)),""),"")</f>
        <v/>
      </c>
      <c r="M35" s="286" t="str">
        <f>IF($A35&lt;&gt;"",IF(INDEX(BDHK2,MATCH($A35,DiemHKII!$B$4:$B$58,0),INDEX($AD$9:$AF$22,MATCH(M$7,$AD$9:$AD$22,0),2))&lt;&gt;"",INDEX(BDHK2,MATCH($A35,DiemHKII!$B$4:$B$58,0),INDEX($AD$9:$AF$22,MATCH(M$7,$AD$9:$AD$22,0),3)),""),"")</f>
        <v/>
      </c>
      <c r="N35" s="286" t="str">
        <f>IF($A35&lt;&gt;"",IF(INDEX(BDHK2,MATCH($A35,DiemHKII!$B$4:$B$58,0),INDEX($AD$9:$AF$22,MATCH(N$7,$AD$9:$AD$22,0),2))&lt;&gt;"",INDEX(BDHK2,MATCH($A35,DiemHKII!$B$4:$B$58,0),INDEX($AD$9:$AF$22,MATCH(N$7,$AD$9:$AD$22,0),3)),""),"")</f>
        <v/>
      </c>
      <c r="O35" s="286" t="str">
        <f>IF($A35&lt;&gt;"",IF(INDEX(BDHK2,MATCH($A35,DiemHKII!$B$4:$B$58,0),INDEX($AD$9:$AF$22,MATCH(O$7,$AD$9:$AD$22,0),2))&lt;&gt;"",INDEX(BDHK2,MATCH($A35,DiemHKII!$B$4:$B$58,0),INDEX($AD$9:$AF$22,MATCH(O$7,$AD$9:$AD$22,0),3)),""),"")</f>
        <v/>
      </c>
      <c r="P35" s="286" t="str">
        <f>IF($A35&lt;&gt;"",IF(INDEX(BDHK2,MATCH($A35,DiemHKII!$B$4:$B$58,0),INDEX($AD$9:$AF$22,MATCH(P$7,$AD$9:$AD$22,0),2))&lt;&gt;"",INDEX(BDHK2,MATCH($A35,DiemHKII!$B$4:$B$58,0),INDEX($AD$9:$AF$22,MATCH(P$7,$AD$9:$AD$22,0),3)),""),"")</f>
        <v/>
      </c>
      <c r="Q35" s="286" t="str">
        <f>IF($A35&lt;&gt;"",IF(INDEX(BDHK2,MATCH($A35,DiemHKII!$B$4:$B$58,0),INDEX($AD$9:$AF$22,MATCH(Q$7,$AD$9:$AD$22,0),2))&lt;&gt;"",INDEX(BDHK2,MATCH($A35,DiemHKII!$B$4:$B$58,0),INDEX($AD$9:$AF$22,MATCH(Q$7,$AD$9:$AD$22,0),3)),""),"")</f>
        <v/>
      </c>
      <c r="R35" s="464" t="str">
        <f>IF($A35&lt;&gt;"",IF(INDEX(BDHK2,MATCH($A35,DiemHKII!$B$4:$B$58,0),INDEX($AD$9:$AF$22,MATCH(R$7,$AD$9:$AD$22,0),2))&lt;&gt;"",INDEX(BDHK2,MATCH($A35,DiemHKII!$B$4:$B$58,0),INDEX($AD$9:$AF$22,MATCH(R$7,$AD$9:$AD$22,0),3)),""),"")</f>
        <v/>
      </c>
      <c r="S35" s="464" t="str">
        <f t="shared" si="8"/>
        <v/>
      </c>
      <c r="T35" s="286" t="str">
        <f>IF($A35&lt;&gt;"",IF(INDEX(BDHK2,MATCH($A35,DiemHKII!$B$4:$B$58,0),INDEX($AD$9:$AF$22,MATCH(T$7,$AD$9:$AD$22,0),2))&lt;&gt;"",INDEX(BDHK2,MATCH($A35,DiemHKII!$B$4:$B$58,0),INDEX($AD$9:$AF$22,MATCH(T$7,$AD$9:$AD$22,0),3)),""),"")</f>
        <v/>
      </c>
      <c r="U35" s="287" t="str">
        <f>IF($A35&lt;&gt;"",IF(INDEX(BDHK2,MATCH($A35,DiemHKII!$B$4:$B$58,0),INDEX($AD$9:$AF$22,MATCH(U$7,$AD$9:$AD$22,0),2))&lt;&gt;"",INDEX(BDHK2,MATCH($A35,DiemHKII!$B$4:$B$58,0),INDEX($AD$9:$AF$22,MATCH(U$7,$AD$9:$AD$22,0),3)),""),"")</f>
        <v/>
      </c>
      <c r="V35" s="288" t="str">
        <f t="shared" si="11"/>
        <v/>
      </c>
      <c r="W35" s="464" t="str">
        <f t="shared" si="9"/>
        <v/>
      </c>
      <c r="X35" s="353"/>
      <c r="Y35" s="289" t="str">
        <f t="shared" si="10"/>
        <v/>
      </c>
      <c r="AA35" s="1"/>
      <c r="AB35" s="644" t="str">
        <f t="shared" si="3"/>
        <v/>
      </c>
      <c r="AG35" s="268" t="str">
        <f>IF($A35&lt;&gt;"",INDEX(DiemHKII!$B$4:$K$58,MATCH($A35,DiemHKII!$B$4:$B$58,0),2),"")</f>
        <v>12A1Phan Trương KiếnQuốc03/12/2004</v>
      </c>
      <c r="AH35" s="674" t="str">
        <f t="shared" si="7"/>
        <v/>
      </c>
      <c r="AI35" s="672" t="str">
        <f t="shared" ca="1" si="5"/>
        <v/>
      </c>
    </row>
    <row r="36" spans="1:35" s="268" customFormat="1" ht="29.1" customHeight="1">
      <c r="A36" s="281">
        <f>IF(A35&lt;MAX(DiemHKII!$B$4:$B$58),A35+1,"")</f>
        <v>29</v>
      </c>
      <c r="B36" s="282" t="str">
        <f>IF($A36&lt;&gt;"",PROPER(INDEX(DiemHKII!$B$4:$K$58,MATCH($A36,DiemHKII!$B$4:$B$58,0),4)),"")</f>
        <v>Trần Thị Như</v>
      </c>
      <c r="C36" s="283" t="str">
        <f>IF($A36&lt;&gt;"",PROPER(INDEX(DiemHKII!$B$4:$K$58,MATCH($A36,DiemHKII!$B$4:$B$58,0),5)),"")</f>
        <v>Quỳnh</v>
      </c>
      <c r="D36" s="284" t="str">
        <f>IF($A36&lt;&gt;"",IF(INDEX(DiemHKII!$B$4:$K$58,MATCH($A36,DiemHKII!$B$4:$B$58,0),8)&lt;&gt;"",INDEX(DiemHKII!$B$4:$K$58,MATCH($A36,DiemHKII!$B$4:$B$58,0),8),""),"")</f>
        <v/>
      </c>
      <c r="E36" s="284" t="str">
        <f>IF($A36&lt;&gt;"",IF(INDEX(DiemHKII!$B$4:$K$58,MATCH($A36,DiemHKII!$B$4:$B$58,0),9)&lt;&gt;"",INDEX(DiemHKII!$B$4:$K$58,MATCH($A36,DiemHKII!$B$4:$B$58,0),9),""),"")</f>
        <v/>
      </c>
      <c r="F36" s="284" t="str">
        <f>IF($A36&lt;&gt;"",IF(INDEX(DiemHKII!$B$4:$K$58,MATCH($A36,DiemHKII!$B$4:$B$58,0),10)&lt;&gt;"",INDEX(DiemHKII!$B$4:$K$58,MATCH($A36,DiemHKII!$B$4:$B$58,0),10),""),"")</f>
        <v/>
      </c>
      <c r="G36" s="285" t="str">
        <f>IF($A36&lt;&gt;"",IF(INDEX(BDHK2,MATCH($A36,DiemHKII!$B$4:$B$58,0),INDEX($AD$9:$AF$22,MATCH(G$7,$AD$9:$AD$22,0),2))&lt;&gt;"",INDEX(BDHK2,MATCH($A36,DiemHKII!$B$4:$B$58,0),INDEX($AD$9:$AF$22,MATCH(G$7,$AD$9:$AD$22,0),3)),""),"")</f>
        <v/>
      </c>
      <c r="H36" s="286" t="str">
        <f>IF($A36&lt;&gt;"",IF(INDEX(BDHK2,MATCH($A36,DiemHKII!$B$4:$B$58,0),INDEX($AD$9:$AF$22,MATCH(H$7,$AD$9:$AD$22,0),2))&lt;&gt;"",INDEX(BDHK2,MATCH($A36,DiemHKII!$B$4:$B$58,0),INDEX($AD$9:$AF$22,MATCH(H$7,$AD$9:$AD$22,0),3)),""),"")</f>
        <v/>
      </c>
      <c r="I36" s="286" t="str">
        <f>IF($A36&lt;&gt;"",IF(INDEX(BDHK2,MATCH($A36,DiemHKII!$B$4:$B$58,0),INDEX($AD$9:$AF$22,MATCH(I$7,$AD$9:$AD$22,0),2))&lt;&gt;"",INDEX(BDHK2,MATCH($A36,DiemHKII!$B$4:$B$58,0),INDEX($AD$9:$AF$22,MATCH(I$7,$AD$9:$AD$22,0),3)),""),"")</f>
        <v/>
      </c>
      <c r="J36" s="286" t="str">
        <f>IF($A36&lt;&gt;"",IF(INDEX(BDHK2,MATCH($A36,DiemHKII!$B$4:$B$58,0),INDEX($AD$9:$AF$22,MATCH(J$7,$AD$9:$AD$22,0),2))&lt;&gt;"",INDEX(BDHK2,MATCH($A36,DiemHKII!$B$4:$B$58,0),INDEX($AD$9:$AF$22,MATCH(J$7,$AD$9:$AD$22,0),3)),""),"")</f>
        <v/>
      </c>
      <c r="K36" s="286" t="str">
        <f>IF($A36&lt;&gt;"",IF(INDEX(BDHK2,MATCH($A36,DiemHKII!$B$4:$B$58,0),INDEX($AD$9:$AF$22,MATCH(K$7,$AD$9:$AD$22,0),2))&lt;&gt;"",INDEX(BDHK2,MATCH($A36,DiemHKII!$B$4:$B$58,0),INDEX($AD$9:$AF$22,MATCH(K$7,$AD$9:$AD$22,0),3)),""),"")</f>
        <v/>
      </c>
      <c r="L36" s="286" t="str">
        <f>IF($A36&lt;&gt;"",IF(INDEX(BDHK2,MATCH($A36,DiemHKII!$B$4:$B$58,0),INDEX($AD$9:$AF$22,MATCH(L$7,$AD$9:$AD$22,0),2))&lt;&gt;"",INDEX(BDHK2,MATCH($A36,DiemHKII!$B$4:$B$58,0),INDEX($AD$9:$AF$22,MATCH(L$7,$AD$9:$AD$22,0),3)),""),"")</f>
        <v/>
      </c>
      <c r="M36" s="286" t="str">
        <f>IF($A36&lt;&gt;"",IF(INDEX(BDHK2,MATCH($A36,DiemHKII!$B$4:$B$58,0),INDEX($AD$9:$AF$22,MATCH(M$7,$AD$9:$AD$22,0),2))&lt;&gt;"",INDEX(BDHK2,MATCH($A36,DiemHKII!$B$4:$B$58,0),INDEX($AD$9:$AF$22,MATCH(M$7,$AD$9:$AD$22,0),3)),""),"")</f>
        <v/>
      </c>
      <c r="N36" s="286" t="str">
        <f>IF($A36&lt;&gt;"",IF(INDEX(BDHK2,MATCH($A36,DiemHKII!$B$4:$B$58,0),INDEX($AD$9:$AF$22,MATCH(N$7,$AD$9:$AD$22,0),2))&lt;&gt;"",INDEX(BDHK2,MATCH($A36,DiemHKII!$B$4:$B$58,0),INDEX($AD$9:$AF$22,MATCH(N$7,$AD$9:$AD$22,0),3)),""),"")</f>
        <v/>
      </c>
      <c r="O36" s="286" t="str">
        <f>IF($A36&lt;&gt;"",IF(INDEX(BDHK2,MATCH($A36,DiemHKII!$B$4:$B$58,0),INDEX($AD$9:$AF$22,MATCH(O$7,$AD$9:$AD$22,0),2))&lt;&gt;"",INDEX(BDHK2,MATCH($A36,DiemHKII!$B$4:$B$58,0),INDEX($AD$9:$AF$22,MATCH(O$7,$AD$9:$AD$22,0),3)),""),"")</f>
        <v/>
      </c>
      <c r="P36" s="286" t="str">
        <f>IF($A36&lt;&gt;"",IF(INDEX(BDHK2,MATCH($A36,DiemHKII!$B$4:$B$58,0),INDEX($AD$9:$AF$22,MATCH(P$7,$AD$9:$AD$22,0),2))&lt;&gt;"",INDEX(BDHK2,MATCH($A36,DiemHKII!$B$4:$B$58,0),INDEX($AD$9:$AF$22,MATCH(P$7,$AD$9:$AD$22,0),3)),""),"")</f>
        <v/>
      </c>
      <c r="Q36" s="286" t="str">
        <f>IF($A36&lt;&gt;"",IF(INDEX(BDHK2,MATCH($A36,DiemHKII!$B$4:$B$58,0),INDEX($AD$9:$AF$22,MATCH(Q$7,$AD$9:$AD$22,0),2))&lt;&gt;"",INDEX(BDHK2,MATCH($A36,DiemHKII!$B$4:$B$58,0),INDEX($AD$9:$AF$22,MATCH(Q$7,$AD$9:$AD$22,0),3)),""),"")</f>
        <v/>
      </c>
      <c r="R36" s="464" t="str">
        <f>IF($A36&lt;&gt;"",IF(INDEX(BDHK2,MATCH($A36,DiemHKII!$B$4:$B$58,0),INDEX($AD$9:$AF$22,MATCH(R$7,$AD$9:$AD$22,0),2))&lt;&gt;"",INDEX(BDHK2,MATCH($A36,DiemHKII!$B$4:$B$58,0),INDEX($AD$9:$AF$22,MATCH(R$7,$AD$9:$AD$22,0),3)),""),"")</f>
        <v/>
      </c>
      <c r="S36" s="464" t="str">
        <f t="shared" si="8"/>
        <v/>
      </c>
      <c r="T36" s="286" t="str">
        <f>IF($A36&lt;&gt;"",IF(INDEX(BDHK2,MATCH($A36,DiemHKII!$B$4:$B$58,0),INDEX($AD$9:$AF$22,MATCH(T$7,$AD$9:$AD$22,0),2))&lt;&gt;"",INDEX(BDHK2,MATCH($A36,DiemHKII!$B$4:$B$58,0),INDEX($AD$9:$AF$22,MATCH(T$7,$AD$9:$AD$22,0),3)),""),"")</f>
        <v/>
      </c>
      <c r="U36" s="287" t="str">
        <f>IF($A36&lt;&gt;"",IF(INDEX(BDHK2,MATCH($A36,DiemHKII!$B$4:$B$58,0),INDEX($AD$9:$AF$22,MATCH(U$7,$AD$9:$AD$22,0),2))&lt;&gt;"",INDEX(BDHK2,MATCH($A36,DiemHKII!$B$4:$B$58,0),INDEX($AD$9:$AF$22,MATCH(U$7,$AD$9:$AD$22,0),3)),""),"")</f>
        <v/>
      </c>
      <c r="V36" s="288" t="str">
        <f t="shared" si="11"/>
        <v/>
      </c>
      <c r="W36" s="464" t="str">
        <f t="shared" si="9"/>
        <v/>
      </c>
      <c r="X36" s="353"/>
      <c r="Y36" s="289" t="str">
        <f t="shared" si="10"/>
        <v/>
      </c>
      <c r="AA36" s="1"/>
      <c r="AB36" s="644" t="str">
        <f t="shared" si="3"/>
        <v/>
      </c>
      <c r="AG36" s="268" t="str">
        <f>IF($A36&lt;&gt;"",INDEX(DiemHKII!$B$4:$K$58,MATCH($A36,DiemHKII!$B$4:$B$58,0),2),"")</f>
        <v>12A1Trần Thị NhưQuỳnh28/01/2004</v>
      </c>
      <c r="AH36" s="674" t="str">
        <f t="shared" si="7"/>
        <v/>
      </c>
      <c r="AI36" s="672" t="str">
        <f t="shared" ca="1" si="5"/>
        <v/>
      </c>
    </row>
    <row r="37" spans="1:35" s="268" customFormat="1" ht="29.1" customHeight="1" thickBot="1">
      <c r="A37" s="290">
        <f>IF(A36&lt;MAX(DiemHKII!$B$4:$B$58),A36+1,"")</f>
        <v>30</v>
      </c>
      <c r="B37" s="291" t="str">
        <f>IF($A37&lt;&gt;"",PROPER(INDEX(DiemHKII!$B$4:$K$58,MATCH($A37,DiemHKII!$B$4:$B$58,0),4)),"")</f>
        <v>Nguyễn Thái</v>
      </c>
      <c r="C37" s="292" t="str">
        <f>IF($A37&lt;&gt;"",PROPER(INDEX(DiemHKII!$B$4:$K$58,MATCH($A37,DiemHKII!$B$4:$B$58,0),5)),"")</f>
        <v>Sơn</v>
      </c>
      <c r="D37" s="293" t="str">
        <f>IF($A37&lt;&gt;"",IF(INDEX(DiemHKII!$B$4:$K$58,MATCH($A37,DiemHKII!$B$4:$B$58,0),8)&lt;&gt;"",INDEX(DiemHKII!$B$4:$K$58,MATCH($A37,DiemHKII!$B$4:$B$58,0),8),""),"")</f>
        <v/>
      </c>
      <c r="E37" s="293" t="str">
        <f>IF($A37&lt;&gt;"",IF(INDEX(DiemHKII!$B$4:$K$58,MATCH($A37,DiemHKII!$B$4:$B$58,0),9)&lt;&gt;"",INDEX(DiemHKII!$B$4:$K$58,MATCH($A37,DiemHKII!$B$4:$B$58,0),9),""),"")</f>
        <v/>
      </c>
      <c r="F37" s="293" t="str">
        <f>IF($A37&lt;&gt;"",IF(INDEX(DiemHKII!$B$4:$K$58,MATCH($A37,DiemHKII!$B$4:$B$58,0),10)&lt;&gt;"",INDEX(DiemHKII!$B$4:$K$58,MATCH($A37,DiemHKII!$B$4:$B$58,0),10),""),"")</f>
        <v/>
      </c>
      <c r="G37" s="294" t="str">
        <f>IF($A37&lt;&gt;"",IF(INDEX(BDHK2,MATCH($A37,DiemHKII!$B$4:$B$58,0),INDEX($AD$9:$AF$22,MATCH(G$7,$AD$9:$AD$22,0),2))&lt;&gt;"",INDEX(BDHK2,MATCH($A37,DiemHKII!$B$4:$B$58,0),INDEX($AD$9:$AF$22,MATCH(G$7,$AD$9:$AD$22,0),3)),""),"")</f>
        <v/>
      </c>
      <c r="H37" s="295" t="str">
        <f>IF($A37&lt;&gt;"",IF(INDEX(BDHK2,MATCH($A37,DiemHKII!$B$4:$B$58,0),INDEX($AD$9:$AF$22,MATCH(H$7,$AD$9:$AD$22,0),2))&lt;&gt;"",INDEX(BDHK2,MATCH($A37,DiemHKII!$B$4:$B$58,0),INDEX($AD$9:$AF$22,MATCH(H$7,$AD$9:$AD$22,0),3)),""),"")</f>
        <v/>
      </c>
      <c r="I37" s="295" t="str">
        <f>IF($A37&lt;&gt;"",IF(INDEX(BDHK2,MATCH($A37,DiemHKII!$B$4:$B$58,0),INDEX($AD$9:$AF$22,MATCH(I$7,$AD$9:$AD$22,0),2))&lt;&gt;"",INDEX(BDHK2,MATCH($A37,DiemHKII!$B$4:$B$58,0),INDEX($AD$9:$AF$22,MATCH(I$7,$AD$9:$AD$22,0),3)),""),"")</f>
        <v/>
      </c>
      <c r="J37" s="295" t="str">
        <f>IF($A37&lt;&gt;"",IF(INDEX(BDHK2,MATCH($A37,DiemHKII!$B$4:$B$58,0),INDEX($AD$9:$AF$22,MATCH(J$7,$AD$9:$AD$22,0),2))&lt;&gt;"",INDEX(BDHK2,MATCH($A37,DiemHKII!$B$4:$B$58,0),INDEX($AD$9:$AF$22,MATCH(J$7,$AD$9:$AD$22,0),3)),""),"")</f>
        <v/>
      </c>
      <c r="K37" s="295" t="str">
        <f>IF($A37&lt;&gt;"",IF(INDEX(BDHK2,MATCH($A37,DiemHKII!$B$4:$B$58,0),INDEX($AD$9:$AF$22,MATCH(K$7,$AD$9:$AD$22,0),2))&lt;&gt;"",INDEX(BDHK2,MATCH($A37,DiemHKII!$B$4:$B$58,0),INDEX($AD$9:$AF$22,MATCH(K$7,$AD$9:$AD$22,0),3)),""),"")</f>
        <v/>
      </c>
      <c r="L37" s="295" t="str">
        <f>IF($A37&lt;&gt;"",IF(INDEX(BDHK2,MATCH($A37,DiemHKII!$B$4:$B$58,0),INDEX($AD$9:$AF$22,MATCH(L$7,$AD$9:$AD$22,0),2))&lt;&gt;"",INDEX(BDHK2,MATCH($A37,DiemHKII!$B$4:$B$58,0),INDEX($AD$9:$AF$22,MATCH(L$7,$AD$9:$AD$22,0),3)),""),"")</f>
        <v/>
      </c>
      <c r="M37" s="295" t="str">
        <f>IF($A37&lt;&gt;"",IF(INDEX(BDHK2,MATCH($A37,DiemHKII!$B$4:$B$58,0),INDEX($AD$9:$AF$22,MATCH(M$7,$AD$9:$AD$22,0),2))&lt;&gt;"",INDEX(BDHK2,MATCH($A37,DiemHKII!$B$4:$B$58,0),INDEX($AD$9:$AF$22,MATCH(M$7,$AD$9:$AD$22,0),3)),""),"")</f>
        <v/>
      </c>
      <c r="N37" s="295" t="str">
        <f>IF($A37&lt;&gt;"",IF(INDEX(BDHK2,MATCH($A37,DiemHKII!$B$4:$B$58,0),INDEX($AD$9:$AF$22,MATCH(N$7,$AD$9:$AD$22,0),2))&lt;&gt;"",INDEX(BDHK2,MATCH($A37,DiemHKII!$B$4:$B$58,0),INDEX($AD$9:$AF$22,MATCH(N$7,$AD$9:$AD$22,0),3)),""),"")</f>
        <v/>
      </c>
      <c r="O37" s="295" t="str">
        <f>IF($A37&lt;&gt;"",IF(INDEX(BDHK2,MATCH($A37,DiemHKII!$B$4:$B$58,0),INDEX($AD$9:$AF$22,MATCH(O$7,$AD$9:$AD$22,0),2))&lt;&gt;"",INDEX(BDHK2,MATCH($A37,DiemHKII!$B$4:$B$58,0),INDEX($AD$9:$AF$22,MATCH(O$7,$AD$9:$AD$22,0),3)),""),"")</f>
        <v/>
      </c>
      <c r="P37" s="295" t="str">
        <f>IF($A37&lt;&gt;"",IF(INDEX(BDHK2,MATCH($A37,DiemHKII!$B$4:$B$58,0),INDEX($AD$9:$AF$22,MATCH(P$7,$AD$9:$AD$22,0),2))&lt;&gt;"",INDEX(BDHK2,MATCH($A37,DiemHKII!$B$4:$B$58,0),INDEX($AD$9:$AF$22,MATCH(P$7,$AD$9:$AD$22,0),3)),""),"")</f>
        <v/>
      </c>
      <c r="Q37" s="295" t="str">
        <f>IF($A37&lt;&gt;"",IF(INDEX(BDHK2,MATCH($A37,DiemHKII!$B$4:$B$58,0),INDEX($AD$9:$AF$22,MATCH(Q$7,$AD$9:$AD$22,0),2))&lt;&gt;"",INDEX(BDHK2,MATCH($A37,DiemHKII!$B$4:$B$58,0),INDEX($AD$9:$AF$22,MATCH(Q$7,$AD$9:$AD$22,0),3)),""),"")</f>
        <v/>
      </c>
      <c r="R37" s="296" t="str">
        <f>IF($A37&lt;&gt;"",IF(INDEX(BDHK2,MATCH($A37,DiemHKII!$B$4:$B$58,0),INDEX($AD$9:$AF$22,MATCH(R$7,$AD$9:$AD$22,0),2))&lt;&gt;"",INDEX(BDHK2,MATCH($A37,DiemHKII!$B$4:$B$58,0),INDEX($AD$9:$AF$22,MATCH(R$7,$AD$9:$AD$22,0),3)),""),"")</f>
        <v/>
      </c>
      <c r="S37" s="296" t="str">
        <f t="shared" si="8"/>
        <v/>
      </c>
      <c r="T37" s="295" t="str">
        <f>IF($A37&lt;&gt;"",IF(INDEX(BDHK2,MATCH($A37,DiemHKII!$B$4:$B$58,0),INDEX($AD$9:$AF$22,MATCH(T$7,$AD$9:$AD$22,0),2))&lt;&gt;"",INDEX(BDHK2,MATCH($A37,DiemHKII!$B$4:$B$58,0),INDEX($AD$9:$AF$22,MATCH(T$7,$AD$9:$AD$22,0),3)),""),"")</f>
        <v/>
      </c>
      <c r="U37" s="297" t="str">
        <f>IF($A37&lt;&gt;"",IF(INDEX(BDHK2,MATCH($A37,DiemHKII!$B$4:$B$58,0),INDEX($AD$9:$AF$22,MATCH(U$7,$AD$9:$AD$22,0),2))&lt;&gt;"",INDEX(BDHK2,MATCH($A37,DiemHKII!$B$4:$B$58,0),INDEX($AD$9:$AF$22,MATCH(U$7,$AD$9:$AD$22,0),3)),""),"")</f>
        <v/>
      </c>
      <c r="V37" s="298" t="str">
        <f t="shared" si="11"/>
        <v/>
      </c>
      <c r="W37" s="296" t="str">
        <f t="shared" si="9"/>
        <v/>
      </c>
      <c r="X37" s="354"/>
      <c r="Y37" s="299" t="str">
        <f t="shared" si="10"/>
        <v/>
      </c>
      <c r="AA37" s="1"/>
      <c r="AB37" s="644" t="str">
        <f t="shared" si="3"/>
        <v/>
      </c>
      <c r="AG37" s="268" t="str">
        <f>IF($A37&lt;&gt;"",INDEX(DiemHKII!$B$4:$K$58,MATCH($A37,DiemHKII!$B$4:$B$58,0),2),"")</f>
        <v>12A1Nguyễn TháiSơn14/04/2004</v>
      </c>
      <c r="AH37" s="674" t="str">
        <f t="shared" si="7"/>
        <v/>
      </c>
      <c r="AI37" s="672" t="str">
        <f t="shared" ca="1" si="5"/>
        <v/>
      </c>
    </row>
    <row r="38" spans="1:35" s="268" customFormat="1" ht="29.1" customHeight="1">
      <c r="A38" s="274">
        <f>IF(A37&lt;MAX(DiemHKII!$B$4:$B$58),A37+1,"")</f>
        <v>31</v>
      </c>
      <c r="B38" s="275" t="str">
        <f>IF($A38&lt;&gt;"",PROPER(INDEX(DiemHKII!$B$4:$K$58,MATCH($A38,DiemHKII!$B$4:$B$58,0),4)),"")</f>
        <v>Đặng Hoàng</v>
      </c>
      <c r="C38" s="276" t="str">
        <f>IF($A38&lt;&gt;"",PROPER(INDEX(DiemHKII!$B$4:$K$58,MATCH($A38,DiemHKII!$B$4:$B$58,0),5)),"")</f>
        <v>Tân</v>
      </c>
      <c r="D38" s="277" t="str">
        <f>IF($A38&lt;&gt;"",IF(INDEX(DiemHKII!$B$4:$K$58,MATCH($A38,DiemHKII!$B$4:$B$58,0),8)&lt;&gt;"",INDEX(DiemHKII!$B$4:$K$58,MATCH($A38,DiemHKII!$B$4:$B$58,0),8),""),"")</f>
        <v/>
      </c>
      <c r="E38" s="277" t="str">
        <f>IF($A38&lt;&gt;"",IF(INDEX(DiemHKII!$B$4:$K$58,MATCH($A38,DiemHKII!$B$4:$B$58,0),9)&lt;&gt;"",INDEX(DiemHKII!$B$4:$K$58,MATCH($A38,DiemHKII!$B$4:$B$58,0),9),""),"")</f>
        <v/>
      </c>
      <c r="F38" s="277" t="str">
        <f>IF($A38&lt;&gt;"",IF(INDEX(DiemHKII!$B$4:$K$58,MATCH($A38,DiemHKII!$B$4:$B$58,0),10)&lt;&gt;"",INDEX(DiemHKII!$B$4:$K$58,MATCH($A38,DiemHKII!$B$4:$B$58,0),10),""),"")</f>
        <v/>
      </c>
      <c r="G38" s="300" t="str">
        <f>IF($A38&lt;&gt;"",IF(INDEX(BDHK2,MATCH($A38,DiemHKII!$B$4:$B$58,0),INDEX($AD$9:$AF$22,MATCH(G$7,$AD$9:$AD$22,0),2))&lt;&gt;"",INDEX(BDHK2,MATCH($A38,DiemHKII!$B$4:$B$58,0),INDEX($AD$9:$AF$22,MATCH(G$7,$AD$9:$AD$22,0),3)),""),"")</f>
        <v/>
      </c>
      <c r="H38" s="301" t="str">
        <f>IF($A38&lt;&gt;"",IF(INDEX(BDHK2,MATCH($A38,DiemHKII!$B$4:$B$58,0),INDEX($AD$9:$AF$22,MATCH(H$7,$AD$9:$AD$22,0),2))&lt;&gt;"",INDEX(BDHK2,MATCH($A38,DiemHKII!$B$4:$B$58,0),INDEX($AD$9:$AF$22,MATCH(H$7,$AD$9:$AD$22,0),3)),""),"")</f>
        <v/>
      </c>
      <c r="I38" s="301" t="str">
        <f>IF($A38&lt;&gt;"",IF(INDEX(BDHK2,MATCH($A38,DiemHKII!$B$4:$B$58,0),INDEX($AD$9:$AF$22,MATCH(I$7,$AD$9:$AD$22,0),2))&lt;&gt;"",INDEX(BDHK2,MATCH($A38,DiemHKII!$B$4:$B$58,0),INDEX($AD$9:$AF$22,MATCH(I$7,$AD$9:$AD$22,0),3)),""),"")</f>
        <v/>
      </c>
      <c r="J38" s="301" t="str">
        <f>IF($A38&lt;&gt;"",IF(INDEX(BDHK2,MATCH($A38,DiemHKII!$B$4:$B$58,0),INDEX($AD$9:$AF$22,MATCH(J$7,$AD$9:$AD$22,0),2))&lt;&gt;"",INDEX(BDHK2,MATCH($A38,DiemHKII!$B$4:$B$58,0),INDEX($AD$9:$AF$22,MATCH(J$7,$AD$9:$AD$22,0),3)),""),"")</f>
        <v/>
      </c>
      <c r="K38" s="301" t="str">
        <f>IF($A38&lt;&gt;"",IF(INDEX(BDHK2,MATCH($A38,DiemHKII!$B$4:$B$58,0),INDEX($AD$9:$AF$22,MATCH(K$7,$AD$9:$AD$22,0),2))&lt;&gt;"",INDEX(BDHK2,MATCH($A38,DiemHKII!$B$4:$B$58,0),INDEX($AD$9:$AF$22,MATCH(K$7,$AD$9:$AD$22,0),3)),""),"")</f>
        <v/>
      </c>
      <c r="L38" s="301" t="str">
        <f>IF($A38&lt;&gt;"",IF(INDEX(BDHK2,MATCH($A38,DiemHKII!$B$4:$B$58,0),INDEX($AD$9:$AF$22,MATCH(L$7,$AD$9:$AD$22,0),2))&lt;&gt;"",INDEX(BDHK2,MATCH($A38,DiemHKII!$B$4:$B$58,0),INDEX($AD$9:$AF$22,MATCH(L$7,$AD$9:$AD$22,0),3)),""),"")</f>
        <v/>
      </c>
      <c r="M38" s="301" t="str">
        <f>IF($A38&lt;&gt;"",IF(INDEX(BDHK2,MATCH($A38,DiemHKII!$B$4:$B$58,0),INDEX($AD$9:$AF$22,MATCH(M$7,$AD$9:$AD$22,0),2))&lt;&gt;"",INDEX(BDHK2,MATCH($A38,DiemHKII!$B$4:$B$58,0),INDEX($AD$9:$AF$22,MATCH(M$7,$AD$9:$AD$22,0),3)),""),"")</f>
        <v/>
      </c>
      <c r="N38" s="301" t="str">
        <f>IF($A38&lt;&gt;"",IF(INDEX(BDHK2,MATCH($A38,DiemHKII!$B$4:$B$58,0),INDEX($AD$9:$AF$22,MATCH(N$7,$AD$9:$AD$22,0),2))&lt;&gt;"",INDEX(BDHK2,MATCH($A38,DiemHKII!$B$4:$B$58,0),INDEX($AD$9:$AF$22,MATCH(N$7,$AD$9:$AD$22,0),3)),""),"")</f>
        <v/>
      </c>
      <c r="O38" s="301" t="str">
        <f>IF($A38&lt;&gt;"",IF(INDEX(BDHK2,MATCH($A38,DiemHKII!$B$4:$B$58,0),INDEX($AD$9:$AF$22,MATCH(O$7,$AD$9:$AD$22,0),2))&lt;&gt;"",INDEX(BDHK2,MATCH($A38,DiemHKII!$B$4:$B$58,0),INDEX($AD$9:$AF$22,MATCH(O$7,$AD$9:$AD$22,0),3)),""),"")</f>
        <v/>
      </c>
      <c r="P38" s="301" t="str">
        <f>IF($A38&lt;&gt;"",IF(INDEX(BDHK2,MATCH($A38,DiemHKII!$B$4:$B$58,0),INDEX($AD$9:$AF$22,MATCH(P$7,$AD$9:$AD$22,0),2))&lt;&gt;"",INDEX(BDHK2,MATCH($A38,DiemHKII!$B$4:$B$58,0),INDEX($AD$9:$AF$22,MATCH(P$7,$AD$9:$AD$22,0),3)),""),"")</f>
        <v/>
      </c>
      <c r="Q38" s="301" t="str">
        <f>IF($A38&lt;&gt;"",IF(INDEX(BDHK2,MATCH($A38,DiemHKII!$B$4:$B$58,0),INDEX($AD$9:$AF$22,MATCH(Q$7,$AD$9:$AD$22,0),2))&lt;&gt;"",INDEX(BDHK2,MATCH($A38,DiemHKII!$B$4:$B$58,0),INDEX($AD$9:$AF$22,MATCH(Q$7,$AD$9:$AD$22,0),3)),""),"")</f>
        <v/>
      </c>
      <c r="R38" s="279" t="str">
        <f>IF($A38&lt;&gt;"",IF(INDEX(BDHK2,MATCH($A38,DiemHKII!$B$4:$B$58,0),INDEX($AD$9:$AF$22,MATCH(R$7,$AD$9:$AD$22,0),2))&lt;&gt;"",INDEX(BDHK2,MATCH($A38,DiemHKII!$B$4:$B$58,0),INDEX($AD$9:$AF$22,MATCH(R$7,$AD$9:$AD$22,0),3)),""),"")</f>
        <v/>
      </c>
      <c r="S38" s="279" t="str">
        <f t="shared" si="8"/>
        <v/>
      </c>
      <c r="T38" s="301" t="str">
        <f>IF($A38&lt;&gt;"",IF(INDEX(BDHK2,MATCH($A38,DiemHKII!$B$4:$B$58,0),INDEX($AD$9:$AF$22,MATCH(T$7,$AD$9:$AD$22,0),2))&lt;&gt;"",INDEX(BDHK2,MATCH($A38,DiemHKII!$B$4:$B$58,0),INDEX($AD$9:$AF$22,MATCH(T$7,$AD$9:$AD$22,0),3)),""),"")</f>
        <v/>
      </c>
      <c r="U38" s="302" t="str">
        <f>IF($A38&lt;&gt;"",IF(INDEX(BDHK2,MATCH($A38,DiemHKII!$B$4:$B$58,0),INDEX($AD$9:$AF$22,MATCH(U$7,$AD$9:$AD$22,0),2))&lt;&gt;"",INDEX(BDHK2,MATCH($A38,DiemHKII!$B$4:$B$58,0),INDEX($AD$9:$AF$22,MATCH(U$7,$AD$9:$AD$22,0),3)),""),"")</f>
        <v/>
      </c>
      <c r="V38" s="278" t="str">
        <f t="shared" si="11"/>
        <v/>
      </c>
      <c r="W38" s="279" t="str">
        <f t="shared" si="9"/>
        <v/>
      </c>
      <c r="X38" s="352"/>
      <c r="Y38" s="280" t="str">
        <f t="shared" si="10"/>
        <v/>
      </c>
      <c r="AA38" s="1"/>
      <c r="AB38" s="644" t="str">
        <f t="shared" si="3"/>
        <v/>
      </c>
      <c r="AG38" s="268" t="str">
        <f>IF($A38&lt;&gt;"",INDEX(DiemHKII!$B$4:$K$58,MATCH($A38,DiemHKII!$B$4:$B$58,0),2),"")</f>
        <v>12A1Đặng HoàngTân26/09/2004</v>
      </c>
      <c r="AH38" s="674" t="str">
        <f t="shared" si="7"/>
        <v/>
      </c>
      <c r="AI38" s="672" t="str">
        <f t="shared" ca="1" si="5"/>
        <v/>
      </c>
    </row>
    <row r="39" spans="1:35" s="268" customFormat="1" ht="29.1" customHeight="1">
      <c r="A39" s="281">
        <f>IF(A38&lt;MAX(DiemHKII!$B$4:$B$58),A38+1,"")</f>
        <v>32</v>
      </c>
      <c r="B39" s="282" t="str">
        <f>IF($A39&lt;&gt;"",PROPER(INDEX(DiemHKII!$B$4:$K$58,MATCH($A39,DiemHKII!$B$4:$B$58,0),4)),"")</f>
        <v>Hồ Quang</v>
      </c>
      <c r="C39" s="283" t="str">
        <f>IF($A39&lt;&gt;"",PROPER(INDEX(DiemHKII!$B$4:$K$58,MATCH($A39,DiemHKII!$B$4:$B$58,0),5)),"")</f>
        <v>Thành</v>
      </c>
      <c r="D39" s="284" t="str">
        <f>IF($A39&lt;&gt;"",IF(INDEX(DiemHKII!$B$4:$K$58,MATCH($A39,DiemHKII!$B$4:$B$58,0),8)&lt;&gt;"",INDEX(DiemHKII!$B$4:$K$58,MATCH($A39,DiemHKII!$B$4:$B$58,0),8),""),"")</f>
        <v/>
      </c>
      <c r="E39" s="284" t="str">
        <f>IF($A39&lt;&gt;"",IF(INDEX(DiemHKII!$B$4:$K$58,MATCH($A39,DiemHKII!$B$4:$B$58,0),9)&lt;&gt;"",INDEX(DiemHKII!$B$4:$K$58,MATCH($A39,DiemHKII!$B$4:$B$58,0),9),""),"")</f>
        <v/>
      </c>
      <c r="F39" s="284" t="str">
        <f>IF($A39&lt;&gt;"",IF(INDEX(DiemHKII!$B$4:$K$58,MATCH($A39,DiemHKII!$B$4:$B$58,0),10)&lt;&gt;"",INDEX(DiemHKII!$B$4:$K$58,MATCH($A39,DiemHKII!$B$4:$B$58,0),10),""),"")</f>
        <v/>
      </c>
      <c r="G39" s="285" t="str">
        <f>IF($A39&lt;&gt;"",IF(INDEX(BDHK2,MATCH($A39,DiemHKII!$B$4:$B$58,0),INDEX($AD$9:$AF$22,MATCH(G$7,$AD$9:$AD$22,0),2))&lt;&gt;"",INDEX(BDHK2,MATCH($A39,DiemHKII!$B$4:$B$58,0),INDEX($AD$9:$AF$22,MATCH(G$7,$AD$9:$AD$22,0),3)),""),"")</f>
        <v/>
      </c>
      <c r="H39" s="286" t="str">
        <f>IF($A39&lt;&gt;"",IF(INDEX(BDHK2,MATCH($A39,DiemHKII!$B$4:$B$58,0),INDEX($AD$9:$AF$22,MATCH(H$7,$AD$9:$AD$22,0),2))&lt;&gt;"",INDEX(BDHK2,MATCH($A39,DiemHKII!$B$4:$B$58,0),INDEX($AD$9:$AF$22,MATCH(H$7,$AD$9:$AD$22,0),3)),""),"")</f>
        <v/>
      </c>
      <c r="I39" s="286" t="str">
        <f>IF($A39&lt;&gt;"",IF(INDEX(BDHK2,MATCH($A39,DiemHKII!$B$4:$B$58,0),INDEX($AD$9:$AF$22,MATCH(I$7,$AD$9:$AD$22,0),2))&lt;&gt;"",INDEX(BDHK2,MATCH($A39,DiemHKII!$B$4:$B$58,0),INDEX($AD$9:$AF$22,MATCH(I$7,$AD$9:$AD$22,0),3)),""),"")</f>
        <v/>
      </c>
      <c r="J39" s="286" t="str">
        <f>IF($A39&lt;&gt;"",IF(INDEX(BDHK2,MATCH($A39,DiemHKII!$B$4:$B$58,0),INDEX($AD$9:$AF$22,MATCH(J$7,$AD$9:$AD$22,0),2))&lt;&gt;"",INDEX(BDHK2,MATCH($A39,DiemHKII!$B$4:$B$58,0),INDEX($AD$9:$AF$22,MATCH(J$7,$AD$9:$AD$22,0),3)),""),"")</f>
        <v/>
      </c>
      <c r="K39" s="286" t="str">
        <f>IF($A39&lt;&gt;"",IF(INDEX(BDHK2,MATCH($A39,DiemHKII!$B$4:$B$58,0),INDEX($AD$9:$AF$22,MATCH(K$7,$AD$9:$AD$22,0),2))&lt;&gt;"",INDEX(BDHK2,MATCH($A39,DiemHKII!$B$4:$B$58,0),INDEX($AD$9:$AF$22,MATCH(K$7,$AD$9:$AD$22,0),3)),""),"")</f>
        <v/>
      </c>
      <c r="L39" s="286" t="str">
        <f>IF($A39&lt;&gt;"",IF(INDEX(BDHK2,MATCH($A39,DiemHKII!$B$4:$B$58,0),INDEX($AD$9:$AF$22,MATCH(L$7,$AD$9:$AD$22,0),2))&lt;&gt;"",INDEX(BDHK2,MATCH($A39,DiemHKII!$B$4:$B$58,0),INDEX($AD$9:$AF$22,MATCH(L$7,$AD$9:$AD$22,0),3)),""),"")</f>
        <v/>
      </c>
      <c r="M39" s="286" t="str">
        <f>IF($A39&lt;&gt;"",IF(INDEX(BDHK2,MATCH($A39,DiemHKII!$B$4:$B$58,0),INDEX($AD$9:$AF$22,MATCH(M$7,$AD$9:$AD$22,0),2))&lt;&gt;"",INDEX(BDHK2,MATCH($A39,DiemHKII!$B$4:$B$58,0),INDEX($AD$9:$AF$22,MATCH(M$7,$AD$9:$AD$22,0),3)),""),"")</f>
        <v/>
      </c>
      <c r="N39" s="286" t="str">
        <f>IF($A39&lt;&gt;"",IF(INDEX(BDHK2,MATCH($A39,DiemHKII!$B$4:$B$58,0),INDEX($AD$9:$AF$22,MATCH(N$7,$AD$9:$AD$22,0),2))&lt;&gt;"",INDEX(BDHK2,MATCH($A39,DiemHKII!$B$4:$B$58,0),INDEX($AD$9:$AF$22,MATCH(N$7,$AD$9:$AD$22,0),3)),""),"")</f>
        <v/>
      </c>
      <c r="O39" s="286" t="str">
        <f>IF($A39&lt;&gt;"",IF(INDEX(BDHK2,MATCH($A39,DiemHKII!$B$4:$B$58,0),INDEX($AD$9:$AF$22,MATCH(O$7,$AD$9:$AD$22,0),2))&lt;&gt;"",INDEX(BDHK2,MATCH($A39,DiemHKII!$B$4:$B$58,0),INDEX($AD$9:$AF$22,MATCH(O$7,$AD$9:$AD$22,0),3)),""),"")</f>
        <v/>
      </c>
      <c r="P39" s="286" t="str">
        <f>IF($A39&lt;&gt;"",IF(INDEX(BDHK2,MATCH($A39,DiemHKII!$B$4:$B$58,0),INDEX($AD$9:$AF$22,MATCH(P$7,$AD$9:$AD$22,0),2))&lt;&gt;"",INDEX(BDHK2,MATCH($A39,DiemHKII!$B$4:$B$58,0),INDEX($AD$9:$AF$22,MATCH(P$7,$AD$9:$AD$22,0),3)),""),"")</f>
        <v/>
      </c>
      <c r="Q39" s="286" t="str">
        <f>IF($A39&lt;&gt;"",IF(INDEX(BDHK2,MATCH($A39,DiemHKII!$B$4:$B$58,0),INDEX($AD$9:$AF$22,MATCH(Q$7,$AD$9:$AD$22,0),2))&lt;&gt;"",INDEX(BDHK2,MATCH($A39,DiemHKII!$B$4:$B$58,0),INDEX($AD$9:$AF$22,MATCH(Q$7,$AD$9:$AD$22,0),3)),""),"")</f>
        <v/>
      </c>
      <c r="R39" s="464" t="str">
        <f>IF($A39&lt;&gt;"",IF(INDEX(BDHK2,MATCH($A39,DiemHKII!$B$4:$B$58,0),INDEX($AD$9:$AF$22,MATCH(R$7,$AD$9:$AD$22,0),2))&lt;&gt;"",INDEX(BDHK2,MATCH($A39,DiemHKII!$B$4:$B$58,0),INDEX($AD$9:$AF$22,MATCH(R$7,$AD$9:$AD$22,0),3)),""),"")</f>
        <v/>
      </c>
      <c r="S39" s="464" t="str">
        <f t="shared" si="8"/>
        <v/>
      </c>
      <c r="T39" s="286" t="str">
        <f>IF($A39&lt;&gt;"",IF(INDEX(BDHK2,MATCH($A39,DiemHKII!$B$4:$B$58,0),INDEX($AD$9:$AF$22,MATCH(T$7,$AD$9:$AD$22,0),2))&lt;&gt;"",INDEX(BDHK2,MATCH($A39,DiemHKII!$B$4:$B$58,0),INDEX($AD$9:$AF$22,MATCH(T$7,$AD$9:$AD$22,0),3)),""),"")</f>
        <v/>
      </c>
      <c r="U39" s="287" t="str">
        <f>IF($A39&lt;&gt;"",IF(INDEX(BDHK2,MATCH($A39,DiemHKII!$B$4:$B$58,0),INDEX($AD$9:$AF$22,MATCH(U$7,$AD$9:$AD$22,0),2))&lt;&gt;"",INDEX(BDHK2,MATCH($A39,DiemHKII!$B$4:$B$58,0),INDEX($AD$9:$AF$22,MATCH(U$7,$AD$9:$AD$22,0),3)),""),"")</f>
        <v/>
      </c>
      <c r="V39" s="288" t="str">
        <f t="shared" si="11"/>
        <v/>
      </c>
      <c r="W39" s="464" t="str">
        <f t="shared" si="9"/>
        <v/>
      </c>
      <c r="X39" s="353"/>
      <c r="Y39" s="289" t="str">
        <f t="shared" si="10"/>
        <v/>
      </c>
      <c r="AA39" s="1"/>
      <c r="AB39" s="644" t="str">
        <f t="shared" si="3"/>
        <v/>
      </c>
      <c r="AG39" s="268" t="str">
        <f>IF($A39&lt;&gt;"",INDEX(DiemHKII!$B$4:$K$58,MATCH($A39,DiemHKII!$B$4:$B$58,0),2),"")</f>
        <v>12A1Hồ QuangThành28/02/2004</v>
      </c>
      <c r="AH39" s="674" t="str">
        <f t="shared" si="7"/>
        <v/>
      </c>
      <c r="AI39" s="672" t="str">
        <f t="shared" ca="1" si="5"/>
        <v/>
      </c>
    </row>
    <row r="40" spans="1:35" s="268" customFormat="1" ht="29.1" customHeight="1">
      <c r="A40" s="281">
        <f>IF(A39&lt;MAX(DiemHKII!$B$4:$B$58),A39+1,"")</f>
        <v>33</v>
      </c>
      <c r="B40" s="282" t="str">
        <f>IF($A40&lt;&gt;"",PROPER(INDEX(DiemHKII!$B$4:$K$58,MATCH($A40,DiemHKII!$B$4:$B$58,0),4)),"")</f>
        <v>Trần Thịnh</v>
      </c>
      <c r="C40" s="283" t="str">
        <f>IF($A40&lt;&gt;"",PROPER(INDEX(DiemHKII!$B$4:$K$58,MATCH($A40,DiemHKII!$B$4:$B$58,0),5)),"")</f>
        <v>Thịnh</v>
      </c>
      <c r="D40" s="284" t="str">
        <f>IF($A40&lt;&gt;"",IF(INDEX(DiemHKII!$B$4:$K$58,MATCH($A40,DiemHKII!$B$4:$B$58,0),8)&lt;&gt;"",INDEX(DiemHKII!$B$4:$K$58,MATCH($A40,DiemHKII!$B$4:$B$58,0),8),""),"")</f>
        <v/>
      </c>
      <c r="E40" s="284" t="str">
        <f>IF($A40&lt;&gt;"",IF(INDEX(DiemHKII!$B$4:$K$58,MATCH($A40,DiemHKII!$B$4:$B$58,0),9)&lt;&gt;"",INDEX(DiemHKII!$B$4:$K$58,MATCH($A40,DiemHKII!$B$4:$B$58,0),9),""),"")</f>
        <v/>
      </c>
      <c r="F40" s="284" t="str">
        <f>IF($A40&lt;&gt;"",IF(INDEX(DiemHKII!$B$4:$K$58,MATCH($A40,DiemHKII!$B$4:$B$58,0),10)&lt;&gt;"",INDEX(DiemHKII!$B$4:$K$58,MATCH($A40,DiemHKII!$B$4:$B$58,0),10),""),"")</f>
        <v/>
      </c>
      <c r="G40" s="285" t="str">
        <f>IF($A40&lt;&gt;"",IF(INDEX(BDHK2,MATCH($A40,DiemHKII!$B$4:$B$58,0),INDEX($AD$9:$AF$22,MATCH(G$7,$AD$9:$AD$22,0),2))&lt;&gt;"",INDEX(BDHK2,MATCH($A40,DiemHKII!$B$4:$B$58,0),INDEX($AD$9:$AF$22,MATCH(G$7,$AD$9:$AD$22,0),3)),""),"")</f>
        <v/>
      </c>
      <c r="H40" s="286" t="str">
        <f>IF($A40&lt;&gt;"",IF(INDEX(BDHK2,MATCH($A40,DiemHKII!$B$4:$B$58,0),INDEX($AD$9:$AF$22,MATCH(H$7,$AD$9:$AD$22,0),2))&lt;&gt;"",INDEX(BDHK2,MATCH($A40,DiemHKII!$B$4:$B$58,0),INDEX($AD$9:$AF$22,MATCH(H$7,$AD$9:$AD$22,0),3)),""),"")</f>
        <v/>
      </c>
      <c r="I40" s="286" t="str">
        <f>IF($A40&lt;&gt;"",IF(INDEX(BDHK2,MATCH($A40,DiemHKII!$B$4:$B$58,0),INDEX($AD$9:$AF$22,MATCH(I$7,$AD$9:$AD$22,0),2))&lt;&gt;"",INDEX(BDHK2,MATCH($A40,DiemHKII!$B$4:$B$58,0),INDEX($AD$9:$AF$22,MATCH(I$7,$AD$9:$AD$22,0),3)),""),"")</f>
        <v/>
      </c>
      <c r="J40" s="286" t="str">
        <f>IF($A40&lt;&gt;"",IF(INDEX(BDHK2,MATCH($A40,DiemHKII!$B$4:$B$58,0),INDEX($AD$9:$AF$22,MATCH(J$7,$AD$9:$AD$22,0),2))&lt;&gt;"",INDEX(BDHK2,MATCH($A40,DiemHKII!$B$4:$B$58,0),INDEX($AD$9:$AF$22,MATCH(J$7,$AD$9:$AD$22,0),3)),""),"")</f>
        <v/>
      </c>
      <c r="K40" s="286" t="str">
        <f>IF($A40&lt;&gt;"",IF(INDEX(BDHK2,MATCH($A40,DiemHKII!$B$4:$B$58,0),INDEX($AD$9:$AF$22,MATCH(K$7,$AD$9:$AD$22,0),2))&lt;&gt;"",INDEX(BDHK2,MATCH($A40,DiemHKII!$B$4:$B$58,0),INDEX($AD$9:$AF$22,MATCH(K$7,$AD$9:$AD$22,0),3)),""),"")</f>
        <v/>
      </c>
      <c r="L40" s="286" t="str">
        <f>IF($A40&lt;&gt;"",IF(INDEX(BDHK2,MATCH($A40,DiemHKII!$B$4:$B$58,0),INDEX($AD$9:$AF$22,MATCH(L$7,$AD$9:$AD$22,0),2))&lt;&gt;"",INDEX(BDHK2,MATCH($A40,DiemHKII!$B$4:$B$58,0),INDEX($AD$9:$AF$22,MATCH(L$7,$AD$9:$AD$22,0),3)),""),"")</f>
        <v/>
      </c>
      <c r="M40" s="286" t="str">
        <f>IF($A40&lt;&gt;"",IF(INDEX(BDHK2,MATCH($A40,DiemHKII!$B$4:$B$58,0),INDEX($AD$9:$AF$22,MATCH(M$7,$AD$9:$AD$22,0),2))&lt;&gt;"",INDEX(BDHK2,MATCH($A40,DiemHKII!$B$4:$B$58,0),INDEX($AD$9:$AF$22,MATCH(M$7,$AD$9:$AD$22,0),3)),""),"")</f>
        <v/>
      </c>
      <c r="N40" s="286" t="str">
        <f>IF($A40&lt;&gt;"",IF(INDEX(BDHK2,MATCH($A40,DiemHKII!$B$4:$B$58,0),INDEX($AD$9:$AF$22,MATCH(N$7,$AD$9:$AD$22,0),2))&lt;&gt;"",INDEX(BDHK2,MATCH($A40,DiemHKII!$B$4:$B$58,0),INDEX($AD$9:$AF$22,MATCH(N$7,$AD$9:$AD$22,0),3)),""),"")</f>
        <v/>
      </c>
      <c r="O40" s="286" t="str">
        <f>IF($A40&lt;&gt;"",IF(INDEX(BDHK2,MATCH($A40,DiemHKII!$B$4:$B$58,0),INDEX($AD$9:$AF$22,MATCH(O$7,$AD$9:$AD$22,0),2))&lt;&gt;"",INDEX(BDHK2,MATCH($A40,DiemHKII!$B$4:$B$58,0),INDEX($AD$9:$AF$22,MATCH(O$7,$AD$9:$AD$22,0),3)),""),"")</f>
        <v/>
      </c>
      <c r="P40" s="286" t="str">
        <f>IF($A40&lt;&gt;"",IF(INDEX(BDHK2,MATCH($A40,DiemHKII!$B$4:$B$58,0),INDEX($AD$9:$AF$22,MATCH(P$7,$AD$9:$AD$22,0),2))&lt;&gt;"",INDEX(BDHK2,MATCH($A40,DiemHKII!$B$4:$B$58,0),INDEX($AD$9:$AF$22,MATCH(P$7,$AD$9:$AD$22,0),3)),""),"")</f>
        <v/>
      </c>
      <c r="Q40" s="286" t="str">
        <f>IF($A40&lt;&gt;"",IF(INDEX(BDHK2,MATCH($A40,DiemHKII!$B$4:$B$58,0),INDEX($AD$9:$AF$22,MATCH(Q$7,$AD$9:$AD$22,0),2))&lt;&gt;"",INDEX(BDHK2,MATCH($A40,DiemHKII!$B$4:$B$58,0),INDEX($AD$9:$AF$22,MATCH(Q$7,$AD$9:$AD$22,0),3)),""),"")</f>
        <v/>
      </c>
      <c r="R40" s="464" t="str">
        <f>IF($A40&lt;&gt;"",IF(INDEX(BDHK2,MATCH($A40,DiemHKII!$B$4:$B$58,0),INDEX($AD$9:$AF$22,MATCH(R$7,$AD$9:$AD$22,0),2))&lt;&gt;"",INDEX(BDHK2,MATCH($A40,DiemHKII!$B$4:$B$58,0),INDEX($AD$9:$AF$22,MATCH(R$7,$AD$9:$AD$22,0),3)),""),"")</f>
        <v/>
      </c>
      <c r="S40" s="464" t="str">
        <f t="shared" si="8"/>
        <v/>
      </c>
      <c r="T40" s="286" t="str">
        <f>IF($A40&lt;&gt;"",IF(INDEX(BDHK2,MATCH($A40,DiemHKII!$B$4:$B$58,0),INDEX($AD$9:$AF$22,MATCH(T$7,$AD$9:$AD$22,0),2))&lt;&gt;"",INDEX(BDHK2,MATCH($A40,DiemHKII!$B$4:$B$58,0),INDEX($AD$9:$AF$22,MATCH(T$7,$AD$9:$AD$22,0),3)),""),"")</f>
        <v/>
      </c>
      <c r="U40" s="287" t="str">
        <f>IF($A40&lt;&gt;"",IF(INDEX(BDHK2,MATCH($A40,DiemHKII!$B$4:$B$58,0),INDEX($AD$9:$AF$22,MATCH(U$7,$AD$9:$AD$22,0),2))&lt;&gt;"",INDEX(BDHK2,MATCH($A40,DiemHKII!$B$4:$B$58,0),INDEX($AD$9:$AF$22,MATCH(U$7,$AD$9:$AD$22,0),3)),""),"")</f>
        <v/>
      </c>
      <c r="V40" s="288" t="str">
        <f t="shared" si="11"/>
        <v/>
      </c>
      <c r="W40" s="464" t="str">
        <f t="shared" si="9"/>
        <v/>
      </c>
      <c r="X40" s="353"/>
      <c r="Y40" s="289" t="str">
        <f t="shared" si="10"/>
        <v/>
      </c>
      <c r="AA40" s="1"/>
      <c r="AB40" s="644" t="str">
        <f t="shared" si="3"/>
        <v/>
      </c>
      <c r="AG40" s="268" t="str">
        <f>IF($A40&lt;&gt;"",INDEX(DiemHKII!$B$4:$K$58,MATCH($A40,DiemHKII!$B$4:$B$58,0),2),"")</f>
        <v>12A1Trần ThịnhThịnh18/08/2004</v>
      </c>
      <c r="AH40" s="674" t="str">
        <f t="shared" si="7"/>
        <v/>
      </c>
      <c r="AI40" s="672" t="str">
        <f t="shared" ca="1" si="5"/>
        <v/>
      </c>
    </row>
    <row r="41" spans="1:35" s="268" customFormat="1" ht="29.1" customHeight="1">
      <c r="A41" s="281">
        <f>IF(A40&lt;MAX(DiemHKII!$B$4:$B$58),A40+1,"")</f>
        <v>34</v>
      </c>
      <c r="B41" s="282" t="str">
        <f>IF($A41&lt;&gt;"",PROPER(INDEX(DiemHKII!$B$4:$K$58,MATCH($A41,DiemHKII!$B$4:$B$58,0),4)),"")</f>
        <v>Trần Kim Bảo</v>
      </c>
      <c r="C41" s="283" t="str">
        <f>IF($A41&lt;&gt;"",PROPER(INDEX(DiemHKII!$B$4:$K$58,MATCH($A41,DiemHKII!$B$4:$B$58,0),5)),"")</f>
        <v>Trân</v>
      </c>
      <c r="D41" s="284" t="str">
        <f>IF($A41&lt;&gt;"",IF(INDEX(DiemHKII!$B$4:$K$58,MATCH($A41,DiemHKII!$B$4:$B$58,0),8)&lt;&gt;"",INDEX(DiemHKII!$B$4:$K$58,MATCH($A41,DiemHKII!$B$4:$B$58,0),8),""),"")</f>
        <v/>
      </c>
      <c r="E41" s="284" t="str">
        <f>IF($A41&lt;&gt;"",IF(INDEX(DiemHKII!$B$4:$K$58,MATCH($A41,DiemHKII!$B$4:$B$58,0),9)&lt;&gt;"",INDEX(DiemHKII!$B$4:$K$58,MATCH($A41,DiemHKII!$B$4:$B$58,0),9),""),"")</f>
        <v/>
      </c>
      <c r="F41" s="284" t="str">
        <f>IF($A41&lt;&gt;"",IF(INDEX(DiemHKII!$B$4:$K$58,MATCH($A41,DiemHKII!$B$4:$B$58,0),10)&lt;&gt;"",INDEX(DiemHKII!$B$4:$K$58,MATCH($A41,DiemHKII!$B$4:$B$58,0),10),""),"")</f>
        <v/>
      </c>
      <c r="G41" s="285" t="str">
        <f>IF($A41&lt;&gt;"",IF(INDEX(BDHK2,MATCH($A41,DiemHKII!$B$4:$B$58,0),INDEX($AD$9:$AF$22,MATCH(G$7,$AD$9:$AD$22,0),2))&lt;&gt;"",INDEX(BDHK2,MATCH($A41,DiemHKII!$B$4:$B$58,0),INDEX($AD$9:$AF$22,MATCH(G$7,$AD$9:$AD$22,0),3)),""),"")</f>
        <v/>
      </c>
      <c r="H41" s="286" t="str">
        <f>IF($A41&lt;&gt;"",IF(INDEX(BDHK2,MATCH($A41,DiemHKII!$B$4:$B$58,0),INDEX($AD$9:$AF$22,MATCH(H$7,$AD$9:$AD$22,0),2))&lt;&gt;"",INDEX(BDHK2,MATCH($A41,DiemHKII!$B$4:$B$58,0),INDEX($AD$9:$AF$22,MATCH(H$7,$AD$9:$AD$22,0),3)),""),"")</f>
        <v/>
      </c>
      <c r="I41" s="286" t="str">
        <f>IF($A41&lt;&gt;"",IF(INDEX(BDHK2,MATCH($A41,DiemHKII!$B$4:$B$58,0),INDEX($AD$9:$AF$22,MATCH(I$7,$AD$9:$AD$22,0),2))&lt;&gt;"",INDEX(BDHK2,MATCH($A41,DiemHKII!$B$4:$B$58,0),INDEX($AD$9:$AF$22,MATCH(I$7,$AD$9:$AD$22,0),3)),""),"")</f>
        <v/>
      </c>
      <c r="J41" s="286" t="str">
        <f>IF($A41&lt;&gt;"",IF(INDEX(BDHK2,MATCH($A41,DiemHKII!$B$4:$B$58,0),INDEX($AD$9:$AF$22,MATCH(J$7,$AD$9:$AD$22,0),2))&lt;&gt;"",INDEX(BDHK2,MATCH($A41,DiemHKII!$B$4:$B$58,0),INDEX($AD$9:$AF$22,MATCH(J$7,$AD$9:$AD$22,0),3)),""),"")</f>
        <v/>
      </c>
      <c r="K41" s="286" t="str">
        <f>IF($A41&lt;&gt;"",IF(INDEX(BDHK2,MATCH($A41,DiemHKII!$B$4:$B$58,0),INDEX($AD$9:$AF$22,MATCH(K$7,$AD$9:$AD$22,0),2))&lt;&gt;"",INDEX(BDHK2,MATCH($A41,DiemHKII!$B$4:$B$58,0),INDEX($AD$9:$AF$22,MATCH(K$7,$AD$9:$AD$22,0),3)),""),"")</f>
        <v/>
      </c>
      <c r="L41" s="286" t="str">
        <f>IF($A41&lt;&gt;"",IF(INDEX(BDHK2,MATCH($A41,DiemHKII!$B$4:$B$58,0),INDEX($AD$9:$AF$22,MATCH(L$7,$AD$9:$AD$22,0),2))&lt;&gt;"",INDEX(BDHK2,MATCH($A41,DiemHKII!$B$4:$B$58,0),INDEX($AD$9:$AF$22,MATCH(L$7,$AD$9:$AD$22,0),3)),""),"")</f>
        <v/>
      </c>
      <c r="M41" s="286" t="str">
        <f>IF($A41&lt;&gt;"",IF(INDEX(BDHK2,MATCH($A41,DiemHKII!$B$4:$B$58,0),INDEX($AD$9:$AF$22,MATCH(M$7,$AD$9:$AD$22,0),2))&lt;&gt;"",INDEX(BDHK2,MATCH($A41,DiemHKII!$B$4:$B$58,0),INDEX($AD$9:$AF$22,MATCH(M$7,$AD$9:$AD$22,0),3)),""),"")</f>
        <v/>
      </c>
      <c r="N41" s="286" t="str">
        <f>IF($A41&lt;&gt;"",IF(INDEX(BDHK2,MATCH($A41,DiemHKII!$B$4:$B$58,0),INDEX($AD$9:$AF$22,MATCH(N$7,$AD$9:$AD$22,0),2))&lt;&gt;"",INDEX(BDHK2,MATCH($A41,DiemHKII!$B$4:$B$58,0),INDEX($AD$9:$AF$22,MATCH(N$7,$AD$9:$AD$22,0),3)),""),"")</f>
        <v/>
      </c>
      <c r="O41" s="286" t="str">
        <f>IF($A41&lt;&gt;"",IF(INDEX(BDHK2,MATCH($A41,DiemHKII!$B$4:$B$58,0),INDEX($AD$9:$AF$22,MATCH(O$7,$AD$9:$AD$22,0),2))&lt;&gt;"",INDEX(BDHK2,MATCH($A41,DiemHKII!$B$4:$B$58,0),INDEX($AD$9:$AF$22,MATCH(O$7,$AD$9:$AD$22,0),3)),""),"")</f>
        <v/>
      </c>
      <c r="P41" s="286" t="str">
        <f>IF($A41&lt;&gt;"",IF(INDEX(BDHK2,MATCH($A41,DiemHKII!$B$4:$B$58,0),INDEX($AD$9:$AF$22,MATCH(P$7,$AD$9:$AD$22,0),2))&lt;&gt;"",INDEX(BDHK2,MATCH($A41,DiemHKII!$B$4:$B$58,0),INDEX($AD$9:$AF$22,MATCH(P$7,$AD$9:$AD$22,0),3)),""),"")</f>
        <v/>
      </c>
      <c r="Q41" s="286" t="str">
        <f>IF($A41&lt;&gt;"",IF(INDEX(BDHK2,MATCH($A41,DiemHKII!$B$4:$B$58,0),INDEX($AD$9:$AF$22,MATCH(Q$7,$AD$9:$AD$22,0),2))&lt;&gt;"",INDEX(BDHK2,MATCH($A41,DiemHKII!$B$4:$B$58,0),INDEX($AD$9:$AF$22,MATCH(Q$7,$AD$9:$AD$22,0),3)),""),"")</f>
        <v/>
      </c>
      <c r="R41" s="464" t="str">
        <f>IF($A41&lt;&gt;"",IF(INDEX(BDHK2,MATCH($A41,DiemHKII!$B$4:$B$58,0),INDEX($AD$9:$AF$22,MATCH(R$7,$AD$9:$AD$22,0),2))&lt;&gt;"",INDEX(BDHK2,MATCH($A41,DiemHKII!$B$4:$B$58,0),INDEX($AD$9:$AF$22,MATCH(R$7,$AD$9:$AD$22,0),3)),""),"")</f>
        <v/>
      </c>
      <c r="S41" s="464" t="str">
        <f t="shared" si="8"/>
        <v/>
      </c>
      <c r="T41" s="286" t="str">
        <f>IF($A41&lt;&gt;"",IF(INDEX(BDHK2,MATCH($A41,DiemHKII!$B$4:$B$58,0),INDEX($AD$9:$AF$22,MATCH(T$7,$AD$9:$AD$22,0),2))&lt;&gt;"",INDEX(BDHK2,MATCH($A41,DiemHKII!$B$4:$B$58,0),INDEX($AD$9:$AF$22,MATCH(T$7,$AD$9:$AD$22,0),3)),""),"")</f>
        <v/>
      </c>
      <c r="U41" s="287" t="str">
        <f>IF($A41&lt;&gt;"",IF(INDEX(BDHK2,MATCH($A41,DiemHKII!$B$4:$B$58,0),INDEX($AD$9:$AF$22,MATCH(U$7,$AD$9:$AD$22,0),2))&lt;&gt;"",INDEX(BDHK2,MATCH($A41,DiemHKII!$B$4:$B$58,0),INDEX($AD$9:$AF$22,MATCH(U$7,$AD$9:$AD$22,0),3)),""),"")</f>
        <v/>
      </c>
      <c r="V41" s="288" t="str">
        <f t="shared" si="11"/>
        <v/>
      </c>
      <c r="W41" s="464" t="str">
        <f t="shared" si="9"/>
        <v/>
      </c>
      <c r="X41" s="353"/>
      <c r="Y41" s="289" t="str">
        <f t="shared" si="10"/>
        <v/>
      </c>
      <c r="AA41" s="1"/>
      <c r="AB41" s="644" t="str">
        <f t="shared" si="3"/>
        <v/>
      </c>
      <c r="AG41" s="268" t="str">
        <f>IF($A41&lt;&gt;"",INDEX(DiemHKII!$B$4:$K$58,MATCH($A41,DiemHKII!$B$4:$B$58,0),2),"")</f>
        <v>12A1Trần Kim BảoTrân05/06/2004</v>
      </c>
      <c r="AH41" s="674" t="str">
        <f t="shared" si="7"/>
        <v/>
      </c>
      <c r="AI41" s="672" t="str">
        <f t="shared" ca="1" si="5"/>
        <v/>
      </c>
    </row>
    <row r="42" spans="1:35" s="268" customFormat="1" ht="29.1" customHeight="1" thickBot="1">
      <c r="A42" s="290">
        <f>IF(A41&lt;MAX(DiemHKII!$B$4:$B$58),A41+1,"")</f>
        <v>35</v>
      </c>
      <c r="B42" s="291" t="str">
        <f>IF($A42&lt;&gt;"",PROPER(INDEX(DiemHKII!$B$4:$K$58,MATCH($A42,DiemHKII!$B$4:$B$58,0),4)),"")</f>
        <v>Phạm Đức</v>
      </c>
      <c r="C42" s="292" t="str">
        <f>IF($A42&lt;&gt;"",PROPER(INDEX(DiemHKII!$B$4:$K$58,MATCH($A42,DiemHKII!$B$4:$B$58,0),5)),"")</f>
        <v>Trung</v>
      </c>
      <c r="D42" s="293" t="str">
        <f>IF($A42&lt;&gt;"",IF(INDEX(DiemHKII!$B$4:$K$58,MATCH($A42,DiemHKII!$B$4:$B$58,0),8)&lt;&gt;"",INDEX(DiemHKII!$B$4:$K$58,MATCH($A42,DiemHKII!$B$4:$B$58,0),8),""),"")</f>
        <v/>
      </c>
      <c r="E42" s="293" t="str">
        <f>IF($A42&lt;&gt;"",IF(INDEX(DiemHKII!$B$4:$K$58,MATCH($A42,DiemHKII!$B$4:$B$58,0),9)&lt;&gt;"",INDEX(DiemHKII!$B$4:$K$58,MATCH($A42,DiemHKII!$B$4:$B$58,0),9),""),"")</f>
        <v/>
      </c>
      <c r="F42" s="293" t="str">
        <f>IF($A42&lt;&gt;"",IF(INDEX(DiemHKII!$B$4:$K$58,MATCH($A42,DiemHKII!$B$4:$B$58,0),10)&lt;&gt;"",INDEX(DiemHKII!$B$4:$K$58,MATCH($A42,DiemHKII!$B$4:$B$58,0),10),""),"")</f>
        <v/>
      </c>
      <c r="G42" s="294" t="str">
        <f>IF($A42&lt;&gt;"",IF(INDEX(BDHK2,MATCH($A42,DiemHKII!$B$4:$B$58,0),INDEX($AD$9:$AF$22,MATCH(G$7,$AD$9:$AD$22,0),2))&lt;&gt;"",INDEX(BDHK2,MATCH($A42,DiemHKII!$B$4:$B$58,0),INDEX($AD$9:$AF$22,MATCH(G$7,$AD$9:$AD$22,0),3)),""),"")</f>
        <v/>
      </c>
      <c r="H42" s="295" t="str">
        <f>IF($A42&lt;&gt;"",IF(INDEX(BDHK2,MATCH($A42,DiemHKII!$B$4:$B$58,0),INDEX($AD$9:$AF$22,MATCH(H$7,$AD$9:$AD$22,0),2))&lt;&gt;"",INDEX(BDHK2,MATCH($A42,DiemHKII!$B$4:$B$58,0),INDEX($AD$9:$AF$22,MATCH(H$7,$AD$9:$AD$22,0),3)),""),"")</f>
        <v/>
      </c>
      <c r="I42" s="295" t="str">
        <f>IF($A42&lt;&gt;"",IF(INDEX(BDHK2,MATCH($A42,DiemHKII!$B$4:$B$58,0),INDEX($AD$9:$AF$22,MATCH(I$7,$AD$9:$AD$22,0),2))&lt;&gt;"",INDEX(BDHK2,MATCH($A42,DiemHKII!$B$4:$B$58,0),INDEX($AD$9:$AF$22,MATCH(I$7,$AD$9:$AD$22,0),3)),""),"")</f>
        <v/>
      </c>
      <c r="J42" s="295" t="str">
        <f>IF($A42&lt;&gt;"",IF(INDEX(BDHK2,MATCH($A42,DiemHKII!$B$4:$B$58,0),INDEX($AD$9:$AF$22,MATCH(J$7,$AD$9:$AD$22,0),2))&lt;&gt;"",INDEX(BDHK2,MATCH($A42,DiemHKII!$B$4:$B$58,0),INDEX($AD$9:$AF$22,MATCH(J$7,$AD$9:$AD$22,0),3)),""),"")</f>
        <v/>
      </c>
      <c r="K42" s="295" t="str">
        <f>IF($A42&lt;&gt;"",IF(INDEX(BDHK2,MATCH($A42,DiemHKII!$B$4:$B$58,0),INDEX($AD$9:$AF$22,MATCH(K$7,$AD$9:$AD$22,0),2))&lt;&gt;"",INDEX(BDHK2,MATCH($A42,DiemHKII!$B$4:$B$58,0),INDEX($AD$9:$AF$22,MATCH(K$7,$AD$9:$AD$22,0),3)),""),"")</f>
        <v/>
      </c>
      <c r="L42" s="295" t="str">
        <f>IF($A42&lt;&gt;"",IF(INDEX(BDHK2,MATCH($A42,DiemHKII!$B$4:$B$58,0),INDEX($AD$9:$AF$22,MATCH(L$7,$AD$9:$AD$22,0),2))&lt;&gt;"",INDEX(BDHK2,MATCH($A42,DiemHKII!$B$4:$B$58,0),INDEX($AD$9:$AF$22,MATCH(L$7,$AD$9:$AD$22,0),3)),""),"")</f>
        <v/>
      </c>
      <c r="M42" s="295" t="str">
        <f>IF($A42&lt;&gt;"",IF(INDEX(BDHK2,MATCH($A42,DiemHKII!$B$4:$B$58,0),INDEX($AD$9:$AF$22,MATCH(M$7,$AD$9:$AD$22,0),2))&lt;&gt;"",INDEX(BDHK2,MATCH($A42,DiemHKII!$B$4:$B$58,0),INDEX($AD$9:$AF$22,MATCH(M$7,$AD$9:$AD$22,0),3)),""),"")</f>
        <v/>
      </c>
      <c r="N42" s="295" t="str">
        <f>IF($A42&lt;&gt;"",IF(INDEX(BDHK2,MATCH($A42,DiemHKII!$B$4:$B$58,0),INDEX($AD$9:$AF$22,MATCH(N$7,$AD$9:$AD$22,0),2))&lt;&gt;"",INDEX(BDHK2,MATCH($A42,DiemHKII!$B$4:$B$58,0),INDEX($AD$9:$AF$22,MATCH(N$7,$AD$9:$AD$22,0),3)),""),"")</f>
        <v/>
      </c>
      <c r="O42" s="295" t="str">
        <f>IF($A42&lt;&gt;"",IF(INDEX(BDHK2,MATCH($A42,DiemHKII!$B$4:$B$58,0),INDEX($AD$9:$AF$22,MATCH(O$7,$AD$9:$AD$22,0),2))&lt;&gt;"",INDEX(BDHK2,MATCH($A42,DiemHKII!$B$4:$B$58,0),INDEX($AD$9:$AF$22,MATCH(O$7,$AD$9:$AD$22,0),3)),""),"")</f>
        <v/>
      </c>
      <c r="P42" s="295" t="str">
        <f>IF($A42&lt;&gt;"",IF(INDEX(BDHK2,MATCH($A42,DiemHKII!$B$4:$B$58,0),INDEX($AD$9:$AF$22,MATCH(P$7,$AD$9:$AD$22,0),2))&lt;&gt;"",INDEX(BDHK2,MATCH($A42,DiemHKII!$B$4:$B$58,0),INDEX($AD$9:$AF$22,MATCH(P$7,$AD$9:$AD$22,0),3)),""),"")</f>
        <v/>
      </c>
      <c r="Q42" s="295" t="str">
        <f>IF($A42&lt;&gt;"",IF(INDEX(BDHK2,MATCH($A42,DiemHKII!$B$4:$B$58,0),INDEX($AD$9:$AF$22,MATCH(Q$7,$AD$9:$AD$22,0),2))&lt;&gt;"",INDEX(BDHK2,MATCH($A42,DiemHKII!$B$4:$B$58,0),INDEX($AD$9:$AF$22,MATCH(Q$7,$AD$9:$AD$22,0),3)),""),"")</f>
        <v/>
      </c>
      <c r="R42" s="296" t="str">
        <f>IF($A42&lt;&gt;"",IF(INDEX(BDHK2,MATCH($A42,DiemHKII!$B$4:$B$58,0),INDEX($AD$9:$AF$22,MATCH(R$7,$AD$9:$AD$22,0),2))&lt;&gt;"",INDEX(BDHK2,MATCH($A42,DiemHKII!$B$4:$B$58,0),INDEX($AD$9:$AF$22,MATCH(R$7,$AD$9:$AD$22,0),3)),""),"")</f>
        <v/>
      </c>
      <c r="S42" s="296" t="str">
        <f t="shared" si="8"/>
        <v/>
      </c>
      <c r="T42" s="295" t="str">
        <f>IF($A42&lt;&gt;"",IF(INDEX(BDHK2,MATCH($A42,DiemHKII!$B$4:$B$58,0),INDEX($AD$9:$AF$22,MATCH(T$7,$AD$9:$AD$22,0),2))&lt;&gt;"",INDEX(BDHK2,MATCH($A42,DiemHKII!$B$4:$B$58,0),INDEX($AD$9:$AF$22,MATCH(T$7,$AD$9:$AD$22,0),3)),""),"")</f>
        <v/>
      </c>
      <c r="U42" s="297" t="str">
        <f>IF($A42&lt;&gt;"",IF(INDEX(BDHK2,MATCH($A42,DiemHKII!$B$4:$B$58,0),INDEX($AD$9:$AF$22,MATCH(U$7,$AD$9:$AD$22,0),2))&lt;&gt;"",INDEX(BDHK2,MATCH($A42,DiemHKII!$B$4:$B$58,0),INDEX($AD$9:$AF$22,MATCH(U$7,$AD$9:$AD$22,0),3)),""),"")</f>
        <v/>
      </c>
      <c r="V42" s="298" t="str">
        <f t="shared" si="11"/>
        <v/>
      </c>
      <c r="W42" s="296" t="str">
        <f t="shared" si="9"/>
        <v/>
      </c>
      <c r="X42" s="354"/>
      <c r="Y42" s="299" t="str">
        <f t="shared" si="10"/>
        <v/>
      </c>
      <c r="AA42" s="1"/>
      <c r="AB42" s="644" t="str">
        <f t="shared" si="3"/>
        <v/>
      </c>
      <c r="AG42" s="268" t="str">
        <f>IF($A42&lt;&gt;"",INDEX(DiemHKII!$B$4:$K$58,MATCH($A42,DiemHKII!$B$4:$B$58,0),2),"")</f>
        <v>12A1Phạm ĐứcTrung07/10/2004</v>
      </c>
      <c r="AH42" s="674" t="str">
        <f t="shared" si="7"/>
        <v/>
      </c>
      <c r="AI42" s="672" t="str">
        <f t="shared" ca="1" si="5"/>
        <v/>
      </c>
    </row>
    <row r="43" spans="1:35" s="268" customFormat="1" ht="29.1" customHeight="1">
      <c r="A43" s="274">
        <f>IF(A42&lt;MAX(DiemHKII!$B$4:$B$58),A42+1,"")</f>
        <v>36</v>
      </c>
      <c r="B43" s="275" t="str">
        <f>IF($A43&lt;&gt;"",PROPER(INDEX(DiemHKII!$B$4:$K$58,MATCH($A43,DiemHKII!$B$4:$B$58,0),4)),"")</f>
        <v>Võ Thủy</v>
      </c>
      <c r="C43" s="276" t="str">
        <f>IF($A43&lt;&gt;"",PROPER(INDEX(DiemHKII!$B$4:$K$58,MATCH($A43,DiemHKII!$B$4:$B$58,0),5)),"")</f>
        <v>Vân</v>
      </c>
      <c r="D43" s="277" t="str">
        <f>IF($A43&lt;&gt;"",IF(INDEX(DiemHKII!$B$4:$K$58,MATCH($A43,DiemHKII!$B$4:$B$58,0),8)&lt;&gt;"",INDEX(DiemHKII!$B$4:$K$58,MATCH($A43,DiemHKII!$B$4:$B$58,0),8),""),"")</f>
        <v/>
      </c>
      <c r="E43" s="277" t="str">
        <f>IF($A43&lt;&gt;"",IF(INDEX(DiemHKII!$B$4:$K$58,MATCH($A43,DiemHKII!$B$4:$B$58,0),9)&lt;&gt;"",INDEX(DiemHKII!$B$4:$K$58,MATCH($A43,DiemHKII!$B$4:$B$58,0),9),""),"")</f>
        <v/>
      </c>
      <c r="F43" s="277" t="str">
        <f>IF($A43&lt;&gt;"",IF(INDEX(DiemHKII!$B$4:$K$58,MATCH($A43,DiemHKII!$B$4:$B$58,0),10)&lt;&gt;"",INDEX(DiemHKII!$B$4:$K$58,MATCH($A43,DiemHKII!$B$4:$B$58,0),10),""),"")</f>
        <v/>
      </c>
      <c r="G43" s="300" t="str">
        <f>IF($A43&lt;&gt;"",IF(INDEX(BDHK2,MATCH($A43,DiemHKII!$B$4:$B$58,0),INDEX($AD$9:$AF$22,MATCH(G$7,$AD$9:$AD$22,0),2))&lt;&gt;"",INDEX(BDHK2,MATCH($A43,DiemHKII!$B$4:$B$58,0),INDEX($AD$9:$AF$22,MATCH(G$7,$AD$9:$AD$22,0),3)),""),"")</f>
        <v/>
      </c>
      <c r="H43" s="301" t="str">
        <f>IF($A43&lt;&gt;"",IF(INDEX(BDHK2,MATCH($A43,DiemHKII!$B$4:$B$58,0),INDEX($AD$9:$AF$22,MATCH(H$7,$AD$9:$AD$22,0),2))&lt;&gt;"",INDEX(BDHK2,MATCH($A43,DiemHKII!$B$4:$B$58,0),INDEX($AD$9:$AF$22,MATCH(H$7,$AD$9:$AD$22,0),3)),""),"")</f>
        <v/>
      </c>
      <c r="I43" s="301" t="str">
        <f>IF($A43&lt;&gt;"",IF(INDEX(BDHK2,MATCH($A43,DiemHKII!$B$4:$B$58,0),INDEX($AD$9:$AF$22,MATCH(I$7,$AD$9:$AD$22,0),2))&lt;&gt;"",INDEX(BDHK2,MATCH($A43,DiemHKII!$B$4:$B$58,0),INDEX($AD$9:$AF$22,MATCH(I$7,$AD$9:$AD$22,0),3)),""),"")</f>
        <v/>
      </c>
      <c r="J43" s="301" t="str">
        <f>IF($A43&lt;&gt;"",IF(INDEX(BDHK2,MATCH($A43,DiemHKII!$B$4:$B$58,0),INDEX($AD$9:$AF$22,MATCH(J$7,$AD$9:$AD$22,0),2))&lt;&gt;"",INDEX(BDHK2,MATCH($A43,DiemHKII!$B$4:$B$58,0),INDEX($AD$9:$AF$22,MATCH(J$7,$AD$9:$AD$22,0),3)),""),"")</f>
        <v/>
      </c>
      <c r="K43" s="301" t="str">
        <f>IF($A43&lt;&gt;"",IF(INDEX(BDHK2,MATCH($A43,DiemHKII!$B$4:$B$58,0),INDEX($AD$9:$AF$22,MATCH(K$7,$AD$9:$AD$22,0),2))&lt;&gt;"",INDEX(BDHK2,MATCH($A43,DiemHKII!$B$4:$B$58,0),INDEX($AD$9:$AF$22,MATCH(K$7,$AD$9:$AD$22,0),3)),""),"")</f>
        <v/>
      </c>
      <c r="L43" s="301" t="str">
        <f>IF($A43&lt;&gt;"",IF(INDEX(BDHK2,MATCH($A43,DiemHKII!$B$4:$B$58,0),INDEX($AD$9:$AF$22,MATCH(L$7,$AD$9:$AD$22,0),2))&lt;&gt;"",INDEX(BDHK2,MATCH($A43,DiemHKII!$B$4:$B$58,0),INDEX($AD$9:$AF$22,MATCH(L$7,$AD$9:$AD$22,0),3)),""),"")</f>
        <v/>
      </c>
      <c r="M43" s="301" t="str">
        <f>IF($A43&lt;&gt;"",IF(INDEX(BDHK2,MATCH($A43,DiemHKII!$B$4:$B$58,0),INDEX($AD$9:$AF$22,MATCH(M$7,$AD$9:$AD$22,0),2))&lt;&gt;"",INDEX(BDHK2,MATCH($A43,DiemHKII!$B$4:$B$58,0),INDEX($AD$9:$AF$22,MATCH(M$7,$AD$9:$AD$22,0),3)),""),"")</f>
        <v/>
      </c>
      <c r="N43" s="301" t="str">
        <f>IF($A43&lt;&gt;"",IF(INDEX(BDHK2,MATCH($A43,DiemHKII!$B$4:$B$58,0),INDEX($AD$9:$AF$22,MATCH(N$7,$AD$9:$AD$22,0),2))&lt;&gt;"",INDEX(BDHK2,MATCH($A43,DiemHKII!$B$4:$B$58,0),INDEX($AD$9:$AF$22,MATCH(N$7,$AD$9:$AD$22,0),3)),""),"")</f>
        <v/>
      </c>
      <c r="O43" s="301" t="str">
        <f>IF($A43&lt;&gt;"",IF(INDEX(BDHK2,MATCH($A43,DiemHKII!$B$4:$B$58,0),INDEX($AD$9:$AF$22,MATCH(O$7,$AD$9:$AD$22,0),2))&lt;&gt;"",INDEX(BDHK2,MATCH($A43,DiemHKII!$B$4:$B$58,0),INDEX($AD$9:$AF$22,MATCH(O$7,$AD$9:$AD$22,0),3)),""),"")</f>
        <v/>
      </c>
      <c r="P43" s="301" t="str">
        <f>IF($A43&lt;&gt;"",IF(INDEX(BDHK2,MATCH($A43,DiemHKII!$B$4:$B$58,0),INDEX($AD$9:$AF$22,MATCH(P$7,$AD$9:$AD$22,0),2))&lt;&gt;"",INDEX(BDHK2,MATCH($A43,DiemHKII!$B$4:$B$58,0),INDEX($AD$9:$AF$22,MATCH(P$7,$AD$9:$AD$22,0),3)),""),"")</f>
        <v/>
      </c>
      <c r="Q43" s="301" t="str">
        <f>IF($A43&lt;&gt;"",IF(INDEX(BDHK2,MATCH($A43,DiemHKII!$B$4:$B$58,0),INDEX($AD$9:$AF$22,MATCH(Q$7,$AD$9:$AD$22,0),2))&lt;&gt;"",INDEX(BDHK2,MATCH($A43,DiemHKII!$B$4:$B$58,0),INDEX($AD$9:$AF$22,MATCH(Q$7,$AD$9:$AD$22,0),3)),""),"")</f>
        <v/>
      </c>
      <c r="R43" s="279" t="str">
        <f>IF($A43&lt;&gt;"",IF(INDEX(BDHK2,MATCH($A43,DiemHKII!$B$4:$B$58,0),INDEX($AD$9:$AF$22,MATCH(R$7,$AD$9:$AD$22,0),2))&lt;&gt;"",INDEX(BDHK2,MATCH($A43,DiemHKII!$B$4:$B$58,0),INDEX($AD$9:$AF$22,MATCH(R$7,$AD$9:$AD$22,0),3)),""),"")</f>
        <v/>
      </c>
      <c r="S43" s="279" t="str">
        <f t="shared" si="8"/>
        <v/>
      </c>
      <c r="T43" s="301" t="str">
        <f>IF($A43&lt;&gt;"",IF(INDEX(BDHK2,MATCH($A43,DiemHKII!$B$4:$B$58,0),INDEX($AD$9:$AF$22,MATCH(T$7,$AD$9:$AD$22,0),2))&lt;&gt;"",INDEX(BDHK2,MATCH($A43,DiemHKII!$B$4:$B$58,0),INDEX($AD$9:$AF$22,MATCH(T$7,$AD$9:$AD$22,0),3)),""),"")</f>
        <v/>
      </c>
      <c r="U43" s="302" t="str">
        <f>IF($A43&lt;&gt;"",IF(INDEX(BDHK2,MATCH($A43,DiemHKII!$B$4:$B$58,0),INDEX($AD$9:$AF$22,MATCH(U$7,$AD$9:$AD$22,0),2))&lt;&gt;"",INDEX(BDHK2,MATCH($A43,DiemHKII!$B$4:$B$58,0),INDEX($AD$9:$AF$22,MATCH(U$7,$AD$9:$AD$22,0),3)),""),"")</f>
        <v/>
      </c>
      <c r="V43" s="278" t="str">
        <f t="shared" si="11"/>
        <v/>
      </c>
      <c r="W43" s="279" t="str">
        <f t="shared" si="9"/>
        <v/>
      </c>
      <c r="X43" s="352"/>
      <c r="Y43" s="280" t="str">
        <f t="shared" si="10"/>
        <v/>
      </c>
      <c r="AA43" s="1"/>
      <c r="AB43" s="644" t="str">
        <f t="shared" si="3"/>
        <v/>
      </c>
      <c r="AG43" s="268" t="str">
        <f>IF($A43&lt;&gt;"",INDEX(DiemHKII!$B$4:$K$58,MATCH($A43,DiemHKII!$B$4:$B$58,0),2),"")</f>
        <v>12A1Võ ThủyVân30/10/2004</v>
      </c>
      <c r="AH43" s="674" t="str">
        <f t="shared" si="7"/>
        <v/>
      </c>
      <c r="AI43" s="672" t="str">
        <f t="shared" ca="1" si="5"/>
        <v/>
      </c>
    </row>
    <row r="44" spans="1:35" s="268" customFormat="1" ht="29.1" customHeight="1">
      <c r="A44" s="281" t="str">
        <f>IF(A43&lt;MAX(DiemHKII!$B$4:$B$58),A43+1,"")</f>
        <v/>
      </c>
      <c r="B44" s="282" t="str">
        <f>IF($A44&lt;&gt;"",PROPER(INDEX(DiemHKII!$B$4:$K$58,MATCH($A44,DiemHKII!$B$4:$B$58,0),4)),"")</f>
        <v/>
      </c>
      <c r="C44" s="283" t="str">
        <f>IF($A44&lt;&gt;"",PROPER(INDEX(DiemHKII!$B$4:$K$58,MATCH($A44,DiemHKII!$B$4:$B$58,0),5)),"")</f>
        <v/>
      </c>
      <c r="D44" s="284" t="str">
        <f>IF($A44&lt;&gt;"",IF(INDEX(DiemHKII!$B$4:$K$58,MATCH($A44,DiemHKII!$B$4:$B$58,0),8)&lt;&gt;"",INDEX(DiemHKII!$B$4:$K$58,MATCH($A44,DiemHKII!$B$4:$B$58,0),8),""),"")</f>
        <v/>
      </c>
      <c r="E44" s="284" t="str">
        <f>IF($A44&lt;&gt;"",IF(INDEX(DiemHKII!$B$4:$K$58,MATCH($A44,DiemHKII!$B$4:$B$58,0),9)&lt;&gt;"",INDEX(DiemHKII!$B$4:$K$58,MATCH($A44,DiemHKII!$B$4:$B$58,0),9),""),"")</f>
        <v/>
      </c>
      <c r="F44" s="284" t="str">
        <f>IF($A44&lt;&gt;"",IF(INDEX(DiemHKII!$B$4:$K$58,MATCH($A44,DiemHKII!$B$4:$B$58,0),10)&lt;&gt;"",INDEX(DiemHKII!$B$4:$K$58,MATCH($A44,DiemHKII!$B$4:$B$58,0),10),""),"")</f>
        <v/>
      </c>
      <c r="G44" s="285" t="str">
        <f>IF($A44&lt;&gt;"",IF(INDEX(BDHK2,MATCH($A44,DiemHKII!$B$4:$B$58,0),INDEX($AD$9:$AF$22,MATCH(G$7,$AD$9:$AD$22,0),2))&lt;&gt;"",INDEX(BDHK2,MATCH($A44,DiemHKII!$B$4:$B$58,0),INDEX($AD$9:$AF$22,MATCH(G$7,$AD$9:$AD$22,0),3)),""),"")</f>
        <v/>
      </c>
      <c r="H44" s="286" t="str">
        <f>IF($A44&lt;&gt;"",IF(INDEX(BDHK2,MATCH($A44,DiemHKII!$B$4:$B$58,0),INDEX($AD$9:$AF$22,MATCH(H$7,$AD$9:$AD$22,0),2))&lt;&gt;"",INDEX(BDHK2,MATCH($A44,DiemHKII!$B$4:$B$58,0),INDEX($AD$9:$AF$22,MATCH(H$7,$AD$9:$AD$22,0),3)),""),"")</f>
        <v/>
      </c>
      <c r="I44" s="286" t="str">
        <f>IF($A44&lt;&gt;"",IF(INDEX(BDHK2,MATCH($A44,DiemHKII!$B$4:$B$58,0),INDEX($AD$9:$AF$22,MATCH(I$7,$AD$9:$AD$22,0),2))&lt;&gt;"",INDEX(BDHK2,MATCH($A44,DiemHKII!$B$4:$B$58,0),INDEX($AD$9:$AF$22,MATCH(I$7,$AD$9:$AD$22,0),3)),""),"")</f>
        <v/>
      </c>
      <c r="J44" s="286" t="str">
        <f>IF($A44&lt;&gt;"",IF(INDEX(BDHK2,MATCH($A44,DiemHKII!$B$4:$B$58,0),INDEX($AD$9:$AF$22,MATCH(J$7,$AD$9:$AD$22,0),2))&lt;&gt;"",INDEX(BDHK2,MATCH($A44,DiemHKII!$B$4:$B$58,0),INDEX($AD$9:$AF$22,MATCH(J$7,$AD$9:$AD$22,0),3)),""),"")</f>
        <v/>
      </c>
      <c r="K44" s="286" t="str">
        <f>IF($A44&lt;&gt;"",IF(INDEX(BDHK2,MATCH($A44,DiemHKII!$B$4:$B$58,0),INDEX($AD$9:$AF$22,MATCH(K$7,$AD$9:$AD$22,0),2))&lt;&gt;"",INDEX(BDHK2,MATCH($A44,DiemHKII!$B$4:$B$58,0),INDEX($AD$9:$AF$22,MATCH(K$7,$AD$9:$AD$22,0),3)),""),"")</f>
        <v/>
      </c>
      <c r="L44" s="286" t="str">
        <f>IF($A44&lt;&gt;"",IF(INDEX(BDHK2,MATCH($A44,DiemHKII!$B$4:$B$58,0),INDEX($AD$9:$AF$22,MATCH(L$7,$AD$9:$AD$22,0),2))&lt;&gt;"",INDEX(BDHK2,MATCH($A44,DiemHKII!$B$4:$B$58,0),INDEX($AD$9:$AF$22,MATCH(L$7,$AD$9:$AD$22,0),3)),""),"")</f>
        <v/>
      </c>
      <c r="M44" s="286" t="str">
        <f>IF($A44&lt;&gt;"",IF(INDEX(BDHK2,MATCH($A44,DiemHKII!$B$4:$B$58,0),INDEX($AD$9:$AF$22,MATCH(M$7,$AD$9:$AD$22,0),2))&lt;&gt;"",INDEX(BDHK2,MATCH($A44,DiemHKII!$B$4:$B$58,0),INDEX($AD$9:$AF$22,MATCH(M$7,$AD$9:$AD$22,0),3)),""),"")</f>
        <v/>
      </c>
      <c r="N44" s="286" t="str">
        <f>IF($A44&lt;&gt;"",IF(INDEX(BDHK2,MATCH($A44,DiemHKII!$B$4:$B$58,0),INDEX($AD$9:$AF$22,MATCH(N$7,$AD$9:$AD$22,0),2))&lt;&gt;"",INDEX(BDHK2,MATCH($A44,DiemHKII!$B$4:$B$58,0),INDEX($AD$9:$AF$22,MATCH(N$7,$AD$9:$AD$22,0),3)),""),"")</f>
        <v/>
      </c>
      <c r="O44" s="286" t="str">
        <f>IF($A44&lt;&gt;"",IF(INDEX(BDHK2,MATCH($A44,DiemHKII!$B$4:$B$58,0),INDEX($AD$9:$AF$22,MATCH(O$7,$AD$9:$AD$22,0),2))&lt;&gt;"",INDEX(BDHK2,MATCH($A44,DiemHKII!$B$4:$B$58,0),INDEX($AD$9:$AF$22,MATCH(O$7,$AD$9:$AD$22,0),3)),""),"")</f>
        <v/>
      </c>
      <c r="P44" s="286" t="str">
        <f>IF($A44&lt;&gt;"",IF(INDEX(BDHK2,MATCH($A44,DiemHKII!$B$4:$B$58,0),INDEX($AD$9:$AF$22,MATCH(P$7,$AD$9:$AD$22,0),2))&lt;&gt;"",INDEX(BDHK2,MATCH($A44,DiemHKII!$B$4:$B$58,0),INDEX($AD$9:$AF$22,MATCH(P$7,$AD$9:$AD$22,0),3)),""),"")</f>
        <v/>
      </c>
      <c r="Q44" s="286" t="str">
        <f>IF($A44&lt;&gt;"",IF(INDEX(BDHK2,MATCH($A44,DiemHKII!$B$4:$B$58,0),INDEX($AD$9:$AF$22,MATCH(Q$7,$AD$9:$AD$22,0),2))&lt;&gt;"",INDEX(BDHK2,MATCH($A44,DiemHKII!$B$4:$B$58,0),INDEX($AD$9:$AF$22,MATCH(Q$7,$AD$9:$AD$22,0),3)),""),"")</f>
        <v/>
      </c>
      <c r="R44" s="464" t="str">
        <f>IF($A44&lt;&gt;"",IF(INDEX(BDHK2,MATCH($A44,DiemHKII!$B$4:$B$58,0),INDEX($AD$9:$AF$22,MATCH(R$7,$AD$9:$AD$22,0),2))&lt;&gt;"",INDEX(BDHK2,MATCH($A44,DiemHKII!$B$4:$B$58,0),INDEX($AD$9:$AF$22,MATCH(R$7,$AD$9:$AD$22,0),3)),""),"")</f>
        <v/>
      </c>
      <c r="S44" s="464" t="str">
        <f t="shared" si="8"/>
        <v/>
      </c>
      <c r="T44" s="286" t="str">
        <f>IF($A44&lt;&gt;"",IF(INDEX(BDHK2,MATCH($A44,DiemHKII!$B$4:$B$58,0),INDEX($AD$9:$AF$22,MATCH(T$7,$AD$9:$AD$22,0),2))&lt;&gt;"",INDEX(BDHK2,MATCH($A44,DiemHKII!$B$4:$B$58,0),INDEX($AD$9:$AF$22,MATCH(T$7,$AD$9:$AD$22,0),3)),""),"")</f>
        <v/>
      </c>
      <c r="U44" s="287" t="str">
        <f>IF($A44&lt;&gt;"",IF(INDEX(BDHK2,MATCH($A44,DiemHKII!$B$4:$B$58,0),INDEX($AD$9:$AF$22,MATCH(U$7,$AD$9:$AD$22,0),2))&lt;&gt;"",INDEX(BDHK2,MATCH($A44,DiemHKII!$B$4:$B$58,0),INDEX($AD$9:$AF$22,MATCH(U$7,$AD$9:$AD$22,0),3)),""),"")</f>
        <v/>
      </c>
      <c r="V44" s="288" t="str">
        <f t="shared" si="11"/>
        <v/>
      </c>
      <c r="W44" s="464" t="str">
        <f t="shared" si="9"/>
        <v/>
      </c>
      <c r="X44" s="353"/>
      <c r="Y44" s="289" t="str">
        <f t="shared" si="10"/>
        <v/>
      </c>
      <c r="AA44" s="1"/>
      <c r="AB44" s="644" t="str">
        <f t="shared" si="3"/>
        <v/>
      </c>
      <c r="AG44" s="268" t="str">
        <f>IF($A44&lt;&gt;"",INDEX(DiemHKII!$B$4:$K$58,MATCH($A44,DiemHKII!$B$4:$B$58,0),2),"")</f>
        <v/>
      </c>
      <c r="AH44" s="674" t="str">
        <f t="shared" si="7"/>
        <v/>
      </c>
      <c r="AI44" s="672" t="str">
        <f t="shared" ca="1" si="5"/>
        <v/>
      </c>
    </row>
    <row r="45" spans="1:35" s="268" customFormat="1" ht="29.1" customHeight="1">
      <c r="A45" s="281" t="str">
        <f>IF(A44&lt;MAX(DiemHKII!$B$4:$B$58),A44+1,"")</f>
        <v/>
      </c>
      <c r="B45" s="282" t="str">
        <f>IF($A45&lt;&gt;"",PROPER(INDEX(DiemHKII!$B$4:$K$58,MATCH($A45,DiemHKII!$B$4:$B$58,0),4)),"")</f>
        <v/>
      </c>
      <c r="C45" s="283" t="str">
        <f>IF($A45&lt;&gt;"",PROPER(INDEX(DiemHKII!$B$4:$K$58,MATCH($A45,DiemHKII!$B$4:$B$58,0),5)),"")</f>
        <v/>
      </c>
      <c r="D45" s="284" t="str">
        <f>IF($A45&lt;&gt;"",IF(INDEX(DiemHKII!$B$4:$K$58,MATCH($A45,DiemHKII!$B$4:$B$58,0),8)&lt;&gt;"",INDEX(DiemHKII!$B$4:$K$58,MATCH($A45,DiemHKII!$B$4:$B$58,0),8),""),"")</f>
        <v/>
      </c>
      <c r="E45" s="284" t="str">
        <f>IF($A45&lt;&gt;"",IF(INDEX(DiemHKII!$B$4:$K$58,MATCH($A45,DiemHKII!$B$4:$B$58,0),9)&lt;&gt;"",INDEX(DiemHKII!$B$4:$K$58,MATCH($A45,DiemHKII!$B$4:$B$58,0),9),""),"")</f>
        <v/>
      </c>
      <c r="F45" s="284" t="str">
        <f>IF($A45&lt;&gt;"",IF(INDEX(DiemHKII!$B$4:$K$58,MATCH($A45,DiemHKII!$B$4:$B$58,0),10)&lt;&gt;"",INDEX(DiemHKII!$B$4:$K$58,MATCH($A45,DiemHKII!$B$4:$B$58,0),10),""),"")</f>
        <v/>
      </c>
      <c r="G45" s="285" t="str">
        <f>IF($A45&lt;&gt;"",IF(INDEX(BDHK2,MATCH($A45,DiemHKII!$B$4:$B$58,0),INDEX($AD$9:$AF$22,MATCH(G$7,$AD$9:$AD$22,0),2))&lt;&gt;"",INDEX(BDHK2,MATCH($A45,DiemHKII!$B$4:$B$58,0),INDEX($AD$9:$AF$22,MATCH(G$7,$AD$9:$AD$22,0),3)),""),"")</f>
        <v/>
      </c>
      <c r="H45" s="286" t="str">
        <f>IF($A45&lt;&gt;"",IF(INDEX(BDHK2,MATCH($A45,DiemHKII!$B$4:$B$58,0),INDEX($AD$9:$AF$22,MATCH(H$7,$AD$9:$AD$22,0),2))&lt;&gt;"",INDEX(BDHK2,MATCH($A45,DiemHKII!$B$4:$B$58,0),INDEX($AD$9:$AF$22,MATCH(H$7,$AD$9:$AD$22,0),3)),""),"")</f>
        <v/>
      </c>
      <c r="I45" s="286" t="str">
        <f>IF($A45&lt;&gt;"",IF(INDEX(BDHK2,MATCH($A45,DiemHKII!$B$4:$B$58,0),INDEX($AD$9:$AF$22,MATCH(I$7,$AD$9:$AD$22,0),2))&lt;&gt;"",INDEX(BDHK2,MATCH($A45,DiemHKII!$B$4:$B$58,0),INDEX($AD$9:$AF$22,MATCH(I$7,$AD$9:$AD$22,0),3)),""),"")</f>
        <v/>
      </c>
      <c r="J45" s="286" t="str">
        <f>IF($A45&lt;&gt;"",IF(INDEX(BDHK2,MATCH($A45,DiemHKII!$B$4:$B$58,0),INDEX($AD$9:$AF$22,MATCH(J$7,$AD$9:$AD$22,0),2))&lt;&gt;"",INDEX(BDHK2,MATCH($A45,DiemHKII!$B$4:$B$58,0),INDEX($AD$9:$AF$22,MATCH(J$7,$AD$9:$AD$22,0),3)),""),"")</f>
        <v/>
      </c>
      <c r="K45" s="286" t="str">
        <f>IF($A45&lt;&gt;"",IF(INDEX(BDHK2,MATCH($A45,DiemHKII!$B$4:$B$58,0),INDEX($AD$9:$AF$22,MATCH(K$7,$AD$9:$AD$22,0),2))&lt;&gt;"",INDEX(BDHK2,MATCH($A45,DiemHKII!$B$4:$B$58,0),INDEX($AD$9:$AF$22,MATCH(K$7,$AD$9:$AD$22,0),3)),""),"")</f>
        <v/>
      </c>
      <c r="L45" s="286" t="str">
        <f>IF($A45&lt;&gt;"",IF(INDEX(BDHK2,MATCH($A45,DiemHKII!$B$4:$B$58,0),INDEX($AD$9:$AF$22,MATCH(L$7,$AD$9:$AD$22,0),2))&lt;&gt;"",INDEX(BDHK2,MATCH($A45,DiemHKII!$B$4:$B$58,0),INDEX($AD$9:$AF$22,MATCH(L$7,$AD$9:$AD$22,0),3)),""),"")</f>
        <v/>
      </c>
      <c r="M45" s="286" t="str">
        <f>IF($A45&lt;&gt;"",IF(INDEX(BDHK2,MATCH($A45,DiemHKII!$B$4:$B$58,0),INDEX($AD$9:$AF$22,MATCH(M$7,$AD$9:$AD$22,0),2))&lt;&gt;"",INDEX(BDHK2,MATCH($A45,DiemHKII!$B$4:$B$58,0),INDEX($AD$9:$AF$22,MATCH(M$7,$AD$9:$AD$22,0),3)),""),"")</f>
        <v/>
      </c>
      <c r="N45" s="286" t="str">
        <f>IF($A45&lt;&gt;"",IF(INDEX(BDHK2,MATCH($A45,DiemHKII!$B$4:$B$58,0),INDEX($AD$9:$AF$22,MATCH(N$7,$AD$9:$AD$22,0),2))&lt;&gt;"",INDEX(BDHK2,MATCH($A45,DiemHKII!$B$4:$B$58,0),INDEX($AD$9:$AF$22,MATCH(N$7,$AD$9:$AD$22,0),3)),""),"")</f>
        <v/>
      </c>
      <c r="O45" s="286" t="str">
        <f>IF($A45&lt;&gt;"",IF(INDEX(BDHK2,MATCH($A45,DiemHKII!$B$4:$B$58,0),INDEX($AD$9:$AF$22,MATCH(O$7,$AD$9:$AD$22,0),2))&lt;&gt;"",INDEX(BDHK2,MATCH($A45,DiemHKII!$B$4:$B$58,0),INDEX($AD$9:$AF$22,MATCH(O$7,$AD$9:$AD$22,0),3)),""),"")</f>
        <v/>
      </c>
      <c r="P45" s="286" t="str">
        <f>IF($A45&lt;&gt;"",IF(INDEX(BDHK2,MATCH($A45,DiemHKII!$B$4:$B$58,0),INDEX($AD$9:$AF$22,MATCH(P$7,$AD$9:$AD$22,0),2))&lt;&gt;"",INDEX(BDHK2,MATCH($A45,DiemHKII!$B$4:$B$58,0),INDEX($AD$9:$AF$22,MATCH(P$7,$AD$9:$AD$22,0),3)),""),"")</f>
        <v/>
      </c>
      <c r="Q45" s="286" t="str">
        <f>IF($A45&lt;&gt;"",IF(INDEX(BDHK2,MATCH($A45,DiemHKII!$B$4:$B$58,0),INDEX($AD$9:$AF$22,MATCH(Q$7,$AD$9:$AD$22,0),2))&lt;&gt;"",INDEX(BDHK2,MATCH($A45,DiemHKII!$B$4:$B$58,0),INDEX($AD$9:$AF$22,MATCH(Q$7,$AD$9:$AD$22,0),3)),""),"")</f>
        <v/>
      </c>
      <c r="R45" s="464" t="str">
        <f>IF($A45&lt;&gt;"",IF(INDEX(BDHK2,MATCH($A45,DiemHKII!$B$4:$B$58,0),INDEX($AD$9:$AF$22,MATCH(R$7,$AD$9:$AD$22,0),2))&lt;&gt;"",INDEX(BDHK2,MATCH($A45,DiemHKII!$B$4:$B$58,0),INDEX($AD$9:$AF$22,MATCH(R$7,$AD$9:$AD$22,0),3)),""),"")</f>
        <v/>
      </c>
      <c r="S45" s="464" t="str">
        <f t="shared" si="8"/>
        <v/>
      </c>
      <c r="T45" s="286" t="str">
        <f>IF($A45&lt;&gt;"",IF(INDEX(BDHK2,MATCH($A45,DiemHKII!$B$4:$B$58,0),INDEX($AD$9:$AF$22,MATCH(T$7,$AD$9:$AD$22,0),2))&lt;&gt;"",INDEX(BDHK2,MATCH($A45,DiemHKII!$B$4:$B$58,0),INDEX($AD$9:$AF$22,MATCH(T$7,$AD$9:$AD$22,0),3)),""),"")</f>
        <v/>
      </c>
      <c r="U45" s="287" t="str">
        <f>IF($A45&lt;&gt;"",IF(INDEX(BDHK2,MATCH($A45,DiemHKII!$B$4:$B$58,0),INDEX($AD$9:$AF$22,MATCH(U$7,$AD$9:$AD$22,0),2))&lt;&gt;"",INDEX(BDHK2,MATCH($A45,DiemHKII!$B$4:$B$58,0),INDEX($AD$9:$AF$22,MATCH(U$7,$AD$9:$AD$22,0),3)),""),"")</f>
        <v/>
      </c>
      <c r="V45" s="288" t="str">
        <f t="shared" si="11"/>
        <v/>
      </c>
      <c r="W45" s="464" t="str">
        <f t="shared" si="9"/>
        <v/>
      </c>
      <c r="X45" s="353"/>
      <c r="Y45" s="289" t="str">
        <f t="shared" si="10"/>
        <v/>
      </c>
      <c r="AA45" s="1"/>
      <c r="AB45" s="644" t="str">
        <f t="shared" si="3"/>
        <v/>
      </c>
      <c r="AG45" s="268" t="str">
        <f>IF($A45&lt;&gt;"",INDEX(DiemHKII!$B$4:$K$58,MATCH($A45,DiemHKII!$B$4:$B$58,0),2),"")</f>
        <v/>
      </c>
      <c r="AH45" s="674" t="str">
        <f t="shared" si="7"/>
        <v/>
      </c>
      <c r="AI45" s="672" t="str">
        <f t="shared" ca="1" si="5"/>
        <v/>
      </c>
    </row>
    <row r="46" spans="1:35" s="268" customFormat="1" ht="29.1" customHeight="1">
      <c r="A46" s="281" t="str">
        <f>IF(A45&lt;MAX(DiemHKII!$B$4:$B$58),A45+1,"")</f>
        <v/>
      </c>
      <c r="B46" s="282" t="str">
        <f>IF($A46&lt;&gt;"",PROPER(INDEX(DiemHKII!$B$4:$K$58,MATCH($A46,DiemHKII!$B$4:$B$58,0),4)),"")</f>
        <v/>
      </c>
      <c r="C46" s="283" t="str">
        <f>IF($A46&lt;&gt;"",PROPER(INDEX(DiemHKII!$B$4:$K$58,MATCH($A46,DiemHKII!$B$4:$B$58,0),5)),"")</f>
        <v/>
      </c>
      <c r="D46" s="284" t="str">
        <f>IF($A46&lt;&gt;"",IF(INDEX(DiemHKII!$B$4:$K$58,MATCH($A46,DiemHKII!$B$4:$B$58,0),8)&lt;&gt;"",INDEX(DiemHKII!$B$4:$K$58,MATCH($A46,DiemHKII!$B$4:$B$58,0),8),""),"")</f>
        <v/>
      </c>
      <c r="E46" s="284" t="str">
        <f>IF($A46&lt;&gt;"",IF(INDEX(DiemHKII!$B$4:$K$58,MATCH($A46,DiemHKII!$B$4:$B$58,0),9)&lt;&gt;"",INDEX(DiemHKII!$B$4:$K$58,MATCH($A46,DiemHKII!$B$4:$B$58,0),9),""),"")</f>
        <v/>
      </c>
      <c r="F46" s="284" t="str">
        <f>IF($A46&lt;&gt;"",IF(INDEX(DiemHKII!$B$4:$K$58,MATCH($A46,DiemHKII!$B$4:$B$58,0),10)&lt;&gt;"",INDEX(DiemHKII!$B$4:$K$58,MATCH($A46,DiemHKII!$B$4:$B$58,0),10),""),"")</f>
        <v/>
      </c>
      <c r="G46" s="285" t="str">
        <f>IF($A46&lt;&gt;"",IF(INDEX(BDHK2,MATCH($A46,DiemHKII!$B$4:$B$58,0),INDEX($AD$9:$AF$22,MATCH(G$7,$AD$9:$AD$22,0),2))&lt;&gt;"",INDEX(BDHK2,MATCH($A46,DiemHKII!$B$4:$B$58,0),INDEX($AD$9:$AF$22,MATCH(G$7,$AD$9:$AD$22,0),3)),""),"")</f>
        <v/>
      </c>
      <c r="H46" s="286" t="str">
        <f>IF($A46&lt;&gt;"",IF(INDEX(BDHK2,MATCH($A46,DiemHKII!$B$4:$B$58,0),INDEX($AD$9:$AF$22,MATCH(H$7,$AD$9:$AD$22,0),2))&lt;&gt;"",INDEX(BDHK2,MATCH($A46,DiemHKII!$B$4:$B$58,0),INDEX($AD$9:$AF$22,MATCH(H$7,$AD$9:$AD$22,0),3)),""),"")</f>
        <v/>
      </c>
      <c r="I46" s="286" t="str">
        <f>IF($A46&lt;&gt;"",IF(INDEX(BDHK2,MATCH($A46,DiemHKII!$B$4:$B$58,0),INDEX($AD$9:$AF$22,MATCH(I$7,$AD$9:$AD$22,0),2))&lt;&gt;"",INDEX(BDHK2,MATCH($A46,DiemHKII!$B$4:$B$58,0),INDEX($AD$9:$AF$22,MATCH(I$7,$AD$9:$AD$22,0),3)),""),"")</f>
        <v/>
      </c>
      <c r="J46" s="286" t="str">
        <f>IF($A46&lt;&gt;"",IF(INDEX(BDHK2,MATCH($A46,DiemHKII!$B$4:$B$58,0),INDEX($AD$9:$AF$22,MATCH(J$7,$AD$9:$AD$22,0),2))&lt;&gt;"",INDEX(BDHK2,MATCH($A46,DiemHKII!$B$4:$B$58,0),INDEX($AD$9:$AF$22,MATCH(J$7,$AD$9:$AD$22,0),3)),""),"")</f>
        <v/>
      </c>
      <c r="K46" s="286" t="str">
        <f>IF($A46&lt;&gt;"",IF(INDEX(BDHK2,MATCH($A46,DiemHKII!$B$4:$B$58,0),INDEX($AD$9:$AF$22,MATCH(K$7,$AD$9:$AD$22,0),2))&lt;&gt;"",INDEX(BDHK2,MATCH($A46,DiemHKII!$B$4:$B$58,0),INDEX($AD$9:$AF$22,MATCH(K$7,$AD$9:$AD$22,0),3)),""),"")</f>
        <v/>
      </c>
      <c r="L46" s="286" t="str">
        <f>IF($A46&lt;&gt;"",IF(INDEX(BDHK2,MATCH($A46,DiemHKII!$B$4:$B$58,0),INDEX($AD$9:$AF$22,MATCH(L$7,$AD$9:$AD$22,0),2))&lt;&gt;"",INDEX(BDHK2,MATCH($A46,DiemHKII!$B$4:$B$58,0),INDEX($AD$9:$AF$22,MATCH(L$7,$AD$9:$AD$22,0),3)),""),"")</f>
        <v/>
      </c>
      <c r="M46" s="286" t="str">
        <f>IF($A46&lt;&gt;"",IF(INDEX(BDHK2,MATCH($A46,DiemHKII!$B$4:$B$58,0),INDEX($AD$9:$AF$22,MATCH(M$7,$AD$9:$AD$22,0),2))&lt;&gt;"",INDEX(BDHK2,MATCH($A46,DiemHKII!$B$4:$B$58,0),INDEX($AD$9:$AF$22,MATCH(M$7,$AD$9:$AD$22,0),3)),""),"")</f>
        <v/>
      </c>
      <c r="N46" s="286" t="str">
        <f>IF($A46&lt;&gt;"",IF(INDEX(BDHK2,MATCH($A46,DiemHKII!$B$4:$B$58,0),INDEX($AD$9:$AF$22,MATCH(N$7,$AD$9:$AD$22,0),2))&lt;&gt;"",INDEX(BDHK2,MATCH($A46,DiemHKII!$B$4:$B$58,0),INDEX($AD$9:$AF$22,MATCH(N$7,$AD$9:$AD$22,0),3)),""),"")</f>
        <v/>
      </c>
      <c r="O46" s="286" t="str">
        <f>IF($A46&lt;&gt;"",IF(INDEX(BDHK2,MATCH($A46,DiemHKII!$B$4:$B$58,0),INDEX($AD$9:$AF$22,MATCH(O$7,$AD$9:$AD$22,0),2))&lt;&gt;"",INDEX(BDHK2,MATCH($A46,DiemHKII!$B$4:$B$58,0),INDEX($AD$9:$AF$22,MATCH(O$7,$AD$9:$AD$22,0),3)),""),"")</f>
        <v/>
      </c>
      <c r="P46" s="286" t="str">
        <f>IF($A46&lt;&gt;"",IF(INDEX(BDHK2,MATCH($A46,DiemHKII!$B$4:$B$58,0),INDEX($AD$9:$AF$22,MATCH(P$7,$AD$9:$AD$22,0),2))&lt;&gt;"",INDEX(BDHK2,MATCH($A46,DiemHKII!$B$4:$B$58,0),INDEX($AD$9:$AF$22,MATCH(P$7,$AD$9:$AD$22,0),3)),""),"")</f>
        <v/>
      </c>
      <c r="Q46" s="286" t="str">
        <f>IF($A46&lt;&gt;"",IF(INDEX(BDHK2,MATCH($A46,DiemHKII!$B$4:$B$58,0),INDEX($AD$9:$AF$22,MATCH(Q$7,$AD$9:$AD$22,0),2))&lt;&gt;"",INDEX(BDHK2,MATCH($A46,DiemHKII!$B$4:$B$58,0),INDEX($AD$9:$AF$22,MATCH(Q$7,$AD$9:$AD$22,0),3)),""),"")</f>
        <v/>
      </c>
      <c r="R46" s="464" t="str">
        <f>IF($A46&lt;&gt;"",IF(INDEX(BDHK2,MATCH($A46,DiemHKII!$B$4:$B$58,0),INDEX($AD$9:$AF$22,MATCH(R$7,$AD$9:$AD$22,0),2))&lt;&gt;"",INDEX(BDHK2,MATCH($A46,DiemHKII!$B$4:$B$58,0),INDEX($AD$9:$AF$22,MATCH(R$7,$AD$9:$AD$22,0),3)),""),"")</f>
        <v/>
      </c>
      <c r="S46" s="464" t="str">
        <f t="shared" si="8"/>
        <v/>
      </c>
      <c r="T46" s="286" t="str">
        <f>IF($A46&lt;&gt;"",IF(INDEX(BDHK2,MATCH($A46,DiemHKII!$B$4:$B$58,0),INDEX($AD$9:$AF$22,MATCH(T$7,$AD$9:$AD$22,0),2))&lt;&gt;"",INDEX(BDHK2,MATCH($A46,DiemHKII!$B$4:$B$58,0),INDEX($AD$9:$AF$22,MATCH(T$7,$AD$9:$AD$22,0),3)),""),"")</f>
        <v/>
      </c>
      <c r="U46" s="287" t="str">
        <f>IF($A46&lt;&gt;"",IF(INDEX(BDHK2,MATCH($A46,DiemHKII!$B$4:$B$58,0),INDEX($AD$9:$AF$22,MATCH(U$7,$AD$9:$AD$22,0),2))&lt;&gt;"",INDEX(BDHK2,MATCH($A46,DiemHKII!$B$4:$B$58,0),INDEX($AD$9:$AF$22,MATCH(U$7,$AD$9:$AD$22,0),3)),""),"")</f>
        <v/>
      </c>
      <c r="V46" s="288" t="str">
        <f t="shared" si="11"/>
        <v/>
      </c>
      <c r="W46" s="464" t="str">
        <f t="shared" si="9"/>
        <v/>
      </c>
      <c r="X46" s="353"/>
      <c r="Y46" s="289" t="str">
        <f t="shared" si="10"/>
        <v/>
      </c>
      <c r="AA46" s="1"/>
      <c r="AB46" s="644" t="str">
        <f t="shared" si="3"/>
        <v/>
      </c>
      <c r="AG46" s="268" t="str">
        <f>IF($A46&lt;&gt;"",INDEX(DiemHKII!$B$4:$K$58,MATCH($A46,DiemHKII!$B$4:$B$58,0),2),"")</f>
        <v/>
      </c>
      <c r="AH46" s="674" t="str">
        <f t="shared" si="7"/>
        <v/>
      </c>
      <c r="AI46" s="672" t="str">
        <f t="shared" ca="1" si="5"/>
        <v/>
      </c>
    </row>
    <row r="47" spans="1:35" s="268" customFormat="1" ht="29.1" customHeight="1" thickBot="1">
      <c r="A47" s="290" t="str">
        <f>IF(A46&lt;MAX(DiemHKII!$B$4:$B$58),A46+1,"")</f>
        <v/>
      </c>
      <c r="B47" s="291" t="str">
        <f>IF($A47&lt;&gt;"",PROPER(INDEX(DiemHKII!$B$4:$K$58,MATCH($A47,DiemHKII!$B$4:$B$58,0),4)),"")</f>
        <v/>
      </c>
      <c r="C47" s="292" t="str">
        <f>IF($A47&lt;&gt;"",PROPER(INDEX(DiemHKII!$B$4:$K$58,MATCH($A47,DiemHKII!$B$4:$B$58,0),5)),"")</f>
        <v/>
      </c>
      <c r="D47" s="293" t="str">
        <f>IF($A47&lt;&gt;"",IF(INDEX(DiemHKII!$B$4:$K$58,MATCH($A47,DiemHKII!$B$4:$B$58,0),8)&lt;&gt;"",INDEX(DiemHKII!$B$4:$K$58,MATCH($A47,DiemHKII!$B$4:$B$58,0),8),""),"")</f>
        <v/>
      </c>
      <c r="E47" s="293" t="str">
        <f>IF($A47&lt;&gt;"",IF(INDEX(DiemHKII!$B$4:$K$58,MATCH($A47,DiemHKII!$B$4:$B$58,0),9)&lt;&gt;"",INDEX(DiemHKII!$B$4:$K$58,MATCH($A47,DiemHKII!$B$4:$B$58,0),9),""),"")</f>
        <v/>
      </c>
      <c r="F47" s="293" t="str">
        <f>IF($A47&lt;&gt;"",IF(INDEX(DiemHKII!$B$4:$K$58,MATCH($A47,DiemHKII!$B$4:$B$58,0),10)&lt;&gt;"",INDEX(DiemHKII!$B$4:$K$58,MATCH($A47,DiemHKII!$B$4:$B$58,0),10),""),"")</f>
        <v/>
      </c>
      <c r="G47" s="294" t="str">
        <f>IF($A47&lt;&gt;"",IF(INDEX(BDHK2,MATCH($A47,DiemHKII!$B$4:$B$58,0),INDEX($AD$9:$AF$22,MATCH(G$7,$AD$9:$AD$22,0),2))&lt;&gt;"",INDEX(BDHK2,MATCH($A47,DiemHKII!$B$4:$B$58,0),INDEX($AD$9:$AF$22,MATCH(G$7,$AD$9:$AD$22,0),3)),""),"")</f>
        <v/>
      </c>
      <c r="H47" s="295" t="str">
        <f>IF($A47&lt;&gt;"",IF(INDEX(BDHK2,MATCH($A47,DiemHKII!$B$4:$B$58,0),INDEX($AD$9:$AF$22,MATCH(H$7,$AD$9:$AD$22,0),2))&lt;&gt;"",INDEX(BDHK2,MATCH($A47,DiemHKII!$B$4:$B$58,0),INDEX($AD$9:$AF$22,MATCH(H$7,$AD$9:$AD$22,0),3)),""),"")</f>
        <v/>
      </c>
      <c r="I47" s="295" t="str">
        <f>IF($A47&lt;&gt;"",IF(INDEX(BDHK2,MATCH($A47,DiemHKII!$B$4:$B$58,0),INDEX($AD$9:$AF$22,MATCH(I$7,$AD$9:$AD$22,0),2))&lt;&gt;"",INDEX(BDHK2,MATCH($A47,DiemHKII!$B$4:$B$58,0),INDEX($AD$9:$AF$22,MATCH(I$7,$AD$9:$AD$22,0),3)),""),"")</f>
        <v/>
      </c>
      <c r="J47" s="295" t="str">
        <f>IF($A47&lt;&gt;"",IF(INDEX(BDHK2,MATCH($A47,DiemHKII!$B$4:$B$58,0),INDEX($AD$9:$AF$22,MATCH(J$7,$AD$9:$AD$22,0),2))&lt;&gt;"",INDEX(BDHK2,MATCH($A47,DiemHKII!$B$4:$B$58,0),INDEX($AD$9:$AF$22,MATCH(J$7,$AD$9:$AD$22,0),3)),""),"")</f>
        <v/>
      </c>
      <c r="K47" s="295" t="str">
        <f>IF($A47&lt;&gt;"",IF(INDEX(BDHK2,MATCH($A47,DiemHKII!$B$4:$B$58,0),INDEX($AD$9:$AF$22,MATCH(K$7,$AD$9:$AD$22,0),2))&lt;&gt;"",INDEX(BDHK2,MATCH($A47,DiemHKII!$B$4:$B$58,0),INDEX($AD$9:$AF$22,MATCH(K$7,$AD$9:$AD$22,0),3)),""),"")</f>
        <v/>
      </c>
      <c r="L47" s="295" t="str">
        <f>IF($A47&lt;&gt;"",IF(INDEX(BDHK2,MATCH($A47,DiemHKII!$B$4:$B$58,0),INDEX($AD$9:$AF$22,MATCH(L$7,$AD$9:$AD$22,0),2))&lt;&gt;"",INDEX(BDHK2,MATCH($A47,DiemHKII!$B$4:$B$58,0),INDEX($AD$9:$AF$22,MATCH(L$7,$AD$9:$AD$22,0),3)),""),"")</f>
        <v/>
      </c>
      <c r="M47" s="295" t="str">
        <f>IF($A47&lt;&gt;"",IF(INDEX(BDHK2,MATCH($A47,DiemHKII!$B$4:$B$58,0),INDEX($AD$9:$AF$22,MATCH(M$7,$AD$9:$AD$22,0),2))&lt;&gt;"",INDEX(BDHK2,MATCH($A47,DiemHKII!$B$4:$B$58,0),INDEX($AD$9:$AF$22,MATCH(M$7,$AD$9:$AD$22,0),3)),""),"")</f>
        <v/>
      </c>
      <c r="N47" s="295" t="str">
        <f>IF($A47&lt;&gt;"",IF(INDEX(BDHK2,MATCH($A47,DiemHKII!$B$4:$B$58,0),INDEX($AD$9:$AF$22,MATCH(N$7,$AD$9:$AD$22,0),2))&lt;&gt;"",INDEX(BDHK2,MATCH($A47,DiemHKII!$B$4:$B$58,0),INDEX($AD$9:$AF$22,MATCH(N$7,$AD$9:$AD$22,0),3)),""),"")</f>
        <v/>
      </c>
      <c r="O47" s="295" t="str">
        <f>IF($A47&lt;&gt;"",IF(INDEX(BDHK2,MATCH($A47,DiemHKII!$B$4:$B$58,0),INDEX($AD$9:$AF$22,MATCH(O$7,$AD$9:$AD$22,0),2))&lt;&gt;"",INDEX(BDHK2,MATCH($A47,DiemHKII!$B$4:$B$58,0),INDEX($AD$9:$AF$22,MATCH(O$7,$AD$9:$AD$22,0),3)),""),"")</f>
        <v/>
      </c>
      <c r="P47" s="295" t="str">
        <f>IF($A47&lt;&gt;"",IF(INDEX(BDHK2,MATCH($A47,DiemHKII!$B$4:$B$58,0),INDEX($AD$9:$AF$22,MATCH(P$7,$AD$9:$AD$22,0),2))&lt;&gt;"",INDEX(BDHK2,MATCH($A47,DiemHKII!$B$4:$B$58,0),INDEX($AD$9:$AF$22,MATCH(P$7,$AD$9:$AD$22,0),3)),""),"")</f>
        <v/>
      </c>
      <c r="Q47" s="295" t="str">
        <f>IF($A47&lt;&gt;"",IF(INDEX(BDHK2,MATCH($A47,DiemHKII!$B$4:$B$58,0),INDEX($AD$9:$AF$22,MATCH(Q$7,$AD$9:$AD$22,0),2))&lt;&gt;"",INDEX(BDHK2,MATCH($A47,DiemHKII!$B$4:$B$58,0),INDEX($AD$9:$AF$22,MATCH(Q$7,$AD$9:$AD$22,0),3)),""),"")</f>
        <v/>
      </c>
      <c r="R47" s="296" t="str">
        <f>IF($A47&lt;&gt;"",IF(INDEX(BDHK2,MATCH($A47,DiemHKII!$B$4:$B$58,0),INDEX($AD$9:$AF$22,MATCH(R$7,$AD$9:$AD$22,0),2))&lt;&gt;"",INDEX(BDHK2,MATCH($A47,DiemHKII!$B$4:$B$58,0),INDEX($AD$9:$AF$22,MATCH(R$7,$AD$9:$AD$22,0),3)),""),"")</f>
        <v/>
      </c>
      <c r="S47" s="296" t="str">
        <f t="shared" si="8"/>
        <v/>
      </c>
      <c r="T47" s="295" t="str">
        <f>IF($A47&lt;&gt;"",IF(INDEX(BDHK2,MATCH($A47,DiemHKII!$B$4:$B$58,0),INDEX($AD$9:$AF$22,MATCH(T$7,$AD$9:$AD$22,0),2))&lt;&gt;"",INDEX(BDHK2,MATCH($A47,DiemHKII!$B$4:$B$58,0),INDEX($AD$9:$AF$22,MATCH(T$7,$AD$9:$AD$22,0),3)),""),"")</f>
        <v/>
      </c>
      <c r="U47" s="297" t="str">
        <f>IF($A47&lt;&gt;"",IF(INDEX(BDHK2,MATCH($A47,DiemHKII!$B$4:$B$58,0),INDEX($AD$9:$AF$22,MATCH(U$7,$AD$9:$AD$22,0),2))&lt;&gt;"",INDEX(BDHK2,MATCH($A47,DiemHKII!$B$4:$B$58,0),INDEX($AD$9:$AF$22,MATCH(U$7,$AD$9:$AD$22,0),3)),""),"")</f>
        <v/>
      </c>
      <c r="V47" s="298" t="str">
        <f t="shared" si="11"/>
        <v/>
      </c>
      <c r="W47" s="296" t="str">
        <f t="shared" si="9"/>
        <v/>
      </c>
      <c r="X47" s="354"/>
      <c r="Y47" s="299" t="str">
        <f t="shared" si="10"/>
        <v/>
      </c>
      <c r="AA47" s="1"/>
      <c r="AB47" s="644" t="str">
        <f t="shared" si="3"/>
        <v/>
      </c>
      <c r="AG47" s="268" t="str">
        <f>IF($A47&lt;&gt;"",INDEX(DiemHKII!$B$4:$K$58,MATCH($A47,DiemHKII!$B$4:$B$58,0),2),"")</f>
        <v/>
      </c>
      <c r="AH47" s="674" t="str">
        <f t="shared" si="7"/>
        <v/>
      </c>
      <c r="AI47" s="672" t="str">
        <f t="shared" ca="1" si="5"/>
        <v/>
      </c>
    </row>
    <row r="48" spans="1:35" s="268" customFormat="1" ht="29.1" hidden="1" customHeight="1">
      <c r="A48" s="274" t="str">
        <f>IF(A47&lt;MAX(DiemHKII!$B$4:$B$58),A47+1,"")</f>
        <v/>
      </c>
      <c r="B48" s="275" t="str">
        <f>IF($A48&lt;&gt;"",PROPER(INDEX(DiemHKII!$B$4:$K$58,MATCH($A48,DiemHKII!$B$4:$B$58,0),4)),"")</f>
        <v/>
      </c>
      <c r="C48" s="276" t="str">
        <f>IF($A48&lt;&gt;"",PROPER(INDEX(DiemHKII!$B$4:$K$58,MATCH($A48,DiemHKII!$B$4:$B$58,0),5)),"")</f>
        <v/>
      </c>
      <c r="D48" s="277" t="str">
        <f>IF($A48&lt;&gt;"",IF(INDEX(DiemHKII!$B$4:$K$58,MATCH($A48,DiemHKII!$B$4:$B$58,0),8)&lt;&gt;"",INDEX(DiemHKII!$B$4:$K$58,MATCH($A48,DiemHKII!$B$4:$B$58,0),8),""),"")</f>
        <v/>
      </c>
      <c r="E48" s="277" t="str">
        <f>IF($A48&lt;&gt;"",IF(INDEX(DiemHKII!$B$4:$K$58,MATCH($A48,DiemHKII!$B$4:$B$58,0),9)&lt;&gt;"",INDEX(DiemHKII!$B$4:$K$58,MATCH($A48,DiemHKII!$B$4:$B$58,0),9),""),"")</f>
        <v/>
      </c>
      <c r="F48" s="277" t="str">
        <f>IF($A48&lt;&gt;"",IF(INDEX(DiemHKII!$B$4:$K$58,MATCH($A48,DiemHKII!$B$4:$B$58,0),10)&lt;&gt;"",INDEX(DiemHKII!$B$4:$K$58,MATCH($A48,DiemHKII!$B$4:$B$58,0),10),""),"")</f>
        <v/>
      </c>
      <c r="G48" s="300" t="str">
        <f>IF($A48&lt;&gt;"",IF(INDEX(BDHK2,MATCH($A48,DiemHKII!$B$4:$B$58,0),INDEX($AD$9:$AF$22,MATCH(G$7,$AD$9:$AD$22,0),2))&lt;&gt;"",INDEX(BDHK2,MATCH($A48,DiemHKII!$B$4:$B$58,0),INDEX($AD$9:$AF$22,MATCH(G$7,$AD$9:$AD$22,0),3)),""),"")</f>
        <v/>
      </c>
      <c r="H48" s="301" t="str">
        <f>IF($A48&lt;&gt;"",IF(INDEX(BDHK2,MATCH($A48,DiemHKII!$B$4:$B$58,0),INDEX($AD$9:$AF$22,MATCH(H$7,$AD$9:$AD$22,0),2))&lt;&gt;"",INDEX(BDHK2,MATCH($A48,DiemHKII!$B$4:$B$58,0),INDEX($AD$9:$AF$22,MATCH(H$7,$AD$9:$AD$22,0),3)),""),"")</f>
        <v/>
      </c>
      <c r="I48" s="301" t="str">
        <f>IF($A48&lt;&gt;"",IF(INDEX(BDHK2,MATCH($A48,DiemHKII!$B$4:$B$58,0),INDEX($AD$9:$AF$22,MATCH(I$7,$AD$9:$AD$22,0),2))&lt;&gt;"",INDEX(BDHK2,MATCH($A48,DiemHKII!$B$4:$B$58,0),INDEX($AD$9:$AF$22,MATCH(I$7,$AD$9:$AD$22,0),3)),""),"")</f>
        <v/>
      </c>
      <c r="J48" s="301" t="str">
        <f>IF($A48&lt;&gt;"",IF(INDEX(BDHK2,MATCH($A48,DiemHKII!$B$4:$B$58,0),INDEX($AD$9:$AF$22,MATCH(J$7,$AD$9:$AD$22,0),2))&lt;&gt;"",INDEX(BDHK2,MATCH($A48,DiemHKII!$B$4:$B$58,0),INDEX($AD$9:$AF$22,MATCH(J$7,$AD$9:$AD$22,0),3)),""),"")</f>
        <v/>
      </c>
      <c r="K48" s="301" t="str">
        <f>IF($A48&lt;&gt;"",IF(INDEX(BDHK2,MATCH($A48,DiemHKII!$B$4:$B$58,0),INDEX($AD$9:$AF$22,MATCH(K$7,$AD$9:$AD$22,0),2))&lt;&gt;"",INDEX(BDHK2,MATCH($A48,DiemHKII!$B$4:$B$58,0),INDEX($AD$9:$AF$22,MATCH(K$7,$AD$9:$AD$22,0),3)),""),"")</f>
        <v/>
      </c>
      <c r="L48" s="301" t="str">
        <f>IF($A48&lt;&gt;"",IF(INDEX(BDHK2,MATCH($A48,DiemHKII!$B$4:$B$58,0),INDEX($AD$9:$AF$22,MATCH(L$7,$AD$9:$AD$22,0),2))&lt;&gt;"",INDEX(BDHK2,MATCH($A48,DiemHKII!$B$4:$B$58,0),INDEX($AD$9:$AF$22,MATCH(L$7,$AD$9:$AD$22,0),3)),""),"")</f>
        <v/>
      </c>
      <c r="M48" s="301" t="str">
        <f>IF($A48&lt;&gt;"",IF(INDEX(BDHK2,MATCH($A48,DiemHKII!$B$4:$B$58,0),INDEX($AD$9:$AF$22,MATCH(M$7,$AD$9:$AD$22,0),2))&lt;&gt;"",INDEX(BDHK2,MATCH($A48,DiemHKII!$B$4:$B$58,0),INDEX($AD$9:$AF$22,MATCH(M$7,$AD$9:$AD$22,0),3)),""),"")</f>
        <v/>
      </c>
      <c r="N48" s="301" t="str">
        <f>IF($A48&lt;&gt;"",IF(INDEX(BDHK2,MATCH($A48,DiemHKII!$B$4:$B$58,0),INDEX($AD$9:$AF$22,MATCH(N$7,$AD$9:$AD$22,0),2))&lt;&gt;"",INDEX(BDHK2,MATCH($A48,DiemHKII!$B$4:$B$58,0),INDEX($AD$9:$AF$22,MATCH(N$7,$AD$9:$AD$22,0),3)),""),"")</f>
        <v/>
      </c>
      <c r="O48" s="301" t="str">
        <f>IF($A48&lt;&gt;"",IF(INDEX(BDHK2,MATCH($A48,DiemHKII!$B$4:$B$58,0),INDEX($AD$9:$AF$22,MATCH(O$7,$AD$9:$AD$22,0),2))&lt;&gt;"",INDEX(BDHK2,MATCH($A48,DiemHKII!$B$4:$B$58,0),INDEX($AD$9:$AF$22,MATCH(O$7,$AD$9:$AD$22,0),3)),""),"")</f>
        <v/>
      </c>
      <c r="P48" s="301" t="str">
        <f>IF($A48&lt;&gt;"",IF(INDEX(BDHK2,MATCH($A48,DiemHKII!$B$4:$B$58,0),INDEX($AD$9:$AF$22,MATCH(P$7,$AD$9:$AD$22,0),2))&lt;&gt;"",INDEX(BDHK2,MATCH($A48,DiemHKII!$B$4:$B$58,0),INDEX($AD$9:$AF$22,MATCH(P$7,$AD$9:$AD$22,0),3)),""),"")</f>
        <v/>
      </c>
      <c r="Q48" s="301" t="str">
        <f>IF($A48&lt;&gt;"",IF(INDEX(BDHK2,MATCH($A48,DiemHKII!$B$4:$B$58,0),INDEX($AD$9:$AF$22,MATCH(Q$7,$AD$9:$AD$22,0),2))&lt;&gt;"",INDEX(BDHK2,MATCH($A48,DiemHKII!$B$4:$B$58,0),INDEX($AD$9:$AF$22,MATCH(Q$7,$AD$9:$AD$22,0),3)),""),"")</f>
        <v/>
      </c>
      <c r="R48" s="279" t="str">
        <f>IF($A48&lt;&gt;"",IF(INDEX(BDHK2,MATCH($A48,DiemHKII!$B$4:$B$58,0),INDEX($AD$9:$AF$22,MATCH(R$7,$AD$9:$AD$22,0),2))&lt;&gt;"",INDEX(BDHK2,MATCH($A48,DiemHKII!$B$4:$B$58,0),INDEX($AD$9:$AF$22,MATCH(R$7,$AD$9:$AD$22,0),3)),""),"")</f>
        <v/>
      </c>
      <c r="S48" s="279" t="str">
        <f t="shared" si="8"/>
        <v/>
      </c>
      <c r="T48" s="301" t="str">
        <f>IF($A48&lt;&gt;"",IF(INDEX(BDHK2,MATCH($A48,DiemHKII!$B$4:$B$58,0),INDEX($AD$9:$AF$22,MATCH(T$7,$AD$9:$AD$22,0),2))&lt;&gt;"",INDEX(BDHK2,MATCH($A48,DiemHKII!$B$4:$B$58,0),INDEX($AD$9:$AF$22,MATCH(T$7,$AD$9:$AD$22,0),3)),""),"")</f>
        <v/>
      </c>
      <c r="U48" s="302" t="str">
        <f>IF($A48&lt;&gt;"",IF(INDEX(BDHK2,MATCH($A48,DiemHKII!$B$4:$B$58,0),INDEX($AD$9:$AF$22,MATCH(U$7,$AD$9:$AD$22,0),2))&lt;&gt;"",INDEX(BDHK2,MATCH($A48,DiemHKII!$B$4:$B$58,0),INDEX($AD$9:$AF$22,MATCH(U$7,$AD$9:$AD$22,0),3)),""),"")</f>
        <v/>
      </c>
      <c r="V48" s="278" t="str">
        <f t="shared" si="11"/>
        <v/>
      </c>
      <c r="W48" s="279" t="str">
        <f t="shared" si="9"/>
        <v/>
      </c>
      <c r="X48" s="352"/>
      <c r="Y48" s="280" t="str">
        <f t="shared" si="10"/>
        <v/>
      </c>
      <c r="AA48" s="1"/>
      <c r="AB48" s="644" t="str">
        <f t="shared" si="3"/>
        <v/>
      </c>
      <c r="AG48" s="268" t="str">
        <f>IF($A48&lt;&gt;"",INDEX(DiemHKII!$B$4:$K$58,MATCH($A48,DiemHKII!$B$4:$B$58,0),2),"")</f>
        <v/>
      </c>
      <c r="AH48" s="674" t="str">
        <f t="shared" si="7"/>
        <v/>
      </c>
      <c r="AI48" s="672" t="str">
        <f t="shared" ca="1" si="5"/>
        <v/>
      </c>
    </row>
    <row r="49" spans="1:35" s="268" customFormat="1" ht="29.1" hidden="1" customHeight="1">
      <c r="A49" s="281" t="str">
        <f>IF(A48&lt;MAX(DiemHKII!$B$4:$B$58),A48+1,"")</f>
        <v/>
      </c>
      <c r="B49" s="282" t="str">
        <f>IF($A49&lt;&gt;"",PROPER(INDEX(DiemHKII!$B$4:$K$58,MATCH($A49,DiemHKII!$B$4:$B$58,0),4)),"")</f>
        <v/>
      </c>
      <c r="C49" s="283" t="str">
        <f>IF($A49&lt;&gt;"",PROPER(INDEX(DiemHKII!$B$4:$K$58,MATCH($A49,DiemHKII!$B$4:$B$58,0),5)),"")</f>
        <v/>
      </c>
      <c r="D49" s="284" t="str">
        <f>IF($A49&lt;&gt;"",IF(INDEX(DiemHKII!$B$4:$K$58,MATCH($A49,DiemHKII!$B$4:$B$58,0),8)&lt;&gt;"",INDEX(DiemHKII!$B$4:$K$58,MATCH($A49,DiemHKII!$B$4:$B$58,0),8),""),"")</f>
        <v/>
      </c>
      <c r="E49" s="284" t="str">
        <f>IF($A49&lt;&gt;"",IF(INDEX(DiemHKII!$B$4:$K$58,MATCH($A49,DiemHKII!$B$4:$B$58,0),9)&lt;&gt;"",INDEX(DiemHKII!$B$4:$K$58,MATCH($A49,DiemHKII!$B$4:$B$58,0),9),""),"")</f>
        <v/>
      </c>
      <c r="F49" s="284" t="str">
        <f>IF($A49&lt;&gt;"",IF(INDEX(DiemHKII!$B$4:$K$58,MATCH($A49,DiemHKII!$B$4:$B$58,0),10)&lt;&gt;"",INDEX(DiemHKII!$B$4:$K$58,MATCH($A49,DiemHKII!$B$4:$B$58,0),10),""),"")</f>
        <v/>
      </c>
      <c r="G49" s="285" t="str">
        <f>IF($A49&lt;&gt;"",IF(INDEX(BDHK2,MATCH($A49,DiemHKII!$B$4:$B$58,0),INDEX($AD$9:$AF$22,MATCH(G$7,$AD$9:$AD$22,0),2))&lt;&gt;"",INDEX(BDHK2,MATCH($A49,DiemHKII!$B$4:$B$58,0),INDEX($AD$9:$AF$22,MATCH(G$7,$AD$9:$AD$22,0),3)),""),"")</f>
        <v/>
      </c>
      <c r="H49" s="286" t="str">
        <f>IF($A49&lt;&gt;"",IF(INDEX(BDHK2,MATCH($A49,DiemHKII!$B$4:$B$58,0),INDEX($AD$9:$AF$22,MATCH(H$7,$AD$9:$AD$22,0),2))&lt;&gt;"",INDEX(BDHK2,MATCH($A49,DiemHKII!$B$4:$B$58,0),INDEX($AD$9:$AF$22,MATCH(H$7,$AD$9:$AD$22,0),3)),""),"")</f>
        <v/>
      </c>
      <c r="I49" s="286" t="str">
        <f>IF($A49&lt;&gt;"",IF(INDEX(BDHK2,MATCH($A49,DiemHKII!$B$4:$B$58,0),INDEX($AD$9:$AF$22,MATCH(I$7,$AD$9:$AD$22,0),2))&lt;&gt;"",INDEX(BDHK2,MATCH($A49,DiemHKII!$B$4:$B$58,0),INDEX($AD$9:$AF$22,MATCH(I$7,$AD$9:$AD$22,0),3)),""),"")</f>
        <v/>
      </c>
      <c r="J49" s="286" t="str">
        <f>IF($A49&lt;&gt;"",IF(INDEX(BDHK2,MATCH($A49,DiemHKII!$B$4:$B$58,0),INDEX($AD$9:$AF$22,MATCH(J$7,$AD$9:$AD$22,0),2))&lt;&gt;"",INDEX(BDHK2,MATCH($A49,DiemHKII!$B$4:$B$58,0),INDEX($AD$9:$AF$22,MATCH(J$7,$AD$9:$AD$22,0),3)),""),"")</f>
        <v/>
      </c>
      <c r="K49" s="286" t="str">
        <f>IF($A49&lt;&gt;"",IF(INDEX(BDHK2,MATCH($A49,DiemHKII!$B$4:$B$58,0),INDEX($AD$9:$AF$22,MATCH(K$7,$AD$9:$AD$22,0),2))&lt;&gt;"",INDEX(BDHK2,MATCH($A49,DiemHKII!$B$4:$B$58,0),INDEX($AD$9:$AF$22,MATCH(K$7,$AD$9:$AD$22,0),3)),""),"")</f>
        <v/>
      </c>
      <c r="L49" s="286" t="str">
        <f>IF($A49&lt;&gt;"",IF(INDEX(BDHK2,MATCH($A49,DiemHKII!$B$4:$B$58,0),INDEX($AD$9:$AF$22,MATCH(L$7,$AD$9:$AD$22,0),2))&lt;&gt;"",INDEX(BDHK2,MATCH($A49,DiemHKII!$B$4:$B$58,0),INDEX($AD$9:$AF$22,MATCH(L$7,$AD$9:$AD$22,0),3)),""),"")</f>
        <v/>
      </c>
      <c r="M49" s="286" t="str">
        <f>IF($A49&lt;&gt;"",IF(INDEX(BDHK2,MATCH($A49,DiemHKII!$B$4:$B$58,0),INDEX($AD$9:$AF$22,MATCH(M$7,$AD$9:$AD$22,0),2))&lt;&gt;"",INDEX(BDHK2,MATCH($A49,DiemHKII!$B$4:$B$58,0),INDEX($AD$9:$AF$22,MATCH(M$7,$AD$9:$AD$22,0),3)),""),"")</f>
        <v/>
      </c>
      <c r="N49" s="286" t="str">
        <f>IF($A49&lt;&gt;"",IF(INDEX(BDHK2,MATCH($A49,DiemHKII!$B$4:$B$58,0),INDEX($AD$9:$AF$22,MATCH(N$7,$AD$9:$AD$22,0),2))&lt;&gt;"",INDEX(BDHK2,MATCH($A49,DiemHKII!$B$4:$B$58,0),INDEX($AD$9:$AF$22,MATCH(N$7,$AD$9:$AD$22,0),3)),""),"")</f>
        <v/>
      </c>
      <c r="O49" s="286" t="str">
        <f>IF($A49&lt;&gt;"",IF(INDEX(BDHK2,MATCH($A49,DiemHKII!$B$4:$B$58,0),INDEX($AD$9:$AF$22,MATCH(O$7,$AD$9:$AD$22,0),2))&lt;&gt;"",INDEX(BDHK2,MATCH($A49,DiemHKII!$B$4:$B$58,0),INDEX($AD$9:$AF$22,MATCH(O$7,$AD$9:$AD$22,0),3)),""),"")</f>
        <v/>
      </c>
      <c r="P49" s="286" t="str">
        <f>IF($A49&lt;&gt;"",IF(INDEX(BDHK2,MATCH($A49,DiemHKII!$B$4:$B$58,0),INDEX($AD$9:$AF$22,MATCH(P$7,$AD$9:$AD$22,0),2))&lt;&gt;"",INDEX(BDHK2,MATCH($A49,DiemHKII!$B$4:$B$58,0),INDEX($AD$9:$AF$22,MATCH(P$7,$AD$9:$AD$22,0),3)),""),"")</f>
        <v/>
      </c>
      <c r="Q49" s="286" t="str">
        <f>IF($A49&lt;&gt;"",IF(INDEX(BDHK2,MATCH($A49,DiemHKII!$B$4:$B$58,0),INDEX($AD$9:$AF$22,MATCH(Q$7,$AD$9:$AD$22,0),2))&lt;&gt;"",INDEX(BDHK2,MATCH($A49,DiemHKII!$B$4:$B$58,0),INDEX($AD$9:$AF$22,MATCH(Q$7,$AD$9:$AD$22,0),3)),""),"")</f>
        <v/>
      </c>
      <c r="R49" s="464" t="str">
        <f>IF($A49&lt;&gt;"",IF(INDEX(BDHK2,MATCH($A49,DiemHKII!$B$4:$B$58,0),INDEX($AD$9:$AF$22,MATCH(R$7,$AD$9:$AD$22,0),2))&lt;&gt;"",INDEX(BDHK2,MATCH($A49,DiemHKII!$B$4:$B$58,0),INDEX($AD$9:$AF$22,MATCH(R$7,$AD$9:$AD$22,0),3)),""),"")</f>
        <v/>
      </c>
      <c r="S49" s="464" t="str">
        <f t="shared" si="8"/>
        <v/>
      </c>
      <c r="T49" s="286" t="str">
        <f>IF($A49&lt;&gt;"",IF(INDEX(BDHK2,MATCH($A49,DiemHKII!$B$4:$B$58,0),INDEX($AD$9:$AF$22,MATCH(T$7,$AD$9:$AD$22,0),2))&lt;&gt;"",INDEX(BDHK2,MATCH($A49,DiemHKII!$B$4:$B$58,0),INDEX($AD$9:$AF$22,MATCH(T$7,$AD$9:$AD$22,0),3)),""),"")</f>
        <v/>
      </c>
      <c r="U49" s="287" t="str">
        <f>IF($A49&lt;&gt;"",IF(INDEX(BDHK2,MATCH($A49,DiemHKII!$B$4:$B$58,0),INDEX($AD$9:$AF$22,MATCH(U$7,$AD$9:$AD$22,0),2))&lt;&gt;"",INDEX(BDHK2,MATCH($A49,DiemHKII!$B$4:$B$58,0),INDEX($AD$9:$AF$22,MATCH(U$7,$AD$9:$AD$22,0),3)),""),"")</f>
        <v/>
      </c>
      <c r="V49" s="288" t="str">
        <f t="shared" si="11"/>
        <v/>
      </c>
      <c r="W49" s="464" t="str">
        <f t="shared" si="9"/>
        <v/>
      </c>
      <c r="X49" s="353"/>
      <c r="Y49" s="289" t="str">
        <f t="shared" si="10"/>
        <v/>
      </c>
      <c r="AA49" s="1"/>
      <c r="AB49" s="644" t="str">
        <f t="shared" si="3"/>
        <v/>
      </c>
      <c r="AG49" s="268" t="str">
        <f>IF($A49&lt;&gt;"",INDEX(DiemHKII!$B$4:$K$58,MATCH($A49,DiemHKII!$B$4:$B$58,0),2),"")</f>
        <v/>
      </c>
      <c r="AH49" s="674" t="str">
        <f t="shared" si="7"/>
        <v/>
      </c>
      <c r="AI49" s="672" t="str">
        <f t="shared" ca="1" si="5"/>
        <v/>
      </c>
    </row>
    <row r="50" spans="1:35" s="268" customFormat="1" ht="29.1" hidden="1" customHeight="1">
      <c r="A50" s="281" t="str">
        <f>IF(A49&lt;MAX(DiemHKII!$B$4:$B$58),A49+1,"")</f>
        <v/>
      </c>
      <c r="B50" s="282" t="str">
        <f>IF($A50&lt;&gt;"",PROPER(INDEX(DiemHKII!$B$4:$K$58,MATCH($A50,DiemHKII!$B$4:$B$58,0),4)),"")</f>
        <v/>
      </c>
      <c r="C50" s="283" t="str">
        <f>IF($A50&lt;&gt;"",PROPER(INDEX(DiemHKII!$B$4:$K$58,MATCH($A50,DiemHKII!$B$4:$B$58,0),5)),"")</f>
        <v/>
      </c>
      <c r="D50" s="284" t="str">
        <f>IF($A50&lt;&gt;"",IF(INDEX(DiemHKII!$B$4:$K$58,MATCH($A50,DiemHKII!$B$4:$B$58,0),8)&lt;&gt;"",INDEX(DiemHKII!$B$4:$K$58,MATCH($A50,DiemHKII!$B$4:$B$58,0),8),""),"")</f>
        <v/>
      </c>
      <c r="E50" s="284" t="str">
        <f>IF($A50&lt;&gt;"",IF(INDEX(DiemHKII!$B$4:$K$58,MATCH($A50,DiemHKII!$B$4:$B$58,0),9)&lt;&gt;"",INDEX(DiemHKII!$B$4:$K$58,MATCH($A50,DiemHKII!$B$4:$B$58,0),9),""),"")</f>
        <v/>
      </c>
      <c r="F50" s="284" t="str">
        <f>IF($A50&lt;&gt;"",IF(INDEX(DiemHKII!$B$4:$K$58,MATCH($A50,DiemHKII!$B$4:$B$58,0),10)&lt;&gt;"",INDEX(DiemHKII!$B$4:$K$58,MATCH($A50,DiemHKII!$B$4:$B$58,0),10),""),"")</f>
        <v/>
      </c>
      <c r="G50" s="285" t="str">
        <f>IF($A50&lt;&gt;"",IF(INDEX(BDHK2,MATCH($A50,DiemHKII!$B$4:$B$58,0),INDEX($AD$9:$AF$22,MATCH(G$7,$AD$9:$AD$22,0),2))&lt;&gt;"",INDEX(BDHK2,MATCH($A50,DiemHKII!$B$4:$B$58,0),INDEX($AD$9:$AF$22,MATCH(G$7,$AD$9:$AD$22,0),3)),""),"")</f>
        <v/>
      </c>
      <c r="H50" s="286" t="str">
        <f>IF($A50&lt;&gt;"",IF(INDEX(BDHK2,MATCH($A50,DiemHKII!$B$4:$B$58,0),INDEX($AD$9:$AF$22,MATCH(H$7,$AD$9:$AD$22,0),2))&lt;&gt;"",INDEX(BDHK2,MATCH($A50,DiemHKII!$B$4:$B$58,0),INDEX($AD$9:$AF$22,MATCH(H$7,$AD$9:$AD$22,0),3)),""),"")</f>
        <v/>
      </c>
      <c r="I50" s="286" t="str">
        <f>IF($A50&lt;&gt;"",IF(INDEX(BDHK2,MATCH($A50,DiemHKII!$B$4:$B$58,0),INDEX($AD$9:$AF$22,MATCH(I$7,$AD$9:$AD$22,0),2))&lt;&gt;"",INDEX(BDHK2,MATCH($A50,DiemHKII!$B$4:$B$58,0),INDEX($AD$9:$AF$22,MATCH(I$7,$AD$9:$AD$22,0),3)),""),"")</f>
        <v/>
      </c>
      <c r="J50" s="286" t="str">
        <f>IF($A50&lt;&gt;"",IF(INDEX(BDHK2,MATCH($A50,DiemHKII!$B$4:$B$58,0),INDEX($AD$9:$AF$22,MATCH(J$7,$AD$9:$AD$22,0),2))&lt;&gt;"",INDEX(BDHK2,MATCH($A50,DiemHKII!$B$4:$B$58,0),INDEX($AD$9:$AF$22,MATCH(J$7,$AD$9:$AD$22,0),3)),""),"")</f>
        <v/>
      </c>
      <c r="K50" s="286" t="str">
        <f>IF($A50&lt;&gt;"",IF(INDEX(BDHK2,MATCH($A50,DiemHKII!$B$4:$B$58,0),INDEX($AD$9:$AF$22,MATCH(K$7,$AD$9:$AD$22,0),2))&lt;&gt;"",INDEX(BDHK2,MATCH($A50,DiemHKII!$B$4:$B$58,0),INDEX($AD$9:$AF$22,MATCH(K$7,$AD$9:$AD$22,0),3)),""),"")</f>
        <v/>
      </c>
      <c r="L50" s="286" t="str">
        <f>IF($A50&lt;&gt;"",IF(INDEX(BDHK2,MATCH($A50,DiemHKII!$B$4:$B$58,0),INDEX($AD$9:$AF$22,MATCH(L$7,$AD$9:$AD$22,0),2))&lt;&gt;"",INDEX(BDHK2,MATCH($A50,DiemHKII!$B$4:$B$58,0),INDEX($AD$9:$AF$22,MATCH(L$7,$AD$9:$AD$22,0),3)),""),"")</f>
        <v/>
      </c>
      <c r="M50" s="286" t="str">
        <f>IF($A50&lt;&gt;"",IF(INDEX(BDHK2,MATCH($A50,DiemHKII!$B$4:$B$58,0),INDEX($AD$9:$AF$22,MATCH(M$7,$AD$9:$AD$22,0),2))&lt;&gt;"",INDEX(BDHK2,MATCH($A50,DiemHKII!$B$4:$B$58,0),INDEX($AD$9:$AF$22,MATCH(M$7,$AD$9:$AD$22,0),3)),""),"")</f>
        <v/>
      </c>
      <c r="N50" s="286" t="str">
        <f>IF($A50&lt;&gt;"",IF(INDEX(BDHK2,MATCH($A50,DiemHKII!$B$4:$B$58,0),INDEX($AD$9:$AF$22,MATCH(N$7,$AD$9:$AD$22,0),2))&lt;&gt;"",INDEX(BDHK2,MATCH($A50,DiemHKII!$B$4:$B$58,0),INDEX($AD$9:$AF$22,MATCH(N$7,$AD$9:$AD$22,0),3)),""),"")</f>
        <v/>
      </c>
      <c r="O50" s="286" t="str">
        <f>IF($A50&lt;&gt;"",IF(INDEX(BDHK2,MATCH($A50,DiemHKII!$B$4:$B$58,0),INDEX($AD$9:$AF$22,MATCH(O$7,$AD$9:$AD$22,0),2))&lt;&gt;"",INDEX(BDHK2,MATCH($A50,DiemHKII!$B$4:$B$58,0),INDEX($AD$9:$AF$22,MATCH(O$7,$AD$9:$AD$22,0),3)),""),"")</f>
        <v/>
      </c>
      <c r="P50" s="286" t="str">
        <f>IF($A50&lt;&gt;"",IF(INDEX(BDHK2,MATCH($A50,DiemHKII!$B$4:$B$58,0),INDEX($AD$9:$AF$22,MATCH(P$7,$AD$9:$AD$22,0),2))&lt;&gt;"",INDEX(BDHK2,MATCH($A50,DiemHKII!$B$4:$B$58,0),INDEX($AD$9:$AF$22,MATCH(P$7,$AD$9:$AD$22,0),3)),""),"")</f>
        <v/>
      </c>
      <c r="Q50" s="286" t="str">
        <f>IF($A50&lt;&gt;"",IF(INDEX(BDHK2,MATCH($A50,DiemHKII!$B$4:$B$58,0),INDEX($AD$9:$AF$22,MATCH(Q$7,$AD$9:$AD$22,0),2))&lt;&gt;"",INDEX(BDHK2,MATCH($A50,DiemHKII!$B$4:$B$58,0),INDEX($AD$9:$AF$22,MATCH(Q$7,$AD$9:$AD$22,0),3)),""),"")</f>
        <v/>
      </c>
      <c r="R50" s="464" t="str">
        <f>IF($A50&lt;&gt;"",IF(INDEX(BDHK2,MATCH($A50,DiemHKII!$B$4:$B$58,0),INDEX($AD$9:$AF$22,MATCH(R$7,$AD$9:$AD$22,0),2))&lt;&gt;"",INDEX(BDHK2,MATCH($A50,DiemHKII!$B$4:$B$58,0),INDEX($AD$9:$AF$22,MATCH(R$7,$AD$9:$AD$22,0),3)),""),"")</f>
        <v/>
      </c>
      <c r="S50" s="464" t="str">
        <f t="shared" si="8"/>
        <v/>
      </c>
      <c r="T50" s="286" t="str">
        <f>IF($A50&lt;&gt;"",IF(INDEX(BDHK2,MATCH($A50,DiemHKII!$B$4:$B$58,0),INDEX($AD$9:$AF$22,MATCH(T$7,$AD$9:$AD$22,0),2))&lt;&gt;"",INDEX(BDHK2,MATCH($A50,DiemHKII!$B$4:$B$58,0),INDEX($AD$9:$AF$22,MATCH(T$7,$AD$9:$AD$22,0),3)),""),"")</f>
        <v/>
      </c>
      <c r="U50" s="287" t="str">
        <f>IF($A50&lt;&gt;"",IF(INDEX(BDHK2,MATCH($A50,DiemHKII!$B$4:$B$58,0),INDEX($AD$9:$AF$22,MATCH(U$7,$AD$9:$AD$22,0),2))&lt;&gt;"",INDEX(BDHK2,MATCH($A50,DiemHKII!$B$4:$B$58,0),INDEX($AD$9:$AF$22,MATCH(U$7,$AD$9:$AD$22,0),3)),""),"")</f>
        <v/>
      </c>
      <c r="V50" s="288" t="str">
        <f t="shared" si="11"/>
        <v/>
      </c>
      <c r="W50" s="464" t="str">
        <f t="shared" si="9"/>
        <v/>
      </c>
      <c r="X50" s="353"/>
      <c r="Y50" s="289" t="str">
        <f t="shared" si="10"/>
        <v/>
      </c>
      <c r="AA50" s="1"/>
      <c r="AB50" s="644" t="str">
        <f t="shared" si="3"/>
        <v/>
      </c>
      <c r="AG50" s="268" t="str">
        <f>IF($A50&lt;&gt;"",INDEX(DiemHKII!$B$4:$K$58,MATCH($A50,DiemHKII!$B$4:$B$58,0),2),"")</f>
        <v/>
      </c>
      <c r="AH50" s="674" t="str">
        <f t="shared" si="7"/>
        <v/>
      </c>
      <c r="AI50" s="672" t="str">
        <f t="shared" ca="1" si="5"/>
        <v/>
      </c>
    </row>
    <row r="51" spans="1:35" s="268" customFormat="1" ht="29.1" hidden="1" customHeight="1">
      <c r="A51" s="281" t="str">
        <f>IF(A50&lt;MAX(DiemHKII!$B$4:$B$58),A50+1,"")</f>
        <v/>
      </c>
      <c r="B51" s="282" t="str">
        <f>IF($A51&lt;&gt;"",PROPER(INDEX(DiemHKII!$B$4:$K$58,MATCH($A51,DiemHKII!$B$4:$B$58,0),4)),"")</f>
        <v/>
      </c>
      <c r="C51" s="283" t="str">
        <f>IF($A51&lt;&gt;"",PROPER(INDEX(DiemHKII!$B$4:$K$58,MATCH($A51,DiemHKII!$B$4:$B$58,0),5)),"")</f>
        <v/>
      </c>
      <c r="D51" s="284" t="str">
        <f>IF($A51&lt;&gt;"",IF(INDEX(DiemHKII!$B$4:$K$58,MATCH($A51,DiemHKII!$B$4:$B$58,0),8)&lt;&gt;"",INDEX(DiemHKII!$B$4:$K$58,MATCH($A51,DiemHKII!$B$4:$B$58,0),8),""),"")</f>
        <v/>
      </c>
      <c r="E51" s="284" t="str">
        <f>IF($A51&lt;&gt;"",IF(INDEX(DiemHKII!$B$4:$K$58,MATCH($A51,DiemHKII!$B$4:$B$58,0),9)&lt;&gt;"",INDEX(DiemHKII!$B$4:$K$58,MATCH($A51,DiemHKII!$B$4:$B$58,0),9),""),"")</f>
        <v/>
      </c>
      <c r="F51" s="284" t="str">
        <f>IF($A51&lt;&gt;"",IF(INDEX(DiemHKII!$B$4:$K$58,MATCH($A51,DiemHKII!$B$4:$B$58,0),10)&lt;&gt;"",INDEX(DiemHKII!$B$4:$K$58,MATCH($A51,DiemHKII!$B$4:$B$58,0),10),""),"")</f>
        <v/>
      </c>
      <c r="G51" s="285" t="str">
        <f>IF($A51&lt;&gt;"",IF(INDEX(BDHK2,MATCH($A51,DiemHKII!$B$4:$B$58,0),INDEX($AD$9:$AF$22,MATCH(G$7,$AD$9:$AD$22,0),2))&lt;&gt;"",INDEX(BDHK2,MATCH($A51,DiemHKII!$B$4:$B$58,0),INDEX($AD$9:$AF$22,MATCH(G$7,$AD$9:$AD$22,0),3)),""),"")</f>
        <v/>
      </c>
      <c r="H51" s="286" t="str">
        <f>IF($A51&lt;&gt;"",IF(INDEX(BDHK2,MATCH($A51,DiemHKII!$B$4:$B$58,0),INDEX($AD$9:$AF$22,MATCH(H$7,$AD$9:$AD$22,0),2))&lt;&gt;"",INDEX(BDHK2,MATCH($A51,DiemHKII!$B$4:$B$58,0),INDEX($AD$9:$AF$22,MATCH(H$7,$AD$9:$AD$22,0),3)),""),"")</f>
        <v/>
      </c>
      <c r="I51" s="286" t="str">
        <f>IF($A51&lt;&gt;"",IF(INDEX(BDHK2,MATCH($A51,DiemHKII!$B$4:$B$58,0),INDEX($AD$9:$AF$22,MATCH(I$7,$AD$9:$AD$22,0),2))&lt;&gt;"",INDEX(BDHK2,MATCH($A51,DiemHKII!$B$4:$B$58,0),INDEX($AD$9:$AF$22,MATCH(I$7,$AD$9:$AD$22,0),3)),""),"")</f>
        <v/>
      </c>
      <c r="J51" s="286" t="str">
        <f>IF($A51&lt;&gt;"",IF(INDEX(BDHK2,MATCH($A51,DiemHKII!$B$4:$B$58,0),INDEX($AD$9:$AF$22,MATCH(J$7,$AD$9:$AD$22,0),2))&lt;&gt;"",INDEX(BDHK2,MATCH($A51,DiemHKII!$B$4:$B$58,0),INDEX($AD$9:$AF$22,MATCH(J$7,$AD$9:$AD$22,0),3)),""),"")</f>
        <v/>
      </c>
      <c r="K51" s="286" t="str">
        <f>IF($A51&lt;&gt;"",IF(INDEX(BDHK2,MATCH($A51,DiemHKII!$B$4:$B$58,0),INDEX($AD$9:$AF$22,MATCH(K$7,$AD$9:$AD$22,0),2))&lt;&gt;"",INDEX(BDHK2,MATCH($A51,DiemHKII!$B$4:$B$58,0),INDEX($AD$9:$AF$22,MATCH(K$7,$AD$9:$AD$22,0),3)),""),"")</f>
        <v/>
      </c>
      <c r="L51" s="286" t="str">
        <f>IF($A51&lt;&gt;"",IF(INDEX(BDHK2,MATCH($A51,DiemHKII!$B$4:$B$58,0),INDEX($AD$9:$AF$22,MATCH(L$7,$AD$9:$AD$22,0),2))&lt;&gt;"",INDEX(BDHK2,MATCH($A51,DiemHKII!$B$4:$B$58,0),INDEX($AD$9:$AF$22,MATCH(L$7,$AD$9:$AD$22,0),3)),""),"")</f>
        <v/>
      </c>
      <c r="M51" s="286" t="str">
        <f>IF($A51&lt;&gt;"",IF(INDEX(BDHK2,MATCH($A51,DiemHKII!$B$4:$B$58,0),INDEX($AD$9:$AF$22,MATCH(M$7,$AD$9:$AD$22,0),2))&lt;&gt;"",INDEX(BDHK2,MATCH($A51,DiemHKII!$B$4:$B$58,0),INDEX($AD$9:$AF$22,MATCH(M$7,$AD$9:$AD$22,0),3)),""),"")</f>
        <v/>
      </c>
      <c r="N51" s="286" t="str">
        <f>IF($A51&lt;&gt;"",IF(INDEX(BDHK2,MATCH($A51,DiemHKII!$B$4:$B$58,0),INDEX($AD$9:$AF$22,MATCH(N$7,$AD$9:$AD$22,0),2))&lt;&gt;"",INDEX(BDHK2,MATCH($A51,DiemHKII!$B$4:$B$58,0),INDEX($AD$9:$AF$22,MATCH(N$7,$AD$9:$AD$22,0),3)),""),"")</f>
        <v/>
      </c>
      <c r="O51" s="286" t="str">
        <f>IF($A51&lt;&gt;"",IF(INDEX(BDHK2,MATCH($A51,DiemHKII!$B$4:$B$58,0),INDEX($AD$9:$AF$22,MATCH(O$7,$AD$9:$AD$22,0),2))&lt;&gt;"",INDEX(BDHK2,MATCH($A51,DiemHKII!$B$4:$B$58,0),INDEX($AD$9:$AF$22,MATCH(O$7,$AD$9:$AD$22,0),3)),""),"")</f>
        <v/>
      </c>
      <c r="P51" s="286" t="str">
        <f>IF($A51&lt;&gt;"",IF(INDEX(BDHK2,MATCH($A51,DiemHKII!$B$4:$B$58,0),INDEX($AD$9:$AF$22,MATCH(P$7,$AD$9:$AD$22,0),2))&lt;&gt;"",INDEX(BDHK2,MATCH($A51,DiemHKII!$B$4:$B$58,0),INDEX($AD$9:$AF$22,MATCH(P$7,$AD$9:$AD$22,0),3)),""),"")</f>
        <v/>
      </c>
      <c r="Q51" s="286" t="str">
        <f>IF($A51&lt;&gt;"",IF(INDEX(BDHK2,MATCH($A51,DiemHKII!$B$4:$B$58,0),INDEX($AD$9:$AF$22,MATCH(Q$7,$AD$9:$AD$22,0),2))&lt;&gt;"",INDEX(BDHK2,MATCH($A51,DiemHKII!$B$4:$B$58,0),INDEX($AD$9:$AF$22,MATCH(Q$7,$AD$9:$AD$22,0),3)),""),"")</f>
        <v/>
      </c>
      <c r="R51" s="464" t="str">
        <f>IF($A51&lt;&gt;"",IF(INDEX(BDHK2,MATCH($A51,DiemHKII!$B$4:$B$58,0),INDEX($AD$9:$AF$22,MATCH(R$7,$AD$9:$AD$22,0),2))&lt;&gt;"",INDEX(BDHK2,MATCH($A51,DiemHKII!$B$4:$B$58,0),INDEX($AD$9:$AF$22,MATCH(R$7,$AD$9:$AD$22,0),3)),""),"")</f>
        <v/>
      </c>
      <c r="S51" s="464" t="str">
        <f t="shared" si="8"/>
        <v/>
      </c>
      <c r="T51" s="286" t="str">
        <f>IF($A51&lt;&gt;"",IF(INDEX(BDHK2,MATCH($A51,DiemHKII!$B$4:$B$58,0),INDEX($AD$9:$AF$22,MATCH(T$7,$AD$9:$AD$22,0),2))&lt;&gt;"",INDEX(BDHK2,MATCH($A51,DiemHKII!$B$4:$B$58,0),INDEX($AD$9:$AF$22,MATCH(T$7,$AD$9:$AD$22,0),3)),""),"")</f>
        <v/>
      </c>
      <c r="U51" s="287" t="str">
        <f>IF($A51&lt;&gt;"",IF(INDEX(BDHK2,MATCH($A51,DiemHKII!$B$4:$B$58,0),INDEX($AD$9:$AF$22,MATCH(U$7,$AD$9:$AD$22,0),2))&lt;&gt;"",INDEX(BDHK2,MATCH($A51,DiemHKII!$B$4:$B$58,0),INDEX($AD$9:$AF$22,MATCH(U$7,$AD$9:$AD$22,0),3)),""),"")</f>
        <v/>
      </c>
      <c r="V51" s="288" t="str">
        <f t="shared" si="11"/>
        <v/>
      </c>
      <c r="W51" s="464" t="str">
        <f t="shared" si="9"/>
        <v/>
      </c>
      <c r="X51" s="353"/>
      <c r="Y51" s="289" t="str">
        <f t="shared" si="10"/>
        <v/>
      </c>
      <c r="AA51" s="1"/>
      <c r="AB51" s="644" t="str">
        <f t="shared" si="3"/>
        <v/>
      </c>
      <c r="AG51" s="268" t="str">
        <f>IF($A51&lt;&gt;"",INDEX(DiemHKII!$B$4:$K$58,MATCH($A51,DiemHKII!$B$4:$B$58,0),2),"")</f>
        <v/>
      </c>
      <c r="AH51" s="674" t="str">
        <f t="shared" si="7"/>
        <v/>
      </c>
      <c r="AI51" s="672" t="str">
        <f t="shared" ca="1" si="5"/>
        <v/>
      </c>
    </row>
    <row r="52" spans="1:35" s="268" customFormat="1" ht="29.1" hidden="1" customHeight="1" thickBot="1">
      <c r="A52" s="290" t="str">
        <f>IF(A51&lt;MAX(DiemHKII!$B$4:$B$58),A51+1,"")</f>
        <v/>
      </c>
      <c r="B52" s="291" t="str">
        <f>IF($A52&lt;&gt;"",PROPER(INDEX(DiemHKII!$B$4:$K$58,MATCH($A52,DiemHKII!$B$4:$B$58,0),4)),"")</f>
        <v/>
      </c>
      <c r="C52" s="292" t="str">
        <f>IF($A52&lt;&gt;"",PROPER(INDEX(DiemHKII!$B$4:$K$58,MATCH($A52,DiemHKII!$B$4:$B$58,0),5)),"")</f>
        <v/>
      </c>
      <c r="D52" s="293" t="str">
        <f>IF($A52&lt;&gt;"",IF(INDEX(DiemHKII!$B$4:$K$58,MATCH($A52,DiemHKII!$B$4:$B$58,0),8)&lt;&gt;"",INDEX(DiemHKII!$B$4:$K$58,MATCH($A52,DiemHKII!$B$4:$B$58,0),8),""),"")</f>
        <v/>
      </c>
      <c r="E52" s="293" t="str">
        <f>IF($A52&lt;&gt;"",IF(INDEX(DiemHKII!$B$4:$K$58,MATCH($A52,DiemHKII!$B$4:$B$58,0),9)&lt;&gt;"",INDEX(DiemHKII!$B$4:$K$58,MATCH($A52,DiemHKII!$B$4:$B$58,0),9),""),"")</f>
        <v/>
      </c>
      <c r="F52" s="293" t="str">
        <f>IF($A52&lt;&gt;"",IF(INDEX(DiemHKII!$B$4:$K$58,MATCH($A52,DiemHKII!$B$4:$B$58,0),10)&lt;&gt;"",INDEX(DiemHKII!$B$4:$K$58,MATCH($A52,DiemHKII!$B$4:$B$58,0),10),""),"")</f>
        <v/>
      </c>
      <c r="G52" s="294" t="str">
        <f>IF($A52&lt;&gt;"",IF(INDEX(BDHK2,MATCH($A52,DiemHKII!$B$4:$B$58,0),INDEX($AD$9:$AF$22,MATCH(G$7,$AD$9:$AD$22,0),2))&lt;&gt;"",INDEX(BDHK2,MATCH($A52,DiemHKII!$B$4:$B$58,0),INDEX($AD$9:$AF$22,MATCH(G$7,$AD$9:$AD$22,0),3)),""),"")</f>
        <v/>
      </c>
      <c r="H52" s="295" t="str">
        <f>IF($A52&lt;&gt;"",IF(INDEX(BDHK2,MATCH($A52,DiemHKII!$B$4:$B$58,0),INDEX($AD$9:$AF$22,MATCH(H$7,$AD$9:$AD$22,0),2))&lt;&gt;"",INDEX(BDHK2,MATCH($A52,DiemHKII!$B$4:$B$58,0),INDEX($AD$9:$AF$22,MATCH(H$7,$AD$9:$AD$22,0),3)),""),"")</f>
        <v/>
      </c>
      <c r="I52" s="295" t="str">
        <f>IF($A52&lt;&gt;"",IF(INDEX(BDHK2,MATCH($A52,DiemHKII!$B$4:$B$58,0),INDEX($AD$9:$AF$22,MATCH(I$7,$AD$9:$AD$22,0),2))&lt;&gt;"",INDEX(BDHK2,MATCH($A52,DiemHKII!$B$4:$B$58,0),INDEX($AD$9:$AF$22,MATCH(I$7,$AD$9:$AD$22,0),3)),""),"")</f>
        <v/>
      </c>
      <c r="J52" s="295" t="str">
        <f>IF($A52&lt;&gt;"",IF(INDEX(BDHK2,MATCH($A52,DiemHKII!$B$4:$B$58,0),INDEX($AD$9:$AF$22,MATCH(J$7,$AD$9:$AD$22,0),2))&lt;&gt;"",INDEX(BDHK2,MATCH($A52,DiemHKII!$B$4:$B$58,0),INDEX($AD$9:$AF$22,MATCH(J$7,$AD$9:$AD$22,0),3)),""),"")</f>
        <v/>
      </c>
      <c r="K52" s="295" t="str">
        <f>IF($A52&lt;&gt;"",IF(INDEX(BDHK2,MATCH($A52,DiemHKII!$B$4:$B$58,0),INDEX($AD$9:$AF$22,MATCH(K$7,$AD$9:$AD$22,0),2))&lt;&gt;"",INDEX(BDHK2,MATCH($A52,DiemHKII!$B$4:$B$58,0),INDEX($AD$9:$AF$22,MATCH(K$7,$AD$9:$AD$22,0),3)),""),"")</f>
        <v/>
      </c>
      <c r="L52" s="295" t="str">
        <f>IF($A52&lt;&gt;"",IF(INDEX(BDHK2,MATCH($A52,DiemHKII!$B$4:$B$58,0),INDEX($AD$9:$AF$22,MATCH(L$7,$AD$9:$AD$22,0),2))&lt;&gt;"",INDEX(BDHK2,MATCH($A52,DiemHKII!$B$4:$B$58,0),INDEX($AD$9:$AF$22,MATCH(L$7,$AD$9:$AD$22,0),3)),""),"")</f>
        <v/>
      </c>
      <c r="M52" s="295" t="str">
        <f>IF($A52&lt;&gt;"",IF(INDEX(BDHK2,MATCH($A52,DiemHKII!$B$4:$B$58,0),INDEX($AD$9:$AF$22,MATCH(M$7,$AD$9:$AD$22,0),2))&lt;&gt;"",INDEX(BDHK2,MATCH($A52,DiemHKII!$B$4:$B$58,0),INDEX($AD$9:$AF$22,MATCH(M$7,$AD$9:$AD$22,0),3)),""),"")</f>
        <v/>
      </c>
      <c r="N52" s="295" t="str">
        <f>IF($A52&lt;&gt;"",IF(INDEX(BDHK2,MATCH($A52,DiemHKII!$B$4:$B$58,0),INDEX($AD$9:$AF$22,MATCH(N$7,$AD$9:$AD$22,0),2))&lt;&gt;"",INDEX(BDHK2,MATCH($A52,DiemHKII!$B$4:$B$58,0),INDEX($AD$9:$AF$22,MATCH(N$7,$AD$9:$AD$22,0),3)),""),"")</f>
        <v/>
      </c>
      <c r="O52" s="295" t="str">
        <f>IF($A52&lt;&gt;"",IF(INDEX(BDHK2,MATCH($A52,DiemHKII!$B$4:$B$58,0),INDEX($AD$9:$AF$22,MATCH(O$7,$AD$9:$AD$22,0),2))&lt;&gt;"",INDEX(BDHK2,MATCH($A52,DiemHKII!$B$4:$B$58,0),INDEX($AD$9:$AF$22,MATCH(O$7,$AD$9:$AD$22,0),3)),""),"")</f>
        <v/>
      </c>
      <c r="P52" s="295" t="str">
        <f>IF($A52&lt;&gt;"",IF(INDEX(BDHK2,MATCH($A52,DiemHKII!$B$4:$B$58,0),INDEX($AD$9:$AF$22,MATCH(P$7,$AD$9:$AD$22,0),2))&lt;&gt;"",INDEX(BDHK2,MATCH($A52,DiemHKII!$B$4:$B$58,0),INDEX($AD$9:$AF$22,MATCH(P$7,$AD$9:$AD$22,0),3)),""),"")</f>
        <v/>
      </c>
      <c r="Q52" s="295" t="str">
        <f>IF($A52&lt;&gt;"",IF(INDEX(BDHK2,MATCH($A52,DiemHKII!$B$4:$B$58,0),INDEX($AD$9:$AF$22,MATCH(Q$7,$AD$9:$AD$22,0),2))&lt;&gt;"",INDEX(BDHK2,MATCH($A52,DiemHKII!$B$4:$B$58,0),INDEX($AD$9:$AF$22,MATCH(Q$7,$AD$9:$AD$22,0),3)),""),"")</f>
        <v/>
      </c>
      <c r="R52" s="296" t="str">
        <f>IF($A52&lt;&gt;"",IF(INDEX(BDHK2,MATCH($A52,DiemHKII!$B$4:$B$58,0),INDEX($AD$9:$AF$22,MATCH(R$7,$AD$9:$AD$22,0),2))&lt;&gt;"",INDEX(BDHK2,MATCH($A52,DiemHKII!$B$4:$B$58,0),INDEX($AD$9:$AF$22,MATCH(R$7,$AD$9:$AD$22,0),3)),""),"")</f>
        <v/>
      </c>
      <c r="S52" s="296" t="str">
        <f t="shared" si="8"/>
        <v/>
      </c>
      <c r="T52" s="295" t="str">
        <f>IF($A52&lt;&gt;"",IF(INDEX(BDHK2,MATCH($A52,DiemHKII!$B$4:$B$58,0),INDEX($AD$9:$AF$22,MATCH(T$7,$AD$9:$AD$22,0),2))&lt;&gt;"",INDEX(BDHK2,MATCH($A52,DiemHKII!$B$4:$B$58,0),INDEX($AD$9:$AF$22,MATCH(T$7,$AD$9:$AD$22,0),3)),""),"")</f>
        <v/>
      </c>
      <c r="U52" s="297" t="str">
        <f>IF($A52&lt;&gt;"",IF(INDEX(BDHK2,MATCH($A52,DiemHKII!$B$4:$B$58,0),INDEX($AD$9:$AF$22,MATCH(U$7,$AD$9:$AD$22,0),2))&lt;&gt;"",INDEX(BDHK2,MATCH($A52,DiemHKII!$B$4:$B$58,0),INDEX($AD$9:$AF$22,MATCH(U$7,$AD$9:$AD$22,0),3)),""),"")</f>
        <v/>
      </c>
      <c r="V52" s="298" t="str">
        <f t="shared" si="11"/>
        <v/>
      </c>
      <c r="W52" s="296" t="str">
        <f t="shared" si="9"/>
        <v/>
      </c>
      <c r="X52" s="354"/>
      <c r="Y52" s="299" t="str">
        <f t="shared" si="10"/>
        <v/>
      </c>
      <c r="AA52" s="1"/>
      <c r="AB52" s="644" t="str">
        <f t="shared" si="3"/>
        <v/>
      </c>
      <c r="AG52" s="268" t="str">
        <f>IF($A52&lt;&gt;"",INDEX(DiemHKII!$B$4:$K$58,MATCH($A52,DiemHKII!$B$4:$B$58,0),2),"")</f>
        <v/>
      </c>
      <c r="AH52" s="674" t="str">
        <f t="shared" si="7"/>
        <v/>
      </c>
      <c r="AI52" s="672" t="str">
        <f t="shared" ca="1" si="5"/>
        <v/>
      </c>
    </row>
    <row r="53" spans="1:35" s="268" customFormat="1" ht="29.1" hidden="1" customHeight="1">
      <c r="A53" s="274" t="str">
        <f>IF(A52&lt;MAX(DiemHKII!$B$4:$B$58),A52+1,"")</f>
        <v/>
      </c>
      <c r="B53" s="275" t="str">
        <f>IF($A53&lt;&gt;"",PROPER(INDEX(DiemHKII!$B$4:$K$58,MATCH($A53,DiemHKII!$B$4:$B$58,0),4)),"")</f>
        <v/>
      </c>
      <c r="C53" s="276" t="str">
        <f>IF($A53&lt;&gt;"",PROPER(INDEX(DiemHKII!$B$4:$K$58,MATCH($A53,DiemHKII!$B$4:$B$58,0),5)),"")</f>
        <v/>
      </c>
      <c r="D53" s="277" t="str">
        <f>IF($A53&lt;&gt;"",IF(INDEX(DiemHKII!$B$4:$K$58,MATCH($A53,DiemHKII!$B$4:$B$58,0),8)&lt;&gt;"",INDEX(DiemHKII!$B$4:$K$58,MATCH($A53,DiemHKII!$B$4:$B$58,0),8),""),"")</f>
        <v/>
      </c>
      <c r="E53" s="277" t="str">
        <f>IF($A53&lt;&gt;"",IF(INDEX(DiemHKII!$B$4:$K$58,MATCH($A53,DiemHKII!$B$4:$B$58,0),9)&lt;&gt;"",INDEX(DiemHKII!$B$4:$K$58,MATCH($A53,DiemHKII!$B$4:$B$58,0),9),""),"")</f>
        <v/>
      </c>
      <c r="F53" s="277" t="str">
        <f>IF($A53&lt;&gt;"",IF(INDEX(DiemHKII!$B$4:$K$58,MATCH($A53,DiemHKII!$B$4:$B$58,0),10)&lt;&gt;"",INDEX(DiemHKII!$B$4:$K$58,MATCH($A53,DiemHKII!$B$4:$B$58,0),10),""),"")</f>
        <v/>
      </c>
      <c r="G53" s="300" t="str">
        <f>IF($A53&lt;&gt;"",IF(INDEX(BDHK2,MATCH($A53,DiemHKII!$B$4:$B$58,0),INDEX($AD$9:$AF$22,MATCH(G$7,$AD$9:$AD$22,0),2))&lt;&gt;"",INDEX(BDHK2,MATCH($A53,DiemHKII!$B$4:$B$58,0),INDEX($AD$9:$AF$22,MATCH(G$7,$AD$9:$AD$22,0),3)),""),"")</f>
        <v/>
      </c>
      <c r="H53" s="301" t="str">
        <f>IF($A53&lt;&gt;"",IF(INDEX(BDHK2,MATCH($A53,DiemHKII!$B$4:$B$58,0),INDEX($AD$9:$AF$22,MATCH(H$7,$AD$9:$AD$22,0),2))&lt;&gt;"",INDEX(BDHK2,MATCH($A53,DiemHKII!$B$4:$B$58,0),INDEX($AD$9:$AF$22,MATCH(H$7,$AD$9:$AD$22,0),3)),""),"")</f>
        <v/>
      </c>
      <c r="I53" s="301" t="str">
        <f>IF($A53&lt;&gt;"",IF(INDEX(BDHK2,MATCH($A53,DiemHKII!$B$4:$B$58,0),INDEX($AD$9:$AF$22,MATCH(I$7,$AD$9:$AD$22,0),2))&lt;&gt;"",INDEX(BDHK2,MATCH($A53,DiemHKII!$B$4:$B$58,0),INDEX($AD$9:$AF$22,MATCH(I$7,$AD$9:$AD$22,0),3)),""),"")</f>
        <v/>
      </c>
      <c r="J53" s="301" t="str">
        <f>IF($A53&lt;&gt;"",IF(INDEX(BDHK2,MATCH($A53,DiemHKII!$B$4:$B$58,0),INDEX($AD$9:$AF$22,MATCH(J$7,$AD$9:$AD$22,0),2))&lt;&gt;"",INDEX(BDHK2,MATCH($A53,DiemHKII!$B$4:$B$58,0),INDEX($AD$9:$AF$22,MATCH(J$7,$AD$9:$AD$22,0),3)),""),"")</f>
        <v/>
      </c>
      <c r="K53" s="301" t="str">
        <f>IF($A53&lt;&gt;"",IF(INDEX(BDHK2,MATCH($A53,DiemHKII!$B$4:$B$58,0),INDEX($AD$9:$AF$22,MATCH(K$7,$AD$9:$AD$22,0),2))&lt;&gt;"",INDEX(BDHK2,MATCH($A53,DiemHKII!$B$4:$B$58,0),INDEX($AD$9:$AF$22,MATCH(K$7,$AD$9:$AD$22,0),3)),""),"")</f>
        <v/>
      </c>
      <c r="L53" s="301" t="str">
        <f>IF($A53&lt;&gt;"",IF(INDEX(BDHK2,MATCH($A53,DiemHKII!$B$4:$B$58,0),INDEX($AD$9:$AF$22,MATCH(L$7,$AD$9:$AD$22,0),2))&lt;&gt;"",INDEX(BDHK2,MATCH($A53,DiemHKII!$B$4:$B$58,0),INDEX($AD$9:$AF$22,MATCH(L$7,$AD$9:$AD$22,0),3)),""),"")</f>
        <v/>
      </c>
      <c r="M53" s="301" t="str">
        <f>IF($A53&lt;&gt;"",IF(INDEX(BDHK2,MATCH($A53,DiemHKII!$B$4:$B$58,0),INDEX($AD$9:$AF$22,MATCH(M$7,$AD$9:$AD$22,0),2))&lt;&gt;"",INDEX(BDHK2,MATCH($A53,DiemHKII!$B$4:$B$58,0),INDEX($AD$9:$AF$22,MATCH(M$7,$AD$9:$AD$22,0),3)),""),"")</f>
        <v/>
      </c>
      <c r="N53" s="301" t="str">
        <f>IF($A53&lt;&gt;"",IF(INDEX(BDHK2,MATCH($A53,DiemHKII!$B$4:$B$58,0),INDEX($AD$9:$AF$22,MATCH(N$7,$AD$9:$AD$22,0),2))&lt;&gt;"",INDEX(BDHK2,MATCH($A53,DiemHKII!$B$4:$B$58,0),INDEX($AD$9:$AF$22,MATCH(N$7,$AD$9:$AD$22,0),3)),""),"")</f>
        <v/>
      </c>
      <c r="O53" s="301" t="str">
        <f>IF($A53&lt;&gt;"",IF(INDEX(BDHK2,MATCH($A53,DiemHKII!$B$4:$B$58,0),INDEX($AD$9:$AF$22,MATCH(O$7,$AD$9:$AD$22,0),2))&lt;&gt;"",INDEX(BDHK2,MATCH($A53,DiemHKII!$B$4:$B$58,0),INDEX($AD$9:$AF$22,MATCH(O$7,$AD$9:$AD$22,0),3)),""),"")</f>
        <v/>
      </c>
      <c r="P53" s="301" t="str">
        <f>IF($A53&lt;&gt;"",IF(INDEX(BDHK2,MATCH($A53,DiemHKII!$B$4:$B$58,0),INDEX($AD$9:$AF$22,MATCH(P$7,$AD$9:$AD$22,0),2))&lt;&gt;"",INDEX(BDHK2,MATCH($A53,DiemHKII!$B$4:$B$58,0),INDEX($AD$9:$AF$22,MATCH(P$7,$AD$9:$AD$22,0),3)),""),"")</f>
        <v/>
      </c>
      <c r="Q53" s="301" t="str">
        <f>IF($A53&lt;&gt;"",IF(INDEX(BDHK2,MATCH($A53,DiemHKII!$B$4:$B$58,0),INDEX($AD$9:$AF$22,MATCH(Q$7,$AD$9:$AD$22,0),2))&lt;&gt;"",INDEX(BDHK2,MATCH($A53,DiemHKII!$B$4:$B$58,0),INDEX($AD$9:$AF$22,MATCH(Q$7,$AD$9:$AD$22,0),3)),""),"")</f>
        <v/>
      </c>
      <c r="R53" s="279" t="str">
        <f>IF($A53&lt;&gt;"",IF(INDEX(BDHK2,MATCH($A53,DiemHKII!$B$4:$B$58,0),INDEX($AD$9:$AF$22,MATCH(R$7,$AD$9:$AD$22,0),2))&lt;&gt;"",INDEX(BDHK2,MATCH($A53,DiemHKII!$B$4:$B$58,0),INDEX($AD$9:$AF$22,MATCH(R$7,$AD$9:$AD$22,0),3)),""),"")</f>
        <v/>
      </c>
      <c r="S53" s="279" t="str">
        <f t="shared" si="8"/>
        <v/>
      </c>
      <c r="T53" s="301" t="str">
        <f>IF($A53&lt;&gt;"",IF(INDEX(BDHK2,MATCH($A53,DiemHKII!$B$4:$B$58,0),INDEX($AD$9:$AF$22,MATCH(T$7,$AD$9:$AD$22,0),2))&lt;&gt;"",INDEX(BDHK2,MATCH($A53,DiemHKII!$B$4:$B$58,0),INDEX($AD$9:$AF$22,MATCH(T$7,$AD$9:$AD$22,0),3)),""),"")</f>
        <v/>
      </c>
      <c r="U53" s="302" t="str">
        <f>IF($A53&lt;&gt;"",IF(INDEX(BDHK2,MATCH($A53,DiemHKII!$B$4:$B$58,0),INDEX($AD$9:$AF$22,MATCH(U$7,$AD$9:$AD$22,0),2))&lt;&gt;"",INDEX(BDHK2,MATCH($A53,DiemHKII!$B$4:$B$58,0),INDEX($AD$9:$AF$22,MATCH(U$7,$AD$9:$AD$22,0),3)),""),"")</f>
        <v/>
      </c>
      <c r="V53" s="278" t="str">
        <f t="shared" si="11"/>
        <v/>
      </c>
      <c r="W53" s="279" t="str">
        <f t="shared" si="9"/>
        <v/>
      </c>
      <c r="X53" s="352"/>
      <c r="Y53" s="280" t="str">
        <f t="shared" si="10"/>
        <v/>
      </c>
      <c r="AA53" s="1"/>
      <c r="AB53" s="644" t="str">
        <f t="shared" si="3"/>
        <v/>
      </c>
      <c r="AG53" s="268" t="str">
        <f>IF($A53&lt;&gt;"",INDEX(DiemHKII!$B$4:$K$58,MATCH($A53,DiemHKII!$B$4:$B$58,0),2),"")</f>
        <v/>
      </c>
      <c r="AH53" s="674" t="str">
        <f t="shared" si="7"/>
        <v/>
      </c>
      <c r="AI53" s="672" t="str">
        <f t="shared" ca="1" si="5"/>
        <v/>
      </c>
    </row>
    <row r="54" spans="1:35" s="268" customFormat="1" ht="29.1" hidden="1" customHeight="1">
      <c r="A54" s="281" t="str">
        <f>IF(A53&lt;MAX(DiemHKII!$B$4:$B$58),A53+1,"")</f>
        <v/>
      </c>
      <c r="B54" s="282" t="str">
        <f>IF($A54&lt;&gt;"",PROPER(INDEX(DiemHKII!$B$4:$K$58,MATCH($A54,DiemHKII!$B$4:$B$58,0),4)),"")</f>
        <v/>
      </c>
      <c r="C54" s="283" t="str">
        <f>IF($A54&lt;&gt;"",PROPER(INDEX(DiemHKII!$B$4:$K$58,MATCH($A54,DiemHKII!$B$4:$B$58,0),5)),"")</f>
        <v/>
      </c>
      <c r="D54" s="284" t="str">
        <f>IF($A54&lt;&gt;"",IF(INDEX(DiemHKII!$B$4:$K$58,MATCH($A54,DiemHKII!$B$4:$B$58,0),8)&lt;&gt;"",INDEX(DiemHKII!$B$4:$K$58,MATCH($A54,DiemHKII!$B$4:$B$58,0),8),""),"")</f>
        <v/>
      </c>
      <c r="E54" s="284" t="str">
        <f>IF($A54&lt;&gt;"",IF(INDEX(DiemHKII!$B$4:$K$58,MATCH($A54,DiemHKII!$B$4:$B$58,0),9)&lt;&gt;"",INDEX(DiemHKII!$B$4:$K$58,MATCH($A54,DiemHKII!$B$4:$B$58,0),9),""),"")</f>
        <v/>
      </c>
      <c r="F54" s="284" t="str">
        <f>IF($A54&lt;&gt;"",IF(INDEX(DiemHKII!$B$4:$K$58,MATCH($A54,DiemHKII!$B$4:$B$58,0),10)&lt;&gt;"",INDEX(DiemHKII!$B$4:$K$58,MATCH($A54,DiemHKII!$B$4:$B$58,0),10),""),"")</f>
        <v/>
      </c>
      <c r="G54" s="285" t="str">
        <f>IF($A54&lt;&gt;"",IF(INDEX(BDHK2,MATCH($A54,DiemHKII!$B$4:$B$58,0),INDEX($AD$9:$AF$22,MATCH(G$7,$AD$9:$AD$22,0),2))&lt;&gt;"",INDEX(BDHK2,MATCH($A54,DiemHKII!$B$4:$B$58,0),INDEX($AD$9:$AF$22,MATCH(G$7,$AD$9:$AD$22,0),3)),""),"")</f>
        <v/>
      </c>
      <c r="H54" s="286" t="str">
        <f>IF($A54&lt;&gt;"",IF(INDEX(BDHK2,MATCH($A54,DiemHKII!$B$4:$B$58,0),INDEX($AD$9:$AF$22,MATCH(H$7,$AD$9:$AD$22,0),2))&lt;&gt;"",INDEX(BDHK2,MATCH($A54,DiemHKII!$B$4:$B$58,0),INDEX($AD$9:$AF$22,MATCH(H$7,$AD$9:$AD$22,0),3)),""),"")</f>
        <v/>
      </c>
      <c r="I54" s="286" t="str">
        <f>IF($A54&lt;&gt;"",IF(INDEX(BDHK2,MATCH($A54,DiemHKII!$B$4:$B$58,0),INDEX($AD$9:$AF$22,MATCH(I$7,$AD$9:$AD$22,0),2))&lt;&gt;"",INDEX(BDHK2,MATCH($A54,DiemHKII!$B$4:$B$58,0),INDEX($AD$9:$AF$22,MATCH(I$7,$AD$9:$AD$22,0),3)),""),"")</f>
        <v/>
      </c>
      <c r="J54" s="286" t="str">
        <f>IF($A54&lt;&gt;"",IF(INDEX(BDHK2,MATCH($A54,DiemHKII!$B$4:$B$58,0),INDEX($AD$9:$AF$22,MATCH(J$7,$AD$9:$AD$22,0),2))&lt;&gt;"",INDEX(BDHK2,MATCH($A54,DiemHKII!$B$4:$B$58,0),INDEX($AD$9:$AF$22,MATCH(J$7,$AD$9:$AD$22,0),3)),""),"")</f>
        <v/>
      </c>
      <c r="K54" s="286" t="str">
        <f>IF($A54&lt;&gt;"",IF(INDEX(BDHK2,MATCH($A54,DiemHKII!$B$4:$B$58,0),INDEX($AD$9:$AF$22,MATCH(K$7,$AD$9:$AD$22,0),2))&lt;&gt;"",INDEX(BDHK2,MATCH($A54,DiemHKII!$B$4:$B$58,0),INDEX($AD$9:$AF$22,MATCH(K$7,$AD$9:$AD$22,0),3)),""),"")</f>
        <v/>
      </c>
      <c r="L54" s="286" t="str">
        <f>IF($A54&lt;&gt;"",IF(INDEX(BDHK2,MATCH($A54,DiemHKII!$B$4:$B$58,0),INDEX($AD$9:$AF$22,MATCH(L$7,$AD$9:$AD$22,0),2))&lt;&gt;"",INDEX(BDHK2,MATCH($A54,DiemHKII!$B$4:$B$58,0),INDEX($AD$9:$AF$22,MATCH(L$7,$AD$9:$AD$22,0),3)),""),"")</f>
        <v/>
      </c>
      <c r="M54" s="286" t="str">
        <f>IF($A54&lt;&gt;"",IF(INDEX(BDHK2,MATCH($A54,DiemHKII!$B$4:$B$58,0),INDEX($AD$9:$AF$22,MATCH(M$7,$AD$9:$AD$22,0),2))&lt;&gt;"",INDEX(BDHK2,MATCH($A54,DiemHKII!$B$4:$B$58,0),INDEX($AD$9:$AF$22,MATCH(M$7,$AD$9:$AD$22,0),3)),""),"")</f>
        <v/>
      </c>
      <c r="N54" s="286" t="str">
        <f>IF($A54&lt;&gt;"",IF(INDEX(BDHK2,MATCH($A54,DiemHKII!$B$4:$B$58,0),INDEX($AD$9:$AF$22,MATCH(N$7,$AD$9:$AD$22,0),2))&lt;&gt;"",INDEX(BDHK2,MATCH($A54,DiemHKII!$B$4:$B$58,0),INDEX($AD$9:$AF$22,MATCH(N$7,$AD$9:$AD$22,0),3)),""),"")</f>
        <v/>
      </c>
      <c r="O54" s="286" t="str">
        <f>IF($A54&lt;&gt;"",IF(INDEX(BDHK2,MATCH($A54,DiemHKII!$B$4:$B$58,0),INDEX($AD$9:$AF$22,MATCH(O$7,$AD$9:$AD$22,0),2))&lt;&gt;"",INDEX(BDHK2,MATCH($A54,DiemHKII!$B$4:$B$58,0),INDEX($AD$9:$AF$22,MATCH(O$7,$AD$9:$AD$22,0),3)),""),"")</f>
        <v/>
      </c>
      <c r="P54" s="286" t="str">
        <f>IF($A54&lt;&gt;"",IF(INDEX(BDHK2,MATCH($A54,DiemHKII!$B$4:$B$58,0),INDEX($AD$9:$AF$22,MATCH(P$7,$AD$9:$AD$22,0),2))&lt;&gt;"",INDEX(BDHK2,MATCH($A54,DiemHKII!$B$4:$B$58,0),INDEX($AD$9:$AF$22,MATCH(P$7,$AD$9:$AD$22,0),3)),""),"")</f>
        <v/>
      </c>
      <c r="Q54" s="286" t="str">
        <f>IF($A54&lt;&gt;"",IF(INDEX(BDHK2,MATCH($A54,DiemHKII!$B$4:$B$58,0),INDEX($AD$9:$AF$22,MATCH(Q$7,$AD$9:$AD$22,0),2))&lt;&gt;"",INDEX(BDHK2,MATCH($A54,DiemHKII!$B$4:$B$58,0),INDEX($AD$9:$AF$22,MATCH(Q$7,$AD$9:$AD$22,0),3)),""),"")</f>
        <v/>
      </c>
      <c r="R54" s="464" t="str">
        <f>IF($A54&lt;&gt;"",IF(INDEX(BDHK2,MATCH($A54,DiemHKII!$B$4:$B$58,0),INDEX($AD$9:$AF$22,MATCH(R$7,$AD$9:$AD$22,0),2))&lt;&gt;"",INDEX(BDHK2,MATCH($A54,DiemHKII!$B$4:$B$58,0),INDEX($AD$9:$AF$22,MATCH(R$7,$AD$9:$AD$22,0),3)),""),"")</f>
        <v/>
      </c>
      <c r="S54" s="464" t="str">
        <f t="shared" si="8"/>
        <v/>
      </c>
      <c r="T54" s="286" t="str">
        <f>IF($A54&lt;&gt;"",IF(INDEX(BDHK2,MATCH($A54,DiemHKII!$B$4:$B$58,0),INDEX($AD$9:$AF$22,MATCH(T$7,$AD$9:$AD$22,0),2))&lt;&gt;"",INDEX(BDHK2,MATCH($A54,DiemHKII!$B$4:$B$58,0),INDEX($AD$9:$AF$22,MATCH(T$7,$AD$9:$AD$22,0),3)),""),"")</f>
        <v/>
      </c>
      <c r="U54" s="287" t="str">
        <f>IF($A54&lt;&gt;"",IF(INDEX(BDHK2,MATCH($A54,DiemHKII!$B$4:$B$58,0),INDEX($AD$9:$AF$22,MATCH(U$7,$AD$9:$AD$22,0),2))&lt;&gt;"",INDEX(BDHK2,MATCH($A54,DiemHKII!$B$4:$B$58,0),INDEX($AD$9:$AF$22,MATCH(U$7,$AD$9:$AD$22,0),3)),""),"")</f>
        <v/>
      </c>
      <c r="V54" s="288" t="str">
        <f t="shared" si="11"/>
        <v/>
      </c>
      <c r="W54" s="464" t="str">
        <f t="shared" si="9"/>
        <v/>
      </c>
      <c r="X54" s="353"/>
      <c r="Y54" s="289" t="str">
        <f t="shared" si="10"/>
        <v/>
      </c>
      <c r="AA54" s="1"/>
      <c r="AB54" s="644" t="str">
        <f t="shared" si="3"/>
        <v/>
      </c>
      <c r="AG54" s="268" t="str">
        <f>IF($A54&lt;&gt;"",INDEX(DiemHKII!$B$4:$K$58,MATCH($A54,DiemHKII!$B$4:$B$58,0),2),"")</f>
        <v/>
      </c>
      <c r="AH54" s="674" t="str">
        <f t="shared" si="7"/>
        <v/>
      </c>
      <c r="AI54" s="672" t="str">
        <f t="shared" ca="1" si="5"/>
        <v/>
      </c>
    </row>
    <row r="55" spans="1:35" s="268" customFormat="1" ht="29.1" hidden="1" customHeight="1">
      <c r="A55" s="281" t="str">
        <f>IF(A54&lt;MAX(DiemHKII!$B$4:$B$58),A54+1,"")</f>
        <v/>
      </c>
      <c r="B55" s="282" t="str">
        <f>IF($A55&lt;&gt;"",PROPER(INDEX(DiemHKII!$B$4:$K$58,MATCH($A55,DiemHKII!$B$4:$B$58,0),4)),"")</f>
        <v/>
      </c>
      <c r="C55" s="283" t="str">
        <f>IF($A55&lt;&gt;"",PROPER(INDEX(DiemHKII!$B$4:$K$58,MATCH($A55,DiemHKII!$B$4:$B$58,0),5)),"")</f>
        <v/>
      </c>
      <c r="D55" s="284" t="str">
        <f>IF($A55&lt;&gt;"",IF(INDEX(DiemHKII!$B$4:$K$58,MATCH($A55,DiemHKII!$B$4:$B$58,0),8)&lt;&gt;"",INDEX(DiemHKII!$B$4:$K$58,MATCH($A55,DiemHKII!$B$4:$B$58,0),8),""),"")</f>
        <v/>
      </c>
      <c r="E55" s="284" t="str">
        <f>IF($A55&lt;&gt;"",IF(INDEX(DiemHKII!$B$4:$K$58,MATCH($A55,DiemHKII!$B$4:$B$58,0),9)&lt;&gt;"",INDEX(DiemHKII!$B$4:$K$58,MATCH($A55,DiemHKII!$B$4:$B$58,0),9),""),"")</f>
        <v/>
      </c>
      <c r="F55" s="284" t="str">
        <f>IF($A55&lt;&gt;"",IF(INDEX(DiemHKII!$B$4:$K$58,MATCH($A55,DiemHKII!$B$4:$B$58,0),10)&lt;&gt;"",INDEX(DiemHKII!$B$4:$K$58,MATCH($A55,DiemHKII!$B$4:$B$58,0),10),""),"")</f>
        <v/>
      </c>
      <c r="G55" s="285" t="str">
        <f>IF($A55&lt;&gt;"",IF(INDEX(BDHK2,MATCH($A55,DiemHKII!$B$4:$B$58,0),INDEX($AD$9:$AF$22,MATCH(G$7,$AD$9:$AD$22,0),2))&lt;&gt;"",INDEX(BDHK2,MATCH($A55,DiemHKII!$B$4:$B$58,0),INDEX($AD$9:$AF$22,MATCH(G$7,$AD$9:$AD$22,0),3)),""),"")</f>
        <v/>
      </c>
      <c r="H55" s="286" t="str">
        <f>IF($A55&lt;&gt;"",IF(INDEX(BDHK2,MATCH($A55,DiemHKII!$B$4:$B$58,0),INDEX($AD$9:$AF$22,MATCH(H$7,$AD$9:$AD$22,0),2))&lt;&gt;"",INDEX(BDHK2,MATCH($A55,DiemHKII!$B$4:$B$58,0),INDEX($AD$9:$AF$22,MATCH(H$7,$AD$9:$AD$22,0),3)),""),"")</f>
        <v/>
      </c>
      <c r="I55" s="286" t="str">
        <f>IF($A55&lt;&gt;"",IF(INDEX(BDHK2,MATCH($A55,DiemHKII!$B$4:$B$58,0),INDEX($AD$9:$AF$22,MATCH(I$7,$AD$9:$AD$22,0),2))&lt;&gt;"",INDEX(BDHK2,MATCH($A55,DiemHKII!$B$4:$B$58,0),INDEX($AD$9:$AF$22,MATCH(I$7,$AD$9:$AD$22,0),3)),""),"")</f>
        <v/>
      </c>
      <c r="J55" s="286" t="str">
        <f>IF($A55&lt;&gt;"",IF(INDEX(BDHK2,MATCH($A55,DiemHKII!$B$4:$B$58,0),INDEX($AD$9:$AF$22,MATCH(J$7,$AD$9:$AD$22,0),2))&lt;&gt;"",INDEX(BDHK2,MATCH($A55,DiemHKII!$B$4:$B$58,0),INDEX($AD$9:$AF$22,MATCH(J$7,$AD$9:$AD$22,0),3)),""),"")</f>
        <v/>
      </c>
      <c r="K55" s="286" t="str">
        <f>IF($A55&lt;&gt;"",IF(INDEX(BDHK2,MATCH($A55,DiemHKII!$B$4:$B$58,0),INDEX($AD$9:$AF$22,MATCH(K$7,$AD$9:$AD$22,0),2))&lt;&gt;"",INDEX(BDHK2,MATCH($A55,DiemHKII!$B$4:$B$58,0),INDEX($AD$9:$AF$22,MATCH(K$7,$AD$9:$AD$22,0),3)),""),"")</f>
        <v/>
      </c>
      <c r="L55" s="286" t="str">
        <f>IF($A55&lt;&gt;"",IF(INDEX(BDHK2,MATCH($A55,DiemHKII!$B$4:$B$58,0),INDEX($AD$9:$AF$22,MATCH(L$7,$AD$9:$AD$22,0),2))&lt;&gt;"",INDEX(BDHK2,MATCH($A55,DiemHKII!$B$4:$B$58,0),INDEX($AD$9:$AF$22,MATCH(L$7,$AD$9:$AD$22,0),3)),""),"")</f>
        <v/>
      </c>
      <c r="M55" s="286" t="str">
        <f>IF($A55&lt;&gt;"",IF(INDEX(BDHK2,MATCH($A55,DiemHKII!$B$4:$B$58,0),INDEX($AD$9:$AF$22,MATCH(M$7,$AD$9:$AD$22,0),2))&lt;&gt;"",INDEX(BDHK2,MATCH($A55,DiemHKII!$B$4:$B$58,0),INDEX($AD$9:$AF$22,MATCH(M$7,$AD$9:$AD$22,0),3)),""),"")</f>
        <v/>
      </c>
      <c r="N55" s="286" t="str">
        <f>IF($A55&lt;&gt;"",IF(INDEX(BDHK2,MATCH($A55,DiemHKII!$B$4:$B$58,0),INDEX($AD$9:$AF$22,MATCH(N$7,$AD$9:$AD$22,0),2))&lt;&gt;"",INDEX(BDHK2,MATCH($A55,DiemHKII!$B$4:$B$58,0),INDEX($AD$9:$AF$22,MATCH(N$7,$AD$9:$AD$22,0),3)),""),"")</f>
        <v/>
      </c>
      <c r="O55" s="286" t="str">
        <f>IF($A55&lt;&gt;"",IF(INDEX(BDHK2,MATCH($A55,DiemHKII!$B$4:$B$58,0),INDEX($AD$9:$AF$22,MATCH(O$7,$AD$9:$AD$22,0),2))&lt;&gt;"",INDEX(BDHK2,MATCH($A55,DiemHKII!$B$4:$B$58,0),INDEX($AD$9:$AF$22,MATCH(O$7,$AD$9:$AD$22,0),3)),""),"")</f>
        <v/>
      </c>
      <c r="P55" s="286" t="str">
        <f>IF($A55&lt;&gt;"",IF(INDEX(BDHK2,MATCH($A55,DiemHKII!$B$4:$B$58,0),INDEX($AD$9:$AF$22,MATCH(P$7,$AD$9:$AD$22,0),2))&lt;&gt;"",INDEX(BDHK2,MATCH($A55,DiemHKII!$B$4:$B$58,0),INDEX($AD$9:$AF$22,MATCH(P$7,$AD$9:$AD$22,0),3)),""),"")</f>
        <v/>
      </c>
      <c r="Q55" s="286" t="str">
        <f>IF($A55&lt;&gt;"",IF(INDEX(BDHK2,MATCH($A55,DiemHKII!$B$4:$B$58,0),INDEX($AD$9:$AF$22,MATCH(Q$7,$AD$9:$AD$22,0),2))&lt;&gt;"",INDEX(BDHK2,MATCH($A55,DiemHKII!$B$4:$B$58,0),INDEX($AD$9:$AF$22,MATCH(Q$7,$AD$9:$AD$22,0),3)),""),"")</f>
        <v/>
      </c>
      <c r="R55" s="464" t="str">
        <f>IF($A55&lt;&gt;"",IF(INDEX(BDHK2,MATCH($A55,DiemHKII!$B$4:$B$58,0),INDEX($AD$9:$AF$22,MATCH(R$7,$AD$9:$AD$22,0),2))&lt;&gt;"",INDEX(BDHK2,MATCH($A55,DiemHKII!$B$4:$B$58,0),INDEX($AD$9:$AF$22,MATCH(R$7,$AD$9:$AD$22,0),3)),""),"")</f>
        <v/>
      </c>
      <c r="S55" s="464" t="str">
        <f t="shared" si="8"/>
        <v/>
      </c>
      <c r="T55" s="286" t="str">
        <f>IF($A55&lt;&gt;"",IF(INDEX(BDHK2,MATCH($A55,DiemHKII!$B$4:$B$58,0),INDEX($AD$9:$AF$22,MATCH(T$7,$AD$9:$AD$22,0),2))&lt;&gt;"",INDEX(BDHK2,MATCH($A55,DiemHKII!$B$4:$B$58,0),INDEX($AD$9:$AF$22,MATCH(T$7,$AD$9:$AD$22,0),3)),""),"")</f>
        <v/>
      </c>
      <c r="U55" s="287" t="str">
        <f>IF($A55&lt;&gt;"",IF(INDEX(BDHK2,MATCH($A55,DiemHKII!$B$4:$B$58,0),INDEX($AD$9:$AF$22,MATCH(U$7,$AD$9:$AD$22,0),2))&lt;&gt;"",INDEX(BDHK2,MATCH($A55,DiemHKII!$B$4:$B$58,0),INDEX($AD$9:$AF$22,MATCH(U$7,$AD$9:$AD$22,0),3)),""),"")</f>
        <v/>
      </c>
      <c r="V55" s="288" t="str">
        <f t="shared" si="11"/>
        <v/>
      </c>
      <c r="W55" s="464" t="str">
        <f t="shared" si="9"/>
        <v/>
      </c>
      <c r="X55" s="353"/>
      <c r="Y55" s="289" t="str">
        <f t="shared" si="10"/>
        <v/>
      </c>
      <c r="AA55" s="1"/>
      <c r="AB55" s="644" t="str">
        <f t="shared" si="3"/>
        <v/>
      </c>
      <c r="AG55" s="268" t="str">
        <f>IF($A55&lt;&gt;"",INDEX(DiemHKII!$B$4:$K$58,MATCH($A55,DiemHKII!$B$4:$B$58,0),2),"")</f>
        <v/>
      </c>
      <c r="AH55" s="674" t="str">
        <f t="shared" si="7"/>
        <v/>
      </c>
      <c r="AI55" s="672" t="str">
        <f t="shared" ca="1" si="5"/>
        <v/>
      </c>
    </row>
    <row r="56" spans="1:35" s="268" customFormat="1" ht="29.1" hidden="1" customHeight="1">
      <c r="A56" s="281" t="str">
        <f>IF(A55&lt;MAX(DiemHKII!$B$4:$B$58),A55+1,"")</f>
        <v/>
      </c>
      <c r="B56" s="282" t="str">
        <f>IF($A56&lt;&gt;"",PROPER(INDEX(DiemHKII!$B$4:$K$58,MATCH($A56,DiemHKII!$B$4:$B$58,0),4)),"")</f>
        <v/>
      </c>
      <c r="C56" s="283" t="str">
        <f>IF($A56&lt;&gt;"",PROPER(INDEX(DiemHKII!$B$4:$K$58,MATCH($A56,DiemHKII!$B$4:$B$58,0),5)),"")</f>
        <v/>
      </c>
      <c r="D56" s="284" t="str">
        <f>IF($A56&lt;&gt;"",IF(INDEX(DiemHKII!$B$4:$K$58,MATCH($A56,DiemHKII!$B$4:$B$58,0),8)&lt;&gt;"",INDEX(DiemHKII!$B$4:$K$58,MATCH($A56,DiemHKII!$B$4:$B$58,0),8),""),"")</f>
        <v/>
      </c>
      <c r="E56" s="284" t="str">
        <f>IF($A56&lt;&gt;"",IF(INDEX(DiemHKII!$B$4:$K$58,MATCH($A56,DiemHKII!$B$4:$B$58,0),9)&lt;&gt;"",INDEX(DiemHKII!$B$4:$K$58,MATCH($A56,DiemHKII!$B$4:$B$58,0),9),""),"")</f>
        <v/>
      </c>
      <c r="F56" s="284" t="str">
        <f>IF($A56&lt;&gt;"",IF(INDEX(DiemHKII!$B$4:$K$58,MATCH($A56,DiemHKII!$B$4:$B$58,0),10)&lt;&gt;"",INDEX(DiemHKII!$B$4:$K$58,MATCH($A56,DiemHKII!$B$4:$B$58,0),10),""),"")</f>
        <v/>
      </c>
      <c r="G56" s="285" t="str">
        <f>IF($A56&lt;&gt;"",IF(INDEX(BDHK2,MATCH($A56,DiemHKII!$B$4:$B$58,0),INDEX($AD$9:$AF$22,MATCH(G$7,$AD$9:$AD$22,0),2))&lt;&gt;"",INDEX(BDHK2,MATCH($A56,DiemHKII!$B$4:$B$58,0),INDEX($AD$9:$AF$22,MATCH(G$7,$AD$9:$AD$22,0),3)),""),"")</f>
        <v/>
      </c>
      <c r="H56" s="286" t="str">
        <f>IF($A56&lt;&gt;"",IF(INDEX(BDHK2,MATCH($A56,DiemHKII!$B$4:$B$58,0),INDEX($AD$9:$AF$22,MATCH(H$7,$AD$9:$AD$22,0),2))&lt;&gt;"",INDEX(BDHK2,MATCH($A56,DiemHKII!$B$4:$B$58,0),INDEX($AD$9:$AF$22,MATCH(H$7,$AD$9:$AD$22,0),3)),""),"")</f>
        <v/>
      </c>
      <c r="I56" s="286" t="str">
        <f>IF($A56&lt;&gt;"",IF(INDEX(BDHK2,MATCH($A56,DiemHKII!$B$4:$B$58,0),INDEX($AD$9:$AF$22,MATCH(I$7,$AD$9:$AD$22,0),2))&lt;&gt;"",INDEX(BDHK2,MATCH($A56,DiemHKII!$B$4:$B$58,0),INDEX($AD$9:$AF$22,MATCH(I$7,$AD$9:$AD$22,0),3)),""),"")</f>
        <v/>
      </c>
      <c r="J56" s="286" t="str">
        <f>IF($A56&lt;&gt;"",IF(INDEX(BDHK2,MATCH($A56,DiemHKII!$B$4:$B$58,0),INDEX($AD$9:$AF$22,MATCH(J$7,$AD$9:$AD$22,0),2))&lt;&gt;"",INDEX(BDHK2,MATCH($A56,DiemHKII!$B$4:$B$58,0),INDEX($AD$9:$AF$22,MATCH(J$7,$AD$9:$AD$22,0),3)),""),"")</f>
        <v/>
      </c>
      <c r="K56" s="286" t="str">
        <f>IF($A56&lt;&gt;"",IF(INDEX(BDHK2,MATCH($A56,DiemHKII!$B$4:$B$58,0),INDEX($AD$9:$AF$22,MATCH(K$7,$AD$9:$AD$22,0),2))&lt;&gt;"",INDEX(BDHK2,MATCH($A56,DiemHKII!$B$4:$B$58,0),INDEX($AD$9:$AF$22,MATCH(K$7,$AD$9:$AD$22,0),3)),""),"")</f>
        <v/>
      </c>
      <c r="L56" s="286" t="str">
        <f>IF($A56&lt;&gt;"",IF(INDEX(BDHK2,MATCH($A56,DiemHKII!$B$4:$B$58,0),INDEX($AD$9:$AF$22,MATCH(L$7,$AD$9:$AD$22,0),2))&lt;&gt;"",INDEX(BDHK2,MATCH($A56,DiemHKII!$B$4:$B$58,0),INDEX($AD$9:$AF$22,MATCH(L$7,$AD$9:$AD$22,0),3)),""),"")</f>
        <v/>
      </c>
      <c r="M56" s="286" t="str">
        <f>IF($A56&lt;&gt;"",IF(INDEX(BDHK2,MATCH($A56,DiemHKII!$B$4:$B$58,0),INDEX($AD$9:$AF$22,MATCH(M$7,$AD$9:$AD$22,0),2))&lt;&gt;"",INDEX(BDHK2,MATCH($A56,DiemHKII!$B$4:$B$58,0),INDEX($AD$9:$AF$22,MATCH(M$7,$AD$9:$AD$22,0),3)),""),"")</f>
        <v/>
      </c>
      <c r="N56" s="286" t="str">
        <f>IF($A56&lt;&gt;"",IF(INDEX(BDHK2,MATCH($A56,DiemHKII!$B$4:$B$58,0),INDEX($AD$9:$AF$22,MATCH(N$7,$AD$9:$AD$22,0),2))&lt;&gt;"",INDEX(BDHK2,MATCH($A56,DiemHKII!$B$4:$B$58,0),INDEX($AD$9:$AF$22,MATCH(N$7,$AD$9:$AD$22,0),3)),""),"")</f>
        <v/>
      </c>
      <c r="O56" s="286" t="str">
        <f>IF($A56&lt;&gt;"",IF(INDEX(BDHK2,MATCH($A56,DiemHKII!$B$4:$B$58,0),INDEX($AD$9:$AF$22,MATCH(O$7,$AD$9:$AD$22,0),2))&lt;&gt;"",INDEX(BDHK2,MATCH($A56,DiemHKII!$B$4:$B$58,0),INDEX($AD$9:$AF$22,MATCH(O$7,$AD$9:$AD$22,0),3)),""),"")</f>
        <v/>
      </c>
      <c r="P56" s="286" t="str">
        <f>IF($A56&lt;&gt;"",IF(INDEX(BDHK2,MATCH($A56,DiemHKII!$B$4:$B$58,0),INDEX($AD$9:$AF$22,MATCH(P$7,$AD$9:$AD$22,0),2))&lt;&gt;"",INDEX(BDHK2,MATCH($A56,DiemHKII!$B$4:$B$58,0),INDEX($AD$9:$AF$22,MATCH(P$7,$AD$9:$AD$22,0),3)),""),"")</f>
        <v/>
      </c>
      <c r="Q56" s="286" t="str">
        <f>IF($A56&lt;&gt;"",IF(INDEX(BDHK2,MATCH($A56,DiemHKII!$B$4:$B$58,0),INDEX($AD$9:$AF$22,MATCH(Q$7,$AD$9:$AD$22,0),2))&lt;&gt;"",INDEX(BDHK2,MATCH($A56,DiemHKII!$B$4:$B$58,0),INDEX($AD$9:$AF$22,MATCH(Q$7,$AD$9:$AD$22,0),3)),""),"")</f>
        <v/>
      </c>
      <c r="R56" s="464" t="str">
        <f>IF($A56&lt;&gt;"",IF(INDEX(BDHK2,MATCH($A56,DiemHKII!$B$4:$B$58,0),INDEX($AD$9:$AF$22,MATCH(R$7,$AD$9:$AD$22,0),2))&lt;&gt;"",INDEX(BDHK2,MATCH($A56,DiemHKII!$B$4:$B$58,0),INDEX($AD$9:$AF$22,MATCH(R$7,$AD$9:$AD$22,0),3)),""),"")</f>
        <v/>
      </c>
      <c r="S56" s="464" t="str">
        <f t="shared" si="8"/>
        <v/>
      </c>
      <c r="T56" s="286" t="str">
        <f>IF($A56&lt;&gt;"",IF(INDEX(BDHK2,MATCH($A56,DiemHKII!$B$4:$B$58,0),INDEX($AD$9:$AF$22,MATCH(T$7,$AD$9:$AD$22,0),2))&lt;&gt;"",INDEX(BDHK2,MATCH($A56,DiemHKII!$B$4:$B$58,0),INDEX($AD$9:$AF$22,MATCH(T$7,$AD$9:$AD$22,0),3)),""),"")</f>
        <v/>
      </c>
      <c r="U56" s="287" t="str">
        <f>IF($A56&lt;&gt;"",IF(INDEX(BDHK2,MATCH($A56,DiemHKII!$B$4:$B$58,0),INDEX($AD$9:$AF$22,MATCH(U$7,$AD$9:$AD$22,0),2))&lt;&gt;"",INDEX(BDHK2,MATCH($A56,DiemHKII!$B$4:$B$58,0),INDEX($AD$9:$AF$22,MATCH(U$7,$AD$9:$AD$22,0),3)),""),"")</f>
        <v/>
      </c>
      <c r="V56" s="288" t="str">
        <f t="shared" si="11"/>
        <v/>
      </c>
      <c r="W56" s="464" t="str">
        <f t="shared" si="9"/>
        <v/>
      </c>
      <c r="X56" s="353"/>
      <c r="Y56" s="289" t="str">
        <f t="shared" si="10"/>
        <v/>
      </c>
      <c r="AA56" s="1"/>
      <c r="AB56" s="644" t="str">
        <f t="shared" si="3"/>
        <v/>
      </c>
      <c r="AG56" s="268" t="str">
        <f>IF($A56&lt;&gt;"",INDEX(DiemHKII!$B$4:$K$58,MATCH($A56,DiemHKII!$B$4:$B$58,0),2),"")</f>
        <v/>
      </c>
      <c r="AH56" s="674" t="str">
        <f t="shared" si="7"/>
        <v/>
      </c>
      <c r="AI56" s="672" t="str">
        <f t="shared" ca="1" si="5"/>
        <v/>
      </c>
    </row>
    <row r="57" spans="1:35" s="268" customFormat="1" ht="29.1" hidden="1" customHeight="1" thickBot="1">
      <c r="A57" s="290" t="str">
        <f>IF(A56&lt;MAX(DiemHKII!$B$4:$B$58),A56+1,"")</f>
        <v/>
      </c>
      <c r="B57" s="291" t="str">
        <f>IF($A57&lt;&gt;"",PROPER(INDEX(DiemHKII!$B$4:$K$58,MATCH($A57,DiemHKII!$B$4:$B$58,0),4)),"")</f>
        <v/>
      </c>
      <c r="C57" s="292" t="str">
        <f>IF($A57&lt;&gt;"",PROPER(INDEX(DiemHKII!$B$4:$K$58,MATCH($A57,DiemHKII!$B$4:$B$58,0),5)),"")</f>
        <v/>
      </c>
      <c r="D57" s="293" t="str">
        <f>IF($A57&lt;&gt;"",IF(INDEX(DiemHKII!$B$4:$K$58,MATCH($A57,DiemHKII!$B$4:$B$58,0),8)&lt;&gt;"",INDEX(DiemHKII!$B$4:$K$58,MATCH($A57,DiemHKII!$B$4:$B$58,0),8),""),"")</f>
        <v/>
      </c>
      <c r="E57" s="293" t="str">
        <f>IF($A57&lt;&gt;"",IF(INDEX(DiemHKII!$B$4:$K$58,MATCH($A57,DiemHKII!$B$4:$B$58,0),9)&lt;&gt;"",INDEX(DiemHKII!$B$4:$K$58,MATCH($A57,DiemHKII!$B$4:$B$58,0),9),""),"")</f>
        <v/>
      </c>
      <c r="F57" s="293" t="str">
        <f>IF($A57&lt;&gt;"",IF(INDEX(DiemHKII!$B$4:$K$58,MATCH($A57,DiemHKII!$B$4:$B$58,0),10)&lt;&gt;"",INDEX(DiemHKII!$B$4:$K$58,MATCH($A57,DiemHKII!$B$4:$B$58,0),10),""),"")</f>
        <v/>
      </c>
      <c r="G57" s="294" t="str">
        <f>IF($A57&lt;&gt;"",IF(INDEX(BDHK2,MATCH($A57,DiemHKII!$B$4:$B$58,0),INDEX($AD$9:$AF$22,MATCH(G$7,$AD$9:$AD$22,0),2))&lt;&gt;"",INDEX(BDHK2,MATCH($A57,DiemHKII!$B$4:$B$58,0),INDEX($AD$9:$AF$22,MATCH(G$7,$AD$9:$AD$22,0),3)),""),"")</f>
        <v/>
      </c>
      <c r="H57" s="295" t="str">
        <f>IF($A57&lt;&gt;"",IF(INDEX(BDHK2,MATCH($A57,DiemHKII!$B$4:$B$58,0),INDEX($AD$9:$AF$22,MATCH(H$7,$AD$9:$AD$22,0),2))&lt;&gt;"",INDEX(BDHK2,MATCH($A57,DiemHKII!$B$4:$B$58,0),INDEX($AD$9:$AF$22,MATCH(H$7,$AD$9:$AD$22,0),3)),""),"")</f>
        <v/>
      </c>
      <c r="I57" s="295" t="str">
        <f>IF($A57&lt;&gt;"",IF(INDEX(BDHK2,MATCH($A57,DiemHKII!$B$4:$B$58,0),INDEX($AD$9:$AF$22,MATCH(I$7,$AD$9:$AD$22,0),2))&lt;&gt;"",INDEX(BDHK2,MATCH($A57,DiemHKII!$B$4:$B$58,0),INDEX($AD$9:$AF$22,MATCH(I$7,$AD$9:$AD$22,0),3)),""),"")</f>
        <v/>
      </c>
      <c r="J57" s="295" t="str">
        <f>IF($A57&lt;&gt;"",IF(INDEX(BDHK2,MATCH($A57,DiemHKII!$B$4:$B$58,0),INDEX($AD$9:$AF$22,MATCH(J$7,$AD$9:$AD$22,0),2))&lt;&gt;"",INDEX(BDHK2,MATCH($A57,DiemHKII!$B$4:$B$58,0),INDEX($AD$9:$AF$22,MATCH(J$7,$AD$9:$AD$22,0),3)),""),"")</f>
        <v/>
      </c>
      <c r="K57" s="295" t="str">
        <f>IF($A57&lt;&gt;"",IF(INDEX(BDHK2,MATCH($A57,DiemHKII!$B$4:$B$58,0),INDEX($AD$9:$AF$22,MATCH(K$7,$AD$9:$AD$22,0),2))&lt;&gt;"",INDEX(BDHK2,MATCH($A57,DiemHKII!$B$4:$B$58,0),INDEX($AD$9:$AF$22,MATCH(K$7,$AD$9:$AD$22,0),3)),""),"")</f>
        <v/>
      </c>
      <c r="L57" s="295" t="str">
        <f>IF($A57&lt;&gt;"",IF(INDEX(BDHK2,MATCH($A57,DiemHKII!$B$4:$B$58,0),INDEX($AD$9:$AF$22,MATCH(L$7,$AD$9:$AD$22,0),2))&lt;&gt;"",INDEX(BDHK2,MATCH($A57,DiemHKII!$B$4:$B$58,0),INDEX($AD$9:$AF$22,MATCH(L$7,$AD$9:$AD$22,0),3)),""),"")</f>
        <v/>
      </c>
      <c r="M57" s="295" t="str">
        <f>IF($A57&lt;&gt;"",IF(INDEX(BDHK2,MATCH($A57,DiemHKII!$B$4:$B$58,0),INDEX($AD$9:$AF$22,MATCH(M$7,$AD$9:$AD$22,0),2))&lt;&gt;"",INDEX(BDHK2,MATCH($A57,DiemHKII!$B$4:$B$58,0),INDEX($AD$9:$AF$22,MATCH(M$7,$AD$9:$AD$22,0),3)),""),"")</f>
        <v/>
      </c>
      <c r="N57" s="295" t="str">
        <f>IF($A57&lt;&gt;"",IF(INDEX(BDHK2,MATCH($A57,DiemHKII!$B$4:$B$58,0),INDEX($AD$9:$AF$22,MATCH(N$7,$AD$9:$AD$22,0),2))&lt;&gt;"",INDEX(BDHK2,MATCH($A57,DiemHKII!$B$4:$B$58,0),INDEX($AD$9:$AF$22,MATCH(N$7,$AD$9:$AD$22,0),3)),""),"")</f>
        <v/>
      </c>
      <c r="O57" s="295" t="str">
        <f>IF($A57&lt;&gt;"",IF(INDEX(BDHK2,MATCH($A57,DiemHKII!$B$4:$B$58,0),INDEX($AD$9:$AF$22,MATCH(O$7,$AD$9:$AD$22,0),2))&lt;&gt;"",INDEX(BDHK2,MATCH($A57,DiemHKII!$B$4:$B$58,0),INDEX($AD$9:$AF$22,MATCH(O$7,$AD$9:$AD$22,0),3)),""),"")</f>
        <v/>
      </c>
      <c r="P57" s="295" t="str">
        <f>IF($A57&lt;&gt;"",IF(INDEX(BDHK2,MATCH($A57,DiemHKII!$B$4:$B$58,0),INDEX($AD$9:$AF$22,MATCH(P$7,$AD$9:$AD$22,0),2))&lt;&gt;"",INDEX(BDHK2,MATCH($A57,DiemHKII!$B$4:$B$58,0),INDEX($AD$9:$AF$22,MATCH(P$7,$AD$9:$AD$22,0),3)),""),"")</f>
        <v/>
      </c>
      <c r="Q57" s="295" t="str">
        <f>IF($A57&lt;&gt;"",IF(INDEX(BDHK2,MATCH($A57,DiemHKII!$B$4:$B$58,0),INDEX($AD$9:$AF$22,MATCH(Q$7,$AD$9:$AD$22,0),2))&lt;&gt;"",INDEX(BDHK2,MATCH($A57,DiemHKII!$B$4:$B$58,0),INDEX($AD$9:$AF$22,MATCH(Q$7,$AD$9:$AD$22,0),3)),""),"")</f>
        <v/>
      </c>
      <c r="R57" s="296" t="str">
        <f>IF($A57&lt;&gt;"",IF(INDEX(BDHK2,MATCH($A57,DiemHKII!$B$4:$B$58,0),INDEX($AD$9:$AF$22,MATCH(R$7,$AD$9:$AD$22,0),2))&lt;&gt;"",INDEX(BDHK2,MATCH($A57,DiemHKII!$B$4:$B$58,0),INDEX($AD$9:$AF$22,MATCH(R$7,$AD$9:$AD$22,0),3)),""),"")</f>
        <v/>
      </c>
      <c r="S57" s="296" t="str">
        <f t="shared" si="8"/>
        <v/>
      </c>
      <c r="T57" s="295" t="str">
        <f>IF($A57&lt;&gt;"",IF(INDEX(BDHK2,MATCH($A57,DiemHKII!$B$4:$B$58,0),INDEX($AD$9:$AF$22,MATCH(T$7,$AD$9:$AD$22,0),2))&lt;&gt;"",INDEX(BDHK2,MATCH($A57,DiemHKII!$B$4:$B$58,0),INDEX($AD$9:$AF$22,MATCH(T$7,$AD$9:$AD$22,0),3)),""),"")</f>
        <v/>
      </c>
      <c r="U57" s="297" t="str">
        <f>IF($A57&lt;&gt;"",IF(INDEX(BDHK2,MATCH($A57,DiemHKII!$B$4:$B$58,0),INDEX($AD$9:$AF$22,MATCH(U$7,$AD$9:$AD$22,0),2))&lt;&gt;"",INDEX(BDHK2,MATCH($A57,DiemHKII!$B$4:$B$58,0),INDEX($AD$9:$AF$22,MATCH(U$7,$AD$9:$AD$22,0),3)),""),"")</f>
        <v/>
      </c>
      <c r="V57" s="298" t="str">
        <f t="shared" si="11"/>
        <v/>
      </c>
      <c r="W57" s="296" t="str">
        <f t="shared" si="9"/>
        <v/>
      </c>
      <c r="X57" s="354"/>
      <c r="Y57" s="299" t="str">
        <f t="shared" si="10"/>
        <v/>
      </c>
      <c r="AA57" s="1"/>
      <c r="AB57" s="644" t="str">
        <f t="shared" si="3"/>
        <v/>
      </c>
      <c r="AG57" s="268" t="str">
        <f>IF($A57&lt;&gt;"",INDEX(DiemHKII!$B$4:$K$58,MATCH($A57,DiemHKII!$B$4:$B$58,0),2),"")</f>
        <v/>
      </c>
      <c r="AH57" s="674" t="str">
        <f t="shared" si="7"/>
        <v/>
      </c>
      <c r="AI57" s="672" t="str">
        <f t="shared" ca="1" si="5"/>
        <v/>
      </c>
    </row>
    <row r="58" spans="1:35" s="268" customFormat="1" ht="29.1" hidden="1" customHeight="1">
      <c r="A58" s="274" t="str">
        <f>IF(A57&lt;MAX(DiemHKII!$B$4:$B$58),A57+1,"")</f>
        <v/>
      </c>
      <c r="B58" s="275" t="str">
        <f>IF($A58&lt;&gt;"",PROPER(INDEX(DiemHKII!$B$4:$K$58,MATCH($A58,DiemHKII!$B$4:$B$58,0),4)),"")</f>
        <v/>
      </c>
      <c r="C58" s="276" t="str">
        <f>IF($A58&lt;&gt;"",PROPER(INDEX(DiemHKII!$B$4:$K$58,MATCH($A58,DiemHKII!$B$4:$B$58,0),5)),"")</f>
        <v/>
      </c>
      <c r="D58" s="277" t="str">
        <f>IF($A58&lt;&gt;"",IF(INDEX(DiemHKII!$B$4:$K$58,MATCH($A58,DiemHKII!$B$4:$B$58,0),8)&lt;&gt;"",INDEX(DiemHKII!$B$4:$K$58,MATCH($A58,DiemHKII!$B$4:$B$58,0),8),""),"")</f>
        <v/>
      </c>
      <c r="E58" s="277" t="str">
        <f>IF($A58&lt;&gt;"",IF(INDEX(DiemHKII!$B$4:$K$58,MATCH($A58,DiemHKII!$B$4:$B$58,0),9)&lt;&gt;"",INDEX(DiemHKII!$B$4:$K$58,MATCH($A58,DiemHKII!$B$4:$B$58,0),9),""),"")</f>
        <v/>
      </c>
      <c r="F58" s="277" t="str">
        <f>IF($A58&lt;&gt;"",IF(INDEX(DiemHKII!$B$4:$K$58,MATCH($A58,DiemHKII!$B$4:$B$58,0),10)&lt;&gt;"",INDEX(DiemHKII!$B$4:$K$58,MATCH($A58,DiemHKII!$B$4:$B$58,0),10),""),"")</f>
        <v/>
      </c>
      <c r="G58" s="300" t="str">
        <f>IF($A58&lt;&gt;"",IF(INDEX(BDHK2,MATCH($A58,DiemHKII!$B$4:$B$58,0),INDEX($AD$9:$AF$22,MATCH(G$7,$AD$9:$AD$22,0),2))&lt;&gt;"",INDEX(BDHK2,MATCH($A58,DiemHKII!$B$4:$B$58,0),INDEX($AD$9:$AF$22,MATCH(G$7,$AD$9:$AD$22,0),3)),""),"")</f>
        <v/>
      </c>
      <c r="H58" s="301" t="str">
        <f>IF($A58&lt;&gt;"",IF(INDEX(BDHK2,MATCH($A58,DiemHKII!$B$4:$B$58,0),INDEX($AD$9:$AF$22,MATCH(H$7,$AD$9:$AD$22,0),2))&lt;&gt;"",INDEX(BDHK2,MATCH($A58,DiemHKII!$B$4:$B$58,0),INDEX($AD$9:$AF$22,MATCH(H$7,$AD$9:$AD$22,0),3)),""),"")</f>
        <v/>
      </c>
      <c r="I58" s="301" t="str">
        <f>IF($A58&lt;&gt;"",IF(INDEX(BDHK2,MATCH($A58,DiemHKII!$B$4:$B$58,0),INDEX($AD$9:$AF$22,MATCH(I$7,$AD$9:$AD$22,0),2))&lt;&gt;"",INDEX(BDHK2,MATCH($A58,DiemHKII!$B$4:$B$58,0),INDEX($AD$9:$AF$22,MATCH(I$7,$AD$9:$AD$22,0),3)),""),"")</f>
        <v/>
      </c>
      <c r="J58" s="301" t="str">
        <f>IF($A58&lt;&gt;"",IF(INDEX(BDHK2,MATCH($A58,DiemHKII!$B$4:$B$58,0),INDEX($AD$9:$AF$22,MATCH(J$7,$AD$9:$AD$22,0),2))&lt;&gt;"",INDEX(BDHK2,MATCH($A58,DiemHKII!$B$4:$B$58,0),INDEX($AD$9:$AF$22,MATCH(J$7,$AD$9:$AD$22,0),3)),""),"")</f>
        <v/>
      </c>
      <c r="K58" s="301" t="str">
        <f>IF($A58&lt;&gt;"",IF(INDEX(BDHK2,MATCH($A58,DiemHKII!$B$4:$B$58,0),INDEX($AD$9:$AF$22,MATCH(K$7,$AD$9:$AD$22,0),2))&lt;&gt;"",INDEX(BDHK2,MATCH($A58,DiemHKII!$B$4:$B$58,0),INDEX($AD$9:$AF$22,MATCH(K$7,$AD$9:$AD$22,0),3)),""),"")</f>
        <v/>
      </c>
      <c r="L58" s="301" t="str">
        <f>IF($A58&lt;&gt;"",IF(INDEX(BDHK2,MATCH($A58,DiemHKII!$B$4:$B$58,0),INDEX($AD$9:$AF$22,MATCH(L$7,$AD$9:$AD$22,0),2))&lt;&gt;"",INDEX(BDHK2,MATCH($A58,DiemHKII!$B$4:$B$58,0),INDEX($AD$9:$AF$22,MATCH(L$7,$AD$9:$AD$22,0),3)),""),"")</f>
        <v/>
      </c>
      <c r="M58" s="301" t="str">
        <f>IF($A58&lt;&gt;"",IF(INDEX(BDHK2,MATCH($A58,DiemHKII!$B$4:$B$58,0),INDEX($AD$9:$AF$22,MATCH(M$7,$AD$9:$AD$22,0),2))&lt;&gt;"",INDEX(BDHK2,MATCH($A58,DiemHKII!$B$4:$B$58,0),INDEX($AD$9:$AF$22,MATCH(M$7,$AD$9:$AD$22,0),3)),""),"")</f>
        <v/>
      </c>
      <c r="N58" s="301" t="str">
        <f>IF($A58&lt;&gt;"",IF(INDEX(BDHK2,MATCH($A58,DiemHKII!$B$4:$B$58,0),INDEX($AD$9:$AF$22,MATCH(N$7,$AD$9:$AD$22,0),2))&lt;&gt;"",INDEX(BDHK2,MATCH($A58,DiemHKII!$B$4:$B$58,0),INDEX($AD$9:$AF$22,MATCH(N$7,$AD$9:$AD$22,0),3)),""),"")</f>
        <v/>
      </c>
      <c r="O58" s="301" t="str">
        <f>IF($A58&lt;&gt;"",IF(INDEX(BDHK2,MATCH($A58,DiemHKII!$B$4:$B$58,0),INDEX($AD$9:$AF$22,MATCH(O$7,$AD$9:$AD$22,0),2))&lt;&gt;"",INDEX(BDHK2,MATCH($A58,DiemHKII!$B$4:$B$58,0),INDEX($AD$9:$AF$22,MATCH(O$7,$AD$9:$AD$22,0),3)),""),"")</f>
        <v/>
      </c>
      <c r="P58" s="301" t="str">
        <f>IF($A58&lt;&gt;"",IF(INDEX(BDHK2,MATCH($A58,DiemHKII!$B$4:$B$58,0),INDEX($AD$9:$AF$22,MATCH(P$7,$AD$9:$AD$22,0),2))&lt;&gt;"",INDEX(BDHK2,MATCH($A58,DiemHKII!$B$4:$B$58,0),INDEX($AD$9:$AF$22,MATCH(P$7,$AD$9:$AD$22,0),3)),""),"")</f>
        <v/>
      </c>
      <c r="Q58" s="301" t="str">
        <f>IF($A58&lt;&gt;"",IF(INDEX(BDHK2,MATCH($A58,DiemHKII!$B$4:$B$58,0),INDEX($AD$9:$AF$22,MATCH(Q$7,$AD$9:$AD$22,0),2))&lt;&gt;"",INDEX(BDHK2,MATCH($A58,DiemHKII!$B$4:$B$58,0),INDEX($AD$9:$AF$22,MATCH(Q$7,$AD$9:$AD$22,0),3)),""),"")</f>
        <v/>
      </c>
      <c r="R58" s="279" t="str">
        <f>IF($A58&lt;&gt;"",IF(INDEX(BDHK2,MATCH($A58,DiemHKII!$B$4:$B$58,0),INDEX($AD$9:$AF$22,MATCH(R$7,$AD$9:$AD$22,0),2))&lt;&gt;"",INDEX(BDHK2,MATCH($A58,DiemHKII!$B$4:$B$58,0),INDEX($AD$9:$AF$22,MATCH(R$7,$AD$9:$AD$22,0),3)),""),"")</f>
        <v/>
      </c>
      <c r="S58" s="279" t="str">
        <f t="shared" si="8"/>
        <v/>
      </c>
      <c r="T58" s="301" t="str">
        <f>IF($A58&lt;&gt;"",IF(INDEX(BDHK2,MATCH($A58,DiemHKII!$B$4:$B$58,0),INDEX($AD$9:$AF$22,MATCH(T$7,$AD$9:$AD$22,0),2))&lt;&gt;"",INDEX(BDHK2,MATCH($A58,DiemHKII!$B$4:$B$58,0),INDEX($AD$9:$AF$22,MATCH(T$7,$AD$9:$AD$22,0),3)),""),"")</f>
        <v/>
      </c>
      <c r="U58" s="302" t="str">
        <f>IF($A58&lt;&gt;"",IF(INDEX(BDHK2,MATCH($A58,DiemHKII!$B$4:$B$58,0),INDEX($AD$9:$AF$22,MATCH(U$7,$AD$9:$AD$22,0),2))&lt;&gt;"",INDEX(BDHK2,MATCH($A58,DiemHKII!$B$4:$B$58,0),INDEX($AD$9:$AF$22,MATCH(U$7,$AD$9:$AD$22,0),3)),""),"")</f>
        <v/>
      </c>
      <c r="V58" s="278" t="str">
        <f t="shared" si="11"/>
        <v/>
      </c>
      <c r="W58" s="279" t="str">
        <f t="shared" si="9"/>
        <v/>
      </c>
      <c r="X58" s="352"/>
      <c r="Y58" s="280" t="str">
        <f t="shared" si="10"/>
        <v/>
      </c>
      <c r="AA58" s="1"/>
      <c r="AB58" s="644" t="str">
        <f t="shared" si="3"/>
        <v/>
      </c>
      <c r="AG58" s="268" t="str">
        <f>IF($A58&lt;&gt;"",INDEX(DiemHKII!$B$4:$K$58,MATCH($A58,DiemHKII!$B$4:$B$58,0),2),"")</f>
        <v/>
      </c>
      <c r="AH58" s="674" t="str">
        <f t="shared" si="7"/>
        <v/>
      </c>
      <c r="AI58" s="672" t="str">
        <f t="shared" ca="1" si="5"/>
        <v/>
      </c>
    </row>
    <row r="59" spans="1:35" s="268" customFormat="1" ht="29.1" hidden="1" customHeight="1">
      <c r="A59" s="281" t="str">
        <f>IF(A58&lt;MAX(DiemHKII!$B$4:$B$58),A58+1,"")</f>
        <v/>
      </c>
      <c r="B59" s="282" t="str">
        <f>IF($A59&lt;&gt;"",PROPER(INDEX(DiemHKII!$B$4:$K$58,MATCH($A59,DiemHKII!$B$4:$B$58,0),4)),"")</f>
        <v/>
      </c>
      <c r="C59" s="283" t="str">
        <f>IF($A59&lt;&gt;"",PROPER(INDEX(DiemHKII!$B$4:$K$58,MATCH($A59,DiemHKII!$B$4:$B$58,0),5)),"")</f>
        <v/>
      </c>
      <c r="D59" s="284" t="str">
        <f>IF($A59&lt;&gt;"",IF(INDEX(DiemHKII!$B$4:$K$58,MATCH($A59,DiemHKII!$B$4:$B$58,0),8)&lt;&gt;"",INDEX(DiemHKII!$B$4:$K$58,MATCH($A59,DiemHKII!$B$4:$B$58,0),8),""),"")</f>
        <v/>
      </c>
      <c r="E59" s="284" t="str">
        <f>IF($A59&lt;&gt;"",IF(INDEX(DiemHKII!$B$4:$K$58,MATCH($A59,DiemHKII!$B$4:$B$58,0),9)&lt;&gt;"",INDEX(DiemHKII!$B$4:$K$58,MATCH($A59,DiemHKII!$B$4:$B$58,0),9),""),"")</f>
        <v/>
      </c>
      <c r="F59" s="284" t="str">
        <f>IF($A59&lt;&gt;"",IF(INDEX(DiemHKII!$B$4:$K$58,MATCH($A59,DiemHKII!$B$4:$B$58,0),10)&lt;&gt;"",INDEX(DiemHKII!$B$4:$K$58,MATCH($A59,DiemHKII!$B$4:$B$58,0),10),""),"")</f>
        <v/>
      </c>
      <c r="G59" s="285" t="str">
        <f>IF($A59&lt;&gt;"",IF(INDEX(BDHK2,MATCH($A59,DiemHKII!$B$4:$B$58,0),INDEX($AD$9:$AF$22,MATCH(G$7,$AD$9:$AD$22,0),2))&lt;&gt;"",INDEX(BDHK2,MATCH($A59,DiemHKII!$B$4:$B$58,0),INDEX($AD$9:$AF$22,MATCH(G$7,$AD$9:$AD$22,0),3)),""),"")</f>
        <v/>
      </c>
      <c r="H59" s="286" t="str">
        <f>IF($A59&lt;&gt;"",IF(INDEX(BDHK2,MATCH($A59,DiemHKII!$B$4:$B$58,0),INDEX($AD$9:$AF$22,MATCH(H$7,$AD$9:$AD$22,0),2))&lt;&gt;"",INDEX(BDHK2,MATCH($A59,DiemHKII!$B$4:$B$58,0),INDEX($AD$9:$AF$22,MATCH(H$7,$AD$9:$AD$22,0),3)),""),"")</f>
        <v/>
      </c>
      <c r="I59" s="286" t="str">
        <f>IF($A59&lt;&gt;"",IF(INDEX(BDHK2,MATCH($A59,DiemHKII!$B$4:$B$58,0),INDEX($AD$9:$AF$22,MATCH(I$7,$AD$9:$AD$22,0),2))&lt;&gt;"",INDEX(BDHK2,MATCH($A59,DiemHKII!$B$4:$B$58,0),INDEX($AD$9:$AF$22,MATCH(I$7,$AD$9:$AD$22,0),3)),""),"")</f>
        <v/>
      </c>
      <c r="J59" s="286" t="str">
        <f>IF($A59&lt;&gt;"",IF(INDEX(BDHK2,MATCH($A59,DiemHKII!$B$4:$B$58,0),INDEX($AD$9:$AF$22,MATCH(J$7,$AD$9:$AD$22,0),2))&lt;&gt;"",INDEX(BDHK2,MATCH($A59,DiemHKII!$B$4:$B$58,0),INDEX($AD$9:$AF$22,MATCH(J$7,$AD$9:$AD$22,0),3)),""),"")</f>
        <v/>
      </c>
      <c r="K59" s="286" t="str">
        <f>IF($A59&lt;&gt;"",IF(INDEX(BDHK2,MATCH($A59,DiemHKII!$B$4:$B$58,0),INDEX($AD$9:$AF$22,MATCH(K$7,$AD$9:$AD$22,0),2))&lt;&gt;"",INDEX(BDHK2,MATCH($A59,DiemHKII!$B$4:$B$58,0),INDEX($AD$9:$AF$22,MATCH(K$7,$AD$9:$AD$22,0),3)),""),"")</f>
        <v/>
      </c>
      <c r="L59" s="286" t="str">
        <f>IF($A59&lt;&gt;"",IF(INDEX(BDHK2,MATCH($A59,DiemHKII!$B$4:$B$58,0),INDEX($AD$9:$AF$22,MATCH(L$7,$AD$9:$AD$22,0),2))&lt;&gt;"",INDEX(BDHK2,MATCH($A59,DiemHKII!$B$4:$B$58,0),INDEX($AD$9:$AF$22,MATCH(L$7,$AD$9:$AD$22,0),3)),""),"")</f>
        <v/>
      </c>
      <c r="M59" s="286" t="str">
        <f>IF($A59&lt;&gt;"",IF(INDEX(BDHK2,MATCH($A59,DiemHKII!$B$4:$B$58,0),INDEX($AD$9:$AF$22,MATCH(M$7,$AD$9:$AD$22,0),2))&lt;&gt;"",INDEX(BDHK2,MATCH($A59,DiemHKII!$B$4:$B$58,0),INDEX($AD$9:$AF$22,MATCH(M$7,$AD$9:$AD$22,0),3)),""),"")</f>
        <v/>
      </c>
      <c r="N59" s="286" t="str">
        <f>IF($A59&lt;&gt;"",IF(INDEX(BDHK2,MATCH($A59,DiemHKII!$B$4:$B$58,0),INDEX($AD$9:$AF$22,MATCH(N$7,$AD$9:$AD$22,0),2))&lt;&gt;"",INDEX(BDHK2,MATCH($A59,DiemHKII!$B$4:$B$58,0),INDEX($AD$9:$AF$22,MATCH(N$7,$AD$9:$AD$22,0),3)),""),"")</f>
        <v/>
      </c>
      <c r="O59" s="286" t="str">
        <f>IF($A59&lt;&gt;"",IF(INDEX(BDHK2,MATCH($A59,DiemHKII!$B$4:$B$58,0),INDEX($AD$9:$AF$22,MATCH(O$7,$AD$9:$AD$22,0),2))&lt;&gt;"",INDEX(BDHK2,MATCH($A59,DiemHKII!$B$4:$B$58,0),INDEX($AD$9:$AF$22,MATCH(O$7,$AD$9:$AD$22,0),3)),""),"")</f>
        <v/>
      </c>
      <c r="P59" s="286" t="str">
        <f>IF($A59&lt;&gt;"",IF(INDEX(BDHK2,MATCH($A59,DiemHKII!$B$4:$B$58,0),INDEX($AD$9:$AF$22,MATCH(P$7,$AD$9:$AD$22,0),2))&lt;&gt;"",INDEX(BDHK2,MATCH($A59,DiemHKII!$B$4:$B$58,0),INDEX($AD$9:$AF$22,MATCH(P$7,$AD$9:$AD$22,0),3)),""),"")</f>
        <v/>
      </c>
      <c r="Q59" s="286" t="str">
        <f>IF($A59&lt;&gt;"",IF(INDEX(BDHK2,MATCH($A59,DiemHKII!$B$4:$B$58,0),INDEX($AD$9:$AF$22,MATCH(Q$7,$AD$9:$AD$22,0),2))&lt;&gt;"",INDEX(BDHK2,MATCH($A59,DiemHKII!$B$4:$B$58,0),INDEX($AD$9:$AF$22,MATCH(Q$7,$AD$9:$AD$22,0),3)),""),"")</f>
        <v/>
      </c>
      <c r="R59" s="464" t="str">
        <f>IF($A59&lt;&gt;"",IF(INDEX(BDHK2,MATCH($A59,DiemHKII!$B$4:$B$58,0),INDEX($AD$9:$AF$22,MATCH(R$7,$AD$9:$AD$22,0),2))&lt;&gt;"",INDEX(BDHK2,MATCH($A59,DiemHKII!$B$4:$B$58,0),INDEX($AD$9:$AF$22,MATCH(R$7,$AD$9:$AD$22,0),3)),""),"")</f>
        <v/>
      </c>
      <c r="S59" s="464" t="str">
        <f t="shared" si="8"/>
        <v/>
      </c>
      <c r="T59" s="286" t="str">
        <f>IF($A59&lt;&gt;"",IF(INDEX(BDHK2,MATCH($A59,DiemHKII!$B$4:$B$58,0),INDEX($AD$9:$AF$22,MATCH(T$7,$AD$9:$AD$22,0),2))&lt;&gt;"",INDEX(BDHK2,MATCH($A59,DiemHKII!$B$4:$B$58,0),INDEX($AD$9:$AF$22,MATCH(T$7,$AD$9:$AD$22,0),3)),""),"")</f>
        <v/>
      </c>
      <c r="U59" s="287" t="str">
        <f>IF($A59&lt;&gt;"",IF(INDEX(BDHK2,MATCH($A59,DiemHKII!$B$4:$B$58,0),INDEX($AD$9:$AF$22,MATCH(U$7,$AD$9:$AD$22,0),2))&lt;&gt;"",INDEX(BDHK2,MATCH($A59,DiemHKII!$B$4:$B$58,0),INDEX($AD$9:$AF$22,MATCH(U$7,$AD$9:$AD$22,0),3)),""),"")</f>
        <v/>
      </c>
      <c r="V59" s="288" t="str">
        <f t="shared" si="11"/>
        <v/>
      </c>
      <c r="W59" s="464" t="str">
        <f t="shared" si="9"/>
        <v/>
      </c>
      <c r="X59" s="353"/>
      <c r="Y59" s="289" t="str">
        <f t="shared" si="10"/>
        <v/>
      </c>
      <c r="AA59" s="1"/>
      <c r="AB59" s="644" t="str">
        <f t="shared" si="3"/>
        <v/>
      </c>
      <c r="AG59" s="268" t="str">
        <f>IF($A59&lt;&gt;"",INDEX(DiemHKII!$B$4:$K$58,MATCH($A59,DiemHKII!$B$4:$B$58,0),2),"")</f>
        <v/>
      </c>
      <c r="AH59" s="674" t="str">
        <f t="shared" si="7"/>
        <v/>
      </c>
      <c r="AI59" s="672" t="str">
        <f t="shared" ca="1" si="5"/>
        <v/>
      </c>
    </row>
    <row r="60" spans="1:35" s="268" customFormat="1" ht="29.1" hidden="1" customHeight="1">
      <c r="A60" s="281" t="str">
        <f>IF(A59&lt;MAX(DiemHKII!$B$4:$B$58),A59+1,"")</f>
        <v/>
      </c>
      <c r="B60" s="282" t="str">
        <f>IF($A60&lt;&gt;"",PROPER(INDEX(DiemHKII!$B$4:$K$58,MATCH($A60,DiemHKII!$B$4:$B$58,0),4)),"")</f>
        <v/>
      </c>
      <c r="C60" s="283" t="str">
        <f>IF($A60&lt;&gt;"",PROPER(INDEX(DiemHKII!$B$4:$K$58,MATCH($A60,DiemHKII!$B$4:$B$58,0),5)),"")</f>
        <v/>
      </c>
      <c r="D60" s="284" t="str">
        <f>IF($A60&lt;&gt;"",IF(INDEX(DiemHKII!$B$4:$K$58,MATCH($A60,DiemHKII!$B$4:$B$58,0),8)&lt;&gt;"",INDEX(DiemHKII!$B$4:$K$58,MATCH($A60,DiemHKII!$B$4:$B$58,0),8),""),"")</f>
        <v/>
      </c>
      <c r="E60" s="284" t="str">
        <f>IF($A60&lt;&gt;"",IF(INDEX(DiemHKII!$B$4:$K$58,MATCH($A60,DiemHKII!$B$4:$B$58,0),9)&lt;&gt;"",INDEX(DiemHKII!$B$4:$K$58,MATCH($A60,DiemHKII!$B$4:$B$58,0),9),""),"")</f>
        <v/>
      </c>
      <c r="F60" s="284" t="str">
        <f>IF($A60&lt;&gt;"",IF(INDEX(DiemHKII!$B$4:$K$58,MATCH($A60,DiemHKII!$B$4:$B$58,0),10)&lt;&gt;"",INDEX(DiemHKII!$B$4:$K$58,MATCH($A60,DiemHKII!$B$4:$B$58,0),10),""),"")</f>
        <v/>
      </c>
      <c r="G60" s="285" t="str">
        <f>IF($A60&lt;&gt;"",IF(INDEX(BDHK2,MATCH($A60,DiemHKII!$B$4:$B$58,0),INDEX($AD$9:$AF$22,MATCH(G$7,$AD$9:$AD$22,0),2))&lt;&gt;"",INDEX(BDHK2,MATCH($A60,DiemHKII!$B$4:$B$58,0),INDEX($AD$9:$AF$22,MATCH(G$7,$AD$9:$AD$22,0),3)),""),"")</f>
        <v/>
      </c>
      <c r="H60" s="286" t="str">
        <f>IF($A60&lt;&gt;"",IF(INDEX(BDHK2,MATCH($A60,DiemHKII!$B$4:$B$58,0),INDEX($AD$9:$AF$22,MATCH(H$7,$AD$9:$AD$22,0),2))&lt;&gt;"",INDEX(BDHK2,MATCH($A60,DiemHKII!$B$4:$B$58,0),INDEX($AD$9:$AF$22,MATCH(H$7,$AD$9:$AD$22,0),3)),""),"")</f>
        <v/>
      </c>
      <c r="I60" s="286" t="str">
        <f>IF($A60&lt;&gt;"",IF(INDEX(BDHK2,MATCH($A60,DiemHKII!$B$4:$B$58,0),INDEX($AD$9:$AF$22,MATCH(I$7,$AD$9:$AD$22,0),2))&lt;&gt;"",INDEX(BDHK2,MATCH($A60,DiemHKII!$B$4:$B$58,0),INDEX($AD$9:$AF$22,MATCH(I$7,$AD$9:$AD$22,0),3)),""),"")</f>
        <v/>
      </c>
      <c r="J60" s="286" t="str">
        <f>IF($A60&lt;&gt;"",IF(INDEX(BDHK2,MATCH($A60,DiemHKII!$B$4:$B$58,0),INDEX($AD$9:$AF$22,MATCH(J$7,$AD$9:$AD$22,0),2))&lt;&gt;"",INDEX(BDHK2,MATCH($A60,DiemHKII!$B$4:$B$58,0),INDEX($AD$9:$AF$22,MATCH(J$7,$AD$9:$AD$22,0),3)),""),"")</f>
        <v/>
      </c>
      <c r="K60" s="286" t="str">
        <f>IF($A60&lt;&gt;"",IF(INDEX(BDHK2,MATCH($A60,DiemHKII!$B$4:$B$58,0),INDEX($AD$9:$AF$22,MATCH(K$7,$AD$9:$AD$22,0),2))&lt;&gt;"",INDEX(BDHK2,MATCH($A60,DiemHKII!$B$4:$B$58,0),INDEX($AD$9:$AF$22,MATCH(K$7,$AD$9:$AD$22,0),3)),""),"")</f>
        <v/>
      </c>
      <c r="L60" s="286" t="str">
        <f>IF($A60&lt;&gt;"",IF(INDEX(BDHK2,MATCH($A60,DiemHKII!$B$4:$B$58,0),INDEX($AD$9:$AF$22,MATCH(L$7,$AD$9:$AD$22,0),2))&lt;&gt;"",INDEX(BDHK2,MATCH($A60,DiemHKII!$B$4:$B$58,0),INDEX($AD$9:$AF$22,MATCH(L$7,$AD$9:$AD$22,0),3)),""),"")</f>
        <v/>
      </c>
      <c r="M60" s="286" t="str">
        <f>IF($A60&lt;&gt;"",IF(INDEX(BDHK2,MATCH($A60,DiemHKII!$B$4:$B$58,0),INDEX($AD$9:$AF$22,MATCH(M$7,$AD$9:$AD$22,0),2))&lt;&gt;"",INDEX(BDHK2,MATCH($A60,DiemHKII!$B$4:$B$58,0),INDEX($AD$9:$AF$22,MATCH(M$7,$AD$9:$AD$22,0),3)),""),"")</f>
        <v/>
      </c>
      <c r="N60" s="286" t="str">
        <f>IF($A60&lt;&gt;"",IF(INDEX(BDHK2,MATCH($A60,DiemHKII!$B$4:$B$58,0),INDEX($AD$9:$AF$22,MATCH(N$7,$AD$9:$AD$22,0),2))&lt;&gt;"",INDEX(BDHK2,MATCH($A60,DiemHKII!$B$4:$B$58,0),INDEX($AD$9:$AF$22,MATCH(N$7,$AD$9:$AD$22,0),3)),""),"")</f>
        <v/>
      </c>
      <c r="O60" s="286" t="str">
        <f>IF($A60&lt;&gt;"",IF(INDEX(BDHK2,MATCH($A60,DiemHKII!$B$4:$B$58,0),INDEX($AD$9:$AF$22,MATCH(O$7,$AD$9:$AD$22,0),2))&lt;&gt;"",INDEX(BDHK2,MATCH($A60,DiemHKII!$B$4:$B$58,0),INDEX($AD$9:$AF$22,MATCH(O$7,$AD$9:$AD$22,0),3)),""),"")</f>
        <v/>
      </c>
      <c r="P60" s="286" t="str">
        <f>IF($A60&lt;&gt;"",IF(INDEX(BDHK2,MATCH($A60,DiemHKII!$B$4:$B$58,0),INDEX($AD$9:$AF$22,MATCH(P$7,$AD$9:$AD$22,0),2))&lt;&gt;"",INDEX(BDHK2,MATCH($A60,DiemHKII!$B$4:$B$58,0),INDEX($AD$9:$AF$22,MATCH(P$7,$AD$9:$AD$22,0),3)),""),"")</f>
        <v/>
      </c>
      <c r="Q60" s="286" t="str">
        <f>IF($A60&lt;&gt;"",IF(INDEX(BDHK2,MATCH($A60,DiemHKII!$B$4:$B$58,0),INDEX($AD$9:$AF$22,MATCH(Q$7,$AD$9:$AD$22,0),2))&lt;&gt;"",INDEX(BDHK2,MATCH($A60,DiemHKII!$B$4:$B$58,0),INDEX($AD$9:$AF$22,MATCH(Q$7,$AD$9:$AD$22,0),3)),""),"")</f>
        <v/>
      </c>
      <c r="R60" s="464" t="str">
        <f>IF($A60&lt;&gt;"",IF(INDEX(BDHK2,MATCH($A60,DiemHKII!$B$4:$B$58,0),INDEX($AD$9:$AF$22,MATCH(R$7,$AD$9:$AD$22,0),2))&lt;&gt;"",INDEX(BDHK2,MATCH($A60,DiemHKII!$B$4:$B$58,0),INDEX($AD$9:$AF$22,MATCH(R$7,$AD$9:$AD$22,0),3)),""),"")</f>
        <v/>
      </c>
      <c r="S60" s="464" t="str">
        <f t="shared" si="8"/>
        <v/>
      </c>
      <c r="T60" s="286" t="str">
        <f>IF($A60&lt;&gt;"",IF(INDEX(BDHK2,MATCH($A60,DiemHKII!$B$4:$B$58,0),INDEX($AD$9:$AF$22,MATCH(T$7,$AD$9:$AD$22,0),2))&lt;&gt;"",INDEX(BDHK2,MATCH($A60,DiemHKII!$B$4:$B$58,0),INDEX($AD$9:$AF$22,MATCH(T$7,$AD$9:$AD$22,0),3)),""),"")</f>
        <v/>
      </c>
      <c r="U60" s="287" t="str">
        <f>IF($A60&lt;&gt;"",IF(INDEX(BDHK2,MATCH($A60,DiemHKII!$B$4:$B$58,0),INDEX($AD$9:$AF$22,MATCH(U$7,$AD$9:$AD$22,0),2))&lt;&gt;"",INDEX(BDHK2,MATCH($A60,DiemHKII!$B$4:$B$58,0),INDEX($AD$9:$AF$22,MATCH(U$7,$AD$9:$AD$22,0),3)),""),"")</f>
        <v/>
      </c>
      <c r="V60" s="288" t="str">
        <f t="shared" si="11"/>
        <v/>
      </c>
      <c r="W60" s="464" t="str">
        <f t="shared" si="9"/>
        <v/>
      </c>
      <c r="X60" s="353"/>
      <c r="Y60" s="289" t="str">
        <f t="shared" si="10"/>
        <v/>
      </c>
      <c r="AA60" s="1"/>
      <c r="AB60" s="644" t="str">
        <f t="shared" si="3"/>
        <v/>
      </c>
      <c r="AG60" s="268" t="str">
        <f>IF($A60&lt;&gt;"",INDEX(DiemHKII!$B$4:$K$58,MATCH($A60,DiemHKII!$B$4:$B$58,0),2),"")</f>
        <v/>
      </c>
      <c r="AH60" s="674" t="str">
        <f t="shared" si="7"/>
        <v/>
      </c>
      <c r="AI60" s="672" t="str">
        <f t="shared" ca="1" si="5"/>
        <v/>
      </c>
    </row>
    <row r="61" spans="1:35" s="268" customFormat="1" ht="29.1" hidden="1" customHeight="1">
      <c r="A61" s="281" t="str">
        <f>IF(A60&lt;MAX(DiemHKII!$B$4:$B$58),A60+1,"")</f>
        <v/>
      </c>
      <c r="B61" s="282" t="str">
        <f>IF($A61&lt;&gt;"",PROPER(INDEX(DiemHKII!$B$4:$K$58,MATCH($A61,DiemHKII!$B$4:$B$58,0),4)),"")</f>
        <v/>
      </c>
      <c r="C61" s="283" t="str">
        <f>IF($A61&lt;&gt;"",PROPER(INDEX(DiemHKII!$B$4:$K$58,MATCH($A61,DiemHKII!$B$4:$B$58,0),5)),"")</f>
        <v/>
      </c>
      <c r="D61" s="284" t="str">
        <f>IF($A61&lt;&gt;"",IF(INDEX(DiemHKII!$B$4:$K$58,MATCH($A61,DiemHKII!$B$4:$B$58,0),8)&lt;&gt;"",INDEX(DiemHKII!$B$4:$K$58,MATCH($A61,DiemHKII!$B$4:$B$58,0),8),""),"")</f>
        <v/>
      </c>
      <c r="E61" s="284" t="str">
        <f>IF($A61&lt;&gt;"",IF(INDEX(DiemHKII!$B$4:$K$58,MATCH($A61,DiemHKII!$B$4:$B$58,0),9)&lt;&gt;"",INDEX(DiemHKII!$B$4:$K$58,MATCH($A61,DiemHKII!$B$4:$B$58,0),9),""),"")</f>
        <v/>
      </c>
      <c r="F61" s="284" t="str">
        <f>IF($A61&lt;&gt;"",IF(INDEX(DiemHKII!$B$4:$K$58,MATCH($A61,DiemHKII!$B$4:$B$58,0),10)&lt;&gt;"",INDEX(DiemHKII!$B$4:$K$58,MATCH($A61,DiemHKII!$B$4:$B$58,0),10),""),"")</f>
        <v/>
      </c>
      <c r="G61" s="285" t="str">
        <f>IF($A61&lt;&gt;"",IF(INDEX(BDHK2,MATCH($A61,DiemHKII!$B$4:$B$58,0),INDEX($AD$9:$AF$22,MATCH(G$7,$AD$9:$AD$22,0),2))&lt;&gt;"",INDEX(BDHK2,MATCH($A61,DiemHKII!$B$4:$B$58,0),INDEX($AD$9:$AF$22,MATCH(G$7,$AD$9:$AD$22,0),3)),""),"")</f>
        <v/>
      </c>
      <c r="H61" s="286" t="str">
        <f>IF($A61&lt;&gt;"",IF(INDEX(BDHK2,MATCH($A61,DiemHKII!$B$4:$B$58,0),INDEX($AD$9:$AF$22,MATCH(H$7,$AD$9:$AD$22,0),2))&lt;&gt;"",INDEX(BDHK2,MATCH($A61,DiemHKII!$B$4:$B$58,0),INDEX($AD$9:$AF$22,MATCH(H$7,$AD$9:$AD$22,0),3)),""),"")</f>
        <v/>
      </c>
      <c r="I61" s="286" t="str">
        <f>IF($A61&lt;&gt;"",IF(INDEX(BDHK2,MATCH($A61,DiemHKII!$B$4:$B$58,0),INDEX($AD$9:$AF$22,MATCH(I$7,$AD$9:$AD$22,0),2))&lt;&gt;"",INDEX(BDHK2,MATCH($A61,DiemHKII!$B$4:$B$58,0),INDEX($AD$9:$AF$22,MATCH(I$7,$AD$9:$AD$22,0),3)),""),"")</f>
        <v/>
      </c>
      <c r="J61" s="286" t="str">
        <f>IF($A61&lt;&gt;"",IF(INDEX(BDHK2,MATCH($A61,DiemHKII!$B$4:$B$58,0),INDEX($AD$9:$AF$22,MATCH(J$7,$AD$9:$AD$22,0),2))&lt;&gt;"",INDEX(BDHK2,MATCH($A61,DiemHKII!$B$4:$B$58,0),INDEX($AD$9:$AF$22,MATCH(J$7,$AD$9:$AD$22,0),3)),""),"")</f>
        <v/>
      </c>
      <c r="K61" s="286" t="str">
        <f>IF($A61&lt;&gt;"",IF(INDEX(BDHK2,MATCH($A61,DiemHKII!$B$4:$B$58,0),INDEX($AD$9:$AF$22,MATCH(K$7,$AD$9:$AD$22,0),2))&lt;&gt;"",INDEX(BDHK2,MATCH($A61,DiemHKII!$B$4:$B$58,0),INDEX($AD$9:$AF$22,MATCH(K$7,$AD$9:$AD$22,0),3)),""),"")</f>
        <v/>
      </c>
      <c r="L61" s="286" t="str">
        <f>IF($A61&lt;&gt;"",IF(INDEX(BDHK2,MATCH($A61,DiemHKII!$B$4:$B$58,0),INDEX($AD$9:$AF$22,MATCH(L$7,$AD$9:$AD$22,0),2))&lt;&gt;"",INDEX(BDHK2,MATCH($A61,DiemHKII!$B$4:$B$58,0),INDEX($AD$9:$AF$22,MATCH(L$7,$AD$9:$AD$22,0),3)),""),"")</f>
        <v/>
      </c>
      <c r="M61" s="286" t="str">
        <f>IF($A61&lt;&gt;"",IF(INDEX(BDHK2,MATCH($A61,DiemHKII!$B$4:$B$58,0),INDEX($AD$9:$AF$22,MATCH(M$7,$AD$9:$AD$22,0),2))&lt;&gt;"",INDEX(BDHK2,MATCH($A61,DiemHKII!$B$4:$B$58,0),INDEX($AD$9:$AF$22,MATCH(M$7,$AD$9:$AD$22,0),3)),""),"")</f>
        <v/>
      </c>
      <c r="N61" s="286" t="str">
        <f>IF($A61&lt;&gt;"",IF(INDEX(BDHK2,MATCH($A61,DiemHKII!$B$4:$B$58,0),INDEX($AD$9:$AF$22,MATCH(N$7,$AD$9:$AD$22,0),2))&lt;&gt;"",INDEX(BDHK2,MATCH($A61,DiemHKII!$B$4:$B$58,0),INDEX($AD$9:$AF$22,MATCH(N$7,$AD$9:$AD$22,0),3)),""),"")</f>
        <v/>
      </c>
      <c r="O61" s="286" t="str">
        <f>IF($A61&lt;&gt;"",IF(INDEX(BDHK2,MATCH($A61,DiemHKII!$B$4:$B$58,0),INDEX($AD$9:$AF$22,MATCH(O$7,$AD$9:$AD$22,0),2))&lt;&gt;"",INDEX(BDHK2,MATCH($A61,DiemHKII!$B$4:$B$58,0),INDEX($AD$9:$AF$22,MATCH(O$7,$AD$9:$AD$22,0),3)),""),"")</f>
        <v/>
      </c>
      <c r="P61" s="286" t="str">
        <f>IF($A61&lt;&gt;"",IF(INDEX(BDHK2,MATCH($A61,DiemHKII!$B$4:$B$58,0),INDEX($AD$9:$AF$22,MATCH(P$7,$AD$9:$AD$22,0),2))&lt;&gt;"",INDEX(BDHK2,MATCH($A61,DiemHKII!$B$4:$B$58,0),INDEX($AD$9:$AF$22,MATCH(P$7,$AD$9:$AD$22,0),3)),""),"")</f>
        <v/>
      </c>
      <c r="Q61" s="286" t="str">
        <f>IF($A61&lt;&gt;"",IF(INDEX(BDHK2,MATCH($A61,DiemHKII!$B$4:$B$58,0),INDEX($AD$9:$AF$22,MATCH(Q$7,$AD$9:$AD$22,0),2))&lt;&gt;"",INDEX(BDHK2,MATCH($A61,DiemHKII!$B$4:$B$58,0),INDEX($AD$9:$AF$22,MATCH(Q$7,$AD$9:$AD$22,0),3)),""),"")</f>
        <v/>
      </c>
      <c r="R61" s="464" t="str">
        <f>IF($A61&lt;&gt;"",IF(INDEX(BDHK2,MATCH($A61,DiemHKII!$B$4:$B$58,0),INDEX($AD$9:$AF$22,MATCH(R$7,$AD$9:$AD$22,0),2))&lt;&gt;"",INDEX(BDHK2,MATCH($A61,DiemHKII!$B$4:$B$58,0),INDEX($AD$9:$AF$22,MATCH(R$7,$AD$9:$AD$22,0),3)),""),"")</f>
        <v/>
      </c>
      <c r="S61" s="464" t="str">
        <f t="shared" si="8"/>
        <v/>
      </c>
      <c r="T61" s="286" t="str">
        <f>IF($A61&lt;&gt;"",IF(INDEX(BDHK2,MATCH($A61,DiemHKII!$B$4:$B$58,0),INDEX($AD$9:$AF$22,MATCH(T$7,$AD$9:$AD$22,0),2))&lt;&gt;"",INDEX(BDHK2,MATCH($A61,DiemHKII!$B$4:$B$58,0),INDEX($AD$9:$AF$22,MATCH(T$7,$AD$9:$AD$22,0),3)),""),"")</f>
        <v/>
      </c>
      <c r="U61" s="287" t="str">
        <f>IF($A61&lt;&gt;"",IF(INDEX(BDHK2,MATCH($A61,DiemHKII!$B$4:$B$58,0),INDEX($AD$9:$AF$22,MATCH(U$7,$AD$9:$AD$22,0),2))&lt;&gt;"",INDEX(BDHK2,MATCH($A61,DiemHKII!$B$4:$B$58,0),INDEX($AD$9:$AF$22,MATCH(U$7,$AD$9:$AD$22,0),3)),""),"")</f>
        <v/>
      </c>
      <c r="V61" s="288" t="str">
        <f t="shared" si="11"/>
        <v/>
      </c>
      <c r="W61" s="464" t="str">
        <f t="shared" si="9"/>
        <v/>
      </c>
      <c r="X61" s="353"/>
      <c r="Y61" s="289" t="str">
        <f t="shared" si="10"/>
        <v/>
      </c>
      <c r="AA61" s="1"/>
      <c r="AB61" s="644" t="str">
        <f t="shared" si="3"/>
        <v/>
      </c>
      <c r="AG61" s="268" t="str">
        <f>IF($A61&lt;&gt;"",INDEX(DiemHKII!$B$4:$K$58,MATCH($A61,DiemHKII!$B$4:$B$58,0),2),"")</f>
        <v/>
      </c>
      <c r="AH61" s="674" t="str">
        <f t="shared" si="7"/>
        <v/>
      </c>
      <c r="AI61" s="672" t="str">
        <f t="shared" ca="1" si="5"/>
        <v/>
      </c>
    </row>
    <row r="62" spans="1:35" s="268" customFormat="1" ht="29.1" hidden="1" customHeight="1" thickBot="1">
      <c r="A62" s="290" t="str">
        <f>IF(A61&lt;MAX(DiemHKII!$B$4:$B$58),A61+1,"")</f>
        <v/>
      </c>
      <c r="B62" s="291" t="str">
        <f>IF($A62&lt;&gt;"",PROPER(INDEX(DiemHKII!$B$4:$K$58,MATCH($A62,DiemHKII!$B$4:$B$58,0),4)),"")</f>
        <v/>
      </c>
      <c r="C62" s="292" t="str">
        <f>IF($A62&lt;&gt;"",PROPER(INDEX(DiemHKII!$B$4:$K$58,MATCH($A62,DiemHKII!$B$4:$B$58,0),5)),"")</f>
        <v/>
      </c>
      <c r="D62" s="293" t="str">
        <f>IF($A62&lt;&gt;"",IF(INDEX(DiemHKII!$B$4:$K$58,MATCH($A62,DiemHKII!$B$4:$B$58,0),8)&lt;&gt;"",INDEX(DiemHKII!$B$4:$K$58,MATCH($A62,DiemHKII!$B$4:$B$58,0),8),""),"")</f>
        <v/>
      </c>
      <c r="E62" s="293" t="str">
        <f>IF($A62&lt;&gt;"",IF(INDEX(DiemHKII!$B$4:$K$58,MATCH($A62,DiemHKII!$B$4:$B$58,0),9)&lt;&gt;"",INDEX(DiemHKII!$B$4:$K$58,MATCH($A62,DiemHKII!$B$4:$B$58,0),9),""),"")</f>
        <v/>
      </c>
      <c r="F62" s="293" t="str">
        <f>IF($A62&lt;&gt;"",IF(INDEX(DiemHKII!$B$4:$K$58,MATCH($A62,DiemHKII!$B$4:$B$58,0),10)&lt;&gt;"",INDEX(DiemHKII!$B$4:$K$58,MATCH($A62,DiemHKII!$B$4:$B$58,0),10),""),"")</f>
        <v/>
      </c>
      <c r="G62" s="294" t="str">
        <f>IF($A62&lt;&gt;"",IF(INDEX(BDHK2,MATCH($A62,DiemHKII!$B$4:$B$58,0),INDEX($AD$9:$AF$22,MATCH(G$7,$AD$9:$AD$22,0),2))&lt;&gt;"",INDEX(BDHK2,MATCH($A62,DiemHKII!$B$4:$B$58,0),INDEX($AD$9:$AF$22,MATCH(G$7,$AD$9:$AD$22,0),3)),""),"")</f>
        <v/>
      </c>
      <c r="H62" s="295" t="str">
        <f>IF($A62&lt;&gt;"",IF(INDEX(BDHK2,MATCH($A62,DiemHKII!$B$4:$B$58,0),INDEX($AD$9:$AF$22,MATCH(H$7,$AD$9:$AD$22,0),2))&lt;&gt;"",INDEX(BDHK2,MATCH($A62,DiemHKII!$B$4:$B$58,0),INDEX($AD$9:$AF$22,MATCH(H$7,$AD$9:$AD$22,0),3)),""),"")</f>
        <v/>
      </c>
      <c r="I62" s="295" t="str">
        <f>IF($A62&lt;&gt;"",IF(INDEX(BDHK2,MATCH($A62,DiemHKII!$B$4:$B$58,0),INDEX($AD$9:$AF$22,MATCH(I$7,$AD$9:$AD$22,0),2))&lt;&gt;"",INDEX(BDHK2,MATCH($A62,DiemHKII!$B$4:$B$58,0),INDEX($AD$9:$AF$22,MATCH(I$7,$AD$9:$AD$22,0),3)),""),"")</f>
        <v/>
      </c>
      <c r="J62" s="295" t="str">
        <f>IF($A62&lt;&gt;"",IF(INDEX(BDHK2,MATCH($A62,DiemHKII!$B$4:$B$58,0),INDEX($AD$9:$AF$22,MATCH(J$7,$AD$9:$AD$22,0),2))&lt;&gt;"",INDEX(BDHK2,MATCH($A62,DiemHKII!$B$4:$B$58,0),INDEX($AD$9:$AF$22,MATCH(J$7,$AD$9:$AD$22,0),3)),""),"")</f>
        <v/>
      </c>
      <c r="K62" s="295" t="str">
        <f>IF($A62&lt;&gt;"",IF(INDEX(BDHK2,MATCH($A62,DiemHKII!$B$4:$B$58,0),INDEX($AD$9:$AF$22,MATCH(K$7,$AD$9:$AD$22,0),2))&lt;&gt;"",INDEX(BDHK2,MATCH($A62,DiemHKII!$B$4:$B$58,0),INDEX($AD$9:$AF$22,MATCH(K$7,$AD$9:$AD$22,0),3)),""),"")</f>
        <v/>
      </c>
      <c r="L62" s="295" t="str">
        <f>IF($A62&lt;&gt;"",IF(INDEX(BDHK2,MATCH($A62,DiemHKII!$B$4:$B$58,0),INDEX($AD$9:$AF$22,MATCH(L$7,$AD$9:$AD$22,0),2))&lt;&gt;"",INDEX(BDHK2,MATCH($A62,DiemHKII!$B$4:$B$58,0),INDEX($AD$9:$AF$22,MATCH(L$7,$AD$9:$AD$22,0),3)),""),"")</f>
        <v/>
      </c>
      <c r="M62" s="295" t="str">
        <f>IF($A62&lt;&gt;"",IF(INDEX(BDHK2,MATCH($A62,DiemHKII!$B$4:$B$58,0),INDEX($AD$9:$AF$22,MATCH(M$7,$AD$9:$AD$22,0),2))&lt;&gt;"",INDEX(BDHK2,MATCH($A62,DiemHKII!$B$4:$B$58,0),INDEX($AD$9:$AF$22,MATCH(M$7,$AD$9:$AD$22,0),3)),""),"")</f>
        <v/>
      </c>
      <c r="N62" s="295" t="str">
        <f>IF($A62&lt;&gt;"",IF(INDEX(BDHK2,MATCH($A62,DiemHKII!$B$4:$B$58,0),INDEX($AD$9:$AF$22,MATCH(N$7,$AD$9:$AD$22,0),2))&lt;&gt;"",INDEX(BDHK2,MATCH($A62,DiemHKII!$B$4:$B$58,0),INDEX($AD$9:$AF$22,MATCH(N$7,$AD$9:$AD$22,0),3)),""),"")</f>
        <v/>
      </c>
      <c r="O62" s="295" t="str">
        <f>IF($A62&lt;&gt;"",IF(INDEX(BDHK2,MATCH($A62,DiemHKII!$B$4:$B$58,0),INDEX($AD$9:$AF$22,MATCH(O$7,$AD$9:$AD$22,0),2))&lt;&gt;"",INDEX(BDHK2,MATCH($A62,DiemHKII!$B$4:$B$58,0),INDEX($AD$9:$AF$22,MATCH(O$7,$AD$9:$AD$22,0),3)),""),"")</f>
        <v/>
      </c>
      <c r="P62" s="295" t="str">
        <f>IF($A62&lt;&gt;"",IF(INDEX(BDHK2,MATCH($A62,DiemHKII!$B$4:$B$58,0),INDEX($AD$9:$AF$22,MATCH(P$7,$AD$9:$AD$22,0),2))&lt;&gt;"",INDEX(BDHK2,MATCH($A62,DiemHKII!$B$4:$B$58,0),INDEX($AD$9:$AF$22,MATCH(P$7,$AD$9:$AD$22,0),3)),""),"")</f>
        <v/>
      </c>
      <c r="Q62" s="295" t="str">
        <f>IF($A62&lt;&gt;"",IF(INDEX(BDHK2,MATCH($A62,DiemHKII!$B$4:$B$58,0),INDEX($AD$9:$AF$22,MATCH(Q$7,$AD$9:$AD$22,0),2))&lt;&gt;"",INDEX(BDHK2,MATCH($A62,DiemHKII!$B$4:$B$58,0),INDEX($AD$9:$AF$22,MATCH(Q$7,$AD$9:$AD$22,0),3)),""),"")</f>
        <v/>
      </c>
      <c r="R62" s="296" t="str">
        <f>IF($A62&lt;&gt;"",IF(INDEX(BDHK2,MATCH($A62,DiemHKII!$B$4:$B$58,0),INDEX($AD$9:$AF$22,MATCH(R$7,$AD$9:$AD$22,0),2))&lt;&gt;"",INDEX(BDHK2,MATCH($A62,DiemHKII!$B$4:$B$58,0),INDEX($AD$9:$AF$22,MATCH(R$7,$AD$9:$AD$22,0),3)),""),"")</f>
        <v/>
      </c>
      <c r="S62" s="296" t="str">
        <f t="shared" si="8"/>
        <v/>
      </c>
      <c r="T62" s="295" t="str">
        <f>IF($A62&lt;&gt;"",IF(INDEX(BDHK2,MATCH($A62,DiemHKII!$B$4:$B$58,0),INDEX($AD$9:$AF$22,MATCH(T$7,$AD$9:$AD$22,0),2))&lt;&gt;"",INDEX(BDHK2,MATCH($A62,DiemHKII!$B$4:$B$58,0),INDEX($AD$9:$AF$22,MATCH(T$7,$AD$9:$AD$22,0),3)),""),"")</f>
        <v/>
      </c>
      <c r="U62" s="297" t="str">
        <f>IF($A62&lt;&gt;"",IF(INDEX(BDHK2,MATCH($A62,DiemHKII!$B$4:$B$58,0),INDEX($AD$9:$AF$22,MATCH(U$7,$AD$9:$AD$22,0),2))&lt;&gt;"",INDEX(BDHK2,MATCH($A62,DiemHKII!$B$4:$B$58,0),INDEX($AD$9:$AF$22,MATCH(U$7,$AD$9:$AD$22,0),3)),""),"")</f>
        <v/>
      </c>
      <c r="V62" s="298" t="str">
        <f t="shared" si="11"/>
        <v/>
      </c>
      <c r="W62" s="296" t="str">
        <f t="shared" si="9"/>
        <v/>
      </c>
      <c r="X62" s="354"/>
      <c r="Y62" s="299" t="str">
        <f t="shared" si="10"/>
        <v/>
      </c>
      <c r="AA62" s="1"/>
      <c r="AB62" s="660" t="str">
        <f t="shared" si="3"/>
        <v/>
      </c>
      <c r="AC62" s="84"/>
      <c r="AD62" s="84"/>
      <c r="AE62" s="84"/>
      <c r="AF62" s="84"/>
      <c r="AG62" s="84" t="str">
        <f>IF($A62&lt;&gt;"",INDEX(DiemHKII!$B$4:$K$58,MATCH($A62,DiemHKII!$B$4:$B$58,0),2),"")</f>
        <v/>
      </c>
      <c r="AH62" s="678" t="str">
        <f t="shared" si="7"/>
        <v/>
      </c>
      <c r="AI62" s="679" t="str">
        <f t="shared" ca="1" si="5"/>
        <v/>
      </c>
    </row>
    <row r="63" spans="1:35" s="268" customFormat="1" ht="17.25" customHeight="1">
      <c r="A63" s="1"/>
      <c r="D63" s="1"/>
      <c r="E63" s="1"/>
      <c r="F63" s="1"/>
      <c r="AA63" s="1"/>
    </row>
    <row r="64" spans="1:35" ht="15" customHeight="1">
      <c r="N64" s="956" t="s">
        <v>262</v>
      </c>
      <c r="O64" s="956"/>
      <c r="P64" s="956"/>
      <c r="Q64" s="956"/>
      <c r="R64" s="956"/>
      <c r="S64" s="956"/>
      <c r="T64" s="956"/>
      <c r="U64" s="956"/>
      <c r="V64" s="956"/>
      <c r="W64" s="956"/>
      <c r="X64" s="956"/>
    </row>
    <row r="65" spans="8:24" ht="15" customHeight="1">
      <c r="N65" s="957" t="s">
        <v>70</v>
      </c>
      <c r="O65" s="957"/>
      <c r="P65" s="957"/>
      <c r="Q65" s="957"/>
      <c r="R65" s="957"/>
      <c r="S65" s="957"/>
      <c r="T65" s="957"/>
      <c r="U65" s="957"/>
      <c r="V65" s="957"/>
      <c r="W65" s="957"/>
      <c r="X65" s="957"/>
    </row>
    <row r="66" spans="8:24" ht="11.25" customHeight="1"/>
    <row r="67" spans="8:24" ht="11.25" customHeight="1"/>
    <row r="68" spans="8:24" ht="11.25" customHeight="1"/>
    <row r="69" spans="8:24" ht="11.25" customHeight="1"/>
    <row r="70" spans="8:24" ht="11.25" customHeight="1"/>
    <row r="71" spans="8:24" ht="11.25" customHeight="1"/>
    <row r="73" spans="8:24">
      <c r="H73" s="938" t="s">
        <v>36</v>
      </c>
      <c r="I73" s="939"/>
      <c r="J73" s="940"/>
      <c r="K73" s="303" t="s">
        <v>11</v>
      </c>
      <c r="L73" s="304" t="s">
        <v>12</v>
      </c>
      <c r="M73" s="304" t="s">
        <v>39</v>
      </c>
      <c r="N73" s="304" t="s">
        <v>14</v>
      </c>
      <c r="O73" s="305" t="s">
        <v>15</v>
      </c>
      <c r="P73" s="306" t="s">
        <v>52</v>
      </c>
      <c r="Q73" s="1048" t="s">
        <v>37</v>
      </c>
      <c r="R73" s="1049"/>
      <c r="S73" s="1049"/>
      <c r="T73" s="1050"/>
      <c r="U73" s="303" t="s">
        <v>38</v>
      </c>
      <c r="V73" s="304" t="s">
        <v>12</v>
      </c>
      <c r="W73" s="304" t="s">
        <v>39</v>
      </c>
      <c r="X73" s="305" t="s">
        <v>14</v>
      </c>
    </row>
    <row r="74" spans="8:24">
      <c r="H74" s="942" t="s">
        <v>180</v>
      </c>
      <c r="I74" s="943"/>
      <c r="J74" s="239" t="s">
        <v>49</v>
      </c>
      <c r="K74" s="307">
        <f>COUNTIFS($B$8:$B$62,"?*",$W$8:$W$62,K73)</f>
        <v>0</v>
      </c>
      <c r="L74" s="307">
        <f>COUNTIFS($B$8:$B$62,"?*",$W$8:$W$62,L73)</f>
        <v>0</v>
      </c>
      <c r="M74" s="307">
        <f>COUNTIFS($B$8:$B$62,"?*",$W$8:$W$62,M73)</f>
        <v>0</v>
      </c>
      <c r="N74" s="307">
        <f>COUNTIFS($B$8:$B$62,"?*",$W$8:$W$62,N73)</f>
        <v>0</v>
      </c>
      <c r="O74" s="307">
        <f>COUNTIFS($B$8:$B$62,"?*",$W$8:$W$62,O73)</f>
        <v>0</v>
      </c>
      <c r="P74" s="243">
        <f>SUM(K74:O74)</f>
        <v>0</v>
      </c>
      <c r="Q74" s="937" t="s">
        <v>181</v>
      </c>
      <c r="R74" s="937"/>
      <c r="S74" s="937"/>
      <c r="T74" s="308" t="s">
        <v>49</v>
      </c>
      <c r="U74" s="307">
        <f>COUNTIFS($B$8:$B$62,"?*",$X$8:$X$62,U73)</f>
        <v>0</v>
      </c>
      <c r="V74" s="307">
        <f>COUNTIFS($B$8:$B$62,"?*",$X$8:$X$62,V73)</f>
        <v>0</v>
      </c>
      <c r="W74" s="307">
        <f>COUNTIFS($B$8:$B$62,"?*",$X$8:$X$62,W73)</f>
        <v>0</v>
      </c>
      <c r="X74" s="307">
        <f>COUNTIFS($B$8:$B$62,"?*",$X$8:$X$62,X73)</f>
        <v>0</v>
      </c>
    </row>
    <row r="75" spans="8:24">
      <c r="H75" s="875"/>
      <c r="I75" s="944"/>
      <c r="J75" s="244" t="s">
        <v>17</v>
      </c>
      <c r="K75" s="243">
        <f>COUNTIFS($B$8:$B$62,"?*",$D$8:$D$62,"",$W$8:$W$62,K73)</f>
        <v>0</v>
      </c>
      <c r="L75" s="243">
        <f>COUNTIFS($B$8:$B$62,"?*",$D$8:$D$62,"",$W$8:$W$62,L73)</f>
        <v>0</v>
      </c>
      <c r="M75" s="243">
        <f>COUNTIFS($B$8:$B$62,"?*",$D$8:$D$62,"",$W$8:$W$62,M73)</f>
        <v>0</v>
      </c>
      <c r="N75" s="243">
        <f>COUNTIFS($B$8:$B$62,"?*",$D$8:$D$62,"",$W$8:$W$62,N73)</f>
        <v>0</v>
      </c>
      <c r="O75" s="243">
        <f>COUNTIFS($B$8:$B$62,"?*",$D$8:$D$62,"",$W$8:$W$62,O73)</f>
        <v>0</v>
      </c>
      <c r="P75" s="243">
        <f t="shared" ref="P75:P78" si="12">SUM(K75:O75)</f>
        <v>0</v>
      </c>
      <c r="Q75" s="937"/>
      <c r="R75" s="937"/>
      <c r="S75" s="937"/>
      <c r="T75" s="309" t="s">
        <v>17</v>
      </c>
      <c r="U75" s="243">
        <f>COUNTIFS($B$8:$B$62,"?*",$D$8:$D$62,"",$X$8:$X$62,U73)</f>
        <v>0</v>
      </c>
      <c r="V75" s="243">
        <f>COUNTIFS($B$8:$B$62,"?*",$D$8:$D$62,"",$X$8:$X$62,V73)</f>
        <v>0</v>
      </c>
      <c r="W75" s="243">
        <f>COUNTIFS($B$8:$B$62,"?*",$D$8:$D$62,"",$X$8:$X$62,W73)</f>
        <v>0</v>
      </c>
      <c r="X75" s="243">
        <f>COUNTIFS($B$8:$B$62,"?*",$D$8:$D$62,"",$X$8:$X$62,X73)</f>
        <v>0</v>
      </c>
    </row>
    <row r="76" spans="8:24">
      <c r="H76" s="875"/>
      <c r="I76" s="944"/>
      <c r="J76" s="244" t="s">
        <v>18</v>
      </c>
      <c r="K76" s="243">
        <f>COUNTIFS($B$8:$B$62,"?*",$D$8:$D$62,"x",$W$8:$W$62,K73)</f>
        <v>0</v>
      </c>
      <c r="L76" s="243">
        <f>COUNTIFS($B$8:$B$62,"?*",$D$8:$D$62,"x",$W$8:$W$62,L73)</f>
        <v>0</v>
      </c>
      <c r="M76" s="243">
        <f>COUNTIFS($B$8:$B$62,"?*",$D$8:$D$62,"x",$W$8:$W$62,M73)</f>
        <v>0</v>
      </c>
      <c r="N76" s="243">
        <f>COUNTIFS($B$8:$B$62,"?*",$D$8:$D$62,"x",$W$8:$W$62,N73)</f>
        <v>0</v>
      </c>
      <c r="O76" s="243">
        <f>COUNTIFS($B$8:$B$62,"?*",$D$8:$D$62,"x",$W$8:$W$62,O73)</f>
        <v>0</v>
      </c>
      <c r="P76" s="243">
        <f t="shared" si="12"/>
        <v>0</v>
      </c>
      <c r="Q76" s="937"/>
      <c r="R76" s="937"/>
      <c r="S76" s="937"/>
      <c r="T76" s="309" t="s">
        <v>18</v>
      </c>
      <c r="U76" s="243">
        <f>COUNTIFS($B$8:$B$62,"?*",$D$8:$D$62,"x",$X$8:$X$62,U73)</f>
        <v>0</v>
      </c>
      <c r="V76" s="243">
        <f>COUNTIFS($B$8:$B$62,"?*",$D$8:$D$62,"x",$X$8:$X$62,V73)</f>
        <v>0</v>
      </c>
      <c r="W76" s="243">
        <f>COUNTIFS($B$8:$B$62,"?*",$D$8:$D$62,"x",$X$8:$X$62,W73)</f>
        <v>0</v>
      </c>
      <c r="X76" s="243">
        <f>COUNTIFS($B$8:$B$62,"?*",$D$8:$D$62,"x",$X$8:$X$62,X73)</f>
        <v>0</v>
      </c>
    </row>
    <row r="77" spans="8:24">
      <c r="H77" s="875"/>
      <c r="I77" s="944"/>
      <c r="J77" s="244" t="s">
        <v>50</v>
      </c>
      <c r="K77" s="243">
        <f>COUNTIFS($B$8:$B$62,"?*",$E$8:$E$62,"x",$W$8:$W$62,K73)</f>
        <v>0</v>
      </c>
      <c r="L77" s="243">
        <f>COUNTIFS($B$8:$B$62,"?*",$E$8:$E$62,"x",$W$8:$W$62,L73)</f>
        <v>0</v>
      </c>
      <c r="M77" s="243">
        <f>COUNTIFS($B$8:$B$62,"?*",$E$8:$E$62,"x",$W$8:$W$62,M73)</f>
        <v>0</v>
      </c>
      <c r="N77" s="243">
        <f>COUNTIFS($B$8:$B$62,"?*",$E$8:$E$62,"x",$W$8:$W$62,N73)</f>
        <v>0</v>
      </c>
      <c r="O77" s="243">
        <f>COUNTIFS($B$8:$B$62,"?*",$E$8:$E$62,"x",$W$8:$W$62,O73)</f>
        <v>0</v>
      </c>
      <c r="P77" s="243">
        <f t="shared" si="12"/>
        <v>0</v>
      </c>
      <c r="Q77" s="937"/>
      <c r="R77" s="937"/>
      <c r="S77" s="937"/>
      <c r="T77" s="309" t="s">
        <v>50</v>
      </c>
      <c r="U77" s="243">
        <f>COUNTIFS($B$8:$B$62,"?*",$E$8:$E$62,"x",$X$8:$X$62,U73)</f>
        <v>0</v>
      </c>
      <c r="V77" s="243">
        <f>COUNTIFS($B$8:$B$62,"?*",$E$8:$E$62,"x",$X$8:$X$62,V73)</f>
        <v>0</v>
      </c>
      <c r="W77" s="243">
        <f>COUNTIFS($B$8:$B$62,"?*",$E$8:$E$62,"x",$X$8:$X$62,W73)</f>
        <v>0</v>
      </c>
      <c r="X77" s="243">
        <f>COUNTIFS($B$8:$B$62,"?*",$E$8:$E$62,"x",$X$8:$X$62,X73)</f>
        <v>0</v>
      </c>
    </row>
    <row r="78" spans="8:24">
      <c r="H78" s="876"/>
      <c r="I78" s="945"/>
      <c r="J78" s="244" t="s">
        <v>48</v>
      </c>
      <c r="K78" s="243">
        <f>COUNTIFS($B$8:$B$62,"?*",$F$8:$F$62,"x",$W$8:$W$62,K73)</f>
        <v>0</v>
      </c>
      <c r="L78" s="243">
        <f>COUNTIFS($B$8:$B$62,"?*",$F$8:$F$62,"x",$W$8:$W$62,L73)</f>
        <v>0</v>
      </c>
      <c r="M78" s="243">
        <f>COUNTIFS($B$8:$B$62,"?*",$F$8:$F$62,"x",$W$8:$W$62,M73)</f>
        <v>0</v>
      </c>
      <c r="N78" s="243">
        <f>COUNTIFS($B$8:$B$62,"?*",$F$8:$F$62,"x",$W$8:$W$62,N73)</f>
        <v>0</v>
      </c>
      <c r="O78" s="243">
        <f>COUNTIFS($B$8:$B$62,"?*",$F$8:$F$62,"x",$W$8:$W$62,O73)</f>
        <v>0</v>
      </c>
      <c r="P78" s="243">
        <f t="shared" si="12"/>
        <v>0</v>
      </c>
      <c r="Q78" s="937"/>
      <c r="R78" s="937"/>
      <c r="S78" s="937"/>
      <c r="T78" s="309" t="s">
        <v>48</v>
      </c>
      <c r="U78" s="243">
        <f>COUNTIFS($B$8:$B$62,"?*",$F$8:$F$62,"x",$X$8:$X$62,U73)</f>
        <v>0</v>
      </c>
      <c r="V78" s="243">
        <f>COUNTIFS($B$8:$B$62,"?*",$F$8:$F$62,"x",$X$8:$X$62,V73)</f>
        <v>0</v>
      </c>
      <c r="W78" s="243">
        <f>COUNTIFS($B$8:$B$62,"?*",$F$8:$F$62,"x",$X$8:$X$62,W73)</f>
        <v>0</v>
      </c>
      <c r="X78" s="243">
        <f>COUNTIFS($B$8:$B$62,"?*",$F$8:$F$62,"x",$X$8:$X$62,X73)</f>
        <v>0</v>
      </c>
    </row>
    <row r="80" spans="8:24">
      <c r="H80" s="1044" t="s">
        <v>25</v>
      </c>
      <c r="I80" s="1045"/>
      <c r="J80" s="464" t="s">
        <v>108</v>
      </c>
      <c r="K80" s="464">
        <f>COUNTIFS($A$8:$A$62,"&gt;=1",$Y$8:$Y$62,J80)</f>
        <v>0</v>
      </c>
    </row>
    <row r="81" spans="8:11">
      <c r="H81" s="1046"/>
      <c r="I81" s="1047"/>
      <c r="J81" s="464" t="s">
        <v>109</v>
      </c>
      <c r="K81" s="464">
        <f>COUNTIFS($A$8:$A$62,"&gt;=1",$Y$8:$Y$62,J81)</f>
        <v>0</v>
      </c>
    </row>
  </sheetData>
  <sheetProtection algorithmName="SHA-512" hashValue="tXG9V8qhZokVVrahLMKy/3Yn00D4jaHhziMKOF1s4vtjMBE0B9SXfh8vobendasaVxItPAAT5mgZjYX/g+sKVw==" saltValue="ikAL/4L7Rg4bmKHnSTgBPQ==" spinCount="100000" sheet="1" formatCells="0" formatColumns="0" formatRows="0"/>
  <mergeCells count="19">
    <mergeCell ref="Y6:Y7"/>
    <mergeCell ref="A1:I1"/>
    <mergeCell ref="K1:Y1"/>
    <mergeCell ref="A2:I2"/>
    <mergeCell ref="K2:Y2"/>
    <mergeCell ref="A3:I3"/>
    <mergeCell ref="B4:Y4"/>
    <mergeCell ref="A6:A7"/>
    <mergeCell ref="B6:C7"/>
    <mergeCell ref="G6:U6"/>
    <mergeCell ref="V6:V7"/>
    <mergeCell ref="W6:X6"/>
    <mergeCell ref="H80:I81"/>
    <mergeCell ref="N64:X64"/>
    <mergeCell ref="N65:X65"/>
    <mergeCell ref="H73:J73"/>
    <mergeCell ref="Q73:T73"/>
    <mergeCell ref="H74:I78"/>
    <mergeCell ref="Q74:S78"/>
  </mergeCells>
  <conditionalFormatting sqref="V8:V62">
    <cfRule type="cellIs" dxfId="425" priority="5" operator="between">
      <formula>8</formula>
      <formula>10</formula>
    </cfRule>
  </conditionalFormatting>
  <conditionalFormatting sqref="G8:Y62">
    <cfRule type="expression" dxfId="424" priority="4">
      <formula>G8=""</formula>
    </cfRule>
  </conditionalFormatting>
  <conditionalFormatting sqref="AB8:AB62">
    <cfRule type="top10" dxfId="423" priority="2" bottom="1" rank="5"/>
    <cfRule type="top10" dxfId="422" priority="3" rank="5"/>
  </conditionalFormatting>
  <conditionalFormatting sqref="G8:W62">
    <cfRule type="expression" dxfId="421" priority="1" stopIfTrue="1">
      <formula>OR(AND($V8&gt;=8,$W8="Khá"),AND($V8&gt;=6.5,$W8="Tb"),AND($V8&gt;=5,$W8="Yếu"))</formula>
    </cfRule>
  </conditionalFormatting>
  <dataValidations count="1">
    <dataValidation type="list" allowBlank="1" showInputMessage="1" showErrorMessage="1" sqref="X8:X62">
      <formula1>$AC$9:$AC$13</formula1>
    </dataValidation>
  </dataValidations>
  <printOptions horizontalCentered="1"/>
  <pageMargins left="0.25" right="0.25" top="0.25" bottom="0.25" header="0" footer="0"/>
  <pageSetup paperSize="9" scale="60" orientation="portrait" blackAndWhite="1" r:id="rId1"/>
  <ignoredErrors>
    <ignoredError sqref="S8:S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Nhapdiemhk2">
                <anchor moveWithCells="1" sizeWithCells="1">
                  <from>
                    <xdr:col>22</xdr:col>
                    <xdr:colOff>68580</xdr:colOff>
                    <xdr:row>1</xdr:row>
                    <xdr:rowOff>38100</xdr:rowOff>
                  </from>
                  <to>
                    <xdr:col>24</xdr:col>
                    <xdr:colOff>441960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L70"/>
  <sheetViews>
    <sheetView zoomScale="90" zoomScaleNormal="90" workbookViewId="0">
      <pane xSplit="3" ySplit="8" topLeftCell="D9" activePane="bottomRight" state="frozen"/>
      <selection activeCell="W23" sqref="W23"/>
      <selection pane="topRight" activeCell="W23" sqref="W23"/>
      <selection pane="bottomLeft" activeCell="W23" sqref="W23"/>
      <selection pane="bottomRight" activeCell="AC8" sqref="AC8"/>
    </sheetView>
  </sheetViews>
  <sheetFormatPr defaultColWidth="9.109375" defaultRowHeight="13.8"/>
  <cols>
    <col min="1" max="1" width="4.44140625" style="1" customWidth="1"/>
    <col min="2" max="2" width="23.88671875" style="1" customWidth="1"/>
    <col min="3" max="3" width="10" style="1" customWidth="1"/>
    <col min="4" max="54" width="5.6640625" style="1" customWidth="1"/>
    <col min="55" max="55" width="7.109375" style="1" customWidth="1"/>
    <col min="56" max="56" width="5.6640625" style="1" hidden="1" customWidth="1"/>
    <col min="57" max="58" width="7.109375" style="1" hidden="1" customWidth="1"/>
    <col min="59" max="63" width="9.109375" style="1" hidden="1" customWidth="1"/>
    <col min="64" max="64" width="26" style="1" hidden="1" customWidth="1"/>
    <col min="65" max="16384" width="9.109375" style="1"/>
  </cols>
  <sheetData>
    <row r="1" spans="1:64" s="251" customFormat="1" ht="17.25" customHeight="1">
      <c r="A1" s="1071" t="str">
        <f>IF('Huong dan'!E3&lt;&gt;"","SỞ GIÁO DỤC VÀ ĐÀO TẠO "&amp;UPPER('Huong dan'!E3),"")</f>
        <v>SỞ GIÁO DỤC VÀ ĐÀO TẠO TP. HỒ CHÍ MINH</v>
      </c>
      <c r="B1" s="1071"/>
      <c r="C1" s="1071"/>
      <c r="D1" s="1071"/>
      <c r="E1" s="1071"/>
      <c r="F1" s="1071"/>
      <c r="G1" s="1071"/>
    </row>
    <row r="2" spans="1:64" ht="15.75" customHeight="1">
      <c r="A2" s="1012" t="str">
        <f>IF('Huong dan'!E4&lt;&gt;"","TRƯỜNG "&amp;UPPER('Huong dan'!E4),"")</f>
        <v>TRƯỜNG THCS VÀ THPT NGUYỄN KHUYẾN</v>
      </c>
      <c r="B2" s="1012"/>
      <c r="C2" s="1012"/>
      <c r="D2" s="1012"/>
      <c r="E2" s="1012"/>
      <c r="F2" s="1012"/>
      <c r="G2" s="1012"/>
      <c r="H2" s="1013" t="str">
        <f>"BẢNG TỔNG HỢP KẾT QUẢ ĐÁNH GIÁ, XẾP LOẠI CẢ NĂM - NĂM HỌC:  "&amp;'Huong dan'!C5</f>
        <v>BẢNG TỔNG HỢP KẾT QUẢ ĐÁNH GIÁ, XẾP LOẠI CẢ NĂM - NĂM HỌC:  2021 - 2022</v>
      </c>
      <c r="I2" s="1013"/>
      <c r="J2" s="1013"/>
      <c r="K2" s="1013"/>
      <c r="L2" s="1013"/>
      <c r="M2" s="1013"/>
      <c r="N2" s="1013"/>
      <c r="O2" s="1013"/>
      <c r="P2" s="1013"/>
      <c r="Q2" s="1013"/>
      <c r="R2" s="1013"/>
      <c r="S2" s="1013"/>
      <c r="T2" s="1013"/>
      <c r="U2" s="1013"/>
      <c r="V2" s="1013"/>
      <c r="W2" s="1013"/>
      <c r="X2" s="1013"/>
      <c r="Y2" s="1013"/>
      <c r="Z2" s="1013"/>
      <c r="AA2" s="1013"/>
      <c r="AB2" s="1013"/>
      <c r="AC2" s="1013"/>
      <c r="AD2" s="1013"/>
      <c r="AE2" s="1013"/>
      <c r="AF2" s="1013"/>
      <c r="AG2" s="1013"/>
      <c r="AH2" s="1013"/>
      <c r="AI2" s="1013"/>
      <c r="AJ2" s="1013"/>
      <c r="AK2" s="1013"/>
      <c r="AL2" s="1013"/>
      <c r="AM2" s="1013"/>
      <c r="AN2" s="1013"/>
      <c r="AO2" s="1013"/>
      <c r="AP2" s="1013"/>
      <c r="AQ2" s="1013"/>
      <c r="AR2" s="1013"/>
      <c r="AS2" s="1013"/>
      <c r="AW2" s="88"/>
      <c r="AX2" s="88"/>
      <c r="AY2" s="88"/>
      <c r="AZ2" s="88"/>
      <c r="BA2" s="88"/>
    </row>
    <row r="3" spans="1:64" ht="18.75" customHeight="1">
      <c r="A3" s="1012" t="str">
        <f>IF('Huong dan'!C3&lt;&gt;"","Lớp "&amp;UPPER('Huong dan'!C3),"")</f>
        <v>Lớp 12A1</v>
      </c>
      <c r="B3" s="1012"/>
      <c r="C3" s="1012"/>
      <c r="D3" s="1012"/>
      <c r="E3" s="1012"/>
      <c r="F3" s="1012"/>
      <c r="G3" s="1012"/>
      <c r="H3" s="1013"/>
      <c r="I3" s="1013"/>
      <c r="J3" s="1013"/>
      <c r="K3" s="1013"/>
      <c r="L3" s="1013"/>
      <c r="M3" s="1013"/>
      <c r="N3" s="1013"/>
      <c r="O3" s="1013"/>
      <c r="P3" s="1013"/>
      <c r="Q3" s="1013"/>
      <c r="R3" s="1013"/>
      <c r="S3" s="1013"/>
      <c r="T3" s="1013"/>
      <c r="U3" s="1013"/>
      <c r="V3" s="1013"/>
      <c r="W3" s="1013"/>
      <c r="X3" s="1013"/>
      <c r="Y3" s="1013"/>
      <c r="Z3" s="1013"/>
      <c r="AA3" s="1013"/>
      <c r="AB3" s="1013"/>
      <c r="AC3" s="1013"/>
      <c r="AD3" s="1013"/>
      <c r="AE3" s="1013"/>
      <c r="AF3" s="1013"/>
      <c r="AG3" s="1013"/>
      <c r="AH3" s="1013"/>
      <c r="AI3" s="1013"/>
      <c r="AJ3" s="1013"/>
      <c r="AK3" s="1013"/>
      <c r="AL3" s="1013"/>
      <c r="AM3" s="1013"/>
      <c r="AN3" s="1013"/>
      <c r="AO3" s="1013"/>
      <c r="AP3" s="1013"/>
      <c r="AQ3" s="1013"/>
      <c r="AR3" s="1013"/>
      <c r="AS3" s="1013"/>
      <c r="AW3" s="88"/>
      <c r="AX3" s="88"/>
      <c r="AY3" s="88"/>
      <c r="AZ3" s="88"/>
      <c r="BA3" s="88"/>
    </row>
    <row r="4" spans="1:64" ht="17.25" customHeight="1">
      <c r="C4" s="9"/>
      <c r="D4" s="9"/>
      <c r="E4" s="9"/>
      <c r="F4" s="9"/>
      <c r="G4" s="9"/>
      <c r="H4" s="1013"/>
      <c r="I4" s="1013"/>
      <c r="J4" s="1013"/>
      <c r="K4" s="1013"/>
      <c r="L4" s="1013"/>
      <c r="M4" s="1013"/>
      <c r="N4" s="1013"/>
      <c r="O4" s="1013"/>
      <c r="P4" s="1013"/>
      <c r="Q4" s="1013"/>
      <c r="R4" s="1013"/>
      <c r="S4" s="1013"/>
      <c r="T4" s="1013"/>
      <c r="U4" s="1013"/>
      <c r="V4" s="1013"/>
      <c r="W4" s="1013"/>
      <c r="X4" s="1013"/>
      <c r="Y4" s="1013"/>
      <c r="Z4" s="1013"/>
      <c r="AA4" s="1013"/>
      <c r="AB4" s="1013"/>
      <c r="AC4" s="1013"/>
      <c r="AD4" s="1013"/>
      <c r="AE4" s="1013"/>
      <c r="AF4" s="1013"/>
      <c r="AG4" s="1013"/>
      <c r="AH4" s="1013"/>
      <c r="AI4" s="1013"/>
      <c r="AJ4" s="1013"/>
      <c r="AK4" s="1013"/>
      <c r="AL4" s="1013"/>
      <c r="AM4" s="1013"/>
      <c r="AN4" s="1013"/>
      <c r="AO4" s="1013"/>
      <c r="AP4" s="1013"/>
      <c r="AQ4" s="1013"/>
      <c r="AR4" s="1013"/>
      <c r="AS4" s="1013"/>
      <c r="AT4" s="9"/>
      <c r="AU4" s="9"/>
      <c r="AV4" s="9"/>
      <c r="AW4" s="9"/>
      <c r="AX4" s="9"/>
      <c r="AY4" s="9"/>
      <c r="AZ4" s="9"/>
      <c r="BA4" s="9"/>
      <c r="BB4" s="9"/>
      <c r="BC4" s="9"/>
      <c r="BE4" s="9"/>
      <c r="BF4" s="9"/>
    </row>
    <row r="5" spans="1:64" ht="9" customHeight="1" thickBot="1"/>
    <row r="6" spans="1:64" s="466" customFormat="1" ht="19.5" customHeight="1" thickBot="1">
      <c r="A6" s="1072" t="s">
        <v>0</v>
      </c>
      <c r="B6" s="1075" t="s">
        <v>20</v>
      </c>
      <c r="C6" s="1076"/>
      <c r="D6" s="1081" t="s">
        <v>110</v>
      </c>
      <c r="E6" s="1082"/>
      <c r="F6" s="1082"/>
      <c r="G6" s="1082"/>
      <c r="H6" s="1082"/>
      <c r="I6" s="1082"/>
      <c r="J6" s="1082"/>
      <c r="K6" s="1082"/>
      <c r="L6" s="1082"/>
      <c r="M6" s="1082"/>
      <c r="N6" s="1082"/>
      <c r="O6" s="1082"/>
      <c r="P6" s="1082"/>
      <c r="Q6" s="1082"/>
      <c r="R6" s="1082"/>
      <c r="S6" s="1082"/>
      <c r="T6" s="1082"/>
      <c r="U6" s="1082"/>
      <c r="V6" s="1082"/>
      <c r="W6" s="1082"/>
      <c r="X6" s="1082"/>
      <c r="Y6" s="1082"/>
      <c r="Z6" s="1082"/>
      <c r="AA6" s="1082"/>
      <c r="AB6" s="1082"/>
      <c r="AC6" s="1082"/>
      <c r="AD6" s="1082"/>
      <c r="AE6" s="1082"/>
      <c r="AF6" s="1082"/>
      <c r="AG6" s="1082"/>
      <c r="AH6" s="1082"/>
      <c r="AI6" s="1082"/>
      <c r="AJ6" s="1082"/>
      <c r="AK6" s="1082"/>
      <c r="AL6" s="1082"/>
      <c r="AM6" s="1082"/>
      <c r="AN6" s="1082"/>
      <c r="AO6" s="1082"/>
      <c r="AP6" s="1082"/>
      <c r="AQ6" s="1082"/>
      <c r="AR6" s="1082"/>
      <c r="AS6" s="1083"/>
      <c r="AT6" s="1061" t="s">
        <v>111</v>
      </c>
      <c r="AU6" s="1062"/>
      <c r="AV6" s="1063"/>
      <c r="AW6" s="1067" t="s">
        <v>112</v>
      </c>
      <c r="AX6" s="1062"/>
      <c r="AY6" s="1068"/>
      <c r="AZ6" s="1061" t="s">
        <v>113</v>
      </c>
      <c r="BA6" s="1062"/>
      <c r="BB6" s="1063"/>
      <c r="BC6" s="1054" t="s">
        <v>114</v>
      </c>
      <c r="BE6" s="1051" t="s">
        <v>214</v>
      </c>
      <c r="BF6" s="1054" t="s">
        <v>215</v>
      </c>
    </row>
    <row r="7" spans="1:64" s="466" customFormat="1" ht="17.25" customHeight="1">
      <c r="A7" s="1073"/>
      <c r="B7" s="1077"/>
      <c r="C7" s="1078"/>
      <c r="D7" s="1057" t="s">
        <v>26</v>
      </c>
      <c r="E7" s="1058"/>
      <c r="F7" s="1059"/>
      <c r="G7" s="1057" t="s">
        <v>27</v>
      </c>
      <c r="H7" s="1058"/>
      <c r="I7" s="1059"/>
      <c r="J7" s="1057" t="s">
        <v>28</v>
      </c>
      <c r="K7" s="1058"/>
      <c r="L7" s="1059"/>
      <c r="M7" s="1057" t="s">
        <v>29</v>
      </c>
      <c r="N7" s="1058"/>
      <c r="O7" s="1059"/>
      <c r="P7" s="1057" t="s">
        <v>120</v>
      </c>
      <c r="Q7" s="1058"/>
      <c r="R7" s="1059"/>
      <c r="S7" s="1057" t="s">
        <v>30</v>
      </c>
      <c r="T7" s="1058"/>
      <c r="U7" s="1059"/>
      <c r="V7" s="1057" t="s">
        <v>31</v>
      </c>
      <c r="W7" s="1058"/>
      <c r="X7" s="1059"/>
      <c r="Y7" s="1057" t="s">
        <v>32</v>
      </c>
      <c r="Z7" s="1058"/>
      <c r="AA7" s="1059"/>
      <c r="AB7" s="1057" t="s">
        <v>33</v>
      </c>
      <c r="AC7" s="1058"/>
      <c r="AD7" s="1059"/>
      <c r="AE7" s="1057" t="s">
        <v>60</v>
      </c>
      <c r="AF7" s="1058"/>
      <c r="AG7" s="1059"/>
      <c r="AH7" s="1057" t="s">
        <v>34</v>
      </c>
      <c r="AI7" s="1058"/>
      <c r="AJ7" s="1059"/>
      <c r="AK7" s="1057" t="s">
        <v>35</v>
      </c>
      <c r="AL7" s="1058"/>
      <c r="AM7" s="1059"/>
      <c r="AN7" s="1057" t="s">
        <v>121</v>
      </c>
      <c r="AO7" s="1058"/>
      <c r="AP7" s="1059"/>
      <c r="AQ7" s="1057" t="s">
        <v>122</v>
      </c>
      <c r="AR7" s="1058"/>
      <c r="AS7" s="1059"/>
      <c r="AT7" s="1064"/>
      <c r="AU7" s="1065"/>
      <c r="AV7" s="1066"/>
      <c r="AW7" s="1069"/>
      <c r="AX7" s="1065"/>
      <c r="AY7" s="1070"/>
      <c r="AZ7" s="1064"/>
      <c r="BA7" s="1065"/>
      <c r="BB7" s="1066"/>
      <c r="BC7" s="1055"/>
      <c r="BE7" s="1052"/>
      <c r="BF7" s="1055"/>
    </row>
    <row r="8" spans="1:64" s="466" customFormat="1" ht="14.4" thickBot="1">
      <c r="A8" s="1074"/>
      <c r="B8" s="1079"/>
      <c r="C8" s="1080"/>
      <c r="D8" s="10" t="s">
        <v>4</v>
      </c>
      <c r="E8" s="11" t="s">
        <v>97</v>
      </c>
      <c r="F8" s="12" t="s">
        <v>104</v>
      </c>
      <c r="G8" s="10" t="s">
        <v>4</v>
      </c>
      <c r="H8" s="11" t="s">
        <v>97</v>
      </c>
      <c r="I8" s="12" t="s">
        <v>104</v>
      </c>
      <c r="J8" s="10" t="s">
        <v>4</v>
      </c>
      <c r="K8" s="11" t="s">
        <v>97</v>
      </c>
      <c r="L8" s="12" t="s">
        <v>104</v>
      </c>
      <c r="M8" s="10" t="s">
        <v>4</v>
      </c>
      <c r="N8" s="11" t="s">
        <v>97</v>
      </c>
      <c r="O8" s="12" t="s">
        <v>104</v>
      </c>
      <c r="P8" s="10" t="s">
        <v>4</v>
      </c>
      <c r="Q8" s="11" t="s">
        <v>97</v>
      </c>
      <c r="R8" s="12" t="s">
        <v>104</v>
      </c>
      <c r="S8" s="10" t="s">
        <v>4</v>
      </c>
      <c r="T8" s="11" t="s">
        <v>97</v>
      </c>
      <c r="U8" s="12" t="s">
        <v>104</v>
      </c>
      <c r="V8" s="10" t="s">
        <v>4</v>
      </c>
      <c r="W8" s="11" t="s">
        <v>97</v>
      </c>
      <c r="X8" s="12" t="s">
        <v>104</v>
      </c>
      <c r="Y8" s="10" t="s">
        <v>4</v>
      </c>
      <c r="Z8" s="11" t="s">
        <v>97</v>
      </c>
      <c r="AA8" s="12" t="s">
        <v>104</v>
      </c>
      <c r="AB8" s="10" t="s">
        <v>4</v>
      </c>
      <c r="AC8" s="11" t="s">
        <v>97</v>
      </c>
      <c r="AD8" s="12" t="s">
        <v>104</v>
      </c>
      <c r="AE8" s="10" t="s">
        <v>4</v>
      </c>
      <c r="AF8" s="11" t="s">
        <v>97</v>
      </c>
      <c r="AG8" s="12" t="s">
        <v>104</v>
      </c>
      <c r="AH8" s="10" t="s">
        <v>4</v>
      </c>
      <c r="AI8" s="11" t="s">
        <v>97</v>
      </c>
      <c r="AJ8" s="12" t="s">
        <v>104</v>
      </c>
      <c r="AK8" s="10" t="s">
        <v>4</v>
      </c>
      <c r="AL8" s="11" t="s">
        <v>97</v>
      </c>
      <c r="AM8" s="12" t="s">
        <v>104</v>
      </c>
      <c r="AN8" s="10" t="s">
        <v>4</v>
      </c>
      <c r="AO8" s="11" t="s">
        <v>97</v>
      </c>
      <c r="AP8" s="12" t="s">
        <v>104</v>
      </c>
      <c r="AQ8" s="10" t="s">
        <v>4</v>
      </c>
      <c r="AR8" s="11" t="s">
        <v>97</v>
      </c>
      <c r="AS8" s="12" t="s">
        <v>104</v>
      </c>
      <c r="AT8" s="10" t="s">
        <v>4</v>
      </c>
      <c r="AU8" s="11" t="s">
        <v>97</v>
      </c>
      <c r="AV8" s="12" t="s">
        <v>104</v>
      </c>
      <c r="AW8" s="13" t="s">
        <v>4</v>
      </c>
      <c r="AX8" s="11" t="s">
        <v>97</v>
      </c>
      <c r="AY8" s="14" t="s">
        <v>104</v>
      </c>
      <c r="AZ8" s="10" t="s">
        <v>4</v>
      </c>
      <c r="BA8" s="11" t="s">
        <v>97</v>
      </c>
      <c r="BB8" s="12" t="s">
        <v>104</v>
      </c>
      <c r="BC8" s="1056"/>
      <c r="BE8" s="1053"/>
      <c r="BF8" s="1056"/>
    </row>
    <row r="9" spans="1:64" s="30" customFormat="1" ht="29.1" customHeight="1">
      <c r="A9" s="16">
        <f>IF(COUNTA(DiemHKII!D4:D58)&gt;=1,MIN(DiemHKII!B4:B58),"")</f>
        <v>1</v>
      </c>
      <c r="B9" s="17" t="str">
        <f>IF($A9&lt;&gt;"",PROPER(INDEX(DiemHKII!$B$4:$K$58,MATCH($A9,DiemHKII!$B$4:$B$58,0),4)),"")</f>
        <v>Phạm Huỳnh Hiệp</v>
      </c>
      <c r="C9" s="18" t="str">
        <f>IF($A9&lt;&gt;"",PROPER(INDEX(DiemHKII!$B$4:$K$58,MATCH($A9,DiemHKII!$B$4:$B$58,0),5)),"")</f>
        <v>An</v>
      </c>
      <c r="D9" s="19" t="str">
        <f>IF($A9&lt;&gt;"",IF(INDEX(BDHK2,MATCH($A9,DiemHKII!$B$4:$B$58,0),INDEX($BG$14:$BK$27,MATCH(D$7,$BG$14:$BG$27,0),2))&lt;&gt;"",INDEX(BDHK2,MATCH($A9,DiemHKII!$B$4:$B$58,0),INDEX($BG$14:$BK$27,MATCH(D$7,$BG$14:$BG$27,0),3)),""),"")</f>
        <v/>
      </c>
      <c r="E9" s="20" t="str">
        <f>IF($A9&lt;&gt;"",IF(INDEX(BDHK2,MATCH($A9,DiemHKII!$B$4:$B$58,0),INDEX($BG$14:$BK$27,MATCH(D$7,$BG$14:$BG$27,0),2))&lt;&gt;"",INDEX(BDHK2,MATCH($A9,DiemHKII!$B$4:$B$58,0),INDEX($BG$14:$BK$27,MATCH(D$7,$BG$14:$BG$27,0),4)),""),"")</f>
        <v/>
      </c>
      <c r="F9" s="21" t="str">
        <f>IF($A9&lt;&gt;"",IF(INDEX(BDHK2,MATCH($A9,DiemHKII!$B$4:$B$58,0),INDEX($BG$14:$BK$27,MATCH(D$7,$BG$14:$BG$27,0),2))&lt;&gt;"",INDEX(BDHK2,MATCH($A9,DiemHKII!$B$4:$B$58,0),INDEX($BG$14:$BK$27,MATCH(D$7,$BG$14:$BG$27,0),5)),""),"")</f>
        <v/>
      </c>
      <c r="G9" s="19" t="str">
        <f>IF($A9&lt;&gt;"",IF(INDEX(BDHK2,MATCH($A9,DiemHKII!$B$4:$B$58,0),INDEX($BG$14:$BK$27,MATCH(G$7,$BG$14:$BG$27,0),2))&lt;&gt;"",INDEX(BDHK2,MATCH($A9,DiemHKII!$B$4:$B$58,0),INDEX($BG$14:$BK$27,MATCH(G$7,$BG$14:$BG$27,0),3)),""),"")</f>
        <v/>
      </c>
      <c r="H9" s="20" t="str">
        <f>IF($A9&lt;&gt;"",IF(INDEX(BDHK2,MATCH($A9,DiemHKII!$B$4:$B$58,0),INDEX($BG$14:$BK$27,MATCH(G$7,$BG$14:$BG$27,0),2))&lt;&gt;"",INDEX(BDHK2,MATCH($A9,DiemHKII!$B$4:$B$58,0),INDEX($BG$14:$BK$27,MATCH(G$7,$BG$14:$BG$27,0),4)),""),"")</f>
        <v/>
      </c>
      <c r="I9" s="21" t="str">
        <f>IF($A9&lt;&gt;"",IF(INDEX(BDHK2,MATCH($A9,DiemHKII!$B$4:$B$58,0),INDEX($BG$14:$BK$27,MATCH(G$7,$BG$14:$BG$27,0),2))&lt;&gt;"",INDEX(BDHK2,MATCH($A9,DiemHKII!$B$4:$B$58,0),INDEX($BG$14:$BK$27,MATCH(G$7,$BG$14:$BG$27,0),5)),""),"")</f>
        <v/>
      </c>
      <c r="J9" s="19" t="str">
        <f>IF($A9&lt;&gt;"",IF(INDEX(BDHK2,MATCH($A9,DiemHKII!$B$4:$B$58,0),INDEX($BG$14:$BK$27,MATCH(J$7,$BG$14:$BG$27,0),2))&lt;&gt;"",INDEX(BDHK2,MATCH($A9,DiemHKII!$B$4:$B$58,0),INDEX($BG$14:$BK$27,MATCH(J$7,$BG$14:$BG$27,0),3)),""),"")</f>
        <v/>
      </c>
      <c r="K9" s="20" t="str">
        <f>IF($A9&lt;&gt;"",IF(INDEX(BDHK2,MATCH($A9,DiemHKII!$B$4:$B$58,0),INDEX($BG$14:$BK$27,MATCH(J$7,$BG$14:$BG$27,0),2))&lt;&gt;"",INDEX(BDHK2,MATCH($A9,DiemHKII!$B$4:$B$58,0),INDEX($BG$14:$BK$27,MATCH(J$7,$BG$14:$BG$27,0),4)),""),"")</f>
        <v/>
      </c>
      <c r="L9" s="21" t="str">
        <f>IF($A9&lt;&gt;"",IF(INDEX(BDHK2,MATCH($A9,DiemHKII!$B$4:$B$58,0),INDEX($BG$14:$BK$27,MATCH(J$7,$BG$14:$BG$27,0),2))&lt;&gt;"",INDEX(BDHK2,MATCH($A9,DiemHKII!$B$4:$B$58,0),INDEX($BG$14:$BK$27,MATCH(J$7,$BG$14:$BG$27,0),5)),""),"")</f>
        <v/>
      </c>
      <c r="M9" s="19" t="str">
        <f>IF($A9&lt;&gt;"",IF(INDEX(BDHK2,MATCH($A9,DiemHKII!$B$4:$B$58,0),INDEX($BG$14:$BK$27,MATCH(M$7,$BG$14:$BG$27,0),2))&lt;&gt;"",INDEX(BDHK2,MATCH($A9,DiemHKII!$B$4:$B$58,0),INDEX($BG$14:$BK$27,MATCH(M$7,$BG$14:$BG$27,0),3)),""),"")</f>
        <v/>
      </c>
      <c r="N9" s="20" t="str">
        <f>IF($A9&lt;&gt;"",IF(INDEX(BDHK2,MATCH($A9,DiemHKII!$B$4:$B$58,0),INDEX($BG$14:$BK$27,MATCH(M$7,$BG$14:$BG$27,0),2))&lt;&gt;"",INDEX(BDHK2,MATCH($A9,DiemHKII!$B$4:$B$58,0),INDEX($BG$14:$BK$27,MATCH(M$7,$BG$14:$BG$27,0),4)),""),"")</f>
        <v/>
      </c>
      <c r="O9" s="21" t="str">
        <f>IF($A9&lt;&gt;"",IF(INDEX(BDHK2,MATCH($A9,DiemHKII!$B$4:$B$58,0),INDEX($BG$14:$BK$27,MATCH(M$7,$BG$14:$BG$27,0),2))&lt;&gt;"",INDEX(BDHK2,MATCH($A9,DiemHKII!$B$4:$B$58,0),INDEX($BG$14:$BK$27,MATCH(M$7,$BG$14:$BG$27,0),5)),""),"")</f>
        <v/>
      </c>
      <c r="P9" s="19" t="str">
        <f>IF($A9&lt;&gt;"",IF(INDEX(BDHK2,MATCH($A9,DiemHKII!$B$4:$B$58,0),INDEX($BG$14:$BK$27,MATCH(P$7,$BG$14:$BG$27,0),2))&lt;&gt;"",INDEX(BDHK2,MATCH($A9,DiemHKII!$B$4:$B$58,0),INDEX($BG$14:$BK$27,MATCH(P$7,$BG$14:$BG$27,0),3)),""),"")</f>
        <v/>
      </c>
      <c r="Q9" s="20" t="str">
        <f>IF($A9&lt;&gt;"",IF(INDEX(BDHK2,MATCH($A9,DiemHKII!$B$4:$B$58,0),INDEX($BG$14:$BK$27,MATCH(P$7,$BG$14:$BG$27,0),2))&lt;&gt;"",INDEX(BDHK2,MATCH($A9,DiemHKII!$B$4:$B$58,0),INDEX($BG$14:$BK$27,MATCH(P$7,$BG$14:$BG$27,0),4)),""),"")</f>
        <v/>
      </c>
      <c r="R9" s="21" t="str">
        <f>IF($A9&lt;&gt;"",IF(INDEX(BDHK2,MATCH($A9,DiemHKII!$B$4:$B$58,0),INDEX($BG$14:$BK$27,MATCH(P$7,$BG$14:$BG$27,0),2))&lt;&gt;"",INDEX(BDHK2,MATCH($A9,DiemHKII!$B$4:$B$58,0),INDEX($BG$14:$BK$27,MATCH(P$7,$BG$14:$BG$27,0),5)),""),"")</f>
        <v/>
      </c>
      <c r="S9" s="19" t="str">
        <f>IF($A9&lt;&gt;"",IF(INDEX(BDHK2,MATCH($A9,DiemHKII!$B$4:$B$58,0),INDEX($BG$14:$BK$27,MATCH(S$7,$BG$14:$BG$27,0),2))&lt;&gt;"",INDEX(BDHK2,MATCH($A9,DiemHKII!$B$4:$B$58,0),INDEX($BG$14:$BK$27,MATCH(S$7,$BG$14:$BG$27,0),3)),""),"")</f>
        <v/>
      </c>
      <c r="T9" s="20" t="str">
        <f>IF($A9&lt;&gt;"",IF(INDEX(BDHK2,MATCH($A9,DiemHKII!$B$4:$B$58,0),INDEX($BG$14:$BK$27,MATCH(S$7,$BG$14:$BG$27,0),2))&lt;&gt;"",INDEX(BDHK2,MATCH($A9,DiemHKII!$B$4:$B$58,0),INDEX($BG$14:$BK$27,MATCH(S$7,$BG$14:$BG$27,0),4)),""),"")</f>
        <v/>
      </c>
      <c r="U9" s="21" t="str">
        <f>IF($A9&lt;&gt;"",IF(INDEX(BDHK2,MATCH($A9,DiemHKII!$B$4:$B$58,0),INDEX($BG$14:$BK$27,MATCH(S$7,$BG$14:$BG$27,0),2))&lt;&gt;"",INDEX(BDHK2,MATCH($A9,DiemHKII!$B$4:$B$58,0),INDEX($BG$14:$BK$27,MATCH(S$7,$BG$14:$BG$27,0),5)),""),"")</f>
        <v/>
      </c>
      <c r="V9" s="19" t="str">
        <f>IF($A9&lt;&gt;"",IF(INDEX(BDHK2,MATCH($A9,DiemHKII!$B$4:$B$58,0),INDEX($BG$14:$BK$27,MATCH(V$7,$BG$14:$BG$27,0),2))&lt;&gt;"",INDEX(BDHK2,MATCH($A9,DiemHKII!$B$4:$B$58,0),INDEX($BG$14:$BK$27,MATCH(V$7,$BG$14:$BG$27,0),3)),""),"")</f>
        <v/>
      </c>
      <c r="W9" s="20" t="str">
        <f>IF($A9&lt;&gt;"",IF(INDEX(BDHK2,MATCH($A9,DiemHKII!$B$4:$B$58,0),INDEX($BG$14:$BK$27,MATCH(V$7,$BG$14:$BG$27,0),2))&lt;&gt;"",INDEX(BDHK2,MATCH($A9,DiemHKII!$B$4:$B$58,0),INDEX($BG$14:$BK$27,MATCH(V$7,$BG$14:$BG$27,0),4)),""),"")</f>
        <v/>
      </c>
      <c r="X9" s="21" t="str">
        <f>IF($A9&lt;&gt;"",IF(INDEX(BDHK2,MATCH($A9,DiemHKII!$B$4:$B$58,0),INDEX($BG$14:$BK$27,MATCH(V$7,$BG$14:$BG$27,0),2))&lt;&gt;"",INDEX(BDHK2,MATCH($A9,DiemHKII!$B$4:$B$58,0),INDEX($BG$14:$BK$27,MATCH(V$7,$BG$14:$BG$27,0),5)),""),"")</f>
        <v/>
      </c>
      <c r="Y9" s="19" t="str">
        <f>IF($A9&lt;&gt;"",IF(INDEX(BDHK2,MATCH($A9,DiemHKII!$B$4:$B$58,0),INDEX($BG$14:$BK$27,MATCH(Y$7,$BG$14:$BG$27,0),2))&lt;&gt;"",INDEX(BDHK2,MATCH($A9,DiemHKII!$B$4:$B$58,0),INDEX($BG$14:$BK$27,MATCH(Y$7,$BG$14:$BG$27,0),3)),""),"")</f>
        <v/>
      </c>
      <c r="Z9" s="20" t="str">
        <f>IF($A9&lt;&gt;"",IF(INDEX(BDHK2,MATCH($A9,DiemHKII!$B$4:$B$58,0),INDEX($BG$14:$BK$27,MATCH(Y$7,$BG$14:$BG$27,0),2))&lt;&gt;"",INDEX(BDHK2,MATCH($A9,DiemHKII!$B$4:$B$58,0),INDEX($BG$14:$BK$27,MATCH(Y$7,$BG$14:$BG$27,0),4)),""),"")</f>
        <v/>
      </c>
      <c r="AA9" s="21" t="str">
        <f>IF($A9&lt;&gt;"",IF(INDEX(BDHK2,MATCH($A9,DiemHKII!$B$4:$B$58,0),INDEX($BG$14:$BK$27,MATCH(Y$7,$BG$14:$BG$27,0),2))&lt;&gt;"",INDEX(BDHK2,MATCH($A9,DiemHKII!$B$4:$B$58,0),INDEX($BG$14:$BK$27,MATCH(Y$7,$BG$14:$BG$27,0),5)),""),"")</f>
        <v/>
      </c>
      <c r="AB9" s="19" t="str">
        <f>IF($A9&lt;&gt;"",IF(INDEX(BDHK2,MATCH($A9,DiemHKII!$B$4:$B$58,0),INDEX($BG$14:$BK$27,MATCH(AB$7,$BG$14:$BG$27,0),2))&lt;&gt;"",INDEX(BDHK2,MATCH($A9,DiemHKII!$B$4:$B$58,0),INDEX($BG$14:$BK$27,MATCH(AB$7,$BG$14:$BG$27,0),3)),""),"")</f>
        <v/>
      </c>
      <c r="AC9" s="20" t="str">
        <f>IF($A9&lt;&gt;"",IF(INDEX(BDHK2,MATCH($A9,DiemHKII!$B$4:$B$58,0),INDEX($BG$14:$BK$27,MATCH(AB$7,$BG$14:$BG$27,0),2))&lt;&gt;"",INDEX(BDHK2,MATCH($A9,DiemHKII!$B$4:$B$58,0),INDEX($BG$14:$BK$27,MATCH(AB$7,$BG$14:$BG$27,0),4)),""),"")</f>
        <v/>
      </c>
      <c r="AD9" s="21" t="str">
        <f>IF($A9&lt;&gt;"",IF(INDEX(BDHK2,MATCH($A9,DiemHKII!$B$4:$B$58,0),INDEX($BG$14:$BK$27,MATCH(AB$7,$BG$14:$BG$27,0),2))&lt;&gt;"",INDEX(BDHK2,MATCH($A9,DiemHKII!$B$4:$B$58,0),INDEX($BG$14:$BK$27,MATCH(AB$7,$BG$14:$BG$27,0),5)),""),"")</f>
        <v/>
      </c>
      <c r="AE9" s="19" t="str">
        <f>IF($A9&lt;&gt;"",IF(INDEX(BDHK2,MATCH($A9,DiemHKII!$B$4:$B$58,0),INDEX($BG$14:$BK$27,MATCH(AE$7,$BG$14:$BG$27,0),2))&lt;&gt;"",INDEX(BDHK2,MATCH($A9,DiemHKII!$B$4:$B$58,0),INDEX($BG$14:$BK$27,MATCH(AE$7,$BG$14:$BG$27,0),3)),""),"")</f>
        <v/>
      </c>
      <c r="AF9" s="20" t="str">
        <f>IF($A9&lt;&gt;"",IF(INDEX(BDHK2,MATCH($A9,DiemHKII!$B$4:$B$58,0),INDEX($BG$14:$BK$27,MATCH(AE$7,$BG$14:$BG$27,0),2))&lt;&gt;"",INDEX(BDHK2,MATCH($A9,DiemHKII!$B$4:$B$58,0),INDEX($BG$14:$BK$27,MATCH(AE$7,$BG$14:$BG$27,0),4)),""),"")</f>
        <v/>
      </c>
      <c r="AG9" s="21" t="str">
        <f>IF($A9&lt;&gt;"",IF(INDEX(BDHK2,MATCH($A9,DiemHKII!$B$4:$B$58,0),INDEX($BG$14:$BK$27,MATCH(AE$7,$BG$14:$BG$27,0),2))&lt;&gt;"",INDEX(BDHK2,MATCH($A9,DiemHKII!$B$4:$B$58,0),INDEX($BG$14:$BK$27,MATCH(AE$7,$BG$14:$BG$27,0),5)),""),"")</f>
        <v/>
      </c>
      <c r="AH9" s="19" t="str">
        <f>IF($A9&lt;&gt;"",IF(INDEX(BDHK2,MATCH($A9,DiemHKII!$B$4:$B$58,0),INDEX($BG$14:$BK$27,MATCH(AH$7,$BG$14:$BG$27,0),2))&lt;&gt;"",INDEX(BDHK2,MATCH($A9,DiemHKII!$B$4:$B$58,0),INDEX($BG$14:$BK$27,MATCH(AH$7,$BG$14:$BG$27,0),3)),""),"")</f>
        <v/>
      </c>
      <c r="AI9" s="20" t="str">
        <f>IF($A9&lt;&gt;"",IF(INDEX(BDHK2,MATCH($A9,DiemHKII!$B$4:$B$58,0),INDEX($BG$14:$BK$27,MATCH(AH$7,$BG$14:$BG$27,0),2))&lt;&gt;"",INDEX(BDHK2,MATCH($A9,DiemHKII!$B$4:$B$58,0),INDEX($BG$14:$BK$27,MATCH(AH$7,$BG$14:$BG$27,0),4)),""),"")</f>
        <v/>
      </c>
      <c r="AJ9" s="21" t="str">
        <f>IF($A9&lt;&gt;"",IF(INDEX(BDHK2,MATCH($A9,DiemHKII!$B$4:$B$58,0),INDEX($BG$14:$BK$27,MATCH(AH$7,$BG$14:$BG$27,0),2))&lt;&gt;"",INDEX(BDHK2,MATCH($A9,DiemHKII!$B$4:$B$58,0),INDEX($BG$14:$BK$27,MATCH(AH$7,$BG$14:$BG$27,0),5)),""),"")</f>
        <v/>
      </c>
      <c r="AK9" s="22" t="str">
        <f>IF($A9&lt;&gt;"",IF(INDEX(BDHK2,MATCH($A9,DiemHKII!$B$4:$B$58,0),INDEX($BG$14:$BK$27,MATCH(AK$7,$BG$14:$BG$27,0),2))&lt;&gt;"",INDEX(BDHK2,MATCH($A9,DiemHKII!$B$4:$B$58,0),INDEX($BG$14:$BK$27,MATCH(AK$7,$BG$14:$BG$27,0),3)),""),"")</f>
        <v/>
      </c>
      <c r="AL9" s="23" t="str">
        <f>IF($A9&lt;&gt;"",IF(INDEX(BDHK2,MATCH($A9,DiemHKII!$B$4:$B$58,0),INDEX($BG$14:$BK$27,MATCH(AK$7,$BG$14:$BG$27,0),2))&lt;&gt;"",INDEX(BDHK2,MATCH($A9,DiemHKII!$B$4:$B$58,0),INDEX($BG$14:$BK$27,MATCH(AK$7,$BG$14:$BG$27,0),4)),""),"")</f>
        <v/>
      </c>
      <c r="AM9" s="24" t="str">
        <f>IF($A9&lt;&gt;"",IF(INDEX(BDHK2,MATCH($A9,DiemHKII!$B$4:$B$58,0),INDEX($BG$14:$BK$27,MATCH(AK$7,$BG$14:$BG$27,0),2))&lt;&gt;"",INDEX(BDHK2,MATCH($A9,DiemHKII!$B$4:$B$58,0),INDEX($BG$14:$BK$27,MATCH(AK$7,$BG$14:$BG$27,0),5)),""),"")</f>
        <v/>
      </c>
      <c r="AN9" s="19" t="str">
        <f>IF($A9&lt;&gt;"",IF(INDEX(BDHK2,MATCH($A9,DiemHKII!$B$4:$B$58,0),INDEX($BG$14:$BK$27,MATCH(AN$7,$BG$14:$BG$27,0),2))&lt;&gt;"",INDEX(BDHK2,MATCH($A9,DiemHKII!$B$4:$B$58,0),INDEX($BG$14:$BK$27,MATCH(AN$7,$BG$14:$BG$27,0),3)),""),"")</f>
        <v/>
      </c>
      <c r="AO9" s="20" t="str">
        <f>IF($A9&lt;&gt;"",IF(INDEX(BDHK2,MATCH($A9,DiemHKII!$B$4:$B$58,0),INDEX($BG$14:$BK$27,MATCH(AN$7,$BG$14:$BG$27,0),2))&lt;&gt;"",INDEX(BDHK2,MATCH($A9,DiemHKII!$B$4:$B$58,0),INDEX($BG$14:$BK$27,MATCH(AN$7,$BG$14:$BG$27,0),4)),""),"")</f>
        <v/>
      </c>
      <c r="AP9" s="21" t="str">
        <f>IF($A9&lt;&gt;"",IF(INDEX(BDHK2,MATCH($A9,DiemHKII!$B$4:$B$58,0),INDEX($BG$14:$BK$27,MATCH(AN$7,$BG$14:$BG$27,0),2))&lt;&gt;"",INDEX(BDHK2,MATCH($A9,DiemHKII!$B$4:$B$58,0),INDEX($BG$14:$BK$27,MATCH(AN$7,$BG$14:$BG$27,0),5)),""),"")</f>
        <v/>
      </c>
      <c r="AQ9" s="19" t="str">
        <f>IF($A9&lt;&gt;"",IF(INDEX(BDHK2,MATCH($A9,DiemHKII!$B$4:$B$58,0),INDEX($BG$14:$BK$27,MATCH(AQ$7,$BG$14:$BG$27,0),2))&lt;&gt;"",INDEX(BDHK2,MATCH($A9,DiemHKII!$B$4:$B$58,0),INDEX($BG$14:$BK$27,MATCH(AQ$7,$BG$14:$BG$27,0),3)),""),"")</f>
        <v/>
      </c>
      <c r="AR9" s="20" t="str">
        <f>IF($A9&lt;&gt;"",IF(INDEX(BDHK2,MATCH($A9,DiemHKII!$B$4:$B$58,0),INDEX($BG$14:$BK$27,MATCH(AQ$7,$BG$14:$BG$27,0),2))&lt;&gt;"",INDEX(BDHK2,MATCH($A9,DiemHKII!$B$4:$B$58,0),INDEX($BG$14:$BK$27,MATCH(AQ$7,$BG$14:$BG$27,0),4)),""),"")</f>
        <v/>
      </c>
      <c r="AS9" s="21" t="str">
        <f>IF($A9&lt;&gt;"",IF(INDEX(BDHK2,MATCH($A9,DiemHKII!$B$4:$B$58,0),INDEX($BG$14:$BK$27,MATCH(AQ$7,$BG$14:$BG$27,0),2))&lt;&gt;"",INDEX(BDHK2,MATCH($A9,DiemHKII!$B$4:$B$58,0),INDEX($BG$14:$BK$27,MATCH(AQ$7,$BG$14:$BG$27,0),5)),""),"")</f>
        <v/>
      </c>
      <c r="AT9" s="19">
        <f>IFERROR(IF($A9&gt;=1,IF(INDEX(THHKI!$V$8:$Y$62,MATCH($BL9,THHKI!$AG$8:$AG$62,0),1)&lt;&gt;"",INDEX(THHKI!$V$8:$Y$62,MATCH($BL9,THHKI!$AG$8:$AG$62,0),1),""),""),"")</f>
        <v>9.3000000000000007</v>
      </c>
      <c r="AU9" s="20" t="str">
        <f>IF($A9&gt;=1,IF(INDEX(THHKII!$V$8:$Y$62,MATCH($BL9,THHKII!$AG$8:$AG$62,0),1)&lt;&gt;"",INDEX(THHKII!$V$8:$Y$62,MATCH($BL9,THHKII!$AG$8:$AG$62,0),1),""),"")</f>
        <v/>
      </c>
      <c r="AV9" s="25" t="str">
        <f>IF($A9&gt;=1,IF(INDEX(THCN!$V$8:$Y$62,MATCH($BL9,THCN!$AG$8:$AG$62,0),1)&lt;&gt;"",INDEX(THCN!$V$8:$Y$62,MATCH($BL9,THCN!$AG$8:$AG$62,0),1),""),"")</f>
        <v/>
      </c>
      <c r="AW9" s="26" t="str">
        <f>IFERROR(IF($A9&gt;=1,IF(INDEX(THHKI!$V$8:$Y$62,MATCH($BL9,THHKI!$AG$8:$AG$62,0),2)&lt;&gt;"",INDEX(THHKI!$V$8:$Y$62,MATCH($BL9,THHKI!$AG$8:$AG$62,0),2),""),""),"")</f>
        <v>Giỏi</v>
      </c>
      <c r="AX9" s="23" t="str">
        <f>IF($A9&gt;=1,IF(INDEX(THHKII!$V$8:$Y$62,MATCH($BL9,THHKII!$AG$8:$AG$62,0),2)&lt;&gt;"",INDEX(THHKII!$V$8:$Y$62,MATCH($BL9,THHKII!$AG$8:$AG$62,0),2),""),"")</f>
        <v/>
      </c>
      <c r="AY9" s="27" t="str">
        <f>IF($A9&gt;=1,IF(INDEX(THCN!$V$8:$Y$62,MATCH($BL9,THCN!$AG$8:$AG$62,0),2)&lt;&gt;"",INDEX(THCN!$V$8:$Y$62,MATCH($BL9,THCN!$AG$8:$AG$62,0),2),""),"")</f>
        <v/>
      </c>
      <c r="AZ9" s="22" t="str">
        <f>IFERROR(IF($A9&gt;=1,IF(INDEX(THHKI!$V$8:$Y$62,MATCH($BL9,THHKI!$AG$8:$AG$62,0),3)&lt;&gt;"",INDEX(THHKI!$V$8:$Y$62,MATCH($BL9,THHKI!$AG$8:$AG$62,0),3),""),""),"")</f>
        <v>Tốt</v>
      </c>
      <c r="BA9" s="23" t="str">
        <f>IF($A9&gt;=1,IF(INDEX(THHKII!$V$8:$Y$62,MATCH($BL9,THHKII!$AG$8:$AG$62,0),3)&lt;&gt;"",INDEX(THHKII!$V$8:$Y$62,MATCH($BL9,THHKII!$AG$8:$AG$62,0),3),""),"")</f>
        <v/>
      </c>
      <c r="BB9" s="28" t="str">
        <f>IF($A9&gt;=1,IF(INDEX(THCN!$V$8:$Y$62,MATCH($BL9,THCN!$AG$8:$AG$62,0),3)&lt;&gt;"",INDEX(THCN!$V$8:$Y$62,MATCH($BL9,THCN!$AG$8:$AG$62,0),3),""),"")</f>
        <v/>
      </c>
      <c r="BC9" s="29" t="str">
        <f>IF($A9&gt;=1,IF(INDEX(THCN!$V$8:$Y$62,MATCH($BL9,THCN!$AG$8:$AG$62,0),4)&lt;&gt;"",INDEX(THCN!$V$8:$Y$62,MATCH($BL9,THCN!$AG$8:$AG$62,0),4),""),"")</f>
        <v/>
      </c>
      <c r="BE9" s="16" t="str">
        <f>IFERROR(IF($A9&gt;=1,IF(INDEX(THHKI!$V$8:$Y$62,MATCH($BL9,THHKI!$AG$8:$AG$62,0),4)&lt;&gt;"",INDEX(THHKI!$V$8:$Y$62,MATCH($BL9,THHKI!$AG$8:$AG$62,0),4),""),""),"")</f>
        <v>HSG</v>
      </c>
      <c r="BF9" s="29" t="str">
        <f>IF($A9&gt;=1,IF(INDEX(THHKII!$V$8:$Y$62,MATCH($BL9,THHKII!$AG$8:$AG$62,0),4)&lt;&gt;"",INDEX(THHKII!$V$8:$Y$62,MATCH($BL9,THHKII!$AG$8:$AG$62,0),4),""),"")</f>
        <v/>
      </c>
      <c r="BL9" s="30" t="str">
        <f>IF($A9&lt;&gt;"",INDEX(DiemHKII!$B$4:$K$58,MATCH($A9,DiemHKII!$B$4:$B$58,0),2),"")</f>
        <v>12A1Phạm Huỳnh HiệpAn16/10/2004</v>
      </c>
    </row>
    <row r="10" spans="1:64" s="30" customFormat="1" ht="29.1" customHeight="1">
      <c r="A10" s="31">
        <f>IF(A9&lt;MAX(DiemHKII!$B$4:$B$58),A9+1,"")</f>
        <v>2</v>
      </c>
      <c r="B10" s="32" t="str">
        <f>IF($A10&lt;&gt;"",PROPER(INDEX(DiemHKII!$B$4:$K$58,MATCH($A10,DiemHKII!$B$4:$B$58,0),4)),"")</f>
        <v>Chử Ngọc</v>
      </c>
      <c r="C10" s="33" t="str">
        <f>IF($A10&lt;&gt;"",PROPER(INDEX(DiemHKII!$B$4:$K$58,MATCH($A10,DiemHKII!$B$4:$B$58,0),5)),"")</f>
        <v>Anh</v>
      </c>
      <c r="D10" s="34" t="str">
        <f>IF($A10&lt;&gt;"",IF(INDEX(BDHK2,MATCH($A10,DiemHKII!$B$4:$B$58,0),INDEX($BG$14:$BK$27,MATCH(D$7,$BG$14:$BG$27,0),2))&lt;&gt;"",INDEX(BDHK2,MATCH($A10,DiemHKII!$B$4:$B$58,0),INDEX($BG$14:$BK$27,MATCH(D$7,$BG$14:$BG$27,0),3)),""),"")</f>
        <v/>
      </c>
      <c r="E10" s="35" t="str">
        <f>IF($A10&lt;&gt;"",IF(INDEX(BDHK2,MATCH($A10,DiemHKII!$B$4:$B$58,0),INDEX($BG$14:$BK$27,MATCH(D$7,$BG$14:$BG$27,0),2))&lt;&gt;"",INDEX(BDHK2,MATCH($A10,DiemHKII!$B$4:$B$58,0),INDEX($BG$14:$BK$27,MATCH(D$7,$BG$14:$BG$27,0),4)),""),"")</f>
        <v/>
      </c>
      <c r="F10" s="36" t="str">
        <f>IF($A10&lt;&gt;"",IF(INDEX(BDHK2,MATCH($A10,DiemHKII!$B$4:$B$58,0),INDEX($BG$14:$BK$27,MATCH(D$7,$BG$14:$BG$27,0),2))&lt;&gt;"",INDEX(BDHK2,MATCH($A10,DiemHKII!$B$4:$B$58,0),INDEX($BG$14:$BK$27,MATCH(D$7,$BG$14:$BG$27,0),5)),""),"")</f>
        <v/>
      </c>
      <c r="G10" s="34" t="str">
        <f>IF($A10&lt;&gt;"",IF(INDEX(BDHK2,MATCH($A10,DiemHKII!$B$4:$B$58,0),INDEX($BG$14:$BK$27,MATCH(G$7,$BG$14:$BG$27,0),2))&lt;&gt;"",INDEX(BDHK2,MATCH($A10,DiemHKII!$B$4:$B$58,0),INDEX($BG$14:$BK$27,MATCH(G$7,$BG$14:$BG$27,0),3)),""),"")</f>
        <v/>
      </c>
      <c r="H10" s="35" t="str">
        <f>IF($A10&lt;&gt;"",IF(INDEX(BDHK2,MATCH($A10,DiemHKII!$B$4:$B$58,0),INDEX($BG$14:$BK$27,MATCH(G$7,$BG$14:$BG$27,0),2))&lt;&gt;"",INDEX(BDHK2,MATCH($A10,DiemHKII!$B$4:$B$58,0),INDEX($BG$14:$BK$27,MATCH(G$7,$BG$14:$BG$27,0),4)),""),"")</f>
        <v/>
      </c>
      <c r="I10" s="36" t="str">
        <f>IF($A10&lt;&gt;"",IF(INDEX(BDHK2,MATCH($A10,DiemHKII!$B$4:$B$58,0),INDEX($BG$14:$BK$27,MATCH(G$7,$BG$14:$BG$27,0),2))&lt;&gt;"",INDEX(BDHK2,MATCH($A10,DiemHKII!$B$4:$B$58,0),INDEX($BG$14:$BK$27,MATCH(G$7,$BG$14:$BG$27,0),5)),""),"")</f>
        <v/>
      </c>
      <c r="J10" s="34" t="str">
        <f>IF($A10&lt;&gt;"",IF(INDEX(BDHK2,MATCH($A10,DiemHKII!$B$4:$B$58,0),INDEX($BG$14:$BK$27,MATCH(J$7,$BG$14:$BG$27,0),2))&lt;&gt;"",INDEX(BDHK2,MATCH($A10,DiemHKII!$B$4:$B$58,0),INDEX($BG$14:$BK$27,MATCH(J$7,$BG$14:$BG$27,0),3)),""),"")</f>
        <v/>
      </c>
      <c r="K10" s="35" t="str">
        <f>IF($A10&lt;&gt;"",IF(INDEX(BDHK2,MATCH($A10,DiemHKII!$B$4:$B$58,0),INDEX($BG$14:$BK$27,MATCH(J$7,$BG$14:$BG$27,0),2))&lt;&gt;"",INDEX(BDHK2,MATCH($A10,DiemHKII!$B$4:$B$58,0),INDEX($BG$14:$BK$27,MATCH(J$7,$BG$14:$BG$27,0),4)),""),"")</f>
        <v/>
      </c>
      <c r="L10" s="36" t="str">
        <f>IF($A10&lt;&gt;"",IF(INDEX(BDHK2,MATCH($A10,DiemHKII!$B$4:$B$58,0),INDEX($BG$14:$BK$27,MATCH(J$7,$BG$14:$BG$27,0),2))&lt;&gt;"",INDEX(BDHK2,MATCH($A10,DiemHKII!$B$4:$B$58,0),INDEX($BG$14:$BK$27,MATCH(J$7,$BG$14:$BG$27,0),5)),""),"")</f>
        <v/>
      </c>
      <c r="M10" s="34" t="str">
        <f>IF($A10&lt;&gt;"",IF(INDEX(BDHK2,MATCH($A10,DiemHKII!$B$4:$B$58,0),INDEX($BG$14:$BK$27,MATCH(M$7,$BG$14:$BG$27,0),2))&lt;&gt;"",INDEX(BDHK2,MATCH($A10,DiemHKII!$B$4:$B$58,0),INDEX($BG$14:$BK$27,MATCH(M$7,$BG$14:$BG$27,0),3)),""),"")</f>
        <v/>
      </c>
      <c r="N10" s="35" t="str">
        <f>IF($A10&lt;&gt;"",IF(INDEX(BDHK2,MATCH($A10,DiemHKII!$B$4:$B$58,0),INDEX($BG$14:$BK$27,MATCH(M$7,$BG$14:$BG$27,0),2))&lt;&gt;"",INDEX(BDHK2,MATCH($A10,DiemHKII!$B$4:$B$58,0),INDEX($BG$14:$BK$27,MATCH(M$7,$BG$14:$BG$27,0),4)),""),"")</f>
        <v/>
      </c>
      <c r="O10" s="36" t="str">
        <f>IF($A10&lt;&gt;"",IF(INDEX(BDHK2,MATCH($A10,DiemHKII!$B$4:$B$58,0),INDEX($BG$14:$BK$27,MATCH(M$7,$BG$14:$BG$27,0),2))&lt;&gt;"",INDEX(BDHK2,MATCH($A10,DiemHKII!$B$4:$B$58,0),INDEX($BG$14:$BK$27,MATCH(M$7,$BG$14:$BG$27,0),5)),""),"")</f>
        <v/>
      </c>
      <c r="P10" s="34" t="str">
        <f>IF($A10&lt;&gt;"",IF(INDEX(BDHK2,MATCH($A10,DiemHKII!$B$4:$B$58,0),INDEX($BG$14:$BK$27,MATCH(P$7,$BG$14:$BG$27,0),2))&lt;&gt;"",INDEX(BDHK2,MATCH($A10,DiemHKII!$B$4:$B$58,0),INDEX($BG$14:$BK$27,MATCH(P$7,$BG$14:$BG$27,0),3)),""),"")</f>
        <v/>
      </c>
      <c r="Q10" s="35" t="str">
        <f>IF($A10&lt;&gt;"",IF(INDEX(BDHK2,MATCH($A10,DiemHKII!$B$4:$B$58,0),INDEX($BG$14:$BK$27,MATCH(P$7,$BG$14:$BG$27,0),2))&lt;&gt;"",INDEX(BDHK2,MATCH($A10,DiemHKII!$B$4:$B$58,0),INDEX($BG$14:$BK$27,MATCH(P$7,$BG$14:$BG$27,0),4)),""),"")</f>
        <v/>
      </c>
      <c r="R10" s="36" t="str">
        <f>IF($A10&lt;&gt;"",IF(INDEX(BDHK2,MATCH($A10,DiemHKII!$B$4:$B$58,0),INDEX($BG$14:$BK$27,MATCH(P$7,$BG$14:$BG$27,0),2))&lt;&gt;"",INDEX(BDHK2,MATCH($A10,DiemHKII!$B$4:$B$58,0),INDEX($BG$14:$BK$27,MATCH(P$7,$BG$14:$BG$27,0),5)),""),"")</f>
        <v/>
      </c>
      <c r="S10" s="34" t="str">
        <f>IF($A10&lt;&gt;"",IF(INDEX(BDHK2,MATCH($A10,DiemHKII!$B$4:$B$58,0),INDEX($BG$14:$BK$27,MATCH(S$7,$BG$14:$BG$27,0),2))&lt;&gt;"",INDEX(BDHK2,MATCH($A10,DiemHKII!$B$4:$B$58,0),INDEX($BG$14:$BK$27,MATCH(S$7,$BG$14:$BG$27,0),3)),""),"")</f>
        <v/>
      </c>
      <c r="T10" s="35" t="str">
        <f>IF($A10&lt;&gt;"",IF(INDEX(BDHK2,MATCH($A10,DiemHKII!$B$4:$B$58,0),INDEX($BG$14:$BK$27,MATCH(S$7,$BG$14:$BG$27,0),2))&lt;&gt;"",INDEX(BDHK2,MATCH($A10,DiemHKII!$B$4:$B$58,0),INDEX($BG$14:$BK$27,MATCH(S$7,$BG$14:$BG$27,0),4)),""),"")</f>
        <v/>
      </c>
      <c r="U10" s="36" t="str">
        <f>IF($A10&lt;&gt;"",IF(INDEX(BDHK2,MATCH($A10,DiemHKII!$B$4:$B$58,0),INDEX($BG$14:$BK$27,MATCH(S$7,$BG$14:$BG$27,0),2))&lt;&gt;"",INDEX(BDHK2,MATCH($A10,DiemHKII!$B$4:$B$58,0),INDEX($BG$14:$BK$27,MATCH(S$7,$BG$14:$BG$27,0),5)),""),"")</f>
        <v/>
      </c>
      <c r="V10" s="34" t="str">
        <f>IF($A10&lt;&gt;"",IF(INDEX(BDHK2,MATCH($A10,DiemHKII!$B$4:$B$58,0),INDEX($BG$14:$BK$27,MATCH(V$7,$BG$14:$BG$27,0),2))&lt;&gt;"",INDEX(BDHK2,MATCH($A10,DiemHKII!$B$4:$B$58,0),INDEX($BG$14:$BK$27,MATCH(V$7,$BG$14:$BG$27,0),3)),""),"")</f>
        <v/>
      </c>
      <c r="W10" s="35" t="str">
        <f>IF($A10&lt;&gt;"",IF(INDEX(BDHK2,MATCH($A10,DiemHKII!$B$4:$B$58,0),INDEX($BG$14:$BK$27,MATCH(V$7,$BG$14:$BG$27,0),2))&lt;&gt;"",INDEX(BDHK2,MATCH($A10,DiemHKII!$B$4:$B$58,0),INDEX($BG$14:$BK$27,MATCH(V$7,$BG$14:$BG$27,0),4)),""),"")</f>
        <v/>
      </c>
      <c r="X10" s="36" t="str">
        <f>IF($A10&lt;&gt;"",IF(INDEX(BDHK2,MATCH($A10,DiemHKII!$B$4:$B$58,0),INDEX($BG$14:$BK$27,MATCH(V$7,$BG$14:$BG$27,0),2))&lt;&gt;"",INDEX(BDHK2,MATCH($A10,DiemHKII!$B$4:$B$58,0),INDEX($BG$14:$BK$27,MATCH(V$7,$BG$14:$BG$27,0),5)),""),"")</f>
        <v/>
      </c>
      <c r="Y10" s="34" t="str">
        <f>IF($A10&lt;&gt;"",IF(INDEX(BDHK2,MATCH($A10,DiemHKII!$B$4:$B$58,0),INDEX($BG$14:$BK$27,MATCH(Y$7,$BG$14:$BG$27,0),2))&lt;&gt;"",INDEX(BDHK2,MATCH($A10,DiemHKII!$B$4:$B$58,0),INDEX($BG$14:$BK$27,MATCH(Y$7,$BG$14:$BG$27,0),3)),""),"")</f>
        <v/>
      </c>
      <c r="Z10" s="35" t="str">
        <f>IF($A10&lt;&gt;"",IF(INDEX(BDHK2,MATCH($A10,DiemHKII!$B$4:$B$58,0),INDEX($BG$14:$BK$27,MATCH(Y$7,$BG$14:$BG$27,0),2))&lt;&gt;"",INDEX(BDHK2,MATCH($A10,DiemHKII!$B$4:$B$58,0),INDEX($BG$14:$BK$27,MATCH(Y$7,$BG$14:$BG$27,0),4)),""),"")</f>
        <v/>
      </c>
      <c r="AA10" s="36" t="str">
        <f>IF($A10&lt;&gt;"",IF(INDEX(BDHK2,MATCH($A10,DiemHKII!$B$4:$B$58,0),INDEX($BG$14:$BK$27,MATCH(Y$7,$BG$14:$BG$27,0),2))&lt;&gt;"",INDEX(BDHK2,MATCH($A10,DiemHKII!$B$4:$B$58,0),INDEX($BG$14:$BK$27,MATCH(Y$7,$BG$14:$BG$27,0),5)),""),"")</f>
        <v/>
      </c>
      <c r="AB10" s="34" t="str">
        <f>IF($A10&lt;&gt;"",IF(INDEX(BDHK2,MATCH($A10,DiemHKII!$B$4:$B$58,0),INDEX($BG$14:$BK$27,MATCH(AB$7,$BG$14:$BG$27,0),2))&lt;&gt;"",INDEX(BDHK2,MATCH($A10,DiemHKII!$B$4:$B$58,0),INDEX($BG$14:$BK$27,MATCH(AB$7,$BG$14:$BG$27,0),3)),""),"")</f>
        <v/>
      </c>
      <c r="AC10" s="35" t="str">
        <f>IF($A10&lt;&gt;"",IF(INDEX(BDHK2,MATCH($A10,DiemHKII!$B$4:$B$58,0),INDEX($BG$14:$BK$27,MATCH(AB$7,$BG$14:$BG$27,0),2))&lt;&gt;"",INDEX(BDHK2,MATCH($A10,DiemHKII!$B$4:$B$58,0),INDEX($BG$14:$BK$27,MATCH(AB$7,$BG$14:$BG$27,0),4)),""),"")</f>
        <v/>
      </c>
      <c r="AD10" s="36" t="str">
        <f>IF($A10&lt;&gt;"",IF(INDEX(BDHK2,MATCH($A10,DiemHKII!$B$4:$B$58,0),INDEX($BG$14:$BK$27,MATCH(AB$7,$BG$14:$BG$27,0),2))&lt;&gt;"",INDEX(BDHK2,MATCH($A10,DiemHKII!$B$4:$B$58,0),INDEX($BG$14:$BK$27,MATCH(AB$7,$BG$14:$BG$27,0),5)),""),"")</f>
        <v/>
      </c>
      <c r="AE10" s="34" t="str">
        <f>IF($A10&lt;&gt;"",IF(INDEX(BDHK2,MATCH($A10,DiemHKII!$B$4:$B$58,0),INDEX($BG$14:$BK$27,MATCH(AE$7,$BG$14:$BG$27,0),2))&lt;&gt;"",INDEX(BDHK2,MATCH($A10,DiemHKII!$B$4:$B$58,0),INDEX($BG$14:$BK$27,MATCH(AE$7,$BG$14:$BG$27,0),3)),""),"")</f>
        <v/>
      </c>
      <c r="AF10" s="35" t="str">
        <f>IF($A10&lt;&gt;"",IF(INDEX(BDHK2,MATCH($A10,DiemHKII!$B$4:$B$58,0),INDEX($BG$14:$BK$27,MATCH(AE$7,$BG$14:$BG$27,0),2))&lt;&gt;"",INDEX(BDHK2,MATCH($A10,DiemHKII!$B$4:$B$58,0),INDEX($BG$14:$BK$27,MATCH(AE$7,$BG$14:$BG$27,0),4)),""),"")</f>
        <v/>
      </c>
      <c r="AG10" s="36" t="str">
        <f>IF($A10&lt;&gt;"",IF(INDEX(BDHK2,MATCH($A10,DiemHKII!$B$4:$B$58,0),INDEX($BG$14:$BK$27,MATCH(AE$7,$BG$14:$BG$27,0),2))&lt;&gt;"",INDEX(BDHK2,MATCH($A10,DiemHKII!$B$4:$B$58,0),INDEX($BG$14:$BK$27,MATCH(AE$7,$BG$14:$BG$27,0),5)),""),"")</f>
        <v/>
      </c>
      <c r="AH10" s="34" t="str">
        <f>IF($A10&lt;&gt;"",IF(INDEX(BDHK2,MATCH($A10,DiemHKII!$B$4:$B$58,0),INDEX($BG$14:$BK$27,MATCH(AH$7,$BG$14:$BG$27,0),2))&lt;&gt;"",INDEX(BDHK2,MATCH($A10,DiemHKII!$B$4:$B$58,0),INDEX($BG$14:$BK$27,MATCH(AH$7,$BG$14:$BG$27,0),3)),""),"")</f>
        <v/>
      </c>
      <c r="AI10" s="35" t="str">
        <f>IF($A10&lt;&gt;"",IF(INDEX(BDHK2,MATCH($A10,DiemHKII!$B$4:$B$58,0),INDEX($BG$14:$BK$27,MATCH(AH$7,$BG$14:$BG$27,0),2))&lt;&gt;"",INDEX(BDHK2,MATCH($A10,DiemHKII!$B$4:$B$58,0),INDEX($BG$14:$BK$27,MATCH(AH$7,$BG$14:$BG$27,0),4)),""),"")</f>
        <v/>
      </c>
      <c r="AJ10" s="36" t="str">
        <f>IF($A10&lt;&gt;"",IF(INDEX(BDHK2,MATCH($A10,DiemHKII!$B$4:$B$58,0),INDEX($BG$14:$BK$27,MATCH(AH$7,$BG$14:$BG$27,0),2))&lt;&gt;"",INDEX(BDHK2,MATCH($A10,DiemHKII!$B$4:$B$58,0),INDEX($BG$14:$BK$27,MATCH(AH$7,$BG$14:$BG$27,0),5)),""),"")</f>
        <v/>
      </c>
      <c r="AK10" s="37" t="str">
        <f>IF($A10&lt;&gt;"",IF(INDEX(BDHK2,MATCH($A10,DiemHKII!$B$4:$B$58,0),INDEX($BG$14:$BK$27,MATCH(AK$7,$BG$14:$BG$27,0),2))&lt;&gt;"",INDEX(BDHK2,MATCH($A10,DiemHKII!$B$4:$B$58,0),INDEX($BG$14:$BK$27,MATCH(AK$7,$BG$14:$BG$27,0),3)),""),"")</f>
        <v/>
      </c>
      <c r="AL10" s="8" t="str">
        <f>IF($A10&lt;&gt;"",IF(INDEX(BDHK2,MATCH($A10,DiemHKII!$B$4:$B$58,0),INDEX($BG$14:$BK$27,MATCH(AK$7,$BG$14:$BG$27,0),2))&lt;&gt;"",INDEX(BDHK2,MATCH($A10,DiemHKII!$B$4:$B$58,0),INDEX($BG$14:$BK$27,MATCH(AK$7,$BG$14:$BG$27,0),4)),""),"")</f>
        <v/>
      </c>
      <c r="AM10" s="38" t="str">
        <f>IF($A10&lt;&gt;"",IF(INDEX(BDHK2,MATCH($A10,DiemHKII!$B$4:$B$58,0),INDEX($BG$14:$BK$27,MATCH(AK$7,$BG$14:$BG$27,0),2))&lt;&gt;"",INDEX(BDHK2,MATCH($A10,DiemHKII!$B$4:$B$58,0),INDEX($BG$14:$BK$27,MATCH(AK$7,$BG$14:$BG$27,0),5)),""),"")</f>
        <v/>
      </c>
      <c r="AN10" s="34" t="str">
        <f>IF($A10&lt;&gt;"",IF(INDEX(BDHK2,MATCH($A10,DiemHKII!$B$4:$B$58,0),INDEX($BG$14:$BK$27,MATCH(AN$7,$BG$14:$BG$27,0),2))&lt;&gt;"",INDEX(BDHK2,MATCH($A10,DiemHKII!$B$4:$B$58,0),INDEX($BG$14:$BK$27,MATCH(AN$7,$BG$14:$BG$27,0),3)),""),"")</f>
        <v/>
      </c>
      <c r="AO10" s="35" t="str">
        <f>IF($A10&lt;&gt;"",IF(INDEX(BDHK2,MATCH($A10,DiemHKII!$B$4:$B$58,0),INDEX($BG$14:$BK$27,MATCH(AN$7,$BG$14:$BG$27,0),2))&lt;&gt;"",INDEX(BDHK2,MATCH($A10,DiemHKII!$B$4:$B$58,0),INDEX($BG$14:$BK$27,MATCH(AN$7,$BG$14:$BG$27,0),4)),""),"")</f>
        <v/>
      </c>
      <c r="AP10" s="36" t="str">
        <f>IF($A10&lt;&gt;"",IF(INDEX(BDHK2,MATCH($A10,DiemHKII!$B$4:$B$58,0),INDEX($BG$14:$BK$27,MATCH(AN$7,$BG$14:$BG$27,0),2))&lt;&gt;"",INDEX(BDHK2,MATCH($A10,DiemHKII!$B$4:$B$58,0),INDEX($BG$14:$BK$27,MATCH(AN$7,$BG$14:$BG$27,0),5)),""),"")</f>
        <v/>
      </c>
      <c r="AQ10" s="34" t="str">
        <f>IF($A10&lt;&gt;"",IF(INDEX(BDHK2,MATCH($A10,DiemHKII!$B$4:$B$58,0),INDEX($BG$14:$BK$27,MATCH(AQ$7,$BG$14:$BG$27,0),2))&lt;&gt;"",INDEX(BDHK2,MATCH($A10,DiemHKII!$B$4:$B$58,0),INDEX($BG$14:$BK$27,MATCH(AQ$7,$BG$14:$BG$27,0),3)),""),"")</f>
        <v/>
      </c>
      <c r="AR10" s="35" t="str">
        <f>IF($A10&lt;&gt;"",IF(INDEX(BDHK2,MATCH($A10,DiemHKII!$B$4:$B$58,0),INDEX($BG$14:$BK$27,MATCH(AQ$7,$BG$14:$BG$27,0),2))&lt;&gt;"",INDEX(BDHK2,MATCH($A10,DiemHKII!$B$4:$B$58,0),INDEX($BG$14:$BK$27,MATCH(AQ$7,$BG$14:$BG$27,0),4)),""),"")</f>
        <v/>
      </c>
      <c r="AS10" s="36" t="str">
        <f>IF($A10&lt;&gt;"",IF(INDEX(BDHK2,MATCH($A10,DiemHKII!$B$4:$B$58,0),INDEX($BG$14:$BK$27,MATCH(AQ$7,$BG$14:$BG$27,0),2))&lt;&gt;"",INDEX(BDHK2,MATCH($A10,DiemHKII!$B$4:$B$58,0),INDEX($BG$14:$BK$27,MATCH(AQ$7,$BG$14:$BG$27,0),5)),""),"")</f>
        <v/>
      </c>
      <c r="AT10" s="34">
        <f>IFERROR(IF($A10&gt;=1,IF(INDEX(THHKI!$V$8:$Y$62,MATCH($BL10,THHKI!$AG$8:$AG$62,0),1)&lt;&gt;"",INDEX(THHKI!$V$8:$Y$62,MATCH($BL10,THHKI!$AG$8:$AG$62,0),1),""),""),"")</f>
        <v>9.5</v>
      </c>
      <c r="AU10" s="35" t="str">
        <f>IF($A10&gt;=1,IF(INDEX(THHKII!$V$8:$Y$62,MATCH($BL10,THHKII!$AG$8:$AG$62,0),1)&lt;&gt;"",INDEX(THHKII!$V$8:$Y$62,MATCH($BL10,THHKII!$AG$8:$AG$62,0),1),""),"")</f>
        <v/>
      </c>
      <c r="AV10" s="39" t="str">
        <f>IF($A10&gt;=1,IF(INDEX(THCN!$V$8:$Y$62,MATCH($BL10,THCN!$AG$8:$AG$62,0),1)&lt;&gt;"",INDEX(THCN!$V$8:$Y$62,MATCH($BL10,THCN!$AG$8:$AG$62,0),1),""),"")</f>
        <v/>
      </c>
      <c r="AW10" s="40" t="str">
        <f>IFERROR(IF($A10&gt;=1,IF(INDEX(THHKI!$V$8:$Y$62,MATCH($BL10,THHKI!$AG$8:$AG$62,0),2)&lt;&gt;"",INDEX(THHKI!$V$8:$Y$62,MATCH($BL10,THHKI!$AG$8:$AG$62,0),2),""),""),"")</f>
        <v>Giỏi</v>
      </c>
      <c r="AX10" s="8" t="str">
        <f>IF($A10&gt;=1,IF(INDEX(THHKII!$V$8:$Y$62,MATCH($BL10,THHKII!$AG$8:$AG$62,0),2)&lt;&gt;"",INDEX(THHKII!$V$8:$Y$62,MATCH($BL10,THHKII!$AG$8:$AG$62,0),2),""),"")</f>
        <v/>
      </c>
      <c r="AY10" s="467" t="str">
        <f>IF($A10&gt;=1,IF(INDEX(THCN!$V$8:$Y$62,MATCH($BL10,THCN!$AG$8:$AG$62,0),2)&lt;&gt;"",INDEX(THCN!$V$8:$Y$62,MATCH($BL10,THCN!$AG$8:$AG$62,0),2),""),"")</f>
        <v/>
      </c>
      <c r="AZ10" s="37" t="str">
        <f>IFERROR(IF($A10&gt;=1,IF(INDEX(THHKI!$V$8:$Y$62,MATCH($BL10,THHKI!$AG$8:$AG$62,0),3)&lt;&gt;"",INDEX(THHKI!$V$8:$Y$62,MATCH($BL10,THHKI!$AG$8:$AG$62,0),3),""),""),"")</f>
        <v>Tốt</v>
      </c>
      <c r="BA10" s="8" t="str">
        <f>IF($A10&gt;=1,IF(INDEX(THHKII!$V$8:$Y$62,MATCH($BL10,THHKII!$AG$8:$AG$62,0),3)&lt;&gt;"",INDEX(THHKII!$V$8:$Y$62,MATCH($BL10,THHKII!$AG$8:$AG$62,0),3),""),"")</f>
        <v/>
      </c>
      <c r="BB10" s="41" t="str">
        <f>IF($A10&gt;=1,IF(INDEX(THCN!$V$8:$Y$62,MATCH($BL10,THCN!$AG$8:$AG$62,0),3)&lt;&gt;"",INDEX(THCN!$V$8:$Y$62,MATCH($BL10,THCN!$AG$8:$AG$62,0),3),""),"")</f>
        <v/>
      </c>
      <c r="BC10" s="42" t="str">
        <f>IF($A10&gt;=1,IF(INDEX(THCN!$V$8:$Y$62,MATCH($BL10,THCN!$AG$8:$AG$62,0),4)&lt;&gt;"",INDEX(THCN!$V$8:$Y$62,MATCH($BL10,THCN!$AG$8:$AG$62,0),4),""),"")</f>
        <v/>
      </c>
      <c r="BE10" s="31" t="str">
        <f>IFERROR(IF($A10&gt;=1,IF(INDEX(THHKI!$V$8:$Y$62,MATCH($BL10,THHKI!$AG$8:$AG$62,0),4)&lt;&gt;"",INDEX(THHKI!$V$8:$Y$62,MATCH($BL10,THHKI!$AG$8:$AG$62,0),4),""),""),"")</f>
        <v>HSG</v>
      </c>
      <c r="BF10" s="42" t="str">
        <f>IF($A10&gt;=1,IF(INDEX(THHKII!$V$8:$Y$62,MATCH($BL10,THHKII!$AG$8:$AG$62,0),4)&lt;&gt;"",INDEX(THHKII!$V$8:$Y$62,MATCH($BL10,THHKII!$AG$8:$AG$62,0),4),""),"")</f>
        <v/>
      </c>
      <c r="BL10" s="30" t="str">
        <f>IF($A10&lt;&gt;"",INDEX(DiemHKII!$B$4:$K$58,MATCH($A10,DiemHKII!$B$4:$B$58,0),2),"")</f>
        <v>12A1Chử NgọcAnh14/04/2004</v>
      </c>
    </row>
    <row r="11" spans="1:64" s="30" customFormat="1" ht="29.1" customHeight="1">
      <c r="A11" s="31">
        <f>IF(A10&lt;MAX(DiemHKII!$B$4:$B$58),A10+1,"")</f>
        <v>3</v>
      </c>
      <c r="B11" s="32" t="str">
        <f>IF($A11&lt;&gt;"",PROPER(INDEX(DiemHKII!$B$4:$K$58,MATCH($A11,DiemHKII!$B$4:$B$58,0),4)),"")</f>
        <v>Lê Tuấn</v>
      </c>
      <c r="C11" s="33" t="str">
        <f>IF($A11&lt;&gt;"",PROPER(INDEX(DiemHKII!$B$4:$K$58,MATCH($A11,DiemHKII!$B$4:$B$58,0),5)),"")</f>
        <v>Anh</v>
      </c>
      <c r="D11" s="34" t="str">
        <f>IF($A11&lt;&gt;"",IF(INDEX(BDHK2,MATCH($A11,DiemHKII!$B$4:$B$58,0),INDEX($BG$14:$BK$27,MATCH(D$7,$BG$14:$BG$27,0),2))&lt;&gt;"",INDEX(BDHK2,MATCH($A11,DiemHKII!$B$4:$B$58,0),INDEX($BG$14:$BK$27,MATCH(D$7,$BG$14:$BG$27,0),3)),""),"")</f>
        <v/>
      </c>
      <c r="E11" s="35" t="str">
        <f>IF($A11&lt;&gt;"",IF(INDEX(BDHK2,MATCH($A11,DiemHKII!$B$4:$B$58,0),INDEX($BG$14:$BK$27,MATCH(D$7,$BG$14:$BG$27,0),2))&lt;&gt;"",INDEX(BDHK2,MATCH($A11,DiemHKII!$B$4:$B$58,0),INDEX($BG$14:$BK$27,MATCH(D$7,$BG$14:$BG$27,0),4)),""),"")</f>
        <v/>
      </c>
      <c r="F11" s="36" t="str">
        <f>IF($A11&lt;&gt;"",IF(INDEX(BDHK2,MATCH($A11,DiemHKII!$B$4:$B$58,0),INDEX($BG$14:$BK$27,MATCH(D$7,$BG$14:$BG$27,0),2))&lt;&gt;"",INDEX(BDHK2,MATCH($A11,DiemHKII!$B$4:$B$58,0),INDEX($BG$14:$BK$27,MATCH(D$7,$BG$14:$BG$27,0),5)),""),"")</f>
        <v/>
      </c>
      <c r="G11" s="34" t="str">
        <f>IF($A11&lt;&gt;"",IF(INDEX(BDHK2,MATCH($A11,DiemHKII!$B$4:$B$58,0),INDEX($BG$14:$BK$27,MATCH(G$7,$BG$14:$BG$27,0),2))&lt;&gt;"",INDEX(BDHK2,MATCH($A11,DiemHKII!$B$4:$B$58,0),INDEX($BG$14:$BK$27,MATCH(G$7,$BG$14:$BG$27,0),3)),""),"")</f>
        <v/>
      </c>
      <c r="H11" s="35" t="str">
        <f>IF($A11&lt;&gt;"",IF(INDEX(BDHK2,MATCH($A11,DiemHKII!$B$4:$B$58,0),INDEX($BG$14:$BK$27,MATCH(G$7,$BG$14:$BG$27,0),2))&lt;&gt;"",INDEX(BDHK2,MATCH($A11,DiemHKII!$B$4:$B$58,0),INDEX($BG$14:$BK$27,MATCH(G$7,$BG$14:$BG$27,0),4)),""),"")</f>
        <v/>
      </c>
      <c r="I11" s="36" t="str">
        <f>IF($A11&lt;&gt;"",IF(INDEX(BDHK2,MATCH($A11,DiemHKII!$B$4:$B$58,0),INDEX($BG$14:$BK$27,MATCH(G$7,$BG$14:$BG$27,0),2))&lt;&gt;"",INDEX(BDHK2,MATCH($A11,DiemHKII!$B$4:$B$58,0),INDEX($BG$14:$BK$27,MATCH(G$7,$BG$14:$BG$27,0),5)),""),"")</f>
        <v/>
      </c>
      <c r="J11" s="34" t="str">
        <f>IF($A11&lt;&gt;"",IF(INDEX(BDHK2,MATCH($A11,DiemHKII!$B$4:$B$58,0),INDEX($BG$14:$BK$27,MATCH(J$7,$BG$14:$BG$27,0),2))&lt;&gt;"",INDEX(BDHK2,MATCH($A11,DiemHKII!$B$4:$B$58,0),INDEX($BG$14:$BK$27,MATCH(J$7,$BG$14:$BG$27,0),3)),""),"")</f>
        <v/>
      </c>
      <c r="K11" s="35" t="str">
        <f>IF($A11&lt;&gt;"",IF(INDEX(BDHK2,MATCH($A11,DiemHKII!$B$4:$B$58,0),INDEX($BG$14:$BK$27,MATCH(J$7,$BG$14:$BG$27,0),2))&lt;&gt;"",INDEX(BDHK2,MATCH($A11,DiemHKII!$B$4:$B$58,0),INDEX($BG$14:$BK$27,MATCH(J$7,$BG$14:$BG$27,0),4)),""),"")</f>
        <v/>
      </c>
      <c r="L11" s="36" t="str">
        <f>IF($A11&lt;&gt;"",IF(INDEX(BDHK2,MATCH($A11,DiemHKII!$B$4:$B$58,0),INDEX($BG$14:$BK$27,MATCH(J$7,$BG$14:$BG$27,0),2))&lt;&gt;"",INDEX(BDHK2,MATCH($A11,DiemHKII!$B$4:$B$58,0),INDEX($BG$14:$BK$27,MATCH(J$7,$BG$14:$BG$27,0),5)),""),"")</f>
        <v/>
      </c>
      <c r="M11" s="34" t="str">
        <f>IF($A11&lt;&gt;"",IF(INDEX(BDHK2,MATCH($A11,DiemHKII!$B$4:$B$58,0),INDEX($BG$14:$BK$27,MATCH(M$7,$BG$14:$BG$27,0),2))&lt;&gt;"",INDEX(BDHK2,MATCH($A11,DiemHKII!$B$4:$B$58,0),INDEX($BG$14:$BK$27,MATCH(M$7,$BG$14:$BG$27,0),3)),""),"")</f>
        <v/>
      </c>
      <c r="N11" s="35" t="str">
        <f>IF($A11&lt;&gt;"",IF(INDEX(BDHK2,MATCH($A11,DiemHKII!$B$4:$B$58,0),INDEX($BG$14:$BK$27,MATCH(M$7,$BG$14:$BG$27,0),2))&lt;&gt;"",INDEX(BDHK2,MATCH($A11,DiemHKII!$B$4:$B$58,0),INDEX($BG$14:$BK$27,MATCH(M$7,$BG$14:$BG$27,0),4)),""),"")</f>
        <v/>
      </c>
      <c r="O11" s="36" t="str">
        <f>IF($A11&lt;&gt;"",IF(INDEX(BDHK2,MATCH($A11,DiemHKII!$B$4:$B$58,0),INDEX($BG$14:$BK$27,MATCH(M$7,$BG$14:$BG$27,0),2))&lt;&gt;"",INDEX(BDHK2,MATCH($A11,DiemHKII!$B$4:$B$58,0),INDEX($BG$14:$BK$27,MATCH(M$7,$BG$14:$BG$27,0),5)),""),"")</f>
        <v/>
      </c>
      <c r="P11" s="34" t="str">
        <f>IF($A11&lt;&gt;"",IF(INDEX(BDHK2,MATCH($A11,DiemHKII!$B$4:$B$58,0),INDEX($BG$14:$BK$27,MATCH(P$7,$BG$14:$BG$27,0),2))&lt;&gt;"",INDEX(BDHK2,MATCH($A11,DiemHKII!$B$4:$B$58,0),INDEX($BG$14:$BK$27,MATCH(P$7,$BG$14:$BG$27,0),3)),""),"")</f>
        <v/>
      </c>
      <c r="Q11" s="35" t="str">
        <f>IF($A11&lt;&gt;"",IF(INDEX(BDHK2,MATCH($A11,DiemHKII!$B$4:$B$58,0),INDEX($BG$14:$BK$27,MATCH(P$7,$BG$14:$BG$27,0),2))&lt;&gt;"",INDEX(BDHK2,MATCH($A11,DiemHKII!$B$4:$B$58,0),INDEX($BG$14:$BK$27,MATCH(P$7,$BG$14:$BG$27,0),4)),""),"")</f>
        <v/>
      </c>
      <c r="R11" s="36" t="str">
        <f>IF($A11&lt;&gt;"",IF(INDEX(BDHK2,MATCH($A11,DiemHKII!$B$4:$B$58,0),INDEX($BG$14:$BK$27,MATCH(P$7,$BG$14:$BG$27,0),2))&lt;&gt;"",INDEX(BDHK2,MATCH($A11,DiemHKII!$B$4:$B$58,0),INDEX($BG$14:$BK$27,MATCH(P$7,$BG$14:$BG$27,0),5)),""),"")</f>
        <v/>
      </c>
      <c r="S11" s="34" t="str">
        <f>IF($A11&lt;&gt;"",IF(INDEX(BDHK2,MATCH($A11,DiemHKII!$B$4:$B$58,0),INDEX($BG$14:$BK$27,MATCH(S$7,$BG$14:$BG$27,0),2))&lt;&gt;"",INDEX(BDHK2,MATCH($A11,DiemHKII!$B$4:$B$58,0),INDEX($BG$14:$BK$27,MATCH(S$7,$BG$14:$BG$27,0),3)),""),"")</f>
        <v/>
      </c>
      <c r="T11" s="35" t="str">
        <f>IF($A11&lt;&gt;"",IF(INDEX(BDHK2,MATCH($A11,DiemHKII!$B$4:$B$58,0),INDEX($BG$14:$BK$27,MATCH(S$7,$BG$14:$BG$27,0),2))&lt;&gt;"",INDEX(BDHK2,MATCH($A11,DiemHKII!$B$4:$B$58,0),INDEX($BG$14:$BK$27,MATCH(S$7,$BG$14:$BG$27,0),4)),""),"")</f>
        <v/>
      </c>
      <c r="U11" s="36" t="str">
        <f>IF($A11&lt;&gt;"",IF(INDEX(BDHK2,MATCH($A11,DiemHKII!$B$4:$B$58,0),INDEX($BG$14:$BK$27,MATCH(S$7,$BG$14:$BG$27,0),2))&lt;&gt;"",INDEX(BDHK2,MATCH($A11,DiemHKII!$B$4:$B$58,0),INDEX($BG$14:$BK$27,MATCH(S$7,$BG$14:$BG$27,0),5)),""),"")</f>
        <v/>
      </c>
      <c r="V11" s="34" t="str">
        <f>IF($A11&lt;&gt;"",IF(INDEX(BDHK2,MATCH($A11,DiemHKII!$B$4:$B$58,0),INDEX($BG$14:$BK$27,MATCH(V$7,$BG$14:$BG$27,0),2))&lt;&gt;"",INDEX(BDHK2,MATCH($A11,DiemHKII!$B$4:$B$58,0),INDEX($BG$14:$BK$27,MATCH(V$7,$BG$14:$BG$27,0),3)),""),"")</f>
        <v/>
      </c>
      <c r="W11" s="35" t="str">
        <f>IF($A11&lt;&gt;"",IF(INDEX(BDHK2,MATCH($A11,DiemHKII!$B$4:$B$58,0),INDEX($BG$14:$BK$27,MATCH(V$7,$BG$14:$BG$27,0),2))&lt;&gt;"",INDEX(BDHK2,MATCH($A11,DiemHKII!$B$4:$B$58,0),INDEX($BG$14:$BK$27,MATCH(V$7,$BG$14:$BG$27,0),4)),""),"")</f>
        <v/>
      </c>
      <c r="X11" s="36" t="str">
        <f>IF($A11&lt;&gt;"",IF(INDEX(BDHK2,MATCH($A11,DiemHKII!$B$4:$B$58,0),INDEX($BG$14:$BK$27,MATCH(V$7,$BG$14:$BG$27,0),2))&lt;&gt;"",INDEX(BDHK2,MATCH($A11,DiemHKII!$B$4:$B$58,0),INDEX($BG$14:$BK$27,MATCH(V$7,$BG$14:$BG$27,0),5)),""),"")</f>
        <v/>
      </c>
      <c r="Y11" s="34" t="str">
        <f>IF($A11&lt;&gt;"",IF(INDEX(BDHK2,MATCH($A11,DiemHKII!$B$4:$B$58,0),INDEX($BG$14:$BK$27,MATCH(Y$7,$BG$14:$BG$27,0),2))&lt;&gt;"",INDEX(BDHK2,MATCH($A11,DiemHKII!$B$4:$B$58,0),INDEX($BG$14:$BK$27,MATCH(Y$7,$BG$14:$BG$27,0),3)),""),"")</f>
        <v/>
      </c>
      <c r="Z11" s="35" t="str">
        <f>IF($A11&lt;&gt;"",IF(INDEX(BDHK2,MATCH($A11,DiemHKII!$B$4:$B$58,0),INDEX($BG$14:$BK$27,MATCH(Y$7,$BG$14:$BG$27,0),2))&lt;&gt;"",INDEX(BDHK2,MATCH($A11,DiemHKII!$B$4:$B$58,0),INDEX($BG$14:$BK$27,MATCH(Y$7,$BG$14:$BG$27,0),4)),""),"")</f>
        <v/>
      </c>
      <c r="AA11" s="36" t="str">
        <f>IF($A11&lt;&gt;"",IF(INDEX(BDHK2,MATCH($A11,DiemHKII!$B$4:$B$58,0),INDEX($BG$14:$BK$27,MATCH(Y$7,$BG$14:$BG$27,0),2))&lt;&gt;"",INDEX(BDHK2,MATCH($A11,DiemHKII!$B$4:$B$58,0),INDEX($BG$14:$BK$27,MATCH(Y$7,$BG$14:$BG$27,0),5)),""),"")</f>
        <v/>
      </c>
      <c r="AB11" s="34" t="str">
        <f>IF($A11&lt;&gt;"",IF(INDEX(BDHK2,MATCH($A11,DiemHKII!$B$4:$B$58,0),INDEX($BG$14:$BK$27,MATCH(AB$7,$BG$14:$BG$27,0),2))&lt;&gt;"",INDEX(BDHK2,MATCH($A11,DiemHKII!$B$4:$B$58,0),INDEX($BG$14:$BK$27,MATCH(AB$7,$BG$14:$BG$27,0),3)),""),"")</f>
        <v/>
      </c>
      <c r="AC11" s="35" t="str">
        <f>IF($A11&lt;&gt;"",IF(INDEX(BDHK2,MATCH($A11,DiemHKII!$B$4:$B$58,0),INDEX($BG$14:$BK$27,MATCH(AB$7,$BG$14:$BG$27,0),2))&lt;&gt;"",INDEX(BDHK2,MATCH($A11,DiemHKII!$B$4:$B$58,0),INDEX($BG$14:$BK$27,MATCH(AB$7,$BG$14:$BG$27,0),4)),""),"")</f>
        <v/>
      </c>
      <c r="AD11" s="36" t="str">
        <f>IF($A11&lt;&gt;"",IF(INDEX(BDHK2,MATCH($A11,DiemHKII!$B$4:$B$58,0),INDEX($BG$14:$BK$27,MATCH(AB$7,$BG$14:$BG$27,0),2))&lt;&gt;"",INDEX(BDHK2,MATCH($A11,DiemHKII!$B$4:$B$58,0),INDEX($BG$14:$BK$27,MATCH(AB$7,$BG$14:$BG$27,0),5)),""),"")</f>
        <v/>
      </c>
      <c r="AE11" s="34" t="str">
        <f>IF($A11&lt;&gt;"",IF(INDEX(BDHK2,MATCH($A11,DiemHKII!$B$4:$B$58,0),INDEX($BG$14:$BK$27,MATCH(AE$7,$BG$14:$BG$27,0),2))&lt;&gt;"",INDEX(BDHK2,MATCH($A11,DiemHKII!$B$4:$B$58,0),INDEX($BG$14:$BK$27,MATCH(AE$7,$BG$14:$BG$27,0),3)),""),"")</f>
        <v/>
      </c>
      <c r="AF11" s="35" t="str">
        <f>IF($A11&lt;&gt;"",IF(INDEX(BDHK2,MATCH($A11,DiemHKII!$B$4:$B$58,0),INDEX($BG$14:$BK$27,MATCH(AE$7,$BG$14:$BG$27,0),2))&lt;&gt;"",INDEX(BDHK2,MATCH($A11,DiemHKII!$B$4:$B$58,0),INDEX($BG$14:$BK$27,MATCH(AE$7,$BG$14:$BG$27,0),4)),""),"")</f>
        <v/>
      </c>
      <c r="AG11" s="36" t="str">
        <f>IF($A11&lt;&gt;"",IF(INDEX(BDHK2,MATCH($A11,DiemHKII!$B$4:$B$58,0),INDEX($BG$14:$BK$27,MATCH(AE$7,$BG$14:$BG$27,0),2))&lt;&gt;"",INDEX(BDHK2,MATCH($A11,DiemHKII!$B$4:$B$58,0),INDEX($BG$14:$BK$27,MATCH(AE$7,$BG$14:$BG$27,0),5)),""),"")</f>
        <v/>
      </c>
      <c r="AH11" s="34" t="str">
        <f>IF($A11&lt;&gt;"",IF(INDEX(BDHK2,MATCH($A11,DiemHKII!$B$4:$B$58,0),INDEX($BG$14:$BK$27,MATCH(AH$7,$BG$14:$BG$27,0),2))&lt;&gt;"",INDEX(BDHK2,MATCH($A11,DiemHKII!$B$4:$B$58,0),INDEX($BG$14:$BK$27,MATCH(AH$7,$BG$14:$BG$27,0),3)),""),"")</f>
        <v/>
      </c>
      <c r="AI11" s="35" t="str">
        <f>IF($A11&lt;&gt;"",IF(INDEX(BDHK2,MATCH($A11,DiemHKII!$B$4:$B$58,0),INDEX($BG$14:$BK$27,MATCH(AH$7,$BG$14:$BG$27,0),2))&lt;&gt;"",INDEX(BDHK2,MATCH($A11,DiemHKII!$B$4:$B$58,0),INDEX($BG$14:$BK$27,MATCH(AH$7,$BG$14:$BG$27,0),4)),""),"")</f>
        <v/>
      </c>
      <c r="AJ11" s="36" t="str">
        <f>IF($A11&lt;&gt;"",IF(INDEX(BDHK2,MATCH($A11,DiemHKII!$B$4:$B$58,0),INDEX($BG$14:$BK$27,MATCH(AH$7,$BG$14:$BG$27,0),2))&lt;&gt;"",INDEX(BDHK2,MATCH($A11,DiemHKII!$B$4:$B$58,0),INDEX($BG$14:$BK$27,MATCH(AH$7,$BG$14:$BG$27,0),5)),""),"")</f>
        <v/>
      </c>
      <c r="AK11" s="37" t="str">
        <f>IF($A11&lt;&gt;"",IF(INDEX(BDHK2,MATCH($A11,DiemHKII!$B$4:$B$58,0),INDEX($BG$14:$BK$27,MATCH(AK$7,$BG$14:$BG$27,0),2))&lt;&gt;"",INDEX(BDHK2,MATCH($A11,DiemHKII!$B$4:$B$58,0),INDEX($BG$14:$BK$27,MATCH(AK$7,$BG$14:$BG$27,0),3)),""),"")</f>
        <v/>
      </c>
      <c r="AL11" s="8" t="str">
        <f>IF($A11&lt;&gt;"",IF(INDEX(BDHK2,MATCH($A11,DiemHKII!$B$4:$B$58,0),INDEX($BG$14:$BK$27,MATCH(AK$7,$BG$14:$BG$27,0),2))&lt;&gt;"",INDEX(BDHK2,MATCH($A11,DiemHKII!$B$4:$B$58,0),INDEX($BG$14:$BK$27,MATCH(AK$7,$BG$14:$BG$27,0),4)),""),"")</f>
        <v/>
      </c>
      <c r="AM11" s="38" t="str">
        <f>IF($A11&lt;&gt;"",IF(INDEX(BDHK2,MATCH($A11,DiemHKII!$B$4:$B$58,0),INDEX($BG$14:$BK$27,MATCH(AK$7,$BG$14:$BG$27,0),2))&lt;&gt;"",INDEX(BDHK2,MATCH($A11,DiemHKII!$B$4:$B$58,0),INDEX($BG$14:$BK$27,MATCH(AK$7,$BG$14:$BG$27,0),5)),""),"")</f>
        <v/>
      </c>
      <c r="AN11" s="34" t="str">
        <f>IF($A11&lt;&gt;"",IF(INDEX(BDHK2,MATCH($A11,DiemHKII!$B$4:$B$58,0),INDEX($BG$14:$BK$27,MATCH(AN$7,$BG$14:$BG$27,0),2))&lt;&gt;"",INDEX(BDHK2,MATCH($A11,DiemHKII!$B$4:$B$58,0),INDEX($BG$14:$BK$27,MATCH(AN$7,$BG$14:$BG$27,0),3)),""),"")</f>
        <v/>
      </c>
      <c r="AO11" s="35" t="str">
        <f>IF($A11&lt;&gt;"",IF(INDEX(BDHK2,MATCH($A11,DiemHKII!$B$4:$B$58,0),INDEX($BG$14:$BK$27,MATCH(AN$7,$BG$14:$BG$27,0),2))&lt;&gt;"",INDEX(BDHK2,MATCH($A11,DiemHKII!$B$4:$B$58,0),INDEX($BG$14:$BK$27,MATCH(AN$7,$BG$14:$BG$27,0),4)),""),"")</f>
        <v/>
      </c>
      <c r="AP11" s="36" t="str">
        <f>IF($A11&lt;&gt;"",IF(INDEX(BDHK2,MATCH($A11,DiemHKII!$B$4:$B$58,0),INDEX($BG$14:$BK$27,MATCH(AN$7,$BG$14:$BG$27,0),2))&lt;&gt;"",INDEX(BDHK2,MATCH($A11,DiemHKII!$B$4:$B$58,0),INDEX($BG$14:$BK$27,MATCH(AN$7,$BG$14:$BG$27,0),5)),""),"")</f>
        <v/>
      </c>
      <c r="AQ11" s="34" t="str">
        <f>IF($A11&lt;&gt;"",IF(INDEX(BDHK2,MATCH($A11,DiemHKII!$B$4:$B$58,0),INDEX($BG$14:$BK$27,MATCH(AQ$7,$BG$14:$BG$27,0),2))&lt;&gt;"",INDEX(BDHK2,MATCH($A11,DiemHKII!$B$4:$B$58,0),INDEX($BG$14:$BK$27,MATCH(AQ$7,$BG$14:$BG$27,0),3)),""),"")</f>
        <v/>
      </c>
      <c r="AR11" s="35" t="str">
        <f>IF($A11&lt;&gt;"",IF(INDEX(BDHK2,MATCH($A11,DiemHKII!$B$4:$B$58,0),INDEX($BG$14:$BK$27,MATCH(AQ$7,$BG$14:$BG$27,0),2))&lt;&gt;"",INDEX(BDHK2,MATCH($A11,DiemHKII!$B$4:$B$58,0),INDEX($BG$14:$BK$27,MATCH(AQ$7,$BG$14:$BG$27,0),4)),""),"")</f>
        <v/>
      </c>
      <c r="AS11" s="36" t="str">
        <f>IF($A11&lt;&gt;"",IF(INDEX(BDHK2,MATCH($A11,DiemHKII!$B$4:$B$58,0),INDEX($BG$14:$BK$27,MATCH(AQ$7,$BG$14:$BG$27,0),2))&lt;&gt;"",INDEX(BDHK2,MATCH($A11,DiemHKII!$B$4:$B$58,0),INDEX($BG$14:$BK$27,MATCH(AQ$7,$BG$14:$BG$27,0),5)),""),"")</f>
        <v/>
      </c>
      <c r="AT11" s="34">
        <f>IFERROR(IF($A11&gt;=1,IF(INDEX(THHKI!$V$8:$Y$62,MATCH($BL11,THHKI!$AG$8:$AG$62,0),1)&lt;&gt;"",INDEX(THHKI!$V$8:$Y$62,MATCH($BL11,THHKI!$AG$8:$AG$62,0),1),""),""),"")</f>
        <v>9.1</v>
      </c>
      <c r="AU11" s="35" t="str">
        <f>IF($A11&gt;=1,IF(INDEX(THHKII!$V$8:$Y$62,MATCH($BL11,THHKII!$AG$8:$AG$62,0),1)&lt;&gt;"",INDEX(THHKII!$V$8:$Y$62,MATCH($BL11,THHKII!$AG$8:$AG$62,0),1),""),"")</f>
        <v/>
      </c>
      <c r="AV11" s="39" t="str">
        <f>IF($A11&gt;=1,IF(INDEX(THCN!$V$8:$Y$62,MATCH($BL11,THCN!$AG$8:$AG$62,0),1)&lt;&gt;"",INDEX(THCN!$V$8:$Y$62,MATCH($BL11,THCN!$AG$8:$AG$62,0),1),""),"")</f>
        <v/>
      </c>
      <c r="AW11" s="40" t="str">
        <f>IFERROR(IF($A11&gt;=1,IF(INDEX(THHKI!$V$8:$Y$62,MATCH($BL11,THHKI!$AG$8:$AG$62,0),2)&lt;&gt;"",INDEX(THHKI!$V$8:$Y$62,MATCH($BL11,THHKI!$AG$8:$AG$62,0),2),""),""),"")</f>
        <v>Giỏi</v>
      </c>
      <c r="AX11" s="8" t="str">
        <f>IF($A11&gt;=1,IF(INDEX(THHKII!$V$8:$Y$62,MATCH($BL11,THHKII!$AG$8:$AG$62,0),2)&lt;&gt;"",INDEX(THHKII!$V$8:$Y$62,MATCH($BL11,THHKII!$AG$8:$AG$62,0),2),""),"")</f>
        <v/>
      </c>
      <c r="AY11" s="467" t="str">
        <f>IF($A11&gt;=1,IF(INDEX(THCN!$V$8:$Y$62,MATCH($BL11,THCN!$AG$8:$AG$62,0),2)&lt;&gt;"",INDEX(THCN!$V$8:$Y$62,MATCH($BL11,THCN!$AG$8:$AG$62,0),2),""),"")</f>
        <v/>
      </c>
      <c r="AZ11" s="37" t="str">
        <f>IFERROR(IF($A11&gt;=1,IF(INDEX(THHKI!$V$8:$Y$62,MATCH($BL11,THHKI!$AG$8:$AG$62,0),3)&lt;&gt;"",INDEX(THHKI!$V$8:$Y$62,MATCH($BL11,THHKI!$AG$8:$AG$62,0),3),""),""),"")</f>
        <v>Tốt</v>
      </c>
      <c r="BA11" s="8" t="str">
        <f>IF($A11&gt;=1,IF(INDEX(THHKII!$V$8:$Y$62,MATCH($BL11,THHKII!$AG$8:$AG$62,0),3)&lt;&gt;"",INDEX(THHKII!$V$8:$Y$62,MATCH($BL11,THHKII!$AG$8:$AG$62,0),3),""),"")</f>
        <v/>
      </c>
      <c r="BB11" s="41" t="str">
        <f>IF($A11&gt;=1,IF(INDEX(THCN!$V$8:$Y$62,MATCH($BL11,THCN!$AG$8:$AG$62,0),3)&lt;&gt;"",INDEX(THCN!$V$8:$Y$62,MATCH($BL11,THCN!$AG$8:$AG$62,0),3),""),"")</f>
        <v/>
      </c>
      <c r="BC11" s="42" t="str">
        <f>IF($A11&gt;=1,IF(INDEX(THCN!$V$8:$Y$62,MATCH($BL11,THCN!$AG$8:$AG$62,0),4)&lt;&gt;"",INDEX(THCN!$V$8:$Y$62,MATCH($BL11,THCN!$AG$8:$AG$62,0),4),""),"")</f>
        <v/>
      </c>
      <c r="BE11" s="31" t="str">
        <f>IFERROR(IF($A11&gt;=1,IF(INDEX(THHKI!$V$8:$Y$62,MATCH($BL11,THHKI!$AG$8:$AG$62,0),4)&lt;&gt;"",INDEX(THHKI!$V$8:$Y$62,MATCH($BL11,THHKI!$AG$8:$AG$62,0),4),""),""),"")</f>
        <v>HSG</v>
      </c>
      <c r="BF11" s="42" t="str">
        <f>IF($A11&gt;=1,IF(INDEX(THHKII!$V$8:$Y$62,MATCH($BL11,THHKII!$AG$8:$AG$62,0),4)&lt;&gt;"",INDEX(THHKII!$V$8:$Y$62,MATCH($BL11,THHKII!$AG$8:$AG$62,0),4),""),"")</f>
        <v/>
      </c>
      <c r="BL11" s="30" t="str">
        <f>IF($A11&lt;&gt;"",INDEX(DiemHKII!$B$4:$K$58,MATCH($A11,DiemHKII!$B$4:$B$58,0),2),"")</f>
        <v>12A1Lê TuấnAnh20/10/2004</v>
      </c>
    </row>
    <row r="12" spans="1:64" s="30" customFormat="1" ht="29.1" customHeight="1">
      <c r="A12" s="31">
        <f>IF(A11&lt;MAX(DiemHKII!$B$4:$B$58),A11+1,"")</f>
        <v>4</v>
      </c>
      <c r="B12" s="32" t="str">
        <f>IF($A12&lt;&gt;"",PROPER(INDEX(DiemHKII!$B$4:$K$58,MATCH($A12,DiemHKII!$B$4:$B$58,0),4)),"")</f>
        <v>Nguyễn Quách Mai</v>
      </c>
      <c r="C12" s="33" t="str">
        <f>IF($A12&lt;&gt;"",PROPER(INDEX(DiemHKII!$B$4:$K$58,MATCH($A12,DiemHKII!$B$4:$B$58,0),5)),"")</f>
        <v>Anh</v>
      </c>
      <c r="D12" s="34" t="str">
        <f>IF($A12&lt;&gt;"",IF(INDEX(BDHK2,MATCH($A12,DiemHKII!$B$4:$B$58,0),INDEX($BG$14:$BK$27,MATCH(D$7,$BG$14:$BG$27,0),2))&lt;&gt;"",INDEX(BDHK2,MATCH($A12,DiemHKII!$B$4:$B$58,0),INDEX($BG$14:$BK$27,MATCH(D$7,$BG$14:$BG$27,0),3)),""),"")</f>
        <v/>
      </c>
      <c r="E12" s="35" t="str">
        <f>IF($A12&lt;&gt;"",IF(INDEX(BDHK2,MATCH($A12,DiemHKII!$B$4:$B$58,0),INDEX($BG$14:$BK$27,MATCH(D$7,$BG$14:$BG$27,0),2))&lt;&gt;"",INDEX(BDHK2,MATCH($A12,DiemHKII!$B$4:$B$58,0),INDEX($BG$14:$BK$27,MATCH(D$7,$BG$14:$BG$27,0),4)),""),"")</f>
        <v/>
      </c>
      <c r="F12" s="36" t="str">
        <f>IF($A12&lt;&gt;"",IF(INDEX(BDHK2,MATCH($A12,DiemHKII!$B$4:$B$58,0),INDEX($BG$14:$BK$27,MATCH(D$7,$BG$14:$BG$27,0),2))&lt;&gt;"",INDEX(BDHK2,MATCH($A12,DiemHKII!$B$4:$B$58,0),INDEX($BG$14:$BK$27,MATCH(D$7,$BG$14:$BG$27,0),5)),""),"")</f>
        <v/>
      </c>
      <c r="G12" s="34" t="str">
        <f>IF($A12&lt;&gt;"",IF(INDEX(BDHK2,MATCH($A12,DiemHKII!$B$4:$B$58,0),INDEX($BG$14:$BK$27,MATCH(G$7,$BG$14:$BG$27,0),2))&lt;&gt;"",INDEX(BDHK2,MATCH($A12,DiemHKII!$B$4:$B$58,0),INDEX($BG$14:$BK$27,MATCH(G$7,$BG$14:$BG$27,0),3)),""),"")</f>
        <v/>
      </c>
      <c r="H12" s="35" t="str">
        <f>IF($A12&lt;&gt;"",IF(INDEX(BDHK2,MATCH($A12,DiemHKII!$B$4:$B$58,0),INDEX($BG$14:$BK$27,MATCH(G$7,$BG$14:$BG$27,0),2))&lt;&gt;"",INDEX(BDHK2,MATCH($A12,DiemHKII!$B$4:$B$58,0),INDEX($BG$14:$BK$27,MATCH(G$7,$BG$14:$BG$27,0),4)),""),"")</f>
        <v/>
      </c>
      <c r="I12" s="36" t="str">
        <f>IF($A12&lt;&gt;"",IF(INDEX(BDHK2,MATCH($A12,DiemHKII!$B$4:$B$58,0),INDEX($BG$14:$BK$27,MATCH(G$7,$BG$14:$BG$27,0),2))&lt;&gt;"",INDEX(BDHK2,MATCH($A12,DiemHKII!$B$4:$B$58,0),INDEX($BG$14:$BK$27,MATCH(G$7,$BG$14:$BG$27,0),5)),""),"")</f>
        <v/>
      </c>
      <c r="J12" s="34" t="str">
        <f>IF($A12&lt;&gt;"",IF(INDEX(BDHK2,MATCH($A12,DiemHKII!$B$4:$B$58,0),INDEX($BG$14:$BK$27,MATCH(J$7,$BG$14:$BG$27,0),2))&lt;&gt;"",INDEX(BDHK2,MATCH($A12,DiemHKII!$B$4:$B$58,0),INDEX($BG$14:$BK$27,MATCH(J$7,$BG$14:$BG$27,0),3)),""),"")</f>
        <v/>
      </c>
      <c r="K12" s="35" t="str">
        <f>IF($A12&lt;&gt;"",IF(INDEX(BDHK2,MATCH($A12,DiemHKII!$B$4:$B$58,0),INDEX($BG$14:$BK$27,MATCH(J$7,$BG$14:$BG$27,0),2))&lt;&gt;"",INDEX(BDHK2,MATCH($A12,DiemHKII!$B$4:$B$58,0),INDEX($BG$14:$BK$27,MATCH(J$7,$BG$14:$BG$27,0),4)),""),"")</f>
        <v/>
      </c>
      <c r="L12" s="36" t="str">
        <f>IF($A12&lt;&gt;"",IF(INDEX(BDHK2,MATCH($A12,DiemHKII!$B$4:$B$58,0),INDEX($BG$14:$BK$27,MATCH(J$7,$BG$14:$BG$27,0),2))&lt;&gt;"",INDEX(BDHK2,MATCH($A12,DiemHKII!$B$4:$B$58,0),INDEX($BG$14:$BK$27,MATCH(J$7,$BG$14:$BG$27,0),5)),""),"")</f>
        <v/>
      </c>
      <c r="M12" s="34" t="str">
        <f>IF($A12&lt;&gt;"",IF(INDEX(BDHK2,MATCH($A12,DiemHKII!$B$4:$B$58,0),INDEX($BG$14:$BK$27,MATCH(M$7,$BG$14:$BG$27,0),2))&lt;&gt;"",INDEX(BDHK2,MATCH($A12,DiemHKII!$B$4:$B$58,0),INDEX($BG$14:$BK$27,MATCH(M$7,$BG$14:$BG$27,0),3)),""),"")</f>
        <v/>
      </c>
      <c r="N12" s="35" t="str">
        <f>IF($A12&lt;&gt;"",IF(INDEX(BDHK2,MATCH($A12,DiemHKII!$B$4:$B$58,0),INDEX($BG$14:$BK$27,MATCH(M$7,$BG$14:$BG$27,0),2))&lt;&gt;"",INDEX(BDHK2,MATCH($A12,DiemHKII!$B$4:$B$58,0),INDEX($BG$14:$BK$27,MATCH(M$7,$BG$14:$BG$27,0),4)),""),"")</f>
        <v/>
      </c>
      <c r="O12" s="36" t="str">
        <f>IF($A12&lt;&gt;"",IF(INDEX(BDHK2,MATCH($A12,DiemHKII!$B$4:$B$58,0),INDEX($BG$14:$BK$27,MATCH(M$7,$BG$14:$BG$27,0),2))&lt;&gt;"",INDEX(BDHK2,MATCH($A12,DiemHKII!$B$4:$B$58,0),INDEX($BG$14:$BK$27,MATCH(M$7,$BG$14:$BG$27,0),5)),""),"")</f>
        <v/>
      </c>
      <c r="P12" s="34" t="str">
        <f>IF($A12&lt;&gt;"",IF(INDEX(BDHK2,MATCH($A12,DiemHKII!$B$4:$B$58,0),INDEX($BG$14:$BK$27,MATCH(P$7,$BG$14:$BG$27,0),2))&lt;&gt;"",INDEX(BDHK2,MATCH($A12,DiemHKII!$B$4:$B$58,0),INDEX($BG$14:$BK$27,MATCH(P$7,$BG$14:$BG$27,0),3)),""),"")</f>
        <v/>
      </c>
      <c r="Q12" s="35" t="str">
        <f>IF($A12&lt;&gt;"",IF(INDEX(BDHK2,MATCH($A12,DiemHKII!$B$4:$B$58,0),INDEX($BG$14:$BK$27,MATCH(P$7,$BG$14:$BG$27,0),2))&lt;&gt;"",INDEX(BDHK2,MATCH($A12,DiemHKII!$B$4:$B$58,0),INDEX($BG$14:$BK$27,MATCH(P$7,$BG$14:$BG$27,0),4)),""),"")</f>
        <v/>
      </c>
      <c r="R12" s="36" t="str">
        <f>IF($A12&lt;&gt;"",IF(INDEX(BDHK2,MATCH($A12,DiemHKII!$B$4:$B$58,0),INDEX($BG$14:$BK$27,MATCH(P$7,$BG$14:$BG$27,0),2))&lt;&gt;"",INDEX(BDHK2,MATCH($A12,DiemHKII!$B$4:$B$58,0),INDEX($BG$14:$BK$27,MATCH(P$7,$BG$14:$BG$27,0),5)),""),"")</f>
        <v/>
      </c>
      <c r="S12" s="34" t="str">
        <f>IF($A12&lt;&gt;"",IF(INDEX(BDHK2,MATCH($A12,DiemHKII!$B$4:$B$58,0),INDEX($BG$14:$BK$27,MATCH(S$7,$BG$14:$BG$27,0),2))&lt;&gt;"",INDEX(BDHK2,MATCH($A12,DiemHKII!$B$4:$B$58,0),INDEX($BG$14:$BK$27,MATCH(S$7,$BG$14:$BG$27,0),3)),""),"")</f>
        <v/>
      </c>
      <c r="T12" s="35" t="str">
        <f>IF($A12&lt;&gt;"",IF(INDEX(BDHK2,MATCH($A12,DiemHKII!$B$4:$B$58,0),INDEX($BG$14:$BK$27,MATCH(S$7,$BG$14:$BG$27,0),2))&lt;&gt;"",INDEX(BDHK2,MATCH($A12,DiemHKII!$B$4:$B$58,0),INDEX($BG$14:$BK$27,MATCH(S$7,$BG$14:$BG$27,0),4)),""),"")</f>
        <v/>
      </c>
      <c r="U12" s="36" t="str">
        <f>IF($A12&lt;&gt;"",IF(INDEX(BDHK2,MATCH($A12,DiemHKII!$B$4:$B$58,0),INDEX($BG$14:$BK$27,MATCH(S$7,$BG$14:$BG$27,0),2))&lt;&gt;"",INDEX(BDHK2,MATCH($A12,DiemHKII!$B$4:$B$58,0),INDEX($BG$14:$BK$27,MATCH(S$7,$BG$14:$BG$27,0),5)),""),"")</f>
        <v/>
      </c>
      <c r="V12" s="34" t="str">
        <f>IF($A12&lt;&gt;"",IF(INDEX(BDHK2,MATCH($A12,DiemHKII!$B$4:$B$58,0),INDEX($BG$14:$BK$27,MATCH(V$7,$BG$14:$BG$27,0),2))&lt;&gt;"",INDEX(BDHK2,MATCH($A12,DiemHKII!$B$4:$B$58,0),INDEX($BG$14:$BK$27,MATCH(V$7,$BG$14:$BG$27,0),3)),""),"")</f>
        <v/>
      </c>
      <c r="W12" s="35" t="str">
        <f>IF($A12&lt;&gt;"",IF(INDEX(BDHK2,MATCH($A12,DiemHKII!$B$4:$B$58,0),INDEX($BG$14:$BK$27,MATCH(V$7,$BG$14:$BG$27,0),2))&lt;&gt;"",INDEX(BDHK2,MATCH($A12,DiemHKII!$B$4:$B$58,0),INDEX($BG$14:$BK$27,MATCH(V$7,$BG$14:$BG$27,0),4)),""),"")</f>
        <v/>
      </c>
      <c r="X12" s="36" t="str">
        <f>IF($A12&lt;&gt;"",IF(INDEX(BDHK2,MATCH($A12,DiemHKII!$B$4:$B$58,0),INDEX($BG$14:$BK$27,MATCH(V$7,$BG$14:$BG$27,0),2))&lt;&gt;"",INDEX(BDHK2,MATCH($A12,DiemHKII!$B$4:$B$58,0),INDEX($BG$14:$BK$27,MATCH(V$7,$BG$14:$BG$27,0),5)),""),"")</f>
        <v/>
      </c>
      <c r="Y12" s="34" t="str">
        <f>IF($A12&lt;&gt;"",IF(INDEX(BDHK2,MATCH($A12,DiemHKII!$B$4:$B$58,0),INDEX($BG$14:$BK$27,MATCH(Y$7,$BG$14:$BG$27,0),2))&lt;&gt;"",INDEX(BDHK2,MATCH($A12,DiemHKII!$B$4:$B$58,0),INDEX($BG$14:$BK$27,MATCH(Y$7,$BG$14:$BG$27,0),3)),""),"")</f>
        <v/>
      </c>
      <c r="Z12" s="35" t="str">
        <f>IF($A12&lt;&gt;"",IF(INDEX(BDHK2,MATCH($A12,DiemHKII!$B$4:$B$58,0),INDEX($BG$14:$BK$27,MATCH(Y$7,$BG$14:$BG$27,0),2))&lt;&gt;"",INDEX(BDHK2,MATCH($A12,DiemHKII!$B$4:$B$58,0),INDEX($BG$14:$BK$27,MATCH(Y$7,$BG$14:$BG$27,0),4)),""),"")</f>
        <v/>
      </c>
      <c r="AA12" s="36" t="str">
        <f>IF($A12&lt;&gt;"",IF(INDEX(BDHK2,MATCH($A12,DiemHKII!$B$4:$B$58,0),INDEX($BG$14:$BK$27,MATCH(Y$7,$BG$14:$BG$27,0),2))&lt;&gt;"",INDEX(BDHK2,MATCH($A12,DiemHKII!$B$4:$B$58,0),INDEX($BG$14:$BK$27,MATCH(Y$7,$BG$14:$BG$27,0),5)),""),"")</f>
        <v/>
      </c>
      <c r="AB12" s="34" t="str">
        <f>IF($A12&lt;&gt;"",IF(INDEX(BDHK2,MATCH($A12,DiemHKII!$B$4:$B$58,0),INDEX($BG$14:$BK$27,MATCH(AB$7,$BG$14:$BG$27,0),2))&lt;&gt;"",INDEX(BDHK2,MATCH($A12,DiemHKII!$B$4:$B$58,0),INDEX($BG$14:$BK$27,MATCH(AB$7,$BG$14:$BG$27,0),3)),""),"")</f>
        <v/>
      </c>
      <c r="AC12" s="35" t="str">
        <f>IF($A12&lt;&gt;"",IF(INDEX(BDHK2,MATCH($A12,DiemHKII!$B$4:$B$58,0),INDEX($BG$14:$BK$27,MATCH(AB$7,$BG$14:$BG$27,0),2))&lt;&gt;"",INDEX(BDHK2,MATCH($A12,DiemHKII!$B$4:$B$58,0),INDEX($BG$14:$BK$27,MATCH(AB$7,$BG$14:$BG$27,0),4)),""),"")</f>
        <v/>
      </c>
      <c r="AD12" s="36" t="str">
        <f>IF($A12&lt;&gt;"",IF(INDEX(BDHK2,MATCH($A12,DiemHKII!$B$4:$B$58,0),INDEX($BG$14:$BK$27,MATCH(AB$7,$BG$14:$BG$27,0),2))&lt;&gt;"",INDEX(BDHK2,MATCH($A12,DiemHKII!$B$4:$B$58,0),INDEX($BG$14:$BK$27,MATCH(AB$7,$BG$14:$BG$27,0),5)),""),"")</f>
        <v/>
      </c>
      <c r="AE12" s="34" t="str">
        <f>IF($A12&lt;&gt;"",IF(INDEX(BDHK2,MATCH($A12,DiemHKII!$B$4:$B$58,0),INDEX($BG$14:$BK$27,MATCH(AE$7,$BG$14:$BG$27,0),2))&lt;&gt;"",INDEX(BDHK2,MATCH($A12,DiemHKII!$B$4:$B$58,0),INDEX($BG$14:$BK$27,MATCH(AE$7,$BG$14:$BG$27,0),3)),""),"")</f>
        <v/>
      </c>
      <c r="AF12" s="35" t="str">
        <f>IF($A12&lt;&gt;"",IF(INDEX(BDHK2,MATCH($A12,DiemHKII!$B$4:$B$58,0),INDEX($BG$14:$BK$27,MATCH(AE$7,$BG$14:$BG$27,0),2))&lt;&gt;"",INDEX(BDHK2,MATCH($A12,DiemHKII!$B$4:$B$58,0),INDEX($BG$14:$BK$27,MATCH(AE$7,$BG$14:$BG$27,0),4)),""),"")</f>
        <v/>
      </c>
      <c r="AG12" s="36" t="str">
        <f>IF($A12&lt;&gt;"",IF(INDEX(BDHK2,MATCH($A12,DiemHKII!$B$4:$B$58,0),INDEX($BG$14:$BK$27,MATCH(AE$7,$BG$14:$BG$27,0),2))&lt;&gt;"",INDEX(BDHK2,MATCH($A12,DiemHKII!$B$4:$B$58,0),INDEX($BG$14:$BK$27,MATCH(AE$7,$BG$14:$BG$27,0),5)),""),"")</f>
        <v/>
      </c>
      <c r="AH12" s="34" t="str">
        <f>IF($A12&lt;&gt;"",IF(INDEX(BDHK2,MATCH($A12,DiemHKII!$B$4:$B$58,0),INDEX($BG$14:$BK$27,MATCH(AH$7,$BG$14:$BG$27,0),2))&lt;&gt;"",INDEX(BDHK2,MATCH($A12,DiemHKII!$B$4:$B$58,0),INDEX($BG$14:$BK$27,MATCH(AH$7,$BG$14:$BG$27,0),3)),""),"")</f>
        <v/>
      </c>
      <c r="AI12" s="35" t="str">
        <f>IF($A12&lt;&gt;"",IF(INDEX(BDHK2,MATCH($A12,DiemHKII!$B$4:$B$58,0),INDEX($BG$14:$BK$27,MATCH(AH$7,$BG$14:$BG$27,0),2))&lt;&gt;"",INDEX(BDHK2,MATCH($A12,DiemHKII!$B$4:$B$58,0),INDEX($BG$14:$BK$27,MATCH(AH$7,$BG$14:$BG$27,0),4)),""),"")</f>
        <v/>
      </c>
      <c r="AJ12" s="36" t="str">
        <f>IF($A12&lt;&gt;"",IF(INDEX(BDHK2,MATCH($A12,DiemHKII!$B$4:$B$58,0),INDEX($BG$14:$BK$27,MATCH(AH$7,$BG$14:$BG$27,0),2))&lt;&gt;"",INDEX(BDHK2,MATCH($A12,DiemHKII!$B$4:$B$58,0),INDEX($BG$14:$BK$27,MATCH(AH$7,$BG$14:$BG$27,0),5)),""),"")</f>
        <v/>
      </c>
      <c r="AK12" s="37" t="str">
        <f>IF($A12&lt;&gt;"",IF(INDEX(BDHK2,MATCH($A12,DiemHKII!$B$4:$B$58,0),INDEX($BG$14:$BK$27,MATCH(AK$7,$BG$14:$BG$27,0),2))&lt;&gt;"",INDEX(BDHK2,MATCH($A12,DiemHKII!$B$4:$B$58,0),INDEX($BG$14:$BK$27,MATCH(AK$7,$BG$14:$BG$27,0),3)),""),"")</f>
        <v/>
      </c>
      <c r="AL12" s="8" t="str">
        <f>IF($A12&lt;&gt;"",IF(INDEX(BDHK2,MATCH($A12,DiemHKII!$B$4:$B$58,0),INDEX($BG$14:$BK$27,MATCH(AK$7,$BG$14:$BG$27,0),2))&lt;&gt;"",INDEX(BDHK2,MATCH($A12,DiemHKII!$B$4:$B$58,0),INDEX($BG$14:$BK$27,MATCH(AK$7,$BG$14:$BG$27,0),4)),""),"")</f>
        <v/>
      </c>
      <c r="AM12" s="38" t="str">
        <f>IF($A12&lt;&gt;"",IF(INDEX(BDHK2,MATCH($A12,DiemHKII!$B$4:$B$58,0),INDEX($BG$14:$BK$27,MATCH(AK$7,$BG$14:$BG$27,0),2))&lt;&gt;"",INDEX(BDHK2,MATCH($A12,DiemHKII!$B$4:$B$58,0),INDEX($BG$14:$BK$27,MATCH(AK$7,$BG$14:$BG$27,0),5)),""),"")</f>
        <v/>
      </c>
      <c r="AN12" s="34" t="str">
        <f>IF($A12&lt;&gt;"",IF(INDEX(BDHK2,MATCH($A12,DiemHKII!$B$4:$B$58,0),INDEX($BG$14:$BK$27,MATCH(AN$7,$BG$14:$BG$27,0),2))&lt;&gt;"",INDEX(BDHK2,MATCH($A12,DiemHKII!$B$4:$B$58,0),INDEX($BG$14:$BK$27,MATCH(AN$7,$BG$14:$BG$27,0),3)),""),"")</f>
        <v/>
      </c>
      <c r="AO12" s="35" t="str">
        <f>IF($A12&lt;&gt;"",IF(INDEX(BDHK2,MATCH($A12,DiemHKII!$B$4:$B$58,0),INDEX($BG$14:$BK$27,MATCH(AN$7,$BG$14:$BG$27,0),2))&lt;&gt;"",INDEX(BDHK2,MATCH($A12,DiemHKII!$B$4:$B$58,0),INDEX($BG$14:$BK$27,MATCH(AN$7,$BG$14:$BG$27,0),4)),""),"")</f>
        <v/>
      </c>
      <c r="AP12" s="36" t="str">
        <f>IF($A12&lt;&gt;"",IF(INDEX(BDHK2,MATCH($A12,DiemHKII!$B$4:$B$58,0),INDEX($BG$14:$BK$27,MATCH(AN$7,$BG$14:$BG$27,0),2))&lt;&gt;"",INDEX(BDHK2,MATCH($A12,DiemHKII!$B$4:$B$58,0),INDEX($BG$14:$BK$27,MATCH(AN$7,$BG$14:$BG$27,0),5)),""),"")</f>
        <v/>
      </c>
      <c r="AQ12" s="34" t="str">
        <f>IF($A12&lt;&gt;"",IF(INDEX(BDHK2,MATCH($A12,DiemHKII!$B$4:$B$58,0),INDEX($BG$14:$BK$27,MATCH(AQ$7,$BG$14:$BG$27,0),2))&lt;&gt;"",INDEX(BDHK2,MATCH($A12,DiemHKII!$B$4:$B$58,0),INDEX($BG$14:$BK$27,MATCH(AQ$7,$BG$14:$BG$27,0),3)),""),"")</f>
        <v/>
      </c>
      <c r="AR12" s="35" t="str">
        <f>IF($A12&lt;&gt;"",IF(INDEX(BDHK2,MATCH($A12,DiemHKII!$B$4:$B$58,0),INDEX($BG$14:$BK$27,MATCH(AQ$7,$BG$14:$BG$27,0),2))&lt;&gt;"",INDEX(BDHK2,MATCH($A12,DiemHKII!$B$4:$B$58,0),INDEX($BG$14:$BK$27,MATCH(AQ$7,$BG$14:$BG$27,0),4)),""),"")</f>
        <v/>
      </c>
      <c r="AS12" s="36" t="str">
        <f>IF($A12&lt;&gt;"",IF(INDEX(BDHK2,MATCH($A12,DiemHKII!$B$4:$B$58,0),INDEX($BG$14:$BK$27,MATCH(AQ$7,$BG$14:$BG$27,0),2))&lt;&gt;"",INDEX(BDHK2,MATCH($A12,DiemHKII!$B$4:$B$58,0),INDEX($BG$14:$BK$27,MATCH(AQ$7,$BG$14:$BG$27,0),5)),""),"")</f>
        <v/>
      </c>
      <c r="AT12" s="34">
        <f>IFERROR(IF($A12&gt;=1,IF(INDEX(THHKI!$V$8:$Y$62,MATCH($BL12,THHKI!$AG$8:$AG$62,0),1)&lt;&gt;"",INDEX(THHKI!$V$8:$Y$62,MATCH($BL12,THHKI!$AG$8:$AG$62,0),1),""),""),"")</f>
        <v>9.4</v>
      </c>
      <c r="AU12" s="35" t="str">
        <f>IF($A12&gt;=1,IF(INDEX(THHKII!$V$8:$Y$62,MATCH($BL12,THHKII!$AG$8:$AG$62,0),1)&lt;&gt;"",INDEX(THHKII!$V$8:$Y$62,MATCH($BL12,THHKII!$AG$8:$AG$62,0),1),""),"")</f>
        <v/>
      </c>
      <c r="AV12" s="39" t="str">
        <f>IF($A12&gt;=1,IF(INDEX(THCN!$V$8:$Y$62,MATCH($BL12,THCN!$AG$8:$AG$62,0),1)&lt;&gt;"",INDEX(THCN!$V$8:$Y$62,MATCH($BL12,THCN!$AG$8:$AG$62,0),1),""),"")</f>
        <v/>
      </c>
      <c r="AW12" s="40" t="str">
        <f>IFERROR(IF($A12&gt;=1,IF(INDEX(THHKI!$V$8:$Y$62,MATCH($BL12,THHKI!$AG$8:$AG$62,0),2)&lt;&gt;"",INDEX(THHKI!$V$8:$Y$62,MATCH($BL12,THHKI!$AG$8:$AG$62,0),2),""),""),"")</f>
        <v>Giỏi</v>
      </c>
      <c r="AX12" s="8" t="str">
        <f>IF($A12&gt;=1,IF(INDEX(THHKII!$V$8:$Y$62,MATCH($BL12,THHKII!$AG$8:$AG$62,0),2)&lt;&gt;"",INDEX(THHKII!$V$8:$Y$62,MATCH($BL12,THHKII!$AG$8:$AG$62,0),2),""),"")</f>
        <v/>
      </c>
      <c r="AY12" s="467" t="str">
        <f>IF($A12&gt;=1,IF(INDEX(THCN!$V$8:$Y$62,MATCH($BL12,THCN!$AG$8:$AG$62,0),2)&lt;&gt;"",INDEX(THCN!$V$8:$Y$62,MATCH($BL12,THCN!$AG$8:$AG$62,0),2),""),"")</f>
        <v/>
      </c>
      <c r="AZ12" s="37" t="str">
        <f>IFERROR(IF($A12&gt;=1,IF(INDEX(THHKI!$V$8:$Y$62,MATCH($BL12,THHKI!$AG$8:$AG$62,0),3)&lt;&gt;"",INDEX(THHKI!$V$8:$Y$62,MATCH($BL12,THHKI!$AG$8:$AG$62,0),3),""),""),"")</f>
        <v>Tốt</v>
      </c>
      <c r="BA12" s="8" t="str">
        <f>IF($A12&gt;=1,IF(INDEX(THHKII!$V$8:$Y$62,MATCH($BL12,THHKII!$AG$8:$AG$62,0),3)&lt;&gt;"",INDEX(THHKII!$V$8:$Y$62,MATCH($BL12,THHKII!$AG$8:$AG$62,0),3),""),"")</f>
        <v/>
      </c>
      <c r="BB12" s="41" t="str">
        <f>IF($A12&gt;=1,IF(INDEX(THCN!$V$8:$Y$62,MATCH($BL12,THCN!$AG$8:$AG$62,0),3)&lt;&gt;"",INDEX(THCN!$V$8:$Y$62,MATCH($BL12,THCN!$AG$8:$AG$62,0),3),""),"")</f>
        <v/>
      </c>
      <c r="BC12" s="42" t="str">
        <f>IF($A12&gt;=1,IF(INDEX(THCN!$V$8:$Y$62,MATCH($BL12,THCN!$AG$8:$AG$62,0),4)&lt;&gt;"",INDEX(THCN!$V$8:$Y$62,MATCH($BL12,THCN!$AG$8:$AG$62,0),4),""),"")</f>
        <v/>
      </c>
      <c r="BE12" s="31" t="str">
        <f>IFERROR(IF($A12&gt;=1,IF(INDEX(THHKI!$V$8:$Y$62,MATCH($BL12,THHKI!$AG$8:$AG$62,0),4)&lt;&gt;"",INDEX(THHKI!$V$8:$Y$62,MATCH($BL12,THHKI!$AG$8:$AG$62,0),4),""),""),"")</f>
        <v>HSG</v>
      </c>
      <c r="BF12" s="42" t="str">
        <f>IF($A12&gt;=1,IF(INDEX(THHKII!$V$8:$Y$62,MATCH($BL12,THHKII!$AG$8:$AG$62,0),4)&lt;&gt;"",INDEX(THHKII!$V$8:$Y$62,MATCH($BL12,THHKII!$AG$8:$AG$62,0),4),""),"")</f>
        <v/>
      </c>
      <c r="BL12" s="30" t="str">
        <f>IF($A12&lt;&gt;"",INDEX(DiemHKII!$B$4:$K$58,MATCH($A12,DiemHKII!$B$4:$B$58,0),2),"")</f>
        <v>12A1Nguyễn Quách MaiAnh12/05/2004</v>
      </c>
    </row>
    <row r="13" spans="1:64" s="30" customFormat="1" ht="29.1" customHeight="1" thickBot="1">
      <c r="A13" s="43">
        <f>IF(A12&lt;MAX(DiemHKII!$B$4:$B$58),A12+1,"")</f>
        <v>5</v>
      </c>
      <c r="B13" s="44" t="str">
        <f>IF($A13&lt;&gt;"",PROPER(INDEX(DiemHKII!$B$4:$K$58,MATCH($A13,DiemHKII!$B$4:$B$58,0),4)),"")</f>
        <v>Vũ Song</v>
      </c>
      <c r="C13" s="45" t="str">
        <f>IF($A13&lt;&gt;"",PROPER(INDEX(DiemHKII!$B$4:$K$58,MATCH($A13,DiemHKII!$B$4:$B$58,0),5)),"")</f>
        <v>Anh</v>
      </c>
      <c r="D13" s="46" t="str">
        <f>IF($A13&lt;&gt;"",IF(INDEX(BDHK2,MATCH($A13,DiemHKII!$B$4:$B$58,0),INDEX($BG$14:$BK$27,MATCH(D$7,$BG$14:$BG$27,0),2))&lt;&gt;"",INDEX(BDHK2,MATCH($A13,DiemHKII!$B$4:$B$58,0),INDEX($BG$14:$BK$27,MATCH(D$7,$BG$14:$BG$27,0),3)),""),"")</f>
        <v/>
      </c>
      <c r="E13" s="47" t="str">
        <f>IF($A13&lt;&gt;"",IF(INDEX(BDHK2,MATCH($A13,DiemHKII!$B$4:$B$58,0),INDEX($BG$14:$BK$27,MATCH(D$7,$BG$14:$BG$27,0),2))&lt;&gt;"",INDEX(BDHK2,MATCH($A13,DiemHKII!$B$4:$B$58,0),INDEX($BG$14:$BK$27,MATCH(D$7,$BG$14:$BG$27,0),4)),""),"")</f>
        <v/>
      </c>
      <c r="F13" s="48" t="str">
        <f>IF($A13&lt;&gt;"",IF(INDEX(BDHK2,MATCH($A13,DiemHKII!$B$4:$B$58,0),INDEX($BG$14:$BK$27,MATCH(D$7,$BG$14:$BG$27,0),2))&lt;&gt;"",INDEX(BDHK2,MATCH($A13,DiemHKII!$B$4:$B$58,0),INDEX($BG$14:$BK$27,MATCH(D$7,$BG$14:$BG$27,0),5)),""),"")</f>
        <v/>
      </c>
      <c r="G13" s="46" t="str">
        <f>IF($A13&lt;&gt;"",IF(INDEX(BDHK2,MATCH($A13,DiemHKII!$B$4:$B$58,0),INDEX($BG$14:$BK$27,MATCH(G$7,$BG$14:$BG$27,0),2))&lt;&gt;"",INDEX(BDHK2,MATCH($A13,DiemHKII!$B$4:$B$58,0),INDEX($BG$14:$BK$27,MATCH(G$7,$BG$14:$BG$27,0),3)),""),"")</f>
        <v/>
      </c>
      <c r="H13" s="47" t="str">
        <f>IF($A13&lt;&gt;"",IF(INDEX(BDHK2,MATCH($A13,DiemHKII!$B$4:$B$58,0),INDEX($BG$14:$BK$27,MATCH(G$7,$BG$14:$BG$27,0),2))&lt;&gt;"",INDEX(BDHK2,MATCH($A13,DiemHKII!$B$4:$B$58,0),INDEX($BG$14:$BK$27,MATCH(G$7,$BG$14:$BG$27,0),4)),""),"")</f>
        <v/>
      </c>
      <c r="I13" s="48" t="str">
        <f>IF($A13&lt;&gt;"",IF(INDEX(BDHK2,MATCH($A13,DiemHKII!$B$4:$B$58,0),INDEX($BG$14:$BK$27,MATCH(G$7,$BG$14:$BG$27,0),2))&lt;&gt;"",INDEX(BDHK2,MATCH($A13,DiemHKII!$B$4:$B$58,0),INDEX($BG$14:$BK$27,MATCH(G$7,$BG$14:$BG$27,0),5)),""),"")</f>
        <v/>
      </c>
      <c r="J13" s="46" t="str">
        <f>IF($A13&lt;&gt;"",IF(INDEX(BDHK2,MATCH($A13,DiemHKII!$B$4:$B$58,0),INDEX($BG$14:$BK$27,MATCH(J$7,$BG$14:$BG$27,0),2))&lt;&gt;"",INDEX(BDHK2,MATCH($A13,DiemHKII!$B$4:$B$58,0),INDEX($BG$14:$BK$27,MATCH(J$7,$BG$14:$BG$27,0),3)),""),"")</f>
        <v/>
      </c>
      <c r="K13" s="47" t="str">
        <f>IF($A13&lt;&gt;"",IF(INDEX(BDHK2,MATCH($A13,DiemHKII!$B$4:$B$58,0),INDEX($BG$14:$BK$27,MATCH(J$7,$BG$14:$BG$27,0),2))&lt;&gt;"",INDEX(BDHK2,MATCH($A13,DiemHKII!$B$4:$B$58,0),INDEX($BG$14:$BK$27,MATCH(J$7,$BG$14:$BG$27,0),4)),""),"")</f>
        <v/>
      </c>
      <c r="L13" s="48" t="str">
        <f>IF($A13&lt;&gt;"",IF(INDEX(BDHK2,MATCH($A13,DiemHKII!$B$4:$B$58,0),INDEX($BG$14:$BK$27,MATCH(J$7,$BG$14:$BG$27,0),2))&lt;&gt;"",INDEX(BDHK2,MATCH($A13,DiemHKII!$B$4:$B$58,0),INDEX($BG$14:$BK$27,MATCH(J$7,$BG$14:$BG$27,0),5)),""),"")</f>
        <v/>
      </c>
      <c r="M13" s="46" t="str">
        <f>IF($A13&lt;&gt;"",IF(INDEX(BDHK2,MATCH($A13,DiemHKII!$B$4:$B$58,0),INDEX($BG$14:$BK$27,MATCH(M$7,$BG$14:$BG$27,0),2))&lt;&gt;"",INDEX(BDHK2,MATCH($A13,DiemHKII!$B$4:$B$58,0),INDEX($BG$14:$BK$27,MATCH(M$7,$BG$14:$BG$27,0),3)),""),"")</f>
        <v/>
      </c>
      <c r="N13" s="47" t="str">
        <f>IF($A13&lt;&gt;"",IF(INDEX(BDHK2,MATCH($A13,DiemHKII!$B$4:$B$58,0),INDEX($BG$14:$BK$27,MATCH(M$7,$BG$14:$BG$27,0),2))&lt;&gt;"",INDEX(BDHK2,MATCH($A13,DiemHKII!$B$4:$B$58,0),INDEX($BG$14:$BK$27,MATCH(M$7,$BG$14:$BG$27,0),4)),""),"")</f>
        <v/>
      </c>
      <c r="O13" s="48" t="str">
        <f>IF($A13&lt;&gt;"",IF(INDEX(BDHK2,MATCH($A13,DiemHKII!$B$4:$B$58,0),INDEX($BG$14:$BK$27,MATCH(M$7,$BG$14:$BG$27,0),2))&lt;&gt;"",INDEX(BDHK2,MATCH($A13,DiemHKII!$B$4:$B$58,0),INDEX($BG$14:$BK$27,MATCH(M$7,$BG$14:$BG$27,0),5)),""),"")</f>
        <v/>
      </c>
      <c r="P13" s="46" t="str">
        <f>IF($A13&lt;&gt;"",IF(INDEX(BDHK2,MATCH($A13,DiemHKII!$B$4:$B$58,0),INDEX($BG$14:$BK$27,MATCH(P$7,$BG$14:$BG$27,0),2))&lt;&gt;"",INDEX(BDHK2,MATCH($A13,DiemHKII!$B$4:$B$58,0),INDEX($BG$14:$BK$27,MATCH(P$7,$BG$14:$BG$27,0),3)),""),"")</f>
        <v/>
      </c>
      <c r="Q13" s="47" t="str">
        <f>IF($A13&lt;&gt;"",IF(INDEX(BDHK2,MATCH($A13,DiemHKII!$B$4:$B$58,0),INDEX($BG$14:$BK$27,MATCH(P$7,$BG$14:$BG$27,0),2))&lt;&gt;"",INDEX(BDHK2,MATCH($A13,DiemHKII!$B$4:$B$58,0),INDEX($BG$14:$BK$27,MATCH(P$7,$BG$14:$BG$27,0),4)),""),"")</f>
        <v/>
      </c>
      <c r="R13" s="48" t="str">
        <f>IF($A13&lt;&gt;"",IF(INDEX(BDHK2,MATCH($A13,DiemHKII!$B$4:$B$58,0),INDEX($BG$14:$BK$27,MATCH(P$7,$BG$14:$BG$27,0),2))&lt;&gt;"",INDEX(BDHK2,MATCH($A13,DiemHKII!$B$4:$B$58,0),INDEX($BG$14:$BK$27,MATCH(P$7,$BG$14:$BG$27,0),5)),""),"")</f>
        <v/>
      </c>
      <c r="S13" s="46" t="str">
        <f>IF($A13&lt;&gt;"",IF(INDEX(BDHK2,MATCH($A13,DiemHKII!$B$4:$B$58,0),INDEX($BG$14:$BK$27,MATCH(S$7,$BG$14:$BG$27,0),2))&lt;&gt;"",INDEX(BDHK2,MATCH($A13,DiemHKII!$B$4:$B$58,0),INDEX($BG$14:$BK$27,MATCH(S$7,$BG$14:$BG$27,0),3)),""),"")</f>
        <v/>
      </c>
      <c r="T13" s="47" t="str">
        <f>IF($A13&lt;&gt;"",IF(INDEX(BDHK2,MATCH($A13,DiemHKII!$B$4:$B$58,0),INDEX($BG$14:$BK$27,MATCH(S$7,$BG$14:$BG$27,0),2))&lt;&gt;"",INDEX(BDHK2,MATCH($A13,DiemHKII!$B$4:$B$58,0),INDEX($BG$14:$BK$27,MATCH(S$7,$BG$14:$BG$27,0),4)),""),"")</f>
        <v/>
      </c>
      <c r="U13" s="48" t="str">
        <f>IF($A13&lt;&gt;"",IF(INDEX(BDHK2,MATCH($A13,DiemHKII!$B$4:$B$58,0),INDEX($BG$14:$BK$27,MATCH(S$7,$BG$14:$BG$27,0),2))&lt;&gt;"",INDEX(BDHK2,MATCH($A13,DiemHKII!$B$4:$B$58,0),INDEX($BG$14:$BK$27,MATCH(S$7,$BG$14:$BG$27,0),5)),""),"")</f>
        <v/>
      </c>
      <c r="V13" s="46" t="str">
        <f>IF($A13&lt;&gt;"",IF(INDEX(BDHK2,MATCH($A13,DiemHKII!$B$4:$B$58,0),INDEX($BG$14:$BK$27,MATCH(V$7,$BG$14:$BG$27,0),2))&lt;&gt;"",INDEX(BDHK2,MATCH($A13,DiemHKII!$B$4:$B$58,0),INDEX($BG$14:$BK$27,MATCH(V$7,$BG$14:$BG$27,0),3)),""),"")</f>
        <v/>
      </c>
      <c r="W13" s="47" t="str">
        <f>IF($A13&lt;&gt;"",IF(INDEX(BDHK2,MATCH($A13,DiemHKII!$B$4:$B$58,0),INDEX($BG$14:$BK$27,MATCH(V$7,$BG$14:$BG$27,0),2))&lt;&gt;"",INDEX(BDHK2,MATCH($A13,DiemHKII!$B$4:$B$58,0),INDEX($BG$14:$BK$27,MATCH(V$7,$BG$14:$BG$27,0),4)),""),"")</f>
        <v/>
      </c>
      <c r="X13" s="48" t="str">
        <f>IF($A13&lt;&gt;"",IF(INDEX(BDHK2,MATCH($A13,DiemHKII!$B$4:$B$58,0),INDEX($BG$14:$BK$27,MATCH(V$7,$BG$14:$BG$27,0),2))&lt;&gt;"",INDEX(BDHK2,MATCH($A13,DiemHKII!$B$4:$B$58,0),INDEX($BG$14:$BK$27,MATCH(V$7,$BG$14:$BG$27,0),5)),""),"")</f>
        <v/>
      </c>
      <c r="Y13" s="46" t="str">
        <f>IF($A13&lt;&gt;"",IF(INDEX(BDHK2,MATCH($A13,DiemHKII!$B$4:$B$58,0),INDEX($BG$14:$BK$27,MATCH(Y$7,$BG$14:$BG$27,0),2))&lt;&gt;"",INDEX(BDHK2,MATCH($A13,DiemHKII!$B$4:$B$58,0),INDEX($BG$14:$BK$27,MATCH(Y$7,$BG$14:$BG$27,0),3)),""),"")</f>
        <v/>
      </c>
      <c r="Z13" s="47" t="str">
        <f>IF($A13&lt;&gt;"",IF(INDEX(BDHK2,MATCH($A13,DiemHKII!$B$4:$B$58,0),INDEX($BG$14:$BK$27,MATCH(Y$7,$BG$14:$BG$27,0),2))&lt;&gt;"",INDEX(BDHK2,MATCH($A13,DiemHKII!$B$4:$B$58,0),INDEX($BG$14:$BK$27,MATCH(Y$7,$BG$14:$BG$27,0),4)),""),"")</f>
        <v/>
      </c>
      <c r="AA13" s="48" t="str">
        <f>IF($A13&lt;&gt;"",IF(INDEX(BDHK2,MATCH($A13,DiemHKII!$B$4:$B$58,0),INDEX($BG$14:$BK$27,MATCH(Y$7,$BG$14:$BG$27,0),2))&lt;&gt;"",INDEX(BDHK2,MATCH($A13,DiemHKII!$B$4:$B$58,0),INDEX($BG$14:$BK$27,MATCH(Y$7,$BG$14:$BG$27,0),5)),""),"")</f>
        <v/>
      </c>
      <c r="AB13" s="46" t="str">
        <f>IF($A13&lt;&gt;"",IF(INDEX(BDHK2,MATCH($A13,DiemHKII!$B$4:$B$58,0),INDEX($BG$14:$BK$27,MATCH(AB$7,$BG$14:$BG$27,0),2))&lt;&gt;"",INDEX(BDHK2,MATCH($A13,DiemHKII!$B$4:$B$58,0),INDEX($BG$14:$BK$27,MATCH(AB$7,$BG$14:$BG$27,0),3)),""),"")</f>
        <v/>
      </c>
      <c r="AC13" s="47" t="str">
        <f>IF($A13&lt;&gt;"",IF(INDEX(BDHK2,MATCH($A13,DiemHKII!$B$4:$B$58,0),INDEX($BG$14:$BK$27,MATCH(AB$7,$BG$14:$BG$27,0),2))&lt;&gt;"",INDEX(BDHK2,MATCH($A13,DiemHKII!$B$4:$B$58,0),INDEX($BG$14:$BK$27,MATCH(AB$7,$BG$14:$BG$27,0),4)),""),"")</f>
        <v/>
      </c>
      <c r="AD13" s="48" t="str">
        <f>IF($A13&lt;&gt;"",IF(INDEX(BDHK2,MATCH($A13,DiemHKII!$B$4:$B$58,0),INDEX($BG$14:$BK$27,MATCH(AB$7,$BG$14:$BG$27,0),2))&lt;&gt;"",INDEX(BDHK2,MATCH($A13,DiemHKII!$B$4:$B$58,0),INDEX($BG$14:$BK$27,MATCH(AB$7,$BG$14:$BG$27,0),5)),""),"")</f>
        <v/>
      </c>
      <c r="AE13" s="46" t="str">
        <f>IF($A13&lt;&gt;"",IF(INDEX(BDHK2,MATCH($A13,DiemHKII!$B$4:$B$58,0),INDEX($BG$14:$BK$27,MATCH(AE$7,$BG$14:$BG$27,0),2))&lt;&gt;"",INDEX(BDHK2,MATCH($A13,DiemHKII!$B$4:$B$58,0),INDEX($BG$14:$BK$27,MATCH(AE$7,$BG$14:$BG$27,0),3)),""),"")</f>
        <v/>
      </c>
      <c r="AF13" s="47" t="str">
        <f>IF($A13&lt;&gt;"",IF(INDEX(BDHK2,MATCH($A13,DiemHKII!$B$4:$B$58,0),INDEX($BG$14:$BK$27,MATCH(AE$7,$BG$14:$BG$27,0),2))&lt;&gt;"",INDEX(BDHK2,MATCH($A13,DiemHKII!$B$4:$B$58,0),INDEX($BG$14:$BK$27,MATCH(AE$7,$BG$14:$BG$27,0),4)),""),"")</f>
        <v/>
      </c>
      <c r="AG13" s="48" t="str">
        <f>IF($A13&lt;&gt;"",IF(INDEX(BDHK2,MATCH($A13,DiemHKII!$B$4:$B$58,0),INDEX($BG$14:$BK$27,MATCH(AE$7,$BG$14:$BG$27,0),2))&lt;&gt;"",INDEX(BDHK2,MATCH($A13,DiemHKII!$B$4:$B$58,0),INDEX($BG$14:$BK$27,MATCH(AE$7,$BG$14:$BG$27,0),5)),""),"")</f>
        <v/>
      </c>
      <c r="AH13" s="46" t="str">
        <f>IF($A13&lt;&gt;"",IF(INDEX(BDHK2,MATCH($A13,DiemHKII!$B$4:$B$58,0),INDEX($BG$14:$BK$27,MATCH(AH$7,$BG$14:$BG$27,0),2))&lt;&gt;"",INDEX(BDHK2,MATCH($A13,DiemHKII!$B$4:$B$58,0),INDEX($BG$14:$BK$27,MATCH(AH$7,$BG$14:$BG$27,0),3)),""),"")</f>
        <v/>
      </c>
      <c r="AI13" s="47" t="str">
        <f>IF($A13&lt;&gt;"",IF(INDEX(BDHK2,MATCH($A13,DiemHKII!$B$4:$B$58,0),INDEX($BG$14:$BK$27,MATCH(AH$7,$BG$14:$BG$27,0),2))&lt;&gt;"",INDEX(BDHK2,MATCH($A13,DiemHKII!$B$4:$B$58,0),INDEX($BG$14:$BK$27,MATCH(AH$7,$BG$14:$BG$27,0),4)),""),"")</f>
        <v/>
      </c>
      <c r="AJ13" s="48" t="str">
        <f>IF($A13&lt;&gt;"",IF(INDEX(BDHK2,MATCH($A13,DiemHKII!$B$4:$B$58,0),INDEX($BG$14:$BK$27,MATCH(AH$7,$BG$14:$BG$27,0),2))&lt;&gt;"",INDEX(BDHK2,MATCH($A13,DiemHKII!$B$4:$B$58,0),INDEX($BG$14:$BK$27,MATCH(AH$7,$BG$14:$BG$27,0),5)),""),"")</f>
        <v/>
      </c>
      <c r="AK13" s="49" t="str">
        <f>IF($A13&lt;&gt;"",IF(INDEX(BDHK2,MATCH($A13,DiemHKII!$B$4:$B$58,0),INDEX($BG$14:$BK$27,MATCH(AK$7,$BG$14:$BG$27,0),2))&lt;&gt;"",INDEX(BDHK2,MATCH($A13,DiemHKII!$B$4:$B$58,0),INDEX($BG$14:$BK$27,MATCH(AK$7,$BG$14:$BG$27,0),3)),""),"")</f>
        <v/>
      </c>
      <c r="AL13" s="50" t="str">
        <f>IF($A13&lt;&gt;"",IF(INDEX(BDHK2,MATCH($A13,DiemHKII!$B$4:$B$58,0),INDEX($BG$14:$BK$27,MATCH(AK$7,$BG$14:$BG$27,0),2))&lt;&gt;"",INDEX(BDHK2,MATCH($A13,DiemHKII!$B$4:$B$58,0),INDEX($BG$14:$BK$27,MATCH(AK$7,$BG$14:$BG$27,0),4)),""),"")</f>
        <v/>
      </c>
      <c r="AM13" s="51" t="str">
        <f>IF($A13&lt;&gt;"",IF(INDEX(BDHK2,MATCH($A13,DiemHKII!$B$4:$B$58,0),INDEX($BG$14:$BK$27,MATCH(AK$7,$BG$14:$BG$27,0),2))&lt;&gt;"",INDEX(BDHK2,MATCH($A13,DiemHKII!$B$4:$B$58,0),INDEX($BG$14:$BK$27,MATCH(AK$7,$BG$14:$BG$27,0),5)),""),"")</f>
        <v/>
      </c>
      <c r="AN13" s="46" t="str">
        <f>IF($A13&lt;&gt;"",IF(INDEX(BDHK2,MATCH($A13,DiemHKII!$B$4:$B$58,0),INDEX($BG$14:$BK$27,MATCH(AN$7,$BG$14:$BG$27,0),2))&lt;&gt;"",INDEX(BDHK2,MATCH($A13,DiemHKII!$B$4:$B$58,0),INDEX($BG$14:$BK$27,MATCH(AN$7,$BG$14:$BG$27,0),3)),""),"")</f>
        <v/>
      </c>
      <c r="AO13" s="47" t="str">
        <f>IF($A13&lt;&gt;"",IF(INDEX(BDHK2,MATCH($A13,DiemHKII!$B$4:$B$58,0),INDEX($BG$14:$BK$27,MATCH(AN$7,$BG$14:$BG$27,0),2))&lt;&gt;"",INDEX(BDHK2,MATCH($A13,DiemHKII!$B$4:$B$58,0),INDEX($BG$14:$BK$27,MATCH(AN$7,$BG$14:$BG$27,0),4)),""),"")</f>
        <v/>
      </c>
      <c r="AP13" s="48" t="str">
        <f>IF($A13&lt;&gt;"",IF(INDEX(BDHK2,MATCH($A13,DiemHKII!$B$4:$B$58,0),INDEX($BG$14:$BK$27,MATCH(AN$7,$BG$14:$BG$27,0),2))&lt;&gt;"",INDEX(BDHK2,MATCH($A13,DiemHKII!$B$4:$B$58,0),INDEX($BG$14:$BK$27,MATCH(AN$7,$BG$14:$BG$27,0),5)),""),"")</f>
        <v/>
      </c>
      <c r="AQ13" s="46" t="str">
        <f>IF($A13&lt;&gt;"",IF(INDEX(BDHK2,MATCH($A13,DiemHKII!$B$4:$B$58,0),INDEX($BG$14:$BK$27,MATCH(AQ$7,$BG$14:$BG$27,0),2))&lt;&gt;"",INDEX(BDHK2,MATCH($A13,DiemHKII!$B$4:$B$58,0),INDEX($BG$14:$BK$27,MATCH(AQ$7,$BG$14:$BG$27,0),3)),""),"")</f>
        <v/>
      </c>
      <c r="AR13" s="47" t="str">
        <f>IF($A13&lt;&gt;"",IF(INDEX(BDHK2,MATCH($A13,DiemHKII!$B$4:$B$58,0),INDEX($BG$14:$BK$27,MATCH(AQ$7,$BG$14:$BG$27,0),2))&lt;&gt;"",INDEX(BDHK2,MATCH($A13,DiemHKII!$B$4:$B$58,0),INDEX($BG$14:$BK$27,MATCH(AQ$7,$BG$14:$BG$27,0),4)),""),"")</f>
        <v/>
      </c>
      <c r="AS13" s="48" t="str">
        <f>IF($A13&lt;&gt;"",IF(INDEX(BDHK2,MATCH($A13,DiemHKII!$B$4:$B$58,0),INDEX($BG$14:$BK$27,MATCH(AQ$7,$BG$14:$BG$27,0),2))&lt;&gt;"",INDEX(BDHK2,MATCH($A13,DiemHKII!$B$4:$B$58,0),INDEX($BG$14:$BK$27,MATCH(AQ$7,$BG$14:$BG$27,0),5)),""),"")</f>
        <v/>
      </c>
      <c r="AT13" s="46">
        <f>IFERROR(IF($A13&gt;=1,IF(INDEX(THHKI!$V$8:$Y$62,MATCH($BL13,THHKI!$AG$8:$AG$62,0),1)&lt;&gt;"",INDEX(THHKI!$V$8:$Y$62,MATCH($BL13,THHKI!$AG$8:$AG$62,0),1),""),""),"")</f>
        <v>9.3000000000000007</v>
      </c>
      <c r="AU13" s="47" t="str">
        <f>IF($A13&gt;=1,IF(INDEX(THHKII!$V$8:$Y$62,MATCH($BL13,THHKII!$AG$8:$AG$62,0),1)&lt;&gt;"",INDEX(THHKII!$V$8:$Y$62,MATCH($BL13,THHKII!$AG$8:$AG$62,0),1),""),"")</f>
        <v/>
      </c>
      <c r="AV13" s="52" t="str">
        <f>IF($A13&gt;=1,IF(INDEX(THCN!$V$8:$Y$62,MATCH($BL13,THCN!$AG$8:$AG$62,0),1)&lt;&gt;"",INDEX(THCN!$V$8:$Y$62,MATCH($BL13,THCN!$AG$8:$AG$62,0),1),""),"")</f>
        <v/>
      </c>
      <c r="AW13" s="53" t="str">
        <f>IFERROR(IF($A13&gt;=1,IF(INDEX(THHKI!$V$8:$Y$62,MATCH($BL13,THHKI!$AG$8:$AG$62,0),2)&lt;&gt;"",INDEX(THHKI!$V$8:$Y$62,MATCH($BL13,THHKI!$AG$8:$AG$62,0),2),""),""),"")</f>
        <v>Giỏi</v>
      </c>
      <c r="AX13" s="50" t="str">
        <f>IF($A13&gt;=1,IF(INDEX(THHKII!$V$8:$Y$62,MATCH($BL13,THHKII!$AG$8:$AG$62,0),2)&lt;&gt;"",INDEX(THHKII!$V$8:$Y$62,MATCH($BL13,THHKII!$AG$8:$AG$62,0),2),""),"")</f>
        <v/>
      </c>
      <c r="AY13" s="54" t="str">
        <f>IF($A13&gt;=1,IF(INDEX(THCN!$V$8:$Y$62,MATCH($BL13,THCN!$AG$8:$AG$62,0),2)&lt;&gt;"",INDEX(THCN!$V$8:$Y$62,MATCH($BL13,THCN!$AG$8:$AG$62,0),2),""),"")</f>
        <v/>
      </c>
      <c r="AZ13" s="49" t="str">
        <f>IFERROR(IF($A13&gt;=1,IF(INDEX(THHKI!$V$8:$Y$62,MATCH($BL13,THHKI!$AG$8:$AG$62,0),3)&lt;&gt;"",INDEX(THHKI!$V$8:$Y$62,MATCH($BL13,THHKI!$AG$8:$AG$62,0),3),""),""),"")</f>
        <v>Tốt</v>
      </c>
      <c r="BA13" s="50" t="str">
        <f>IF($A13&gt;=1,IF(INDEX(THHKII!$V$8:$Y$62,MATCH($BL13,THHKII!$AG$8:$AG$62,0),3)&lt;&gt;"",INDEX(THHKII!$V$8:$Y$62,MATCH($BL13,THHKII!$AG$8:$AG$62,0),3),""),"")</f>
        <v/>
      </c>
      <c r="BB13" s="55" t="str">
        <f>IF($A13&gt;=1,IF(INDEX(THCN!$V$8:$Y$62,MATCH($BL13,THCN!$AG$8:$AG$62,0),3)&lt;&gt;"",INDEX(THCN!$V$8:$Y$62,MATCH($BL13,THCN!$AG$8:$AG$62,0),3),""),"")</f>
        <v/>
      </c>
      <c r="BC13" s="56" t="str">
        <f>IF($A13&gt;=1,IF(INDEX(THCN!$V$8:$Y$62,MATCH($BL13,THCN!$AG$8:$AG$62,0),4)&lt;&gt;"",INDEX(THCN!$V$8:$Y$62,MATCH($BL13,THCN!$AG$8:$AG$62,0),4),""),"")</f>
        <v/>
      </c>
      <c r="BE13" s="43" t="str">
        <f>IFERROR(IF($A13&gt;=1,IF(INDEX(THHKI!$V$8:$Y$62,MATCH($BL13,THHKI!$AG$8:$AG$62,0),4)&lt;&gt;"",INDEX(THHKI!$V$8:$Y$62,MATCH($BL13,THHKI!$AG$8:$AG$62,0),4),""),""),"")</f>
        <v>HSG</v>
      </c>
      <c r="BF13" s="56" t="str">
        <f>IF($A13&gt;=1,IF(INDEX(THHKII!$V$8:$Y$62,MATCH($BL13,THHKII!$AG$8:$AG$62,0),4)&lt;&gt;"",INDEX(THHKII!$V$8:$Y$62,MATCH($BL13,THHKII!$AG$8:$AG$62,0),4),""),"")</f>
        <v/>
      </c>
      <c r="BG13" s="30">
        <v>1</v>
      </c>
      <c r="BH13" s="30">
        <v>2</v>
      </c>
      <c r="BI13" s="30">
        <v>3</v>
      </c>
      <c r="BJ13" s="30">
        <v>4</v>
      </c>
      <c r="BK13" s="30">
        <v>5</v>
      </c>
      <c r="BL13" s="30" t="str">
        <f>IF($A13&lt;&gt;"",INDEX(DiemHKII!$B$4:$K$58,MATCH($A13,DiemHKII!$B$4:$B$58,0),2),"")</f>
        <v>12A1Vũ SongAnh20/04/2004</v>
      </c>
    </row>
    <row r="14" spans="1:64" s="30" customFormat="1" ht="29.1" customHeight="1">
      <c r="A14" s="16">
        <f>IF(A13&lt;MAX(DiemHKII!$B$4:$B$58),A13+1,"")</f>
        <v>6</v>
      </c>
      <c r="B14" s="17" t="str">
        <f>IF($A14&lt;&gt;"",PROPER(INDEX(DiemHKII!$B$4:$K$58,MATCH($A14,DiemHKII!$B$4:$B$58,0),4)),"")</f>
        <v>Phan Gia</v>
      </c>
      <c r="C14" s="18" t="str">
        <f>IF($A14&lt;&gt;"",PROPER(INDEX(DiemHKII!$B$4:$K$58,MATCH($A14,DiemHKII!$B$4:$B$58,0),5)),"")</f>
        <v>Bảo</v>
      </c>
      <c r="D14" s="19" t="str">
        <f>IF($A14&lt;&gt;"",IF(INDEX(BDHK2,MATCH($A14,DiemHKII!$B$4:$B$58,0),INDEX($BG$14:$BK$27,MATCH(D$7,$BG$14:$BG$27,0),2))&lt;&gt;"",INDEX(BDHK2,MATCH($A14,DiemHKII!$B$4:$B$58,0),INDEX($BG$14:$BK$27,MATCH(D$7,$BG$14:$BG$27,0),3)),""),"")</f>
        <v/>
      </c>
      <c r="E14" s="20" t="str">
        <f>IF($A14&lt;&gt;"",IF(INDEX(BDHK2,MATCH($A14,DiemHKII!$B$4:$B$58,0),INDEX($BG$14:$BK$27,MATCH(D$7,$BG$14:$BG$27,0),2))&lt;&gt;"",INDEX(BDHK2,MATCH($A14,DiemHKII!$B$4:$B$58,0),INDEX($BG$14:$BK$27,MATCH(D$7,$BG$14:$BG$27,0),4)),""),"")</f>
        <v/>
      </c>
      <c r="F14" s="21" t="str">
        <f>IF($A14&lt;&gt;"",IF(INDEX(BDHK2,MATCH($A14,DiemHKII!$B$4:$B$58,0),INDEX($BG$14:$BK$27,MATCH(D$7,$BG$14:$BG$27,0),2))&lt;&gt;"",INDEX(BDHK2,MATCH($A14,DiemHKII!$B$4:$B$58,0),INDEX($BG$14:$BK$27,MATCH(D$7,$BG$14:$BG$27,0),5)),""),"")</f>
        <v/>
      </c>
      <c r="G14" s="19" t="str">
        <f>IF($A14&lt;&gt;"",IF(INDEX(BDHK2,MATCH($A14,DiemHKII!$B$4:$B$58,0),INDEX($BG$14:$BK$27,MATCH(G$7,$BG$14:$BG$27,0),2))&lt;&gt;"",INDEX(BDHK2,MATCH($A14,DiemHKII!$B$4:$B$58,0),INDEX($BG$14:$BK$27,MATCH(G$7,$BG$14:$BG$27,0),3)),""),"")</f>
        <v/>
      </c>
      <c r="H14" s="20" t="str">
        <f>IF($A14&lt;&gt;"",IF(INDEX(BDHK2,MATCH($A14,DiemHKII!$B$4:$B$58,0),INDEX($BG$14:$BK$27,MATCH(G$7,$BG$14:$BG$27,0),2))&lt;&gt;"",INDEX(BDHK2,MATCH($A14,DiemHKII!$B$4:$B$58,0),INDEX($BG$14:$BK$27,MATCH(G$7,$BG$14:$BG$27,0),4)),""),"")</f>
        <v/>
      </c>
      <c r="I14" s="21" t="str">
        <f>IF($A14&lt;&gt;"",IF(INDEX(BDHK2,MATCH($A14,DiemHKII!$B$4:$B$58,0),INDEX($BG$14:$BK$27,MATCH(G$7,$BG$14:$BG$27,0),2))&lt;&gt;"",INDEX(BDHK2,MATCH($A14,DiemHKII!$B$4:$B$58,0),INDEX($BG$14:$BK$27,MATCH(G$7,$BG$14:$BG$27,0),5)),""),"")</f>
        <v/>
      </c>
      <c r="J14" s="19" t="str">
        <f>IF($A14&lt;&gt;"",IF(INDEX(BDHK2,MATCH($A14,DiemHKII!$B$4:$B$58,0),INDEX($BG$14:$BK$27,MATCH(J$7,$BG$14:$BG$27,0),2))&lt;&gt;"",INDEX(BDHK2,MATCH($A14,DiemHKII!$B$4:$B$58,0),INDEX($BG$14:$BK$27,MATCH(J$7,$BG$14:$BG$27,0),3)),""),"")</f>
        <v/>
      </c>
      <c r="K14" s="20" t="str">
        <f>IF($A14&lt;&gt;"",IF(INDEX(BDHK2,MATCH($A14,DiemHKII!$B$4:$B$58,0),INDEX($BG$14:$BK$27,MATCH(J$7,$BG$14:$BG$27,0),2))&lt;&gt;"",INDEX(BDHK2,MATCH($A14,DiemHKII!$B$4:$B$58,0),INDEX($BG$14:$BK$27,MATCH(J$7,$BG$14:$BG$27,0),4)),""),"")</f>
        <v/>
      </c>
      <c r="L14" s="21" t="str">
        <f>IF($A14&lt;&gt;"",IF(INDEX(BDHK2,MATCH($A14,DiemHKII!$B$4:$B$58,0),INDEX($BG$14:$BK$27,MATCH(J$7,$BG$14:$BG$27,0),2))&lt;&gt;"",INDEX(BDHK2,MATCH($A14,DiemHKII!$B$4:$B$58,0),INDEX($BG$14:$BK$27,MATCH(J$7,$BG$14:$BG$27,0),5)),""),"")</f>
        <v/>
      </c>
      <c r="M14" s="19" t="str">
        <f>IF($A14&lt;&gt;"",IF(INDEX(BDHK2,MATCH($A14,DiemHKII!$B$4:$B$58,0),INDEX($BG$14:$BK$27,MATCH(M$7,$BG$14:$BG$27,0),2))&lt;&gt;"",INDEX(BDHK2,MATCH($A14,DiemHKII!$B$4:$B$58,0),INDEX($BG$14:$BK$27,MATCH(M$7,$BG$14:$BG$27,0),3)),""),"")</f>
        <v/>
      </c>
      <c r="N14" s="20" t="str">
        <f>IF($A14&lt;&gt;"",IF(INDEX(BDHK2,MATCH($A14,DiemHKII!$B$4:$B$58,0),INDEX($BG$14:$BK$27,MATCH(M$7,$BG$14:$BG$27,0),2))&lt;&gt;"",INDEX(BDHK2,MATCH($A14,DiemHKII!$B$4:$B$58,0),INDEX($BG$14:$BK$27,MATCH(M$7,$BG$14:$BG$27,0),4)),""),"")</f>
        <v/>
      </c>
      <c r="O14" s="21" t="str">
        <f>IF($A14&lt;&gt;"",IF(INDEX(BDHK2,MATCH($A14,DiemHKII!$B$4:$B$58,0),INDEX($BG$14:$BK$27,MATCH(M$7,$BG$14:$BG$27,0),2))&lt;&gt;"",INDEX(BDHK2,MATCH($A14,DiemHKII!$B$4:$B$58,0),INDEX($BG$14:$BK$27,MATCH(M$7,$BG$14:$BG$27,0),5)),""),"")</f>
        <v/>
      </c>
      <c r="P14" s="19" t="str">
        <f>IF($A14&lt;&gt;"",IF(INDEX(BDHK2,MATCH($A14,DiemHKII!$B$4:$B$58,0),INDEX($BG$14:$BK$27,MATCH(P$7,$BG$14:$BG$27,0),2))&lt;&gt;"",INDEX(BDHK2,MATCH($A14,DiemHKII!$B$4:$B$58,0),INDEX($BG$14:$BK$27,MATCH(P$7,$BG$14:$BG$27,0),3)),""),"")</f>
        <v/>
      </c>
      <c r="Q14" s="20" t="str">
        <f>IF($A14&lt;&gt;"",IF(INDEX(BDHK2,MATCH($A14,DiemHKII!$B$4:$B$58,0),INDEX($BG$14:$BK$27,MATCH(P$7,$BG$14:$BG$27,0),2))&lt;&gt;"",INDEX(BDHK2,MATCH($A14,DiemHKII!$B$4:$B$58,0),INDEX($BG$14:$BK$27,MATCH(P$7,$BG$14:$BG$27,0),4)),""),"")</f>
        <v/>
      </c>
      <c r="R14" s="21" t="str">
        <f>IF($A14&lt;&gt;"",IF(INDEX(BDHK2,MATCH($A14,DiemHKII!$B$4:$B$58,0),INDEX($BG$14:$BK$27,MATCH(P$7,$BG$14:$BG$27,0),2))&lt;&gt;"",INDEX(BDHK2,MATCH($A14,DiemHKII!$B$4:$B$58,0),INDEX($BG$14:$BK$27,MATCH(P$7,$BG$14:$BG$27,0),5)),""),"")</f>
        <v/>
      </c>
      <c r="S14" s="19" t="str">
        <f>IF($A14&lt;&gt;"",IF(INDEX(BDHK2,MATCH($A14,DiemHKII!$B$4:$B$58,0),INDEX($BG$14:$BK$27,MATCH(S$7,$BG$14:$BG$27,0),2))&lt;&gt;"",INDEX(BDHK2,MATCH($A14,DiemHKII!$B$4:$B$58,0),INDEX($BG$14:$BK$27,MATCH(S$7,$BG$14:$BG$27,0),3)),""),"")</f>
        <v/>
      </c>
      <c r="T14" s="20" t="str">
        <f>IF($A14&lt;&gt;"",IF(INDEX(BDHK2,MATCH($A14,DiemHKII!$B$4:$B$58,0),INDEX($BG$14:$BK$27,MATCH(S$7,$BG$14:$BG$27,0),2))&lt;&gt;"",INDEX(BDHK2,MATCH($A14,DiemHKII!$B$4:$B$58,0),INDEX($BG$14:$BK$27,MATCH(S$7,$BG$14:$BG$27,0),4)),""),"")</f>
        <v/>
      </c>
      <c r="U14" s="21" t="str">
        <f>IF($A14&lt;&gt;"",IF(INDEX(BDHK2,MATCH($A14,DiemHKII!$B$4:$B$58,0),INDEX($BG$14:$BK$27,MATCH(S$7,$BG$14:$BG$27,0),2))&lt;&gt;"",INDEX(BDHK2,MATCH($A14,DiemHKII!$B$4:$B$58,0),INDEX($BG$14:$BK$27,MATCH(S$7,$BG$14:$BG$27,0),5)),""),"")</f>
        <v/>
      </c>
      <c r="V14" s="19" t="str">
        <f>IF($A14&lt;&gt;"",IF(INDEX(BDHK2,MATCH($A14,DiemHKII!$B$4:$B$58,0),INDEX($BG$14:$BK$27,MATCH(V$7,$BG$14:$BG$27,0),2))&lt;&gt;"",INDEX(BDHK2,MATCH($A14,DiemHKII!$B$4:$B$58,0),INDEX($BG$14:$BK$27,MATCH(V$7,$BG$14:$BG$27,0),3)),""),"")</f>
        <v/>
      </c>
      <c r="W14" s="20" t="str">
        <f>IF($A14&lt;&gt;"",IF(INDEX(BDHK2,MATCH($A14,DiemHKII!$B$4:$B$58,0),INDEX($BG$14:$BK$27,MATCH(V$7,$BG$14:$BG$27,0),2))&lt;&gt;"",INDEX(BDHK2,MATCH($A14,DiemHKII!$B$4:$B$58,0),INDEX($BG$14:$BK$27,MATCH(V$7,$BG$14:$BG$27,0),4)),""),"")</f>
        <v/>
      </c>
      <c r="X14" s="21" t="str">
        <f>IF($A14&lt;&gt;"",IF(INDEX(BDHK2,MATCH($A14,DiemHKII!$B$4:$B$58,0),INDEX($BG$14:$BK$27,MATCH(V$7,$BG$14:$BG$27,0),2))&lt;&gt;"",INDEX(BDHK2,MATCH($A14,DiemHKII!$B$4:$B$58,0),INDEX($BG$14:$BK$27,MATCH(V$7,$BG$14:$BG$27,0),5)),""),"")</f>
        <v/>
      </c>
      <c r="Y14" s="19" t="str">
        <f>IF($A14&lt;&gt;"",IF(INDEX(BDHK2,MATCH($A14,DiemHKII!$B$4:$B$58,0),INDEX($BG$14:$BK$27,MATCH(Y$7,$BG$14:$BG$27,0),2))&lt;&gt;"",INDEX(BDHK2,MATCH($A14,DiemHKII!$B$4:$B$58,0),INDEX($BG$14:$BK$27,MATCH(Y$7,$BG$14:$BG$27,0),3)),""),"")</f>
        <v/>
      </c>
      <c r="Z14" s="20" t="str">
        <f>IF($A14&lt;&gt;"",IF(INDEX(BDHK2,MATCH($A14,DiemHKII!$B$4:$B$58,0),INDEX($BG$14:$BK$27,MATCH(Y$7,$BG$14:$BG$27,0),2))&lt;&gt;"",INDEX(BDHK2,MATCH($A14,DiemHKII!$B$4:$B$58,0),INDEX($BG$14:$BK$27,MATCH(Y$7,$BG$14:$BG$27,0),4)),""),"")</f>
        <v/>
      </c>
      <c r="AA14" s="21" t="str">
        <f>IF($A14&lt;&gt;"",IF(INDEX(BDHK2,MATCH($A14,DiemHKII!$B$4:$B$58,0),INDEX($BG$14:$BK$27,MATCH(Y$7,$BG$14:$BG$27,0),2))&lt;&gt;"",INDEX(BDHK2,MATCH($A14,DiemHKII!$B$4:$B$58,0),INDEX($BG$14:$BK$27,MATCH(Y$7,$BG$14:$BG$27,0),5)),""),"")</f>
        <v/>
      </c>
      <c r="AB14" s="19" t="str">
        <f>IF($A14&lt;&gt;"",IF(INDEX(BDHK2,MATCH($A14,DiemHKII!$B$4:$B$58,0),INDEX($BG$14:$BK$27,MATCH(AB$7,$BG$14:$BG$27,0),2))&lt;&gt;"",INDEX(BDHK2,MATCH($A14,DiemHKII!$B$4:$B$58,0),INDEX($BG$14:$BK$27,MATCH(AB$7,$BG$14:$BG$27,0),3)),""),"")</f>
        <v/>
      </c>
      <c r="AC14" s="20" t="str">
        <f>IF($A14&lt;&gt;"",IF(INDEX(BDHK2,MATCH($A14,DiemHKII!$B$4:$B$58,0),INDEX($BG$14:$BK$27,MATCH(AB$7,$BG$14:$BG$27,0),2))&lt;&gt;"",INDEX(BDHK2,MATCH($A14,DiemHKII!$B$4:$B$58,0),INDEX($BG$14:$BK$27,MATCH(AB$7,$BG$14:$BG$27,0),4)),""),"")</f>
        <v/>
      </c>
      <c r="AD14" s="21" t="str">
        <f>IF($A14&lt;&gt;"",IF(INDEX(BDHK2,MATCH($A14,DiemHKII!$B$4:$B$58,0),INDEX($BG$14:$BK$27,MATCH(AB$7,$BG$14:$BG$27,0),2))&lt;&gt;"",INDEX(BDHK2,MATCH($A14,DiemHKII!$B$4:$B$58,0),INDEX($BG$14:$BK$27,MATCH(AB$7,$BG$14:$BG$27,0),5)),""),"")</f>
        <v/>
      </c>
      <c r="AE14" s="19" t="str">
        <f>IF($A14&lt;&gt;"",IF(INDEX(BDHK2,MATCH($A14,DiemHKII!$B$4:$B$58,0),INDEX($BG$14:$BK$27,MATCH(AE$7,$BG$14:$BG$27,0),2))&lt;&gt;"",INDEX(BDHK2,MATCH($A14,DiemHKII!$B$4:$B$58,0),INDEX($BG$14:$BK$27,MATCH(AE$7,$BG$14:$BG$27,0),3)),""),"")</f>
        <v/>
      </c>
      <c r="AF14" s="20" t="str">
        <f>IF($A14&lt;&gt;"",IF(INDEX(BDHK2,MATCH($A14,DiemHKII!$B$4:$B$58,0),INDEX($BG$14:$BK$27,MATCH(AE$7,$BG$14:$BG$27,0),2))&lt;&gt;"",INDEX(BDHK2,MATCH($A14,DiemHKII!$B$4:$B$58,0),INDEX($BG$14:$BK$27,MATCH(AE$7,$BG$14:$BG$27,0),4)),""),"")</f>
        <v/>
      </c>
      <c r="AG14" s="21" t="str">
        <f>IF($A14&lt;&gt;"",IF(INDEX(BDHK2,MATCH($A14,DiemHKII!$B$4:$B$58,0),INDEX($BG$14:$BK$27,MATCH(AE$7,$BG$14:$BG$27,0),2))&lt;&gt;"",INDEX(BDHK2,MATCH($A14,DiemHKII!$B$4:$B$58,0),INDEX($BG$14:$BK$27,MATCH(AE$7,$BG$14:$BG$27,0),5)),""),"")</f>
        <v/>
      </c>
      <c r="AH14" s="19" t="str">
        <f>IF($A14&lt;&gt;"",IF(INDEX(BDHK2,MATCH($A14,DiemHKII!$B$4:$B$58,0),INDEX($BG$14:$BK$27,MATCH(AH$7,$BG$14:$BG$27,0),2))&lt;&gt;"",INDEX(BDHK2,MATCH($A14,DiemHKII!$B$4:$B$58,0),INDEX($BG$14:$BK$27,MATCH(AH$7,$BG$14:$BG$27,0),3)),""),"")</f>
        <v/>
      </c>
      <c r="AI14" s="20" t="str">
        <f>IF($A14&lt;&gt;"",IF(INDEX(BDHK2,MATCH($A14,DiemHKII!$B$4:$B$58,0),INDEX($BG$14:$BK$27,MATCH(AH$7,$BG$14:$BG$27,0),2))&lt;&gt;"",INDEX(BDHK2,MATCH($A14,DiemHKII!$B$4:$B$58,0),INDEX($BG$14:$BK$27,MATCH(AH$7,$BG$14:$BG$27,0),4)),""),"")</f>
        <v/>
      </c>
      <c r="AJ14" s="21" t="str">
        <f>IF($A14&lt;&gt;"",IF(INDEX(BDHK2,MATCH($A14,DiemHKII!$B$4:$B$58,0),INDEX($BG$14:$BK$27,MATCH(AH$7,$BG$14:$BG$27,0),2))&lt;&gt;"",INDEX(BDHK2,MATCH($A14,DiemHKII!$B$4:$B$58,0),INDEX($BG$14:$BK$27,MATCH(AH$7,$BG$14:$BG$27,0),5)),""),"")</f>
        <v/>
      </c>
      <c r="AK14" s="22" t="str">
        <f>IF($A14&lt;&gt;"",IF(INDEX(BDHK2,MATCH($A14,DiemHKII!$B$4:$B$58,0),INDEX($BG$14:$BK$27,MATCH(AK$7,$BG$14:$BG$27,0),2))&lt;&gt;"",INDEX(BDHK2,MATCH($A14,DiemHKII!$B$4:$B$58,0),INDEX($BG$14:$BK$27,MATCH(AK$7,$BG$14:$BG$27,0),3)),""),"")</f>
        <v/>
      </c>
      <c r="AL14" s="23" t="str">
        <f>IF($A14&lt;&gt;"",IF(INDEX(BDHK2,MATCH($A14,DiemHKII!$B$4:$B$58,0),INDEX($BG$14:$BK$27,MATCH(AK$7,$BG$14:$BG$27,0),2))&lt;&gt;"",INDEX(BDHK2,MATCH($A14,DiemHKII!$B$4:$B$58,0),INDEX($BG$14:$BK$27,MATCH(AK$7,$BG$14:$BG$27,0),4)),""),"")</f>
        <v/>
      </c>
      <c r="AM14" s="24" t="str">
        <f>IF($A14&lt;&gt;"",IF(INDEX(BDHK2,MATCH($A14,DiemHKII!$B$4:$B$58,0),INDEX($BG$14:$BK$27,MATCH(AK$7,$BG$14:$BG$27,0),2))&lt;&gt;"",INDEX(BDHK2,MATCH($A14,DiemHKII!$B$4:$B$58,0),INDEX($BG$14:$BK$27,MATCH(AK$7,$BG$14:$BG$27,0),5)),""),"")</f>
        <v/>
      </c>
      <c r="AN14" s="19" t="str">
        <f>IF($A14&lt;&gt;"",IF(INDEX(BDHK2,MATCH($A14,DiemHKII!$B$4:$B$58,0),INDEX($BG$14:$BK$27,MATCH(AN$7,$BG$14:$BG$27,0),2))&lt;&gt;"",INDEX(BDHK2,MATCH($A14,DiemHKII!$B$4:$B$58,0),INDEX($BG$14:$BK$27,MATCH(AN$7,$BG$14:$BG$27,0),3)),""),"")</f>
        <v/>
      </c>
      <c r="AO14" s="20" t="str">
        <f>IF($A14&lt;&gt;"",IF(INDEX(BDHK2,MATCH($A14,DiemHKII!$B$4:$B$58,0),INDEX($BG$14:$BK$27,MATCH(AN$7,$BG$14:$BG$27,0),2))&lt;&gt;"",INDEX(BDHK2,MATCH($A14,DiemHKII!$B$4:$B$58,0),INDEX($BG$14:$BK$27,MATCH(AN$7,$BG$14:$BG$27,0),4)),""),"")</f>
        <v/>
      </c>
      <c r="AP14" s="21" t="str">
        <f>IF($A14&lt;&gt;"",IF(INDEX(BDHK2,MATCH($A14,DiemHKII!$B$4:$B$58,0),INDEX($BG$14:$BK$27,MATCH(AN$7,$BG$14:$BG$27,0),2))&lt;&gt;"",INDEX(BDHK2,MATCH($A14,DiemHKII!$B$4:$B$58,0),INDEX($BG$14:$BK$27,MATCH(AN$7,$BG$14:$BG$27,0),5)),""),"")</f>
        <v/>
      </c>
      <c r="AQ14" s="19" t="str">
        <f>IF($A14&lt;&gt;"",IF(INDEX(BDHK2,MATCH($A14,DiemHKII!$B$4:$B$58,0),INDEX($BG$14:$BK$27,MATCH(AQ$7,$BG$14:$BG$27,0),2))&lt;&gt;"",INDEX(BDHK2,MATCH($A14,DiemHKII!$B$4:$B$58,0),INDEX($BG$14:$BK$27,MATCH(AQ$7,$BG$14:$BG$27,0),3)),""),"")</f>
        <v/>
      </c>
      <c r="AR14" s="20" t="str">
        <f>IF($A14&lt;&gt;"",IF(INDEX(BDHK2,MATCH($A14,DiemHKII!$B$4:$B$58,0),INDEX($BG$14:$BK$27,MATCH(AQ$7,$BG$14:$BG$27,0),2))&lt;&gt;"",INDEX(BDHK2,MATCH($A14,DiemHKII!$B$4:$B$58,0),INDEX($BG$14:$BK$27,MATCH(AQ$7,$BG$14:$BG$27,0),4)),""),"")</f>
        <v/>
      </c>
      <c r="AS14" s="21" t="str">
        <f>IF($A14&lt;&gt;"",IF(INDEX(BDHK2,MATCH($A14,DiemHKII!$B$4:$B$58,0),INDEX($BG$14:$BK$27,MATCH(AQ$7,$BG$14:$BG$27,0),2))&lt;&gt;"",INDEX(BDHK2,MATCH($A14,DiemHKII!$B$4:$B$58,0),INDEX($BG$14:$BK$27,MATCH(AQ$7,$BG$14:$BG$27,0),5)),""),"")</f>
        <v/>
      </c>
      <c r="AT14" s="19">
        <f>IFERROR(IF($A14&gt;=1,IF(INDEX(THHKI!$V$8:$Y$62,MATCH($BL14,THHKI!$AG$8:$AG$62,0),1)&lt;&gt;"",INDEX(THHKI!$V$8:$Y$62,MATCH($BL14,THHKI!$AG$8:$AG$62,0),1),""),""),"")</f>
        <v>9.4</v>
      </c>
      <c r="AU14" s="20" t="str">
        <f>IF($A14&gt;=1,IF(INDEX(THHKII!$V$8:$Y$62,MATCH($BL14,THHKII!$AG$8:$AG$62,0),1)&lt;&gt;"",INDEX(THHKII!$V$8:$Y$62,MATCH($BL14,THHKII!$AG$8:$AG$62,0),1),""),"")</f>
        <v/>
      </c>
      <c r="AV14" s="25" t="str">
        <f>IF($A14&gt;=1,IF(INDEX(THCN!$V$8:$Y$62,MATCH($BL14,THCN!$AG$8:$AG$62,0),1)&lt;&gt;"",INDEX(THCN!$V$8:$Y$62,MATCH($BL14,THCN!$AG$8:$AG$62,0),1),""),"")</f>
        <v/>
      </c>
      <c r="AW14" s="26" t="str">
        <f>IFERROR(IF($A14&gt;=1,IF(INDEX(THHKI!$V$8:$Y$62,MATCH($BL14,THHKI!$AG$8:$AG$62,0),2)&lt;&gt;"",INDEX(THHKI!$V$8:$Y$62,MATCH($BL14,THHKI!$AG$8:$AG$62,0),2),""),""),"")</f>
        <v>Giỏi</v>
      </c>
      <c r="AX14" s="23" t="str">
        <f>IF($A14&gt;=1,IF(INDEX(THHKII!$V$8:$Y$62,MATCH($BL14,THHKII!$AG$8:$AG$62,0),2)&lt;&gt;"",INDEX(THHKII!$V$8:$Y$62,MATCH($BL14,THHKII!$AG$8:$AG$62,0),2),""),"")</f>
        <v/>
      </c>
      <c r="AY14" s="27" t="str">
        <f>IF($A14&gt;=1,IF(INDEX(THCN!$V$8:$Y$62,MATCH($BL14,THCN!$AG$8:$AG$62,0),2)&lt;&gt;"",INDEX(THCN!$V$8:$Y$62,MATCH($BL14,THCN!$AG$8:$AG$62,0),2),""),"")</f>
        <v/>
      </c>
      <c r="AZ14" s="22" t="str">
        <f>IFERROR(IF($A14&gt;=1,IF(INDEX(THHKI!$V$8:$Y$62,MATCH($BL14,THHKI!$AG$8:$AG$62,0),3)&lt;&gt;"",INDEX(THHKI!$V$8:$Y$62,MATCH($BL14,THHKI!$AG$8:$AG$62,0),3),""),""),"")</f>
        <v>Tốt</v>
      </c>
      <c r="BA14" s="23" t="str">
        <f>IF($A14&gt;=1,IF(INDEX(THHKII!$V$8:$Y$62,MATCH($BL14,THHKII!$AG$8:$AG$62,0),3)&lt;&gt;"",INDEX(THHKII!$V$8:$Y$62,MATCH($BL14,THHKII!$AG$8:$AG$62,0),3),""),"")</f>
        <v/>
      </c>
      <c r="BB14" s="28" t="str">
        <f>IF($A14&gt;=1,IF(INDEX(THCN!$V$8:$Y$62,MATCH($BL14,THCN!$AG$8:$AG$62,0),3)&lt;&gt;"",INDEX(THCN!$V$8:$Y$62,MATCH($BL14,THCN!$AG$8:$AG$62,0),3),""),"")</f>
        <v/>
      </c>
      <c r="BC14" s="29" t="str">
        <f>IF($A14&gt;=1,IF(INDEX(THCN!$V$8:$Y$62,MATCH($BL14,THCN!$AG$8:$AG$62,0),4)&lt;&gt;"",INDEX(THCN!$V$8:$Y$62,MATCH($BL14,THCN!$AG$8:$AG$62,0),4),""),"")</f>
        <v/>
      </c>
      <c r="BE14" s="16" t="str">
        <f>IFERROR(IF($A14&gt;=1,IF(INDEX(THHKI!$V$8:$Y$62,MATCH($BL14,THHKI!$AG$8:$AG$62,0),4)&lt;&gt;"",INDEX(THHKI!$V$8:$Y$62,MATCH($BL14,THHKI!$AG$8:$AG$62,0),4),""),""),"")</f>
        <v>HSG</v>
      </c>
      <c r="BF14" s="29" t="str">
        <f>IF($A14&gt;=1,IF(INDEX(THHKII!$V$8:$Y$62,MATCH($BL14,THHKII!$AG$8:$AG$62,0),4)&lt;&gt;"",INDEX(THHKII!$V$8:$Y$62,MATCH($BL14,THHKII!$AG$8:$AG$62,0),4),""),"")</f>
        <v/>
      </c>
      <c r="BG14" s="30" t="s">
        <v>26</v>
      </c>
      <c r="BH14" s="30">
        <v>16</v>
      </c>
      <c r="BI14" s="30">
        <v>17</v>
      </c>
      <c r="BJ14" s="30">
        <v>18</v>
      </c>
      <c r="BK14" s="30">
        <v>19</v>
      </c>
      <c r="BL14" s="30" t="str">
        <f>IF($A14&lt;&gt;"",INDEX(DiemHKII!$B$4:$K$58,MATCH($A14,DiemHKII!$B$4:$B$58,0),2),"")</f>
        <v>12A1Phan GiaBảo27/10/2004</v>
      </c>
    </row>
    <row r="15" spans="1:64" s="30" customFormat="1" ht="29.1" customHeight="1">
      <c r="A15" s="31">
        <f>IF(A14&lt;MAX(DiemHKII!$B$4:$B$58),A14+1,"")</f>
        <v>7</v>
      </c>
      <c r="B15" s="32" t="str">
        <f>IF($A15&lt;&gt;"",PROPER(INDEX(DiemHKII!$B$4:$K$58,MATCH($A15,DiemHKII!$B$4:$B$58,0),4)),"")</f>
        <v>Nguyễn Phúc</v>
      </c>
      <c r="C15" s="33" t="str">
        <f>IF($A15&lt;&gt;"",PROPER(INDEX(DiemHKII!$B$4:$K$58,MATCH($A15,DiemHKII!$B$4:$B$58,0),5)),"")</f>
        <v>Bình</v>
      </c>
      <c r="D15" s="34" t="str">
        <f>IF($A15&lt;&gt;"",IF(INDEX(BDHK2,MATCH($A15,DiemHKII!$B$4:$B$58,0),INDEX($BG$14:$BK$27,MATCH(D$7,$BG$14:$BG$27,0),2))&lt;&gt;"",INDEX(BDHK2,MATCH($A15,DiemHKII!$B$4:$B$58,0),INDEX($BG$14:$BK$27,MATCH(D$7,$BG$14:$BG$27,0),3)),""),"")</f>
        <v/>
      </c>
      <c r="E15" s="35" t="str">
        <f>IF($A15&lt;&gt;"",IF(INDEX(BDHK2,MATCH($A15,DiemHKII!$B$4:$B$58,0),INDEX($BG$14:$BK$27,MATCH(D$7,$BG$14:$BG$27,0),2))&lt;&gt;"",INDEX(BDHK2,MATCH($A15,DiemHKII!$B$4:$B$58,0),INDEX($BG$14:$BK$27,MATCH(D$7,$BG$14:$BG$27,0),4)),""),"")</f>
        <v/>
      </c>
      <c r="F15" s="36" t="str">
        <f>IF($A15&lt;&gt;"",IF(INDEX(BDHK2,MATCH($A15,DiemHKII!$B$4:$B$58,0),INDEX($BG$14:$BK$27,MATCH(D$7,$BG$14:$BG$27,0),2))&lt;&gt;"",INDEX(BDHK2,MATCH($A15,DiemHKII!$B$4:$B$58,0),INDEX($BG$14:$BK$27,MATCH(D$7,$BG$14:$BG$27,0),5)),""),"")</f>
        <v/>
      </c>
      <c r="G15" s="34" t="str">
        <f>IF($A15&lt;&gt;"",IF(INDEX(BDHK2,MATCH($A15,DiemHKII!$B$4:$B$58,0),INDEX($BG$14:$BK$27,MATCH(G$7,$BG$14:$BG$27,0),2))&lt;&gt;"",INDEX(BDHK2,MATCH($A15,DiemHKII!$B$4:$B$58,0),INDEX($BG$14:$BK$27,MATCH(G$7,$BG$14:$BG$27,0),3)),""),"")</f>
        <v/>
      </c>
      <c r="H15" s="35" t="str">
        <f>IF($A15&lt;&gt;"",IF(INDEX(BDHK2,MATCH($A15,DiemHKII!$B$4:$B$58,0),INDEX($BG$14:$BK$27,MATCH(G$7,$BG$14:$BG$27,0),2))&lt;&gt;"",INDEX(BDHK2,MATCH($A15,DiemHKII!$B$4:$B$58,0),INDEX($BG$14:$BK$27,MATCH(G$7,$BG$14:$BG$27,0),4)),""),"")</f>
        <v/>
      </c>
      <c r="I15" s="36" t="str">
        <f>IF($A15&lt;&gt;"",IF(INDEX(BDHK2,MATCH($A15,DiemHKII!$B$4:$B$58,0),INDEX($BG$14:$BK$27,MATCH(G$7,$BG$14:$BG$27,0),2))&lt;&gt;"",INDEX(BDHK2,MATCH($A15,DiemHKII!$B$4:$B$58,0),INDEX($BG$14:$BK$27,MATCH(G$7,$BG$14:$BG$27,0),5)),""),"")</f>
        <v/>
      </c>
      <c r="J15" s="34" t="str">
        <f>IF($A15&lt;&gt;"",IF(INDEX(BDHK2,MATCH($A15,DiemHKII!$B$4:$B$58,0),INDEX($BG$14:$BK$27,MATCH(J$7,$BG$14:$BG$27,0),2))&lt;&gt;"",INDEX(BDHK2,MATCH($A15,DiemHKII!$B$4:$B$58,0),INDEX($BG$14:$BK$27,MATCH(J$7,$BG$14:$BG$27,0),3)),""),"")</f>
        <v/>
      </c>
      <c r="K15" s="35" t="str">
        <f>IF($A15&lt;&gt;"",IF(INDEX(BDHK2,MATCH($A15,DiemHKII!$B$4:$B$58,0),INDEX($BG$14:$BK$27,MATCH(J$7,$BG$14:$BG$27,0),2))&lt;&gt;"",INDEX(BDHK2,MATCH($A15,DiemHKII!$B$4:$B$58,0),INDEX($BG$14:$BK$27,MATCH(J$7,$BG$14:$BG$27,0),4)),""),"")</f>
        <v/>
      </c>
      <c r="L15" s="36" t="str">
        <f>IF($A15&lt;&gt;"",IF(INDEX(BDHK2,MATCH($A15,DiemHKII!$B$4:$B$58,0),INDEX($BG$14:$BK$27,MATCH(J$7,$BG$14:$BG$27,0),2))&lt;&gt;"",INDEX(BDHK2,MATCH($A15,DiemHKII!$B$4:$B$58,0),INDEX($BG$14:$BK$27,MATCH(J$7,$BG$14:$BG$27,0),5)),""),"")</f>
        <v/>
      </c>
      <c r="M15" s="34" t="str">
        <f>IF($A15&lt;&gt;"",IF(INDEX(BDHK2,MATCH($A15,DiemHKII!$B$4:$B$58,0),INDEX($BG$14:$BK$27,MATCH(M$7,$BG$14:$BG$27,0),2))&lt;&gt;"",INDEX(BDHK2,MATCH($A15,DiemHKII!$B$4:$B$58,0),INDEX($BG$14:$BK$27,MATCH(M$7,$BG$14:$BG$27,0),3)),""),"")</f>
        <v/>
      </c>
      <c r="N15" s="35" t="str">
        <f>IF($A15&lt;&gt;"",IF(INDEX(BDHK2,MATCH($A15,DiemHKII!$B$4:$B$58,0),INDEX($BG$14:$BK$27,MATCH(M$7,$BG$14:$BG$27,0),2))&lt;&gt;"",INDEX(BDHK2,MATCH($A15,DiemHKII!$B$4:$B$58,0),INDEX($BG$14:$BK$27,MATCH(M$7,$BG$14:$BG$27,0),4)),""),"")</f>
        <v/>
      </c>
      <c r="O15" s="36" t="str">
        <f>IF($A15&lt;&gt;"",IF(INDEX(BDHK2,MATCH($A15,DiemHKII!$B$4:$B$58,0),INDEX($BG$14:$BK$27,MATCH(M$7,$BG$14:$BG$27,0),2))&lt;&gt;"",INDEX(BDHK2,MATCH($A15,DiemHKII!$B$4:$B$58,0),INDEX($BG$14:$BK$27,MATCH(M$7,$BG$14:$BG$27,0),5)),""),"")</f>
        <v/>
      </c>
      <c r="P15" s="34" t="str">
        <f>IF($A15&lt;&gt;"",IF(INDEX(BDHK2,MATCH($A15,DiemHKII!$B$4:$B$58,0),INDEX($BG$14:$BK$27,MATCH(P$7,$BG$14:$BG$27,0),2))&lt;&gt;"",INDEX(BDHK2,MATCH($A15,DiemHKII!$B$4:$B$58,0),INDEX($BG$14:$BK$27,MATCH(P$7,$BG$14:$BG$27,0),3)),""),"")</f>
        <v/>
      </c>
      <c r="Q15" s="35" t="str">
        <f>IF($A15&lt;&gt;"",IF(INDEX(BDHK2,MATCH($A15,DiemHKII!$B$4:$B$58,0),INDEX($BG$14:$BK$27,MATCH(P$7,$BG$14:$BG$27,0),2))&lt;&gt;"",INDEX(BDHK2,MATCH($A15,DiemHKII!$B$4:$B$58,0),INDEX($BG$14:$BK$27,MATCH(P$7,$BG$14:$BG$27,0),4)),""),"")</f>
        <v/>
      </c>
      <c r="R15" s="36" t="str">
        <f>IF($A15&lt;&gt;"",IF(INDEX(BDHK2,MATCH($A15,DiemHKII!$B$4:$B$58,0),INDEX($BG$14:$BK$27,MATCH(P$7,$BG$14:$BG$27,0),2))&lt;&gt;"",INDEX(BDHK2,MATCH($A15,DiemHKII!$B$4:$B$58,0),INDEX($BG$14:$BK$27,MATCH(P$7,$BG$14:$BG$27,0),5)),""),"")</f>
        <v/>
      </c>
      <c r="S15" s="34" t="str">
        <f>IF($A15&lt;&gt;"",IF(INDEX(BDHK2,MATCH($A15,DiemHKII!$B$4:$B$58,0),INDEX($BG$14:$BK$27,MATCH(S$7,$BG$14:$BG$27,0),2))&lt;&gt;"",INDEX(BDHK2,MATCH($A15,DiemHKII!$B$4:$B$58,0),INDEX($BG$14:$BK$27,MATCH(S$7,$BG$14:$BG$27,0),3)),""),"")</f>
        <v/>
      </c>
      <c r="T15" s="35" t="str">
        <f>IF($A15&lt;&gt;"",IF(INDEX(BDHK2,MATCH($A15,DiemHKII!$B$4:$B$58,0),INDEX($BG$14:$BK$27,MATCH(S$7,$BG$14:$BG$27,0),2))&lt;&gt;"",INDEX(BDHK2,MATCH($A15,DiemHKII!$B$4:$B$58,0),INDEX($BG$14:$BK$27,MATCH(S$7,$BG$14:$BG$27,0),4)),""),"")</f>
        <v/>
      </c>
      <c r="U15" s="36" t="str">
        <f>IF($A15&lt;&gt;"",IF(INDEX(BDHK2,MATCH($A15,DiemHKII!$B$4:$B$58,0),INDEX($BG$14:$BK$27,MATCH(S$7,$BG$14:$BG$27,0),2))&lt;&gt;"",INDEX(BDHK2,MATCH($A15,DiemHKII!$B$4:$B$58,0),INDEX($BG$14:$BK$27,MATCH(S$7,$BG$14:$BG$27,0),5)),""),"")</f>
        <v/>
      </c>
      <c r="V15" s="34" t="str">
        <f>IF($A15&lt;&gt;"",IF(INDEX(BDHK2,MATCH($A15,DiemHKII!$B$4:$B$58,0),INDEX($BG$14:$BK$27,MATCH(V$7,$BG$14:$BG$27,0),2))&lt;&gt;"",INDEX(BDHK2,MATCH($A15,DiemHKII!$B$4:$B$58,0),INDEX($BG$14:$BK$27,MATCH(V$7,$BG$14:$BG$27,0),3)),""),"")</f>
        <v/>
      </c>
      <c r="W15" s="35" t="str">
        <f>IF($A15&lt;&gt;"",IF(INDEX(BDHK2,MATCH($A15,DiemHKII!$B$4:$B$58,0),INDEX($BG$14:$BK$27,MATCH(V$7,$BG$14:$BG$27,0),2))&lt;&gt;"",INDEX(BDHK2,MATCH($A15,DiemHKII!$B$4:$B$58,0),INDEX($BG$14:$BK$27,MATCH(V$7,$BG$14:$BG$27,0),4)),""),"")</f>
        <v/>
      </c>
      <c r="X15" s="36" t="str">
        <f>IF($A15&lt;&gt;"",IF(INDEX(BDHK2,MATCH($A15,DiemHKII!$B$4:$B$58,0),INDEX($BG$14:$BK$27,MATCH(V$7,$BG$14:$BG$27,0),2))&lt;&gt;"",INDEX(BDHK2,MATCH($A15,DiemHKII!$B$4:$B$58,0),INDEX($BG$14:$BK$27,MATCH(V$7,$BG$14:$BG$27,0),5)),""),"")</f>
        <v/>
      </c>
      <c r="Y15" s="34" t="str">
        <f>IF($A15&lt;&gt;"",IF(INDEX(BDHK2,MATCH($A15,DiemHKII!$B$4:$B$58,0),INDEX($BG$14:$BK$27,MATCH(Y$7,$BG$14:$BG$27,0),2))&lt;&gt;"",INDEX(BDHK2,MATCH($A15,DiemHKII!$B$4:$B$58,0),INDEX($BG$14:$BK$27,MATCH(Y$7,$BG$14:$BG$27,0),3)),""),"")</f>
        <v/>
      </c>
      <c r="Z15" s="35" t="str">
        <f>IF($A15&lt;&gt;"",IF(INDEX(BDHK2,MATCH($A15,DiemHKII!$B$4:$B$58,0),INDEX($BG$14:$BK$27,MATCH(Y$7,$BG$14:$BG$27,0),2))&lt;&gt;"",INDEX(BDHK2,MATCH($A15,DiemHKII!$B$4:$B$58,0),INDEX($BG$14:$BK$27,MATCH(Y$7,$BG$14:$BG$27,0),4)),""),"")</f>
        <v/>
      </c>
      <c r="AA15" s="36" t="str">
        <f>IF($A15&lt;&gt;"",IF(INDEX(BDHK2,MATCH($A15,DiemHKII!$B$4:$B$58,0),INDEX($BG$14:$BK$27,MATCH(Y$7,$BG$14:$BG$27,0),2))&lt;&gt;"",INDEX(BDHK2,MATCH($A15,DiemHKII!$B$4:$B$58,0),INDEX($BG$14:$BK$27,MATCH(Y$7,$BG$14:$BG$27,0),5)),""),"")</f>
        <v/>
      </c>
      <c r="AB15" s="34" t="str">
        <f>IF($A15&lt;&gt;"",IF(INDEX(BDHK2,MATCH($A15,DiemHKII!$B$4:$B$58,0),INDEX($BG$14:$BK$27,MATCH(AB$7,$BG$14:$BG$27,0),2))&lt;&gt;"",INDEX(BDHK2,MATCH($A15,DiemHKII!$B$4:$B$58,0),INDEX($BG$14:$BK$27,MATCH(AB$7,$BG$14:$BG$27,0),3)),""),"")</f>
        <v/>
      </c>
      <c r="AC15" s="35" t="str">
        <f>IF($A15&lt;&gt;"",IF(INDEX(BDHK2,MATCH($A15,DiemHKII!$B$4:$B$58,0),INDEX($BG$14:$BK$27,MATCH(AB$7,$BG$14:$BG$27,0),2))&lt;&gt;"",INDEX(BDHK2,MATCH($A15,DiemHKII!$B$4:$B$58,0),INDEX($BG$14:$BK$27,MATCH(AB$7,$BG$14:$BG$27,0),4)),""),"")</f>
        <v/>
      </c>
      <c r="AD15" s="36" t="str">
        <f>IF($A15&lt;&gt;"",IF(INDEX(BDHK2,MATCH($A15,DiemHKII!$B$4:$B$58,0),INDEX($BG$14:$BK$27,MATCH(AB$7,$BG$14:$BG$27,0),2))&lt;&gt;"",INDEX(BDHK2,MATCH($A15,DiemHKII!$B$4:$B$58,0),INDEX($BG$14:$BK$27,MATCH(AB$7,$BG$14:$BG$27,0),5)),""),"")</f>
        <v/>
      </c>
      <c r="AE15" s="34" t="str">
        <f>IF($A15&lt;&gt;"",IF(INDEX(BDHK2,MATCH($A15,DiemHKII!$B$4:$B$58,0),INDEX($BG$14:$BK$27,MATCH(AE$7,$BG$14:$BG$27,0),2))&lt;&gt;"",INDEX(BDHK2,MATCH($A15,DiemHKII!$B$4:$B$58,0),INDEX($BG$14:$BK$27,MATCH(AE$7,$BG$14:$BG$27,0),3)),""),"")</f>
        <v/>
      </c>
      <c r="AF15" s="35" t="str">
        <f>IF($A15&lt;&gt;"",IF(INDEX(BDHK2,MATCH($A15,DiemHKII!$B$4:$B$58,0),INDEX($BG$14:$BK$27,MATCH(AE$7,$BG$14:$BG$27,0),2))&lt;&gt;"",INDEX(BDHK2,MATCH($A15,DiemHKII!$B$4:$B$58,0),INDEX($BG$14:$BK$27,MATCH(AE$7,$BG$14:$BG$27,0),4)),""),"")</f>
        <v/>
      </c>
      <c r="AG15" s="36" t="str">
        <f>IF($A15&lt;&gt;"",IF(INDEX(BDHK2,MATCH($A15,DiemHKII!$B$4:$B$58,0),INDEX($BG$14:$BK$27,MATCH(AE$7,$BG$14:$BG$27,0),2))&lt;&gt;"",INDEX(BDHK2,MATCH($A15,DiemHKII!$B$4:$B$58,0),INDEX($BG$14:$BK$27,MATCH(AE$7,$BG$14:$BG$27,0),5)),""),"")</f>
        <v/>
      </c>
      <c r="AH15" s="34" t="str">
        <f>IF($A15&lt;&gt;"",IF(INDEX(BDHK2,MATCH($A15,DiemHKII!$B$4:$B$58,0),INDEX($BG$14:$BK$27,MATCH(AH$7,$BG$14:$BG$27,0),2))&lt;&gt;"",INDEX(BDHK2,MATCH($A15,DiemHKII!$B$4:$B$58,0),INDEX($BG$14:$BK$27,MATCH(AH$7,$BG$14:$BG$27,0),3)),""),"")</f>
        <v/>
      </c>
      <c r="AI15" s="35" t="str">
        <f>IF($A15&lt;&gt;"",IF(INDEX(BDHK2,MATCH($A15,DiemHKII!$B$4:$B$58,0),INDEX($BG$14:$BK$27,MATCH(AH$7,$BG$14:$BG$27,0),2))&lt;&gt;"",INDEX(BDHK2,MATCH($A15,DiemHKII!$B$4:$B$58,0),INDEX($BG$14:$BK$27,MATCH(AH$7,$BG$14:$BG$27,0),4)),""),"")</f>
        <v/>
      </c>
      <c r="AJ15" s="36" t="str">
        <f>IF($A15&lt;&gt;"",IF(INDEX(BDHK2,MATCH($A15,DiemHKII!$B$4:$B$58,0),INDEX($BG$14:$BK$27,MATCH(AH$7,$BG$14:$BG$27,0),2))&lt;&gt;"",INDEX(BDHK2,MATCH($A15,DiemHKII!$B$4:$B$58,0),INDEX($BG$14:$BK$27,MATCH(AH$7,$BG$14:$BG$27,0),5)),""),"")</f>
        <v/>
      </c>
      <c r="AK15" s="37" t="str">
        <f>IF($A15&lt;&gt;"",IF(INDEX(BDHK2,MATCH($A15,DiemHKII!$B$4:$B$58,0),INDEX($BG$14:$BK$27,MATCH(AK$7,$BG$14:$BG$27,0),2))&lt;&gt;"",INDEX(BDHK2,MATCH($A15,DiemHKII!$B$4:$B$58,0),INDEX($BG$14:$BK$27,MATCH(AK$7,$BG$14:$BG$27,0),3)),""),"")</f>
        <v/>
      </c>
      <c r="AL15" s="8" t="str">
        <f>IF($A15&lt;&gt;"",IF(INDEX(BDHK2,MATCH($A15,DiemHKII!$B$4:$B$58,0),INDEX($BG$14:$BK$27,MATCH(AK$7,$BG$14:$BG$27,0),2))&lt;&gt;"",INDEX(BDHK2,MATCH($A15,DiemHKII!$B$4:$B$58,0),INDEX($BG$14:$BK$27,MATCH(AK$7,$BG$14:$BG$27,0),4)),""),"")</f>
        <v/>
      </c>
      <c r="AM15" s="38" t="str">
        <f>IF($A15&lt;&gt;"",IF(INDEX(BDHK2,MATCH($A15,DiemHKII!$B$4:$B$58,0),INDEX($BG$14:$BK$27,MATCH(AK$7,$BG$14:$BG$27,0),2))&lt;&gt;"",INDEX(BDHK2,MATCH($A15,DiemHKII!$B$4:$B$58,0),INDEX($BG$14:$BK$27,MATCH(AK$7,$BG$14:$BG$27,0),5)),""),"")</f>
        <v/>
      </c>
      <c r="AN15" s="34" t="str">
        <f>IF($A15&lt;&gt;"",IF(INDEX(BDHK2,MATCH($A15,DiemHKII!$B$4:$B$58,0),INDEX($BG$14:$BK$27,MATCH(AN$7,$BG$14:$BG$27,0),2))&lt;&gt;"",INDEX(BDHK2,MATCH($A15,DiemHKII!$B$4:$B$58,0),INDEX($BG$14:$BK$27,MATCH(AN$7,$BG$14:$BG$27,0),3)),""),"")</f>
        <v/>
      </c>
      <c r="AO15" s="35" t="str">
        <f>IF($A15&lt;&gt;"",IF(INDEX(BDHK2,MATCH($A15,DiemHKII!$B$4:$B$58,0),INDEX($BG$14:$BK$27,MATCH(AN$7,$BG$14:$BG$27,0),2))&lt;&gt;"",INDEX(BDHK2,MATCH($A15,DiemHKII!$B$4:$B$58,0),INDEX($BG$14:$BK$27,MATCH(AN$7,$BG$14:$BG$27,0),4)),""),"")</f>
        <v/>
      </c>
      <c r="AP15" s="36" t="str">
        <f>IF($A15&lt;&gt;"",IF(INDEX(BDHK2,MATCH($A15,DiemHKII!$B$4:$B$58,0),INDEX($BG$14:$BK$27,MATCH(AN$7,$BG$14:$BG$27,0),2))&lt;&gt;"",INDEX(BDHK2,MATCH($A15,DiemHKII!$B$4:$B$58,0),INDEX($BG$14:$BK$27,MATCH(AN$7,$BG$14:$BG$27,0),5)),""),"")</f>
        <v/>
      </c>
      <c r="AQ15" s="34" t="str">
        <f>IF($A15&lt;&gt;"",IF(INDEX(BDHK2,MATCH($A15,DiemHKII!$B$4:$B$58,0),INDEX($BG$14:$BK$27,MATCH(AQ$7,$BG$14:$BG$27,0),2))&lt;&gt;"",INDEX(BDHK2,MATCH($A15,DiemHKII!$B$4:$B$58,0),INDEX($BG$14:$BK$27,MATCH(AQ$7,$BG$14:$BG$27,0),3)),""),"")</f>
        <v/>
      </c>
      <c r="AR15" s="35" t="str">
        <f>IF($A15&lt;&gt;"",IF(INDEX(BDHK2,MATCH($A15,DiemHKII!$B$4:$B$58,0),INDEX($BG$14:$BK$27,MATCH(AQ$7,$BG$14:$BG$27,0),2))&lt;&gt;"",INDEX(BDHK2,MATCH($A15,DiemHKII!$B$4:$B$58,0),INDEX($BG$14:$BK$27,MATCH(AQ$7,$BG$14:$BG$27,0),4)),""),"")</f>
        <v/>
      </c>
      <c r="AS15" s="36" t="str">
        <f>IF($A15&lt;&gt;"",IF(INDEX(BDHK2,MATCH($A15,DiemHKII!$B$4:$B$58,0),INDEX($BG$14:$BK$27,MATCH(AQ$7,$BG$14:$BG$27,0),2))&lt;&gt;"",INDEX(BDHK2,MATCH($A15,DiemHKII!$B$4:$B$58,0),INDEX($BG$14:$BK$27,MATCH(AQ$7,$BG$14:$BG$27,0),5)),""),"")</f>
        <v/>
      </c>
      <c r="AT15" s="34">
        <f>IFERROR(IF($A15&gt;=1,IF(INDEX(THHKI!$V$8:$Y$62,MATCH($BL15,THHKI!$AG$8:$AG$62,0),1)&lt;&gt;"",INDEX(THHKI!$V$8:$Y$62,MATCH($BL15,THHKI!$AG$8:$AG$62,0),1),""),""),"")</f>
        <v>9.5</v>
      </c>
      <c r="AU15" s="35" t="str">
        <f>IF($A15&gt;=1,IF(INDEX(THHKII!$V$8:$Y$62,MATCH($BL15,THHKII!$AG$8:$AG$62,0),1)&lt;&gt;"",INDEX(THHKII!$V$8:$Y$62,MATCH($BL15,THHKII!$AG$8:$AG$62,0),1),""),"")</f>
        <v/>
      </c>
      <c r="AV15" s="39" t="str">
        <f>IF($A15&gt;=1,IF(INDEX(THCN!$V$8:$Y$62,MATCH($BL15,THCN!$AG$8:$AG$62,0),1)&lt;&gt;"",INDEX(THCN!$V$8:$Y$62,MATCH($BL15,THCN!$AG$8:$AG$62,0),1),""),"")</f>
        <v/>
      </c>
      <c r="AW15" s="40" t="str">
        <f>IFERROR(IF($A15&gt;=1,IF(INDEX(THHKI!$V$8:$Y$62,MATCH($BL15,THHKI!$AG$8:$AG$62,0),2)&lt;&gt;"",INDEX(THHKI!$V$8:$Y$62,MATCH($BL15,THHKI!$AG$8:$AG$62,0),2),""),""),"")</f>
        <v>Giỏi</v>
      </c>
      <c r="AX15" s="8" t="str">
        <f>IF($A15&gt;=1,IF(INDEX(THHKII!$V$8:$Y$62,MATCH($BL15,THHKII!$AG$8:$AG$62,0),2)&lt;&gt;"",INDEX(THHKII!$V$8:$Y$62,MATCH($BL15,THHKII!$AG$8:$AG$62,0),2),""),"")</f>
        <v/>
      </c>
      <c r="AY15" s="467" t="str">
        <f>IF($A15&gt;=1,IF(INDEX(THCN!$V$8:$Y$62,MATCH($BL15,THCN!$AG$8:$AG$62,0),2)&lt;&gt;"",INDEX(THCN!$V$8:$Y$62,MATCH($BL15,THCN!$AG$8:$AG$62,0),2),""),"")</f>
        <v/>
      </c>
      <c r="AZ15" s="37" t="str">
        <f>IFERROR(IF($A15&gt;=1,IF(INDEX(THHKI!$V$8:$Y$62,MATCH($BL15,THHKI!$AG$8:$AG$62,0),3)&lt;&gt;"",INDEX(THHKI!$V$8:$Y$62,MATCH($BL15,THHKI!$AG$8:$AG$62,0),3),""),""),"")</f>
        <v>Tốt</v>
      </c>
      <c r="BA15" s="8" t="str">
        <f>IF($A15&gt;=1,IF(INDEX(THHKII!$V$8:$Y$62,MATCH($BL15,THHKII!$AG$8:$AG$62,0),3)&lt;&gt;"",INDEX(THHKII!$V$8:$Y$62,MATCH($BL15,THHKII!$AG$8:$AG$62,0),3),""),"")</f>
        <v/>
      </c>
      <c r="BB15" s="41" t="str">
        <f>IF($A15&gt;=1,IF(INDEX(THCN!$V$8:$Y$62,MATCH($BL15,THCN!$AG$8:$AG$62,0),3)&lt;&gt;"",INDEX(THCN!$V$8:$Y$62,MATCH($BL15,THCN!$AG$8:$AG$62,0),3),""),"")</f>
        <v/>
      </c>
      <c r="BC15" s="42" t="str">
        <f>IF($A15&gt;=1,IF(INDEX(THCN!$V$8:$Y$62,MATCH($BL15,THCN!$AG$8:$AG$62,0),4)&lt;&gt;"",INDEX(THCN!$V$8:$Y$62,MATCH($BL15,THCN!$AG$8:$AG$62,0),4),""),"")</f>
        <v/>
      </c>
      <c r="BE15" s="31" t="str">
        <f>IFERROR(IF($A15&gt;=1,IF(INDEX(THHKI!$V$8:$Y$62,MATCH($BL15,THHKI!$AG$8:$AG$62,0),4)&lt;&gt;"",INDEX(THHKI!$V$8:$Y$62,MATCH($BL15,THHKI!$AG$8:$AG$62,0),4),""),""),"")</f>
        <v>HSG</v>
      </c>
      <c r="BF15" s="42" t="str">
        <f>IF($A15&gt;=1,IF(INDEX(THHKII!$V$8:$Y$62,MATCH($BL15,THHKII!$AG$8:$AG$62,0),4)&lt;&gt;"",INDEX(THHKII!$V$8:$Y$62,MATCH($BL15,THHKII!$AG$8:$AG$62,0),4),""),"")</f>
        <v/>
      </c>
      <c r="BG15" s="30" t="s">
        <v>27</v>
      </c>
      <c r="BH15" s="30">
        <v>25</v>
      </c>
      <c r="BI15" s="30">
        <v>26</v>
      </c>
      <c r="BJ15" s="30">
        <v>27</v>
      </c>
      <c r="BK15" s="30">
        <v>28</v>
      </c>
      <c r="BL15" s="30" t="str">
        <f>IF($A15&lt;&gt;"",INDEX(DiemHKII!$B$4:$K$58,MATCH($A15,DiemHKII!$B$4:$B$58,0),2),"")</f>
        <v>12A1Nguyễn PhúcBình20/06/2004</v>
      </c>
    </row>
    <row r="16" spans="1:64" s="30" customFormat="1" ht="29.1" customHeight="1">
      <c r="A16" s="31">
        <f>IF(A15&lt;MAX(DiemHKII!$B$4:$B$58),A15+1,"")</f>
        <v>8</v>
      </c>
      <c r="B16" s="32" t="str">
        <f>IF($A16&lt;&gt;"",PROPER(INDEX(DiemHKII!$B$4:$K$58,MATCH($A16,DiemHKII!$B$4:$B$58,0),4)),"")</f>
        <v>Trần Lê</v>
      </c>
      <c r="C16" s="33" t="str">
        <f>IF($A16&lt;&gt;"",PROPER(INDEX(DiemHKII!$B$4:$K$58,MATCH($A16,DiemHKII!$B$4:$B$58,0),5)),"")</f>
        <v>Cường</v>
      </c>
      <c r="D16" s="34" t="str">
        <f>IF($A16&lt;&gt;"",IF(INDEX(BDHK2,MATCH($A16,DiemHKII!$B$4:$B$58,0),INDEX($BG$14:$BK$27,MATCH(D$7,$BG$14:$BG$27,0),2))&lt;&gt;"",INDEX(BDHK2,MATCH($A16,DiemHKII!$B$4:$B$58,0),INDEX($BG$14:$BK$27,MATCH(D$7,$BG$14:$BG$27,0),3)),""),"")</f>
        <v/>
      </c>
      <c r="E16" s="35" t="str">
        <f>IF($A16&lt;&gt;"",IF(INDEX(BDHK2,MATCH($A16,DiemHKII!$B$4:$B$58,0),INDEX($BG$14:$BK$27,MATCH(D$7,$BG$14:$BG$27,0),2))&lt;&gt;"",INDEX(BDHK2,MATCH($A16,DiemHKII!$B$4:$B$58,0),INDEX($BG$14:$BK$27,MATCH(D$7,$BG$14:$BG$27,0),4)),""),"")</f>
        <v/>
      </c>
      <c r="F16" s="36" t="str">
        <f>IF($A16&lt;&gt;"",IF(INDEX(BDHK2,MATCH($A16,DiemHKII!$B$4:$B$58,0),INDEX($BG$14:$BK$27,MATCH(D$7,$BG$14:$BG$27,0),2))&lt;&gt;"",INDEX(BDHK2,MATCH($A16,DiemHKII!$B$4:$B$58,0),INDEX($BG$14:$BK$27,MATCH(D$7,$BG$14:$BG$27,0),5)),""),"")</f>
        <v/>
      </c>
      <c r="G16" s="34" t="str">
        <f>IF($A16&lt;&gt;"",IF(INDEX(BDHK2,MATCH($A16,DiemHKII!$B$4:$B$58,0),INDEX($BG$14:$BK$27,MATCH(G$7,$BG$14:$BG$27,0),2))&lt;&gt;"",INDEX(BDHK2,MATCH($A16,DiemHKII!$B$4:$B$58,0),INDEX($BG$14:$BK$27,MATCH(G$7,$BG$14:$BG$27,0),3)),""),"")</f>
        <v/>
      </c>
      <c r="H16" s="35" t="str">
        <f>IF($A16&lt;&gt;"",IF(INDEX(BDHK2,MATCH($A16,DiemHKII!$B$4:$B$58,0),INDEX($BG$14:$BK$27,MATCH(G$7,$BG$14:$BG$27,0),2))&lt;&gt;"",INDEX(BDHK2,MATCH($A16,DiemHKII!$B$4:$B$58,0),INDEX($BG$14:$BK$27,MATCH(G$7,$BG$14:$BG$27,0),4)),""),"")</f>
        <v/>
      </c>
      <c r="I16" s="36" t="str">
        <f>IF($A16&lt;&gt;"",IF(INDEX(BDHK2,MATCH($A16,DiemHKII!$B$4:$B$58,0),INDEX($BG$14:$BK$27,MATCH(G$7,$BG$14:$BG$27,0),2))&lt;&gt;"",INDEX(BDHK2,MATCH($A16,DiemHKII!$B$4:$B$58,0),INDEX($BG$14:$BK$27,MATCH(G$7,$BG$14:$BG$27,0),5)),""),"")</f>
        <v/>
      </c>
      <c r="J16" s="34" t="str">
        <f>IF($A16&lt;&gt;"",IF(INDEX(BDHK2,MATCH($A16,DiemHKII!$B$4:$B$58,0),INDEX($BG$14:$BK$27,MATCH(J$7,$BG$14:$BG$27,0),2))&lt;&gt;"",INDEX(BDHK2,MATCH($A16,DiemHKII!$B$4:$B$58,0),INDEX($BG$14:$BK$27,MATCH(J$7,$BG$14:$BG$27,0),3)),""),"")</f>
        <v/>
      </c>
      <c r="K16" s="35" t="str">
        <f>IF($A16&lt;&gt;"",IF(INDEX(BDHK2,MATCH($A16,DiemHKII!$B$4:$B$58,0),INDEX($BG$14:$BK$27,MATCH(J$7,$BG$14:$BG$27,0),2))&lt;&gt;"",INDEX(BDHK2,MATCH($A16,DiemHKII!$B$4:$B$58,0),INDEX($BG$14:$BK$27,MATCH(J$7,$BG$14:$BG$27,0),4)),""),"")</f>
        <v/>
      </c>
      <c r="L16" s="36" t="str">
        <f>IF($A16&lt;&gt;"",IF(INDEX(BDHK2,MATCH($A16,DiemHKII!$B$4:$B$58,0),INDEX($BG$14:$BK$27,MATCH(J$7,$BG$14:$BG$27,0),2))&lt;&gt;"",INDEX(BDHK2,MATCH($A16,DiemHKII!$B$4:$B$58,0),INDEX($BG$14:$BK$27,MATCH(J$7,$BG$14:$BG$27,0),5)),""),"")</f>
        <v/>
      </c>
      <c r="M16" s="34" t="str">
        <f>IF($A16&lt;&gt;"",IF(INDEX(BDHK2,MATCH($A16,DiemHKII!$B$4:$B$58,0),INDEX($BG$14:$BK$27,MATCH(M$7,$BG$14:$BG$27,0),2))&lt;&gt;"",INDEX(BDHK2,MATCH($A16,DiemHKII!$B$4:$B$58,0),INDEX($BG$14:$BK$27,MATCH(M$7,$BG$14:$BG$27,0),3)),""),"")</f>
        <v/>
      </c>
      <c r="N16" s="35" t="str">
        <f>IF($A16&lt;&gt;"",IF(INDEX(BDHK2,MATCH($A16,DiemHKII!$B$4:$B$58,0),INDEX($BG$14:$BK$27,MATCH(M$7,$BG$14:$BG$27,0),2))&lt;&gt;"",INDEX(BDHK2,MATCH($A16,DiemHKII!$B$4:$B$58,0),INDEX($BG$14:$BK$27,MATCH(M$7,$BG$14:$BG$27,0),4)),""),"")</f>
        <v/>
      </c>
      <c r="O16" s="36" t="str">
        <f>IF($A16&lt;&gt;"",IF(INDEX(BDHK2,MATCH($A16,DiemHKII!$B$4:$B$58,0),INDEX($BG$14:$BK$27,MATCH(M$7,$BG$14:$BG$27,0),2))&lt;&gt;"",INDEX(BDHK2,MATCH($A16,DiemHKII!$B$4:$B$58,0),INDEX($BG$14:$BK$27,MATCH(M$7,$BG$14:$BG$27,0),5)),""),"")</f>
        <v/>
      </c>
      <c r="P16" s="34" t="str">
        <f>IF($A16&lt;&gt;"",IF(INDEX(BDHK2,MATCH($A16,DiemHKII!$B$4:$B$58,0),INDEX($BG$14:$BK$27,MATCH(P$7,$BG$14:$BG$27,0),2))&lt;&gt;"",INDEX(BDHK2,MATCH($A16,DiemHKII!$B$4:$B$58,0),INDEX($BG$14:$BK$27,MATCH(P$7,$BG$14:$BG$27,0),3)),""),"")</f>
        <v/>
      </c>
      <c r="Q16" s="35" t="str">
        <f>IF($A16&lt;&gt;"",IF(INDEX(BDHK2,MATCH($A16,DiemHKII!$B$4:$B$58,0),INDEX($BG$14:$BK$27,MATCH(P$7,$BG$14:$BG$27,0),2))&lt;&gt;"",INDEX(BDHK2,MATCH($A16,DiemHKII!$B$4:$B$58,0),INDEX($BG$14:$BK$27,MATCH(P$7,$BG$14:$BG$27,0),4)),""),"")</f>
        <v/>
      </c>
      <c r="R16" s="36" t="str">
        <f>IF($A16&lt;&gt;"",IF(INDEX(BDHK2,MATCH($A16,DiemHKII!$B$4:$B$58,0),INDEX($BG$14:$BK$27,MATCH(P$7,$BG$14:$BG$27,0),2))&lt;&gt;"",INDEX(BDHK2,MATCH($A16,DiemHKII!$B$4:$B$58,0),INDEX($BG$14:$BK$27,MATCH(P$7,$BG$14:$BG$27,0),5)),""),"")</f>
        <v/>
      </c>
      <c r="S16" s="34" t="str">
        <f>IF($A16&lt;&gt;"",IF(INDEX(BDHK2,MATCH($A16,DiemHKII!$B$4:$B$58,0),INDEX($BG$14:$BK$27,MATCH(S$7,$BG$14:$BG$27,0),2))&lt;&gt;"",INDEX(BDHK2,MATCH($A16,DiemHKII!$B$4:$B$58,0),INDEX($BG$14:$BK$27,MATCH(S$7,$BG$14:$BG$27,0),3)),""),"")</f>
        <v/>
      </c>
      <c r="T16" s="35" t="str">
        <f>IF($A16&lt;&gt;"",IF(INDEX(BDHK2,MATCH($A16,DiemHKII!$B$4:$B$58,0),INDEX($BG$14:$BK$27,MATCH(S$7,$BG$14:$BG$27,0),2))&lt;&gt;"",INDEX(BDHK2,MATCH($A16,DiemHKII!$B$4:$B$58,0),INDEX($BG$14:$BK$27,MATCH(S$7,$BG$14:$BG$27,0),4)),""),"")</f>
        <v/>
      </c>
      <c r="U16" s="36" t="str">
        <f>IF($A16&lt;&gt;"",IF(INDEX(BDHK2,MATCH($A16,DiemHKII!$B$4:$B$58,0),INDEX($BG$14:$BK$27,MATCH(S$7,$BG$14:$BG$27,0),2))&lt;&gt;"",INDEX(BDHK2,MATCH($A16,DiemHKII!$B$4:$B$58,0),INDEX($BG$14:$BK$27,MATCH(S$7,$BG$14:$BG$27,0),5)),""),"")</f>
        <v/>
      </c>
      <c r="V16" s="34" t="str">
        <f>IF($A16&lt;&gt;"",IF(INDEX(BDHK2,MATCH($A16,DiemHKII!$B$4:$B$58,0),INDEX($BG$14:$BK$27,MATCH(V$7,$BG$14:$BG$27,0),2))&lt;&gt;"",INDEX(BDHK2,MATCH($A16,DiemHKII!$B$4:$B$58,0),INDEX($BG$14:$BK$27,MATCH(V$7,$BG$14:$BG$27,0),3)),""),"")</f>
        <v/>
      </c>
      <c r="W16" s="35" t="str">
        <f>IF($A16&lt;&gt;"",IF(INDEX(BDHK2,MATCH($A16,DiemHKII!$B$4:$B$58,0),INDEX($BG$14:$BK$27,MATCH(V$7,$BG$14:$BG$27,0),2))&lt;&gt;"",INDEX(BDHK2,MATCH($A16,DiemHKII!$B$4:$B$58,0),INDEX($BG$14:$BK$27,MATCH(V$7,$BG$14:$BG$27,0),4)),""),"")</f>
        <v/>
      </c>
      <c r="X16" s="36" t="str">
        <f>IF($A16&lt;&gt;"",IF(INDEX(BDHK2,MATCH($A16,DiemHKII!$B$4:$B$58,0),INDEX($BG$14:$BK$27,MATCH(V$7,$BG$14:$BG$27,0),2))&lt;&gt;"",INDEX(BDHK2,MATCH($A16,DiemHKII!$B$4:$B$58,0),INDEX($BG$14:$BK$27,MATCH(V$7,$BG$14:$BG$27,0),5)),""),"")</f>
        <v/>
      </c>
      <c r="Y16" s="34" t="str">
        <f>IF($A16&lt;&gt;"",IF(INDEX(BDHK2,MATCH($A16,DiemHKII!$B$4:$B$58,0),INDEX($BG$14:$BK$27,MATCH(Y$7,$BG$14:$BG$27,0),2))&lt;&gt;"",INDEX(BDHK2,MATCH($A16,DiemHKII!$B$4:$B$58,0),INDEX($BG$14:$BK$27,MATCH(Y$7,$BG$14:$BG$27,0),3)),""),"")</f>
        <v/>
      </c>
      <c r="Z16" s="35" t="str">
        <f>IF($A16&lt;&gt;"",IF(INDEX(BDHK2,MATCH($A16,DiemHKII!$B$4:$B$58,0),INDEX($BG$14:$BK$27,MATCH(Y$7,$BG$14:$BG$27,0),2))&lt;&gt;"",INDEX(BDHK2,MATCH($A16,DiemHKII!$B$4:$B$58,0),INDEX($BG$14:$BK$27,MATCH(Y$7,$BG$14:$BG$27,0),4)),""),"")</f>
        <v/>
      </c>
      <c r="AA16" s="36" t="str">
        <f>IF($A16&lt;&gt;"",IF(INDEX(BDHK2,MATCH($A16,DiemHKII!$B$4:$B$58,0),INDEX($BG$14:$BK$27,MATCH(Y$7,$BG$14:$BG$27,0),2))&lt;&gt;"",INDEX(BDHK2,MATCH($A16,DiemHKII!$B$4:$B$58,0),INDEX($BG$14:$BK$27,MATCH(Y$7,$BG$14:$BG$27,0),5)),""),"")</f>
        <v/>
      </c>
      <c r="AB16" s="34" t="str">
        <f>IF($A16&lt;&gt;"",IF(INDEX(BDHK2,MATCH($A16,DiemHKII!$B$4:$B$58,0),INDEX($BG$14:$BK$27,MATCH(AB$7,$BG$14:$BG$27,0),2))&lt;&gt;"",INDEX(BDHK2,MATCH($A16,DiemHKII!$B$4:$B$58,0),INDEX($BG$14:$BK$27,MATCH(AB$7,$BG$14:$BG$27,0),3)),""),"")</f>
        <v/>
      </c>
      <c r="AC16" s="35" t="str">
        <f>IF($A16&lt;&gt;"",IF(INDEX(BDHK2,MATCH($A16,DiemHKII!$B$4:$B$58,0),INDEX($BG$14:$BK$27,MATCH(AB$7,$BG$14:$BG$27,0),2))&lt;&gt;"",INDEX(BDHK2,MATCH($A16,DiemHKII!$B$4:$B$58,0),INDEX($BG$14:$BK$27,MATCH(AB$7,$BG$14:$BG$27,0),4)),""),"")</f>
        <v/>
      </c>
      <c r="AD16" s="36" t="str">
        <f>IF($A16&lt;&gt;"",IF(INDEX(BDHK2,MATCH($A16,DiemHKII!$B$4:$B$58,0),INDEX($BG$14:$BK$27,MATCH(AB$7,$BG$14:$BG$27,0),2))&lt;&gt;"",INDEX(BDHK2,MATCH($A16,DiemHKII!$B$4:$B$58,0),INDEX($BG$14:$BK$27,MATCH(AB$7,$BG$14:$BG$27,0),5)),""),"")</f>
        <v/>
      </c>
      <c r="AE16" s="34" t="str">
        <f>IF($A16&lt;&gt;"",IF(INDEX(BDHK2,MATCH($A16,DiemHKII!$B$4:$B$58,0),INDEX($BG$14:$BK$27,MATCH(AE$7,$BG$14:$BG$27,0),2))&lt;&gt;"",INDEX(BDHK2,MATCH($A16,DiemHKII!$B$4:$B$58,0),INDEX($BG$14:$BK$27,MATCH(AE$7,$BG$14:$BG$27,0),3)),""),"")</f>
        <v/>
      </c>
      <c r="AF16" s="35" t="str">
        <f>IF($A16&lt;&gt;"",IF(INDEX(BDHK2,MATCH($A16,DiemHKII!$B$4:$B$58,0),INDEX($BG$14:$BK$27,MATCH(AE$7,$BG$14:$BG$27,0),2))&lt;&gt;"",INDEX(BDHK2,MATCH($A16,DiemHKII!$B$4:$B$58,0),INDEX($BG$14:$BK$27,MATCH(AE$7,$BG$14:$BG$27,0),4)),""),"")</f>
        <v/>
      </c>
      <c r="AG16" s="36" t="str">
        <f>IF($A16&lt;&gt;"",IF(INDEX(BDHK2,MATCH($A16,DiemHKII!$B$4:$B$58,0),INDEX($BG$14:$BK$27,MATCH(AE$7,$BG$14:$BG$27,0),2))&lt;&gt;"",INDEX(BDHK2,MATCH($A16,DiemHKII!$B$4:$B$58,0),INDEX($BG$14:$BK$27,MATCH(AE$7,$BG$14:$BG$27,0),5)),""),"")</f>
        <v/>
      </c>
      <c r="AH16" s="34" t="str">
        <f>IF($A16&lt;&gt;"",IF(INDEX(BDHK2,MATCH($A16,DiemHKII!$B$4:$B$58,0),INDEX($BG$14:$BK$27,MATCH(AH$7,$BG$14:$BG$27,0),2))&lt;&gt;"",INDEX(BDHK2,MATCH($A16,DiemHKII!$B$4:$B$58,0),INDEX($BG$14:$BK$27,MATCH(AH$7,$BG$14:$BG$27,0),3)),""),"")</f>
        <v/>
      </c>
      <c r="AI16" s="35" t="str">
        <f>IF($A16&lt;&gt;"",IF(INDEX(BDHK2,MATCH($A16,DiemHKII!$B$4:$B$58,0),INDEX($BG$14:$BK$27,MATCH(AH$7,$BG$14:$BG$27,0),2))&lt;&gt;"",INDEX(BDHK2,MATCH($A16,DiemHKII!$B$4:$B$58,0),INDEX($BG$14:$BK$27,MATCH(AH$7,$BG$14:$BG$27,0),4)),""),"")</f>
        <v/>
      </c>
      <c r="AJ16" s="36" t="str">
        <f>IF($A16&lt;&gt;"",IF(INDEX(BDHK2,MATCH($A16,DiemHKII!$B$4:$B$58,0),INDEX($BG$14:$BK$27,MATCH(AH$7,$BG$14:$BG$27,0),2))&lt;&gt;"",INDEX(BDHK2,MATCH($A16,DiemHKII!$B$4:$B$58,0),INDEX($BG$14:$BK$27,MATCH(AH$7,$BG$14:$BG$27,0),5)),""),"")</f>
        <v/>
      </c>
      <c r="AK16" s="37" t="str">
        <f>IF($A16&lt;&gt;"",IF(INDEX(BDHK2,MATCH($A16,DiemHKII!$B$4:$B$58,0),INDEX($BG$14:$BK$27,MATCH(AK$7,$BG$14:$BG$27,0),2))&lt;&gt;"",INDEX(BDHK2,MATCH($A16,DiemHKII!$B$4:$B$58,0),INDEX($BG$14:$BK$27,MATCH(AK$7,$BG$14:$BG$27,0),3)),""),"")</f>
        <v/>
      </c>
      <c r="AL16" s="8" t="str">
        <f>IF($A16&lt;&gt;"",IF(INDEX(BDHK2,MATCH($A16,DiemHKII!$B$4:$B$58,0),INDEX($BG$14:$BK$27,MATCH(AK$7,$BG$14:$BG$27,0),2))&lt;&gt;"",INDEX(BDHK2,MATCH($A16,DiemHKII!$B$4:$B$58,0),INDEX($BG$14:$BK$27,MATCH(AK$7,$BG$14:$BG$27,0),4)),""),"")</f>
        <v/>
      </c>
      <c r="AM16" s="38" t="str">
        <f>IF($A16&lt;&gt;"",IF(INDEX(BDHK2,MATCH($A16,DiemHKII!$B$4:$B$58,0),INDEX($BG$14:$BK$27,MATCH(AK$7,$BG$14:$BG$27,0),2))&lt;&gt;"",INDEX(BDHK2,MATCH($A16,DiemHKII!$B$4:$B$58,0),INDEX($BG$14:$BK$27,MATCH(AK$7,$BG$14:$BG$27,0),5)),""),"")</f>
        <v/>
      </c>
      <c r="AN16" s="34" t="str">
        <f>IF($A16&lt;&gt;"",IF(INDEX(BDHK2,MATCH($A16,DiemHKII!$B$4:$B$58,0),INDEX($BG$14:$BK$27,MATCH(AN$7,$BG$14:$BG$27,0),2))&lt;&gt;"",INDEX(BDHK2,MATCH($A16,DiemHKII!$B$4:$B$58,0),INDEX($BG$14:$BK$27,MATCH(AN$7,$BG$14:$BG$27,0),3)),""),"")</f>
        <v/>
      </c>
      <c r="AO16" s="35" t="str">
        <f>IF($A16&lt;&gt;"",IF(INDEX(BDHK2,MATCH($A16,DiemHKII!$B$4:$B$58,0),INDEX($BG$14:$BK$27,MATCH(AN$7,$BG$14:$BG$27,0),2))&lt;&gt;"",INDEX(BDHK2,MATCH($A16,DiemHKII!$B$4:$B$58,0),INDEX($BG$14:$BK$27,MATCH(AN$7,$BG$14:$BG$27,0),4)),""),"")</f>
        <v/>
      </c>
      <c r="AP16" s="36" t="str">
        <f>IF($A16&lt;&gt;"",IF(INDEX(BDHK2,MATCH($A16,DiemHKII!$B$4:$B$58,0),INDEX($BG$14:$BK$27,MATCH(AN$7,$BG$14:$BG$27,0),2))&lt;&gt;"",INDEX(BDHK2,MATCH($A16,DiemHKII!$B$4:$B$58,0),INDEX($BG$14:$BK$27,MATCH(AN$7,$BG$14:$BG$27,0),5)),""),"")</f>
        <v/>
      </c>
      <c r="AQ16" s="34" t="str">
        <f>IF($A16&lt;&gt;"",IF(INDEX(BDHK2,MATCH($A16,DiemHKII!$B$4:$B$58,0),INDEX($BG$14:$BK$27,MATCH(AQ$7,$BG$14:$BG$27,0),2))&lt;&gt;"",INDEX(BDHK2,MATCH($A16,DiemHKII!$B$4:$B$58,0),INDEX($BG$14:$BK$27,MATCH(AQ$7,$BG$14:$BG$27,0),3)),""),"")</f>
        <v/>
      </c>
      <c r="AR16" s="35" t="str">
        <f>IF($A16&lt;&gt;"",IF(INDEX(BDHK2,MATCH($A16,DiemHKII!$B$4:$B$58,0),INDEX($BG$14:$BK$27,MATCH(AQ$7,$BG$14:$BG$27,0),2))&lt;&gt;"",INDEX(BDHK2,MATCH($A16,DiemHKII!$B$4:$B$58,0),INDEX($BG$14:$BK$27,MATCH(AQ$7,$BG$14:$BG$27,0),4)),""),"")</f>
        <v/>
      </c>
      <c r="AS16" s="36" t="str">
        <f>IF($A16&lt;&gt;"",IF(INDEX(BDHK2,MATCH($A16,DiemHKII!$B$4:$B$58,0),INDEX($BG$14:$BK$27,MATCH(AQ$7,$BG$14:$BG$27,0),2))&lt;&gt;"",INDEX(BDHK2,MATCH($A16,DiemHKII!$B$4:$B$58,0),INDEX($BG$14:$BK$27,MATCH(AQ$7,$BG$14:$BG$27,0),5)),""),"")</f>
        <v/>
      </c>
      <c r="AT16" s="34">
        <f>IFERROR(IF($A16&gt;=1,IF(INDEX(THHKI!$V$8:$Y$62,MATCH($BL16,THHKI!$AG$8:$AG$62,0),1)&lt;&gt;"",INDEX(THHKI!$V$8:$Y$62,MATCH($BL16,THHKI!$AG$8:$AG$62,0),1),""),""),"")</f>
        <v>9.3000000000000007</v>
      </c>
      <c r="AU16" s="35" t="str">
        <f>IF($A16&gt;=1,IF(INDEX(THHKII!$V$8:$Y$62,MATCH($BL16,THHKII!$AG$8:$AG$62,0),1)&lt;&gt;"",INDEX(THHKII!$V$8:$Y$62,MATCH($BL16,THHKII!$AG$8:$AG$62,0),1),""),"")</f>
        <v/>
      </c>
      <c r="AV16" s="39" t="str">
        <f>IF($A16&gt;=1,IF(INDEX(THCN!$V$8:$Y$62,MATCH($BL16,THCN!$AG$8:$AG$62,0),1)&lt;&gt;"",INDEX(THCN!$V$8:$Y$62,MATCH($BL16,THCN!$AG$8:$AG$62,0),1),""),"")</f>
        <v/>
      </c>
      <c r="AW16" s="40" t="str">
        <f>IFERROR(IF($A16&gt;=1,IF(INDEX(THHKI!$V$8:$Y$62,MATCH($BL16,THHKI!$AG$8:$AG$62,0),2)&lt;&gt;"",INDEX(THHKI!$V$8:$Y$62,MATCH($BL16,THHKI!$AG$8:$AG$62,0),2),""),""),"")</f>
        <v>Giỏi</v>
      </c>
      <c r="AX16" s="8" t="str">
        <f>IF($A16&gt;=1,IF(INDEX(THHKII!$V$8:$Y$62,MATCH($BL16,THHKII!$AG$8:$AG$62,0),2)&lt;&gt;"",INDEX(THHKII!$V$8:$Y$62,MATCH($BL16,THHKII!$AG$8:$AG$62,0),2),""),"")</f>
        <v/>
      </c>
      <c r="AY16" s="467" t="str">
        <f>IF($A16&gt;=1,IF(INDEX(THCN!$V$8:$Y$62,MATCH($BL16,THCN!$AG$8:$AG$62,0),2)&lt;&gt;"",INDEX(THCN!$V$8:$Y$62,MATCH($BL16,THCN!$AG$8:$AG$62,0),2),""),"")</f>
        <v/>
      </c>
      <c r="AZ16" s="37" t="str">
        <f>IFERROR(IF($A16&gt;=1,IF(INDEX(THHKI!$V$8:$Y$62,MATCH($BL16,THHKI!$AG$8:$AG$62,0),3)&lt;&gt;"",INDEX(THHKI!$V$8:$Y$62,MATCH($BL16,THHKI!$AG$8:$AG$62,0),3),""),""),"")</f>
        <v>Tốt</v>
      </c>
      <c r="BA16" s="8" t="str">
        <f>IF($A16&gt;=1,IF(INDEX(THHKII!$V$8:$Y$62,MATCH($BL16,THHKII!$AG$8:$AG$62,0),3)&lt;&gt;"",INDEX(THHKII!$V$8:$Y$62,MATCH($BL16,THHKII!$AG$8:$AG$62,0),3),""),"")</f>
        <v/>
      </c>
      <c r="BB16" s="41" t="str">
        <f>IF($A16&gt;=1,IF(INDEX(THCN!$V$8:$Y$62,MATCH($BL16,THCN!$AG$8:$AG$62,0),3)&lt;&gt;"",INDEX(THCN!$V$8:$Y$62,MATCH($BL16,THCN!$AG$8:$AG$62,0),3),""),"")</f>
        <v/>
      </c>
      <c r="BC16" s="42" t="str">
        <f>IF($A16&gt;=1,IF(INDEX(THCN!$V$8:$Y$62,MATCH($BL16,THCN!$AG$8:$AG$62,0),4)&lt;&gt;"",INDEX(THCN!$V$8:$Y$62,MATCH($BL16,THCN!$AG$8:$AG$62,0),4),""),"")</f>
        <v/>
      </c>
      <c r="BE16" s="31" t="str">
        <f>IFERROR(IF($A16&gt;=1,IF(INDEX(THHKI!$V$8:$Y$62,MATCH($BL16,THHKI!$AG$8:$AG$62,0),4)&lt;&gt;"",INDEX(THHKI!$V$8:$Y$62,MATCH($BL16,THHKI!$AG$8:$AG$62,0),4),""),""),"")</f>
        <v>HSG</v>
      </c>
      <c r="BF16" s="42" t="str">
        <f>IF($A16&gt;=1,IF(INDEX(THHKII!$V$8:$Y$62,MATCH($BL16,THHKII!$AG$8:$AG$62,0),4)&lt;&gt;"",INDEX(THHKII!$V$8:$Y$62,MATCH($BL16,THHKII!$AG$8:$AG$62,0),4),""),"")</f>
        <v/>
      </c>
      <c r="BG16" s="30" t="s">
        <v>28</v>
      </c>
      <c r="BH16" s="30">
        <v>34</v>
      </c>
      <c r="BI16" s="30">
        <v>35</v>
      </c>
      <c r="BJ16" s="30">
        <v>36</v>
      </c>
      <c r="BK16" s="30">
        <v>37</v>
      </c>
      <c r="BL16" s="30" t="str">
        <f>IF($A16&lt;&gt;"",INDEX(DiemHKII!$B$4:$K$58,MATCH($A16,DiemHKII!$B$4:$B$58,0),2),"")</f>
        <v>12A1Trần LêCường08/04/2004</v>
      </c>
    </row>
    <row r="17" spans="1:64" s="30" customFormat="1" ht="29.1" customHeight="1">
      <c r="A17" s="31">
        <f>IF(A16&lt;MAX(DiemHKII!$B$4:$B$58),A16+1,"")</f>
        <v>9</v>
      </c>
      <c r="B17" s="32" t="str">
        <f>IF($A17&lt;&gt;"",PROPER(INDEX(DiemHKII!$B$4:$K$58,MATCH($A17,DiemHKII!$B$4:$B$58,0),4)),"")</f>
        <v>Nguyễn Thanh</v>
      </c>
      <c r="C17" s="33" t="str">
        <f>IF($A17&lt;&gt;"",PROPER(INDEX(DiemHKII!$B$4:$K$58,MATCH($A17,DiemHKII!$B$4:$B$58,0),5)),"")</f>
        <v>Duyên</v>
      </c>
      <c r="D17" s="34" t="str">
        <f>IF($A17&lt;&gt;"",IF(INDEX(BDHK2,MATCH($A17,DiemHKII!$B$4:$B$58,0),INDEX($BG$14:$BK$27,MATCH(D$7,$BG$14:$BG$27,0),2))&lt;&gt;"",INDEX(BDHK2,MATCH($A17,DiemHKII!$B$4:$B$58,0),INDEX($BG$14:$BK$27,MATCH(D$7,$BG$14:$BG$27,0),3)),""),"")</f>
        <v/>
      </c>
      <c r="E17" s="35" t="str">
        <f>IF($A17&lt;&gt;"",IF(INDEX(BDHK2,MATCH($A17,DiemHKII!$B$4:$B$58,0),INDEX($BG$14:$BK$27,MATCH(D$7,$BG$14:$BG$27,0),2))&lt;&gt;"",INDEX(BDHK2,MATCH($A17,DiemHKII!$B$4:$B$58,0),INDEX($BG$14:$BK$27,MATCH(D$7,$BG$14:$BG$27,0),4)),""),"")</f>
        <v/>
      </c>
      <c r="F17" s="36" t="str">
        <f>IF($A17&lt;&gt;"",IF(INDEX(BDHK2,MATCH($A17,DiemHKII!$B$4:$B$58,0),INDEX($BG$14:$BK$27,MATCH(D$7,$BG$14:$BG$27,0),2))&lt;&gt;"",INDEX(BDHK2,MATCH($A17,DiemHKII!$B$4:$B$58,0),INDEX($BG$14:$BK$27,MATCH(D$7,$BG$14:$BG$27,0),5)),""),"")</f>
        <v/>
      </c>
      <c r="G17" s="34" t="str">
        <f>IF($A17&lt;&gt;"",IF(INDEX(BDHK2,MATCH($A17,DiemHKII!$B$4:$B$58,0),INDEX($BG$14:$BK$27,MATCH(G$7,$BG$14:$BG$27,0),2))&lt;&gt;"",INDEX(BDHK2,MATCH($A17,DiemHKII!$B$4:$B$58,0),INDEX($BG$14:$BK$27,MATCH(G$7,$BG$14:$BG$27,0),3)),""),"")</f>
        <v/>
      </c>
      <c r="H17" s="35" t="str">
        <f>IF($A17&lt;&gt;"",IF(INDEX(BDHK2,MATCH($A17,DiemHKII!$B$4:$B$58,0),INDEX($BG$14:$BK$27,MATCH(G$7,$BG$14:$BG$27,0),2))&lt;&gt;"",INDEX(BDHK2,MATCH($A17,DiemHKII!$B$4:$B$58,0),INDEX($BG$14:$BK$27,MATCH(G$7,$BG$14:$BG$27,0),4)),""),"")</f>
        <v/>
      </c>
      <c r="I17" s="36" t="str">
        <f>IF($A17&lt;&gt;"",IF(INDEX(BDHK2,MATCH($A17,DiemHKII!$B$4:$B$58,0),INDEX($BG$14:$BK$27,MATCH(G$7,$BG$14:$BG$27,0),2))&lt;&gt;"",INDEX(BDHK2,MATCH($A17,DiemHKII!$B$4:$B$58,0),INDEX($BG$14:$BK$27,MATCH(G$7,$BG$14:$BG$27,0),5)),""),"")</f>
        <v/>
      </c>
      <c r="J17" s="34" t="str">
        <f>IF($A17&lt;&gt;"",IF(INDEX(BDHK2,MATCH($A17,DiemHKII!$B$4:$B$58,0),INDEX($BG$14:$BK$27,MATCH(J$7,$BG$14:$BG$27,0),2))&lt;&gt;"",INDEX(BDHK2,MATCH($A17,DiemHKII!$B$4:$B$58,0),INDEX($BG$14:$BK$27,MATCH(J$7,$BG$14:$BG$27,0),3)),""),"")</f>
        <v/>
      </c>
      <c r="K17" s="35" t="str">
        <f>IF($A17&lt;&gt;"",IF(INDEX(BDHK2,MATCH($A17,DiemHKII!$B$4:$B$58,0),INDEX($BG$14:$BK$27,MATCH(J$7,$BG$14:$BG$27,0),2))&lt;&gt;"",INDEX(BDHK2,MATCH($A17,DiemHKII!$B$4:$B$58,0),INDEX($BG$14:$BK$27,MATCH(J$7,$BG$14:$BG$27,0),4)),""),"")</f>
        <v/>
      </c>
      <c r="L17" s="36" t="str">
        <f>IF($A17&lt;&gt;"",IF(INDEX(BDHK2,MATCH($A17,DiemHKII!$B$4:$B$58,0),INDEX($BG$14:$BK$27,MATCH(J$7,$BG$14:$BG$27,0),2))&lt;&gt;"",INDEX(BDHK2,MATCH($A17,DiemHKII!$B$4:$B$58,0),INDEX($BG$14:$BK$27,MATCH(J$7,$BG$14:$BG$27,0),5)),""),"")</f>
        <v/>
      </c>
      <c r="M17" s="34" t="str">
        <f>IF($A17&lt;&gt;"",IF(INDEX(BDHK2,MATCH($A17,DiemHKII!$B$4:$B$58,0),INDEX($BG$14:$BK$27,MATCH(M$7,$BG$14:$BG$27,0),2))&lt;&gt;"",INDEX(BDHK2,MATCH($A17,DiemHKII!$B$4:$B$58,0),INDEX($BG$14:$BK$27,MATCH(M$7,$BG$14:$BG$27,0),3)),""),"")</f>
        <v/>
      </c>
      <c r="N17" s="35" t="str">
        <f>IF($A17&lt;&gt;"",IF(INDEX(BDHK2,MATCH($A17,DiemHKII!$B$4:$B$58,0),INDEX($BG$14:$BK$27,MATCH(M$7,$BG$14:$BG$27,0),2))&lt;&gt;"",INDEX(BDHK2,MATCH($A17,DiemHKII!$B$4:$B$58,0),INDEX($BG$14:$BK$27,MATCH(M$7,$BG$14:$BG$27,0),4)),""),"")</f>
        <v/>
      </c>
      <c r="O17" s="36" t="str">
        <f>IF($A17&lt;&gt;"",IF(INDEX(BDHK2,MATCH($A17,DiemHKII!$B$4:$B$58,0),INDEX($BG$14:$BK$27,MATCH(M$7,$BG$14:$BG$27,0),2))&lt;&gt;"",INDEX(BDHK2,MATCH($A17,DiemHKII!$B$4:$B$58,0),INDEX($BG$14:$BK$27,MATCH(M$7,$BG$14:$BG$27,0),5)),""),"")</f>
        <v/>
      </c>
      <c r="P17" s="34" t="str">
        <f>IF($A17&lt;&gt;"",IF(INDEX(BDHK2,MATCH($A17,DiemHKII!$B$4:$B$58,0),INDEX($BG$14:$BK$27,MATCH(P$7,$BG$14:$BG$27,0),2))&lt;&gt;"",INDEX(BDHK2,MATCH($A17,DiemHKII!$B$4:$B$58,0),INDEX($BG$14:$BK$27,MATCH(P$7,$BG$14:$BG$27,0),3)),""),"")</f>
        <v/>
      </c>
      <c r="Q17" s="35" t="str">
        <f>IF($A17&lt;&gt;"",IF(INDEX(BDHK2,MATCH($A17,DiemHKII!$B$4:$B$58,0),INDEX($BG$14:$BK$27,MATCH(P$7,$BG$14:$BG$27,0),2))&lt;&gt;"",INDEX(BDHK2,MATCH($A17,DiemHKII!$B$4:$B$58,0),INDEX($BG$14:$BK$27,MATCH(P$7,$BG$14:$BG$27,0),4)),""),"")</f>
        <v/>
      </c>
      <c r="R17" s="36" t="str">
        <f>IF($A17&lt;&gt;"",IF(INDEX(BDHK2,MATCH($A17,DiemHKII!$B$4:$B$58,0),INDEX($BG$14:$BK$27,MATCH(P$7,$BG$14:$BG$27,0),2))&lt;&gt;"",INDEX(BDHK2,MATCH($A17,DiemHKII!$B$4:$B$58,0),INDEX($BG$14:$BK$27,MATCH(P$7,$BG$14:$BG$27,0),5)),""),"")</f>
        <v/>
      </c>
      <c r="S17" s="34" t="str">
        <f>IF($A17&lt;&gt;"",IF(INDEX(BDHK2,MATCH($A17,DiemHKII!$B$4:$B$58,0),INDEX($BG$14:$BK$27,MATCH(S$7,$BG$14:$BG$27,0),2))&lt;&gt;"",INDEX(BDHK2,MATCH($A17,DiemHKII!$B$4:$B$58,0),INDEX($BG$14:$BK$27,MATCH(S$7,$BG$14:$BG$27,0),3)),""),"")</f>
        <v/>
      </c>
      <c r="T17" s="35" t="str">
        <f>IF($A17&lt;&gt;"",IF(INDEX(BDHK2,MATCH($A17,DiemHKII!$B$4:$B$58,0),INDEX($BG$14:$BK$27,MATCH(S$7,$BG$14:$BG$27,0),2))&lt;&gt;"",INDEX(BDHK2,MATCH($A17,DiemHKII!$B$4:$B$58,0),INDEX($BG$14:$BK$27,MATCH(S$7,$BG$14:$BG$27,0),4)),""),"")</f>
        <v/>
      </c>
      <c r="U17" s="36" t="str">
        <f>IF($A17&lt;&gt;"",IF(INDEX(BDHK2,MATCH($A17,DiemHKII!$B$4:$B$58,0),INDEX($BG$14:$BK$27,MATCH(S$7,$BG$14:$BG$27,0),2))&lt;&gt;"",INDEX(BDHK2,MATCH($A17,DiemHKII!$B$4:$B$58,0),INDEX($BG$14:$BK$27,MATCH(S$7,$BG$14:$BG$27,0),5)),""),"")</f>
        <v/>
      </c>
      <c r="V17" s="34" t="str">
        <f>IF($A17&lt;&gt;"",IF(INDEX(BDHK2,MATCH($A17,DiemHKII!$B$4:$B$58,0),INDEX($BG$14:$BK$27,MATCH(V$7,$BG$14:$BG$27,0),2))&lt;&gt;"",INDEX(BDHK2,MATCH($A17,DiemHKII!$B$4:$B$58,0),INDEX($BG$14:$BK$27,MATCH(V$7,$BG$14:$BG$27,0),3)),""),"")</f>
        <v/>
      </c>
      <c r="W17" s="35" t="str">
        <f>IF($A17&lt;&gt;"",IF(INDEX(BDHK2,MATCH($A17,DiemHKII!$B$4:$B$58,0),INDEX($BG$14:$BK$27,MATCH(V$7,$BG$14:$BG$27,0),2))&lt;&gt;"",INDEX(BDHK2,MATCH($A17,DiemHKII!$B$4:$B$58,0),INDEX($BG$14:$BK$27,MATCH(V$7,$BG$14:$BG$27,0),4)),""),"")</f>
        <v/>
      </c>
      <c r="X17" s="36" t="str">
        <f>IF($A17&lt;&gt;"",IF(INDEX(BDHK2,MATCH($A17,DiemHKII!$B$4:$B$58,0),INDEX($BG$14:$BK$27,MATCH(V$7,$BG$14:$BG$27,0),2))&lt;&gt;"",INDEX(BDHK2,MATCH($A17,DiemHKII!$B$4:$B$58,0),INDEX($BG$14:$BK$27,MATCH(V$7,$BG$14:$BG$27,0),5)),""),"")</f>
        <v/>
      </c>
      <c r="Y17" s="34" t="str">
        <f>IF($A17&lt;&gt;"",IF(INDEX(BDHK2,MATCH($A17,DiemHKII!$B$4:$B$58,0),INDEX($BG$14:$BK$27,MATCH(Y$7,$BG$14:$BG$27,0),2))&lt;&gt;"",INDEX(BDHK2,MATCH($A17,DiemHKII!$B$4:$B$58,0),INDEX($BG$14:$BK$27,MATCH(Y$7,$BG$14:$BG$27,0),3)),""),"")</f>
        <v/>
      </c>
      <c r="Z17" s="35" t="str">
        <f>IF($A17&lt;&gt;"",IF(INDEX(BDHK2,MATCH($A17,DiemHKII!$B$4:$B$58,0),INDEX($BG$14:$BK$27,MATCH(Y$7,$BG$14:$BG$27,0),2))&lt;&gt;"",INDEX(BDHK2,MATCH($A17,DiemHKII!$B$4:$B$58,0),INDEX($BG$14:$BK$27,MATCH(Y$7,$BG$14:$BG$27,0),4)),""),"")</f>
        <v/>
      </c>
      <c r="AA17" s="36" t="str">
        <f>IF($A17&lt;&gt;"",IF(INDEX(BDHK2,MATCH($A17,DiemHKII!$B$4:$B$58,0),INDEX($BG$14:$BK$27,MATCH(Y$7,$BG$14:$BG$27,0),2))&lt;&gt;"",INDEX(BDHK2,MATCH($A17,DiemHKII!$B$4:$B$58,0),INDEX($BG$14:$BK$27,MATCH(Y$7,$BG$14:$BG$27,0),5)),""),"")</f>
        <v/>
      </c>
      <c r="AB17" s="34" t="str">
        <f>IF($A17&lt;&gt;"",IF(INDEX(BDHK2,MATCH($A17,DiemHKII!$B$4:$B$58,0),INDEX($BG$14:$BK$27,MATCH(AB$7,$BG$14:$BG$27,0),2))&lt;&gt;"",INDEX(BDHK2,MATCH($A17,DiemHKII!$B$4:$B$58,0),INDEX($BG$14:$BK$27,MATCH(AB$7,$BG$14:$BG$27,0),3)),""),"")</f>
        <v/>
      </c>
      <c r="AC17" s="35" t="str">
        <f>IF($A17&lt;&gt;"",IF(INDEX(BDHK2,MATCH($A17,DiemHKII!$B$4:$B$58,0),INDEX($BG$14:$BK$27,MATCH(AB$7,$BG$14:$BG$27,0),2))&lt;&gt;"",INDEX(BDHK2,MATCH($A17,DiemHKII!$B$4:$B$58,0),INDEX($BG$14:$BK$27,MATCH(AB$7,$BG$14:$BG$27,0),4)),""),"")</f>
        <v/>
      </c>
      <c r="AD17" s="36" t="str">
        <f>IF($A17&lt;&gt;"",IF(INDEX(BDHK2,MATCH($A17,DiemHKII!$B$4:$B$58,0),INDEX($BG$14:$BK$27,MATCH(AB$7,$BG$14:$BG$27,0),2))&lt;&gt;"",INDEX(BDHK2,MATCH($A17,DiemHKII!$B$4:$B$58,0),INDEX($BG$14:$BK$27,MATCH(AB$7,$BG$14:$BG$27,0),5)),""),"")</f>
        <v/>
      </c>
      <c r="AE17" s="34" t="str">
        <f>IF($A17&lt;&gt;"",IF(INDEX(BDHK2,MATCH($A17,DiemHKII!$B$4:$B$58,0),INDEX($BG$14:$BK$27,MATCH(AE$7,$BG$14:$BG$27,0),2))&lt;&gt;"",INDEX(BDHK2,MATCH($A17,DiemHKII!$B$4:$B$58,0),INDEX($BG$14:$BK$27,MATCH(AE$7,$BG$14:$BG$27,0),3)),""),"")</f>
        <v/>
      </c>
      <c r="AF17" s="35" t="str">
        <f>IF($A17&lt;&gt;"",IF(INDEX(BDHK2,MATCH($A17,DiemHKII!$B$4:$B$58,0),INDEX($BG$14:$BK$27,MATCH(AE$7,$BG$14:$BG$27,0),2))&lt;&gt;"",INDEX(BDHK2,MATCH($A17,DiemHKII!$B$4:$B$58,0),INDEX($BG$14:$BK$27,MATCH(AE$7,$BG$14:$BG$27,0),4)),""),"")</f>
        <v/>
      </c>
      <c r="AG17" s="36" t="str">
        <f>IF($A17&lt;&gt;"",IF(INDEX(BDHK2,MATCH($A17,DiemHKII!$B$4:$B$58,0),INDEX($BG$14:$BK$27,MATCH(AE$7,$BG$14:$BG$27,0),2))&lt;&gt;"",INDEX(BDHK2,MATCH($A17,DiemHKII!$B$4:$B$58,0),INDEX($BG$14:$BK$27,MATCH(AE$7,$BG$14:$BG$27,0),5)),""),"")</f>
        <v/>
      </c>
      <c r="AH17" s="34" t="str">
        <f>IF($A17&lt;&gt;"",IF(INDEX(BDHK2,MATCH($A17,DiemHKII!$B$4:$B$58,0),INDEX($BG$14:$BK$27,MATCH(AH$7,$BG$14:$BG$27,0),2))&lt;&gt;"",INDEX(BDHK2,MATCH($A17,DiemHKII!$B$4:$B$58,0),INDEX($BG$14:$BK$27,MATCH(AH$7,$BG$14:$BG$27,0),3)),""),"")</f>
        <v/>
      </c>
      <c r="AI17" s="35" t="str">
        <f>IF($A17&lt;&gt;"",IF(INDEX(BDHK2,MATCH($A17,DiemHKII!$B$4:$B$58,0),INDEX($BG$14:$BK$27,MATCH(AH$7,$BG$14:$BG$27,0),2))&lt;&gt;"",INDEX(BDHK2,MATCH($A17,DiemHKII!$B$4:$B$58,0),INDEX($BG$14:$BK$27,MATCH(AH$7,$BG$14:$BG$27,0),4)),""),"")</f>
        <v/>
      </c>
      <c r="AJ17" s="36" t="str">
        <f>IF($A17&lt;&gt;"",IF(INDEX(BDHK2,MATCH($A17,DiemHKII!$B$4:$B$58,0),INDEX($BG$14:$BK$27,MATCH(AH$7,$BG$14:$BG$27,0),2))&lt;&gt;"",INDEX(BDHK2,MATCH($A17,DiemHKII!$B$4:$B$58,0),INDEX($BG$14:$BK$27,MATCH(AH$7,$BG$14:$BG$27,0),5)),""),"")</f>
        <v/>
      </c>
      <c r="AK17" s="37" t="str">
        <f>IF($A17&lt;&gt;"",IF(INDEX(BDHK2,MATCH($A17,DiemHKII!$B$4:$B$58,0),INDEX($BG$14:$BK$27,MATCH(AK$7,$BG$14:$BG$27,0),2))&lt;&gt;"",INDEX(BDHK2,MATCH($A17,DiemHKII!$B$4:$B$58,0),INDEX($BG$14:$BK$27,MATCH(AK$7,$BG$14:$BG$27,0),3)),""),"")</f>
        <v/>
      </c>
      <c r="AL17" s="8" t="str">
        <f>IF($A17&lt;&gt;"",IF(INDEX(BDHK2,MATCH($A17,DiemHKII!$B$4:$B$58,0),INDEX($BG$14:$BK$27,MATCH(AK$7,$BG$14:$BG$27,0),2))&lt;&gt;"",INDEX(BDHK2,MATCH($A17,DiemHKII!$B$4:$B$58,0),INDEX($BG$14:$BK$27,MATCH(AK$7,$BG$14:$BG$27,0),4)),""),"")</f>
        <v/>
      </c>
      <c r="AM17" s="38" t="str">
        <f>IF($A17&lt;&gt;"",IF(INDEX(BDHK2,MATCH($A17,DiemHKII!$B$4:$B$58,0),INDEX($BG$14:$BK$27,MATCH(AK$7,$BG$14:$BG$27,0),2))&lt;&gt;"",INDEX(BDHK2,MATCH($A17,DiemHKII!$B$4:$B$58,0),INDEX($BG$14:$BK$27,MATCH(AK$7,$BG$14:$BG$27,0),5)),""),"")</f>
        <v/>
      </c>
      <c r="AN17" s="34" t="str">
        <f>IF($A17&lt;&gt;"",IF(INDEX(BDHK2,MATCH($A17,DiemHKII!$B$4:$B$58,0),INDEX($BG$14:$BK$27,MATCH(AN$7,$BG$14:$BG$27,0),2))&lt;&gt;"",INDEX(BDHK2,MATCH($A17,DiemHKII!$B$4:$B$58,0),INDEX($BG$14:$BK$27,MATCH(AN$7,$BG$14:$BG$27,0),3)),""),"")</f>
        <v/>
      </c>
      <c r="AO17" s="35" t="str">
        <f>IF($A17&lt;&gt;"",IF(INDEX(BDHK2,MATCH($A17,DiemHKII!$B$4:$B$58,0),INDEX($BG$14:$BK$27,MATCH(AN$7,$BG$14:$BG$27,0),2))&lt;&gt;"",INDEX(BDHK2,MATCH($A17,DiemHKII!$B$4:$B$58,0),INDEX($BG$14:$BK$27,MATCH(AN$7,$BG$14:$BG$27,0),4)),""),"")</f>
        <v/>
      </c>
      <c r="AP17" s="36" t="str">
        <f>IF($A17&lt;&gt;"",IF(INDEX(BDHK2,MATCH($A17,DiemHKII!$B$4:$B$58,0),INDEX($BG$14:$BK$27,MATCH(AN$7,$BG$14:$BG$27,0),2))&lt;&gt;"",INDEX(BDHK2,MATCH($A17,DiemHKII!$B$4:$B$58,0),INDEX($BG$14:$BK$27,MATCH(AN$7,$BG$14:$BG$27,0),5)),""),"")</f>
        <v/>
      </c>
      <c r="AQ17" s="34" t="str">
        <f>IF($A17&lt;&gt;"",IF(INDEX(BDHK2,MATCH($A17,DiemHKII!$B$4:$B$58,0),INDEX($BG$14:$BK$27,MATCH(AQ$7,$BG$14:$BG$27,0),2))&lt;&gt;"",INDEX(BDHK2,MATCH($A17,DiemHKII!$B$4:$B$58,0),INDEX($BG$14:$BK$27,MATCH(AQ$7,$BG$14:$BG$27,0),3)),""),"")</f>
        <v/>
      </c>
      <c r="AR17" s="35" t="str">
        <f>IF($A17&lt;&gt;"",IF(INDEX(BDHK2,MATCH($A17,DiemHKII!$B$4:$B$58,0),INDEX($BG$14:$BK$27,MATCH(AQ$7,$BG$14:$BG$27,0),2))&lt;&gt;"",INDEX(BDHK2,MATCH($A17,DiemHKII!$B$4:$B$58,0),INDEX($BG$14:$BK$27,MATCH(AQ$7,$BG$14:$BG$27,0),4)),""),"")</f>
        <v/>
      </c>
      <c r="AS17" s="36" t="str">
        <f>IF($A17&lt;&gt;"",IF(INDEX(BDHK2,MATCH($A17,DiemHKII!$B$4:$B$58,0),INDEX($BG$14:$BK$27,MATCH(AQ$7,$BG$14:$BG$27,0),2))&lt;&gt;"",INDEX(BDHK2,MATCH($A17,DiemHKII!$B$4:$B$58,0),INDEX($BG$14:$BK$27,MATCH(AQ$7,$BG$14:$BG$27,0),5)),""),"")</f>
        <v/>
      </c>
      <c r="AT17" s="34">
        <f>IFERROR(IF($A17&gt;=1,IF(INDEX(THHKI!$V$8:$Y$62,MATCH($BL17,THHKI!$AG$8:$AG$62,0),1)&lt;&gt;"",INDEX(THHKI!$V$8:$Y$62,MATCH($BL17,THHKI!$AG$8:$AG$62,0),1),""),""),"")</f>
        <v>9.5</v>
      </c>
      <c r="AU17" s="35" t="str">
        <f>IF($A17&gt;=1,IF(INDEX(THHKII!$V$8:$Y$62,MATCH($BL17,THHKII!$AG$8:$AG$62,0),1)&lt;&gt;"",INDEX(THHKII!$V$8:$Y$62,MATCH($BL17,THHKII!$AG$8:$AG$62,0),1),""),"")</f>
        <v/>
      </c>
      <c r="AV17" s="39" t="str">
        <f>IF($A17&gt;=1,IF(INDEX(THCN!$V$8:$Y$62,MATCH($BL17,THCN!$AG$8:$AG$62,0),1)&lt;&gt;"",INDEX(THCN!$V$8:$Y$62,MATCH($BL17,THCN!$AG$8:$AG$62,0),1),""),"")</f>
        <v/>
      </c>
      <c r="AW17" s="40" t="str">
        <f>IFERROR(IF($A17&gt;=1,IF(INDEX(THHKI!$V$8:$Y$62,MATCH($BL17,THHKI!$AG$8:$AG$62,0),2)&lt;&gt;"",INDEX(THHKI!$V$8:$Y$62,MATCH($BL17,THHKI!$AG$8:$AG$62,0),2),""),""),"")</f>
        <v>Giỏi</v>
      </c>
      <c r="AX17" s="8" t="str">
        <f>IF($A17&gt;=1,IF(INDEX(THHKII!$V$8:$Y$62,MATCH($BL17,THHKII!$AG$8:$AG$62,0),2)&lt;&gt;"",INDEX(THHKII!$V$8:$Y$62,MATCH($BL17,THHKII!$AG$8:$AG$62,0),2),""),"")</f>
        <v/>
      </c>
      <c r="AY17" s="467" t="str">
        <f>IF($A17&gt;=1,IF(INDEX(THCN!$V$8:$Y$62,MATCH($BL17,THCN!$AG$8:$AG$62,0),2)&lt;&gt;"",INDEX(THCN!$V$8:$Y$62,MATCH($BL17,THCN!$AG$8:$AG$62,0),2),""),"")</f>
        <v/>
      </c>
      <c r="AZ17" s="37" t="str">
        <f>IFERROR(IF($A17&gt;=1,IF(INDEX(THHKI!$V$8:$Y$62,MATCH($BL17,THHKI!$AG$8:$AG$62,0),3)&lt;&gt;"",INDEX(THHKI!$V$8:$Y$62,MATCH($BL17,THHKI!$AG$8:$AG$62,0),3),""),""),"")</f>
        <v>Tốt</v>
      </c>
      <c r="BA17" s="8" t="str">
        <f>IF($A17&gt;=1,IF(INDEX(THHKII!$V$8:$Y$62,MATCH($BL17,THHKII!$AG$8:$AG$62,0),3)&lt;&gt;"",INDEX(THHKII!$V$8:$Y$62,MATCH($BL17,THHKII!$AG$8:$AG$62,0),3),""),"")</f>
        <v/>
      </c>
      <c r="BB17" s="41" t="str">
        <f>IF($A17&gt;=1,IF(INDEX(THCN!$V$8:$Y$62,MATCH($BL17,THCN!$AG$8:$AG$62,0),3)&lt;&gt;"",INDEX(THCN!$V$8:$Y$62,MATCH($BL17,THCN!$AG$8:$AG$62,0),3),""),"")</f>
        <v/>
      </c>
      <c r="BC17" s="42" t="str">
        <f>IF($A17&gt;=1,IF(INDEX(THCN!$V$8:$Y$62,MATCH($BL17,THCN!$AG$8:$AG$62,0),4)&lt;&gt;"",INDEX(THCN!$V$8:$Y$62,MATCH($BL17,THCN!$AG$8:$AG$62,0),4),""),"")</f>
        <v/>
      </c>
      <c r="BE17" s="31" t="str">
        <f>IFERROR(IF($A17&gt;=1,IF(INDEX(THHKI!$V$8:$Y$62,MATCH($BL17,THHKI!$AG$8:$AG$62,0),4)&lt;&gt;"",INDEX(THHKI!$V$8:$Y$62,MATCH($BL17,THHKI!$AG$8:$AG$62,0),4),""),""),"")</f>
        <v>HSG</v>
      </c>
      <c r="BF17" s="42" t="str">
        <f>IF($A17&gt;=1,IF(INDEX(THHKII!$V$8:$Y$62,MATCH($BL17,THHKII!$AG$8:$AG$62,0),4)&lt;&gt;"",INDEX(THHKII!$V$8:$Y$62,MATCH($BL17,THHKII!$AG$8:$AG$62,0),4),""),"")</f>
        <v/>
      </c>
      <c r="BG17" s="30" t="s">
        <v>29</v>
      </c>
      <c r="BH17" s="30">
        <v>43</v>
      </c>
      <c r="BI17" s="30">
        <v>44</v>
      </c>
      <c r="BJ17" s="30">
        <v>45</v>
      </c>
      <c r="BK17" s="30">
        <v>46</v>
      </c>
      <c r="BL17" s="30" t="str">
        <f>IF($A17&lt;&gt;"",INDEX(DiemHKII!$B$4:$K$58,MATCH($A17,DiemHKII!$B$4:$B$58,0),2),"")</f>
        <v>12A1Nguyễn ThanhDuyên16/11/2004</v>
      </c>
    </row>
    <row r="18" spans="1:64" s="30" customFormat="1" ht="29.1" customHeight="1" thickBot="1">
      <c r="A18" s="43">
        <f>IF(A17&lt;MAX(DiemHKII!$B$4:$B$58),A17+1,"")</f>
        <v>10</v>
      </c>
      <c r="B18" s="44" t="str">
        <f>IF($A18&lt;&gt;"",PROPER(INDEX(DiemHKII!$B$4:$K$58,MATCH($A18,DiemHKII!$B$4:$B$58,0),4)),"")</f>
        <v>Trương Đắc</v>
      </c>
      <c r="C18" s="45" t="str">
        <f>IF($A18&lt;&gt;"",PROPER(INDEX(DiemHKII!$B$4:$K$58,MATCH($A18,DiemHKII!$B$4:$B$58,0),5)),"")</f>
        <v>Điền</v>
      </c>
      <c r="D18" s="46" t="str">
        <f>IF($A18&lt;&gt;"",IF(INDEX(BDHK2,MATCH($A18,DiemHKII!$B$4:$B$58,0),INDEX($BG$14:$BK$27,MATCH(D$7,$BG$14:$BG$27,0),2))&lt;&gt;"",INDEX(BDHK2,MATCH($A18,DiemHKII!$B$4:$B$58,0),INDEX($BG$14:$BK$27,MATCH(D$7,$BG$14:$BG$27,0),3)),""),"")</f>
        <v/>
      </c>
      <c r="E18" s="47" t="str">
        <f>IF($A18&lt;&gt;"",IF(INDEX(BDHK2,MATCH($A18,DiemHKII!$B$4:$B$58,0),INDEX($BG$14:$BK$27,MATCH(D$7,$BG$14:$BG$27,0),2))&lt;&gt;"",INDEX(BDHK2,MATCH($A18,DiemHKII!$B$4:$B$58,0),INDEX($BG$14:$BK$27,MATCH(D$7,$BG$14:$BG$27,0),4)),""),"")</f>
        <v/>
      </c>
      <c r="F18" s="48" t="str">
        <f>IF($A18&lt;&gt;"",IF(INDEX(BDHK2,MATCH($A18,DiemHKII!$B$4:$B$58,0),INDEX($BG$14:$BK$27,MATCH(D$7,$BG$14:$BG$27,0),2))&lt;&gt;"",INDEX(BDHK2,MATCH($A18,DiemHKII!$B$4:$B$58,0),INDEX($BG$14:$BK$27,MATCH(D$7,$BG$14:$BG$27,0),5)),""),"")</f>
        <v/>
      </c>
      <c r="G18" s="46" t="str">
        <f>IF($A18&lt;&gt;"",IF(INDEX(BDHK2,MATCH($A18,DiemHKII!$B$4:$B$58,0),INDEX($BG$14:$BK$27,MATCH(G$7,$BG$14:$BG$27,0),2))&lt;&gt;"",INDEX(BDHK2,MATCH($A18,DiemHKII!$B$4:$B$58,0),INDEX($BG$14:$BK$27,MATCH(G$7,$BG$14:$BG$27,0),3)),""),"")</f>
        <v/>
      </c>
      <c r="H18" s="47" t="str">
        <f>IF($A18&lt;&gt;"",IF(INDEX(BDHK2,MATCH($A18,DiemHKII!$B$4:$B$58,0),INDEX($BG$14:$BK$27,MATCH(G$7,$BG$14:$BG$27,0),2))&lt;&gt;"",INDEX(BDHK2,MATCH($A18,DiemHKII!$B$4:$B$58,0),INDEX($BG$14:$BK$27,MATCH(G$7,$BG$14:$BG$27,0),4)),""),"")</f>
        <v/>
      </c>
      <c r="I18" s="48" t="str">
        <f>IF($A18&lt;&gt;"",IF(INDEX(BDHK2,MATCH($A18,DiemHKII!$B$4:$B$58,0),INDEX($BG$14:$BK$27,MATCH(G$7,$BG$14:$BG$27,0),2))&lt;&gt;"",INDEX(BDHK2,MATCH($A18,DiemHKII!$B$4:$B$58,0),INDEX($BG$14:$BK$27,MATCH(G$7,$BG$14:$BG$27,0),5)),""),"")</f>
        <v/>
      </c>
      <c r="J18" s="46" t="str">
        <f>IF($A18&lt;&gt;"",IF(INDEX(BDHK2,MATCH($A18,DiemHKII!$B$4:$B$58,0),INDEX($BG$14:$BK$27,MATCH(J$7,$BG$14:$BG$27,0),2))&lt;&gt;"",INDEX(BDHK2,MATCH($A18,DiemHKII!$B$4:$B$58,0),INDEX($BG$14:$BK$27,MATCH(J$7,$BG$14:$BG$27,0),3)),""),"")</f>
        <v/>
      </c>
      <c r="K18" s="47" t="str">
        <f>IF($A18&lt;&gt;"",IF(INDEX(BDHK2,MATCH($A18,DiemHKII!$B$4:$B$58,0),INDEX($BG$14:$BK$27,MATCH(J$7,$BG$14:$BG$27,0),2))&lt;&gt;"",INDEX(BDHK2,MATCH($A18,DiemHKII!$B$4:$B$58,0),INDEX($BG$14:$BK$27,MATCH(J$7,$BG$14:$BG$27,0),4)),""),"")</f>
        <v/>
      </c>
      <c r="L18" s="48" t="str">
        <f>IF($A18&lt;&gt;"",IF(INDEX(BDHK2,MATCH($A18,DiemHKII!$B$4:$B$58,0),INDEX($BG$14:$BK$27,MATCH(J$7,$BG$14:$BG$27,0),2))&lt;&gt;"",INDEX(BDHK2,MATCH($A18,DiemHKII!$B$4:$B$58,0),INDEX($BG$14:$BK$27,MATCH(J$7,$BG$14:$BG$27,0),5)),""),"")</f>
        <v/>
      </c>
      <c r="M18" s="46" t="str">
        <f>IF($A18&lt;&gt;"",IF(INDEX(BDHK2,MATCH($A18,DiemHKII!$B$4:$B$58,0),INDEX($BG$14:$BK$27,MATCH(M$7,$BG$14:$BG$27,0),2))&lt;&gt;"",INDEX(BDHK2,MATCH($A18,DiemHKII!$B$4:$B$58,0),INDEX($BG$14:$BK$27,MATCH(M$7,$BG$14:$BG$27,0),3)),""),"")</f>
        <v/>
      </c>
      <c r="N18" s="47" t="str">
        <f>IF($A18&lt;&gt;"",IF(INDEX(BDHK2,MATCH($A18,DiemHKII!$B$4:$B$58,0),INDEX($BG$14:$BK$27,MATCH(M$7,$BG$14:$BG$27,0),2))&lt;&gt;"",INDEX(BDHK2,MATCH($A18,DiemHKII!$B$4:$B$58,0),INDEX($BG$14:$BK$27,MATCH(M$7,$BG$14:$BG$27,0),4)),""),"")</f>
        <v/>
      </c>
      <c r="O18" s="48" t="str">
        <f>IF($A18&lt;&gt;"",IF(INDEX(BDHK2,MATCH($A18,DiemHKII!$B$4:$B$58,0),INDEX($BG$14:$BK$27,MATCH(M$7,$BG$14:$BG$27,0),2))&lt;&gt;"",INDEX(BDHK2,MATCH($A18,DiemHKII!$B$4:$B$58,0),INDEX($BG$14:$BK$27,MATCH(M$7,$BG$14:$BG$27,0),5)),""),"")</f>
        <v/>
      </c>
      <c r="P18" s="46" t="str">
        <f>IF($A18&lt;&gt;"",IF(INDEX(BDHK2,MATCH($A18,DiemHKII!$B$4:$B$58,0),INDEX($BG$14:$BK$27,MATCH(P$7,$BG$14:$BG$27,0),2))&lt;&gt;"",INDEX(BDHK2,MATCH($A18,DiemHKII!$B$4:$B$58,0),INDEX($BG$14:$BK$27,MATCH(P$7,$BG$14:$BG$27,0),3)),""),"")</f>
        <v/>
      </c>
      <c r="Q18" s="47" t="str">
        <f>IF($A18&lt;&gt;"",IF(INDEX(BDHK2,MATCH($A18,DiemHKII!$B$4:$B$58,0),INDEX($BG$14:$BK$27,MATCH(P$7,$BG$14:$BG$27,0),2))&lt;&gt;"",INDEX(BDHK2,MATCH($A18,DiemHKII!$B$4:$B$58,0),INDEX($BG$14:$BK$27,MATCH(P$7,$BG$14:$BG$27,0),4)),""),"")</f>
        <v/>
      </c>
      <c r="R18" s="48" t="str">
        <f>IF($A18&lt;&gt;"",IF(INDEX(BDHK2,MATCH($A18,DiemHKII!$B$4:$B$58,0),INDEX($BG$14:$BK$27,MATCH(P$7,$BG$14:$BG$27,0),2))&lt;&gt;"",INDEX(BDHK2,MATCH($A18,DiemHKII!$B$4:$B$58,0),INDEX($BG$14:$BK$27,MATCH(P$7,$BG$14:$BG$27,0),5)),""),"")</f>
        <v/>
      </c>
      <c r="S18" s="46" t="str">
        <f>IF($A18&lt;&gt;"",IF(INDEX(BDHK2,MATCH($A18,DiemHKII!$B$4:$B$58,0),INDEX($BG$14:$BK$27,MATCH(S$7,$BG$14:$BG$27,0),2))&lt;&gt;"",INDEX(BDHK2,MATCH($A18,DiemHKII!$B$4:$B$58,0),INDEX($BG$14:$BK$27,MATCH(S$7,$BG$14:$BG$27,0),3)),""),"")</f>
        <v/>
      </c>
      <c r="T18" s="47" t="str">
        <f>IF($A18&lt;&gt;"",IF(INDEX(BDHK2,MATCH($A18,DiemHKII!$B$4:$B$58,0),INDEX($BG$14:$BK$27,MATCH(S$7,$BG$14:$BG$27,0),2))&lt;&gt;"",INDEX(BDHK2,MATCH($A18,DiemHKII!$B$4:$B$58,0),INDEX($BG$14:$BK$27,MATCH(S$7,$BG$14:$BG$27,0),4)),""),"")</f>
        <v/>
      </c>
      <c r="U18" s="48" t="str">
        <f>IF($A18&lt;&gt;"",IF(INDEX(BDHK2,MATCH($A18,DiemHKII!$B$4:$B$58,0),INDEX($BG$14:$BK$27,MATCH(S$7,$BG$14:$BG$27,0),2))&lt;&gt;"",INDEX(BDHK2,MATCH($A18,DiemHKII!$B$4:$B$58,0),INDEX($BG$14:$BK$27,MATCH(S$7,$BG$14:$BG$27,0),5)),""),"")</f>
        <v/>
      </c>
      <c r="V18" s="46" t="str">
        <f>IF($A18&lt;&gt;"",IF(INDEX(BDHK2,MATCH($A18,DiemHKII!$B$4:$B$58,0),INDEX($BG$14:$BK$27,MATCH(V$7,$BG$14:$BG$27,0),2))&lt;&gt;"",INDEX(BDHK2,MATCH($A18,DiemHKII!$B$4:$B$58,0),INDEX($BG$14:$BK$27,MATCH(V$7,$BG$14:$BG$27,0),3)),""),"")</f>
        <v/>
      </c>
      <c r="W18" s="47" t="str">
        <f>IF($A18&lt;&gt;"",IF(INDEX(BDHK2,MATCH($A18,DiemHKII!$B$4:$B$58,0),INDEX($BG$14:$BK$27,MATCH(V$7,$BG$14:$BG$27,0),2))&lt;&gt;"",INDEX(BDHK2,MATCH($A18,DiemHKII!$B$4:$B$58,0),INDEX($BG$14:$BK$27,MATCH(V$7,$BG$14:$BG$27,0),4)),""),"")</f>
        <v/>
      </c>
      <c r="X18" s="48" t="str">
        <f>IF($A18&lt;&gt;"",IF(INDEX(BDHK2,MATCH($A18,DiemHKII!$B$4:$B$58,0),INDEX($BG$14:$BK$27,MATCH(V$7,$BG$14:$BG$27,0),2))&lt;&gt;"",INDEX(BDHK2,MATCH($A18,DiemHKII!$B$4:$B$58,0),INDEX($BG$14:$BK$27,MATCH(V$7,$BG$14:$BG$27,0),5)),""),"")</f>
        <v/>
      </c>
      <c r="Y18" s="46" t="str">
        <f>IF($A18&lt;&gt;"",IF(INDEX(BDHK2,MATCH($A18,DiemHKII!$B$4:$B$58,0),INDEX($BG$14:$BK$27,MATCH(Y$7,$BG$14:$BG$27,0),2))&lt;&gt;"",INDEX(BDHK2,MATCH($A18,DiemHKII!$B$4:$B$58,0),INDEX($BG$14:$BK$27,MATCH(Y$7,$BG$14:$BG$27,0),3)),""),"")</f>
        <v/>
      </c>
      <c r="Z18" s="47" t="str">
        <f>IF($A18&lt;&gt;"",IF(INDEX(BDHK2,MATCH($A18,DiemHKII!$B$4:$B$58,0),INDEX($BG$14:$BK$27,MATCH(Y$7,$BG$14:$BG$27,0),2))&lt;&gt;"",INDEX(BDHK2,MATCH($A18,DiemHKII!$B$4:$B$58,0),INDEX($BG$14:$BK$27,MATCH(Y$7,$BG$14:$BG$27,0),4)),""),"")</f>
        <v/>
      </c>
      <c r="AA18" s="48" t="str">
        <f>IF($A18&lt;&gt;"",IF(INDEX(BDHK2,MATCH($A18,DiemHKII!$B$4:$B$58,0),INDEX($BG$14:$BK$27,MATCH(Y$7,$BG$14:$BG$27,0),2))&lt;&gt;"",INDEX(BDHK2,MATCH($A18,DiemHKII!$B$4:$B$58,0),INDEX($BG$14:$BK$27,MATCH(Y$7,$BG$14:$BG$27,0),5)),""),"")</f>
        <v/>
      </c>
      <c r="AB18" s="46" t="str">
        <f>IF($A18&lt;&gt;"",IF(INDEX(BDHK2,MATCH($A18,DiemHKII!$B$4:$B$58,0),INDEX($BG$14:$BK$27,MATCH(AB$7,$BG$14:$BG$27,0),2))&lt;&gt;"",INDEX(BDHK2,MATCH($A18,DiemHKII!$B$4:$B$58,0),INDEX($BG$14:$BK$27,MATCH(AB$7,$BG$14:$BG$27,0),3)),""),"")</f>
        <v/>
      </c>
      <c r="AC18" s="47" t="str">
        <f>IF($A18&lt;&gt;"",IF(INDEX(BDHK2,MATCH($A18,DiemHKII!$B$4:$B$58,0),INDEX($BG$14:$BK$27,MATCH(AB$7,$BG$14:$BG$27,0),2))&lt;&gt;"",INDEX(BDHK2,MATCH($A18,DiemHKII!$B$4:$B$58,0),INDEX($BG$14:$BK$27,MATCH(AB$7,$BG$14:$BG$27,0),4)),""),"")</f>
        <v/>
      </c>
      <c r="AD18" s="48" t="str">
        <f>IF($A18&lt;&gt;"",IF(INDEX(BDHK2,MATCH($A18,DiemHKII!$B$4:$B$58,0),INDEX($BG$14:$BK$27,MATCH(AB$7,$BG$14:$BG$27,0),2))&lt;&gt;"",INDEX(BDHK2,MATCH($A18,DiemHKII!$B$4:$B$58,0),INDEX($BG$14:$BK$27,MATCH(AB$7,$BG$14:$BG$27,0),5)),""),"")</f>
        <v/>
      </c>
      <c r="AE18" s="46" t="str">
        <f>IF($A18&lt;&gt;"",IF(INDEX(BDHK2,MATCH($A18,DiemHKII!$B$4:$B$58,0),INDEX($BG$14:$BK$27,MATCH(AE$7,$BG$14:$BG$27,0),2))&lt;&gt;"",INDEX(BDHK2,MATCH($A18,DiemHKII!$B$4:$B$58,0),INDEX($BG$14:$BK$27,MATCH(AE$7,$BG$14:$BG$27,0),3)),""),"")</f>
        <v/>
      </c>
      <c r="AF18" s="47" t="str">
        <f>IF($A18&lt;&gt;"",IF(INDEX(BDHK2,MATCH($A18,DiemHKII!$B$4:$B$58,0),INDEX($BG$14:$BK$27,MATCH(AE$7,$BG$14:$BG$27,0),2))&lt;&gt;"",INDEX(BDHK2,MATCH($A18,DiemHKII!$B$4:$B$58,0),INDEX($BG$14:$BK$27,MATCH(AE$7,$BG$14:$BG$27,0),4)),""),"")</f>
        <v/>
      </c>
      <c r="AG18" s="48" t="str">
        <f>IF($A18&lt;&gt;"",IF(INDEX(BDHK2,MATCH($A18,DiemHKII!$B$4:$B$58,0),INDEX($BG$14:$BK$27,MATCH(AE$7,$BG$14:$BG$27,0),2))&lt;&gt;"",INDEX(BDHK2,MATCH($A18,DiemHKII!$B$4:$B$58,0),INDEX($BG$14:$BK$27,MATCH(AE$7,$BG$14:$BG$27,0),5)),""),"")</f>
        <v/>
      </c>
      <c r="AH18" s="46" t="str">
        <f>IF($A18&lt;&gt;"",IF(INDEX(BDHK2,MATCH($A18,DiemHKII!$B$4:$B$58,0),INDEX($BG$14:$BK$27,MATCH(AH$7,$BG$14:$BG$27,0),2))&lt;&gt;"",INDEX(BDHK2,MATCH($A18,DiemHKII!$B$4:$B$58,0),INDEX($BG$14:$BK$27,MATCH(AH$7,$BG$14:$BG$27,0),3)),""),"")</f>
        <v/>
      </c>
      <c r="AI18" s="47" t="str">
        <f>IF($A18&lt;&gt;"",IF(INDEX(BDHK2,MATCH($A18,DiemHKII!$B$4:$B$58,0),INDEX($BG$14:$BK$27,MATCH(AH$7,$BG$14:$BG$27,0),2))&lt;&gt;"",INDEX(BDHK2,MATCH($A18,DiemHKII!$B$4:$B$58,0),INDEX($BG$14:$BK$27,MATCH(AH$7,$BG$14:$BG$27,0),4)),""),"")</f>
        <v/>
      </c>
      <c r="AJ18" s="48" t="str">
        <f>IF($A18&lt;&gt;"",IF(INDEX(BDHK2,MATCH($A18,DiemHKII!$B$4:$B$58,0),INDEX($BG$14:$BK$27,MATCH(AH$7,$BG$14:$BG$27,0),2))&lt;&gt;"",INDEX(BDHK2,MATCH($A18,DiemHKII!$B$4:$B$58,0),INDEX($BG$14:$BK$27,MATCH(AH$7,$BG$14:$BG$27,0),5)),""),"")</f>
        <v/>
      </c>
      <c r="AK18" s="49" t="str">
        <f>IF($A18&lt;&gt;"",IF(INDEX(BDHK2,MATCH($A18,DiemHKII!$B$4:$B$58,0),INDEX($BG$14:$BK$27,MATCH(AK$7,$BG$14:$BG$27,0),2))&lt;&gt;"",INDEX(BDHK2,MATCH($A18,DiemHKII!$B$4:$B$58,0),INDEX($BG$14:$BK$27,MATCH(AK$7,$BG$14:$BG$27,0),3)),""),"")</f>
        <v/>
      </c>
      <c r="AL18" s="50" t="str">
        <f>IF($A18&lt;&gt;"",IF(INDEX(BDHK2,MATCH($A18,DiemHKII!$B$4:$B$58,0),INDEX($BG$14:$BK$27,MATCH(AK$7,$BG$14:$BG$27,0),2))&lt;&gt;"",INDEX(BDHK2,MATCH($A18,DiemHKII!$B$4:$B$58,0),INDEX($BG$14:$BK$27,MATCH(AK$7,$BG$14:$BG$27,0),4)),""),"")</f>
        <v/>
      </c>
      <c r="AM18" s="51" t="str">
        <f>IF($A18&lt;&gt;"",IF(INDEX(BDHK2,MATCH($A18,DiemHKII!$B$4:$B$58,0),INDEX($BG$14:$BK$27,MATCH(AK$7,$BG$14:$BG$27,0),2))&lt;&gt;"",INDEX(BDHK2,MATCH($A18,DiemHKII!$B$4:$B$58,0),INDEX($BG$14:$BK$27,MATCH(AK$7,$BG$14:$BG$27,0),5)),""),"")</f>
        <v/>
      </c>
      <c r="AN18" s="46" t="str">
        <f>IF($A18&lt;&gt;"",IF(INDEX(BDHK2,MATCH($A18,DiemHKII!$B$4:$B$58,0),INDEX($BG$14:$BK$27,MATCH(AN$7,$BG$14:$BG$27,0),2))&lt;&gt;"",INDEX(BDHK2,MATCH($A18,DiemHKII!$B$4:$B$58,0),INDEX($BG$14:$BK$27,MATCH(AN$7,$BG$14:$BG$27,0),3)),""),"")</f>
        <v/>
      </c>
      <c r="AO18" s="47" t="str">
        <f>IF($A18&lt;&gt;"",IF(INDEX(BDHK2,MATCH($A18,DiemHKII!$B$4:$B$58,0),INDEX($BG$14:$BK$27,MATCH(AN$7,$BG$14:$BG$27,0),2))&lt;&gt;"",INDEX(BDHK2,MATCH($A18,DiemHKII!$B$4:$B$58,0),INDEX($BG$14:$BK$27,MATCH(AN$7,$BG$14:$BG$27,0),4)),""),"")</f>
        <v/>
      </c>
      <c r="AP18" s="48" t="str">
        <f>IF($A18&lt;&gt;"",IF(INDEX(BDHK2,MATCH($A18,DiemHKII!$B$4:$B$58,0),INDEX($BG$14:$BK$27,MATCH(AN$7,$BG$14:$BG$27,0),2))&lt;&gt;"",INDEX(BDHK2,MATCH($A18,DiemHKII!$B$4:$B$58,0),INDEX($BG$14:$BK$27,MATCH(AN$7,$BG$14:$BG$27,0),5)),""),"")</f>
        <v/>
      </c>
      <c r="AQ18" s="46" t="str">
        <f>IF($A18&lt;&gt;"",IF(INDEX(BDHK2,MATCH($A18,DiemHKII!$B$4:$B$58,0),INDEX($BG$14:$BK$27,MATCH(AQ$7,$BG$14:$BG$27,0),2))&lt;&gt;"",INDEX(BDHK2,MATCH($A18,DiemHKII!$B$4:$B$58,0),INDEX($BG$14:$BK$27,MATCH(AQ$7,$BG$14:$BG$27,0),3)),""),"")</f>
        <v/>
      </c>
      <c r="AR18" s="47" t="str">
        <f>IF($A18&lt;&gt;"",IF(INDEX(BDHK2,MATCH($A18,DiemHKII!$B$4:$B$58,0),INDEX($BG$14:$BK$27,MATCH(AQ$7,$BG$14:$BG$27,0),2))&lt;&gt;"",INDEX(BDHK2,MATCH($A18,DiemHKII!$B$4:$B$58,0),INDEX($BG$14:$BK$27,MATCH(AQ$7,$BG$14:$BG$27,0),4)),""),"")</f>
        <v/>
      </c>
      <c r="AS18" s="48" t="str">
        <f>IF($A18&lt;&gt;"",IF(INDEX(BDHK2,MATCH($A18,DiemHKII!$B$4:$B$58,0),INDEX($BG$14:$BK$27,MATCH(AQ$7,$BG$14:$BG$27,0),2))&lt;&gt;"",INDEX(BDHK2,MATCH($A18,DiemHKII!$B$4:$B$58,0),INDEX($BG$14:$BK$27,MATCH(AQ$7,$BG$14:$BG$27,0),5)),""),"")</f>
        <v/>
      </c>
      <c r="AT18" s="46">
        <f>IFERROR(IF($A18&gt;=1,IF(INDEX(THHKI!$V$8:$Y$62,MATCH($BL18,THHKI!$AG$8:$AG$62,0),1)&lt;&gt;"",INDEX(THHKI!$V$8:$Y$62,MATCH($BL18,THHKI!$AG$8:$AG$62,0),1),""),""),"")</f>
        <v>9.4</v>
      </c>
      <c r="AU18" s="47" t="str">
        <f>IF($A18&gt;=1,IF(INDEX(THHKII!$V$8:$Y$62,MATCH($BL18,THHKII!$AG$8:$AG$62,0),1)&lt;&gt;"",INDEX(THHKII!$V$8:$Y$62,MATCH($BL18,THHKII!$AG$8:$AG$62,0),1),""),"")</f>
        <v/>
      </c>
      <c r="AV18" s="52" t="str">
        <f>IF($A18&gt;=1,IF(INDEX(THCN!$V$8:$Y$62,MATCH($BL18,THCN!$AG$8:$AG$62,0),1)&lt;&gt;"",INDEX(THCN!$V$8:$Y$62,MATCH($BL18,THCN!$AG$8:$AG$62,0),1),""),"")</f>
        <v/>
      </c>
      <c r="AW18" s="53" t="str">
        <f>IFERROR(IF($A18&gt;=1,IF(INDEX(THHKI!$V$8:$Y$62,MATCH($BL18,THHKI!$AG$8:$AG$62,0),2)&lt;&gt;"",INDEX(THHKI!$V$8:$Y$62,MATCH($BL18,THHKI!$AG$8:$AG$62,0),2),""),""),"")</f>
        <v>Giỏi</v>
      </c>
      <c r="AX18" s="50" t="str">
        <f>IF($A18&gt;=1,IF(INDEX(THHKII!$V$8:$Y$62,MATCH($BL18,THHKII!$AG$8:$AG$62,0),2)&lt;&gt;"",INDEX(THHKII!$V$8:$Y$62,MATCH($BL18,THHKII!$AG$8:$AG$62,0),2),""),"")</f>
        <v/>
      </c>
      <c r="AY18" s="54" t="str">
        <f>IF($A18&gt;=1,IF(INDEX(THCN!$V$8:$Y$62,MATCH($BL18,THCN!$AG$8:$AG$62,0),2)&lt;&gt;"",INDEX(THCN!$V$8:$Y$62,MATCH($BL18,THCN!$AG$8:$AG$62,0),2),""),"")</f>
        <v/>
      </c>
      <c r="AZ18" s="49" t="str">
        <f>IFERROR(IF($A18&gt;=1,IF(INDEX(THHKI!$V$8:$Y$62,MATCH($BL18,THHKI!$AG$8:$AG$62,0),3)&lt;&gt;"",INDEX(THHKI!$V$8:$Y$62,MATCH($BL18,THHKI!$AG$8:$AG$62,0),3),""),""),"")</f>
        <v>Tốt</v>
      </c>
      <c r="BA18" s="50" t="str">
        <f>IF($A18&gt;=1,IF(INDEX(THHKII!$V$8:$Y$62,MATCH($BL18,THHKII!$AG$8:$AG$62,0),3)&lt;&gt;"",INDEX(THHKII!$V$8:$Y$62,MATCH($BL18,THHKII!$AG$8:$AG$62,0),3),""),"")</f>
        <v/>
      </c>
      <c r="BB18" s="55" t="str">
        <f>IF($A18&gt;=1,IF(INDEX(THCN!$V$8:$Y$62,MATCH($BL18,THCN!$AG$8:$AG$62,0),3)&lt;&gt;"",INDEX(THCN!$V$8:$Y$62,MATCH($BL18,THCN!$AG$8:$AG$62,0),3),""),"")</f>
        <v/>
      </c>
      <c r="BC18" s="56" t="str">
        <f>IF($A18&gt;=1,IF(INDEX(THCN!$V$8:$Y$62,MATCH($BL18,THCN!$AG$8:$AG$62,0),4)&lt;&gt;"",INDEX(THCN!$V$8:$Y$62,MATCH($BL18,THCN!$AG$8:$AG$62,0),4),""),"")</f>
        <v/>
      </c>
      <c r="BE18" s="43" t="str">
        <f>IFERROR(IF($A18&gt;=1,IF(INDEX(THHKI!$V$8:$Y$62,MATCH($BL18,THHKI!$AG$8:$AG$62,0),4)&lt;&gt;"",INDEX(THHKI!$V$8:$Y$62,MATCH($BL18,THHKI!$AG$8:$AG$62,0),4),""),""),"")</f>
        <v>HSG</v>
      </c>
      <c r="BF18" s="56" t="str">
        <f>IF($A18&gt;=1,IF(INDEX(THHKII!$V$8:$Y$62,MATCH($BL18,THHKII!$AG$8:$AG$62,0),4)&lt;&gt;"",INDEX(THHKII!$V$8:$Y$62,MATCH($BL18,THHKII!$AG$8:$AG$62,0),4),""),"")</f>
        <v/>
      </c>
      <c r="BG18" s="30" t="s">
        <v>120</v>
      </c>
      <c r="BH18" s="30">
        <v>52</v>
      </c>
      <c r="BI18" s="30">
        <v>53</v>
      </c>
      <c r="BJ18" s="30">
        <v>54</v>
      </c>
      <c r="BK18" s="30">
        <v>55</v>
      </c>
      <c r="BL18" s="30" t="str">
        <f>IF($A18&lt;&gt;"",INDEX(DiemHKII!$B$4:$K$58,MATCH($A18,DiemHKII!$B$4:$B$58,0),2),"")</f>
        <v>12A1Trương ĐắcĐiền08/05/2004</v>
      </c>
    </row>
    <row r="19" spans="1:64" s="30" customFormat="1" ht="29.1" customHeight="1">
      <c r="A19" s="16">
        <f>IF(A18&lt;MAX(DiemHKII!$B$4:$B$58),A18+1,"")</f>
        <v>11</v>
      </c>
      <c r="B19" s="17" t="str">
        <f>IF($A19&lt;&gt;"",PROPER(INDEX(DiemHKII!$B$4:$K$58,MATCH($A19,DiemHKII!$B$4:$B$58,0),4)),"")</f>
        <v>Hồ Ngọc</v>
      </c>
      <c r="C19" s="18" t="str">
        <f>IF($A19&lt;&gt;"",PROPER(INDEX(DiemHKII!$B$4:$K$58,MATCH($A19,DiemHKII!$B$4:$B$58,0),5)),"")</f>
        <v>Hải</v>
      </c>
      <c r="D19" s="19" t="str">
        <f>IF($A19&lt;&gt;"",IF(INDEX(BDHK2,MATCH($A19,DiemHKII!$B$4:$B$58,0),INDEX($BG$14:$BK$27,MATCH(D$7,$BG$14:$BG$27,0),2))&lt;&gt;"",INDEX(BDHK2,MATCH($A19,DiemHKII!$B$4:$B$58,0),INDEX($BG$14:$BK$27,MATCH(D$7,$BG$14:$BG$27,0),3)),""),"")</f>
        <v/>
      </c>
      <c r="E19" s="20" t="str">
        <f>IF($A19&lt;&gt;"",IF(INDEX(BDHK2,MATCH($A19,DiemHKII!$B$4:$B$58,0),INDEX($BG$14:$BK$27,MATCH(D$7,$BG$14:$BG$27,0),2))&lt;&gt;"",INDEX(BDHK2,MATCH($A19,DiemHKII!$B$4:$B$58,0),INDEX($BG$14:$BK$27,MATCH(D$7,$BG$14:$BG$27,0),4)),""),"")</f>
        <v/>
      </c>
      <c r="F19" s="21" t="str">
        <f>IF($A19&lt;&gt;"",IF(INDEX(BDHK2,MATCH($A19,DiemHKII!$B$4:$B$58,0),INDEX($BG$14:$BK$27,MATCH(D$7,$BG$14:$BG$27,0),2))&lt;&gt;"",INDEX(BDHK2,MATCH($A19,DiemHKII!$B$4:$B$58,0),INDEX($BG$14:$BK$27,MATCH(D$7,$BG$14:$BG$27,0),5)),""),"")</f>
        <v/>
      </c>
      <c r="G19" s="19" t="str">
        <f>IF($A19&lt;&gt;"",IF(INDEX(BDHK2,MATCH($A19,DiemHKII!$B$4:$B$58,0),INDEX($BG$14:$BK$27,MATCH(G$7,$BG$14:$BG$27,0),2))&lt;&gt;"",INDEX(BDHK2,MATCH($A19,DiemHKII!$B$4:$B$58,0),INDEX($BG$14:$BK$27,MATCH(G$7,$BG$14:$BG$27,0),3)),""),"")</f>
        <v/>
      </c>
      <c r="H19" s="20" t="str">
        <f>IF($A19&lt;&gt;"",IF(INDEX(BDHK2,MATCH($A19,DiemHKII!$B$4:$B$58,0),INDEX($BG$14:$BK$27,MATCH(G$7,$BG$14:$BG$27,0),2))&lt;&gt;"",INDEX(BDHK2,MATCH($A19,DiemHKII!$B$4:$B$58,0),INDEX($BG$14:$BK$27,MATCH(G$7,$BG$14:$BG$27,0),4)),""),"")</f>
        <v/>
      </c>
      <c r="I19" s="21" t="str">
        <f>IF($A19&lt;&gt;"",IF(INDEX(BDHK2,MATCH($A19,DiemHKII!$B$4:$B$58,0),INDEX($BG$14:$BK$27,MATCH(G$7,$BG$14:$BG$27,0),2))&lt;&gt;"",INDEX(BDHK2,MATCH($A19,DiemHKII!$B$4:$B$58,0),INDEX($BG$14:$BK$27,MATCH(G$7,$BG$14:$BG$27,0),5)),""),"")</f>
        <v/>
      </c>
      <c r="J19" s="19" t="str">
        <f>IF($A19&lt;&gt;"",IF(INDEX(BDHK2,MATCH($A19,DiemHKII!$B$4:$B$58,0),INDEX($BG$14:$BK$27,MATCH(J$7,$BG$14:$BG$27,0),2))&lt;&gt;"",INDEX(BDHK2,MATCH($A19,DiemHKII!$B$4:$B$58,0),INDEX($BG$14:$BK$27,MATCH(J$7,$BG$14:$BG$27,0),3)),""),"")</f>
        <v/>
      </c>
      <c r="K19" s="20" t="str">
        <f>IF($A19&lt;&gt;"",IF(INDEX(BDHK2,MATCH($A19,DiemHKII!$B$4:$B$58,0),INDEX($BG$14:$BK$27,MATCH(J$7,$BG$14:$BG$27,0),2))&lt;&gt;"",INDEX(BDHK2,MATCH($A19,DiemHKII!$B$4:$B$58,0),INDEX($BG$14:$BK$27,MATCH(J$7,$BG$14:$BG$27,0),4)),""),"")</f>
        <v/>
      </c>
      <c r="L19" s="21" t="str">
        <f>IF($A19&lt;&gt;"",IF(INDEX(BDHK2,MATCH($A19,DiemHKII!$B$4:$B$58,0),INDEX($BG$14:$BK$27,MATCH(J$7,$BG$14:$BG$27,0),2))&lt;&gt;"",INDEX(BDHK2,MATCH($A19,DiemHKII!$B$4:$B$58,0),INDEX($BG$14:$BK$27,MATCH(J$7,$BG$14:$BG$27,0),5)),""),"")</f>
        <v/>
      </c>
      <c r="M19" s="19" t="str">
        <f>IF($A19&lt;&gt;"",IF(INDEX(BDHK2,MATCH($A19,DiemHKII!$B$4:$B$58,0),INDEX($BG$14:$BK$27,MATCH(M$7,$BG$14:$BG$27,0),2))&lt;&gt;"",INDEX(BDHK2,MATCH($A19,DiemHKII!$B$4:$B$58,0),INDEX($BG$14:$BK$27,MATCH(M$7,$BG$14:$BG$27,0),3)),""),"")</f>
        <v/>
      </c>
      <c r="N19" s="20" t="str">
        <f>IF($A19&lt;&gt;"",IF(INDEX(BDHK2,MATCH($A19,DiemHKII!$B$4:$B$58,0),INDEX($BG$14:$BK$27,MATCH(M$7,$BG$14:$BG$27,0),2))&lt;&gt;"",INDEX(BDHK2,MATCH($A19,DiemHKII!$B$4:$B$58,0),INDEX($BG$14:$BK$27,MATCH(M$7,$BG$14:$BG$27,0),4)),""),"")</f>
        <v/>
      </c>
      <c r="O19" s="21" t="str">
        <f>IF($A19&lt;&gt;"",IF(INDEX(BDHK2,MATCH($A19,DiemHKII!$B$4:$B$58,0),INDEX($BG$14:$BK$27,MATCH(M$7,$BG$14:$BG$27,0),2))&lt;&gt;"",INDEX(BDHK2,MATCH($A19,DiemHKII!$B$4:$B$58,0),INDEX($BG$14:$BK$27,MATCH(M$7,$BG$14:$BG$27,0),5)),""),"")</f>
        <v/>
      </c>
      <c r="P19" s="19" t="str">
        <f>IF($A19&lt;&gt;"",IF(INDEX(BDHK2,MATCH($A19,DiemHKII!$B$4:$B$58,0),INDEX($BG$14:$BK$27,MATCH(P$7,$BG$14:$BG$27,0),2))&lt;&gt;"",INDEX(BDHK2,MATCH($A19,DiemHKII!$B$4:$B$58,0),INDEX($BG$14:$BK$27,MATCH(P$7,$BG$14:$BG$27,0),3)),""),"")</f>
        <v/>
      </c>
      <c r="Q19" s="20" t="str">
        <f>IF($A19&lt;&gt;"",IF(INDEX(BDHK2,MATCH($A19,DiemHKII!$B$4:$B$58,0),INDEX($BG$14:$BK$27,MATCH(P$7,$BG$14:$BG$27,0),2))&lt;&gt;"",INDEX(BDHK2,MATCH($A19,DiemHKII!$B$4:$B$58,0),INDEX($BG$14:$BK$27,MATCH(P$7,$BG$14:$BG$27,0),4)),""),"")</f>
        <v/>
      </c>
      <c r="R19" s="21" t="str">
        <f>IF($A19&lt;&gt;"",IF(INDEX(BDHK2,MATCH($A19,DiemHKII!$B$4:$B$58,0),INDEX($BG$14:$BK$27,MATCH(P$7,$BG$14:$BG$27,0),2))&lt;&gt;"",INDEX(BDHK2,MATCH($A19,DiemHKII!$B$4:$B$58,0),INDEX($BG$14:$BK$27,MATCH(P$7,$BG$14:$BG$27,0),5)),""),"")</f>
        <v/>
      </c>
      <c r="S19" s="19" t="str">
        <f>IF($A19&lt;&gt;"",IF(INDEX(BDHK2,MATCH($A19,DiemHKII!$B$4:$B$58,0),INDEX($BG$14:$BK$27,MATCH(S$7,$BG$14:$BG$27,0),2))&lt;&gt;"",INDEX(BDHK2,MATCH($A19,DiemHKII!$B$4:$B$58,0),INDEX($BG$14:$BK$27,MATCH(S$7,$BG$14:$BG$27,0),3)),""),"")</f>
        <v/>
      </c>
      <c r="T19" s="20" t="str">
        <f>IF($A19&lt;&gt;"",IF(INDEX(BDHK2,MATCH($A19,DiemHKII!$B$4:$B$58,0),INDEX($BG$14:$BK$27,MATCH(S$7,$BG$14:$BG$27,0),2))&lt;&gt;"",INDEX(BDHK2,MATCH($A19,DiemHKII!$B$4:$B$58,0),INDEX($BG$14:$BK$27,MATCH(S$7,$BG$14:$BG$27,0),4)),""),"")</f>
        <v/>
      </c>
      <c r="U19" s="21" t="str">
        <f>IF($A19&lt;&gt;"",IF(INDEX(BDHK2,MATCH($A19,DiemHKII!$B$4:$B$58,0),INDEX($BG$14:$BK$27,MATCH(S$7,$BG$14:$BG$27,0),2))&lt;&gt;"",INDEX(BDHK2,MATCH($A19,DiemHKII!$B$4:$B$58,0),INDEX($BG$14:$BK$27,MATCH(S$7,$BG$14:$BG$27,0),5)),""),"")</f>
        <v/>
      </c>
      <c r="V19" s="19" t="str">
        <f>IF($A19&lt;&gt;"",IF(INDEX(BDHK2,MATCH($A19,DiemHKII!$B$4:$B$58,0),INDEX($BG$14:$BK$27,MATCH(V$7,$BG$14:$BG$27,0),2))&lt;&gt;"",INDEX(BDHK2,MATCH($A19,DiemHKII!$B$4:$B$58,0),INDEX($BG$14:$BK$27,MATCH(V$7,$BG$14:$BG$27,0),3)),""),"")</f>
        <v/>
      </c>
      <c r="W19" s="20" t="str">
        <f>IF($A19&lt;&gt;"",IF(INDEX(BDHK2,MATCH($A19,DiemHKII!$B$4:$B$58,0),INDEX($BG$14:$BK$27,MATCH(V$7,$BG$14:$BG$27,0),2))&lt;&gt;"",INDEX(BDHK2,MATCH($A19,DiemHKII!$B$4:$B$58,0),INDEX($BG$14:$BK$27,MATCH(V$7,$BG$14:$BG$27,0),4)),""),"")</f>
        <v/>
      </c>
      <c r="X19" s="21" t="str">
        <f>IF($A19&lt;&gt;"",IF(INDEX(BDHK2,MATCH($A19,DiemHKII!$B$4:$B$58,0),INDEX($BG$14:$BK$27,MATCH(V$7,$BG$14:$BG$27,0),2))&lt;&gt;"",INDEX(BDHK2,MATCH($A19,DiemHKII!$B$4:$B$58,0),INDEX($BG$14:$BK$27,MATCH(V$7,$BG$14:$BG$27,0),5)),""),"")</f>
        <v/>
      </c>
      <c r="Y19" s="19" t="str">
        <f>IF($A19&lt;&gt;"",IF(INDEX(BDHK2,MATCH($A19,DiemHKII!$B$4:$B$58,0),INDEX($BG$14:$BK$27,MATCH(Y$7,$BG$14:$BG$27,0),2))&lt;&gt;"",INDEX(BDHK2,MATCH($A19,DiemHKII!$B$4:$B$58,0),INDEX($BG$14:$BK$27,MATCH(Y$7,$BG$14:$BG$27,0),3)),""),"")</f>
        <v/>
      </c>
      <c r="Z19" s="20" t="str">
        <f>IF($A19&lt;&gt;"",IF(INDEX(BDHK2,MATCH($A19,DiemHKII!$B$4:$B$58,0),INDEX($BG$14:$BK$27,MATCH(Y$7,$BG$14:$BG$27,0),2))&lt;&gt;"",INDEX(BDHK2,MATCH($A19,DiemHKII!$B$4:$B$58,0),INDEX($BG$14:$BK$27,MATCH(Y$7,$BG$14:$BG$27,0),4)),""),"")</f>
        <v/>
      </c>
      <c r="AA19" s="21" t="str">
        <f>IF($A19&lt;&gt;"",IF(INDEX(BDHK2,MATCH($A19,DiemHKII!$B$4:$B$58,0),INDEX($BG$14:$BK$27,MATCH(Y$7,$BG$14:$BG$27,0),2))&lt;&gt;"",INDEX(BDHK2,MATCH($A19,DiemHKII!$B$4:$B$58,0),INDEX($BG$14:$BK$27,MATCH(Y$7,$BG$14:$BG$27,0),5)),""),"")</f>
        <v/>
      </c>
      <c r="AB19" s="19" t="str">
        <f>IF($A19&lt;&gt;"",IF(INDEX(BDHK2,MATCH($A19,DiemHKII!$B$4:$B$58,0),INDEX($BG$14:$BK$27,MATCH(AB$7,$BG$14:$BG$27,0),2))&lt;&gt;"",INDEX(BDHK2,MATCH($A19,DiemHKII!$B$4:$B$58,0),INDEX($BG$14:$BK$27,MATCH(AB$7,$BG$14:$BG$27,0),3)),""),"")</f>
        <v/>
      </c>
      <c r="AC19" s="20" t="str">
        <f>IF($A19&lt;&gt;"",IF(INDEX(BDHK2,MATCH($A19,DiemHKII!$B$4:$B$58,0),INDEX($BG$14:$BK$27,MATCH(AB$7,$BG$14:$BG$27,0),2))&lt;&gt;"",INDEX(BDHK2,MATCH($A19,DiemHKII!$B$4:$B$58,0),INDEX($BG$14:$BK$27,MATCH(AB$7,$BG$14:$BG$27,0),4)),""),"")</f>
        <v/>
      </c>
      <c r="AD19" s="21" t="str">
        <f>IF($A19&lt;&gt;"",IF(INDEX(BDHK2,MATCH($A19,DiemHKII!$B$4:$B$58,0),INDEX($BG$14:$BK$27,MATCH(AB$7,$BG$14:$BG$27,0),2))&lt;&gt;"",INDEX(BDHK2,MATCH($A19,DiemHKII!$B$4:$B$58,0),INDEX($BG$14:$BK$27,MATCH(AB$7,$BG$14:$BG$27,0),5)),""),"")</f>
        <v/>
      </c>
      <c r="AE19" s="19" t="str">
        <f>IF($A19&lt;&gt;"",IF(INDEX(BDHK2,MATCH($A19,DiemHKII!$B$4:$B$58,0),INDEX($BG$14:$BK$27,MATCH(AE$7,$BG$14:$BG$27,0),2))&lt;&gt;"",INDEX(BDHK2,MATCH($A19,DiemHKII!$B$4:$B$58,0),INDEX($BG$14:$BK$27,MATCH(AE$7,$BG$14:$BG$27,0),3)),""),"")</f>
        <v/>
      </c>
      <c r="AF19" s="20" t="str">
        <f>IF($A19&lt;&gt;"",IF(INDEX(BDHK2,MATCH($A19,DiemHKII!$B$4:$B$58,0),INDEX($BG$14:$BK$27,MATCH(AE$7,$BG$14:$BG$27,0),2))&lt;&gt;"",INDEX(BDHK2,MATCH($A19,DiemHKII!$B$4:$B$58,0),INDEX($BG$14:$BK$27,MATCH(AE$7,$BG$14:$BG$27,0),4)),""),"")</f>
        <v/>
      </c>
      <c r="AG19" s="21" t="str">
        <f>IF($A19&lt;&gt;"",IF(INDEX(BDHK2,MATCH($A19,DiemHKII!$B$4:$B$58,0),INDEX($BG$14:$BK$27,MATCH(AE$7,$BG$14:$BG$27,0),2))&lt;&gt;"",INDEX(BDHK2,MATCH($A19,DiemHKII!$B$4:$B$58,0),INDEX($BG$14:$BK$27,MATCH(AE$7,$BG$14:$BG$27,0),5)),""),"")</f>
        <v/>
      </c>
      <c r="AH19" s="19" t="str">
        <f>IF($A19&lt;&gt;"",IF(INDEX(BDHK2,MATCH($A19,DiemHKII!$B$4:$B$58,0),INDEX($BG$14:$BK$27,MATCH(AH$7,$BG$14:$BG$27,0),2))&lt;&gt;"",INDEX(BDHK2,MATCH($A19,DiemHKII!$B$4:$B$58,0),INDEX($BG$14:$BK$27,MATCH(AH$7,$BG$14:$BG$27,0),3)),""),"")</f>
        <v/>
      </c>
      <c r="AI19" s="20" t="str">
        <f>IF($A19&lt;&gt;"",IF(INDEX(BDHK2,MATCH($A19,DiemHKII!$B$4:$B$58,0),INDEX($BG$14:$BK$27,MATCH(AH$7,$BG$14:$BG$27,0),2))&lt;&gt;"",INDEX(BDHK2,MATCH($A19,DiemHKII!$B$4:$B$58,0),INDEX($BG$14:$BK$27,MATCH(AH$7,$BG$14:$BG$27,0),4)),""),"")</f>
        <v/>
      </c>
      <c r="AJ19" s="21" t="str">
        <f>IF($A19&lt;&gt;"",IF(INDEX(BDHK2,MATCH($A19,DiemHKII!$B$4:$B$58,0),INDEX($BG$14:$BK$27,MATCH(AH$7,$BG$14:$BG$27,0),2))&lt;&gt;"",INDEX(BDHK2,MATCH($A19,DiemHKII!$B$4:$B$58,0),INDEX($BG$14:$BK$27,MATCH(AH$7,$BG$14:$BG$27,0),5)),""),"")</f>
        <v/>
      </c>
      <c r="AK19" s="22" t="str">
        <f>IF($A19&lt;&gt;"",IF(INDEX(BDHK2,MATCH($A19,DiemHKII!$B$4:$B$58,0),INDEX($BG$14:$BK$27,MATCH(AK$7,$BG$14:$BG$27,0),2))&lt;&gt;"",INDEX(BDHK2,MATCH($A19,DiemHKII!$B$4:$B$58,0),INDEX($BG$14:$BK$27,MATCH(AK$7,$BG$14:$BG$27,0),3)),""),"")</f>
        <v/>
      </c>
      <c r="AL19" s="23" t="str">
        <f>IF($A19&lt;&gt;"",IF(INDEX(BDHK2,MATCH($A19,DiemHKII!$B$4:$B$58,0),INDEX($BG$14:$BK$27,MATCH(AK$7,$BG$14:$BG$27,0),2))&lt;&gt;"",INDEX(BDHK2,MATCH($A19,DiemHKII!$B$4:$B$58,0),INDEX($BG$14:$BK$27,MATCH(AK$7,$BG$14:$BG$27,0),4)),""),"")</f>
        <v/>
      </c>
      <c r="AM19" s="24" t="str">
        <f>IF($A19&lt;&gt;"",IF(INDEX(BDHK2,MATCH($A19,DiemHKII!$B$4:$B$58,0),INDEX($BG$14:$BK$27,MATCH(AK$7,$BG$14:$BG$27,0),2))&lt;&gt;"",INDEX(BDHK2,MATCH($A19,DiemHKII!$B$4:$B$58,0),INDEX($BG$14:$BK$27,MATCH(AK$7,$BG$14:$BG$27,0),5)),""),"")</f>
        <v/>
      </c>
      <c r="AN19" s="19" t="str">
        <f>IF($A19&lt;&gt;"",IF(INDEX(BDHK2,MATCH($A19,DiemHKII!$B$4:$B$58,0),INDEX($BG$14:$BK$27,MATCH(AN$7,$BG$14:$BG$27,0),2))&lt;&gt;"",INDEX(BDHK2,MATCH($A19,DiemHKII!$B$4:$B$58,0),INDEX($BG$14:$BK$27,MATCH(AN$7,$BG$14:$BG$27,0),3)),""),"")</f>
        <v/>
      </c>
      <c r="AO19" s="20" t="str">
        <f>IF($A19&lt;&gt;"",IF(INDEX(BDHK2,MATCH($A19,DiemHKII!$B$4:$B$58,0),INDEX($BG$14:$BK$27,MATCH(AN$7,$BG$14:$BG$27,0),2))&lt;&gt;"",INDEX(BDHK2,MATCH($A19,DiemHKII!$B$4:$B$58,0),INDEX($BG$14:$BK$27,MATCH(AN$7,$BG$14:$BG$27,0),4)),""),"")</f>
        <v/>
      </c>
      <c r="AP19" s="21" t="str">
        <f>IF($A19&lt;&gt;"",IF(INDEX(BDHK2,MATCH($A19,DiemHKII!$B$4:$B$58,0),INDEX($BG$14:$BK$27,MATCH(AN$7,$BG$14:$BG$27,0),2))&lt;&gt;"",INDEX(BDHK2,MATCH($A19,DiemHKII!$B$4:$B$58,0),INDEX($BG$14:$BK$27,MATCH(AN$7,$BG$14:$BG$27,0),5)),""),"")</f>
        <v/>
      </c>
      <c r="AQ19" s="19" t="str">
        <f>IF($A19&lt;&gt;"",IF(INDEX(BDHK2,MATCH($A19,DiemHKII!$B$4:$B$58,0),INDEX($BG$14:$BK$27,MATCH(AQ$7,$BG$14:$BG$27,0),2))&lt;&gt;"",INDEX(BDHK2,MATCH($A19,DiemHKII!$B$4:$B$58,0),INDEX($BG$14:$BK$27,MATCH(AQ$7,$BG$14:$BG$27,0),3)),""),"")</f>
        <v/>
      </c>
      <c r="AR19" s="20" t="str">
        <f>IF($A19&lt;&gt;"",IF(INDEX(BDHK2,MATCH($A19,DiemHKII!$B$4:$B$58,0),INDEX($BG$14:$BK$27,MATCH(AQ$7,$BG$14:$BG$27,0),2))&lt;&gt;"",INDEX(BDHK2,MATCH($A19,DiemHKII!$B$4:$B$58,0),INDEX($BG$14:$BK$27,MATCH(AQ$7,$BG$14:$BG$27,0),4)),""),"")</f>
        <v/>
      </c>
      <c r="AS19" s="21" t="str">
        <f>IF($A19&lt;&gt;"",IF(INDEX(BDHK2,MATCH($A19,DiemHKII!$B$4:$B$58,0),INDEX($BG$14:$BK$27,MATCH(AQ$7,$BG$14:$BG$27,0),2))&lt;&gt;"",INDEX(BDHK2,MATCH($A19,DiemHKII!$B$4:$B$58,0),INDEX($BG$14:$BK$27,MATCH(AQ$7,$BG$14:$BG$27,0),5)),""),"")</f>
        <v/>
      </c>
      <c r="AT19" s="19">
        <f>IFERROR(IF($A19&gt;=1,IF(INDEX(THHKI!$V$8:$Y$62,MATCH($BL19,THHKI!$AG$8:$AG$62,0),1)&lt;&gt;"",INDEX(THHKI!$V$8:$Y$62,MATCH($BL19,THHKI!$AG$8:$AG$62,0),1),""),""),"")</f>
        <v>9.1999999999999993</v>
      </c>
      <c r="AU19" s="20" t="str">
        <f>IF($A19&gt;=1,IF(INDEX(THHKII!$V$8:$Y$62,MATCH($BL19,THHKII!$AG$8:$AG$62,0),1)&lt;&gt;"",INDEX(THHKII!$V$8:$Y$62,MATCH($BL19,THHKII!$AG$8:$AG$62,0),1),""),"")</f>
        <v/>
      </c>
      <c r="AV19" s="25" t="str">
        <f>IF($A19&gt;=1,IF(INDEX(THCN!$V$8:$Y$62,MATCH($BL19,THCN!$AG$8:$AG$62,0),1)&lt;&gt;"",INDEX(THCN!$V$8:$Y$62,MATCH($BL19,THCN!$AG$8:$AG$62,0),1),""),"")</f>
        <v/>
      </c>
      <c r="AW19" s="26" t="str">
        <f>IFERROR(IF($A19&gt;=1,IF(INDEX(THHKI!$V$8:$Y$62,MATCH($BL19,THHKI!$AG$8:$AG$62,0),2)&lt;&gt;"",INDEX(THHKI!$V$8:$Y$62,MATCH($BL19,THHKI!$AG$8:$AG$62,0),2),""),""),"")</f>
        <v>Giỏi</v>
      </c>
      <c r="AX19" s="23" t="str">
        <f>IF($A19&gt;=1,IF(INDEX(THHKII!$V$8:$Y$62,MATCH($BL19,THHKII!$AG$8:$AG$62,0),2)&lt;&gt;"",INDEX(THHKII!$V$8:$Y$62,MATCH($BL19,THHKII!$AG$8:$AG$62,0),2),""),"")</f>
        <v/>
      </c>
      <c r="AY19" s="27" t="str">
        <f>IF($A19&gt;=1,IF(INDEX(THCN!$V$8:$Y$62,MATCH($BL19,THCN!$AG$8:$AG$62,0),2)&lt;&gt;"",INDEX(THCN!$V$8:$Y$62,MATCH($BL19,THCN!$AG$8:$AG$62,0),2),""),"")</f>
        <v/>
      </c>
      <c r="AZ19" s="22" t="str">
        <f>IFERROR(IF($A19&gt;=1,IF(INDEX(THHKI!$V$8:$Y$62,MATCH($BL19,THHKI!$AG$8:$AG$62,0),3)&lt;&gt;"",INDEX(THHKI!$V$8:$Y$62,MATCH($BL19,THHKI!$AG$8:$AG$62,0),3),""),""),"")</f>
        <v>Tốt</v>
      </c>
      <c r="BA19" s="23" t="str">
        <f>IF($A19&gt;=1,IF(INDEX(THHKII!$V$8:$Y$62,MATCH($BL19,THHKII!$AG$8:$AG$62,0),3)&lt;&gt;"",INDEX(THHKII!$V$8:$Y$62,MATCH($BL19,THHKII!$AG$8:$AG$62,0),3),""),"")</f>
        <v/>
      </c>
      <c r="BB19" s="28" t="str">
        <f>IF($A19&gt;=1,IF(INDEX(THCN!$V$8:$Y$62,MATCH($BL19,THCN!$AG$8:$AG$62,0),3)&lt;&gt;"",INDEX(THCN!$V$8:$Y$62,MATCH($BL19,THCN!$AG$8:$AG$62,0),3),""),"")</f>
        <v/>
      </c>
      <c r="BC19" s="29" t="str">
        <f>IF($A19&gt;=1,IF(INDEX(THCN!$V$8:$Y$62,MATCH($BL19,THCN!$AG$8:$AG$62,0),4)&lt;&gt;"",INDEX(THCN!$V$8:$Y$62,MATCH($BL19,THCN!$AG$8:$AG$62,0),4),""),"")</f>
        <v/>
      </c>
      <c r="BE19" s="16" t="str">
        <f>IFERROR(IF($A19&gt;=1,IF(INDEX(THHKI!$V$8:$Y$62,MATCH($BL19,THHKI!$AG$8:$AG$62,0),4)&lt;&gt;"",INDEX(THHKI!$V$8:$Y$62,MATCH($BL19,THHKI!$AG$8:$AG$62,0),4),""),""),"")</f>
        <v>HSG</v>
      </c>
      <c r="BF19" s="29" t="str">
        <f>IF($A19&gt;=1,IF(INDEX(THHKII!$V$8:$Y$62,MATCH($BL19,THHKII!$AG$8:$AG$62,0),4)&lt;&gt;"",INDEX(THHKII!$V$8:$Y$62,MATCH($BL19,THHKII!$AG$8:$AG$62,0),4),""),"")</f>
        <v/>
      </c>
      <c r="BG19" s="30" t="s">
        <v>30</v>
      </c>
      <c r="BH19" s="30">
        <v>61</v>
      </c>
      <c r="BI19" s="30">
        <v>62</v>
      </c>
      <c r="BJ19" s="30">
        <v>63</v>
      </c>
      <c r="BK19" s="30">
        <v>64</v>
      </c>
      <c r="BL19" s="30" t="str">
        <f>IF($A19&lt;&gt;"",INDEX(DiemHKII!$B$4:$K$58,MATCH($A19,DiemHKII!$B$4:$B$58,0),2),"")</f>
        <v>12A1Hồ NgọcHải25/10/2004</v>
      </c>
    </row>
    <row r="20" spans="1:64" s="30" customFormat="1" ht="29.1" customHeight="1">
      <c r="A20" s="31">
        <f>IF(A19&lt;MAX(DiemHKII!$B$4:$B$58),A19+1,"")</f>
        <v>12</v>
      </c>
      <c r="B20" s="32" t="str">
        <f>IF($A20&lt;&gt;"",PROPER(INDEX(DiemHKII!$B$4:$K$58,MATCH($A20,DiemHKII!$B$4:$B$58,0),4)),"")</f>
        <v>Hồ Sơn</v>
      </c>
      <c r="C20" s="33" t="str">
        <f>IF($A20&lt;&gt;"",PROPER(INDEX(DiemHKII!$B$4:$K$58,MATCH($A20,DiemHKII!$B$4:$B$58,0),5)),"")</f>
        <v>Hậu</v>
      </c>
      <c r="D20" s="34" t="str">
        <f>IF($A20&lt;&gt;"",IF(INDEX(BDHK2,MATCH($A20,DiemHKII!$B$4:$B$58,0),INDEX($BG$14:$BK$27,MATCH(D$7,$BG$14:$BG$27,0),2))&lt;&gt;"",INDEX(BDHK2,MATCH($A20,DiemHKII!$B$4:$B$58,0),INDEX($BG$14:$BK$27,MATCH(D$7,$BG$14:$BG$27,0),3)),""),"")</f>
        <v/>
      </c>
      <c r="E20" s="35" t="str">
        <f>IF($A20&lt;&gt;"",IF(INDEX(BDHK2,MATCH($A20,DiemHKII!$B$4:$B$58,0),INDEX($BG$14:$BK$27,MATCH(D$7,$BG$14:$BG$27,0),2))&lt;&gt;"",INDEX(BDHK2,MATCH($A20,DiemHKII!$B$4:$B$58,0),INDEX($BG$14:$BK$27,MATCH(D$7,$BG$14:$BG$27,0),4)),""),"")</f>
        <v/>
      </c>
      <c r="F20" s="36" t="str">
        <f>IF($A20&lt;&gt;"",IF(INDEX(BDHK2,MATCH($A20,DiemHKII!$B$4:$B$58,0),INDEX($BG$14:$BK$27,MATCH(D$7,$BG$14:$BG$27,0),2))&lt;&gt;"",INDEX(BDHK2,MATCH($A20,DiemHKII!$B$4:$B$58,0),INDEX($BG$14:$BK$27,MATCH(D$7,$BG$14:$BG$27,0),5)),""),"")</f>
        <v/>
      </c>
      <c r="G20" s="34" t="str">
        <f>IF($A20&lt;&gt;"",IF(INDEX(BDHK2,MATCH($A20,DiemHKII!$B$4:$B$58,0),INDEX($BG$14:$BK$27,MATCH(G$7,$BG$14:$BG$27,0),2))&lt;&gt;"",INDEX(BDHK2,MATCH($A20,DiemHKII!$B$4:$B$58,0),INDEX($BG$14:$BK$27,MATCH(G$7,$BG$14:$BG$27,0),3)),""),"")</f>
        <v/>
      </c>
      <c r="H20" s="35" t="str">
        <f>IF($A20&lt;&gt;"",IF(INDEX(BDHK2,MATCH($A20,DiemHKII!$B$4:$B$58,0),INDEX($BG$14:$BK$27,MATCH(G$7,$BG$14:$BG$27,0),2))&lt;&gt;"",INDEX(BDHK2,MATCH($A20,DiemHKII!$B$4:$B$58,0),INDEX($BG$14:$BK$27,MATCH(G$7,$BG$14:$BG$27,0),4)),""),"")</f>
        <v/>
      </c>
      <c r="I20" s="36" t="str">
        <f>IF($A20&lt;&gt;"",IF(INDEX(BDHK2,MATCH($A20,DiemHKII!$B$4:$B$58,0),INDEX($BG$14:$BK$27,MATCH(G$7,$BG$14:$BG$27,0),2))&lt;&gt;"",INDEX(BDHK2,MATCH($A20,DiemHKII!$B$4:$B$58,0),INDEX($BG$14:$BK$27,MATCH(G$7,$BG$14:$BG$27,0),5)),""),"")</f>
        <v/>
      </c>
      <c r="J20" s="34" t="str">
        <f>IF($A20&lt;&gt;"",IF(INDEX(BDHK2,MATCH($A20,DiemHKII!$B$4:$B$58,0),INDEX($BG$14:$BK$27,MATCH(J$7,$BG$14:$BG$27,0),2))&lt;&gt;"",INDEX(BDHK2,MATCH($A20,DiemHKII!$B$4:$B$58,0),INDEX($BG$14:$BK$27,MATCH(J$7,$BG$14:$BG$27,0),3)),""),"")</f>
        <v/>
      </c>
      <c r="K20" s="35" t="str">
        <f>IF($A20&lt;&gt;"",IF(INDEX(BDHK2,MATCH($A20,DiemHKII!$B$4:$B$58,0),INDEX($BG$14:$BK$27,MATCH(J$7,$BG$14:$BG$27,0),2))&lt;&gt;"",INDEX(BDHK2,MATCH($A20,DiemHKII!$B$4:$B$58,0),INDEX($BG$14:$BK$27,MATCH(J$7,$BG$14:$BG$27,0),4)),""),"")</f>
        <v/>
      </c>
      <c r="L20" s="36" t="str">
        <f>IF($A20&lt;&gt;"",IF(INDEX(BDHK2,MATCH($A20,DiemHKII!$B$4:$B$58,0),INDEX($BG$14:$BK$27,MATCH(J$7,$BG$14:$BG$27,0),2))&lt;&gt;"",INDEX(BDHK2,MATCH($A20,DiemHKII!$B$4:$B$58,0),INDEX($BG$14:$BK$27,MATCH(J$7,$BG$14:$BG$27,0),5)),""),"")</f>
        <v/>
      </c>
      <c r="M20" s="34" t="str">
        <f>IF($A20&lt;&gt;"",IF(INDEX(BDHK2,MATCH($A20,DiemHKII!$B$4:$B$58,0),INDEX($BG$14:$BK$27,MATCH(M$7,$BG$14:$BG$27,0),2))&lt;&gt;"",INDEX(BDHK2,MATCH($A20,DiemHKII!$B$4:$B$58,0),INDEX($BG$14:$BK$27,MATCH(M$7,$BG$14:$BG$27,0),3)),""),"")</f>
        <v/>
      </c>
      <c r="N20" s="35" t="str">
        <f>IF($A20&lt;&gt;"",IF(INDEX(BDHK2,MATCH($A20,DiemHKII!$B$4:$B$58,0),INDEX($BG$14:$BK$27,MATCH(M$7,$BG$14:$BG$27,0),2))&lt;&gt;"",INDEX(BDHK2,MATCH($A20,DiemHKII!$B$4:$B$58,0),INDEX($BG$14:$BK$27,MATCH(M$7,$BG$14:$BG$27,0),4)),""),"")</f>
        <v/>
      </c>
      <c r="O20" s="36" t="str">
        <f>IF($A20&lt;&gt;"",IF(INDEX(BDHK2,MATCH($A20,DiemHKII!$B$4:$B$58,0),INDEX($BG$14:$BK$27,MATCH(M$7,$BG$14:$BG$27,0),2))&lt;&gt;"",INDEX(BDHK2,MATCH($A20,DiemHKII!$B$4:$B$58,0),INDEX($BG$14:$BK$27,MATCH(M$7,$BG$14:$BG$27,0),5)),""),"")</f>
        <v/>
      </c>
      <c r="P20" s="34" t="str">
        <f>IF($A20&lt;&gt;"",IF(INDEX(BDHK2,MATCH($A20,DiemHKII!$B$4:$B$58,0),INDEX($BG$14:$BK$27,MATCH(P$7,$BG$14:$BG$27,0),2))&lt;&gt;"",INDEX(BDHK2,MATCH($A20,DiemHKII!$B$4:$B$58,0),INDEX($BG$14:$BK$27,MATCH(P$7,$BG$14:$BG$27,0),3)),""),"")</f>
        <v/>
      </c>
      <c r="Q20" s="35" t="str">
        <f>IF($A20&lt;&gt;"",IF(INDEX(BDHK2,MATCH($A20,DiemHKII!$B$4:$B$58,0),INDEX($BG$14:$BK$27,MATCH(P$7,$BG$14:$BG$27,0),2))&lt;&gt;"",INDEX(BDHK2,MATCH($A20,DiemHKII!$B$4:$B$58,0),INDEX($BG$14:$BK$27,MATCH(P$7,$BG$14:$BG$27,0),4)),""),"")</f>
        <v/>
      </c>
      <c r="R20" s="36" t="str">
        <f>IF($A20&lt;&gt;"",IF(INDEX(BDHK2,MATCH($A20,DiemHKII!$B$4:$B$58,0),INDEX($BG$14:$BK$27,MATCH(P$7,$BG$14:$BG$27,0),2))&lt;&gt;"",INDEX(BDHK2,MATCH($A20,DiemHKII!$B$4:$B$58,0),INDEX($BG$14:$BK$27,MATCH(P$7,$BG$14:$BG$27,0),5)),""),"")</f>
        <v/>
      </c>
      <c r="S20" s="34" t="str">
        <f>IF($A20&lt;&gt;"",IF(INDEX(BDHK2,MATCH($A20,DiemHKII!$B$4:$B$58,0),INDEX($BG$14:$BK$27,MATCH(S$7,$BG$14:$BG$27,0),2))&lt;&gt;"",INDEX(BDHK2,MATCH($A20,DiemHKII!$B$4:$B$58,0),INDEX($BG$14:$BK$27,MATCH(S$7,$BG$14:$BG$27,0),3)),""),"")</f>
        <v/>
      </c>
      <c r="T20" s="35" t="str">
        <f>IF($A20&lt;&gt;"",IF(INDEX(BDHK2,MATCH($A20,DiemHKII!$B$4:$B$58,0),INDEX($BG$14:$BK$27,MATCH(S$7,$BG$14:$BG$27,0),2))&lt;&gt;"",INDEX(BDHK2,MATCH($A20,DiemHKII!$B$4:$B$58,0),INDEX($BG$14:$BK$27,MATCH(S$7,$BG$14:$BG$27,0),4)),""),"")</f>
        <v/>
      </c>
      <c r="U20" s="36" t="str">
        <f>IF($A20&lt;&gt;"",IF(INDEX(BDHK2,MATCH($A20,DiemHKII!$B$4:$B$58,0),INDEX($BG$14:$BK$27,MATCH(S$7,$BG$14:$BG$27,0),2))&lt;&gt;"",INDEX(BDHK2,MATCH($A20,DiemHKII!$B$4:$B$58,0),INDEX($BG$14:$BK$27,MATCH(S$7,$BG$14:$BG$27,0),5)),""),"")</f>
        <v/>
      </c>
      <c r="V20" s="34" t="str">
        <f>IF($A20&lt;&gt;"",IF(INDEX(BDHK2,MATCH($A20,DiemHKII!$B$4:$B$58,0),INDEX($BG$14:$BK$27,MATCH(V$7,$BG$14:$BG$27,0),2))&lt;&gt;"",INDEX(BDHK2,MATCH($A20,DiemHKII!$B$4:$B$58,0),INDEX($BG$14:$BK$27,MATCH(V$7,$BG$14:$BG$27,0),3)),""),"")</f>
        <v/>
      </c>
      <c r="W20" s="35" t="str">
        <f>IF($A20&lt;&gt;"",IF(INDEX(BDHK2,MATCH($A20,DiemHKII!$B$4:$B$58,0),INDEX($BG$14:$BK$27,MATCH(V$7,$BG$14:$BG$27,0),2))&lt;&gt;"",INDEX(BDHK2,MATCH($A20,DiemHKII!$B$4:$B$58,0),INDEX($BG$14:$BK$27,MATCH(V$7,$BG$14:$BG$27,0),4)),""),"")</f>
        <v/>
      </c>
      <c r="X20" s="36" t="str">
        <f>IF($A20&lt;&gt;"",IF(INDEX(BDHK2,MATCH($A20,DiemHKII!$B$4:$B$58,0),INDEX($BG$14:$BK$27,MATCH(V$7,$BG$14:$BG$27,0),2))&lt;&gt;"",INDEX(BDHK2,MATCH($A20,DiemHKII!$B$4:$B$58,0),INDEX($BG$14:$BK$27,MATCH(V$7,$BG$14:$BG$27,0),5)),""),"")</f>
        <v/>
      </c>
      <c r="Y20" s="34" t="str">
        <f>IF($A20&lt;&gt;"",IF(INDEX(BDHK2,MATCH($A20,DiemHKII!$B$4:$B$58,0),INDEX($BG$14:$BK$27,MATCH(Y$7,$BG$14:$BG$27,0),2))&lt;&gt;"",INDEX(BDHK2,MATCH($A20,DiemHKII!$B$4:$B$58,0),INDEX($BG$14:$BK$27,MATCH(Y$7,$BG$14:$BG$27,0),3)),""),"")</f>
        <v/>
      </c>
      <c r="Z20" s="35" t="str">
        <f>IF($A20&lt;&gt;"",IF(INDEX(BDHK2,MATCH($A20,DiemHKII!$B$4:$B$58,0),INDEX($BG$14:$BK$27,MATCH(Y$7,$BG$14:$BG$27,0),2))&lt;&gt;"",INDEX(BDHK2,MATCH($A20,DiemHKII!$B$4:$B$58,0),INDEX($BG$14:$BK$27,MATCH(Y$7,$BG$14:$BG$27,0),4)),""),"")</f>
        <v/>
      </c>
      <c r="AA20" s="36" t="str">
        <f>IF($A20&lt;&gt;"",IF(INDEX(BDHK2,MATCH($A20,DiemHKII!$B$4:$B$58,0),INDEX($BG$14:$BK$27,MATCH(Y$7,$BG$14:$BG$27,0),2))&lt;&gt;"",INDEX(BDHK2,MATCH($A20,DiemHKII!$B$4:$B$58,0),INDEX($BG$14:$BK$27,MATCH(Y$7,$BG$14:$BG$27,0),5)),""),"")</f>
        <v/>
      </c>
      <c r="AB20" s="34" t="str">
        <f>IF($A20&lt;&gt;"",IF(INDEX(BDHK2,MATCH($A20,DiemHKII!$B$4:$B$58,0),INDEX($BG$14:$BK$27,MATCH(AB$7,$BG$14:$BG$27,0),2))&lt;&gt;"",INDEX(BDHK2,MATCH($A20,DiemHKII!$B$4:$B$58,0),INDEX($BG$14:$BK$27,MATCH(AB$7,$BG$14:$BG$27,0),3)),""),"")</f>
        <v/>
      </c>
      <c r="AC20" s="35" t="str">
        <f>IF($A20&lt;&gt;"",IF(INDEX(BDHK2,MATCH($A20,DiemHKII!$B$4:$B$58,0),INDEX($BG$14:$BK$27,MATCH(AB$7,$BG$14:$BG$27,0),2))&lt;&gt;"",INDEX(BDHK2,MATCH($A20,DiemHKII!$B$4:$B$58,0),INDEX($BG$14:$BK$27,MATCH(AB$7,$BG$14:$BG$27,0),4)),""),"")</f>
        <v/>
      </c>
      <c r="AD20" s="36" t="str">
        <f>IF($A20&lt;&gt;"",IF(INDEX(BDHK2,MATCH($A20,DiemHKII!$B$4:$B$58,0),INDEX($BG$14:$BK$27,MATCH(AB$7,$BG$14:$BG$27,0),2))&lt;&gt;"",INDEX(BDHK2,MATCH($A20,DiemHKII!$B$4:$B$58,0),INDEX($BG$14:$BK$27,MATCH(AB$7,$BG$14:$BG$27,0),5)),""),"")</f>
        <v/>
      </c>
      <c r="AE20" s="34" t="str">
        <f>IF($A20&lt;&gt;"",IF(INDEX(BDHK2,MATCH($A20,DiemHKII!$B$4:$B$58,0),INDEX($BG$14:$BK$27,MATCH(AE$7,$BG$14:$BG$27,0),2))&lt;&gt;"",INDEX(BDHK2,MATCH($A20,DiemHKII!$B$4:$B$58,0),INDEX($BG$14:$BK$27,MATCH(AE$7,$BG$14:$BG$27,0),3)),""),"")</f>
        <v/>
      </c>
      <c r="AF20" s="35" t="str">
        <f>IF($A20&lt;&gt;"",IF(INDEX(BDHK2,MATCH($A20,DiemHKII!$B$4:$B$58,0),INDEX($BG$14:$BK$27,MATCH(AE$7,$BG$14:$BG$27,0),2))&lt;&gt;"",INDEX(BDHK2,MATCH($A20,DiemHKII!$B$4:$B$58,0),INDEX($BG$14:$BK$27,MATCH(AE$7,$BG$14:$BG$27,0),4)),""),"")</f>
        <v/>
      </c>
      <c r="AG20" s="36" t="str">
        <f>IF($A20&lt;&gt;"",IF(INDEX(BDHK2,MATCH($A20,DiemHKII!$B$4:$B$58,0),INDEX($BG$14:$BK$27,MATCH(AE$7,$BG$14:$BG$27,0),2))&lt;&gt;"",INDEX(BDHK2,MATCH($A20,DiemHKII!$B$4:$B$58,0),INDEX($BG$14:$BK$27,MATCH(AE$7,$BG$14:$BG$27,0),5)),""),"")</f>
        <v/>
      </c>
      <c r="AH20" s="34" t="str">
        <f>IF($A20&lt;&gt;"",IF(INDEX(BDHK2,MATCH($A20,DiemHKII!$B$4:$B$58,0),INDEX($BG$14:$BK$27,MATCH(AH$7,$BG$14:$BG$27,0),2))&lt;&gt;"",INDEX(BDHK2,MATCH($A20,DiemHKII!$B$4:$B$58,0),INDEX($BG$14:$BK$27,MATCH(AH$7,$BG$14:$BG$27,0),3)),""),"")</f>
        <v/>
      </c>
      <c r="AI20" s="35" t="str">
        <f>IF($A20&lt;&gt;"",IF(INDEX(BDHK2,MATCH($A20,DiemHKII!$B$4:$B$58,0),INDEX($BG$14:$BK$27,MATCH(AH$7,$BG$14:$BG$27,0),2))&lt;&gt;"",INDEX(BDHK2,MATCH($A20,DiemHKII!$B$4:$B$58,0),INDEX($BG$14:$BK$27,MATCH(AH$7,$BG$14:$BG$27,0),4)),""),"")</f>
        <v/>
      </c>
      <c r="AJ20" s="36" t="str">
        <f>IF($A20&lt;&gt;"",IF(INDEX(BDHK2,MATCH($A20,DiemHKII!$B$4:$B$58,0),INDEX($BG$14:$BK$27,MATCH(AH$7,$BG$14:$BG$27,0),2))&lt;&gt;"",INDEX(BDHK2,MATCH($A20,DiemHKII!$B$4:$B$58,0),INDEX($BG$14:$BK$27,MATCH(AH$7,$BG$14:$BG$27,0),5)),""),"")</f>
        <v/>
      </c>
      <c r="AK20" s="37" t="str">
        <f>IF($A20&lt;&gt;"",IF(INDEX(BDHK2,MATCH($A20,DiemHKII!$B$4:$B$58,0),INDEX($BG$14:$BK$27,MATCH(AK$7,$BG$14:$BG$27,0),2))&lt;&gt;"",INDEX(BDHK2,MATCH($A20,DiemHKII!$B$4:$B$58,0),INDEX($BG$14:$BK$27,MATCH(AK$7,$BG$14:$BG$27,0),3)),""),"")</f>
        <v/>
      </c>
      <c r="AL20" s="8" t="str">
        <f>IF($A20&lt;&gt;"",IF(INDEX(BDHK2,MATCH($A20,DiemHKII!$B$4:$B$58,0),INDEX($BG$14:$BK$27,MATCH(AK$7,$BG$14:$BG$27,0),2))&lt;&gt;"",INDEX(BDHK2,MATCH($A20,DiemHKII!$B$4:$B$58,0),INDEX($BG$14:$BK$27,MATCH(AK$7,$BG$14:$BG$27,0),4)),""),"")</f>
        <v/>
      </c>
      <c r="AM20" s="38" t="str">
        <f>IF($A20&lt;&gt;"",IF(INDEX(BDHK2,MATCH($A20,DiemHKII!$B$4:$B$58,0),INDEX($BG$14:$BK$27,MATCH(AK$7,$BG$14:$BG$27,0),2))&lt;&gt;"",INDEX(BDHK2,MATCH($A20,DiemHKII!$B$4:$B$58,0),INDEX($BG$14:$BK$27,MATCH(AK$7,$BG$14:$BG$27,0),5)),""),"")</f>
        <v/>
      </c>
      <c r="AN20" s="34" t="str">
        <f>IF($A20&lt;&gt;"",IF(INDEX(BDHK2,MATCH($A20,DiemHKII!$B$4:$B$58,0),INDEX($BG$14:$BK$27,MATCH(AN$7,$BG$14:$BG$27,0),2))&lt;&gt;"",INDEX(BDHK2,MATCH($A20,DiemHKII!$B$4:$B$58,0),INDEX($BG$14:$BK$27,MATCH(AN$7,$BG$14:$BG$27,0),3)),""),"")</f>
        <v/>
      </c>
      <c r="AO20" s="35" t="str">
        <f>IF($A20&lt;&gt;"",IF(INDEX(BDHK2,MATCH($A20,DiemHKII!$B$4:$B$58,0),INDEX($BG$14:$BK$27,MATCH(AN$7,$BG$14:$BG$27,0),2))&lt;&gt;"",INDEX(BDHK2,MATCH($A20,DiemHKII!$B$4:$B$58,0),INDEX($BG$14:$BK$27,MATCH(AN$7,$BG$14:$BG$27,0),4)),""),"")</f>
        <v/>
      </c>
      <c r="AP20" s="36" t="str">
        <f>IF($A20&lt;&gt;"",IF(INDEX(BDHK2,MATCH($A20,DiemHKII!$B$4:$B$58,0),INDEX($BG$14:$BK$27,MATCH(AN$7,$BG$14:$BG$27,0),2))&lt;&gt;"",INDEX(BDHK2,MATCH($A20,DiemHKII!$B$4:$B$58,0),INDEX($BG$14:$BK$27,MATCH(AN$7,$BG$14:$BG$27,0),5)),""),"")</f>
        <v/>
      </c>
      <c r="AQ20" s="34" t="str">
        <f>IF($A20&lt;&gt;"",IF(INDEX(BDHK2,MATCH($A20,DiemHKII!$B$4:$B$58,0),INDEX($BG$14:$BK$27,MATCH(AQ$7,$BG$14:$BG$27,0),2))&lt;&gt;"",INDEX(BDHK2,MATCH($A20,DiemHKII!$B$4:$B$58,0),INDEX($BG$14:$BK$27,MATCH(AQ$7,$BG$14:$BG$27,0),3)),""),"")</f>
        <v/>
      </c>
      <c r="AR20" s="35" t="str">
        <f>IF($A20&lt;&gt;"",IF(INDEX(BDHK2,MATCH($A20,DiemHKII!$B$4:$B$58,0),INDEX($BG$14:$BK$27,MATCH(AQ$7,$BG$14:$BG$27,0),2))&lt;&gt;"",INDEX(BDHK2,MATCH($A20,DiemHKII!$B$4:$B$58,0),INDEX($BG$14:$BK$27,MATCH(AQ$7,$BG$14:$BG$27,0),4)),""),"")</f>
        <v/>
      </c>
      <c r="AS20" s="36" t="str">
        <f>IF($A20&lt;&gt;"",IF(INDEX(BDHK2,MATCH($A20,DiemHKII!$B$4:$B$58,0),INDEX($BG$14:$BK$27,MATCH(AQ$7,$BG$14:$BG$27,0),2))&lt;&gt;"",INDEX(BDHK2,MATCH($A20,DiemHKII!$B$4:$B$58,0),INDEX($BG$14:$BK$27,MATCH(AQ$7,$BG$14:$BG$27,0),5)),""),"")</f>
        <v/>
      </c>
      <c r="AT20" s="34">
        <f>IFERROR(IF($A20&gt;=1,IF(INDEX(THHKI!$V$8:$Y$62,MATCH($BL20,THHKI!$AG$8:$AG$62,0),1)&lt;&gt;"",INDEX(THHKI!$V$8:$Y$62,MATCH($BL20,THHKI!$AG$8:$AG$62,0),1),""),""),"")</f>
        <v>9.1999999999999993</v>
      </c>
      <c r="AU20" s="35" t="str">
        <f>IF($A20&gt;=1,IF(INDEX(THHKII!$V$8:$Y$62,MATCH($BL20,THHKII!$AG$8:$AG$62,0),1)&lt;&gt;"",INDEX(THHKII!$V$8:$Y$62,MATCH($BL20,THHKII!$AG$8:$AG$62,0),1),""),"")</f>
        <v/>
      </c>
      <c r="AV20" s="39" t="str">
        <f>IF($A20&gt;=1,IF(INDEX(THCN!$V$8:$Y$62,MATCH($BL20,THCN!$AG$8:$AG$62,0),1)&lt;&gt;"",INDEX(THCN!$V$8:$Y$62,MATCH($BL20,THCN!$AG$8:$AG$62,0),1),""),"")</f>
        <v/>
      </c>
      <c r="AW20" s="40" t="str">
        <f>IFERROR(IF($A20&gt;=1,IF(INDEX(THHKI!$V$8:$Y$62,MATCH($BL20,THHKI!$AG$8:$AG$62,0),2)&lt;&gt;"",INDEX(THHKI!$V$8:$Y$62,MATCH($BL20,THHKI!$AG$8:$AG$62,0),2),""),""),"")</f>
        <v>Giỏi</v>
      </c>
      <c r="AX20" s="8" t="str">
        <f>IF($A20&gt;=1,IF(INDEX(THHKII!$V$8:$Y$62,MATCH($BL20,THHKII!$AG$8:$AG$62,0),2)&lt;&gt;"",INDEX(THHKII!$V$8:$Y$62,MATCH($BL20,THHKII!$AG$8:$AG$62,0),2),""),"")</f>
        <v/>
      </c>
      <c r="AY20" s="467" t="str">
        <f>IF($A20&gt;=1,IF(INDEX(THCN!$V$8:$Y$62,MATCH($BL20,THCN!$AG$8:$AG$62,0),2)&lt;&gt;"",INDEX(THCN!$V$8:$Y$62,MATCH($BL20,THCN!$AG$8:$AG$62,0),2),""),"")</f>
        <v/>
      </c>
      <c r="AZ20" s="37" t="str">
        <f>IFERROR(IF($A20&gt;=1,IF(INDEX(THHKI!$V$8:$Y$62,MATCH($BL20,THHKI!$AG$8:$AG$62,0),3)&lt;&gt;"",INDEX(THHKI!$V$8:$Y$62,MATCH($BL20,THHKI!$AG$8:$AG$62,0),3),""),""),"")</f>
        <v>Tốt</v>
      </c>
      <c r="BA20" s="8" t="str">
        <f>IF($A20&gt;=1,IF(INDEX(THHKII!$V$8:$Y$62,MATCH($BL20,THHKII!$AG$8:$AG$62,0),3)&lt;&gt;"",INDEX(THHKII!$V$8:$Y$62,MATCH($BL20,THHKII!$AG$8:$AG$62,0),3),""),"")</f>
        <v/>
      </c>
      <c r="BB20" s="41" t="str">
        <f>IF($A20&gt;=1,IF(INDEX(THCN!$V$8:$Y$62,MATCH($BL20,THCN!$AG$8:$AG$62,0),3)&lt;&gt;"",INDEX(THCN!$V$8:$Y$62,MATCH($BL20,THCN!$AG$8:$AG$62,0),3),""),"")</f>
        <v/>
      </c>
      <c r="BC20" s="42" t="str">
        <f>IF($A20&gt;=1,IF(INDEX(THCN!$V$8:$Y$62,MATCH($BL20,THCN!$AG$8:$AG$62,0),4)&lt;&gt;"",INDEX(THCN!$V$8:$Y$62,MATCH($BL20,THCN!$AG$8:$AG$62,0),4),""),"")</f>
        <v/>
      </c>
      <c r="BE20" s="31" t="str">
        <f>IFERROR(IF($A20&gt;=1,IF(INDEX(THHKI!$V$8:$Y$62,MATCH($BL20,THHKI!$AG$8:$AG$62,0),4)&lt;&gt;"",INDEX(THHKI!$V$8:$Y$62,MATCH($BL20,THHKI!$AG$8:$AG$62,0),4),""),""),"")</f>
        <v>HSG</v>
      </c>
      <c r="BF20" s="42" t="str">
        <f>IF($A20&gt;=1,IF(INDEX(THHKII!$V$8:$Y$62,MATCH($BL20,THHKII!$AG$8:$AG$62,0),4)&lt;&gt;"",INDEX(THHKII!$V$8:$Y$62,MATCH($BL20,THHKII!$AG$8:$AG$62,0),4),""),"")</f>
        <v/>
      </c>
      <c r="BG20" s="30" t="s">
        <v>31</v>
      </c>
      <c r="BH20" s="30">
        <v>70</v>
      </c>
      <c r="BI20" s="30">
        <v>71</v>
      </c>
      <c r="BJ20" s="30">
        <v>72</v>
      </c>
      <c r="BK20" s="30">
        <v>73</v>
      </c>
      <c r="BL20" s="30" t="str">
        <f>IF($A20&lt;&gt;"",INDEX(DiemHKII!$B$4:$K$58,MATCH($A20,DiemHKII!$B$4:$B$58,0),2),"")</f>
        <v>12A1Hồ SơnHậu08/01/2004</v>
      </c>
    </row>
    <row r="21" spans="1:64" s="30" customFormat="1" ht="29.1" customHeight="1">
      <c r="A21" s="31">
        <f>IF(A20&lt;MAX(DiemHKII!$B$4:$B$58),A20+1,"")</f>
        <v>13</v>
      </c>
      <c r="B21" s="32" t="str">
        <f>IF($A21&lt;&gt;"",PROPER(INDEX(DiemHKII!$B$4:$K$58,MATCH($A21,DiemHKII!$B$4:$B$58,0),4)),"")</f>
        <v xml:space="preserve">Nguyễn Thị Thu </v>
      </c>
      <c r="C21" s="33" t="str">
        <f>IF($A21&lt;&gt;"",PROPER(INDEX(DiemHKII!$B$4:$K$58,MATCH($A21,DiemHKII!$B$4:$B$58,0),5)),"")</f>
        <v>Hiền</v>
      </c>
      <c r="D21" s="34" t="str">
        <f>IF($A21&lt;&gt;"",IF(INDEX(BDHK2,MATCH($A21,DiemHKII!$B$4:$B$58,0),INDEX($BG$14:$BK$27,MATCH(D$7,$BG$14:$BG$27,0),2))&lt;&gt;"",INDEX(BDHK2,MATCH($A21,DiemHKII!$B$4:$B$58,0),INDEX($BG$14:$BK$27,MATCH(D$7,$BG$14:$BG$27,0),3)),""),"")</f>
        <v/>
      </c>
      <c r="E21" s="35" t="str">
        <f>IF($A21&lt;&gt;"",IF(INDEX(BDHK2,MATCH($A21,DiemHKII!$B$4:$B$58,0),INDEX($BG$14:$BK$27,MATCH(D$7,$BG$14:$BG$27,0),2))&lt;&gt;"",INDEX(BDHK2,MATCH($A21,DiemHKII!$B$4:$B$58,0),INDEX($BG$14:$BK$27,MATCH(D$7,$BG$14:$BG$27,0),4)),""),"")</f>
        <v/>
      </c>
      <c r="F21" s="36" t="str">
        <f>IF($A21&lt;&gt;"",IF(INDEX(BDHK2,MATCH($A21,DiemHKII!$B$4:$B$58,0),INDEX($BG$14:$BK$27,MATCH(D$7,$BG$14:$BG$27,0),2))&lt;&gt;"",INDEX(BDHK2,MATCH($A21,DiemHKII!$B$4:$B$58,0),INDEX($BG$14:$BK$27,MATCH(D$7,$BG$14:$BG$27,0),5)),""),"")</f>
        <v/>
      </c>
      <c r="G21" s="34" t="str">
        <f>IF($A21&lt;&gt;"",IF(INDEX(BDHK2,MATCH($A21,DiemHKII!$B$4:$B$58,0),INDEX($BG$14:$BK$27,MATCH(G$7,$BG$14:$BG$27,0),2))&lt;&gt;"",INDEX(BDHK2,MATCH($A21,DiemHKII!$B$4:$B$58,0),INDEX($BG$14:$BK$27,MATCH(G$7,$BG$14:$BG$27,0),3)),""),"")</f>
        <v/>
      </c>
      <c r="H21" s="35" t="str">
        <f>IF($A21&lt;&gt;"",IF(INDEX(BDHK2,MATCH($A21,DiemHKII!$B$4:$B$58,0),INDEX($BG$14:$BK$27,MATCH(G$7,$BG$14:$BG$27,0),2))&lt;&gt;"",INDEX(BDHK2,MATCH($A21,DiemHKII!$B$4:$B$58,0),INDEX($BG$14:$BK$27,MATCH(G$7,$BG$14:$BG$27,0),4)),""),"")</f>
        <v/>
      </c>
      <c r="I21" s="36" t="str">
        <f>IF($A21&lt;&gt;"",IF(INDEX(BDHK2,MATCH($A21,DiemHKII!$B$4:$B$58,0),INDEX($BG$14:$BK$27,MATCH(G$7,$BG$14:$BG$27,0),2))&lt;&gt;"",INDEX(BDHK2,MATCH($A21,DiemHKII!$B$4:$B$58,0),INDEX($BG$14:$BK$27,MATCH(G$7,$BG$14:$BG$27,0),5)),""),"")</f>
        <v/>
      </c>
      <c r="J21" s="34" t="str">
        <f>IF($A21&lt;&gt;"",IF(INDEX(BDHK2,MATCH($A21,DiemHKII!$B$4:$B$58,0),INDEX($BG$14:$BK$27,MATCH(J$7,$BG$14:$BG$27,0),2))&lt;&gt;"",INDEX(BDHK2,MATCH($A21,DiemHKII!$B$4:$B$58,0),INDEX($BG$14:$BK$27,MATCH(J$7,$BG$14:$BG$27,0),3)),""),"")</f>
        <v/>
      </c>
      <c r="K21" s="35" t="str">
        <f>IF($A21&lt;&gt;"",IF(INDEX(BDHK2,MATCH($A21,DiemHKII!$B$4:$B$58,0),INDEX($BG$14:$BK$27,MATCH(J$7,$BG$14:$BG$27,0),2))&lt;&gt;"",INDEX(BDHK2,MATCH($A21,DiemHKII!$B$4:$B$58,0),INDEX($BG$14:$BK$27,MATCH(J$7,$BG$14:$BG$27,0),4)),""),"")</f>
        <v/>
      </c>
      <c r="L21" s="36" t="str">
        <f>IF($A21&lt;&gt;"",IF(INDEX(BDHK2,MATCH($A21,DiemHKII!$B$4:$B$58,0),INDEX($BG$14:$BK$27,MATCH(J$7,$BG$14:$BG$27,0),2))&lt;&gt;"",INDEX(BDHK2,MATCH($A21,DiemHKII!$B$4:$B$58,0),INDEX($BG$14:$BK$27,MATCH(J$7,$BG$14:$BG$27,0),5)),""),"")</f>
        <v/>
      </c>
      <c r="M21" s="34" t="str">
        <f>IF($A21&lt;&gt;"",IF(INDEX(BDHK2,MATCH($A21,DiemHKII!$B$4:$B$58,0),INDEX($BG$14:$BK$27,MATCH(M$7,$BG$14:$BG$27,0),2))&lt;&gt;"",INDEX(BDHK2,MATCH($A21,DiemHKII!$B$4:$B$58,0),INDEX($BG$14:$BK$27,MATCH(M$7,$BG$14:$BG$27,0),3)),""),"")</f>
        <v/>
      </c>
      <c r="N21" s="35" t="str">
        <f>IF($A21&lt;&gt;"",IF(INDEX(BDHK2,MATCH($A21,DiemHKII!$B$4:$B$58,0),INDEX($BG$14:$BK$27,MATCH(M$7,$BG$14:$BG$27,0),2))&lt;&gt;"",INDEX(BDHK2,MATCH($A21,DiemHKII!$B$4:$B$58,0),INDEX($BG$14:$BK$27,MATCH(M$7,$BG$14:$BG$27,0),4)),""),"")</f>
        <v/>
      </c>
      <c r="O21" s="36" t="str">
        <f>IF($A21&lt;&gt;"",IF(INDEX(BDHK2,MATCH($A21,DiemHKII!$B$4:$B$58,0),INDEX($BG$14:$BK$27,MATCH(M$7,$BG$14:$BG$27,0),2))&lt;&gt;"",INDEX(BDHK2,MATCH($A21,DiemHKII!$B$4:$B$58,0),INDEX($BG$14:$BK$27,MATCH(M$7,$BG$14:$BG$27,0),5)),""),"")</f>
        <v/>
      </c>
      <c r="P21" s="34" t="str">
        <f>IF($A21&lt;&gt;"",IF(INDEX(BDHK2,MATCH($A21,DiemHKII!$B$4:$B$58,0),INDEX($BG$14:$BK$27,MATCH(P$7,$BG$14:$BG$27,0),2))&lt;&gt;"",INDEX(BDHK2,MATCH($A21,DiemHKII!$B$4:$B$58,0),INDEX($BG$14:$BK$27,MATCH(P$7,$BG$14:$BG$27,0),3)),""),"")</f>
        <v/>
      </c>
      <c r="Q21" s="35" t="str">
        <f>IF($A21&lt;&gt;"",IF(INDEX(BDHK2,MATCH($A21,DiemHKII!$B$4:$B$58,0),INDEX($BG$14:$BK$27,MATCH(P$7,$BG$14:$BG$27,0),2))&lt;&gt;"",INDEX(BDHK2,MATCH($A21,DiemHKII!$B$4:$B$58,0),INDEX($BG$14:$BK$27,MATCH(P$7,$BG$14:$BG$27,0),4)),""),"")</f>
        <v/>
      </c>
      <c r="R21" s="36" t="str">
        <f>IF($A21&lt;&gt;"",IF(INDEX(BDHK2,MATCH($A21,DiemHKII!$B$4:$B$58,0),INDEX($BG$14:$BK$27,MATCH(P$7,$BG$14:$BG$27,0),2))&lt;&gt;"",INDEX(BDHK2,MATCH($A21,DiemHKII!$B$4:$B$58,0),INDEX($BG$14:$BK$27,MATCH(P$7,$BG$14:$BG$27,0),5)),""),"")</f>
        <v/>
      </c>
      <c r="S21" s="34" t="str">
        <f>IF($A21&lt;&gt;"",IF(INDEX(BDHK2,MATCH($A21,DiemHKII!$B$4:$B$58,0),INDEX($BG$14:$BK$27,MATCH(S$7,$BG$14:$BG$27,0),2))&lt;&gt;"",INDEX(BDHK2,MATCH($A21,DiemHKII!$B$4:$B$58,0),INDEX($BG$14:$BK$27,MATCH(S$7,$BG$14:$BG$27,0),3)),""),"")</f>
        <v/>
      </c>
      <c r="T21" s="35" t="str">
        <f>IF($A21&lt;&gt;"",IF(INDEX(BDHK2,MATCH($A21,DiemHKII!$B$4:$B$58,0),INDEX($BG$14:$BK$27,MATCH(S$7,$BG$14:$BG$27,0),2))&lt;&gt;"",INDEX(BDHK2,MATCH($A21,DiemHKII!$B$4:$B$58,0),INDEX($BG$14:$BK$27,MATCH(S$7,$BG$14:$BG$27,0),4)),""),"")</f>
        <v/>
      </c>
      <c r="U21" s="36" t="str">
        <f>IF($A21&lt;&gt;"",IF(INDEX(BDHK2,MATCH($A21,DiemHKII!$B$4:$B$58,0),INDEX($BG$14:$BK$27,MATCH(S$7,$BG$14:$BG$27,0),2))&lt;&gt;"",INDEX(BDHK2,MATCH($A21,DiemHKII!$B$4:$B$58,0),INDEX($BG$14:$BK$27,MATCH(S$7,$BG$14:$BG$27,0),5)),""),"")</f>
        <v/>
      </c>
      <c r="V21" s="34" t="str">
        <f>IF($A21&lt;&gt;"",IF(INDEX(BDHK2,MATCH($A21,DiemHKII!$B$4:$B$58,0),INDEX($BG$14:$BK$27,MATCH(V$7,$BG$14:$BG$27,0),2))&lt;&gt;"",INDEX(BDHK2,MATCH($A21,DiemHKII!$B$4:$B$58,0),INDEX($BG$14:$BK$27,MATCH(V$7,$BG$14:$BG$27,0),3)),""),"")</f>
        <v/>
      </c>
      <c r="W21" s="35" t="str">
        <f>IF($A21&lt;&gt;"",IF(INDEX(BDHK2,MATCH($A21,DiemHKII!$B$4:$B$58,0),INDEX($BG$14:$BK$27,MATCH(V$7,$BG$14:$BG$27,0),2))&lt;&gt;"",INDEX(BDHK2,MATCH($A21,DiemHKII!$B$4:$B$58,0),INDEX($BG$14:$BK$27,MATCH(V$7,$BG$14:$BG$27,0),4)),""),"")</f>
        <v/>
      </c>
      <c r="X21" s="36" t="str">
        <f>IF($A21&lt;&gt;"",IF(INDEX(BDHK2,MATCH($A21,DiemHKII!$B$4:$B$58,0),INDEX($BG$14:$BK$27,MATCH(V$7,$BG$14:$BG$27,0),2))&lt;&gt;"",INDEX(BDHK2,MATCH($A21,DiemHKII!$B$4:$B$58,0),INDEX($BG$14:$BK$27,MATCH(V$7,$BG$14:$BG$27,0),5)),""),"")</f>
        <v/>
      </c>
      <c r="Y21" s="34" t="str">
        <f>IF($A21&lt;&gt;"",IF(INDEX(BDHK2,MATCH($A21,DiemHKII!$B$4:$B$58,0),INDEX($BG$14:$BK$27,MATCH(Y$7,$BG$14:$BG$27,0),2))&lt;&gt;"",INDEX(BDHK2,MATCH($A21,DiemHKII!$B$4:$B$58,0),INDEX($BG$14:$BK$27,MATCH(Y$7,$BG$14:$BG$27,0),3)),""),"")</f>
        <v/>
      </c>
      <c r="Z21" s="35" t="str">
        <f>IF($A21&lt;&gt;"",IF(INDEX(BDHK2,MATCH($A21,DiemHKII!$B$4:$B$58,0),INDEX($BG$14:$BK$27,MATCH(Y$7,$BG$14:$BG$27,0),2))&lt;&gt;"",INDEX(BDHK2,MATCH($A21,DiemHKII!$B$4:$B$58,0),INDEX($BG$14:$BK$27,MATCH(Y$7,$BG$14:$BG$27,0),4)),""),"")</f>
        <v/>
      </c>
      <c r="AA21" s="36" t="str">
        <f>IF($A21&lt;&gt;"",IF(INDEX(BDHK2,MATCH($A21,DiemHKII!$B$4:$B$58,0),INDEX($BG$14:$BK$27,MATCH(Y$7,$BG$14:$BG$27,0),2))&lt;&gt;"",INDEX(BDHK2,MATCH($A21,DiemHKII!$B$4:$B$58,0),INDEX($BG$14:$BK$27,MATCH(Y$7,$BG$14:$BG$27,0),5)),""),"")</f>
        <v/>
      </c>
      <c r="AB21" s="34" t="str">
        <f>IF($A21&lt;&gt;"",IF(INDEX(BDHK2,MATCH($A21,DiemHKII!$B$4:$B$58,0),INDEX($BG$14:$BK$27,MATCH(AB$7,$BG$14:$BG$27,0),2))&lt;&gt;"",INDEX(BDHK2,MATCH($A21,DiemHKII!$B$4:$B$58,0),INDEX($BG$14:$BK$27,MATCH(AB$7,$BG$14:$BG$27,0),3)),""),"")</f>
        <v/>
      </c>
      <c r="AC21" s="35" t="str">
        <f>IF($A21&lt;&gt;"",IF(INDEX(BDHK2,MATCH($A21,DiemHKII!$B$4:$B$58,0),INDEX($BG$14:$BK$27,MATCH(AB$7,$BG$14:$BG$27,0),2))&lt;&gt;"",INDEX(BDHK2,MATCH($A21,DiemHKII!$B$4:$B$58,0),INDEX($BG$14:$BK$27,MATCH(AB$7,$BG$14:$BG$27,0),4)),""),"")</f>
        <v/>
      </c>
      <c r="AD21" s="36" t="str">
        <f>IF($A21&lt;&gt;"",IF(INDEX(BDHK2,MATCH($A21,DiemHKII!$B$4:$B$58,0),INDEX($BG$14:$BK$27,MATCH(AB$7,$BG$14:$BG$27,0),2))&lt;&gt;"",INDEX(BDHK2,MATCH($A21,DiemHKII!$B$4:$B$58,0),INDEX($BG$14:$BK$27,MATCH(AB$7,$BG$14:$BG$27,0),5)),""),"")</f>
        <v/>
      </c>
      <c r="AE21" s="34" t="str">
        <f>IF($A21&lt;&gt;"",IF(INDEX(BDHK2,MATCH($A21,DiemHKII!$B$4:$B$58,0),INDEX($BG$14:$BK$27,MATCH(AE$7,$BG$14:$BG$27,0),2))&lt;&gt;"",INDEX(BDHK2,MATCH($A21,DiemHKII!$B$4:$B$58,0),INDEX($BG$14:$BK$27,MATCH(AE$7,$BG$14:$BG$27,0),3)),""),"")</f>
        <v/>
      </c>
      <c r="AF21" s="35" t="str">
        <f>IF($A21&lt;&gt;"",IF(INDEX(BDHK2,MATCH($A21,DiemHKII!$B$4:$B$58,0),INDEX($BG$14:$BK$27,MATCH(AE$7,$BG$14:$BG$27,0),2))&lt;&gt;"",INDEX(BDHK2,MATCH($A21,DiemHKII!$B$4:$B$58,0),INDEX($BG$14:$BK$27,MATCH(AE$7,$BG$14:$BG$27,0),4)),""),"")</f>
        <v/>
      </c>
      <c r="AG21" s="36" t="str">
        <f>IF($A21&lt;&gt;"",IF(INDEX(BDHK2,MATCH($A21,DiemHKII!$B$4:$B$58,0),INDEX($BG$14:$BK$27,MATCH(AE$7,$BG$14:$BG$27,0),2))&lt;&gt;"",INDEX(BDHK2,MATCH($A21,DiemHKII!$B$4:$B$58,0),INDEX($BG$14:$BK$27,MATCH(AE$7,$BG$14:$BG$27,0),5)),""),"")</f>
        <v/>
      </c>
      <c r="AH21" s="34" t="str">
        <f>IF($A21&lt;&gt;"",IF(INDEX(BDHK2,MATCH($A21,DiemHKII!$B$4:$B$58,0),INDEX($BG$14:$BK$27,MATCH(AH$7,$BG$14:$BG$27,0),2))&lt;&gt;"",INDEX(BDHK2,MATCH($A21,DiemHKII!$B$4:$B$58,0),INDEX($BG$14:$BK$27,MATCH(AH$7,$BG$14:$BG$27,0),3)),""),"")</f>
        <v/>
      </c>
      <c r="AI21" s="35" t="str">
        <f>IF($A21&lt;&gt;"",IF(INDEX(BDHK2,MATCH($A21,DiemHKII!$B$4:$B$58,0),INDEX($BG$14:$BK$27,MATCH(AH$7,$BG$14:$BG$27,0),2))&lt;&gt;"",INDEX(BDHK2,MATCH($A21,DiemHKII!$B$4:$B$58,0),INDEX($BG$14:$BK$27,MATCH(AH$7,$BG$14:$BG$27,0),4)),""),"")</f>
        <v/>
      </c>
      <c r="AJ21" s="36" t="str">
        <f>IF($A21&lt;&gt;"",IF(INDEX(BDHK2,MATCH($A21,DiemHKII!$B$4:$B$58,0),INDEX($BG$14:$BK$27,MATCH(AH$7,$BG$14:$BG$27,0),2))&lt;&gt;"",INDEX(BDHK2,MATCH($A21,DiemHKII!$B$4:$B$58,0),INDEX($BG$14:$BK$27,MATCH(AH$7,$BG$14:$BG$27,0),5)),""),"")</f>
        <v/>
      </c>
      <c r="AK21" s="37" t="str">
        <f>IF($A21&lt;&gt;"",IF(INDEX(BDHK2,MATCH($A21,DiemHKII!$B$4:$B$58,0),INDEX($BG$14:$BK$27,MATCH(AK$7,$BG$14:$BG$27,0),2))&lt;&gt;"",INDEX(BDHK2,MATCH($A21,DiemHKII!$B$4:$B$58,0),INDEX($BG$14:$BK$27,MATCH(AK$7,$BG$14:$BG$27,0),3)),""),"")</f>
        <v/>
      </c>
      <c r="AL21" s="8" t="str">
        <f>IF($A21&lt;&gt;"",IF(INDEX(BDHK2,MATCH($A21,DiemHKII!$B$4:$B$58,0),INDEX($BG$14:$BK$27,MATCH(AK$7,$BG$14:$BG$27,0),2))&lt;&gt;"",INDEX(BDHK2,MATCH($A21,DiemHKII!$B$4:$B$58,0),INDEX($BG$14:$BK$27,MATCH(AK$7,$BG$14:$BG$27,0),4)),""),"")</f>
        <v/>
      </c>
      <c r="AM21" s="38" t="str">
        <f>IF($A21&lt;&gt;"",IF(INDEX(BDHK2,MATCH($A21,DiemHKII!$B$4:$B$58,0),INDEX($BG$14:$BK$27,MATCH(AK$7,$BG$14:$BG$27,0),2))&lt;&gt;"",INDEX(BDHK2,MATCH($A21,DiemHKII!$B$4:$B$58,0),INDEX($BG$14:$BK$27,MATCH(AK$7,$BG$14:$BG$27,0),5)),""),"")</f>
        <v/>
      </c>
      <c r="AN21" s="34" t="str">
        <f>IF($A21&lt;&gt;"",IF(INDEX(BDHK2,MATCH($A21,DiemHKII!$B$4:$B$58,0),INDEX($BG$14:$BK$27,MATCH(AN$7,$BG$14:$BG$27,0),2))&lt;&gt;"",INDEX(BDHK2,MATCH($A21,DiemHKII!$B$4:$B$58,0),INDEX($BG$14:$BK$27,MATCH(AN$7,$BG$14:$BG$27,0),3)),""),"")</f>
        <v/>
      </c>
      <c r="AO21" s="35" t="str">
        <f>IF($A21&lt;&gt;"",IF(INDEX(BDHK2,MATCH($A21,DiemHKII!$B$4:$B$58,0),INDEX($BG$14:$BK$27,MATCH(AN$7,$BG$14:$BG$27,0),2))&lt;&gt;"",INDEX(BDHK2,MATCH($A21,DiemHKII!$B$4:$B$58,0),INDEX($BG$14:$BK$27,MATCH(AN$7,$BG$14:$BG$27,0),4)),""),"")</f>
        <v/>
      </c>
      <c r="AP21" s="36" t="str">
        <f>IF($A21&lt;&gt;"",IF(INDEX(BDHK2,MATCH($A21,DiemHKII!$B$4:$B$58,0),INDEX($BG$14:$BK$27,MATCH(AN$7,$BG$14:$BG$27,0),2))&lt;&gt;"",INDEX(BDHK2,MATCH($A21,DiemHKII!$B$4:$B$58,0),INDEX($BG$14:$BK$27,MATCH(AN$7,$BG$14:$BG$27,0),5)),""),"")</f>
        <v/>
      </c>
      <c r="AQ21" s="34" t="str">
        <f>IF($A21&lt;&gt;"",IF(INDEX(BDHK2,MATCH($A21,DiemHKII!$B$4:$B$58,0),INDEX($BG$14:$BK$27,MATCH(AQ$7,$BG$14:$BG$27,0),2))&lt;&gt;"",INDEX(BDHK2,MATCH($A21,DiemHKII!$B$4:$B$58,0),INDEX($BG$14:$BK$27,MATCH(AQ$7,$BG$14:$BG$27,0),3)),""),"")</f>
        <v/>
      </c>
      <c r="AR21" s="35" t="str">
        <f>IF($A21&lt;&gt;"",IF(INDEX(BDHK2,MATCH($A21,DiemHKII!$B$4:$B$58,0),INDEX($BG$14:$BK$27,MATCH(AQ$7,$BG$14:$BG$27,0),2))&lt;&gt;"",INDEX(BDHK2,MATCH($A21,DiemHKII!$B$4:$B$58,0),INDEX($BG$14:$BK$27,MATCH(AQ$7,$BG$14:$BG$27,0),4)),""),"")</f>
        <v/>
      </c>
      <c r="AS21" s="36" t="str">
        <f>IF($A21&lt;&gt;"",IF(INDEX(BDHK2,MATCH($A21,DiemHKII!$B$4:$B$58,0),INDEX($BG$14:$BK$27,MATCH(AQ$7,$BG$14:$BG$27,0),2))&lt;&gt;"",INDEX(BDHK2,MATCH($A21,DiemHKII!$B$4:$B$58,0),INDEX($BG$14:$BK$27,MATCH(AQ$7,$BG$14:$BG$27,0),5)),""),"")</f>
        <v/>
      </c>
      <c r="AT21" s="34">
        <f>IFERROR(IF($A21&gt;=1,IF(INDEX(THHKI!$V$8:$Y$62,MATCH($BL21,THHKI!$AG$8:$AG$62,0),1)&lt;&gt;"",INDEX(THHKI!$V$8:$Y$62,MATCH($BL21,THHKI!$AG$8:$AG$62,0),1),""),""),"")</f>
        <v>9.5</v>
      </c>
      <c r="AU21" s="35" t="str">
        <f>IF($A21&gt;=1,IF(INDEX(THHKII!$V$8:$Y$62,MATCH($BL21,THHKII!$AG$8:$AG$62,0),1)&lt;&gt;"",INDEX(THHKII!$V$8:$Y$62,MATCH($BL21,THHKII!$AG$8:$AG$62,0),1),""),"")</f>
        <v/>
      </c>
      <c r="AV21" s="39" t="str">
        <f>IF($A21&gt;=1,IF(INDEX(THCN!$V$8:$Y$62,MATCH($BL21,THCN!$AG$8:$AG$62,0),1)&lt;&gt;"",INDEX(THCN!$V$8:$Y$62,MATCH($BL21,THCN!$AG$8:$AG$62,0),1),""),"")</f>
        <v/>
      </c>
      <c r="AW21" s="40" t="str">
        <f>IFERROR(IF($A21&gt;=1,IF(INDEX(THHKI!$V$8:$Y$62,MATCH($BL21,THHKI!$AG$8:$AG$62,0),2)&lt;&gt;"",INDEX(THHKI!$V$8:$Y$62,MATCH($BL21,THHKI!$AG$8:$AG$62,0),2),""),""),"")</f>
        <v>Giỏi</v>
      </c>
      <c r="AX21" s="8" t="str">
        <f>IF($A21&gt;=1,IF(INDEX(THHKII!$V$8:$Y$62,MATCH($BL21,THHKII!$AG$8:$AG$62,0),2)&lt;&gt;"",INDEX(THHKII!$V$8:$Y$62,MATCH($BL21,THHKII!$AG$8:$AG$62,0),2),""),"")</f>
        <v/>
      </c>
      <c r="AY21" s="467" t="str">
        <f>IF($A21&gt;=1,IF(INDEX(THCN!$V$8:$Y$62,MATCH($BL21,THCN!$AG$8:$AG$62,0),2)&lt;&gt;"",INDEX(THCN!$V$8:$Y$62,MATCH($BL21,THCN!$AG$8:$AG$62,0),2),""),"")</f>
        <v/>
      </c>
      <c r="AZ21" s="37" t="str">
        <f>IFERROR(IF($A21&gt;=1,IF(INDEX(THHKI!$V$8:$Y$62,MATCH($BL21,THHKI!$AG$8:$AG$62,0),3)&lt;&gt;"",INDEX(THHKI!$V$8:$Y$62,MATCH($BL21,THHKI!$AG$8:$AG$62,0),3),""),""),"")</f>
        <v>Tốt</v>
      </c>
      <c r="BA21" s="8" t="str">
        <f>IF($A21&gt;=1,IF(INDEX(THHKII!$V$8:$Y$62,MATCH($BL21,THHKII!$AG$8:$AG$62,0),3)&lt;&gt;"",INDEX(THHKII!$V$8:$Y$62,MATCH($BL21,THHKII!$AG$8:$AG$62,0),3),""),"")</f>
        <v/>
      </c>
      <c r="BB21" s="41" t="str">
        <f>IF($A21&gt;=1,IF(INDEX(THCN!$V$8:$Y$62,MATCH($BL21,THCN!$AG$8:$AG$62,0),3)&lt;&gt;"",INDEX(THCN!$V$8:$Y$62,MATCH($BL21,THCN!$AG$8:$AG$62,0),3),""),"")</f>
        <v/>
      </c>
      <c r="BC21" s="42" t="str">
        <f>IF($A21&gt;=1,IF(INDEX(THCN!$V$8:$Y$62,MATCH($BL21,THCN!$AG$8:$AG$62,0),4)&lt;&gt;"",INDEX(THCN!$V$8:$Y$62,MATCH($BL21,THCN!$AG$8:$AG$62,0),4),""),"")</f>
        <v/>
      </c>
      <c r="BE21" s="31" t="str">
        <f>IFERROR(IF($A21&gt;=1,IF(INDEX(THHKI!$V$8:$Y$62,MATCH($BL21,THHKI!$AG$8:$AG$62,0),4)&lt;&gt;"",INDEX(THHKI!$V$8:$Y$62,MATCH($BL21,THHKI!$AG$8:$AG$62,0),4),""),""),"")</f>
        <v>HSG</v>
      </c>
      <c r="BF21" s="42" t="str">
        <f>IF($A21&gt;=1,IF(INDEX(THHKII!$V$8:$Y$62,MATCH($BL21,THHKII!$AG$8:$AG$62,0),4)&lt;&gt;"",INDEX(THHKII!$V$8:$Y$62,MATCH($BL21,THHKII!$AG$8:$AG$62,0),4),""),"")</f>
        <v/>
      </c>
      <c r="BG21" s="30" t="s">
        <v>32</v>
      </c>
      <c r="BH21" s="30">
        <v>79</v>
      </c>
      <c r="BI21" s="30">
        <v>80</v>
      </c>
      <c r="BJ21" s="30">
        <v>81</v>
      </c>
      <c r="BK21" s="30">
        <v>82</v>
      </c>
      <c r="BL21" s="30" t="str">
        <f>IF($A21&lt;&gt;"",INDEX(DiemHKII!$B$4:$K$58,MATCH($A21,DiemHKII!$B$4:$B$58,0),2),"")</f>
        <v>12A1Nguyễn Thị ThuHiền20/05/2004</v>
      </c>
    </row>
    <row r="22" spans="1:64" s="30" customFormat="1" ht="29.1" customHeight="1">
      <c r="A22" s="31">
        <f>IF(A21&lt;MAX(DiemHKII!$B$4:$B$58),A21+1,"")</f>
        <v>14</v>
      </c>
      <c r="B22" s="32" t="str">
        <f>IF($A22&lt;&gt;"",PROPER(INDEX(DiemHKII!$B$4:$K$58,MATCH($A22,DiemHKII!$B$4:$B$58,0),4)),"")</f>
        <v>Lê Phan Ngọc</v>
      </c>
      <c r="C22" s="33" t="str">
        <f>IF($A22&lt;&gt;"",PROPER(INDEX(DiemHKII!$B$4:$K$58,MATCH($A22,DiemHKII!$B$4:$B$58,0),5)),"")</f>
        <v>Hiếu</v>
      </c>
      <c r="D22" s="34" t="str">
        <f>IF($A22&lt;&gt;"",IF(INDEX(BDHK2,MATCH($A22,DiemHKII!$B$4:$B$58,0),INDEX($BG$14:$BK$27,MATCH(D$7,$BG$14:$BG$27,0),2))&lt;&gt;"",INDEX(BDHK2,MATCH($A22,DiemHKII!$B$4:$B$58,0),INDEX($BG$14:$BK$27,MATCH(D$7,$BG$14:$BG$27,0),3)),""),"")</f>
        <v/>
      </c>
      <c r="E22" s="35" t="str">
        <f>IF($A22&lt;&gt;"",IF(INDEX(BDHK2,MATCH($A22,DiemHKII!$B$4:$B$58,0),INDEX($BG$14:$BK$27,MATCH(D$7,$BG$14:$BG$27,0),2))&lt;&gt;"",INDEX(BDHK2,MATCH($A22,DiemHKII!$B$4:$B$58,0),INDEX($BG$14:$BK$27,MATCH(D$7,$BG$14:$BG$27,0),4)),""),"")</f>
        <v/>
      </c>
      <c r="F22" s="36" t="str">
        <f>IF($A22&lt;&gt;"",IF(INDEX(BDHK2,MATCH($A22,DiemHKII!$B$4:$B$58,0),INDEX($BG$14:$BK$27,MATCH(D$7,$BG$14:$BG$27,0),2))&lt;&gt;"",INDEX(BDHK2,MATCH($A22,DiemHKII!$B$4:$B$58,0),INDEX($BG$14:$BK$27,MATCH(D$7,$BG$14:$BG$27,0),5)),""),"")</f>
        <v/>
      </c>
      <c r="G22" s="34" t="str">
        <f>IF($A22&lt;&gt;"",IF(INDEX(BDHK2,MATCH($A22,DiemHKII!$B$4:$B$58,0),INDEX($BG$14:$BK$27,MATCH(G$7,$BG$14:$BG$27,0),2))&lt;&gt;"",INDEX(BDHK2,MATCH($A22,DiemHKII!$B$4:$B$58,0),INDEX($BG$14:$BK$27,MATCH(G$7,$BG$14:$BG$27,0),3)),""),"")</f>
        <v/>
      </c>
      <c r="H22" s="35" t="str">
        <f>IF($A22&lt;&gt;"",IF(INDEX(BDHK2,MATCH($A22,DiemHKII!$B$4:$B$58,0),INDEX($BG$14:$BK$27,MATCH(G$7,$BG$14:$BG$27,0),2))&lt;&gt;"",INDEX(BDHK2,MATCH($A22,DiemHKII!$B$4:$B$58,0),INDEX($BG$14:$BK$27,MATCH(G$7,$BG$14:$BG$27,0),4)),""),"")</f>
        <v/>
      </c>
      <c r="I22" s="36" t="str">
        <f>IF($A22&lt;&gt;"",IF(INDEX(BDHK2,MATCH($A22,DiemHKII!$B$4:$B$58,0),INDEX($BG$14:$BK$27,MATCH(G$7,$BG$14:$BG$27,0),2))&lt;&gt;"",INDEX(BDHK2,MATCH($A22,DiemHKII!$B$4:$B$58,0),INDEX($BG$14:$BK$27,MATCH(G$7,$BG$14:$BG$27,0),5)),""),"")</f>
        <v/>
      </c>
      <c r="J22" s="34" t="str">
        <f>IF($A22&lt;&gt;"",IF(INDEX(BDHK2,MATCH($A22,DiemHKII!$B$4:$B$58,0),INDEX($BG$14:$BK$27,MATCH(J$7,$BG$14:$BG$27,0),2))&lt;&gt;"",INDEX(BDHK2,MATCH($A22,DiemHKII!$B$4:$B$58,0),INDEX($BG$14:$BK$27,MATCH(J$7,$BG$14:$BG$27,0),3)),""),"")</f>
        <v/>
      </c>
      <c r="K22" s="35" t="str">
        <f>IF($A22&lt;&gt;"",IF(INDEX(BDHK2,MATCH($A22,DiemHKII!$B$4:$B$58,0),INDEX($BG$14:$BK$27,MATCH(J$7,$BG$14:$BG$27,0),2))&lt;&gt;"",INDEX(BDHK2,MATCH($A22,DiemHKII!$B$4:$B$58,0),INDEX($BG$14:$BK$27,MATCH(J$7,$BG$14:$BG$27,0),4)),""),"")</f>
        <v/>
      </c>
      <c r="L22" s="36" t="str">
        <f>IF($A22&lt;&gt;"",IF(INDEX(BDHK2,MATCH($A22,DiemHKII!$B$4:$B$58,0),INDEX($BG$14:$BK$27,MATCH(J$7,$BG$14:$BG$27,0),2))&lt;&gt;"",INDEX(BDHK2,MATCH($A22,DiemHKII!$B$4:$B$58,0),INDEX($BG$14:$BK$27,MATCH(J$7,$BG$14:$BG$27,0),5)),""),"")</f>
        <v/>
      </c>
      <c r="M22" s="34" t="str">
        <f>IF($A22&lt;&gt;"",IF(INDEX(BDHK2,MATCH($A22,DiemHKII!$B$4:$B$58,0),INDEX($BG$14:$BK$27,MATCH(M$7,$BG$14:$BG$27,0),2))&lt;&gt;"",INDEX(BDHK2,MATCH($A22,DiemHKII!$B$4:$B$58,0),INDEX($BG$14:$BK$27,MATCH(M$7,$BG$14:$BG$27,0),3)),""),"")</f>
        <v/>
      </c>
      <c r="N22" s="35" t="str">
        <f>IF($A22&lt;&gt;"",IF(INDEX(BDHK2,MATCH($A22,DiemHKII!$B$4:$B$58,0),INDEX($BG$14:$BK$27,MATCH(M$7,$BG$14:$BG$27,0),2))&lt;&gt;"",INDEX(BDHK2,MATCH($A22,DiemHKII!$B$4:$B$58,0),INDEX($BG$14:$BK$27,MATCH(M$7,$BG$14:$BG$27,0),4)),""),"")</f>
        <v/>
      </c>
      <c r="O22" s="36" t="str">
        <f>IF($A22&lt;&gt;"",IF(INDEX(BDHK2,MATCH($A22,DiemHKII!$B$4:$B$58,0),INDEX($BG$14:$BK$27,MATCH(M$7,$BG$14:$BG$27,0),2))&lt;&gt;"",INDEX(BDHK2,MATCH($A22,DiemHKII!$B$4:$B$58,0),INDEX($BG$14:$BK$27,MATCH(M$7,$BG$14:$BG$27,0),5)),""),"")</f>
        <v/>
      </c>
      <c r="P22" s="34" t="str">
        <f>IF($A22&lt;&gt;"",IF(INDEX(BDHK2,MATCH($A22,DiemHKII!$B$4:$B$58,0),INDEX($BG$14:$BK$27,MATCH(P$7,$BG$14:$BG$27,0),2))&lt;&gt;"",INDEX(BDHK2,MATCH($A22,DiemHKII!$B$4:$B$58,0),INDEX($BG$14:$BK$27,MATCH(P$7,$BG$14:$BG$27,0),3)),""),"")</f>
        <v/>
      </c>
      <c r="Q22" s="35" t="str">
        <f>IF($A22&lt;&gt;"",IF(INDEX(BDHK2,MATCH($A22,DiemHKII!$B$4:$B$58,0),INDEX($BG$14:$BK$27,MATCH(P$7,$BG$14:$BG$27,0),2))&lt;&gt;"",INDEX(BDHK2,MATCH($A22,DiemHKII!$B$4:$B$58,0),INDEX($BG$14:$BK$27,MATCH(P$7,$BG$14:$BG$27,0),4)),""),"")</f>
        <v/>
      </c>
      <c r="R22" s="36" t="str">
        <f>IF($A22&lt;&gt;"",IF(INDEX(BDHK2,MATCH($A22,DiemHKII!$B$4:$B$58,0),INDEX($BG$14:$BK$27,MATCH(P$7,$BG$14:$BG$27,0),2))&lt;&gt;"",INDEX(BDHK2,MATCH($A22,DiemHKII!$B$4:$B$58,0),INDEX($BG$14:$BK$27,MATCH(P$7,$BG$14:$BG$27,0),5)),""),"")</f>
        <v/>
      </c>
      <c r="S22" s="34" t="str">
        <f>IF($A22&lt;&gt;"",IF(INDEX(BDHK2,MATCH($A22,DiemHKII!$B$4:$B$58,0),INDEX($BG$14:$BK$27,MATCH(S$7,$BG$14:$BG$27,0),2))&lt;&gt;"",INDEX(BDHK2,MATCH($A22,DiemHKII!$B$4:$B$58,0),INDEX($BG$14:$BK$27,MATCH(S$7,$BG$14:$BG$27,0),3)),""),"")</f>
        <v/>
      </c>
      <c r="T22" s="35" t="str">
        <f>IF($A22&lt;&gt;"",IF(INDEX(BDHK2,MATCH($A22,DiemHKII!$B$4:$B$58,0),INDEX($BG$14:$BK$27,MATCH(S$7,$BG$14:$BG$27,0),2))&lt;&gt;"",INDEX(BDHK2,MATCH($A22,DiemHKII!$B$4:$B$58,0),INDEX($BG$14:$BK$27,MATCH(S$7,$BG$14:$BG$27,0),4)),""),"")</f>
        <v/>
      </c>
      <c r="U22" s="36" t="str">
        <f>IF($A22&lt;&gt;"",IF(INDEX(BDHK2,MATCH($A22,DiemHKII!$B$4:$B$58,0),INDEX($BG$14:$BK$27,MATCH(S$7,$BG$14:$BG$27,0),2))&lt;&gt;"",INDEX(BDHK2,MATCH($A22,DiemHKII!$B$4:$B$58,0),INDEX($BG$14:$BK$27,MATCH(S$7,$BG$14:$BG$27,0),5)),""),"")</f>
        <v/>
      </c>
      <c r="V22" s="34" t="str">
        <f>IF($A22&lt;&gt;"",IF(INDEX(BDHK2,MATCH($A22,DiemHKII!$B$4:$B$58,0),INDEX($BG$14:$BK$27,MATCH(V$7,$BG$14:$BG$27,0),2))&lt;&gt;"",INDEX(BDHK2,MATCH($A22,DiemHKII!$B$4:$B$58,0),INDEX($BG$14:$BK$27,MATCH(V$7,$BG$14:$BG$27,0),3)),""),"")</f>
        <v/>
      </c>
      <c r="W22" s="35" t="str">
        <f>IF($A22&lt;&gt;"",IF(INDEX(BDHK2,MATCH($A22,DiemHKII!$B$4:$B$58,0),INDEX($BG$14:$BK$27,MATCH(V$7,$BG$14:$BG$27,0),2))&lt;&gt;"",INDEX(BDHK2,MATCH($A22,DiemHKII!$B$4:$B$58,0),INDEX($BG$14:$BK$27,MATCH(V$7,$BG$14:$BG$27,0),4)),""),"")</f>
        <v/>
      </c>
      <c r="X22" s="36" t="str">
        <f>IF($A22&lt;&gt;"",IF(INDEX(BDHK2,MATCH($A22,DiemHKII!$B$4:$B$58,0),INDEX($BG$14:$BK$27,MATCH(V$7,$BG$14:$BG$27,0),2))&lt;&gt;"",INDEX(BDHK2,MATCH($A22,DiemHKII!$B$4:$B$58,0),INDEX($BG$14:$BK$27,MATCH(V$7,$BG$14:$BG$27,0),5)),""),"")</f>
        <v/>
      </c>
      <c r="Y22" s="34" t="str">
        <f>IF($A22&lt;&gt;"",IF(INDEX(BDHK2,MATCH($A22,DiemHKII!$B$4:$B$58,0),INDEX($BG$14:$BK$27,MATCH(Y$7,$BG$14:$BG$27,0),2))&lt;&gt;"",INDEX(BDHK2,MATCH($A22,DiemHKII!$B$4:$B$58,0),INDEX($BG$14:$BK$27,MATCH(Y$7,$BG$14:$BG$27,0),3)),""),"")</f>
        <v/>
      </c>
      <c r="Z22" s="35" t="str">
        <f>IF($A22&lt;&gt;"",IF(INDEX(BDHK2,MATCH($A22,DiemHKII!$B$4:$B$58,0),INDEX($BG$14:$BK$27,MATCH(Y$7,$BG$14:$BG$27,0),2))&lt;&gt;"",INDEX(BDHK2,MATCH($A22,DiemHKII!$B$4:$B$58,0),INDEX($BG$14:$BK$27,MATCH(Y$7,$BG$14:$BG$27,0),4)),""),"")</f>
        <v/>
      </c>
      <c r="AA22" s="36" t="str">
        <f>IF($A22&lt;&gt;"",IF(INDEX(BDHK2,MATCH($A22,DiemHKII!$B$4:$B$58,0),INDEX($BG$14:$BK$27,MATCH(Y$7,$BG$14:$BG$27,0),2))&lt;&gt;"",INDEX(BDHK2,MATCH($A22,DiemHKII!$B$4:$B$58,0),INDEX($BG$14:$BK$27,MATCH(Y$7,$BG$14:$BG$27,0),5)),""),"")</f>
        <v/>
      </c>
      <c r="AB22" s="34" t="str">
        <f>IF($A22&lt;&gt;"",IF(INDEX(BDHK2,MATCH($A22,DiemHKII!$B$4:$B$58,0),INDEX($BG$14:$BK$27,MATCH(AB$7,$BG$14:$BG$27,0),2))&lt;&gt;"",INDEX(BDHK2,MATCH($A22,DiemHKII!$B$4:$B$58,0),INDEX($BG$14:$BK$27,MATCH(AB$7,$BG$14:$BG$27,0),3)),""),"")</f>
        <v/>
      </c>
      <c r="AC22" s="35" t="str">
        <f>IF($A22&lt;&gt;"",IF(INDEX(BDHK2,MATCH($A22,DiemHKII!$B$4:$B$58,0),INDEX($BG$14:$BK$27,MATCH(AB$7,$BG$14:$BG$27,0),2))&lt;&gt;"",INDEX(BDHK2,MATCH($A22,DiemHKII!$B$4:$B$58,0),INDEX($BG$14:$BK$27,MATCH(AB$7,$BG$14:$BG$27,0),4)),""),"")</f>
        <v/>
      </c>
      <c r="AD22" s="36" t="str">
        <f>IF($A22&lt;&gt;"",IF(INDEX(BDHK2,MATCH($A22,DiemHKII!$B$4:$B$58,0),INDEX($BG$14:$BK$27,MATCH(AB$7,$BG$14:$BG$27,0),2))&lt;&gt;"",INDEX(BDHK2,MATCH($A22,DiemHKII!$B$4:$B$58,0),INDEX($BG$14:$BK$27,MATCH(AB$7,$BG$14:$BG$27,0),5)),""),"")</f>
        <v/>
      </c>
      <c r="AE22" s="34" t="str">
        <f>IF($A22&lt;&gt;"",IF(INDEX(BDHK2,MATCH($A22,DiemHKII!$B$4:$B$58,0),INDEX($BG$14:$BK$27,MATCH(AE$7,$BG$14:$BG$27,0),2))&lt;&gt;"",INDEX(BDHK2,MATCH($A22,DiemHKII!$B$4:$B$58,0),INDEX($BG$14:$BK$27,MATCH(AE$7,$BG$14:$BG$27,0),3)),""),"")</f>
        <v/>
      </c>
      <c r="AF22" s="35" t="str">
        <f>IF($A22&lt;&gt;"",IF(INDEX(BDHK2,MATCH($A22,DiemHKII!$B$4:$B$58,0),INDEX($BG$14:$BK$27,MATCH(AE$7,$BG$14:$BG$27,0),2))&lt;&gt;"",INDEX(BDHK2,MATCH($A22,DiemHKII!$B$4:$B$58,0),INDEX($BG$14:$BK$27,MATCH(AE$7,$BG$14:$BG$27,0),4)),""),"")</f>
        <v/>
      </c>
      <c r="AG22" s="36" t="str">
        <f>IF($A22&lt;&gt;"",IF(INDEX(BDHK2,MATCH($A22,DiemHKII!$B$4:$B$58,0),INDEX($BG$14:$BK$27,MATCH(AE$7,$BG$14:$BG$27,0),2))&lt;&gt;"",INDEX(BDHK2,MATCH($A22,DiemHKII!$B$4:$B$58,0),INDEX($BG$14:$BK$27,MATCH(AE$7,$BG$14:$BG$27,0),5)),""),"")</f>
        <v/>
      </c>
      <c r="AH22" s="34" t="str">
        <f>IF($A22&lt;&gt;"",IF(INDEX(BDHK2,MATCH($A22,DiemHKII!$B$4:$B$58,0),INDEX($BG$14:$BK$27,MATCH(AH$7,$BG$14:$BG$27,0),2))&lt;&gt;"",INDEX(BDHK2,MATCH($A22,DiemHKII!$B$4:$B$58,0),INDEX($BG$14:$BK$27,MATCH(AH$7,$BG$14:$BG$27,0),3)),""),"")</f>
        <v/>
      </c>
      <c r="AI22" s="35" t="str">
        <f>IF($A22&lt;&gt;"",IF(INDEX(BDHK2,MATCH($A22,DiemHKII!$B$4:$B$58,0),INDEX($BG$14:$BK$27,MATCH(AH$7,$BG$14:$BG$27,0),2))&lt;&gt;"",INDEX(BDHK2,MATCH($A22,DiemHKII!$B$4:$B$58,0),INDEX($BG$14:$BK$27,MATCH(AH$7,$BG$14:$BG$27,0),4)),""),"")</f>
        <v/>
      </c>
      <c r="AJ22" s="36" t="str">
        <f>IF($A22&lt;&gt;"",IF(INDEX(BDHK2,MATCH($A22,DiemHKII!$B$4:$B$58,0),INDEX($BG$14:$BK$27,MATCH(AH$7,$BG$14:$BG$27,0),2))&lt;&gt;"",INDEX(BDHK2,MATCH($A22,DiemHKII!$B$4:$B$58,0),INDEX($BG$14:$BK$27,MATCH(AH$7,$BG$14:$BG$27,0),5)),""),"")</f>
        <v/>
      </c>
      <c r="AK22" s="37" t="str">
        <f>IF($A22&lt;&gt;"",IF(INDEX(BDHK2,MATCH($A22,DiemHKII!$B$4:$B$58,0),INDEX($BG$14:$BK$27,MATCH(AK$7,$BG$14:$BG$27,0),2))&lt;&gt;"",INDEX(BDHK2,MATCH($A22,DiemHKII!$B$4:$B$58,0),INDEX($BG$14:$BK$27,MATCH(AK$7,$BG$14:$BG$27,0),3)),""),"")</f>
        <v/>
      </c>
      <c r="AL22" s="8" t="str">
        <f>IF($A22&lt;&gt;"",IF(INDEX(BDHK2,MATCH($A22,DiemHKII!$B$4:$B$58,0),INDEX($BG$14:$BK$27,MATCH(AK$7,$BG$14:$BG$27,0),2))&lt;&gt;"",INDEX(BDHK2,MATCH($A22,DiemHKII!$B$4:$B$58,0),INDEX($BG$14:$BK$27,MATCH(AK$7,$BG$14:$BG$27,0),4)),""),"")</f>
        <v/>
      </c>
      <c r="AM22" s="38" t="str">
        <f>IF($A22&lt;&gt;"",IF(INDEX(BDHK2,MATCH($A22,DiemHKII!$B$4:$B$58,0),INDEX($BG$14:$BK$27,MATCH(AK$7,$BG$14:$BG$27,0),2))&lt;&gt;"",INDEX(BDHK2,MATCH($A22,DiemHKII!$B$4:$B$58,0),INDEX($BG$14:$BK$27,MATCH(AK$7,$BG$14:$BG$27,0),5)),""),"")</f>
        <v/>
      </c>
      <c r="AN22" s="34" t="str">
        <f>IF($A22&lt;&gt;"",IF(INDEX(BDHK2,MATCH($A22,DiemHKII!$B$4:$B$58,0),INDEX($BG$14:$BK$27,MATCH(AN$7,$BG$14:$BG$27,0),2))&lt;&gt;"",INDEX(BDHK2,MATCH($A22,DiemHKII!$B$4:$B$58,0),INDEX($BG$14:$BK$27,MATCH(AN$7,$BG$14:$BG$27,0),3)),""),"")</f>
        <v/>
      </c>
      <c r="AO22" s="35" t="str">
        <f>IF($A22&lt;&gt;"",IF(INDEX(BDHK2,MATCH($A22,DiemHKII!$B$4:$B$58,0),INDEX($BG$14:$BK$27,MATCH(AN$7,$BG$14:$BG$27,0),2))&lt;&gt;"",INDEX(BDHK2,MATCH($A22,DiemHKII!$B$4:$B$58,0),INDEX($BG$14:$BK$27,MATCH(AN$7,$BG$14:$BG$27,0),4)),""),"")</f>
        <v/>
      </c>
      <c r="AP22" s="36" t="str">
        <f>IF($A22&lt;&gt;"",IF(INDEX(BDHK2,MATCH($A22,DiemHKII!$B$4:$B$58,0),INDEX($BG$14:$BK$27,MATCH(AN$7,$BG$14:$BG$27,0),2))&lt;&gt;"",INDEX(BDHK2,MATCH($A22,DiemHKII!$B$4:$B$58,0),INDEX($BG$14:$BK$27,MATCH(AN$7,$BG$14:$BG$27,0),5)),""),"")</f>
        <v/>
      </c>
      <c r="AQ22" s="34" t="str">
        <f>IF($A22&lt;&gt;"",IF(INDEX(BDHK2,MATCH($A22,DiemHKII!$B$4:$B$58,0),INDEX($BG$14:$BK$27,MATCH(AQ$7,$BG$14:$BG$27,0),2))&lt;&gt;"",INDEX(BDHK2,MATCH($A22,DiemHKII!$B$4:$B$58,0),INDEX($BG$14:$BK$27,MATCH(AQ$7,$BG$14:$BG$27,0),3)),""),"")</f>
        <v/>
      </c>
      <c r="AR22" s="35" t="str">
        <f>IF($A22&lt;&gt;"",IF(INDEX(BDHK2,MATCH($A22,DiemHKII!$B$4:$B$58,0),INDEX($BG$14:$BK$27,MATCH(AQ$7,$BG$14:$BG$27,0),2))&lt;&gt;"",INDEX(BDHK2,MATCH($A22,DiemHKII!$B$4:$B$58,0),INDEX($BG$14:$BK$27,MATCH(AQ$7,$BG$14:$BG$27,0),4)),""),"")</f>
        <v/>
      </c>
      <c r="AS22" s="36" t="str">
        <f>IF($A22&lt;&gt;"",IF(INDEX(BDHK2,MATCH($A22,DiemHKII!$B$4:$B$58,0),INDEX($BG$14:$BK$27,MATCH(AQ$7,$BG$14:$BG$27,0),2))&lt;&gt;"",INDEX(BDHK2,MATCH($A22,DiemHKII!$B$4:$B$58,0),INDEX($BG$14:$BK$27,MATCH(AQ$7,$BG$14:$BG$27,0),5)),""),"")</f>
        <v/>
      </c>
      <c r="AT22" s="34">
        <f>IFERROR(IF($A22&gt;=1,IF(INDEX(THHKI!$V$8:$Y$62,MATCH($BL22,THHKI!$AG$8:$AG$62,0),1)&lt;&gt;"",INDEX(THHKI!$V$8:$Y$62,MATCH($BL22,THHKI!$AG$8:$AG$62,0),1),""),""),"")</f>
        <v>9.1999999999999993</v>
      </c>
      <c r="AU22" s="35" t="str">
        <f>IF($A22&gt;=1,IF(INDEX(THHKII!$V$8:$Y$62,MATCH($BL22,THHKII!$AG$8:$AG$62,0),1)&lt;&gt;"",INDEX(THHKII!$V$8:$Y$62,MATCH($BL22,THHKII!$AG$8:$AG$62,0),1),""),"")</f>
        <v/>
      </c>
      <c r="AV22" s="39" t="str">
        <f>IF($A22&gt;=1,IF(INDEX(THCN!$V$8:$Y$62,MATCH($BL22,THCN!$AG$8:$AG$62,0),1)&lt;&gt;"",INDEX(THCN!$V$8:$Y$62,MATCH($BL22,THCN!$AG$8:$AG$62,0),1),""),"")</f>
        <v/>
      </c>
      <c r="AW22" s="40" t="str">
        <f>IFERROR(IF($A22&gt;=1,IF(INDEX(THHKI!$V$8:$Y$62,MATCH($BL22,THHKI!$AG$8:$AG$62,0),2)&lt;&gt;"",INDEX(THHKI!$V$8:$Y$62,MATCH($BL22,THHKI!$AG$8:$AG$62,0),2),""),""),"")</f>
        <v>Giỏi</v>
      </c>
      <c r="AX22" s="8" t="str">
        <f>IF($A22&gt;=1,IF(INDEX(THHKII!$V$8:$Y$62,MATCH($BL22,THHKII!$AG$8:$AG$62,0),2)&lt;&gt;"",INDEX(THHKII!$V$8:$Y$62,MATCH($BL22,THHKII!$AG$8:$AG$62,0),2),""),"")</f>
        <v/>
      </c>
      <c r="AY22" s="467" t="str">
        <f>IF($A22&gt;=1,IF(INDEX(THCN!$V$8:$Y$62,MATCH($BL22,THCN!$AG$8:$AG$62,0),2)&lt;&gt;"",INDEX(THCN!$V$8:$Y$62,MATCH($BL22,THCN!$AG$8:$AG$62,0),2),""),"")</f>
        <v/>
      </c>
      <c r="AZ22" s="37" t="str">
        <f>IFERROR(IF($A22&gt;=1,IF(INDEX(THHKI!$V$8:$Y$62,MATCH($BL22,THHKI!$AG$8:$AG$62,0),3)&lt;&gt;"",INDEX(THHKI!$V$8:$Y$62,MATCH($BL22,THHKI!$AG$8:$AG$62,0),3),""),""),"")</f>
        <v>Tốt</v>
      </c>
      <c r="BA22" s="8" t="str">
        <f>IF($A22&gt;=1,IF(INDEX(THHKII!$V$8:$Y$62,MATCH($BL22,THHKII!$AG$8:$AG$62,0),3)&lt;&gt;"",INDEX(THHKII!$V$8:$Y$62,MATCH($BL22,THHKII!$AG$8:$AG$62,0),3),""),"")</f>
        <v/>
      </c>
      <c r="BB22" s="41" t="str">
        <f>IF($A22&gt;=1,IF(INDEX(THCN!$V$8:$Y$62,MATCH($BL22,THCN!$AG$8:$AG$62,0),3)&lt;&gt;"",INDEX(THCN!$V$8:$Y$62,MATCH($BL22,THCN!$AG$8:$AG$62,0),3),""),"")</f>
        <v/>
      </c>
      <c r="BC22" s="42" t="str">
        <f>IF($A22&gt;=1,IF(INDEX(THCN!$V$8:$Y$62,MATCH($BL22,THCN!$AG$8:$AG$62,0),4)&lt;&gt;"",INDEX(THCN!$V$8:$Y$62,MATCH($BL22,THCN!$AG$8:$AG$62,0),4),""),"")</f>
        <v/>
      </c>
      <c r="BE22" s="31" t="str">
        <f>IFERROR(IF($A22&gt;=1,IF(INDEX(THHKI!$V$8:$Y$62,MATCH($BL22,THHKI!$AG$8:$AG$62,0),4)&lt;&gt;"",INDEX(THHKI!$V$8:$Y$62,MATCH($BL22,THHKI!$AG$8:$AG$62,0),4),""),""),"")</f>
        <v>HSG</v>
      </c>
      <c r="BF22" s="42" t="str">
        <f>IF($A22&gt;=1,IF(INDEX(THHKII!$V$8:$Y$62,MATCH($BL22,THHKII!$AG$8:$AG$62,0),4)&lt;&gt;"",INDEX(THHKII!$V$8:$Y$62,MATCH($BL22,THHKII!$AG$8:$AG$62,0),4),""),"")</f>
        <v/>
      </c>
      <c r="BG22" s="30" t="s">
        <v>33</v>
      </c>
      <c r="BH22" s="30">
        <v>88</v>
      </c>
      <c r="BI22" s="30">
        <v>89</v>
      </c>
      <c r="BJ22" s="30">
        <v>90</v>
      </c>
      <c r="BK22" s="30">
        <v>91</v>
      </c>
      <c r="BL22" s="30" t="str">
        <f>IF($A22&lt;&gt;"",INDEX(DiemHKII!$B$4:$K$58,MATCH($A22,DiemHKII!$B$4:$B$58,0),2),"")</f>
        <v>12A1Lê Phan NgọcHiếu01/02/2004</v>
      </c>
    </row>
    <row r="23" spans="1:64" s="30" customFormat="1" ht="29.1" customHeight="1" thickBot="1">
      <c r="A23" s="43">
        <f>IF(A22&lt;MAX(DiemHKII!$B$4:$B$58),A22+1,"")</f>
        <v>15</v>
      </c>
      <c r="B23" s="44" t="str">
        <f>IF($A23&lt;&gt;"",PROPER(INDEX(DiemHKII!$B$4:$K$58,MATCH($A23,DiemHKII!$B$4:$B$58,0),4)),"")</f>
        <v>Trần Hoàng</v>
      </c>
      <c r="C23" s="45" t="str">
        <f>IF($A23&lt;&gt;"",PROPER(INDEX(DiemHKII!$B$4:$K$58,MATCH($A23,DiemHKII!$B$4:$B$58,0),5)),"")</f>
        <v>Hưng</v>
      </c>
      <c r="D23" s="46" t="str">
        <f>IF($A23&lt;&gt;"",IF(INDEX(BDHK2,MATCH($A23,DiemHKII!$B$4:$B$58,0),INDEX($BG$14:$BK$27,MATCH(D$7,$BG$14:$BG$27,0),2))&lt;&gt;"",INDEX(BDHK2,MATCH($A23,DiemHKII!$B$4:$B$58,0),INDEX($BG$14:$BK$27,MATCH(D$7,$BG$14:$BG$27,0),3)),""),"")</f>
        <v/>
      </c>
      <c r="E23" s="47" t="str">
        <f>IF($A23&lt;&gt;"",IF(INDEX(BDHK2,MATCH($A23,DiemHKII!$B$4:$B$58,0),INDEX($BG$14:$BK$27,MATCH(D$7,$BG$14:$BG$27,0),2))&lt;&gt;"",INDEX(BDHK2,MATCH($A23,DiemHKII!$B$4:$B$58,0),INDEX($BG$14:$BK$27,MATCH(D$7,$BG$14:$BG$27,0),4)),""),"")</f>
        <v/>
      </c>
      <c r="F23" s="48" t="str">
        <f>IF($A23&lt;&gt;"",IF(INDEX(BDHK2,MATCH($A23,DiemHKII!$B$4:$B$58,0),INDEX($BG$14:$BK$27,MATCH(D$7,$BG$14:$BG$27,0),2))&lt;&gt;"",INDEX(BDHK2,MATCH($A23,DiemHKII!$B$4:$B$58,0),INDEX($BG$14:$BK$27,MATCH(D$7,$BG$14:$BG$27,0),5)),""),"")</f>
        <v/>
      </c>
      <c r="G23" s="46" t="str">
        <f>IF($A23&lt;&gt;"",IF(INDEX(BDHK2,MATCH($A23,DiemHKII!$B$4:$B$58,0),INDEX($BG$14:$BK$27,MATCH(G$7,$BG$14:$BG$27,0),2))&lt;&gt;"",INDEX(BDHK2,MATCH($A23,DiemHKII!$B$4:$B$58,0),INDEX($BG$14:$BK$27,MATCH(G$7,$BG$14:$BG$27,0),3)),""),"")</f>
        <v/>
      </c>
      <c r="H23" s="47" t="str">
        <f>IF($A23&lt;&gt;"",IF(INDEX(BDHK2,MATCH($A23,DiemHKII!$B$4:$B$58,0),INDEX($BG$14:$BK$27,MATCH(G$7,$BG$14:$BG$27,0),2))&lt;&gt;"",INDEX(BDHK2,MATCH($A23,DiemHKII!$B$4:$B$58,0),INDEX($BG$14:$BK$27,MATCH(G$7,$BG$14:$BG$27,0),4)),""),"")</f>
        <v/>
      </c>
      <c r="I23" s="48" t="str">
        <f>IF($A23&lt;&gt;"",IF(INDEX(BDHK2,MATCH($A23,DiemHKII!$B$4:$B$58,0),INDEX($BG$14:$BK$27,MATCH(G$7,$BG$14:$BG$27,0),2))&lt;&gt;"",INDEX(BDHK2,MATCH($A23,DiemHKII!$B$4:$B$58,0),INDEX($BG$14:$BK$27,MATCH(G$7,$BG$14:$BG$27,0),5)),""),"")</f>
        <v/>
      </c>
      <c r="J23" s="46" t="str">
        <f>IF($A23&lt;&gt;"",IF(INDEX(BDHK2,MATCH($A23,DiemHKII!$B$4:$B$58,0),INDEX($BG$14:$BK$27,MATCH(J$7,$BG$14:$BG$27,0),2))&lt;&gt;"",INDEX(BDHK2,MATCH($A23,DiemHKII!$B$4:$B$58,0),INDEX($BG$14:$BK$27,MATCH(J$7,$BG$14:$BG$27,0),3)),""),"")</f>
        <v/>
      </c>
      <c r="K23" s="47" t="str">
        <f>IF($A23&lt;&gt;"",IF(INDEX(BDHK2,MATCH($A23,DiemHKII!$B$4:$B$58,0),INDEX($BG$14:$BK$27,MATCH(J$7,$BG$14:$BG$27,0),2))&lt;&gt;"",INDEX(BDHK2,MATCH($A23,DiemHKII!$B$4:$B$58,0),INDEX($BG$14:$BK$27,MATCH(J$7,$BG$14:$BG$27,0),4)),""),"")</f>
        <v/>
      </c>
      <c r="L23" s="48" t="str">
        <f>IF($A23&lt;&gt;"",IF(INDEX(BDHK2,MATCH($A23,DiemHKII!$B$4:$B$58,0),INDEX($BG$14:$BK$27,MATCH(J$7,$BG$14:$BG$27,0),2))&lt;&gt;"",INDEX(BDHK2,MATCH($A23,DiemHKII!$B$4:$B$58,0),INDEX($BG$14:$BK$27,MATCH(J$7,$BG$14:$BG$27,0),5)),""),"")</f>
        <v/>
      </c>
      <c r="M23" s="46" t="str">
        <f>IF($A23&lt;&gt;"",IF(INDEX(BDHK2,MATCH($A23,DiemHKII!$B$4:$B$58,0),INDEX($BG$14:$BK$27,MATCH(M$7,$BG$14:$BG$27,0),2))&lt;&gt;"",INDEX(BDHK2,MATCH($A23,DiemHKII!$B$4:$B$58,0),INDEX($BG$14:$BK$27,MATCH(M$7,$BG$14:$BG$27,0),3)),""),"")</f>
        <v/>
      </c>
      <c r="N23" s="47" t="str">
        <f>IF($A23&lt;&gt;"",IF(INDEX(BDHK2,MATCH($A23,DiemHKII!$B$4:$B$58,0),INDEX($BG$14:$BK$27,MATCH(M$7,$BG$14:$BG$27,0),2))&lt;&gt;"",INDEX(BDHK2,MATCH($A23,DiemHKII!$B$4:$B$58,0),INDEX($BG$14:$BK$27,MATCH(M$7,$BG$14:$BG$27,0),4)),""),"")</f>
        <v/>
      </c>
      <c r="O23" s="48" t="str">
        <f>IF($A23&lt;&gt;"",IF(INDEX(BDHK2,MATCH($A23,DiemHKII!$B$4:$B$58,0),INDEX($BG$14:$BK$27,MATCH(M$7,$BG$14:$BG$27,0),2))&lt;&gt;"",INDEX(BDHK2,MATCH($A23,DiemHKII!$B$4:$B$58,0),INDEX($BG$14:$BK$27,MATCH(M$7,$BG$14:$BG$27,0),5)),""),"")</f>
        <v/>
      </c>
      <c r="P23" s="46" t="str">
        <f>IF($A23&lt;&gt;"",IF(INDEX(BDHK2,MATCH($A23,DiemHKII!$B$4:$B$58,0),INDEX($BG$14:$BK$27,MATCH(P$7,$BG$14:$BG$27,0),2))&lt;&gt;"",INDEX(BDHK2,MATCH($A23,DiemHKII!$B$4:$B$58,0),INDEX($BG$14:$BK$27,MATCH(P$7,$BG$14:$BG$27,0),3)),""),"")</f>
        <v/>
      </c>
      <c r="Q23" s="47" t="str">
        <f>IF($A23&lt;&gt;"",IF(INDEX(BDHK2,MATCH($A23,DiemHKII!$B$4:$B$58,0),INDEX($BG$14:$BK$27,MATCH(P$7,$BG$14:$BG$27,0),2))&lt;&gt;"",INDEX(BDHK2,MATCH($A23,DiemHKII!$B$4:$B$58,0),INDEX($BG$14:$BK$27,MATCH(P$7,$BG$14:$BG$27,0),4)),""),"")</f>
        <v/>
      </c>
      <c r="R23" s="48" t="str">
        <f>IF($A23&lt;&gt;"",IF(INDEX(BDHK2,MATCH($A23,DiemHKII!$B$4:$B$58,0),INDEX($BG$14:$BK$27,MATCH(P$7,$BG$14:$BG$27,0),2))&lt;&gt;"",INDEX(BDHK2,MATCH($A23,DiemHKII!$B$4:$B$58,0),INDEX($BG$14:$BK$27,MATCH(P$7,$BG$14:$BG$27,0),5)),""),"")</f>
        <v/>
      </c>
      <c r="S23" s="46" t="str">
        <f>IF($A23&lt;&gt;"",IF(INDEX(BDHK2,MATCH($A23,DiemHKII!$B$4:$B$58,0),INDEX($BG$14:$BK$27,MATCH(S$7,$BG$14:$BG$27,0),2))&lt;&gt;"",INDEX(BDHK2,MATCH($A23,DiemHKII!$B$4:$B$58,0),INDEX($BG$14:$BK$27,MATCH(S$7,$BG$14:$BG$27,0),3)),""),"")</f>
        <v/>
      </c>
      <c r="T23" s="47" t="str">
        <f>IF($A23&lt;&gt;"",IF(INDEX(BDHK2,MATCH($A23,DiemHKII!$B$4:$B$58,0),INDEX($BG$14:$BK$27,MATCH(S$7,$BG$14:$BG$27,0),2))&lt;&gt;"",INDEX(BDHK2,MATCH($A23,DiemHKII!$B$4:$B$58,0),INDEX($BG$14:$BK$27,MATCH(S$7,$BG$14:$BG$27,0),4)),""),"")</f>
        <v/>
      </c>
      <c r="U23" s="48" t="str">
        <f>IF($A23&lt;&gt;"",IF(INDEX(BDHK2,MATCH($A23,DiemHKII!$B$4:$B$58,0),INDEX($BG$14:$BK$27,MATCH(S$7,$BG$14:$BG$27,0),2))&lt;&gt;"",INDEX(BDHK2,MATCH($A23,DiemHKII!$B$4:$B$58,0),INDEX($BG$14:$BK$27,MATCH(S$7,$BG$14:$BG$27,0),5)),""),"")</f>
        <v/>
      </c>
      <c r="V23" s="46" t="str">
        <f>IF($A23&lt;&gt;"",IF(INDEX(BDHK2,MATCH($A23,DiemHKII!$B$4:$B$58,0),INDEX($BG$14:$BK$27,MATCH(V$7,$BG$14:$BG$27,0),2))&lt;&gt;"",INDEX(BDHK2,MATCH($A23,DiemHKII!$B$4:$B$58,0),INDEX($BG$14:$BK$27,MATCH(V$7,$BG$14:$BG$27,0),3)),""),"")</f>
        <v/>
      </c>
      <c r="W23" s="47" t="str">
        <f>IF($A23&lt;&gt;"",IF(INDEX(BDHK2,MATCH($A23,DiemHKII!$B$4:$B$58,0),INDEX($BG$14:$BK$27,MATCH(V$7,$BG$14:$BG$27,0),2))&lt;&gt;"",INDEX(BDHK2,MATCH($A23,DiemHKII!$B$4:$B$58,0),INDEX($BG$14:$BK$27,MATCH(V$7,$BG$14:$BG$27,0),4)),""),"")</f>
        <v/>
      </c>
      <c r="X23" s="48" t="str">
        <f>IF($A23&lt;&gt;"",IF(INDEX(BDHK2,MATCH($A23,DiemHKII!$B$4:$B$58,0),INDEX($BG$14:$BK$27,MATCH(V$7,$BG$14:$BG$27,0),2))&lt;&gt;"",INDEX(BDHK2,MATCH($A23,DiemHKII!$B$4:$B$58,0),INDEX($BG$14:$BK$27,MATCH(V$7,$BG$14:$BG$27,0),5)),""),"")</f>
        <v/>
      </c>
      <c r="Y23" s="46" t="str">
        <f>IF($A23&lt;&gt;"",IF(INDEX(BDHK2,MATCH($A23,DiemHKII!$B$4:$B$58,0),INDEX($BG$14:$BK$27,MATCH(Y$7,$BG$14:$BG$27,0),2))&lt;&gt;"",INDEX(BDHK2,MATCH($A23,DiemHKII!$B$4:$B$58,0),INDEX($BG$14:$BK$27,MATCH(Y$7,$BG$14:$BG$27,0),3)),""),"")</f>
        <v/>
      </c>
      <c r="Z23" s="47" t="str">
        <f>IF($A23&lt;&gt;"",IF(INDEX(BDHK2,MATCH($A23,DiemHKII!$B$4:$B$58,0),INDEX($BG$14:$BK$27,MATCH(Y$7,$BG$14:$BG$27,0),2))&lt;&gt;"",INDEX(BDHK2,MATCH($A23,DiemHKII!$B$4:$B$58,0),INDEX($BG$14:$BK$27,MATCH(Y$7,$BG$14:$BG$27,0),4)),""),"")</f>
        <v/>
      </c>
      <c r="AA23" s="48" t="str">
        <f>IF($A23&lt;&gt;"",IF(INDEX(BDHK2,MATCH($A23,DiemHKII!$B$4:$B$58,0),INDEX($BG$14:$BK$27,MATCH(Y$7,$BG$14:$BG$27,0),2))&lt;&gt;"",INDEX(BDHK2,MATCH($A23,DiemHKII!$B$4:$B$58,0),INDEX($BG$14:$BK$27,MATCH(Y$7,$BG$14:$BG$27,0),5)),""),"")</f>
        <v/>
      </c>
      <c r="AB23" s="46" t="str">
        <f>IF($A23&lt;&gt;"",IF(INDEX(BDHK2,MATCH($A23,DiemHKII!$B$4:$B$58,0),INDEX($BG$14:$BK$27,MATCH(AB$7,$BG$14:$BG$27,0),2))&lt;&gt;"",INDEX(BDHK2,MATCH($A23,DiemHKII!$B$4:$B$58,0),INDEX($BG$14:$BK$27,MATCH(AB$7,$BG$14:$BG$27,0),3)),""),"")</f>
        <v/>
      </c>
      <c r="AC23" s="47" t="str">
        <f>IF($A23&lt;&gt;"",IF(INDEX(BDHK2,MATCH($A23,DiemHKII!$B$4:$B$58,0),INDEX($BG$14:$BK$27,MATCH(AB$7,$BG$14:$BG$27,0),2))&lt;&gt;"",INDEX(BDHK2,MATCH($A23,DiemHKII!$B$4:$B$58,0),INDEX($BG$14:$BK$27,MATCH(AB$7,$BG$14:$BG$27,0),4)),""),"")</f>
        <v/>
      </c>
      <c r="AD23" s="48" t="str">
        <f>IF($A23&lt;&gt;"",IF(INDEX(BDHK2,MATCH($A23,DiemHKII!$B$4:$B$58,0),INDEX($BG$14:$BK$27,MATCH(AB$7,$BG$14:$BG$27,0),2))&lt;&gt;"",INDEX(BDHK2,MATCH($A23,DiemHKII!$B$4:$B$58,0),INDEX($BG$14:$BK$27,MATCH(AB$7,$BG$14:$BG$27,0),5)),""),"")</f>
        <v/>
      </c>
      <c r="AE23" s="46" t="str">
        <f>IF($A23&lt;&gt;"",IF(INDEX(BDHK2,MATCH($A23,DiemHKII!$B$4:$B$58,0),INDEX($BG$14:$BK$27,MATCH(AE$7,$BG$14:$BG$27,0),2))&lt;&gt;"",INDEX(BDHK2,MATCH($A23,DiemHKII!$B$4:$B$58,0),INDEX($BG$14:$BK$27,MATCH(AE$7,$BG$14:$BG$27,0),3)),""),"")</f>
        <v/>
      </c>
      <c r="AF23" s="47" t="str">
        <f>IF($A23&lt;&gt;"",IF(INDEX(BDHK2,MATCH($A23,DiemHKII!$B$4:$B$58,0),INDEX($BG$14:$BK$27,MATCH(AE$7,$BG$14:$BG$27,0),2))&lt;&gt;"",INDEX(BDHK2,MATCH($A23,DiemHKII!$B$4:$B$58,0),INDEX($BG$14:$BK$27,MATCH(AE$7,$BG$14:$BG$27,0),4)),""),"")</f>
        <v/>
      </c>
      <c r="AG23" s="48" t="str">
        <f>IF($A23&lt;&gt;"",IF(INDEX(BDHK2,MATCH($A23,DiemHKII!$B$4:$B$58,0),INDEX($BG$14:$BK$27,MATCH(AE$7,$BG$14:$BG$27,0),2))&lt;&gt;"",INDEX(BDHK2,MATCH($A23,DiemHKII!$B$4:$B$58,0),INDEX($BG$14:$BK$27,MATCH(AE$7,$BG$14:$BG$27,0),5)),""),"")</f>
        <v/>
      </c>
      <c r="AH23" s="46" t="str">
        <f>IF($A23&lt;&gt;"",IF(INDEX(BDHK2,MATCH($A23,DiemHKII!$B$4:$B$58,0),INDEX($BG$14:$BK$27,MATCH(AH$7,$BG$14:$BG$27,0),2))&lt;&gt;"",INDEX(BDHK2,MATCH($A23,DiemHKII!$B$4:$B$58,0),INDEX($BG$14:$BK$27,MATCH(AH$7,$BG$14:$BG$27,0),3)),""),"")</f>
        <v/>
      </c>
      <c r="AI23" s="47" t="str">
        <f>IF($A23&lt;&gt;"",IF(INDEX(BDHK2,MATCH($A23,DiemHKII!$B$4:$B$58,0),INDEX($BG$14:$BK$27,MATCH(AH$7,$BG$14:$BG$27,0),2))&lt;&gt;"",INDEX(BDHK2,MATCH($A23,DiemHKII!$B$4:$B$58,0),INDEX($BG$14:$BK$27,MATCH(AH$7,$BG$14:$BG$27,0),4)),""),"")</f>
        <v/>
      </c>
      <c r="AJ23" s="48" t="str">
        <f>IF($A23&lt;&gt;"",IF(INDEX(BDHK2,MATCH($A23,DiemHKII!$B$4:$B$58,0),INDEX($BG$14:$BK$27,MATCH(AH$7,$BG$14:$BG$27,0),2))&lt;&gt;"",INDEX(BDHK2,MATCH($A23,DiemHKII!$B$4:$B$58,0),INDEX($BG$14:$BK$27,MATCH(AH$7,$BG$14:$BG$27,0),5)),""),"")</f>
        <v/>
      </c>
      <c r="AK23" s="49" t="str">
        <f>IF($A23&lt;&gt;"",IF(INDEX(BDHK2,MATCH($A23,DiemHKII!$B$4:$B$58,0),INDEX($BG$14:$BK$27,MATCH(AK$7,$BG$14:$BG$27,0),2))&lt;&gt;"",INDEX(BDHK2,MATCH($A23,DiemHKII!$B$4:$B$58,0),INDEX($BG$14:$BK$27,MATCH(AK$7,$BG$14:$BG$27,0),3)),""),"")</f>
        <v/>
      </c>
      <c r="AL23" s="50" t="str">
        <f>IF($A23&lt;&gt;"",IF(INDEX(BDHK2,MATCH($A23,DiemHKII!$B$4:$B$58,0),INDEX($BG$14:$BK$27,MATCH(AK$7,$BG$14:$BG$27,0),2))&lt;&gt;"",INDEX(BDHK2,MATCH($A23,DiemHKII!$B$4:$B$58,0),INDEX($BG$14:$BK$27,MATCH(AK$7,$BG$14:$BG$27,0),4)),""),"")</f>
        <v/>
      </c>
      <c r="AM23" s="51" t="str">
        <f>IF($A23&lt;&gt;"",IF(INDEX(BDHK2,MATCH($A23,DiemHKII!$B$4:$B$58,0),INDEX($BG$14:$BK$27,MATCH(AK$7,$BG$14:$BG$27,0),2))&lt;&gt;"",INDEX(BDHK2,MATCH($A23,DiemHKII!$B$4:$B$58,0),INDEX($BG$14:$BK$27,MATCH(AK$7,$BG$14:$BG$27,0),5)),""),"")</f>
        <v/>
      </c>
      <c r="AN23" s="46" t="str">
        <f>IF($A23&lt;&gt;"",IF(INDEX(BDHK2,MATCH($A23,DiemHKII!$B$4:$B$58,0),INDEX($BG$14:$BK$27,MATCH(AN$7,$BG$14:$BG$27,0),2))&lt;&gt;"",INDEX(BDHK2,MATCH($A23,DiemHKII!$B$4:$B$58,0),INDEX($BG$14:$BK$27,MATCH(AN$7,$BG$14:$BG$27,0),3)),""),"")</f>
        <v/>
      </c>
      <c r="AO23" s="47" t="str">
        <f>IF($A23&lt;&gt;"",IF(INDEX(BDHK2,MATCH($A23,DiemHKII!$B$4:$B$58,0),INDEX($BG$14:$BK$27,MATCH(AN$7,$BG$14:$BG$27,0),2))&lt;&gt;"",INDEX(BDHK2,MATCH($A23,DiemHKII!$B$4:$B$58,0),INDEX($BG$14:$BK$27,MATCH(AN$7,$BG$14:$BG$27,0),4)),""),"")</f>
        <v/>
      </c>
      <c r="AP23" s="48" t="str">
        <f>IF($A23&lt;&gt;"",IF(INDEX(BDHK2,MATCH($A23,DiemHKII!$B$4:$B$58,0),INDEX($BG$14:$BK$27,MATCH(AN$7,$BG$14:$BG$27,0),2))&lt;&gt;"",INDEX(BDHK2,MATCH($A23,DiemHKII!$B$4:$B$58,0),INDEX($BG$14:$BK$27,MATCH(AN$7,$BG$14:$BG$27,0),5)),""),"")</f>
        <v/>
      </c>
      <c r="AQ23" s="46" t="str">
        <f>IF($A23&lt;&gt;"",IF(INDEX(BDHK2,MATCH($A23,DiemHKII!$B$4:$B$58,0),INDEX($BG$14:$BK$27,MATCH(AQ$7,$BG$14:$BG$27,0),2))&lt;&gt;"",INDEX(BDHK2,MATCH($A23,DiemHKII!$B$4:$B$58,0),INDEX($BG$14:$BK$27,MATCH(AQ$7,$BG$14:$BG$27,0),3)),""),"")</f>
        <v/>
      </c>
      <c r="AR23" s="47" t="str">
        <f>IF($A23&lt;&gt;"",IF(INDEX(BDHK2,MATCH($A23,DiemHKII!$B$4:$B$58,0),INDEX($BG$14:$BK$27,MATCH(AQ$7,$BG$14:$BG$27,0),2))&lt;&gt;"",INDEX(BDHK2,MATCH($A23,DiemHKII!$B$4:$B$58,0),INDEX($BG$14:$BK$27,MATCH(AQ$7,$BG$14:$BG$27,0),4)),""),"")</f>
        <v/>
      </c>
      <c r="AS23" s="48" t="str">
        <f>IF($A23&lt;&gt;"",IF(INDEX(BDHK2,MATCH($A23,DiemHKII!$B$4:$B$58,0),INDEX($BG$14:$BK$27,MATCH(AQ$7,$BG$14:$BG$27,0),2))&lt;&gt;"",INDEX(BDHK2,MATCH($A23,DiemHKII!$B$4:$B$58,0),INDEX($BG$14:$BK$27,MATCH(AQ$7,$BG$14:$BG$27,0),5)),""),"")</f>
        <v/>
      </c>
      <c r="AT23" s="46">
        <f>IFERROR(IF($A23&gt;=1,IF(INDEX(THHKI!$V$8:$Y$62,MATCH($BL23,THHKI!$AG$8:$AG$62,0),1)&lt;&gt;"",INDEX(THHKI!$V$8:$Y$62,MATCH($BL23,THHKI!$AG$8:$AG$62,0),1),""),""),"")</f>
        <v>9.3000000000000007</v>
      </c>
      <c r="AU23" s="47" t="str">
        <f>IF($A23&gt;=1,IF(INDEX(THHKII!$V$8:$Y$62,MATCH($BL23,THHKII!$AG$8:$AG$62,0),1)&lt;&gt;"",INDEX(THHKII!$V$8:$Y$62,MATCH($BL23,THHKII!$AG$8:$AG$62,0),1),""),"")</f>
        <v/>
      </c>
      <c r="AV23" s="52" t="str">
        <f>IF($A23&gt;=1,IF(INDEX(THCN!$V$8:$Y$62,MATCH($BL23,THCN!$AG$8:$AG$62,0),1)&lt;&gt;"",INDEX(THCN!$V$8:$Y$62,MATCH($BL23,THCN!$AG$8:$AG$62,0),1),""),"")</f>
        <v/>
      </c>
      <c r="AW23" s="53" t="str">
        <f>IFERROR(IF($A23&gt;=1,IF(INDEX(THHKI!$V$8:$Y$62,MATCH($BL23,THHKI!$AG$8:$AG$62,0),2)&lt;&gt;"",INDEX(THHKI!$V$8:$Y$62,MATCH($BL23,THHKI!$AG$8:$AG$62,0),2),""),""),"")</f>
        <v>Giỏi</v>
      </c>
      <c r="AX23" s="50" t="str">
        <f>IF($A23&gt;=1,IF(INDEX(THHKII!$V$8:$Y$62,MATCH($BL23,THHKII!$AG$8:$AG$62,0),2)&lt;&gt;"",INDEX(THHKII!$V$8:$Y$62,MATCH($BL23,THHKII!$AG$8:$AG$62,0),2),""),"")</f>
        <v/>
      </c>
      <c r="AY23" s="54" t="str">
        <f>IF($A23&gt;=1,IF(INDEX(THCN!$V$8:$Y$62,MATCH($BL23,THCN!$AG$8:$AG$62,0),2)&lt;&gt;"",INDEX(THCN!$V$8:$Y$62,MATCH($BL23,THCN!$AG$8:$AG$62,0),2),""),"")</f>
        <v/>
      </c>
      <c r="AZ23" s="49" t="str">
        <f>IFERROR(IF($A23&gt;=1,IF(INDEX(THHKI!$V$8:$Y$62,MATCH($BL23,THHKI!$AG$8:$AG$62,0),3)&lt;&gt;"",INDEX(THHKI!$V$8:$Y$62,MATCH($BL23,THHKI!$AG$8:$AG$62,0),3),""),""),"")</f>
        <v>Tốt</v>
      </c>
      <c r="BA23" s="50" t="str">
        <f>IF($A23&gt;=1,IF(INDEX(THHKII!$V$8:$Y$62,MATCH($BL23,THHKII!$AG$8:$AG$62,0),3)&lt;&gt;"",INDEX(THHKII!$V$8:$Y$62,MATCH($BL23,THHKII!$AG$8:$AG$62,0),3),""),"")</f>
        <v/>
      </c>
      <c r="BB23" s="55" t="str">
        <f>IF($A23&gt;=1,IF(INDEX(THCN!$V$8:$Y$62,MATCH($BL23,THCN!$AG$8:$AG$62,0),3)&lt;&gt;"",INDEX(THCN!$V$8:$Y$62,MATCH($BL23,THCN!$AG$8:$AG$62,0),3),""),"")</f>
        <v/>
      </c>
      <c r="BC23" s="56" t="str">
        <f>IF($A23&gt;=1,IF(INDEX(THCN!$V$8:$Y$62,MATCH($BL23,THCN!$AG$8:$AG$62,0),4)&lt;&gt;"",INDEX(THCN!$V$8:$Y$62,MATCH($BL23,THCN!$AG$8:$AG$62,0),4),""),"")</f>
        <v/>
      </c>
      <c r="BE23" s="43" t="str">
        <f>IFERROR(IF($A23&gt;=1,IF(INDEX(THHKI!$V$8:$Y$62,MATCH($BL23,THHKI!$AG$8:$AG$62,0),4)&lt;&gt;"",INDEX(THHKI!$V$8:$Y$62,MATCH($BL23,THHKI!$AG$8:$AG$62,0),4),""),""),"")</f>
        <v>HSG</v>
      </c>
      <c r="BF23" s="56" t="str">
        <f>IF($A23&gt;=1,IF(INDEX(THHKII!$V$8:$Y$62,MATCH($BL23,THHKII!$AG$8:$AG$62,0),4)&lt;&gt;"",INDEX(THHKII!$V$8:$Y$62,MATCH($BL23,THHKII!$AG$8:$AG$62,0),4),""),"")</f>
        <v/>
      </c>
      <c r="BG23" s="30" t="s">
        <v>60</v>
      </c>
      <c r="BH23" s="30">
        <v>97</v>
      </c>
      <c r="BI23" s="30">
        <v>98</v>
      </c>
      <c r="BJ23" s="30">
        <v>99</v>
      </c>
      <c r="BK23" s="30">
        <v>100</v>
      </c>
      <c r="BL23" s="30" t="str">
        <f>IF($A23&lt;&gt;"",INDEX(DiemHKII!$B$4:$K$58,MATCH($A23,DiemHKII!$B$4:$B$58,0),2),"")</f>
        <v>12A1Trần HoàngHưng11/06/2004</v>
      </c>
    </row>
    <row r="24" spans="1:64" s="30" customFormat="1" ht="29.1" customHeight="1">
      <c r="A24" s="16">
        <f>IF(A23&lt;MAX(DiemHKII!$B$4:$B$58),A23+1,"")</f>
        <v>16</v>
      </c>
      <c r="B24" s="17" t="str">
        <f>IF($A24&lt;&gt;"",PROPER(INDEX(DiemHKII!$B$4:$K$58,MATCH($A24,DiemHKII!$B$4:$B$58,0),4)),"")</f>
        <v>Trần Đăng</v>
      </c>
      <c r="C24" s="18" t="str">
        <f>IF($A24&lt;&gt;"",PROPER(INDEX(DiemHKII!$B$4:$K$58,MATCH($A24,DiemHKII!$B$4:$B$58,0),5)),"")</f>
        <v>Khải</v>
      </c>
      <c r="D24" s="19" t="str">
        <f>IF($A24&lt;&gt;"",IF(INDEX(BDHK2,MATCH($A24,DiemHKII!$B$4:$B$58,0),INDEX($BG$14:$BK$27,MATCH(D$7,$BG$14:$BG$27,0),2))&lt;&gt;"",INDEX(BDHK2,MATCH($A24,DiemHKII!$B$4:$B$58,0),INDEX($BG$14:$BK$27,MATCH(D$7,$BG$14:$BG$27,0),3)),""),"")</f>
        <v/>
      </c>
      <c r="E24" s="20" t="str">
        <f>IF($A24&lt;&gt;"",IF(INDEX(BDHK2,MATCH($A24,DiemHKII!$B$4:$B$58,0),INDEX($BG$14:$BK$27,MATCH(D$7,$BG$14:$BG$27,0),2))&lt;&gt;"",INDEX(BDHK2,MATCH($A24,DiemHKII!$B$4:$B$58,0),INDEX($BG$14:$BK$27,MATCH(D$7,$BG$14:$BG$27,0),4)),""),"")</f>
        <v/>
      </c>
      <c r="F24" s="21" t="str">
        <f>IF($A24&lt;&gt;"",IF(INDEX(BDHK2,MATCH($A24,DiemHKII!$B$4:$B$58,0),INDEX($BG$14:$BK$27,MATCH(D$7,$BG$14:$BG$27,0),2))&lt;&gt;"",INDEX(BDHK2,MATCH($A24,DiemHKII!$B$4:$B$58,0),INDEX($BG$14:$BK$27,MATCH(D$7,$BG$14:$BG$27,0),5)),""),"")</f>
        <v/>
      </c>
      <c r="G24" s="19" t="str">
        <f>IF($A24&lt;&gt;"",IF(INDEX(BDHK2,MATCH($A24,DiemHKII!$B$4:$B$58,0),INDEX($BG$14:$BK$27,MATCH(G$7,$BG$14:$BG$27,0),2))&lt;&gt;"",INDEX(BDHK2,MATCH($A24,DiemHKII!$B$4:$B$58,0),INDEX($BG$14:$BK$27,MATCH(G$7,$BG$14:$BG$27,0),3)),""),"")</f>
        <v/>
      </c>
      <c r="H24" s="20" t="str">
        <f>IF($A24&lt;&gt;"",IF(INDEX(BDHK2,MATCH($A24,DiemHKII!$B$4:$B$58,0),INDEX($BG$14:$BK$27,MATCH(G$7,$BG$14:$BG$27,0),2))&lt;&gt;"",INDEX(BDHK2,MATCH($A24,DiemHKII!$B$4:$B$58,0),INDEX($BG$14:$BK$27,MATCH(G$7,$BG$14:$BG$27,0),4)),""),"")</f>
        <v/>
      </c>
      <c r="I24" s="21" t="str">
        <f>IF($A24&lt;&gt;"",IF(INDEX(BDHK2,MATCH($A24,DiemHKII!$B$4:$B$58,0),INDEX($BG$14:$BK$27,MATCH(G$7,$BG$14:$BG$27,0),2))&lt;&gt;"",INDEX(BDHK2,MATCH($A24,DiemHKII!$B$4:$B$58,0),INDEX($BG$14:$BK$27,MATCH(G$7,$BG$14:$BG$27,0),5)),""),"")</f>
        <v/>
      </c>
      <c r="J24" s="19" t="str">
        <f>IF($A24&lt;&gt;"",IF(INDEX(BDHK2,MATCH($A24,DiemHKII!$B$4:$B$58,0),INDEX($BG$14:$BK$27,MATCH(J$7,$BG$14:$BG$27,0),2))&lt;&gt;"",INDEX(BDHK2,MATCH($A24,DiemHKII!$B$4:$B$58,0),INDEX($BG$14:$BK$27,MATCH(J$7,$BG$14:$BG$27,0),3)),""),"")</f>
        <v/>
      </c>
      <c r="K24" s="20" t="str">
        <f>IF($A24&lt;&gt;"",IF(INDEX(BDHK2,MATCH($A24,DiemHKII!$B$4:$B$58,0),INDEX($BG$14:$BK$27,MATCH(J$7,$BG$14:$BG$27,0),2))&lt;&gt;"",INDEX(BDHK2,MATCH($A24,DiemHKII!$B$4:$B$58,0),INDEX($BG$14:$BK$27,MATCH(J$7,$BG$14:$BG$27,0),4)),""),"")</f>
        <v/>
      </c>
      <c r="L24" s="21" t="str">
        <f>IF($A24&lt;&gt;"",IF(INDEX(BDHK2,MATCH($A24,DiemHKII!$B$4:$B$58,0),INDEX($BG$14:$BK$27,MATCH(J$7,$BG$14:$BG$27,0),2))&lt;&gt;"",INDEX(BDHK2,MATCH($A24,DiemHKII!$B$4:$B$58,0),INDEX($BG$14:$BK$27,MATCH(J$7,$BG$14:$BG$27,0),5)),""),"")</f>
        <v/>
      </c>
      <c r="M24" s="19" t="str">
        <f>IF($A24&lt;&gt;"",IF(INDEX(BDHK2,MATCH($A24,DiemHKII!$B$4:$B$58,0),INDEX($BG$14:$BK$27,MATCH(M$7,$BG$14:$BG$27,0),2))&lt;&gt;"",INDEX(BDHK2,MATCH($A24,DiemHKII!$B$4:$B$58,0),INDEX($BG$14:$BK$27,MATCH(M$7,$BG$14:$BG$27,0),3)),""),"")</f>
        <v/>
      </c>
      <c r="N24" s="20" t="str">
        <f>IF($A24&lt;&gt;"",IF(INDEX(BDHK2,MATCH($A24,DiemHKII!$B$4:$B$58,0),INDEX($BG$14:$BK$27,MATCH(M$7,$BG$14:$BG$27,0),2))&lt;&gt;"",INDEX(BDHK2,MATCH($A24,DiemHKII!$B$4:$B$58,0),INDEX($BG$14:$BK$27,MATCH(M$7,$BG$14:$BG$27,0),4)),""),"")</f>
        <v/>
      </c>
      <c r="O24" s="21" t="str">
        <f>IF($A24&lt;&gt;"",IF(INDEX(BDHK2,MATCH($A24,DiemHKII!$B$4:$B$58,0),INDEX($BG$14:$BK$27,MATCH(M$7,$BG$14:$BG$27,0),2))&lt;&gt;"",INDEX(BDHK2,MATCH($A24,DiemHKII!$B$4:$B$58,0),INDEX($BG$14:$BK$27,MATCH(M$7,$BG$14:$BG$27,0),5)),""),"")</f>
        <v/>
      </c>
      <c r="P24" s="19" t="str">
        <f>IF($A24&lt;&gt;"",IF(INDEX(BDHK2,MATCH($A24,DiemHKII!$B$4:$B$58,0),INDEX($BG$14:$BK$27,MATCH(P$7,$BG$14:$BG$27,0),2))&lt;&gt;"",INDEX(BDHK2,MATCH($A24,DiemHKII!$B$4:$B$58,0),INDEX($BG$14:$BK$27,MATCH(P$7,$BG$14:$BG$27,0),3)),""),"")</f>
        <v/>
      </c>
      <c r="Q24" s="20" t="str">
        <f>IF($A24&lt;&gt;"",IF(INDEX(BDHK2,MATCH($A24,DiemHKII!$B$4:$B$58,0),INDEX($BG$14:$BK$27,MATCH(P$7,$BG$14:$BG$27,0),2))&lt;&gt;"",INDEX(BDHK2,MATCH($A24,DiemHKII!$B$4:$B$58,0),INDEX($BG$14:$BK$27,MATCH(P$7,$BG$14:$BG$27,0),4)),""),"")</f>
        <v/>
      </c>
      <c r="R24" s="21" t="str">
        <f>IF($A24&lt;&gt;"",IF(INDEX(BDHK2,MATCH($A24,DiemHKII!$B$4:$B$58,0),INDEX($BG$14:$BK$27,MATCH(P$7,$BG$14:$BG$27,0),2))&lt;&gt;"",INDEX(BDHK2,MATCH($A24,DiemHKII!$B$4:$B$58,0),INDEX($BG$14:$BK$27,MATCH(P$7,$BG$14:$BG$27,0),5)),""),"")</f>
        <v/>
      </c>
      <c r="S24" s="19" t="str">
        <f>IF($A24&lt;&gt;"",IF(INDEX(BDHK2,MATCH($A24,DiemHKII!$B$4:$B$58,0),INDEX($BG$14:$BK$27,MATCH(S$7,$BG$14:$BG$27,0),2))&lt;&gt;"",INDEX(BDHK2,MATCH($A24,DiemHKII!$B$4:$B$58,0),INDEX($BG$14:$BK$27,MATCH(S$7,$BG$14:$BG$27,0),3)),""),"")</f>
        <v/>
      </c>
      <c r="T24" s="20" t="str">
        <f>IF($A24&lt;&gt;"",IF(INDEX(BDHK2,MATCH($A24,DiemHKII!$B$4:$B$58,0),INDEX($BG$14:$BK$27,MATCH(S$7,$BG$14:$BG$27,0),2))&lt;&gt;"",INDEX(BDHK2,MATCH($A24,DiemHKII!$B$4:$B$58,0),INDEX($BG$14:$BK$27,MATCH(S$7,$BG$14:$BG$27,0),4)),""),"")</f>
        <v/>
      </c>
      <c r="U24" s="21" t="str">
        <f>IF($A24&lt;&gt;"",IF(INDEX(BDHK2,MATCH($A24,DiemHKII!$B$4:$B$58,0),INDEX($BG$14:$BK$27,MATCH(S$7,$BG$14:$BG$27,0),2))&lt;&gt;"",INDEX(BDHK2,MATCH($A24,DiemHKII!$B$4:$B$58,0),INDEX($BG$14:$BK$27,MATCH(S$7,$BG$14:$BG$27,0),5)),""),"")</f>
        <v/>
      </c>
      <c r="V24" s="19" t="str">
        <f>IF($A24&lt;&gt;"",IF(INDEX(BDHK2,MATCH($A24,DiemHKII!$B$4:$B$58,0),INDEX($BG$14:$BK$27,MATCH(V$7,$BG$14:$BG$27,0),2))&lt;&gt;"",INDEX(BDHK2,MATCH($A24,DiemHKII!$B$4:$B$58,0),INDEX($BG$14:$BK$27,MATCH(V$7,$BG$14:$BG$27,0),3)),""),"")</f>
        <v/>
      </c>
      <c r="W24" s="20" t="str">
        <f>IF($A24&lt;&gt;"",IF(INDEX(BDHK2,MATCH($A24,DiemHKII!$B$4:$B$58,0),INDEX($BG$14:$BK$27,MATCH(V$7,$BG$14:$BG$27,0),2))&lt;&gt;"",INDEX(BDHK2,MATCH($A24,DiemHKII!$B$4:$B$58,0),INDEX($BG$14:$BK$27,MATCH(V$7,$BG$14:$BG$27,0),4)),""),"")</f>
        <v/>
      </c>
      <c r="X24" s="21" t="str">
        <f>IF($A24&lt;&gt;"",IF(INDEX(BDHK2,MATCH($A24,DiemHKII!$B$4:$B$58,0),INDEX($BG$14:$BK$27,MATCH(V$7,$BG$14:$BG$27,0),2))&lt;&gt;"",INDEX(BDHK2,MATCH($A24,DiemHKII!$B$4:$B$58,0),INDEX($BG$14:$BK$27,MATCH(V$7,$BG$14:$BG$27,0),5)),""),"")</f>
        <v/>
      </c>
      <c r="Y24" s="19" t="str">
        <f>IF($A24&lt;&gt;"",IF(INDEX(BDHK2,MATCH($A24,DiemHKII!$B$4:$B$58,0),INDEX($BG$14:$BK$27,MATCH(Y$7,$BG$14:$BG$27,0),2))&lt;&gt;"",INDEX(BDHK2,MATCH($A24,DiemHKII!$B$4:$B$58,0),INDEX($BG$14:$BK$27,MATCH(Y$7,$BG$14:$BG$27,0),3)),""),"")</f>
        <v/>
      </c>
      <c r="Z24" s="20" t="str">
        <f>IF($A24&lt;&gt;"",IF(INDEX(BDHK2,MATCH($A24,DiemHKII!$B$4:$B$58,0),INDEX($BG$14:$BK$27,MATCH(Y$7,$BG$14:$BG$27,0),2))&lt;&gt;"",INDEX(BDHK2,MATCH($A24,DiemHKII!$B$4:$B$58,0),INDEX($BG$14:$BK$27,MATCH(Y$7,$BG$14:$BG$27,0),4)),""),"")</f>
        <v/>
      </c>
      <c r="AA24" s="21" t="str">
        <f>IF($A24&lt;&gt;"",IF(INDEX(BDHK2,MATCH($A24,DiemHKII!$B$4:$B$58,0),INDEX($BG$14:$BK$27,MATCH(Y$7,$BG$14:$BG$27,0),2))&lt;&gt;"",INDEX(BDHK2,MATCH($A24,DiemHKII!$B$4:$B$58,0),INDEX($BG$14:$BK$27,MATCH(Y$7,$BG$14:$BG$27,0),5)),""),"")</f>
        <v/>
      </c>
      <c r="AB24" s="19" t="str">
        <f>IF($A24&lt;&gt;"",IF(INDEX(BDHK2,MATCH($A24,DiemHKII!$B$4:$B$58,0),INDEX($BG$14:$BK$27,MATCH(AB$7,$BG$14:$BG$27,0),2))&lt;&gt;"",INDEX(BDHK2,MATCH($A24,DiemHKII!$B$4:$B$58,0),INDEX($BG$14:$BK$27,MATCH(AB$7,$BG$14:$BG$27,0),3)),""),"")</f>
        <v/>
      </c>
      <c r="AC24" s="20" t="str">
        <f>IF($A24&lt;&gt;"",IF(INDEX(BDHK2,MATCH($A24,DiemHKII!$B$4:$B$58,0),INDEX($BG$14:$BK$27,MATCH(AB$7,$BG$14:$BG$27,0),2))&lt;&gt;"",INDEX(BDHK2,MATCH($A24,DiemHKII!$B$4:$B$58,0),INDEX($BG$14:$BK$27,MATCH(AB$7,$BG$14:$BG$27,0),4)),""),"")</f>
        <v/>
      </c>
      <c r="AD24" s="21" t="str">
        <f>IF($A24&lt;&gt;"",IF(INDEX(BDHK2,MATCH($A24,DiemHKII!$B$4:$B$58,0),INDEX($BG$14:$BK$27,MATCH(AB$7,$BG$14:$BG$27,0),2))&lt;&gt;"",INDEX(BDHK2,MATCH($A24,DiemHKII!$B$4:$B$58,0),INDEX($BG$14:$BK$27,MATCH(AB$7,$BG$14:$BG$27,0),5)),""),"")</f>
        <v/>
      </c>
      <c r="AE24" s="19" t="str">
        <f>IF($A24&lt;&gt;"",IF(INDEX(BDHK2,MATCH($A24,DiemHKII!$B$4:$B$58,0),INDEX($BG$14:$BK$27,MATCH(AE$7,$BG$14:$BG$27,0),2))&lt;&gt;"",INDEX(BDHK2,MATCH($A24,DiemHKII!$B$4:$B$58,0),INDEX($BG$14:$BK$27,MATCH(AE$7,$BG$14:$BG$27,0),3)),""),"")</f>
        <v/>
      </c>
      <c r="AF24" s="20" t="str">
        <f>IF($A24&lt;&gt;"",IF(INDEX(BDHK2,MATCH($A24,DiemHKII!$B$4:$B$58,0),INDEX($BG$14:$BK$27,MATCH(AE$7,$BG$14:$BG$27,0),2))&lt;&gt;"",INDEX(BDHK2,MATCH($A24,DiemHKII!$B$4:$B$58,0),INDEX($BG$14:$BK$27,MATCH(AE$7,$BG$14:$BG$27,0),4)),""),"")</f>
        <v/>
      </c>
      <c r="AG24" s="21" t="str">
        <f>IF($A24&lt;&gt;"",IF(INDEX(BDHK2,MATCH($A24,DiemHKII!$B$4:$B$58,0),INDEX($BG$14:$BK$27,MATCH(AE$7,$BG$14:$BG$27,0),2))&lt;&gt;"",INDEX(BDHK2,MATCH($A24,DiemHKII!$B$4:$B$58,0),INDEX($BG$14:$BK$27,MATCH(AE$7,$BG$14:$BG$27,0),5)),""),"")</f>
        <v/>
      </c>
      <c r="AH24" s="19" t="str">
        <f>IF($A24&lt;&gt;"",IF(INDEX(BDHK2,MATCH($A24,DiemHKII!$B$4:$B$58,0),INDEX($BG$14:$BK$27,MATCH(AH$7,$BG$14:$BG$27,0),2))&lt;&gt;"",INDEX(BDHK2,MATCH($A24,DiemHKII!$B$4:$B$58,0),INDEX($BG$14:$BK$27,MATCH(AH$7,$BG$14:$BG$27,0),3)),""),"")</f>
        <v/>
      </c>
      <c r="AI24" s="20" t="str">
        <f>IF($A24&lt;&gt;"",IF(INDEX(BDHK2,MATCH($A24,DiemHKII!$B$4:$B$58,0),INDEX($BG$14:$BK$27,MATCH(AH$7,$BG$14:$BG$27,0),2))&lt;&gt;"",INDEX(BDHK2,MATCH($A24,DiemHKII!$B$4:$B$58,0),INDEX($BG$14:$BK$27,MATCH(AH$7,$BG$14:$BG$27,0),4)),""),"")</f>
        <v/>
      </c>
      <c r="AJ24" s="21" t="str">
        <f>IF($A24&lt;&gt;"",IF(INDEX(BDHK2,MATCH($A24,DiemHKII!$B$4:$B$58,0),INDEX($BG$14:$BK$27,MATCH(AH$7,$BG$14:$BG$27,0),2))&lt;&gt;"",INDEX(BDHK2,MATCH($A24,DiemHKII!$B$4:$B$58,0),INDEX($BG$14:$BK$27,MATCH(AH$7,$BG$14:$BG$27,0),5)),""),"")</f>
        <v/>
      </c>
      <c r="AK24" s="22" t="str">
        <f>IF($A24&lt;&gt;"",IF(INDEX(BDHK2,MATCH($A24,DiemHKII!$B$4:$B$58,0),INDEX($BG$14:$BK$27,MATCH(AK$7,$BG$14:$BG$27,0),2))&lt;&gt;"",INDEX(BDHK2,MATCH($A24,DiemHKII!$B$4:$B$58,0),INDEX($BG$14:$BK$27,MATCH(AK$7,$BG$14:$BG$27,0),3)),""),"")</f>
        <v/>
      </c>
      <c r="AL24" s="23" t="str">
        <f>IF($A24&lt;&gt;"",IF(INDEX(BDHK2,MATCH($A24,DiemHKII!$B$4:$B$58,0),INDEX($BG$14:$BK$27,MATCH(AK$7,$BG$14:$BG$27,0),2))&lt;&gt;"",INDEX(BDHK2,MATCH($A24,DiemHKII!$B$4:$B$58,0),INDEX($BG$14:$BK$27,MATCH(AK$7,$BG$14:$BG$27,0),4)),""),"")</f>
        <v/>
      </c>
      <c r="AM24" s="24" t="str">
        <f>IF($A24&lt;&gt;"",IF(INDEX(BDHK2,MATCH($A24,DiemHKII!$B$4:$B$58,0),INDEX($BG$14:$BK$27,MATCH(AK$7,$BG$14:$BG$27,0),2))&lt;&gt;"",INDEX(BDHK2,MATCH($A24,DiemHKII!$B$4:$B$58,0),INDEX($BG$14:$BK$27,MATCH(AK$7,$BG$14:$BG$27,0),5)),""),"")</f>
        <v/>
      </c>
      <c r="AN24" s="19" t="str">
        <f>IF($A24&lt;&gt;"",IF(INDEX(BDHK2,MATCH($A24,DiemHKII!$B$4:$B$58,0),INDEX($BG$14:$BK$27,MATCH(AN$7,$BG$14:$BG$27,0),2))&lt;&gt;"",INDEX(BDHK2,MATCH($A24,DiemHKII!$B$4:$B$58,0),INDEX($BG$14:$BK$27,MATCH(AN$7,$BG$14:$BG$27,0),3)),""),"")</f>
        <v/>
      </c>
      <c r="AO24" s="20" t="str">
        <f>IF($A24&lt;&gt;"",IF(INDEX(BDHK2,MATCH($A24,DiemHKII!$B$4:$B$58,0),INDEX($BG$14:$BK$27,MATCH(AN$7,$BG$14:$BG$27,0),2))&lt;&gt;"",INDEX(BDHK2,MATCH($A24,DiemHKII!$B$4:$B$58,0),INDEX($BG$14:$BK$27,MATCH(AN$7,$BG$14:$BG$27,0),4)),""),"")</f>
        <v/>
      </c>
      <c r="AP24" s="21" t="str">
        <f>IF($A24&lt;&gt;"",IF(INDEX(BDHK2,MATCH($A24,DiemHKII!$B$4:$B$58,0),INDEX($BG$14:$BK$27,MATCH(AN$7,$BG$14:$BG$27,0),2))&lt;&gt;"",INDEX(BDHK2,MATCH($A24,DiemHKII!$B$4:$B$58,0),INDEX($BG$14:$BK$27,MATCH(AN$7,$BG$14:$BG$27,0),5)),""),"")</f>
        <v/>
      </c>
      <c r="AQ24" s="19" t="str">
        <f>IF($A24&lt;&gt;"",IF(INDEX(BDHK2,MATCH($A24,DiemHKII!$B$4:$B$58,0),INDEX($BG$14:$BK$27,MATCH(AQ$7,$BG$14:$BG$27,0),2))&lt;&gt;"",INDEX(BDHK2,MATCH($A24,DiemHKII!$B$4:$B$58,0),INDEX($BG$14:$BK$27,MATCH(AQ$7,$BG$14:$BG$27,0),3)),""),"")</f>
        <v/>
      </c>
      <c r="AR24" s="20" t="str">
        <f>IF($A24&lt;&gt;"",IF(INDEX(BDHK2,MATCH($A24,DiemHKII!$B$4:$B$58,0),INDEX($BG$14:$BK$27,MATCH(AQ$7,$BG$14:$BG$27,0),2))&lt;&gt;"",INDEX(BDHK2,MATCH($A24,DiemHKII!$B$4:$B$58,0),INDEX($BG$14:$BK$27,MATCH(AQ$7,$BG$14:$BG$27,0),4)),""),"")</f>
        <v/>
      </c>
      <c r="AS24" s="21" t="str">
        <f>IF($A24&lt;&gt;"",IF(INDEX(BDHK2,MATCH($A24,DiemHKII!$B$4:$B$58,0),INDEX($BG$14:$BK$27,MATCH(AQ$7,$BG$14:$BG$27,0),2))&lt;&gt;"",INDEX(BDHK2,MATCH($A24,DiemHKII!$B$4:$B$58,0),INDEX($BG$14:$BK$27,MATCH(AQ$7,$BG$14:$BG$27,0),5)),""),"")</f>
        <v/>
      </c>
      <c r="AT24" s="19">
        <f>IFERROR(IF($A24&gt;=1,IF(INDEX(THHKI!$V$8:$Y$62,MATCH($BL24,THHKI!$AG$8:$AG$62,0),1)&lt;&gt;"",INDEX(THHKI!$V$8:$Y$62,MATCH($BL24,THHKI!$AG$8:$AG$62,0),1),""),""),"")</f>
        <v>9.4</v>
      </c>
      <c r="AU24" s="20" t="str">
        <f>IF($A24&gt;=1,IF(INDEX(THHKII!$V$8:$Y$62,MATCH($BL24,THHKII!$AG$8:$AG$62,0),1)&lt;&gt;"",INDEX(THHKII!$V$8:$Y$62,MATCH($BL24,THHKII!$AG$8:$AG$62,0),1),""),"")</f>
        <v/>
      </c>
      <c r="AV24" s="25" t="str">
        <f>IF($A24&gt;=1,IF(INDEX(THCN!$V$8:$Y$62,MATCH($BL24,THCN!$AG$8:$AG$62,0),1)&lt;&gt;"",INDEX(THCN!$V$8:$Y$62,MATCH($BL24,THCN!$AG$8:$AG$62,0),1),""),"")</f>
        <v/>
      </c>
      <c r="AW24" s="26" t="str">
        <f>IFERROR(IF($A24&gt;=1,IF(INDEX(THHKI!$V$8:$Y$62,MATCH($BL24,THHKI!$AG$8:$AG$62,0),2)&lt;&gt;"",INDEX(THHKI!$V$8:$Y$62,MATCH($BL24,THHKI!$AG$8:$AG$62,0),2),""),""),"")</f>
        <v>Giỏi</v>
      </c>
      <c r="AX24" s="23" t="str">
        <f>IF($A24&gt;=1,IF(INDEX(THHKII!$V$8:$Y$62,MATCH($BL24,THHKII!$AG$8:$AG$62,0),2)&lt;&gt;"",INDEX(THHKII!$V$8:$Y$62,MATCH($BL24,THHKII!$AG$8:$AG$62,0),2),""),"")</f>
        <v/>
      </c>
      <c r="AY24" s="27" t="str">
        <f>IF($A24&gt;=1,IF(INDEX(THCN!$V$8:$Y$62,MATCH($BL24,THCN!$AG$8:$AG$62,0),2)&lt;&gt;"",INDEX(THCN!$V$8:$Y$62,MATCH($BL24,THCN!$AG$8:$AG$62,0),2),""),"")</f>
        <v/>
      </c>
      <c r="AZ24" s="22" t="str">
        <f>IFERROR(IF($A24&gt;=1,IF(INDEX(THHKI!$V$8:$Y$62,MATCH($BL24,THHKI!$AG$8:$AG$62,0),3)&lt;&gt;"",INDEX(THHKI!$V$8:$Y$62,MATCH($BL24,THHKI!$AG$8:$AG$62,0),3),""),""),"")</f>
        <v>Tốt</v>
      </c>
      <c r="BA24" s="23" t="str">
        <f>IF($A24&gt;=1,IF(INDEX(THHKII!$V$8:$Y$62,MATCH($BL24,THHKII!$AG$8:$AG$62,0),3)&lt;&gt;"",INDEX(THHKII!$V$8:$Y$62,MATCH($BL24,THHKII!$AG$8:$AG$62,0),3),""),"")</f>
        <v/>
      </c>
      <c r="BB24" s="28" t="str">
        <f>IF($A24&gt;=1,IF(INDEX(THCN!$V$8:$Y$62,MATCH($BL24,THCN!$AG$8:$AG$62,0),3)&lt;&gt;"",INDEX(THCN!$V$8:$Y$62,MATCH($BL24,THCN!$AG$8:$AG$62,0),3),""),"")</f>
        <v/>
      </c>
      <c r="BC24" s="29" t="str">
        <f>IF($A24&gt;=1,IF(INDEX(THCN!$V$8:$Y$62,MATCH($BL24,THCN!$AG$8:$AG$62,0),4)&lt;&gt;"",INDEX(THCN!$V$8:$Y$62,MATCH($BL24,THCN!$AG$8:$AG$62,0),4),""),"")</f>
        <v/>
      </c>
      <c r="BE24" s="16" t="str">
        <f>IFERROR(IF($A24&gt;=1,IF(INDEX(THHKI!$V$8:$Y$62,MATCH($BL24,THHKI!$AG$8:$AG$62,0),4)&lt;&gt;"",INDEX(THHKI!$V$8:$Y$62,MATCH($BL24,THHKI!$AG$8:$AG$62,0),4),""),""),"")</f>
        <v>HSG</v>
      </c>
      <c r="BF24" s="29" t="str">
        <f>IF($A24&gt;=1,IF(INDEX(THHKII!$V$8:$Y$62,MATCH($BL24,THHKII!$AG$8:$AG$62,0),4)&lt;&gt;"",INDEX(THHKII!$V$8:$Y$62,MATCH($BL24,THHKII!$AG$8:$AG$62,0),4),""),"")</f>
        <v/>
      </c>
      <c r="BG24" s="30" t="s">
        <v>34</v>
      </c>
      <c r="BH24" s="30">
        <v>106</v>
      </c>
      <c r="BI24" s="30">
        <v>107</v>
      </c>
      <c r="BJ24" s="30">
        <v>108</v>
      </c>
      <c r="BK24" s="30">
        <v>109</v>
      </c>
      <c r="BL24" s="30" t="str">
        <f>IF($A24&lt;&gt;"",INDEX(DiemHKII!$B$4:$K$58,MATCH($A24,DiemHKII!$B$4:$B$58,0),2),"")</f>
        <v>12A1Trần ĐăngKhải22/04/2004</v>
      </c>
    </row>
    <row r="25" spans="1:64" s="30" customFormat="1" ht="29.1" customHeight="1">
      <c r="A25" s="31">
        <f>IF(A24&lt;MAX(DiemHKII!$B$4:$B$58),A24+1,"")</f>
        <v>17</v>
      </c>
      <c r="B25" s="32" t="str">
        <f>IF($A25&lt;&gt;"",PROPER(INDEX(DiemHKII!$B$4:$K$58,MATCH($A25,DiemHKII!$B$4:$B$58,0),4)),"")</f>
        <v>Nguyễn Huỳnh Phúc</v>
      </c>
      <c r="C25" s="33" t="str">
        <f>IF($A25&lt;&gt;"",PROPER(INDEX(DiemHKII!$B$4:$K$58,MATCH($A25,DiemHKII!$B$4:$B$58,0),5)),"")</f>
        <v>Khang</v>
      </c>
      <c r="D25" s="34" t="str">
        <f>IF($A25&lt;&gt;"",IF(INDEX(BDHK2,MATCH($A25,DiemHKII!$B$4:$B$58,0),INDEX($BG$14:$BK$27,MATCH(D$7,$BG$14:$BG$27,0),2))&lt;&gt;"",INDEX(BDHK2,MATCH($A25,DiemHKII!$B$4:$B$58,0),INDEX($BG$14:$BK$27,MATCH(D$7,$BG$14:$BG$27,0),3)),""),"")</f>
        <v/>
      </c>
      <c r="E25" s="35" t="str">
        <f>IF($A25&lt;&gt;"",IF(INDEX(BDHK2,MATCH($A25,DiemHKII!$B$4:$B$58,0),INDEX($BG$14:$BK$27,MATCH(D$7,$BG$14:$BG$27,0),2))&lt;&gt;"",INDEX(BDHK2,MATCH($A25,DiemHKII!$B$4:$B$58,0),INDEX($BG$14:$BK$27,MATCH(D$7,$BG$14:$BG$27,0),4)),""),"")</f>
        <v/>
      </c>
      <c r="F25" s="36" t="str">
        <f>IF($A25&lt;&gt;"",IF(INDEX(BDHK2,MATCH($A25,DiemHKII!$B$4:$B$58,0),INDEX($BG$14:$BK$27,MATCH(D$7,$BG$14:$BG$27,0),2))&lt;&gt;"",INDEX(BDHK2,MATCH($A25,DiemHKII!$B$4:$B$58,0),INDEX($BG$14:$BK$27,MATCH(D$7,$BG$14:$BG$27,0),5)),""),"")</f>
        <v/>
      </c>
      <c r="G25" s="34" t="str">
        <f>IF($A25&lt;&gt;"",IF(INDEX(BDHK2,MATCH($A25,DiemHKII!$B$4:$B$58,0),INDEX($BG$14:$BK$27,MATCH(G$7,$BG$14:$BG$27,0),2))&lt;&gt;"",INDEX(BDHK2,MATCH($A25,DiemHKII!$B$4:$B$58,0),INDEX($BG$14:$BK$27,MATCH(G$7,$BG$14:$BG$27,0),3)),""),"")</f>
        <v/>
      </c>
      <c r="H25" s="35" t="str">
        <f>IF($A25&lt;&gt;"",IF(INDEX(BDHK2,MATCH($A25,DiemHKII!$B$4:$B$58,0),INDEX($BG$14:$BK$27,MATCH(G$7,$BG$14:$BG$27,0),2))&lt;&gt;"",INDEX(BDHK2,MATCH($A25,DiemHKII!$B$4:$B$58,0),INDEX($BG$14:$BK$27,MATCH(G$7,$BG$14:$BG$27,0),4)),""),"")</f>
        <v/>
      </c>
      <c r="I25" s="36" t="str">
        <f>IF($A25&lt;&gt;"",IF(INDEX(BDHK2,MATCH($A25,DiemHKII!$B$4:$B$58,0),INDEX($BG$14:$BK$27,MATCH(G$7,$BG$14:$BG$27,0),2))&lt;&gt;"",INDEX(BDHK2,MATCH($A25,DiemHKII!$B$4:$B$58,0),INDEX($BG$14:$BK$27,MATCH(G$7,$BG$14:$BG$27,0),5)),""),"")</f>
        <v/>
      </c>
      <c r="J25" s="34" t="str">
        <f>IF($A25&lt;&gt;"",IF(INDEX(BDHK2,MATCH($A25,DiemHKII!$B$4:$B$58,0),INDEX($BG$14:$BK$27,MATCH(J$7,$BG$14:$BG$27,0),2))&lt;&gt;"",INDEX(BDHK2,MATCH($A25,DiemHKII!$B$4:$B$58,0),INDEX($BG$14:$BK$27,MATCH(J$7,$BG$14:$BG$27,0),3)),""),"")</f>
        <v/>
      </c>
      <c r="K25" s="35" t="str">
        <f>IF($A25&lt;&gt;"",IF(INDEX(BDHK2,MATCH($A25,DiemHKII!$B$4:$B$58,0),INDEX($BG$14:$BK$27,MATCH(J$7,$BG$14:$BG$27,0),2))&lt;&gt;"",INDEX(BDHK2,MATCH($A25,DiemHKII!$B$4:$B$58,0),INDEX($BG$14:$BK$27,MATCH(J$7,$BG$14:$BG$27,0),4)),""),"")</f>
        <v/>
      </c>
      <c r="L25" s="36" t="str">
        <f>IF($A25&lt;&gt;"",IF(INDEX(BDHK2,MATCH($A25,DiemHKII!$B$4:$B$58,0),INDEX($BG$14:$BK$27,MATCH(J$7,$BG$14:$BG$27,0),2))&lt;&gt;"",INDEX(BDHK2,MATCH($A25,DiemHKII!$B$4:$B$58,0),INDEX($BG$14:$BK$27,MATCH(J$7,$BG$14:$BG$27,0),5)),""),"")</f>
        <v/>
      </c>
      <c r="M25" s="34" t="str">
        <f>IF($A25&lt;&gt;"",IF(INDEX(BDHK2,MATCH($A25,DiemHKII!$B$4:$B$58,0),INDEX($BG$14:$BK$27,MATCH(M$7,$BG$14:$BG$27,0),2))&lt;&gt;"",INDEX(BDHK2,MATCH($A25,DiemHKII!$B$4:$B$58,0),INDEX($BG$14:$BK$27,MATCH(M$7,$BG$14:$BG$27,0),3)),""),"")</f>
        <v/>
      </c>
      <c r="N25" s="35" t="str">
        <f>IF($A25&lt;&gt;"",IF(INDEX(BDHK2,MATCH($A25,DiemHKII!$B$4:$B$58,0),INDEX($BG$14:$BK$27,MATCH(M$7,$BG$14:$BG$27,0),2))&lt;&gt;"",INDEX(BDHK2,MATCH($A25,DiemHKII!$B$4:$B$58,0),INDEX($BG$14:$BK$27,MATCH(M$7,$BG$14:$BG$27,0),4)),""),"")</f>
        <v/>
      </c>
      <c r="O25" s="36" t="str">
        <f>IF($A25&lt;&gt;"",IF(INDEX(BDHK2,MATCH($A25,DiemHKII!$B$4:$B$58,0),INDEX($BG$14:$BK$27,MATCH(M$7,$BG$14:$BG$27,0),2))&lt;&gt;"",INDEX(BDHK2,MATCH($A25,DiemHKII!$B$4:$B$58,0),INDEX($BG$14:$BK$27,MATCH(M$7,$BG$14:$BG$27,0),5)),""),"")</f>
        <v/>
      </c>
      <c r="P25" s="34" t="str">
        <f>IF($A25&lt;&gt;"",IF(INDEX(BDHK2,MATCH($A25,DiemHKII!$B$4:$B$58,0),INDEX($BG$14:$BK$27,MATCH(P$7,$BG$14:$BG$27,0),2))&lt;&gt;"",INDEX(BDHK2,MATCH($A25,DiemHKII!$B$4:$B$58,0),INDEX($BG$14:$BK$27,MATCH(P$7,$BG$14:$BG$27,0),3)),""),"")</f>
        <v/>
      </c>
      <c r="Q25" s="35" t="str">
        <f>IF($A25&lt;&gt;"",IF(INDEX(BDHK2,MATCH($A25,DiemHKII!$B$4:$B$58,0),INDEX($BG$14:$BK$27,MATCH(P$7,$BG$14:$BG$27,0),2))&lt;&gt;"",INDEX(BDHK2,MATCH($A25,DiemHKII!$B$4:$B$58,0),INDEX($BG$14:$BK$27,MATCH(P$7,$BG$14:$BG$27,0),4)),""),"")</f>
        <v/>
      </c>
      <c r="R25" s="36" t="str">
        <f>IF($A25&lt;&gt;"",IF(INDEX(BDHK2,MATCH($A25,DiemHKII!$B$4:$B$58,0),INDEX($BG$14:$BK$27,MATCH(P$7,$BG$14:$BG$27,0),2))&lt;&gt;"",INDEX(BDHK2,MATCH($A25,DiemHKII!$B$4:$B$58,0),INDEX($BG$14:$BK$27,MATCH(P$7,$BG$14:$BG$27,0),5)),""),"")</f>
        <v/>
      </c>
      <c r="S25" s="34" t="str">
        <f>IF($A25&lt;&gt;"",IF(INDEX(BDHK2,MATCH($A25,DiemHKII!$B$4:$B$58,0),INDEX($BG$14:$BK$27,MATCH(S$7,$BG$14:$BG$27,0),2))&lt;&gt;"",INDEX(BDHK2,MATCH($A25,DiemHKII!$B$4:$B$58,0),INDEX($BG$14:$BK$27,MATCH(S$7,$BG$14:$BG$27,0),3)),""),"")</f>
        <v/>
      </c>
      <c r="T25" s="35" t="str">
        <f>IF($A25&lt;&gt;"",IF(INDEX(BDHK2,MATCH($A25,DiemHKII!$B$4:$B$58,0),INDEX($BG$14:$BK$27,MATCH(S$7,$BG$14:$BG$27,0),2))&lt;&gt;"",INDEX(BDHK2,MATCH($A25,DiemHKII!$B$4:$B$58,0),INDEX($BG$14:$BK$27,MATCH(S$7,$BG$14:$BG$27,0),4)),""),"")</f>
        <v/>
      </c>
      <c r="U25" s="36" t="str">
        <f>IF($A25&lt;&gt;"",IF(INDEX(BDHK2,MATCH($A25,DiemHKII!$B$4:$B$58,0),INDEX($BG$14:$BK$27,MATCH(S$7,$BG$14:$BG$27,0),2))&lt;&gt;"",INDEX(BDHK2,MATCH($A25,DiemHKII!$B$4:$B$58,0),INDEX($BG$14:$BK$27,MATCH(S$7,$BG$14:$BG$27,0),5)),""),"")</f>
        <v/>
      </c>
      <c r="V25" s="34" t="str">
        <f>IF($A25&lt;&gt;"",IF(INDEX(BDHK2,MATCH($A25,DiemHKII!$B$4:$B$58,0),INDEX($BG$14:$BK$27,MATCH(V$7,$BG$14:$BG$27,0),2))&lt;&gt;"",INDEX(BDHK2,MATCH($A25,DiemHKII!$B$4:$B$58,0),INDEX($BG$14:$BK$27,MATCH(V$7,$BG$14:$BG$27,0),3)),""),"")</f>
        <v/>
      </c>
      <c r="W25" s="35" t="str">
        <f>IF($A25&lt;&gt;"",IF(INDEX(BDHK2,MATCH($A25,DiemHKII!$B$4:$B$58,0),INDEX($BG$14:$BK$27,MATCH(V$7,$BG$14:$BG$27,0),2))&lt;&gt;"",INDEX(BDHK2,MATCH($A25,DiemHKII!$B$4:$B$58,0),INDEX($BG$14:$BK$27,MATCH(V$7,$BG$14:$BG$27,0),4)),""),"")</f>
        <v/>
      </c>
      <c r="X25" s="36" t="str">
        <f>IF($A25&lt;&gt;"",IF(INDEX(BDHK2,MATCH($A25,DiemHKII!$B$4:$B$58,0),INDEX($BG$14:$BK$27,MATCH(V$7,$BG$14:$BG$27,0),2))&lt;&gt;"",INDEX(BDHK2,MATCH($A25,DiemHKII!$B$4:$B$58,0),INDEX($BG$14:$BK$27,MATCH(V$7,$BG$14:$BG$27,0),5)),""),"")</f>
        <v/>
      </c>
      <c r="Y25" s="34" t="str">
        <f>IF($A25&lt;&gt;"",IF(INDEX(BDHK2,MATCH($A25,DiemHKII!$B$4:$B$58,0),INDEX($BG$14:$BK$27,MATCH(Y$7,$BG$14:$BG$27,0),2))&lt;&gt;"",INDEX(BDHK2,MATCH($A25,DiemHKII!$B$4:$B$58,0),INDEX($BG$14:$BK$27,MATCH(Y$7,$BG$14:$BG$27,0),3)),""),"")</f>
        <v/>
      </c>
      <c r="Z25" s="35" t="str">
        <f>IF($A25&lt;&gt;"",IF(INDEX(BDHK2,MATCH($A25,DiemHKII!$B$4:$B$58,0),INDEX($BG$14:$BK$27,MATCH(Y$7,$BG$14:$BG$27,0),2))&lt;&gt;"",INDEX(BDHK2,MATCH($A25,DiemHKII!$B$4:$B$58,0),INDEX($BG$14:$BK$27,MATCH(Y$7,$BG$14:$BG$27,0),4)),""),"")</f>
        <v/>
      </c>
      <c r="AA25" s="36" t="str">
        <f>IF($A25&lt;&gt;"",IF(INDEX(BDHK2,MATCH($A25,DiemHKII!$B$4:$B$58,0),INDEX($BG$14:$BK$27,MATCH(Y$7,$BG$14:$BG$27,0),2))&lt;&gt;"",INDEX(BDHK2,MATCH($A25,DiemHKII!$B$4:$B$58,0),INDEX($BG$14:$BK$27,MATCH(Y$7,$BG$14:$BG$27,0),5)),""),"")</f>
        <v/>
      </c>
      <c r="AB25" s="34" t="str">
        <f>IF($A25&lt;&gt;"",IF(INDEX(BDHK2,MATCH($A25,DiemHKII!$B$4:$B$58,0),INDEX($BG$14:$BK$27,MATCH(AB$7,$BG$14:$BG$27,0),2))&lt;&gt;"",INDEX(BDHK2,MATCH($A25,DiemHKII!$B$4:$B$58,0),INDEX($BG$14:$BK$27,MATCH(AB$7,$BG$14:$BG$27,0),3)),""),"")</f>
        <v/>
      </c>
      <c r="AC25" s="35" t="str">
        <f>IF($A25&lt;&gt;"",IF(INDEX(BDHK2,MATCH($A25,DiemHKII!$B$4:$B$58,0),INDEX($BG$14:$BK$27,MATCH(AB$7,$BG$14:$BG$27,0),2))&lt;&gt;"",INDEX(BDHK2,MATCH($A25,DiemHKII!$B$4:$B$58,0),INDEX($BG$14:$BK$27,MATCH(AB$7,$BG$14:$BG$27,0),4)),""),"")</f>
        <v/>
      </c>
      <c r="AD25" s="36" t="str">
        <f>IF($A25&lt;&gt;"",IF(INDEX(BDHK2,MATCH($A25,DiemHKII!$B$4:$B$58,0),INDEX($BG$14:$BK$27,MATCH(AB$7,$BG$14:$BG$27,0),2))&lt;&gt;"",INDEX(BDHK2,MATCH($A25,DiemHKII!$B$4:$B$58,0),INDEX($BG$14:$BK$27,MATCH(AB$7,$BG$14:$BG$27,0),5)),""),"")</f>
        <v/>
      </c>
      <c r="AE25" s="34" t="str">
        <f>IF($A25&lt;&gt;"",IF(INDEX(BDHK2,MATCH($A25,DiemHKII!$B$4:$B$58,0),INDEX($BG$14:$BK$27,MATCH(AE$7,$BG$14:$BG$27,0),2))&lt;&gt;"",INDEX(BDHK2,MATCH($A25,DiemHKII!$B$4:$B$58,0),INDEX($BG$14:$BK$27,MATCH(AE$7,$BG$14:$BG$27,0),3)),""),"")</f>
        <v/>
      </c>
      <c r="AF25" s="35" t="str">
        <f>IF($A25&lt;&gt;"",IF(INDEX(BDHK2,MATCH($A25,DiemHKII!$B$4:$B$58,0),INDEX($BG$14:$BK$27,MATCH(AE$7,$BG$14:$BG$27,0),2))&lt;&gt;"",INDEX(BDHK2,MATCH($A25,DiemHKII!$B$4:$B$58,0),INDEX($BG$14:$BK$27,MATCH(AE$7,$BG$14:$BG$27,0),4)),""),"")</f>
        <v/>
      </c>
      <c r="AG25" s="36" t="str">
        <f>IF($A25&lt;&gt;"",IF(INDEX(BDHK2,MATCH($A25,DiemHKII!$B$4:$B$58,0),INDEX($BG$14:$BK$27,MATCH(AE$7,$BG$14:$BG$27,0),2))&lt;&gt;"",INDEX(BDHK2,MATCH($A25,DiemHKII!$B$4:$B$58,0),INDEX($BG$14:$BK$27,MATCH(AE$7,$BG$14:$BG$27,0),5)),""),"")</f>
        <v/>
      </c>
      <c r="AH25" s="34" t="str">
        <f>IF($A25&lt;&gt;"",IF(INDEX(BDHK2,MATCH($A25,DiemHKII!$B$4:$B$58,0),INDEX($BG$14:$BK$27,MATCH(AH$7,$BG$14:$BG$27,0),2))&lt;&gt;"",INDEX(BDHK2,MATCH($A25,DiemHKII!$B$4:$B$58,0),INDEX($BG$14:$BK$27,MATCH(AH$7,$BG$14:$BG$27,0),3)),""),"")</f>
        <v/>
      </c>
      <c r="AI25" s="35" t="str">
        <f>IF($A25&lt;&gt;"",IF(INDEX(BDHK2,MATCH($A25,DiemHKII!$B$4:$B$58,0),INDEX($BG$14:$BK$27,MATCH(AH$7,$BG$14:$BG$27,0),2))&lt;&gt;"",INDEX(BDHK2,MATCH($A25,DiemHKII!$B$4:$B$58,0),INDEX($BG$14:$BK$27,MATCH(AH$7,$BG$14:$BG$27,0),4)),""),"")</f>
        <v/>
      </c>
      <c r="AJ25" s="36" t="str">
        <f>IF($A25&lt;&gt;"",IF(INDEX(BDHK2,MATCH($A25,DiemHKII!$B$4:$B$58,0),INDEX($BG$14:$BK$27,MATCH(AH$7,$BG$14:$BG$27,0),2))&lt;&gt;"",INDEX(BDHK2,MATCH($A25,DiemHKII!$B$4:$B$58,0),INDEX($BG$14:$BK$27,MATCH(AH$7,$BG$14:$BG$27,0),5)),""),"")</f>
        <v/>
      </c>
      <c r="AK25" s="37" t="str">
        <f>IF($A25&lt;&gt;"",IF(INDEX(BDHK2,MATCH($A25,DiemHKII!$B$4:$B$58,0),INDEX($BG$14:$BK$27,MATCH(AK$7,$BG$14:$BG$27,0),2))&lt;&gt;"",INDEX(BDHK2,MATCH($A25,DiemHKII!$B$4:$B$58,0),INDEX($BG$14:$BK$27,MATCH(AK$7,$BG$14:$BG$27,0),3)),""),"")</f>
        <v/>
      </c>
      <c r="AL25" s="8" t="str">
        <f>IF($A25&lt;&gt;"",IF(INDEX(BDHK2,MATCH($A25,DiemHKII!$B$4:$B$58,0),INDEX($BG$14:$BK$27,MATCH(AK$7,$BG$14:$BG$27,0),2))&lt;&gt;"",INDEX(BDHK2,MATCH($A25,DiemHKII!$B$4:$B$58,0),INDEX($BG$14:$BK$27,MATCH(AK$7,$BG$14:$BG$27,0),4)),""),"")</f>
        <v/>
      </c>
      <c r="AM25" s="38" t="str">
        <f>IF($A25&lt;&gt;"",IF(INDEX(BDHK2,MATCH($A25,DiemHKII!$B$4:$B$58,0),INDEX($BG$14:$BK$27,MATCH(AK$7,$BG$14:$BG$27,0),2))&lt;&gt;"",INDEX(BDHK2,MATCH($A25,DiemHKII!$B$4:$B$58,0),INDEX($BG$14:$BK$27,MATCH(AK$7,$BG$14:$BG$27,0),5)),""),"")</f>
        <v/>
      </c>
      <c r="AN25" s="34" t="str">
        <f>IF($A25&lt;&gt;"",IF(INDEX(BDHK2,MATCH($A25,DiemHKII!$B$4:$B$58,0),INDEX($BG$14:$BK$27,MATCH(AN$7,$BG$14:$BG$27,0),2))&lt;&gt;"",INDEX(BDHK2,MATCH($A25,DiemHKII!$B$4:$B$58,0),INDEX($BG$14:$BK$27,MATCH(AN$7,$BG$14:$BG$27,0),3)),""),"")</f>
        <v/>
      </c>
      <c r="AO25" s="35" t="str">
        <f>IF($A25&lt;&gt;"",IF(INDEX(BDHK2,MATCH($A25,DiemHKII!$B$4:$B$58,0),INDEX($BG$14:$BK$27,MATCH(AN$7,$BG$14:$BG$27,0),2))&lt;&gt;"",INDEX(BDHK2,MATCH($A25,DiemHKII!$B$4:$B$58,0),INDEX($BG$14:$BK$27,MATCH(AN$7,$BG$14:$BG$27,0),4)),""),"")</f>
        <v/>
      </c>
      <c r="AP25" s="36" t="str">
        <f>IF($A25&lt;&gt;"",IF(INDEX(BDHK2,MATCH($A25,DiemHKII!$B$4:$B$58,0),INDEX($BG$14:$BK$27,MATCH(AN$7,$BG$14:$BG$27,0),2))&lt;&gt;"",INDEX(BDHK2,MATCH($A25,DiemHKII!$B$4:$B$58,0),INDEX($BG$14:$BK$27,MATCH(AN$7,$BG$14:$BG$27,0),5)),""),"")</f>
        <v/>
      </c>
      <c r="AQ25" s="34" t="str">
        <f>IF($A25&lt;&gt;"",IF(INDEX(BDHK2,MATCH($A25,DiemHKII!$B$4:$B$58,0),INDEX($BG$14:$BK$27,MATCH(AQ$7,$BG$14:$BG$27,0),2))&lt;&gt;"",INDEX(BDHK2,MATCH($A25,DiemHKII!$B$4:$B$58,0),INDEX($BG$14:$BK$27,MATCH(AQ$7,$BG$14:$BG$27,0),3)),""),"")</f>
        <v/>
      </c>
      <c r="AR25" s="35" t="str">
        <f>IF($A25&lt;&gt;"",IF(INDEX(BDHK2,MATCH($A25,DiemHKII!$B$4:$B$58,0),INDEX($BG$14:$BK$27,MATCH(AQ$7,$BG$14:$BG$27,0),2))&lt;&gt;"",INDEX(BDHK2,MATCH($A25,DiemHKII!$B$4:$B$58,0),INDEX($BG$14:$BK$27,MATCH(AQ$7,$BG$14:$BG$27,0),4)),""),"")</f>
        <v/>
      </c>
      <c r="AS25" s="36" t="str">
        <f>IF($A25&lt;&gt;"",IF(INDEX(BDHK2,MATCH($A25,DiemHKII!$B$4:$B$58,0),INDEX($BG$14:$BK$27,MATCH(AQ$7,$BG$14:$BG$27,0),2))&lt;&gt;"",INDEX(BDHK2,MATCH($A25,DiemHKII!$B$4:$B$58,0),INDEX($BG$14:$BK$27,MATCH(AQ$7,$BG$14:$BG$27,0),5)),""),"")</f>
        <v/>
      </c>
      <c r="AT25" s="34">
        <f>IFERROR(IF($A25&gt;=1,IF(INDEX(THHKI!$V$8:$Y$62,MATCH($BL25,THHKI!$AG$8:$AG$62,0),1)&lt;&gt;"",INDEX(THHKI!$V$8:$Y$62,MATCH($BL25,THHKI!$AG$8:$AG$62,0),1),""),""),"")</f>
        <v>9.3000000000000007</v>
      </c>
      <c r="AU25" s="35" t="str">
        <f>IF($A25&gt;=1,IF(INDEX(THHKII!$V$8:$Y$62,MATCH($BL25,THHKII!$AG$8:$AG$62,0),1)&lt;&gt;"",INDEX(THHKII!$V$8:$Y$62,MATCH($BL25,THHKII!$AG$8:$AG$62,0),1),""),"")</f>
        <v/>
      </c>
      <c r="AV25" s="39" t="str">
        <f>IF($A25&gt;=1,IF(INDEX(THCN!$V$8:$Y$62,MATCH($BL25,THCN!$AG$8:$AG$62,0),1)&lt;&gt;"",INDEX(THCN!$V$8:$Y$62,MATCH($BL25,THCN!$AG$8:$AG$62,0),1),""),"")</f>
        <v/>
      </c>
      <c r="AW25" s="40" t="str">
        <f>IFERROR(IF($A25&gt;=1,IF(INDEX(THHKI!$V$8:$Y$62,MATCH($BL25,THHKI!$AG$8:$AG$62,0),2)&lt;&gt;"",INDEX(THHKI!$V$8:$Y$62,MATCH($BL25,THHKI!$AG$8:$AG$62,0),2),""),""),"")</f>
        <v>Giỏi</v>
      </c>
      <c r="AX25" s="8" t="str">
        <f>IF($A25&gt;=1,IF(INDEX(THHKII!$V$8:$Y$62,MATCH($BL25,THHKII!$AG$8:$AG$62,0),2)&lt;&gt;"",INDEX(THHKII!$V$8:$Y$62,MATCH($BL25,THHKII!$AG$8:$AG$62,0),2),""),"")</f>
        <v/>
      </c>
      <c r="AY25" s="467" t="str">
        <f>IF($A25&gt;=1,IF(INDEX(THCN!$V$8:$Y$62,MATCH($BL25,THCN!$AG$8:$AG$62,0),2)&lt;&gt;"",INDEX(THCN!$V$8:$Y$62,MATCH($BL25,THCN!$AG$8:$AG$62,0),2),""),"")</f>
        <v/>
      </c>
      <c r="AZ25" s="37" t="str">
        <f>IFERROR(IF($A25&gt;=1,IF(INDEX(THHKI!$V$8:$Y$62,MATCH($BL25,THHKI!$AG$8:$AG$62,0),3)&lt;&gt;"",INDEX(THHKI!$V$8:$Y$62,MATCH($BL25,THHKI!$AG$8:$AG$62,0),3),""),""),"")</f>
        <v>Tốt</v>
      </c>
      <c r="BA25" s="8" t="str">
        <f>IF($A25&gt;=1,IF(INDEX(THHKII!$V$8:$Y$62,MATCH($BL25,THHKII!$AG$8:$AG$62,0),3)&lt;&gt;"",INDEX(THHKII!$V$8:$Y$62,MATCH($BL25,THHKII!$AG$8:$AG$62,0),3),""),"")</f>
        <v/>
      </c>
      <c r="BB25" s="41" t="str">
        <f>IF($A25&gt;=1,IF(INDEX(THCN!$V$8:$Y$62,MATCH($BL25,THCN!$AG$8:$AG$62,0),3)&lt;&gt;"",INDEX(THCN!$V$8:$Y$62,MATCH($BL25,THCN!$AG$8:$AG$62,0),3),""),"")</f>
        <v/>
      </c>
      <c r="BC25" s="42" t="str">
        <f>IF($A25&gt;=1,IF(INDEX(THCN!$V$8:$Y$62,MATCH($BL25,THCN!$AG$8:$AG$62,0),4)&lt;&gt;"",INDEX(THCN!$V$8:$Y$62,MATCH($BL25,THCN!$AG$8:$AG$62,0),4),""),"")</f>
        <v/>
      </c>
      <c r="BE25" s="31" t="str">
        <f>IFERROR(IF($A25&gt;=1,IF(INDEX(THHKI!$V$8:$Y$62,MATCH($BL25,THHKI!$AG$8:$AG$62,0),4)&lt;&gt;"",INDEX(THHKI!$V$8:$Y$62,MATCH($BL25,THHKI!$AG$8:$AG$62,0),4),""),""),"")</f>
        <v>HSG</v>
      </c>
      <c r="BF25" s="42" t="str">
        <f>IF($A25&gt;=1,IF(INDEX(THHKII!$V$8:$Y$62,MATCH($BL25,THHKII!$AG$8:$AG$62,0),4)&lt;&gt;"",INDEX(THHKII!$V$8:$Y$62,MATCH($BL25,THHKII!$AG$8:$AG$62,0),4),""),"")</f>
        <v/>
      </c>
      <c r="BG25" s="30" t="s">
        <v>35</v>
      </c>
      <c r="BH25" s="30">
        <v>115</v>
      </c>
      <c r="BI25" s="30">
        <v>116</v>
      </c>
      <c r="BJ25" s="30">
        <v>117</v>
      </c>
      <c r="BK25" s="30">
        <v>118</v>
      </c>
      <c r="BL25" s="30" t="str">
        <f>IF($A25&lt;&gt;"",INDEX(DiemHKII!$B$4:$K$58,MATCH($A25,DiemHKII!$B$4:$B$58,0),2),"")</f>
        <v>12A1Nguyễn Huỳnh PhúcKhang14/12/2004</v>
      </c>
    </row>
    <row r="26" spans="1:64" s="30" customFormat="1" ht="29.1" customHeight="1">
      <c r="A26" s="31">
        <f>IF(A25&lt;MAX(DiemHKII!$B$4:$B$58),A25+1,"")</f>
        <v>18</v>
      </c>
      <c r="B26" s="32" t="str">
        <f>IF($A26&lt;&gt;"",PROPER(INDEX(DiemHKII!$B$4:$K$58,MATCH($A26,DiemHKII!$B$4:$B$58,0),4)),"")</f>
        <v>Nguyễn Đăng</v>
      </c>
      <c r="C26" s="33" t="str">
        <f>IF($A26&lt;&gt;"",PROPER(INDEX(DiemHKII!$B$4:$K$58,MATCH($A26,DiemHKII!$B$4:$B$58,0),5)),"")</f>
        <v>Khoa</v>
      </c>
      <c r="D26" s="34" t="str">
        <f>IF($A26&lt;&gt;"",IF(INDEX(BDHK2,MATCH($A26,DiemHKII!$B$4:$B$58,0),INDEX($BG$14:$BK$27,MATCH(D$7,$BG$14:$BG$27,0),2))&lt;&gt;"",INDEX(BDHK2,MATCH($A26,DiemHKII!$B$4:$B$58,0),INDEX($BG$14:$BK$27,MATCH(D$7,$BG$14:$BG$27,0),3)),""),"")</f>
        <v/>
      </c>
      <c r="E26" s="35" t="str">
        <f>IF($A26&lt;&gt;"",IF(INDEX(BDHK2,MATCH($A26,DiemHKII!$B$4:$B$58,0),INDEX($BG$14:$BK$27,MATCH(D$7,$BG$14:$BG$27,0),2))&lt;&gt;"",INDEX(BDHK2,MATCH($A26,DiemHKII!$B$4:$B$58,0),INDEX($BG$14:$BK$27,MATCH(D$7,$BG$14:$BG$27,0),4)),""),"")</f>
        <v/>
      </c>
      <c r="F26" s="36" t="str">
        <f>IF($A26&lt;&gt;"",IF(INDEX(BDHK2,MATCH($A26,DiemHKII!$B$4:$B$58,0),INDEX($BG$14:$BK$27,MATCH(D$7,$BG$14:$BG$27,0),2))&lt;&gt;"",INDEX(BDHK2,MATCH($A26,DiemHKII!$B$4:$B$58,0),INDEX($BG$14:$BK$27,MATCH(D$7,$BG$14:$BG$27,0),5)),""),"")</f>
        <v/>
      </c>
      <c r="G26" s="34" t="str">
        <f>IF($A26&lt;&gt;"",IF(INDEX(BDHK2,MATCH($A26,DiemHKII!$B$4:$B$58,0),INDEX($BG$14:$BK$27,MATCH(G$7,$BG$14:$BG$27,0),2))&lt;&gt;"",INDEX(BDHK2,MATCH($A26,DiemHKII!$B$4:$B$58,0),INDEX($BG$14:$BK$27,MATCH(G$7,$BG$14:$BG$27,0),3)),""),"")</f>
        <v/>
      </c>
      <c r="H26" s="35" t="str">
        <f>IF($A26&lt;&gt;"",IF(INDEX(BDHK2,MATCH($A26,DiemHKII!$B$4:$B$58,0),INDEX($BG$14:$BK$27,MATCH(G$7,$BG$14:$BG$27,0),2))&lt;&gt;"",INDEX(BDHK2,MATCH($A26,DiemHKII!$B$4:$B$58,0),INDEX($BG$14:$BK$27,MATCH(G$7,$BG$14:$BG$27,0),4)),""),"")</f>
        <v/>
      </c>
      <c r="I26" s="36" t="str">
        <f>IF($A26&lt;&gt;"",IF(INDEX(BDHK2,MATCH($A26,DiemHKII!$B$4:$B$58,0),INDEX($BG$14:$BK$27,MATCH(G$7,$BG$14:$BG$27,0),2))&lt;&gt;"",INDEX(BDHK2,MATCH($A26,DiemHKII!$B$4:$B$58,0),INDEX($BG$14:$BK$27,MATCH(G$7,$BG$14:$BG$27,0),5)),""),"")</f>
        <v/>
      </c>
      <c r="J26" s="34" t="str">
        <f>IF($A26&lt;&gt;"",IF(INDEX(BDHK2,MATCH($A26,DiemHKII!$B$4:$B$58,0),INDEX($BG$14:$BK$27,MATCH(J$7,$BG$14:$BG$27,0),2))&lt;&gt;"",INDEX(BDHK2,MATCH($A26,DiemHKII!$B$4:$B$58,0),INDEX($BG$14:$BK$27,MATCH(J$7,$BG$14:$BG$27,0),3)),""),"")</f>
        <v/>
      </c>
      <c r="K26" s="35" t="str">
        <f>IF($A26&lt;&gt;"",IF(INDEX(BDHK2,MATCH($A26,DiemHKII!$B$4:$B$58,0),INDEX($BG$14:$BK$27,MATCH(J$7,$BG$14:$BG$27,0),2))&lt;&gt;"",INDEX(BDHK2,MATCH($A26,DiemHKII!$B$4:$B$58,0),INDEX($BG$14:$BK$27,MATCH(J$7,$BG$14:$BG$27,0),4)),""),"")</f>
        <v/>
      </c>
      <c r="L26" s="36" t="str">
        <f>IF($A26&lt;&gt;"",IF(INDEX(BDHK2,MATCH($A26,DiemHKII!$B$4:$B$58,0),INDEX($BG$14:$BK$27,MATCH(J$7,$BG$14:$BG$27,0),2))&lt;&gt;"",INDEX(BDHK2,MATCH($A26,DiemHKII!$B$4:$B$58,0),INDEX($BG$14:$BK$27,MATCH(J$7,$BG$14:$BG$27,0),5)),""),"")</f>
        <v/>
      </c>
      <c r="M26" s="34" t="str">
        <f>IF($A26&lt;&gt;"",IF(INDEX(BDHK2,MATCH($A26,DiemHKII!$B$4:$B$58,0),INDEX($BG$14:$BK$27,MATCH(M$7,$BG$14:$BG$27,0),2))&lt;&gt;"",INDEX(BDHK2,MATCH($A26,DiemHKII!$B$4:$B$58,0),INDEX($BG$14:$BK$27,MATCH(M$7,$BG$14:$BG$27,0),3)),""),"")</f>
        <v/>
      </c>
      <c r="N26" s="35" t="str">
        <f>IF($A26&lt;&gt;"",IF(INDEX(BDHK2,MATCH($A26,DiemHKII!$B$4:$B$58,0),INDEX($BG$14:$BK$27,MATCH(M$7,$BG$14:$BG$27,0),2))&lt;&gt;"",INDEX(BDHK2,MATCH($A26,DiemHKII!$B$4:$B$58,0),INDEX($BG$14:$BK$27,MATCH(M$7,$BG$14:$BG$27,0),4)),""),"")</f>
        <v/>
      </c>
      <c r="O26" s="36" t="str">
        <f>IF($A26&lt;&gt;"",IF(INDEX(BDHK2,MATCH($A26,DiemHKII!$B$4:$B$58,0),INDEX($BG$14:$BK$27,MATCH(M$7,$BG$14:$BG$27,0),2))&lt;&gt;"",INDEX(BDHK2,MATCH($A26,DiemHKII!$B$4:$B$58,0),INDEX($BG$14:$BK$27,MATCH(M$7,$BG$14:$BG$27,0),5)),""),"")</f>
        <v/>
      </c>
      <c r="P26" s="34" t="str">
        <f>IF($A26&lt;&gt;"",IF(INDEX(BDHK2,MATCH($A26,DiemHKII!$B$4:$B$58,0),INDEX($BG$14:$BK$27,MATCH(P$7,$BG$14:$BG$27,0),2))&lt;&gt;"",INDEX(BDHK2,MATCH($A26,DiemHKII!$B$4:$B$58,0),INDEX($BG$14:$BK$27,MATCH(P$7,$BG$14:$BG$27,0),3)),""),"")</f>
        <v/>
      </c>
      <c r="Q26" s="35" t="str">
        <f>IF($A26&lt;&gt;"",IF(INDEX(BDHK2,MATCH($A26,DiemHKII!$B$4:$B$58,0),INDEX($BG$14:$BK$27,MATCH(P$7,$BG$14:$BG$27,0),2))&lt;&gt;"",INDEX(BDHK2,MATCH($A26,DiemHKII!$B$4:$B$58,0),INDEX($BG$14:$BK$27,MATCH(P$7,$BG$14:$BG$27,0),4)),""),"")</f>
        <v/>
      </c>
      <c r="R26" s="36" t="str">
        <f>IF($A26&lt;&gt;"",IF(INDEX(BDHK2,MATCH($A26,DiemHKII!$B$4:$B$58,0),INDEX($BG$14:$BK$27,MATCH(P$7,$BG$14:$BG$27,0),2))&lt;&gt;"",INDEX(BDHK2,MATCH($A26,DiemHKII!$B$4:$B$58,0),INDEX($BG$14:$BK$27,MATCH(P$7,$BG$14:$BG$27,0),5)),""),"")</f>
        <v/>
      </c>
      <c r="S26" s="34" t="str">
        <f>IF($A26&lt;&gt;"",IF(INDEX(BDHK2,MATCH($A26,DiemHKII!$B$4:$B$58,0),INDEX($BG$14:$BK$27,MATCH(S$7,$BG$14:$BG$27,0),2))&lt;&gt;"",INDEX(BDHK2,MATCH($A26,DiemHKII!$B$4:$B$58,0),INDEX($BG$14:$BK$27,MATCH(S$7,$BG$14:$BG$27,0),3)),""),"")</f>
        <v/>
      </c>
      <c r="T26" s="35" t="str">
        <f>IF($A26&lt;&gt;"",IF(INDEX(BDHK2,MATCH($A26,DiemHKII!$B$4:$B$58,0),INDEX($BG$14:$BK$27,MATCH(S$7,$BG$14:$BG$27,0),2))&lt;&gt;"",INDEX(BDHK2,MATCH($A26,DiemHKII!$B$4:$B$58,0),INDEX($BG$14:$BK$27,MATCH(S$7,$BG$14:$BG$27,0),4)),""),"")</f>
        <v/>
      </c>
      <c r="U26" s="36" t="str">
        <f>IF($A26&lt;&gt;"",IF(INDEX(BDHK2,MATCH($A26,DiemHKII!$B$4:$B$58,0),INDEX($BG$14:$BK$27,MATCH(S$7,$BG$14:$BG$27,0),2))&lt;&gt;"",INDEX(BDHK2,MATCH($A26,DiemHKII!$B$4:$B$58,0),INDEX($BG$14:$BK$27,MATCH(S$7,$BG$14:$BG$27,0),5)),""),"")</f>
        <v/>
      </c>
      <c r="V26" s="34" t="str">
        <f>IF($A26&lt;&gt;"",IF(INDEX(BDHK2,MATCH($A26,DiemHKII!$B$4:$B$58,0),INDEX($BG$14:$BK$27,MATCH(V$7,$BG$14:$BG$27,0),2))&lt;&gt;"",INDEX(BDHK2,MATCH($A26,DiemHKII!$B$4:$B$58,0),INDEX($BG$14:$BK$27,MATCH(V$7,$BG$14:$BG$27,0),3)),""),"")</f>
        <v/>
      </c>
      <c r="W26" s="35" t="str">
        <f>IF($A26&lt;&gt;"",IF(INDEX(BDHK2,MATCH($A26,DiemHKII!$B$4:$B$58,0),INDEX($BG$14:$BK$27,MATCH(V$7,$BG$14:$BG$27,0),2))&lt;&gt;"",INDEX(BDHK2,MATCH($A26,DiemHKII!$B$4:$B$58,0),INDEX($BG$14:$BK$27,MATCH(V$7,$BG$14:$BG$27,0),4)),""),"")</f>
        <v/>
      </c>
      <c r="X26" s="36" t="str">
        <f>IF($A26&lt;&gt;"",IF(INDEX(BDHK2,MATCH($A26,DiemHKII!$B$4:$B$58,0),INDEX($BG$14:$BK$27,MATCH(V$7,$BG$14:$BG$27,0),2))&lt;&gt;"",INDEX(BDHK2,MATCH($A26,DiemHKII!$B$4:$B$58,0),INDEX($BG$14:$BK$27,MATCH(V$7,$BG$14:$BG$27,0),5)),""),"")</f>
        <v/>
      </c>
      <c r="Y26" s="34" t="str">
        <f>IF($A26&lt;&gt;"",IF(INDEX(BDHK2,MATCH($A26,DiemHKII!$B$4:$B$58,0),INDEX($BG$14:$BK$27,MATCH(Y$7,$BG$14:$BG$27,0),2))&lt;&gt;"",INDEX(BDHK2,MATCH($A26,DiemHKII!$B$4:$B$58,0),INDEX($BG$14:$BK$27,MATCH(Y$7,$BG$14:$BG$27,0),3)),""),"")</f>
        <v/>
      </c>
      <c r="Z26" s="35" t="str">
        <f>IF($A26&lt;&gt;"",IF(INDEX(BDHK2,MATCH($A26,DiemHKII!$B$4:$B$58,0),INDEX($BG$14:$BK$27,MATCH(Y$7,$BG$14:$BG$27,0),2))&lt;&gt;"",INDEX(BDHK2,MATCH($A26,DiemHKII!$B$4:$B$58,0),INDEX($BG$14:$BK$27,MATCH(Y$7,$BG$14:$BG$27,0),4)),""),"")</f>
        <v/>
      </c>
      <c r="AA26" s="36" t="str">
        <f>IF($A26&lt;&gt;"",IF(INDEX(BDHK2,MATCH($A26,DiemHKII!$B$4:$B$58,0),INDEX($BG$14:$BK$27,MATCH(Y$7,$BG$14:$BG$27,0),2))&lt;&gt;"",INDEX(BDHK2,MATCH($A26,DiemHKII!$B$4:$B$58,0),INDEX($BG$14:$BK$27,MATCH(Y$7,$BG$14:$BG$27,0),5)),""),"")</f>
        <v/>
      </c>
      <c r="AB26" s="34" t="str">
        <f>IF($A26&lt;&gt;"",IF(INDEX(BDHK2,MATCH($A26,DiemHKII!$B$4:$B$58,0),INDEX($BG$14:$BK$27,MATCH(AB$7,$BG$14:$BG$27,0),2))&lt;&gt;"",INDEX(BDHK2,MATCH($A26,DiemHKII!$B$4:$B$58,0),INDEX($BG$14:$BK$27,MATCH(AB$7,$BG$14:$BG$27,0),3)),""),"")</f>
        <v/>
      </c>
      <c r="AC26" s="35" t="str">
        <f>IF($A26&lt;&gt;"",IF(INDEX(BDHK2,MATCH($A26,DiemHKII!$B$4:$B$58,0),INDEX($BG$14:$BK$27,MATCH(AB$7,$BG$14:$BG$27,0),2))&lt;&gt;"",INDEX(BDHK2,MATCH($A26,DiemHKII!$B$4:$B$58,0),INDEX($BG$14:$BK$27,MATCH(AB$7,$BG$14:$BG$27,0),4)),""),"")</f>
        <v/>
      </c>
      <c r="AD26" s="36" t="str">
        <f>IF($A26&lt;&gt;"",IF(INDEX(BDHK2,MATCH($A26,DiemHKII!$B$4:$B$58,0),INDEX($BG$14:$BK$27,MATCH(AB$7,$BG$14:$BG$27,0),2))&lt;&gt;"",INDEX(BDHK2,MATCH($A26,DiemHKII!$B$4:$B$58,0),INDEX($BG$14:$BK$27,MATCH(AB$7,$BG$14:$BG$27,0),5)),""),"")</f>
        <v/>
      </c>
      <c r="AE26" s="34" t="str">
        <f>IF($A26&lt;&gt;"",IF(INDEX(BDHK2,MATCH($A26,DiemHKII!$B$4:$B$58,0),INDEX($BG$14:$BK$27,MATCH(AE$7,$BG$14:$BG$27,0),2))&lt;&gt;"",INDEX(BDHK2,MATCH($A26,DiemHKII!$B$4:$B$58,0),INDEX($BG$14:$BK$27,MATCH(AE$7,$BG$14:$BG$27,0),3)),""),"")</f>
        <v/>
      </c>
      <c r="AF26" s="35" t="str">
        <f>IF($A26&lt;&gt;"",IF(INDEX(BDHK2,MATCH($A26,DiemHKII!$B$4:$B$58,0),INDEX($BG$14:$BK$27,MATCH(AE$7,$BG$14:$BG$27,0),2))&lt;&gt;"",INDEX(BDHK2,MATCH($A26,DiemHKII!$B$4:$B$58,0),INDEX($BG$14:$BK$27,MATCH(AE$7,$BG$14:$BG$27,0),4)),""),"")</f>
        <v/>
      </c>
      <c r="AG26" s="36" t="str">
        <f>IF($A26&lt;&gt;"",IF(INDEX(BDHK2,MATCH($A26,DiemHKII!$B$4:$B$58,0),INDEX($BG$14:$BK$27,MATCH(AE$7,$BG$14:$BG$27,0),2))&lt;&gt;"",INDEX(BDHK2,MATCH($A26,DiemHKII!$B$4:$B$58,0),INDEX($BG$14:$BK$27,MATCH(AE$7,$BG$14:$BG$27,0),5)),""),"")</f>
        <v/>
      </c>
      <c r="AH26" s="34" t="str">
        <f>IF($A26&lt;&gt;"",IF(INDEX(BDHK2,MATCH($A26,DiemHKII!$B$4:$B$58,0),INDEX($BG$14:$BK$27,MATCH(AH$7,$BG$14:$BG$27,0),2))&lt;&gt;"",INDEX(BDHK2,MATCH($A26,DiemHKII!$B$4:$B$58,0),INDEX($BG$14:$BK$27,MATCH(AH$7,$BG$14:$BG$27,0),3)),""),"")</f>
        <v/>
      </c>
      <c r="AI26" s="35" t="str">
        <f>IF($A26&lt;&gt;"",IF(INDEX(BDHK2,MATCH($A26,DiemHKII!$B$4:$B$58,0),INDEX($BG$14:$BK$27,MATCH(AH$7,$BG$14:$BG$27,0),2))&lt;&gt;"",INDEX(BDHK2,MATCH($A26,DiemHKII!$B$4:$B$58,0),INDEX($BG$14:$BK$27,MATCH(AH$7,$BG$14:$BG$27,0),4)),""),"")</f>
        <v/>
      </c>
      <c r="AJ26" s="36" t="str">
        <f>IF($A26&lt;&gt;"",IF(INDEX(BDHK2,MATCH($A26,DiemHKII!$B$4:$B$58,0),INDEX($BG$14:$BK$27,MATCH(AH$7,$BG$14:$BG$27,0),2))&lt;&gt;"",INDEX(BDHK2,MATCH($A26,DiemHKII!$B$4:$B$58,0),INDEX($BG$14:$BK$27,MATCH(AH$7,$BG$14:$BG$27,0),5)),""),"")</f>
        <v/>
      </c>
      <c r="AK26" s="37" t="str">
        <f>IF($A26&lt;&gt;"",IF(INDEX(BDHK2,MATCH($A26,DiemHKII!$B$4:$B$58,0),INDEX($BG$14:$BK$27,MATCH(AK$7,$BG$14:$BG$27,0),2))&lt;&gt;"",INDEX(BDHK2,MATCH($A26,DiemHKII!$B$4:$B$58,0),INDEX($BG$14:$BK$27,MATCH(AK$7,$BG$14:$BG$27,0),3)),""),"")</f>
        <v/>
      </c>
      <c r="AL26" s="8" t="str">
        <f>IF($A26&lt;&gt;"",IF(INDEX(BDHK2,MATCH($A26,DiemHKII!$B$4:$B$58,0),INDEX($BG$14:$BK$27,MATCH(AK$7,$BG$14:$BG$27,0),2))&lt;&gt;"",INDEX(BDHK2,MATCH($A26,DiemHKII!$B$4:$B$58,0),INDEX($BG$14:$BK$27,MATCH(AK$7,$BG$14:$BG$27,0),4)),""),"")</f>
        <v/>
      </c>
      <c r="AM26" s="38" t="str">
        <f>IF($A26&lt;&gt;"",IF(INDEX(BDHK2,MATCH($A26,DiemHKII!$B$4:$B$58,0),INDEX($BG$14:$BK$27,MATCH(AK$7,$BG$14:$BG$27,0),2))&lt;&gt;"",INDEX(BDHK2,MATCH($A26,DiemHKII!$B$4:$B$58,0),INDEX($BG$14:$BK$27,MATCH(AK$7,$BG$14:$BG$27,0),5)),""),"")</f>
        <v/>
      </c>
      <c r="AN26" s="34" t="str">
        <f>IF($A26&lt;&gt;"",IF(INDEX(BDHK2,MATCH($A26,DiemHKII!$B$4:$B$58,0),INDEX($BG$14:$BK$27,MATCH(AN$7,$BG$14:$BG$27,0),2))&lt;&gt;"",INDEX(BDHK2,MATCH($A26,DiemHKII!$B$4:$B$58,0),INDEX($BG$14:$BK$27,MATCH(AN$7,$BG$14:$BG$27,0),3)),""),"")</f>
        <v/>
      </c>
      <c r="AO26" s="35" t="str">
        <f>IF($A26&lt;&gt;"",IF(INDEX(BDHK2,MATCH($A26,DiemHKII!$B$4:$B$58,0),INDEX($BG$14:$BK$27,MATCH(AN$7,$BG$14:$BG$27,0),2))&lt;&gt;"",INDEX(BDHK2,MATCH($A26,DiemHKII!$B$4:$B$58,0),INDEX($BG$14:$BK$27,MATCH(AN$7,$BG$14:$BG$27,0),4)),""),"")</f>
        <v/>
      </c>
      <c r="AP26" s="36" t="str">
        <f>IF($A26&lt;&gt;"",IF(INDEX(BDHK2,MATCH($A26,DiemHKII!$B$4:$B$58,0),INDEX($BG$14:$BK$27,MATCH(AN$7,$BG$14:$BG$27,0),2))&lt;&gt;"",INDEX(BDHK2,MATCH($A26,DiemHKII!$B$4:$B$58,0),INDEX($BG$14:$BK$27,MATCH(AN$7,$BG$14:$BG$27,0),5)),""),"")</f>
        <v/>
      </c>
      <c r="AQ26" s="34" t="str">
        <f>IF($A26&lt;&gt;"",IF(INDEX(BDHK2,MATCH($A26,DiemHKII!$B$4:$B$58,0),INDEX($BG$14:$BK$27,MATCH(AQ$7,$BG$14:$BG$27,0),2))&lt;&gt;"",INDEX(BDHK2,MATCH($A26,DiemHKII!$B$4:$B$58,0),INDEX($BG$14:$BK$27,MATCH(AQ$7,$BG$14:$BG$27,0),3)),""),"")</f>
        <v/>
      </c>
      <c r="AR26" s="35" t="str">
        <f>IF($A26&lt;&gt;"",IF(INDEX(BDHK2,MATCH($A26,DiemHKII!$B$4:$B$58,0),INDEX($BG$14:$BK$27,MATCH(AQ$7,$BG$14:$BG$27,0),2))&lt;&gt;"",INDEX(BDHK2,MATCH($A26,DiemHKII!$B$4:$B$58,0),INDEX($BG$14:$BK$27,MATCH(AQ$7,$BG$14:$BG$27,0),4)),""),"")</f>
        <v/>
      </c>
      <c r="AS26" s="36" t="str">
        <f>IF($A26&lt;&gt;"",IF(INDEX(BDHK2,MATCH($A26,DiemHKII!$B$4:$B$58,0),INDEX($BG$14:$BK$27,MATCH(AQ$7,$BG$14:$BG$27,0),2))&lt;&gt;"",INDEX(BDHK2,MATCH($A26,DiemHKII!$B$4:$B$58,0),INDEX($BG$14:$BK$27,MATCH(AQ$7,$BG$14:$BG$27,0),5)),""),"")</f>
        <v/>
      </c>
      <c r="AT26" s="34">
        <f>IFERROR(IF($A26&gt;=1,IF(INDEX(THHKI!$V$8:$Y$62,MATCH($BL26,THHKI!$AG$8:$AG$62,0),1)&lt;&gt;"",INDEX(THHKI!$V$8:$Y$62,MATCH($BL26,THHKI!$AG$8:$AG$62,0),1),""),""),"")</f>
        <v>9.6</v>
      </c>
      <c r="AU26" s="35" t="str">
        <f>IF($A26&gt;=1,IF(INDEX(THHKII!$V$8:$Y$62,MATCH($BL26,THHKII!$AG$8:$AG$62,0),1)&lt;&gt;"",INDEX(THHKII!$V$8:$Y$62,MATCH($BL26,THHKII!$AG$8:$AG$62,0),1),""),"")</f>
        <v/>
      </c>
      <c r="AV26" s="39" t="str">
        <f>IF($A26&gt;=1,IF(INDEX(THCN!$V$8:$Y$62,MATCH($BL26,THCN!$AG$8:$AG$62,0),1)&lt;&gt;"",INDEX(THCN!$V$8:$Y$62,MATCH($BL26,THCN!$AG$8:$AG$62,0),1),""),"")</f>
        <v/>
      </c>
      <c r="AW26" s="40" t="str">
        <f>IFERROR(IF($A26&gt;=1,IF(INDEX(THHKI!$V$8:$Y$62,MATCH($BL26,THHKI!$AG$8:$AG$62,0),2)&lt;&gt;"",INDEX(THHKI!$V$8:$Y$62,MATCH($BL26,THHKI!$AG$8:$AG$62,0),2),""),""),"")</f>
        <v>Giỏi</v>
      </c>
      <c r="AX26" s="8" t="str">
        <f>IF($A26&gt;=1,IF(INDEX(THHKII!$V$8:$Y$62,MATCH($BL26,THHKII!$AG$8:$AG$62,0),2)&lt;&gt;"",INDEX(THHKII!$V$8:$Y$62,MATCH($BL26,THHKII!$AG$8:$AG$62,0),2),""),"")</f>
        <v/>
      </c>
      <c r="AY26" s="467" t="str">
        <f>IF($A26&gt;=1,IF(INDEX(THCN!$V$8:$Y$62,MATCH($BL26,THCN!$AG$8:$AG$62,0),2)&lt;&gt;"",INDEX(THCN!$V$8:$Y$62,MATCH($BL26,THCN!$AG$8:$AG$62,0),2),""),"")</f>
        <v/>
      </c>
      <c r="AZ26" s="37" t="str">
        <f>IFERROR(IF($A26&gt;=1,IF(INDEX(THHKI!$V$8:$Y$62,MATCH($BL26,THHKI!$AG$8:$AG$62,0),3)&lt;&gt;"",INDEX(THHKI!$V$8:$Y$62,MATCH($BL26,THHKI!$AG$8:$AG$62,0),3),""),""),"")</f>
        <v>Tốt</v>
      </c>
      <c r="BA26" s="8" t="str">
        <f>IF($A26&gt;=1,IF(INDEX(THHKII!$V$8:$Y$62,MATCH($BL26,THHKII!$AG$8:$AG$62,0),3)&lt;&gt;"",INDEX(THHKII!$V$8:$Y$62,MATCH($BL26,THHKII!$AG$8:$AG$62,0),3),""),"")</f>
        <v/>
      </c>
      <c r="BB26" s="41" t="str">
        <f>IF($A26&gt;=1,IF(INDEX(THCN!$V$8:$Y$62,MATCH($BL26,THCN!$AG$8:$AG$62,0),3)&lt;&gt;"",INDEX(THCN!$V$8:$Y$62,MATCH($BL26,THCN!$AG$8:$AG$62,0),3),""),"")</f>
        <v/>
      </c>
      <c r="BC26" s="42" t="str">
        <f>IF($A26&gt;=1,IF(INDEX(THCN!$V$8:$Y$62,MATCH($BL26,THCN!$AG$8:$AG$62,0),4)&lt;&gt;"",INDEX(THCN!$V$8:$Y$62,MATCH($BL26,THCN!$AG$8:$AG$62,0),4),""),"")</f>
        <v/>
      </c>
      <c r="BE26" s="31" t="str">
        <f>IFERROR(IF($A26&gt;=1,IF(INDEX(THHKI!$V$8:$Y$62,MATCH($BL26,THHKI!$AG$8:$AG$62,0),4)&lt;&gt;"",INDEX(THHKI!$V$8:$Y$62,MATCH($BL26,THHKI!$AG$8:$AG$62,0),4),""),""),"")</f>
        <v>HSG</v>
      </c>
      <c r="BF26" s="42" t="str">
        <f>IF($A26&gt;=1,IF(INDEX(THHKII!$V$8:$Y$62,MATCH($BL26,THHKII!$AG$8:$AG$62,0),4)&lt;&gt;"",INDEX(THHKII!$V$8:$Y$62,MATCH($BL26,THHKII!$AG$8:$AG$62,0),4),""),"")</f>
        <v/>
      </c>
      <c r="BG26" s="30" t="s">
        <v>121</v>
      </c>
      <c r="BH26" s="30">
        <v>124</v>
      </c>
      <c r="BI26" s="30">
        <v>125</v>
      </c>
      <c r="BJ26" s="30">
        <v>126</v>
      </c>
      <c r="BK26" s="30">
        <v>127</v>
      </c>
      <c r="BL26" s="30" t="str">
        <f>IF($A26&lt;&gt;"",INDEX(DiemHKII!$B$4:$K$58,MATCH($A26,DiemHKII!$B$4:$B$58,0),2),"")</f>
        <v>12A1Nguyễn ĐăngKhoa07/11/2004</v>
      </c>
    </row>
    <row r="27" spans="1:64" s="30" customFormat="1" ht="29.1" customHeight="1">
      <c r="A27" s="31">
        <f>IF(A26&lt;MAX(DiemHKII!$B$4:$B$58),A26+1,"")</f>
        <v>19</v>
      </c>
      <c r="B27" s="32" t="str">
        <f>IF($A27&lt;&gt;"",PROPER(INDEX(DiemHKII!$B$4:$K$58,MATCH($A27,DiemHKII!$B$4:$B$58,0),4)),"")</f>
        <v>Lê Tiến</v>
      </c>
      <c r="C27" s="33" t="str">
        <f>IF($A27&lt;&gt;"",PROPER(INDEX(DiemHKII!$B$4:$K$58,MATCH($A27,DiemHKII!$B$4:$B$58,0),5)),"")</f>
        <v>Khôi</v>
      </c>
      <c r="D27" s="34" t="str">
        <f>IF($A27&lt;&gt;"",IF(INDEX(BDHK2,MATCH($A27,DiemHKII!$B$4:$B$58,0),INDEX($BG$14:$BK$27,MATCH(D$7,$BG$14:$BG$27,0),2))&lt;&gt;"",INDEX(BDHK2,MATCH($A27,DiemHKII!$B$4:$B$58,0),INDEX($BG$14:$BK$27,MATCH(D$7,$BG$14:$BG$27,0),3)),""),"")</f>
        <v/>
      </c>
      <c r="E27" s="35" t="str">
        <f>IF($A27&lt;&gt;"",IF(INDEX(BDHK2,MATCH($A27,DiemHKII!$B$4:$B$58,0),INDEX($BG$14:$BK$27,MATCH(D$7,$BG$14:$BG$27,0),2))&lt;&gt;"",INDEX(BDHK2,MATCH($A27,DiemHKII!$B$4:$B$58,0),INDEX($BG$14:$BK$27,MATCH(D$7,$BG$14:$BG$27,0),4)),""),"")</f>
        <v/>
      </c>
      <c r="F27" s="36" t="str">
        <f>IF($A27&lt;&gt;"",IF(INDEX(BDHK2,MATCH($A27,DiemHKII!$B$4:$B$58,0),INDEX($BG$14:$BK$27,MATCH(D$7,$BG$14:$BG$27,0),2))&lt;&gt;"",INDEX(BDHK2,MATCH($A27,DiemHKII!$B$4:$B$58,0),INDEX($BG$14:$BK$27,MATCH(D$7,$BG$14:$BG$27,0),5)),""),"")</f>
        <v/>
      </c>
      <c r="G27" s="34" t="str">
        <f>IF($A27&lt;&gt;"",IF(INDEX(BDHK2,MATCH($A27,DiemHKII!$B$4:$B$58,0),INDEX($BG$14:$BK$27,MATCH(G$7,$BG$14:$BG$27,0),2))&lt;&gt;"",INDEX(BDHK2,MATCH($A27,DiemHKII!$B$4:$B$58,0),INDEX($BG$14:$BK$27,MATCH(G$7,$BG$14:$BG$27,0),3)),""),"")</f>
        <v/>
      </c>
      <c r="H27" s="35" t="str">
        <f>IF($A27&lt;&gt;"",IF(INDEX(BDHK2,MATCH($A27,DiemHKII!$B$4:$B$58,0),INDEX($BG$14:$BK$27,MATCH(G$7,$BG$14:$BG$27,0),2))&lt;&gt;"",INDEX(BDHK2,MATCH($A27,DiemHKII!$B$4:$B$58,0),INDEX($BG$14:$BK$27,MATCH(G$7,$BG$14:$BG$27,0),4)),""),"")</f>
        <v/>
      </c>
      <c r="I27" s="36" t="str">
        <f>IF($A27&lt;&gt;"",IF(INDEX(BDHK2,MATCH($A27,DiemHKII!$B$4:$B$58,0),INDEX($BG$14:$BK$27,MATCH(G$7,$BG$14:$BG$27,0),2))&lt;&gt;"",INDEX(BDHK2,MATCH($A27,DiemHKII!$B$4:$B$58,0),INDEX($BG$14:$BK$27,MATCH(G$7,$BG$14:$BG$27,0),5)),""),"")</f>
        <v/>
      </c>
      <c r="J27" s="34" t="str">
        <f>IF($A27&lt;&gt;"",IF(INDEX(BDHK2,MATCH($A27,DiemHKII!$B$4:$B$58,0),INDEX($BG$14:$BK$27,MATCH(J$7,$BG$14:$BG$27,0),2))&lt;&gt;"",INDEX(BDHK2,MATCH($A27,DiemHKII!$B$4:$B$58,0),INDEX($BG$14:$BK$27,MATCH(J$7,$BG$14:$BG$27,0),3)),""),"")</f>
        <v/>
      </c>
      <c r="K27" s="35" t="str">
        <f>IF($A27&lt;&gt;"",IF(INDEX(BDHK2,MATCH($A27,DiemHKII!$B$4:$B$58,0),INDEX($BG$14:$BK$27,MATCH(J$7,$BG$14:$BG$27,0),2))&lt;&gt;"",INDEX(BDHK2,MATCH($A27,DiemHKII!$B$4:$B$58,0),INDEX($BG$14:$BK$27,MATCH(J$7,$BG$14:$BG$27,0),4)),""),"")</f>
        <v/>
      </c>
      <c r="L27" s="36" t="str">
        <f>IF($A27&lt;&gt;"",IF(INDEX(BDHK2,MATCH($A27,DiemHKII!$B$4:$B$58,0),INDEX($BG$14:$BK$27,MATCH(J$7,$BG$14:$BG$27,0),2))&lt;&gt;"",INDEX(BDHK2,MATCH($A27,DiemHKII!$B$4:$B$58,0),INDEX($BG$14:$BK$27,MATCH(J$7,$BG$14:$BG$27,0),5)),""),"")</f>
        <v/>
      </c>
      <c r="M27" s="34" t="str">
        <f>IF($A27&lt;&gt;"",IF(INDEX(BDHK2,MATCH($A27,DiemHKII!$B$4:$B$58,0),INDEX($BG$14:$BK$27,MATCH(M$7,$BG$14:$BG$27,0),2))&lt;&gt;"",INDEX(BDHK2,MATCH($A27,DiemHKII!$B$4:$B$58,0),INDEX($BG$14:$BK$27,MATCH(M$7,$BG$14:$BG$27,0),3)),""),"")</f>
        <v/>
      </c>
      <c r="N27" s="35" t="str">
        <f>IF($A27&lt;&gt;"",IF(INDEX(BDHK2,MATCH($A27,DiemHKII!$B$4:$B$58,0),INDEX($BG$14:$BK$27,MATCH(M$7,$BG$14:$BG$27,0),2))&lt;&gt;"",INDEX(BDHK2,MATCH($A27,DiemHKII!$B$4:$B$58,0),INDEX($BG$14:$BK$27,MATCH(M$7,$BG$14:$BG$27,0),4)),""),"")</f>
        <v/>
      </c>
      <c r="O27" s="36" t="str">
        <f>IF($A27&lt;&gt;"",IF(INDEX(BDHK2,MATCH($A27,DiemHKII!$B$4:$B$58,0),INDEX($BG$14:$BK$27,MATCH(M$7,$BG$14:$BG$27,0),2))&lt;&gt;"",INDEX(BDHK2,MATCH($A27,DiemHKII!$B$4:$B$58,0),INDEX($BG$14:$BK$27,MATCH(M$7,$BG$14:$BG$27,0),5)),""),"")</f>
        <v/>
      </c>
      <c r="P27" s="34" t="str">
        <f>IF($A27&lt;&gt;"",IF(INDEX(BDHK2,MATCH($A27,DiemHKII!$B$4:$B$58,0),INDEX($BG$14:$BK$27,MATCH(P$7,$BG$14:$BG$27,0),2))&lt;&gt;"",INDEX(BDHK2,MATCH($A27,DiemHKII!$B$4:$B$58,0),INDEX($BG$14:$BK$27,MATCH(P$7,$BG$14:$BG$27,0),3)),""),"")</f>
        <v/>
      </c>
      <c r="Q27" s="35" t="str">
        <f>IF($A27&lt;&gt;"",IF(INDEX(BDHK2,MATCH($A27,DiemHKII!$B$4:$B$58,0),INDEX($BG$14:$BK$27,MATCH(P$7,$BG$14:$BG$27,0),2))&lt;&gt;"",INDEX(BDHK2,MATCH($A27,DiemHKII!$B$4:$B$58,0),INDEX($BG$14:$BK$27,MATCH(P$7,$BG$14:$BG$27,0),4)),""),"")</f>
        <v/>
      </c>
      <c r="R27" s="36" t="str">
        <f>IF($A27&lt;&gt;"",IF(INDEX(BDHK2,MATCH($A27,DiemHKII!$B$4:$B$58,0),INDEX($BG$14:$BK$27,MATCH(P$7,$BG$14:$BG$27,0),2))&lt;&gt;"",INDEX(BDHK2,MATCH($A27,DiemHKII!$B$4:$B$58,0),INDEX($BG$14:$BK$27,MATCH(P$7,$BG$14:$BG$27,0),5)),""),"")</f>
        <v/>
      </c>
      <c r="S27" s="34" t="str">
        <f>IF($A27&lt;&gt;"",IF(INDEX(BDHK2,MATCH($A27,DiemHKII!$B$4:$B$58,0),INDEX($BG$14:$BK$27,MATCH(S$7,$BG$14:$BG$27,0),2))&lt;&gt;"",INDEX(BDHK2,MATCH($A27,DiemHKII!$B$4:$B$58,0),INDEX($BG$14:$BK$27,MATCH(S$7,$BG$14:$BG$27,0),3)),""),"")</f>
        <v/>
      </c>
      <c r="T27" s="35" t="str">
        <f>IF($A27&lt;&gt;"",IF(INDEX(BDHK2,MATCH($A27,DiemHKII!$B$4:$B$58,0),INDEX($BG$14:$BK$27,MATCH(S$7,$BG$14:$BG$27,0),2))&lt;&gt;"",INDEX(BDHK2,MATCH($A27,DiemHKII!$B$4:$B$58,0),INDEX($BG$14:$BK$27,MATCH(S$7,$BG$14:$BG$27,0),4)),""),"")</f>
        <v/>
      </c>
      <c r="U27" s="36" t="str">
        <f>IF($A27&lt;&gt;"",IF(INDEX(BDHK2,MATCH($A27,DiemHKII!$B$4:$B$58,0),INDEX($BG$14:$BK$27,MATCH(S$7,$BG$14:$BG$27,0),2))&lt;&gt;"",INDEX(BDHK2,MATCH($A27,DiemHKII!$B$4:$B$58,0),INDEX($BG$14:$BK$27,MATCH(S$7,$BG$14:$BG$27,0),5)),""),"")</f>
        <v/>
      </c>
      <c r="V27" s="34" t="str">
        <f>IF($A27&lt;&gt;"",IF(INDEX(BDHK2,MATCH($A27,DiemHKII!$B$4:$B$58,0),INDEX($BG$14:$BK$27,MATCH(V$7,$BG$14:$BG$27,0),2))&lt;&gt;"",INDEX(BDHK2,MATCH($A27,DiemHKII!$B$4:$B$58,0),INDEX($BG$14:$BK$27,MATCH(V$7,$BG$14:$BG$27,0),3)),""),"")</f>
        <v/>
      </c>
      <c r="W27" s="35" t="str">
        <f>IF($A27&lt;&gt;"",IF(INDEX(BDHK2,MATCH($A27,DiemHKII!$B$4:$B$58,0),INDEX($BG$14:$BK$27,MATCH(V$7,$BG$14:$BG$27,0),2))&lt;&gt;"",INDEX(BDHK2,MATCH($A27,DiemHKII!$B$4:$B$58,0),INDEX($BG$14:$BK$27,MATCH(V$7,$BG$14:$BG$27,0),4)),""),"")</f>
        <v/>
      </c>
      <c r="X27" s="36" t="str">
        <f>IF($A27&lt;&gt;"",IF(INDEX(BDHK2,MATCH($A27,DiemHKII!$B$4:$B$58,0),INDEX($BG$14:$BK$27,MATCH(V$7,$BG$14:$BG$27,0),2))&lt;&gt;"",INDEX(BDHK2,MATCH($A27,DiemHKII!$B$4:$B$58,0),INDEX($BG$14:$BK$27,MATCH(V$7,$BG$14:$BG$27,0),5)),""),"")</f>
        <v/>
      </c>
      <c r="Y27" s="34" t="str">
        <f>IF($A27&lt;&gt;"",IF(INDEX(BDHK2,MATCH($A27,DiemHKII!$B$4:$B$58,0),INDEX($BG$14:$BK$27,MATCH(Y$7,$BG$14:$BG$27,0),2))&lt;&gt;"",INDEX(BDHK2,MATCH($A27,DiemHKII!$B$4:$B$58,0),INDEX($BG$14:$BK$27,MATCH(Y$7,$BG$14:$BG$27,0),3)),""),"")</f>
        <v/>
      </c>
      <c r="Z27" s="35" t="str">
        <f>IF($A27&lt;&gt;"",IF(INDEX(BDHK2,MATCH($A27,DiemHKII!$B$4:$B$58,0),INDEX($BG$14:$BK$27,MATCH(Y$7,$BG$14:$BG$27,0),2))&lt;&gt;"",INDEX(BDHK2,MATCH($A27,DiemHKII!$B$4:$B$58,0),INDEX($BG$14:$BK$27,MATCH(Y$7,$BG$14:$BG$27,0),4)),""),"")</f>
        <v/>
      </c>
      <c r="AA27" s="36" t="str">
        <f>IF($A27&lt;&gt;"",IF(INDEX(BDHK2,MATCH($A27,DiemHKII!$B$4:$B$58,0),INDEX($BG$14:$BK$27,MATCH(Y$7,$BG$14:$BG$27,0),2))&lt;&gt;"",INDEX(BDHK2,MATCH($A27,DiemHKII!$B$4:$B$58,0),INDEX($BG$14:$BK$27,MATCH(Y$7,$BG$14:$BG$27,0),5)),""),"")</f>
        <v/>
      </c>
      <c r="AB27" s="34" t="str">
        <f>IF($A27&lt;&gt;"",IF(INDEX(BDHK2,MATCH($A27,DiemHKII!$B$4:$B$58,0),INDEX($BG$14:$BK$27,MATCH(AB$7,$BG$14:$BG$27,0),2))&lt;&gt;"",INDEX(BDHK2,MATCH($A27,DiemHKII!$B$4:$B$58,0),INDEX($BG$14:$BK$27,MATCH(AB$7,$BG$14:$BG$27,0),3)),""),"")</f>
        <v/>
      </c>
      <c r="AC27" s="35" t="str">
        <f>IF($A27&lt;&gt;"",IF(INDEX(BDHK2,MATCH($A27,DiemHKII!$B$4:$B$58,0),INDEX($BG$14:$BK$27,MATCH(AB$7,$BG$14:$BG$27,0),2))&lt;&gt;"",INDEX(BDHK2,MATCH($A27,DiemHKII!$B$4:$B$58,0),INDEX($BG$14:$BK$27,MATCH(AB$7,$BG$14:$BG$27,0),4)),""),"")</f>
        <v/>
      </c>
      <c r="AD27" s="36" t="str">
        <f>IF($A27&lt;&gt;"",IF(INDEX(BDHK2,MATCH($A27,DiemHKII!$B$4:$B$58,0),INDEX($BG$14:$BK$27,MATCH(AB$7,$BG$14:$BG$27,0),2))&lt;&gt;"",INDEX(BDHK2,MATCH($A27,DiemHKII!$B$4:$B$58,0),INDEX($BG$14:$BK$27,MATCH(AB$7,$BG$14:$BG$27,0),5)),""),"")</f>
        <v/>
      </c>
      <c r="AE27" s="34" t="str">
        <f>IF($A27&lt;&gt;"",IF(INDEX(BDHK2,MATCH($A27,DiemHKII!$B$4:$B$58,0),INDEX($BG$14:$BK$27,MATCH(AE$7,$BG$14:$BG$27,0),2))&lt;&gt;"",INDEX(BDHK2,MATCH($A27,DiemHKII!$B$4:$B$58,0),INDEX($BG$14:$BK$27,MATCH(AE$7,$BG$14:$BG$27,0),3)),""),"")</f>
        <v/>
      </c>
      <c r="AF27" s="35" t="str">
        <f>IF($A27&lt;&gt;"",IF(INDEX(BDHK2,MATCH($A27,DiemHKII!$B$4:$B$58,0),INDEX($BG$14:$BK$27,MATCH(AE$7,$BG$14:$BG$27,0),2))&lt;&gt;"",INDEX(BDHK2,MATCH($A27,DiemHKII!$B$4:$B$58,0),INDEX($BG$14:$BK$27,MATCH(AE$7,$BG$14:$BG$27,0),4)),""),"")</f>
        <v/>
      </c>
      <c r="AG27" s="36" t="str">
        <f>IF($A27&lt;&gt;"",IF(INDEX(BDHK2,MATCH($A27,DiemHKII!$B$4:$B$58,0),INDEX($BG$14:$BK$27,MATCH(AE$7,$BG$14:$BG$27,0),2))&lt;&gt;"",INDEX(BDHK2,MATCH($A27,DiemHKII!$B$4:$B$58,0),INDEX($BG$14:$BK$27,MATCH(AE$7,$BG$14:$BG$27,0),5)),""),"")</f>
        <v/>
      </c>
      <c r="AH27" s="34" t="str">
        <f>IF($A27&lt;&gt;"",IF(INDEX(BDHK2,MATCH($A27,DiemHKII!$B$4:$B$58,0),INDEX($BG$14:$BK$27,MATCH(AH$7,$BG$14:$BG$27,0),2))&lt;&gt;"",INDEX(BDHK2,MATCH($A27,DiemHKII!$B$4:$B$58,0),INDEX($BG$14:$BK$27,MATCH(AH$7,$BG$14:$BG$27,0),3)),""),"")</f>
        <v/>
      </c>
      <c r="AI27" s="35" t="str">
        <f>IF($A27&lt;&gt;"",IF(INDEX(BDHK2,MATCH($A27,DiemHKII!$B$4:$B$58,0),INDEX($BG$14:$BK$27,MATCH(AH$7,$BG$14:$BG$27,0),2))&lt;&gt;"",INDEX(BDHK2,MATCH($A27,DiemHKII!$B$4:$B$58,0),INDEX($BG$14:$BK$27,MATCH(AH$7,$BG$14:$BG$27,0),4)),""),"")</f>
        <v/>
      </c>
      <c r="AJ27" s="36" t="str">
        <f>IF($A27&lt;&gt;"",IF(INDEX(BDHK2,MATCH($A27,DiemHKII!$B$4:$B$58,0),INDEX($BG$14:$BK$27,MATCH(AH$7,$BG$14:$BG$27,0),2))&lt;&gt;"",INDEX(BDHK2,MATCH($A27,DiemHKII!$B$4:$B$58,0),INDEX($BG$14:$BK$27,MATCH(AH$7,$BG$14:$BG$27,0),5)),""),"")</f>
        <v/>
      </c>
      <c r="AK27" s="37" t="str">
        <f>IF($A27&lt;&gt;"",IF(INDEX(BDHK2,MATCH($A27,DiemHKII!$B$4:$B$58,0),INDEX($BG$14:$BK$27,MATCH(AK$7,$BG$14:$BG$27,0),2))&lt;&gt;"",INDEX(BDHK2,MATCH($A27,DiemHKII!$B$4:$B$58,0),INDEX($BG$14:$BK$27,MATCH(AK$7,$BG$14:$BG$27,0),3)),""),"")</f>
        <v/>
      </c>
      <c r="AL27" s="8" t="str">
        <f>IF($A27&lt;&gt;"",IF(INDEX(BDHK2,MATCH($A27,DiemHKII!$B$4:$B$58,0),INDEX($BG$14:$BK$27,MATCH(AK$7,$BG$14:$BG$27,0),2))&lt;&gt;"",INDEX(BDHK2,MATCH($A27,DiemHKII!$B$4:$B$58,0),INDEX($BG$14:$BK$27,MATCH(AK$7,$BG$14:$BG$27,0),4)),""),"")</f>
        <v/>
      </c>
      <c r="AM27" s="38" t="str">
        <f>IF($A27&lt;&gt;"",IF(INDEX(BDHK2,MATCH($A27,DiemHKII!$B$4:$B$58,0),INDEX($BG$14:$BK$27,MATCH(AK$7,$BG$14:$BG$27,0),2))&lt;&gt;"",INDEX(BDHK2,MATCH($A27,DiemHKII!$B$4:$B$58,0),INDEX($BG$14:$BK$27,MATCH(AK$7,$BG$14:$BG$27,0),5)),""),"")</f>
        <v/>
      </c>
      <c r="AN27" s="34" t="str">
        <f>IF($A27&lt;&gt;"",IF(INDEX(BDHK2,MATCH($A27,DiemHKII!$B$4:$B$58,0),INDEX($BG$14:$BK$27,MATCH(AN$7,$BG$14:$BG$27,0),2))&lt;&gt;"",INDEX(BDHK2,MATCH($A27,DiemHKII!$B$4:$B$58,0),INDEX($BG$14:$BK$27,MATCH(AN$7,$BG$14:$BG$27,0),3)),""),"")</f>
        <v/>
      </c>
      <c r="AO27" s="35" t="str">
        <f>IF($A27&lt;&gt;"",IF(INDEX(BDHK2,MATCH($A27,DiemHKII!$B$4:$B$58,0),INDEX($BG$14:$BK$27,MATCH(AN$7,$BG$14:$BG$27,0),2))&lt;&gt;"",INDEX(BDHK2,MATCH($A27,DiemHKII!$B$4:$B$58,0),INDEX($BG$14:$BK$27,MATCH(AN$7,$BG$14:$BG$27,0),4)),""),"")</f>
        <v/>
      </c>
      <c r="AP27" s="36" t="str">
        <f>IF($A27&lt;&gt;"",IF(INDEX(BDHK2,MATCH($A27,DiemHKII!$B$4:$B$58,0),INDEX($BG$14:$BK$27,MATCH(AN$7,$BG$14:$BG$27,0),2))&lt;&gt;"",INDEX(BDHK2,MATCH($A27,DiemHKII!$B$4:$B$58,0),INDEX($BG$14:$BK$27,MATCH(AN$7,$BG$14:$BG$27,0),5)),""),"")</f>
        <v/>
      </c>
      <c r="AQ27" s="34" t="str">
        <f>IF($A27&lt;&gt;"",IF(INDEX(BDHK2,MATCH($A27,DiemHKII!$B$4:$B$58,0),INDEX($BG$14:$BK$27,MATCH(AQ$7,$BG$14:$BG$27,0),2))&lt;&gt;"",INDEX(BDHK2,MATCH($A27,DiemHKII!$B$4:$B$58,0),INDEX($BG$14:$BK$27,MATCH(AQ$7,$BG$14:$BG$27,0),3)),""),"")</f>
        <v/>
      </c>
      <c r="AR27" s="35" t="str">
        <f>IF($A27&lt;&gt;"",IF(INDEX(BDHK2,MATCH($A27,DiemHKII!$B$4:$B$58,0),INDEX($BG$14:$BK$27,MATCH(AQ$7,$BG$14:$BG$27,0),2))&lt;&gt;"",INDEX(BDHK2,MATCH($A27,DiemHKII!$B$4:$B$58,0),INDEX($BG$14:$BK$27,MATCH(AQ$7,$BG$14:$BG$27,0),4)),""),"")</f>
        <v/>
      </c>
      <c r="AS27" s="36" t="str">
        <f>IF($A27&lt;&gt;"",IF(INDEX(BDHK2,MATCH($A27,DiemHKII!$B$4:$B$58,0),INDEX($BG$14:$BK$27,MATCH(AQ$7,$BG$14:$BG$27,0),2))&lt;&gt;"",INDEX(BDHK2,MATCH($A27,DiemHKII!$B$4:$B$58,0),INDEX($BG$14:$BK$27,MATCH(AQ$7,$BG$14:$BG$27,0),5)),""),"")</f>
        <v/>
      </c>
      <c r="AT27" s="34">
        <f>IFERROR(IF($A27&gt;=1,IF(INDEX(THHKI!$V$8:$Y$62,MATCH($BL27,THHKI!$AG$8:$AG$62,0),1)&lt;&gt;"",INDEX(THHKI!$V$8:$Y$62,MATCH($BL27,THHKI!$AG$8:$AG$62,0),1),""),""),"")</f>
        <v>9.5</v>
      </c>
      <c r="AU27" s="35" t="str">
        <f>IF($A27&gt;=1,IF(INDEX(THHKII!$V$8:$Y$62,MATCH($BL27,THHKII!$AG$8:$AG$62,0),1)&lt;&gt;"",INDEX(THHKII!$V$8:$Y$62,MATCH($BL27,THHKII!$AG$8:$AG$62,0),1),""),"")</f>
        <v/>
      </c>
      <c r="AV27" s="39" t="str">
        <f>IF($A27&gt;=1,IF(INDEX(THCN!$V$8:$Y$62,MATCH($BL27,THCN!$AG$8:$AG$62,0),1)&lt;&gt;"",INDEX(THCN!$V$8:$Y$62,MATCH($BL27,THCN!$AG$8:$AG$62,0),1),""),"")</f>
        <v/>
      </c>
      <c r="AW27" s="40" t="str">
        <f>IFERROR(IF($A27&gt;=1,IF(INDEX(THHKI!$V$8:$Y$62,MATCH($BL27,THHKI!$AG$8:$AG$62,0),2)&lt;&gt;"",INDEX(THHKI!$V$8:$Y$62,MATCH($BL27,THHKI!$AG$8:$AG$62,0),2),""),""),"")</f>
        <v>Giỏi</v>
      </c>
      <c r="AX27" s="8" t="str">
        <f>IF($A27&gt;=1,IF(INDEX(THHKII!$V$8:$Y$62,MATCH($BL27,THHKII!$AG$8:$AG$62,0),2)&lt;&gt;"",INDEX(THHKII!$V$8:$Y$62,MATCH($BL27,THHKII!$AG$8:$AG$62,0),2),""),"")</f>
        <v/>
      </c>
      <c r="AY27" s="467" t="str">
        <f>IF($A27&gt;=1,IF(INDEX(THCN!$V$8:$Y$62,MATCH($BL27,THCN!$AG$8:$AG$62,0),2)&lt;&gt;"",INDEX(THCN!$V$8:$Y$62,MATCH($BL27,THCN!$AG$8:$AG$62,0),2),""),"")</f>
        <v/>
      </c>
      <c r="AZ27" s="37" t="str">
        <f>IFERROR(IF($A27&gt;=1,IF(INDEX(THHKI!$V$8:$Y$62,MATCH($BL27,THHKI!$AG$8:$AG$62,0),3)&lt;&gt;"",INDEX(THHKI!$V$8:$Y$62,MATCH($BL27,THHKI!$AG$8:$AG$62,0),3),""),""),"")</f>
        <v>Tốt</v>
      </c>
      <c r="BA27" s="8" t="str">
        <f>IF($A27&gt;=1,IF(INDEX(THHKII!$V$8:$Y$62,MATCH($BL27,THHKII!$AG$8:$AG$62,0),3)&lt;&gt;"",INDEX(THHKII!$V$8:$Y$62,MATCH($BL27,THHKII!$AG$8:$AG$62,0),3),""),"")</f>
        <v/>
      </c>
      <c r="BB27" s="41" t="str">
        <f>IF($A27&gt;=1,IF(INDEX(THCN!$V$8:$Y$62,MATCH($BL27,THCN!$AG$8:$AG$62,0),3)&lt;&gt;"",INDEX(THCN!$V$8:$Y$62,MATCH($BL27,THCN!$AG$8:$AG$62,0),3),""),"")</f>
        <v/>
      </c>
      <c r="BC27" s="42" t="str">
        <f>IF($A27&gt;=1,IF(INDEX(THCN!$V$8:$Y$62,MATCH($BL27,THCN!$AG$8:$AG$62,0),4)&lt;&gt;"",INDEX(THCN!$V$8:$Y$62,MATCH($BL27,THCN!$AG$8:$AG$62,0),4),""),"")</f>
        <v/>
      </c>
      <c r="BE27" s="31" t="str">
        <f>IFERROR(IF($A27&gt;=1,IF(INDEX(THHKI!$V$8:$Y$62,MATCH($BL27,THHKI!$AG$8:$AG$62,0),4)&lt;&gt;"",INDEX(THHKI!$V$8:$Y$62,MATCH($BL27,THHKI!$AG$8:$AG$62,0),4),""),""),"")</f>
        <v>HSG</v>
      </c>
      <c r="BF27" s="42" t="str">
        <f>IF($A27&gt;=1,IF(INDEX(THHKII!$V$8:$Y$62,MATCH($BL27,THHKII!$AG$8:$AG$62,0),4)&lt;&gt;"",INDEX(THHKII!$V$8:$Y$62,MATCH($BL27,THHKII!$AG$8:$AG$62,0),4),""),"")</f>
        <v/>
      </c>
      <c r="BG27" s="30" t="s">
        <v>122</v>
      </c>
      <c r="BH27" s="30">
        <v>133</v>
      </c>
      <c r="BI27" s="30">
        <v>134</v>
      </c>
      <c r="BJ27" s="30">
        <v>135</v>
      </c>
      <c r="BK27" s="30">
        <v>136</v>
      </c>
      <c r="BL27" s="30" t="str">
        <f>IF($A27&lt;&gt;"",INDEX(DiemHKII!$B$4:$K$58,MATCH($A27,DiemHKII!$B$4:$B$58,0),2),"")</f>
        <v>12A1Lê TiếnKhôi14/10/2004</v>
      </c>
    </row>
    <row r="28" spans="1:64" s="30" customFormat="1" ht="29.1" customHeight="1" thickBot="1">
      <c r="A28" s="43">
        <f>IF(A27&lt;MAX(DiemHKII!$B$4:$B$58),A27+1,"")</f>
        <v>20</v>
      </c>
      <c r="B28" s="44" t="str">
        <f>IF($A28&lt;&gt;"",PROPER(INDEX(DiemHKII!$B$4:$K$58,MATCH($A28,DiemHKII!$B$4:$B$58,0),4)),"")</f>
        <v>Nguyễn Phúc</v>
      </c>
      <c r="C28" s="45" t="str">
        <f>IF($A28&lt;&gt;"",PROPER(INDEX(DiemHKII!$B$4:$K$58,MATCH($A28,DiemHKII!$B$4:$B$58,0),5)),"")</f>
        <v>Lâm</v>
      </c>
      <c r="D28" s="46" t="str">
        <f>IF($A28&lt;&gt;"",IF(INDEX(BDHK2,MATCH($A28,DiemHKII!$B$4:$B$58,0),INDEX($BG$14:$BK$27,MATCH(D$7,$BG$14:$BG$27,0),2))&lt;&gt;"",INDEX(BDHK2,MATCH($A28,DiemHKII!$B$4:$B$58,0),INDEX($BG$14:$BK$27,MATCH(D$7,$BG$14:$BG$27,0),3)),""),"")</f>
        <v/>
      </c>
      <c r="E28" s="47" t="str">
        <f>IF($A28&lt;&gt;"",IF(INDEX(BDHK2,MATCH($A28,DiemHKII!$B$4:$B$58,0),INDEX($BG$14:$BK$27,MATCH(D$7,$BG$14:$BG$27,0),2))&lt;&gt;"",INDEX(BDHK2,MATCH($A28,DiemHKII!$B$4:$B$58,0),INDEX($BG$14:$BK$27,MATCH(D$7,$BG$14:$BG$27,0),4)),""),"")</f>
        <v/>
      </c>
      <c r="F28" s="48" t="str">
        <f>IF($A28&lt;&gt;"",IF(INDEX(BDHK2,MATCH($A28,DiemHKII!$B$4:$B$58,0),INDEX($BG$14:$BK$27,MATCH(D$7,$BG$14:$BG$27,0),2))&lt;&gt;"",INDEX(BDHK2,MATCH($A28,DiemHKII!$B$4:$B$58,0),INDEX($BG$14:$BK$27,MATCH(D$7,$BG$14:$BG$27,0),5)),""),"")</f>
        <v/>
      </c>
      <c r="G28" s="46" t="str">
        <f>IF($A28&lt;&gt;"",IF(INDEX(BDHK2,MATCH($A28,DiemHKII!$B$4:$B$58,0),INDEX($BG$14:$BK$27,MATCH(G$7,$BG$14:$BG$27,0),2))&lt;&gt;"",INDEX(BDHK2,MATCH($A28,DiemHKII!$B$4:$B$58,0),INDEX($BG$14:$BK$27,MATCH(G$7,$BG$14:$BG$27,0),3)),""),"")</f>
        <v/>
      </c>
      <c r="H28" s="47" t="str">
        <f>IF($A28&lt;&gt;"",IF(INDEX(BDHK2,MATCH($A28,DiemHKII!$B$4:$B$58,0),INDEX($BG$14:$BK$27,MATCH(G$7,$BG$14:$BG$27,0),2))&lt;&gt;"",INDEX(BDHK2,MATCH($A28,DiemHKII!$B$4:$B$58,0),INDEX($BG$14:$BK$27,MATCH(G$7,$BG$14:$BG$27,0),4)),""),"")</f>
        <v/>
      </c>
      <c r="I28" s="48" t="str">
        <f>IF($A28&lt;&gt;"",IF(INDEX(BDHK2,MATCH($A28,DiemHKII!$B$4:$B$58,0),INDEX($BG$14:$BK$27,MATCH(G$7,$BG$14:$BG$27,0),2))&lt;&gt;"",INDEX(BDHK2,MATCH($A28,DiemHKII!$B$4:$B$58,0),INDEX($BG$14:$BK$27,MATCH(G$7,$BG$14:$BG$27,0),5)),""),"")</f>
        <v/>
      </c>
      <c r="J28" s="46" t="str">
        <f>IF($A28&lt;&gt;"",IF(INDEX(BDHK2,MATCH($A28,DiemHKII!$B$4:$B$58,0),INDEX($BG$14:$BK$27,MATCH(J$7,$BG$14:$BG$27,0),2))&lt;&gt;"",INDEX(BDHK2,MATCH($A28,DiemHKII!$B$4:$B$58,0),INDEX($BG$14:$BK$27,MATCH(J$7,$BG$14:$BG$27,0),3)),""),"")</f>
        <v/>
      </c>
      <c r="K28" s="47" t="str">
        <f>IF($A28&lt;&gt;"",IF(INDEX(BDHK2,MATCH($A28,DiemHKII!$B$4:$B$58,0),INDEX($BG$14:$BK$27,MATCH(J$7,$BG$14:$BG$27,0),2))&lt;&gt;"",INDEX(BDHK2,MATCH($A28,DiemHKII!$B$4:$B$58,0),INDEX($BG$14:$BK$27,MATCH(J$7,$BG$14:$BG$27,0),4)),""),"")</f>
        <v/>
      </c>
      <c r="L28" s="48" t="str">
        <f>IF($A28&lt;&gt;"",IF(INDEX(BDHK2,MATCH($A28,DiemHKII!$B$4:$B$58,0),INDEX($BG$14:$BK$27,MATCH(J$7,$BG$14:$BG$27,0),2))&lt;&gt;"",INDEX(BDHK2,MATCH($A28,DiemHKII!$B$4:$B$58,0),INDEX($BG$14:$BK$27,MATCH(J$7,$BG$14:$BG$27,0),5)),""),"")</f>
        <v/>
      </c>
      <c r="M28" s="46" t="str">
        <f>IF($A28&lt;&gt;"",IF(INDEX(BDHK2,MATCH($A28,DiemHKII!$B$4:$B$58,0),INDEX($BG$14:$BK$27,MATCH(M$7,$BG$14:$BG$27,0),2))&lt;&gt;"",INDEX(BDHK2,MATCH($A28,DiemHKII!$B$4:$B$58,0),INDEX($BG$14:$BK$27,MATCH(M$7,$BG$14:$BG$27,0),3)),""),"")</f>
        <v/>
      </c>
      <c r="N28" s="47" t="str">
        <f>IF($A28&lt;&gt;"",IF(INDEX(BDHK2,MATCH($A28,DiemHKII!$B$4:$B$58,0),INDEX($BG$14:$BK$27,MATCH(M$7,$BG$14:$BG$27,0),2))&lt;&gt;"",INDEX(BDHK2,MATCH($A28,DiemHKII!$B$4:$B$58,0),INDEX($BG$14:$BK$27,MATCH(M$7,$BG$14:$BG$27,0),4)),""),"")</f>
        <v/>
      </c>
      <c r="O28" s="48" t="str">
        <f>IF($A28&lt;&gt;"",IF(INDEX(BDHK2,MATCH($A28,DiemHKII!$B$4:$B$58,0),INDEX($BG$14:$BK$27,MATCH(M$7,$BG$14:$BG$27,0),2))&lt;&gt;"",INDEX(BDHK2,MATCH($A28,DiemHKII!$B$4:$B$58,0),INDEX($BG$14:$BK$27,MATCH(M$7,$BG$14:$BG$27,0),5)),""),"")</f>
        <v/>
      </c>
      <c r="P28" s="46" t="str">
        <f>IF($A28&lt;&gt;"",IF(INDEX(BDHK2,MATCH($A28,DiemHKII!$B$4:$B$58,0),INDEX($BG$14:$BK$27,MATCH(P$7,$BG$14:$BG$27,0),2))&lt;&gt;"",INDEX(BDHK2,MATCH($A28,DiemHKII!$B$4:$B$58,0),INDEX($BG$14:$BK$27,MATCH(P$7,$BG$14:$BG$27,0),3)),""),"")</f>
        <v/>
      </c>
      <c r="Q28" s="47" t="str">
        <f>IF($A28&lt;&gt;"",IF(INDEX(BDHK2,MATCH($A28,DiemHKII!$B$4:$B$58,0),INDEX($BG$14:$BK$27,MATCH(P$7,$BG$14:$BG$27,0),2))&lt;&gt;"",INDEX(BDHK2,MATCH($A28,DiemHKII!$B$4:$B$58,0),INDEX($BG$14:$BK$27,MATCH(P$7,$BG$14:$BG$27,0),4)),""),"")</f>
        <v/>
      </c>
      <c r="R28" s="48" t="str">
        <f>IF($A28&lt;&gt;"",IF(INDEX(BDHK2,MATCH($A28,DiemHKII!$B$4:$B$58,0),INDEX($BG$14:$BK$27,MATCH(P$7,$BG$14:$BG$27,0),2))&lt;&gt;"",INDEX(BDHK2,MATCH($A28,DiemHKII!$B$4:$B$58,0),INDEX($BG$14:$BK$27,MATCH(P$7,$BG$14:$BG$27,0),5)),""),"")</f>
        <v/>
      </c>
      <c r="S28" s="46" t="str">
        <f>IF($A28&lt;&gt;"",IF(INDEX(BDHK2,MATCH($A28,DiemHKII!$B$4:$B$58,0),INDEX($BG$14:$BK$27,MATCH(S$7,$BG$14:$BG$27,0),2))&lt;&gt;"",INDEX(BDHK2,MATCH($A28,DiemHKII!$B$4:$B$58,0),INDEX($BG$14:$BK$27,MATCH(S$7,$BG$14:$BG$27,0),3)),""),"")</f>
        <v/>
      </c>
      <c r="T28" s="47" t="str">
        <f>IF($A28&lt;&gt;"",IF(INDEX(BDHK2,MATCH($A28,DiemHKII!$B$4:$B$58,0),INDEX($BG$14:$BK$27,MATCH(S$7,$BG$14:$BG$27,0),2))&lt;&gt;"",INDEX(BDHK2,MATCH($A28,DiemHKII!$B$4:$B$58,0),INDEX($BG$14:$BK$27,MATCH(S$7,$BG$14:$BG$27,0),4)),""),"")</f>
        <v/>
      </c>
      <c r="U28" s="48" t="str">
        <f>IF($A28&lt;&gt;"",IF(INDEX(BDHK2,MATCH($A28,DiemHKII!$B$4:$B$58,0),INDEX($BG$14:$BK$27,MATCH(S$7,$BG$14:$BG$27,0),2))&lt;&gt;"",INDEX(BDHK2,MATCH($A28,DiemHKII!$B$4:$B$58,0),INDEX($BG$14:$BK$27,MATCH(S$7,$BG$14:$BG$27,0),5)),""),"")</f>
        <v/>
      </c>
      <c r="V28" s="46" t="str">
        <f>IF($A28&lt;&gt;"",IF(INDEX(BDHK2,MATCH($A28,DiemHKII!$B$4:$B$58,0),INDEX($BG$14:$BK$27,MATCH(V$7,$BG$14:$BG$27,0),2))&lt;&gt;"",INDEX(BDHK2,MATCH($A28,DiemHKII!$B$4:$B$58,0),INDEX($BG$14:$BK$27,MATCH(V$7,$BG$14:$BG$27,0),3)),""),"")</f>
        <v/>
      </c>
      <c r="W28" s="47" t="str">
        <f>IF($A28&lt;&gt;"",IF(INDEX(BDHK2,MATCH($A28,DiemHKII!$B$4:$B$58,0),INDEX($BG$14:$BK$27,MATCH(V$7,$BG$14:$BG$27,0),2))&lt;&gt;"",INDEX(BDHK2,MATCH($A28,DiemHKII!$B$4:$B$58,0),INDEX($BG$14:$BK$27,MATCH(V$7,$BG$14:$BG$27,0),4)),""),"")</f>
        <v/>
      </c>
      <c r="X28" s="48" t="str">
        <f>IF($A28&lt;&gt;"",IF(INDEX(BDHK2,MATCH($A28,DiemHKII!$B$4:$B$58,0),INDEX($BG$14:$BK$27,MATCH(V$7,$BG$14:$BG$27,0),2))&lt;&gt;"",INDEX(BDHK2,MATCH($A28,DiemHKII!$B$4:$B$58,0),INDEX($BG$14:$BK$27,MATCH(V$7,$BG$14:$BG$27,0),5)),""),"")</f>
        <v/>
      </c>
      <c r="Y28" s="46" t="str">
        <f>IF($A28&lt;&gt;"",IF(INDEX(BDHK2,MATCH($A28,DiemHKII!$B$4:$B$58,0),INDEX($BG$14:$BK$27,MATCH(Y$7,$BG$14:$BG$27,0),2))&lt;&gt;"",INDEX(BDHK2,MATCH($A28,DiemHKII!$B$4:$B$58,0),INDEX($BG$14:$BK$27,MATCH(Y$7,$BG$14:$BG$27,0),3)),""),"")</f>
        <v/>
      </c>
      <c r="Z28" s="47" t="str">
        <f>IF($A28&lt;&gt;"",IF(INDEX(BDHK2,MATCH($A28,DiemHKII!$B$4:$B$58,0),INDEX($BG$14:$BK$27,MATCH(Y$7,$BG$14:$BG$27,0),2))&lt;&gt;"",INDEX(BDHK2,MATCH($A28,DiemHKII!$B$4:$B$58,0),INDEX($BG$14:$BK$27,MATCH(Y$7,$BG$14:$BG$27,0),4)),""),"")</f>
        <v/>
      </c>
      <c r="AA28" s="48" t="str">
        <f>IF($A28&lt;&gt;"",IF(INDEX(BDHK2,MATCH($A28,DiemHKII!$B$4:$B$58,0),INDEX($BG$14:$BK$27,MATCH(Y$7,$BG$14:$BG$27,0),2))&lt;&gt;"",INDEX(BDHK2,MATCH($A28,DiemHKII!$B$4:$B$58,0),INDEX($BG$14:$BK$27,MATCH(Y$7,$BG$14:$BG$27,0),5)),""),"")</f>
        <v/>
      </c>
      <c r="AB28" s="46" t="str">
        <f>IF($A28&lt;&gt;"",IF(INDEX(BDHK2,MATCH($A28,DiemHKII!$B$4:$B$58,0),INDEX($BG$14:$BK$27,MATCH(AB$7,$BG$14:$BG$27,0),2))&lt;&gt;"",INDEX(BDHK2,MATCH($A28,DiemHKII!$B$4:$B$58,0),INDEX($BG$14:$BK$27,MATCH(AB$7,$BG$14:$BG$27,0),3)),""),"")</f>
        <v/>
      </c>
      <c r="AC28" s="47" t="str">
        <f>IF($A28&lt;&gt;"",IF(INDEX(BDHK2,MATCH($A28,DiemHKII!$B$4:$B$58,0),INDEX($BG$14:$BK$27,MATCH(AB$7,$BG$14:$BG$27,0),2))&lt;&gt;"",INDEX(BDHK2,MATCH($A28,DiemHKII!$B$4:$B$58,0),INDEX($BG$14:$BK$27,MATCH(AB$7,$BG$14:$BG$27,0),4)),""),"")</f>
        <v/>
      </c>
      <c r="AD28" s="48" t="str">
        <f>IF($A28&lt;&gt;"",IF(INDEX(BDHK2,MATCH($A28,DiemHKII!$B$4:$B$58,0),INDEX($BG$14:$BK$27,MATCH(AB$7,$BG$14:$BG$27,0),2))&lt;&gt;"",INDEX(BDHK2,MATCH($A28,DiemHKII!$B$4:$B$58,0),INDEX($BG$14:$BK$27,MATCH(AB$7,$BG$14:$BG$27,0),5)),""),"")</f>
        <v/>
      </c>
      <c r="AE28" s="46" t="str">
        <f>IF($A28&lt;&gt;"",IF(INDEX(BDHK2,MATCH($A28,DiemHKII!$B$4:$B$58,0),INDEX($BG$14:$BK$27,MATCH(AE$7,$BG$14:$BG$27,0),2))&lt;&gt;"",INDEX(BDHK2,MATCH($A28,DiemHKII!$B$4:$B$58,0),INDEX($BG$14:$BK$27,MATCH(AE$7,$BG$14:$BG$27,0),3)),""),"")</f>
        <v/>
      </c>
      <c r="AF28" s="47" t="str">
        <f>IF($A28&lt;&gt;"",IF(INDEX(BDHK2,MATCH($A28,DiemHKII!$B$4:$B$58,0),INDEX($BG$14:$BK$27,MATCH(AE$7,$BG$14:$BG$27,0),2))&lt;&gt;"",INDEX(BDHK2,MATCH($A28,DiemHKII!$B$4:$B$58,0),INDEX($BG$14:$BK$27,MATCH(AE$7,$BG$14:$BG$27,0),4)),""),"")</f>
        <v/>
      </c>
      <c r="AG28" s="48" t="str">
        <f>IF($A28&lt;&gt;"",IF(INDEX(BDHK2,MATCH($A28,DiemHKII!$B$4:$B$58,0),INDEX($BG$14:$BK$27,MATCH(AE$7,$BG$14:$BG$27,0),2))&lt;&gt;"",INDEX(BDHK2,MATCH($A28,DiemHKII!$B$4:$B$58,0),INDEX($BG$14:$BK$27,MATCH(AE$7,$BG$14:$BG$27,0),5)),""),"")</f>
        <v/>
      </c>
      <c r="AH28" s="46" t="str">
        <f>IF($A28&lt;&gt;"",IF(INDEX(BDHK2,MATCH($A28,DiemHKII!$B$4:$B$58,0),INDEX($BG$14:$BK$27,MATCH(AH$7,$BG$14:$BG$27,0),2))&lt;&gt;"",INDEX(BDHK2,MATCH($A28,DiemHKII!$B$4:$B$58,0),INDEX($BG$14:$BK$27,MATCH(AH$7,$BG$14:$BG$27,0),3)),""),"")</f>
        <v/>
      </c>
      <c r="AI28" s="47" t="str">
        <f>IF($A28&lt;&gt;"",IF(INDEX(BDHK2,MATCH($A28,DiemHKII!$B$4:$B$58,0),INDEX($BG$14:$BK$27,MATCH(AH$7,$BG$14:$BG$27,0),2))&lt;&gt;"",INDEX(BDHK2,MATCH($A28,DiemHKII!$B$4:$B$58,0),INDEX($BG$14:$BK$27,MATCH(AH$7,$BG$14:$BG$27,0),4)),""),"")</f>
        <v/>
      </c>
      <c r="AJ28" s="48" t="str">
        <f>IF($A28&lt;&gt;"",IF(INDEX(BDHK2,MATCH($A28,DiemHKII!$B$4:$B$58,0),INDEX($BG$14:$BK$27,MATCH(AH$7,$BG$14:$BG$27,0),2))&lt;&gt;"",INDEX(BDHK2,MATCH($A28,DiemHKII!$B$4:$B$58,0),INDEX($BG$14:$BK$27,MATCH(AH$7,$BG$14:$BG$27,0),5)),""),"")</f>
        <v/>
      </c>
      <c r="AK28" s="49" t="str">
        <f>IF($A28&lt;&gt;"",IF(INDEX(BDHK2,MATCH($A28,DiemHKII!$B$4:$B$58,0),INDEX($BG$14:$BK$27,MATCH(AK$7,$BG$14:$BG$27,0),2))&lt;&gt;"",INDEX(BDHK2,MATCH($A28,DiemHKII!$B$4:$B$58,0),INDEX($BG$14:$BK$27,MATCH(AK$7,$BG$14:$BG$27,0),3)),""),"")</f>
        <v/>
      </c>
      <c r="AL28" s="50" t="str">
        <f>IF($A28&lt;&gt;"",IF(INDEX(BDHK2,MATCH($A28,DiemHKII!$B$4:$B$58,0),INDEX($BG$14:$BK$27,MATCH(AK$7,$BG$14:$BG$27,0),2))&lt;&gt;"",INDEX(BDHK2,MATCH($A28,DiemHKII!$B$4:$B$58,0),INDEX($BG$14:$BK$27,MATCH(AK$7,$BG$14:$BG$27,0),4)),""),"")</f>
        <v/>
      </c>
      <c r="AM28" s="51" t="str">
        <f>IF($A28&lt;&gt;"",IF(INDEX(BDHK2,MATCH($A28,DiemHKII!$B$4:$B$58,0),INDEX($BG$14:$BK$27,MATCH(AK$7,$BG$14:$BG$27,0),2))&lt;&gt;"",INDEX(BDHK2,MATCH($A28,DiemHKII!$B$4:$B$58,0),INDEX($BG$14:$BK$27,MATCH(AK$7,$BG$14:$BG$27,0),5)),""),"")</f>
        <v/>
      </c>
      <c r="AN28" s="46" t="str">
        <f>IF($A28&lt;&gt;"",IF(INDEX(BDHK2,MATCH($A28,DiemHKII!$B$4:$B$58,0),INDEX($BG$14:$BK$27,MATCH(AN$7,$BG$14:$BG$27,0),2))&lt;&gt;"",INDEX(BDHK2,MATCH($A28,DiemHKII!$B$4:$B$58,0),INDEX($BG$14:$BK$27,MATCH(AN$7,$BG$14:$BG$27,0),3)),""),"")</f>
        <v/>
      </c>
      <c r="AO28" s="47" t="str">
        <f>IF($A28&lt;&gt;"",IF(INDEX(BDHK2,MATCH($A28,DiemHKII!$B$4:$B$58,0),INDEX($BG$14:$BK$27,MATCH(AN$7,$BG$14:$BG$27,0),2))&lt;&gt;"",INDEX(BDHK2,MATCH($A28,DiemHKII!$B$4:$B$58,0),INDEX($BG$14:$BK$27,MATCH(AN$7,$BG$14:$BG$27,0),4)),""),"")</f>
        <v/>
      </c>
      <c r="AP28" s="48" t="str">
        <f>IF($A28&lt;&gt;"",IF(INDEX(BDHK2,MATCH($A28,DiemHKII!$B$4:$B$58,0),INDEX($BG$14:$BK$27,MATCH(AN$7,$BG$14:$BG$27,0),2))&lt;&gt;"",INDEX(BDHK2,MATCH($A28,DiemHKII!$B$4:$B$58,0),INDEX($BG$14:$BK$27,MATCH(AN$7,$BG$14:$BG$27,0),5)),""),"")</f>
        <v/>
      </c>
      <c r="AQ28" s="46" t="str">
        <f>IF($A28&lt;&gt;"",IF(INDEX(BDHK2,MATCH($A28,DiemHKII!$B$4:$B$58,0),INDEX($BG$14:$BK$27,MATCH(AQ$7,$BG$14:$BG$27,0),2))&lt;&gt;"",INDEX(BDHK2,MATCH($A28,DiemHKII!$B$4:$B$58,0),INDEX($BG$14:$BK$27,MATCH(AQ$7,$BG$14:$BG$27,0),3)),""),"")</f>
        <v/>
      </c>
      <c r="AR28" s="47" t="str">
        <f>IF($A28&lt;&gt;"",IF(INDEX(BDHK2,MATCH($A28,DiemHKII!$B$4:$B$58,0),INDEX($BG$14:$BK$27,MATCH(AQ$7,$BG$14:$BG$27,0),2))&lt;&gt;"",INDEX(BDHK2,MATCH($A28,DiemHKII!$B$4:$B$58,0),INDEX($BG$14:$BK$27,MATCH(AQ$7,$BG$14:$BG$27,0),4)),""),"")</f>
        <v/>
      </c>
      <c r="AS28" s="48" t="str">
        <f>IF($A28&lt;&gt;"",IF(INDEX(BDHK2,MATCH($A28,DiemHKII!$B$4:$B$58,0),INDEX($BG$14:$BK$27,MATCH(AQ$7,$BG$14:$BG$27,0),2))&lt;&gt;"",INDEX(BDHK2,MATCH($A28,DiemHKII!$B$4:$B$58,0),INDEX($BG$14:$BK$27,MATCH(AQ$7,$BG$14:$BG$27,0),5)),""),"")</f>
        <v/>
      </c>
      <c r="AT28" s="46">
        <f>IFERROR(IF($A28&gt;=1,IF(INDEX(THHKI!$V$8:$Y$62,MATCH($BL28,THHKI!$AG$8:$AG$62,0),1)&lt;&gt;"",INDEX(THHKI!$V$8:$Y$62,MATCH($BL28,THHKI!$AG$8:$AG$62,0),1),""),""),"")</f>
        <v>9</v>
      </c>
      <c r="AU28" s="47" t="str">
        <f>IF($A28&gt;=1,IF(INDEX(THHKII!$V$8:$Y$62,MATCH($BL28,THHKII!$AG$8:$AG$62,0),1)&lt;&gt;"",INDEX(THHKII!$V$8:$Y$62,MATCH($BL28,THHKII!$AG$8:$AG$62,0),1),""),"")</f>
        <v/>
      </c>
      <c r="AV28" s="52" t="str">
        <f>IF($A28&gt;=1,IF(INDEX(THCN!$V$8:$Y$62,MATCH($BL28,THCN!$AG$8:$AG$62,0),1)&lt;&gt;"",INDEX(THCN!$V$8:$Y$62,MATCH($BL28,THCN!$AG$8:$AG$62,0),1),""),"")</f>
        <v/>
      </c>
      <c r="AW28" s="53" t="str">
        <f>IFERROR(IF($A28&gt;=1,IF(INDEX(THHKI!$V$8:$Y$62,MATCH($BL28,THHKI!$AG$8:$AG$62,0),2)&lt;&gt;"",INDEX(THHKI!$V$8:$Y$62,MATCH($BL28,THHKI!$AG$8:$AG$62,0),2),""),""),"")</f>
        <v>Giỏi</v>
      </c>
      <c r="AX28" s="50" t="str">
        <f>IF($A28&gt;=1,IF(INDEX(THHKII!$V$8:$Y$62,MATCH($BL28,THHKII!$AG$8:$AG$62,0),2)&lt;&gt;"",INDEX(THHKII!$V$8:$Y$62,MATCH($BL28,THHKII!$AG$8:$AG$62,0),2),""),"")</f>
        <v/>
      </c>
      <c r="AY28" s="54" t="str">
        <f>IF($A28&gt;=1,IF(INDEX(THCN!$V$8:$Y$62,MATCH($BL28,THCN!$AG$8:$AG$62,0),2)&lt;&gt;"",INDEX(THCN!$V$8:$Y$62,MATCH($BL28,THCN!$AG$8:$AG$62,0),2),""),"")</f>
        <v/>
      </c>
      <c r="AZ28" s="49" t="str">
        <f>IFERROR(IF($A28&gt;=1,IF(INDEX(THHKI!$V$8:$Y$62,MATCH($BL28,THHKI!$AG$8:$AG$62,0),3)&lt;&gt;"",INDEX(THHKI!$V$8:$Y$62,MATCH($BL28,THHKI!$AG$8:$AG$62,0),3),""),""),"")</f>
        <v>Tốt</v>
      </c>
      <c r="BA28" s="50" t="str">
        <f>IF($A28&gt;=1,IF(INDEX(THHKII!$V$8:$Y$62,MATCH($BL28,THHKII!$AG$8:$AG$62,0),3)&lt;&gt;"",INDEX(THHKII!$V$8:$Y$62,MATCH($BL28,THHKII!$AG$8:$AG$62,0),3),""),"")</f>
        <v/>
      </c>
      <c r="BB28" s="55" t="str">
        <f>IF($A28&gt;=1,IF(INDEX(THCN!$V$8:$Y$62,MATCH($BL28,THCN!$AG$8:$AG$62,0),3)&lt;&gt;"",INDEX(THCN!$V$8:$Y$62,MATCH($BL28,THCN!$AG$8:$AG$62,0),3),""),"")</f>
        <v/>
      </c>
      <c r="BC28" s="56" t="str">
        <f>IF($A28&gt;=1,IF(INDEX(THCN!$V$8:$Y$62,MATCH($BL28,THCN!$AG$8:$AG$62,0),4)&lt;&gt;"",INDEX(THCN!$V$8:$Y$62,MATCH($BL28,THCN!$AG$8:$AG$62,0),4),""),"")</f>
        <v/>
      </c>
      <c r="BE28" s="43" t="str">
        <f>IFERROR(IF($A28&gt;=1,IF(INDEX(THHKI!$V$8:$Y$62,MATCH($BL28,THHKI!$AG$8:$AG$62,0),4)&lt;&gt;"",INDEX(THHKI!$V$8:$Y$62,MATCH($BL28,THHKI!$AG$8:$AG$62,0),4),""),""),"")</f>
        <v>HSG</v>
      </c>
      <c r="BF28" s="56" t="str">
        <f>IF($A28&gt;=1,IF(INDEX(THHKII!$V$8:$Y$62,MATCH($BL28,THHKII!$AG$8:$AG$62,0),4)&lt;&gt;"",INDEX(THHKII!$V$8:$Y$62,MATCH($BL28,THHKII!$AG$8:$AG$62,0),4),""),"")</f>
        <v/>
      </c>
      <c r="BL28" s="30" t="str">
        <f>IF($A28&lt;&gt;"",INDEX(DiemHKII!$B$4:$K$58,MATCH($A28,DiemHKII!$B$4:$B$58,0),2),"")</f>
        <v>12A1Nguyễn PhúcLâm02/04/2004</v>
      </c>
    </row>
    <row r="29" spans="1:64" s="30" customFormat="1" ht="29.1" customHeight="1">
      <c r="A29" s="16">
        <f>IF(A28&lt;MAX(DiemHKII!$B$4:$B$58),A28+1,"")</f>
        <v>21</v>
      </c>
      <c r="B29" s="17" t="str">
        <f>IF($A29&lt;&gt;"",PROPER(INDEX(DiemHKII!$B$4:$K$58,MATCH($A29,DiemHKII!$B$4:$B$58,0),4)),"")</f>
        <v>Phạm Tấn</v>
      </c>
      <c r="C29" s="18" t="str">
        <f>IF($A29&lt;&gt;"",PROPER(INDEX(DiemHKII!$B$4:$K$58,MATCH($A29,DiemHKII!$B$4:$B$58,0),5)),"")</f>
        <v>Lộc</v>
      </c>
      <c r="D29" s="19" t="str">
        <f>IF($A29&lt;&gt;"",IF(INDEX(BDHK2,MATCH($A29,DiemHKII!$B$4:$B$58,0),INDEX($BG$14:$BK$27,MATCH(D$7,$BG$14:$BG$27,0),2))&lt;&gt;"",INDEX(BDHK2,MATCH($A29,DiemHKII!$B$4:$B$58,0),INDEX($BG$14:$BK$27,MATCH(D$7,$BG$14:$BG$27,0),3)),""),"")</f>
        <v/>
      </c>
      <c r="E29" s="20" t="str">
        <f>IF($A29&lt;&gt;"",IF(INDEX(BDHK2,MATCH($A29,DiemHKII!$B$4:$B$58,0),INDEX($BG$14:$BK$27,MATCH(D$7,$BG$14:$BG$27,0),2))&lt;&gt;"",INDEX(BDHK2,MATCH($A29,DiemHKII!$B$4:$B$58,0),INDEX($BG$14:$BK$27,MATCH(D$7,$BG$14:$BG$27,0),4)),""),"")</f>
        <v/>
      </c>
      <c r="F29" s="21" t="str">
        <f>IF($A29&lt;&gt;"",IF(INDEX(BDHK2,MATCH($A29,DiemHKII!$B$4:$B$58,0),INDEX($BG$14:$BK$27,MATCH(D$7,$BG$14:$BG$27,0),2))&lt;&gt;"",INDEX(BDHK2,MATCH($A29,DiemHKII!$B$4:$B$58,0),INDEX($BG$14:$BK$27,MATCH(D$7,$BG$14:$BG$27,0),5)),""),"")</f>
        <v/>
      </c>
      <c r="G29" s="19" t="str">
        <f>IF($A29&lt;&gt;"",IF(INDEX(BDHK2,MATCH($A29,DiemHKII!$B$4:$B$58,0),INDEX($BG$14:$BK$27,MATCH(G$7,$BG$14:$BG$27,0),2))&lt;&gt;"",INDEX(BDHK2,MATCH($A29,DiemHKII!$B$4:$B$58,0),INDEX($BG$14:$BK$27,MATCH(G$7,$BG$14:$BG$27,0),3)),""),"")</f>
        <v/>
      </c>
      <c r="H29" s="20" t="str">
        <f>IF($A29&lt;&gt;"",IF(INDEX(BDHK2,MATCH($A29,DiemHKII!$B$4:$B$58,0),INDEX($BG$14:$BK$27,MATCH(G$7,$BG$14:$BG$27,0),2))&lt;&gt;"",INDEX(BDHK2,MATCH($A29,DiemHKII!$B$4:$B$58,0),INDEX($BG$14:$BK$27,MATCH(G$7,$BG$14:$BG$27,0),4)),""),"")</f>
        <v/>
      </c>
      <c r="I29" s="21" t="str">
        <f>IF($A29&lt;&gt;"",IF(INDEX(BDHK2,MATCH($A29,DiemHKII!$B$4:$B$58,0),INDEX($BG$14:$BK$27,MATCH(G$7,$BG$14:$BG$27,0),2))&lt;&gt;"",INDEX(BDHK2,MATCH($A29,DiemHKII!$B$4:$B$58,0),INDEX($BG$14:$BK$27,MATCH(G$7,$BG$14:$BG$27,0),5)),""),"")</f>
        <v/>
      </c>
      <c r="J29" s="19" t="str">
        <f>IF($A29&lt;&gt;"",IF(INDEX(BDHK2,MATCH($A29,DiemHKII!$B$4:$B$58,0),INDEX($BG$14:$BK$27,MATCH(J$7,$BG$14:$BG$27,0),2))&lt;&gt;"",INDEX(BDHK2,MATCH($A29,DiemHKII!$B$4:$B$58,0),INDEX($BG$14:$BK$27,MATCH(J$7,$BG$14:$BG$27,0),3)),""),"")</f>
        <v/>
      </c>
      <c r="K29" s="20" t="str">
        <f>IF($A29&lt;&gt;"",IF(INDEX(BDHK2,MATCH($A29,DiemHKII!$B$4:$B$58,0),INDEX($BG$14:$BK$27,MATCH(J$7,$BG$14:$BG$27,0),2))&lt;&gt;"",INDEX(BDHK2,MATCH($A29,DiemHKII!$B$4:$B$58,0),INDEX($BG$14:$BK$27,MATCH(J$7,$BG$14:$BG$27,0),4)),""),"")</f>
        <v/>
      </c>
      <c r="L29" s="21" t="str">
        <f>IF($A29&lt;&gt;"",IF(INDEX(BDHK2,MATCH($A29,DiemHKII!$B$4:$B$58,0),INDEX($BG$14:$BK$27,MATCH(J$7,$BG$14:$BG$27,0),2))&lt;&gt;"",INDEX(BDHK2,MATCH($A29,DiemHKII!$B$4:$B$58,0),INDEX($BG$14:$BK$27,MATCH(J$7,$BG$14:$BG$27,0),5)),""),"")</f>
        <v/>
      </c>
      <c r="M29" s="19" t="str">
        <f>IF($A29&lt;&gt;"",IF(INDEX(BDHK2,MATCH($A29,DiemHKII!$B$4:$B$58,0),INDEX($BG$14:$BK$27,MATCH(M$7,$BG$14:$BG$27,0),2))&lt;&gt;"",INDEX(BDHK2,MATCH($A29,DiemHKII!$B$4:$B$58,0),INDEX($BG$14:$BK$27,MATCH(M$7,$BG$14:$BG$27,0),3)),""),"")</f>
        <v/>
      </c>
      <c r="N29" s="20" t="str">
        <f>IF($A29&lt;&gt;"",IF(INDEX(BDHK2,MATCH($A29,DiemHKII!$B$4:$B$58,0),INDEX($BG$14:$BK$27,MATCH(M$7,$BG$14:$BG$27,0),2))&lt;&gt;"",INDEX(BDHK2,MATCH($A29,DiemHKII!$B$4:$B$58,0),INDEX($BG$14:$BK$27,MATCH(M$7,$BG$14:$BG$27,0),4)),""),"")</f>
        <v/>
      </c>
      <c r="O29" s="21" t="str">
        <f>IF($A29&lt;&gt;"",IF(INDEX(BDHK2,MATCH($A29,DiemHKII!$B$4:$B$58,0),INDEX($BG$14:$BK$27,MATCH(M$7,$BG$14:$BG$27,0),2))&lt;&gt;"",INDEX(BDHK2,MATCH($A29,DiemHKII!$B$4:$B$58,0),INDEX($BG$14:$BK$27,MATCH(M$7,$BG$14:$BG$27,0),5)),""),"")</f>
        <v/>
      </c>
      <c r="P29" s="19" t="str">
        <f>IF($A29&lt;&gt;"",IF(INDEX(BDHK2,MATCH($A29,DiemHKII!$B$4:$B$58,0),INDEX($BG$14:$BK$27,MATCH(P$7,$BG$14:$BG$27,0),2))&lt;&gt;"",INDEX(BDHK2,MATCH($A29,DiemHKII!$B$4:$B$58,0),INDEX($BG$14:$BK$27,MATCH(P$7,$BG$14:$BG$27,0),3)),""),"")</f>
        <v/>
      </c>
      <c r="Q29" s="20" t="str">
        <f>IF($A29&lt;&gt;"",IF(INDEX(BDHK2,MATCH($A29,DiemHKII!$B$4:$B$58,0),INDEX($BG$14:$BK$27,MATCH(P$7,$BG$14:$BG$27,0),2))&lt;&gt;"",INDEX(BDHK2,MATCH($A29,DiemHKII!$B$4:$B$58,0),INDEX($BG$14:$BK$27,MATCH(P$7,$BG$14:$BG$27,0),4)),""),"")</f>
        <v/>
      </c>
      <c r="R29" s="21" t="str">
        <f>IF($A29&lt;&gt;"",IF(INDEX(BDHK2,MATCH($A29,DiemHKII!$B$4:$B$58,0),INDEX($BG$14:$BK$27,MATCH(P$7,$BG$14:$BG$27,0),2))&lt;&gt;"",INDEX(BDHK2,MATCH($A29,DiemHKII!$B$4:$B$58,0),INDEX($BG$14:$BK$27,MATCH(P$7,$BG$14:$BG$27,0),5)),""),"")</f>
        <v/>
      </c>
      <c r="S29" s="19" t="str">
        <f>IF($A29&lt;&gt;"",IF(INDEX(BDHK2,MATCH($A29,DiemHKII!$B$4:$B$58,0),INDEX($BG$14:$BK$27,MATCH(S$7,$BG$14:$BG$27,0),2))&lt;&gt;"",INDEX(BDHK2,MATCH($A29,DiemHKII!$B$4:$B$58,0),INDEX($BG$14:$BK$27,MATCH(S$7,$BG$14:$BG$27,0),3)),""),"")</f>
        <v/>
      </c>
      <c r="T29" s="20" t="str">
        <f>IF($A29&lt;&gt;"",IF(INDEX(BDHK2,MATCH($A29,DiemHKII!$B$4:$B$58,0),INDEX($BG$14:$BK$27,MATCH(S$7,$BG$14:$BG$27,0),2))&lt;&gt;"",INDEX(BDHK2,MATCH($A29,DiemHKII!$B$4:$B$58,0),INDEX($BG$14:$BK$27,MATCH(S$7,$BG$14:$BG$27,0),4)),""),"")</f>
        <v/>
      </c>
      <c r="U29" s="21" t="str">
        <f>IF($A29&lt;&gt;"",IF(INDEX(BDHK2,MATCH($A29,DiemHKII!$B$4:$B$58,0),INDEX($BG$14:$BK$27,MATCH(S$7,$BG$14:$BG$27,0),2))&lt;&gt;"",INDEX(BDHK2,MATCH($A29,DiemHKII!$B$4:$B$58,0),INDEX($BG$14:$BK$27,MATCH(S$7,$BG$14:$BG$27,0),5)),""),"")</f>
        <v/>
      </c>
      <c r="V29" s="19" t="str">
        <f>IF($A29&lt;&gt;"",IF(INDEX(BDHK2,MATCH($A29,DiemHKII!$B$4:$B$58,0),INDEX($BG$14:$BK$27,MATCH(V$7,$BG$14:$BG$27,0),2))&lt;&gt;"",INDEX(BDHK2,MATCH($A29,DiemHKII!$B$4:$B$58,0),INDEX($BG$14:$BK$27,MATCH(V$7,$BG$14:$BG$27,0),3)),""),"")</f>
        <v/>
      </c>
      <c r="W29" s="20" t="str">
        <f>IF($A29&lt;&gt;"",IF(INDEX(BDHK2,MATCH($A29,DiemHKII!$B$4:$B$58,0),INDEX($BG$14:$BK$27,MATCH(V$7,$BG$14:$BG$27,0),2))&lt;&gt;"",INDEX(BDHK2,MATCH($A29,DiemHKII!$B$4:$B$58,0),INDEX($BG$14:$BK$27,MATCH(V$7,$BG$14:$BG$27,0),4)),""),"")</f>
        <v/>
      </c>
      <c r="X29" s="21" t="str">
        <f>IF($A29&lt;&gt;"",IF(INDEX(BDHK2,MATCH($A29,DiemHKII!$B$4:$B$58,0),INDEX($BG$14:$BK$27,MATCH(V$7,$BG$14:$BG$27,0),2))&lt;&gt;"",INDEX(BDHK2,MATCH($A29,DiemHKII!$B$4:$B$58,0),INDEX($BG$14:$BK$27,MATCH(V$7,$BG$14:$BG$27,0),5)),""),"")</f>
        <v/>
      </c>
      <c r="Y29" s="19" t="str">
        <f>IF($A29&lt;&gt;"",IF(INDEX(BDHK2,MATCH($A29,DiemHKII!$B$4:$B$58,0),INDEX($BG$14:$BK$27,MATCH(Y$7,$BG$14:$BG$27,0),2))&lt;&gt;"",INDEX(BDHK2,MATCH($A29,DiemHKII!$B$4:$B$58,0),INDEX($BG$14:$BK$27,MATCH(Y$7,$BG$14:$BG$27,0),3)),""),"")</f>
        <v/>
      </c>
      <c r="Z29" s="20" t="str">
        <f>IF($A29&lt;&gt;"",IF(INDEX(BDHK2,MATCH($A29,DiemHKII!$B$4:$B$58,0),INDEX($BG$14:$BK$27,MATCH(Y$7,$BG$14:$BG$27,0),2))&lt;&gt;"",INDEX(BDHK2,MATCH($A29,DiemHKII!$B$4:$B$58,0),INDEX($BG$14:$BK$27,MATCH(Y$7,$BG$14:$BG$27,0),4)),""),"")</f>
        <v/>
      </c>
      <c r="AA29" s="21" t="str">
        <f>IF($A29&lt;&gt;"",IF(INDEX(BDHK2,MATCH($A29,DiemHKII!$B$4:$B$58,0),INDEX($BG$14:$BK$27,MATCH(Y$7,$BG$14:$BG$27,0),2))&lt;&gt;"",INDEX(BDHK2,MATCH($A29,DiemHKII!$B$4:$B$58,0),INDEX($BG$14:$BK$27,MATCH(Y$7,$BG$14:$BG$27,0),5)),""),"")</f>
        <v/>
      </c>
      <c r="AB29" s="19" t="str">
        <f>IF($A29&lt;&gt;"",IF(INDEX(BDHK2,MATCH($A29,DiemHKII!$B$4:$B$58,0),INDEX($BG$14:$BK$27,MATCH(AB$7,$BG$14:$BG$27,0),2))&lt;&gt;"",INDEX(BDHK2,MATCH($A29,DiemHKII!$B$4:$B$58,0),INDEX($BG$14:$BK$27,MATCH(AB$7,$BG$14:$BG$27,0),3)),""),"")</f>
        <v/>
      </c>
      <c r="AC29" s="20" t="str">
        <f>IF($A29&lt;&gt;"",IF(INDEX(BDHK2,MATCH($A29,DiemHKII!$B$4:$B$58,0),INDEX($BG$14:$BK$27,MATCH(AB$7,$BG$14:$BG$27,0),2))&lt;&gt;"",INDEX(BDHK2,MATCH($A29,DiemHKII!$B$4:$B$58,0),INDEX($BG$14:$BK$27,MATCH(AB$7,$BG$14:$BG$27,0),4)),""),"")</f>
        <v/>
      </c>
      <c r="AD29" s="21" t="str">
        <f>IF($A29&lt;&gt;"",IF(INDEX(BDHK2,MATCH($A29,DiemHKII!$B$4:$B$58,0),INDEX($BG$14:$BK$27,MATCH(AB$7,$BG$14:$BG$27,0),2))&lt;&gt;"",INDEX(BDHK2,MATCH($A29,DiemHKII!$B$4:$B$58,0),INDEX($BG$14:$BK$27,MATCH(AB$7,$BG$14:$BG$27,0),5)),""),"")</f>
        <v/>
      </c>
      <c r="AE29" s="19" t="str">
        <f>IF($A29&lt;&gt;"",IF(INDEX(BDHK2,MATCH($A29,DiemHKII!$B$4:$B$58,0),INDEX($BG$14:$BK$27,MATCH(AE$7,$BG$14:$BG$27,0),2))&lt;&gt;"",INDEX(BDHK2,MATCH($A29,DiemHKII!$B$4:$B$58,0),INDEX($BG$14:$BK$27,MATCH(AE$7,$BG$14:$BG$27,0),3)),""),"")</f>
        <v/>
      </c>
      <c r="AF29" s="20" t="str">
        <f>IF($A29&lt;&gt;"",IF(INDEX(BDHK2,MATCH($A29,DiemHKII!$B$4:$B$58,0),INDEX($BG$14:$BK$27,MATCH(AE$7,$BG$14:$BG$27,0),2))&lt;&gt;"",INDEX(BDHK2,MATCH($A29,DiemHKII!$B$4:$B$58,0),INDEX($BG$14:$BK$27,MATCH(AE$7,$BG$14:$BG$27,0),4)),""),"")</f>
        <v/>
      </c>
      <c r="AG29" s="21" t="str">
        <f>IF($A29&lt;&gt;"",IF(INDEX(BDHK2,MATCH($A29,DiemHKII!$B$4:$B$58,0),INDEX($BG$14:$BK$27,MATCH(AE$7,$BG$14:$BG$27,0),2))&lt;&gt;"",INDEX(BDHK2,MATCH($A29,DiemHKII!$B$4:$B$58,0),INDEX($BG$14:$BK$27,MATCH(AE$7,$BG$14:$BG$27,0),5)),""),"")</f>
        <v/>
      </c>
      <c r="AH29" s="19" t="str">
        <f>IF($A29&lt;&gt;"",IF(INDEX(BDHK2,MATCH($A29,DiemHKII!$B$4:$B$58,0),INDEX($BG$14:$BK$27,MATCH(AH$7,$BG$14:$BG$27,0),2))&lt;&gt;"",INDEX(BDHK2,MATCH($A29,DiemHKII!$B$4:$B$58,0),INDEX($BG$14:$BK$27,MATCH(AH$7,$BG$14:$BG$27,0),3)),""),"")</f>
        <v/>
      </c>
      <c r="AI29" s="20" t="str">
        <f>IF($A29&lt;&gt;"",IF(INDEX(BDHK2,MATCH($A29,DiemHKII!$B$4:$B$58,0),INDEX($BG$14:$BK$27,MATCH(AH$7,$BG$14:$BG$27,0),2))&lt;&gt;"",INDEX(BDHK2,MATCH($A29,DiemHKII!$B$4:$B$58,0),INDEX($BG$14:$BK$27,MATCH(AH$7,$BG$14:$BG$27,0),4)),""),"")</f>
        <v/>
      </c>
      <c r="AJ29" s="21" t="str">
        <f>IF($A29&lt;&gt;"",IF(INDEX(BDHK2,MATCH($A29,DiemHKII!$B$4:$B$58,0),INDEX($BG$14:$BK$27,MATCH(AH$7,$BG$14:$BG$27,0),2))&lt;&gt;"",INDEX(BDHK2,MATCH($A29,DiemHKII!$B$4:$B$58,0),INDEX($BG$14:$BK$27,MATCH(AH$7,$BG$14:$BG$27,0),5)),""),"")</f>
        <v/>
      </c>
      <c r="AK29" s="22" t="str">
        <f>IF($A29&lt;&gt;"",IF(INDEX(BDHK2,MATCH($A29,DiemHKII!$B$4:$B$58,0),INDEX($BG$14:$BK$27,MATCH(AK$7,$BG$14:$BG$27,0),2))&lt;&gt;"",INDEX(BDHK2,MATCH($A29,DiemHKII!$B$4:$B$58,0),INDEX($BG$14:$BK$27,MATCH(AK$7,$BG$14:$BG$27,0),3)),""),"")</f>
        <v/>
      </c>
      <c r="AL29" s="23" t="str">
        <f>IF($A29&lt;&gt;"",IF(INDEX(BDHK2,MATCH($A29,DiemHKII!$B$4:$B$58,0),INDEX($BG$14:$BK$27,MATCH(AK$7,$BG$14:$BG$27,0),2))&lt;&gt;"",INDEX(BDHK2,MATCH($A29,DiemHKII!$B$4:$B$58,0),INDEX($BG$14:$BK$27,MATCH(AK$7,$BG$14:$BG$27,0),4)),""),"")</f>
        <v/>
      </c>
      <c r="AM29" s="24" t="str">
        <f>IF($A29&lt;&gt;"",IF(INDEX(BDHK2,MATCH($A29,DiemHKII!$B$4:$B$58,0),INDEX($BG$14:$BK$27,MATCH(AK$7,$BG$14:$BG$27,0),2))&lt;&gt;"",INDEX(BDHK2,MATCH($A29,DiemHKII!$B$4:$B$58,0),INDEX($BG$14:$BK$27,MATCH(AK$7,$BG$14:$BG$27,0),5)),""),"")</f>
        <v/>
      </c>
      <c r="AN29" s="19" t="str">
        <f>IF($A29&lt;&gt;"",IF(INDEX(BDHK2,MATCH($A29,DiemHKII!$B$4:$B$58,0),INDEX($BG$14:$BK$27,MATCH(AN$7,$BG$14:$BG$27,0),2))&lt;&gt;"",INDEX(BDHK2,MATCH($A29,DiemHKII!$B$4:$B$58,0),INDEX($BG$14:$BK$27,MATCH(AN$7,$BG$14:$BG$27,0),3)),""),"")</f>
        <v/>
      </c>
      <c r="AO29" s="20" t="str">
        <f>IF($A29&lt;&gt;"",IF(INDEX(BDHK2,MATCH($A29,DiemHKII!$B$4:$B$58,0),INDEX($BG$14:$BK$27,MATCH(AN$7,$BG$14:$BG$27,0),2))&lt;&gt;"",INDEX(BDHK2,MATCH($A29,DiemHKII!$B$4:$B$58,0),INDEX($BG$14:$BK$27,MATCH(AN$7,$BG$14:$BG$27,0),4)),""),"")</f>
        <v/>
      </c>
      <c r="AP29" s="21" t="str">
        <f>IF($A29&lt;&gt;"",IF(INDEX(BDHK2,MATCH($A29,DiemHKII!$B$4:$B$58,0),INDEX($BG$14:$BK$27,MATCH(AN$7,$BG$14:$BG$27,0),2))&lt;&gt;"",INDEX(BDHK2,MATCH($A29,DiemHKII!$B$4:$B$58,0),INDEX($BG$14:$BK$27,MATCH(AN$7,$BG$14:$BG$27,0),5)),""),"")</f>
        <v/>
      </c>
      <c r="AQ29" s="19" t="str">
        <f>IF($A29&lt;&gt;"",IF(INDEX(BDHK2,MATCH($A29,DiemHKII!$B$4:$B$58,0),INDEX($BG$14:$BK$27,MATCH(AQ$7,$BG$14:$BG$27,0),2))&lt;&gt;"",INDEX(BDHK2,MATCH($A29,DiemHKII!$B$4:$B$58,0),INDEX($BG$14:$BK$27,MATCH(AQ$7,$BG$14:$BG$27,0),3)),""),"")</f>
        <v/>
      </c>
      <c r="AR29" s="20" t="str">
        <f>IF($A29&lt;&gt;"",IF(INDEX(BDHK2,MATCH($A29,DiemHKII!$B$4:$B$58,0),INDEX($BG$14:$BK$27,MATCH(AQ$7,$BG$14:$BG$27,0),2))&lt;&gt;"",INDEX(BDHK2,MATCH($A29,DiemHKII!$B$4:$B$58,0),INDEX($BG$14:$BK$27,MATCH(AQ$7,$BG$14:$BG$27,0),4)),""),"")</f>
        <v/>
      </c>
      <c r="AS29" s="21" t="str">
        <f>IF($A29&lt;&gt;"",IF(INDEX(BDHK2,MATCH($A29,DiemHKII!$B$4:$B$58,0),INDEX($BG$14:$BK$27,MATCH(AQ$7,$BG$14:$BG$27,0),2))&lt;&gt;"",INDEX(BDHK2,MATCH($A29,DiemHKII!$B$4:$B$58,0),INDEX($BG$14:$BK$27,MATCH(AQ$7,$BG$14:$BG$27,0),5)),""),"")</f>
        <v/>
      </c>
      <c r="AT29" s="19">
        <f>IFERROR(IF($A29&gt;=1,IF(INDEX(THHKI!$V$8:$Y$62,MATCH($BL29,THHKI!$AG$8:$AG$62,0),1)&lt;&gt;"",INDEX(THHKI!$V$8:$Y$62,MATCH($BL29,THHKI!$AG$8:$AG$62,0),1),""),""),"")</f>
        <v>9.1999999999999993</v>
      </c>
      <c r="AU29" s="20" t="str">
        <f>IF($A29&gt;=1,IF(INDEX(THHKII!$V$8:$Y$62,MATCH($BL29,THHKII!$AG$8:$AG$62,0),1)&lt;&gt;"",INDEX(THHKII!$V$8:$Y$62,MATCH($BL29,THHKII!$AG$8:$AG$62,0),1),""),"")</f>
        <v/>
      </c>
      <c r="AV29" s="25" t="str">
        <f>IF($A29&gt;=1,IF(INDEX(THCN!$V$8:$Y$62,MATCH($BL29,THCN!$AG$8:$AG$62,0),1)&lt;&gt;"",INDEX(THCN!$V$8:$Y$62,MATCH($BL29,THCN!$AG$8:$AG$62,0),1),""),"")</f>
        <v/>
      </c>
      <c r="AW29" s="26" t="str">
        <f>IFERROR(IF($A29&gt;=1,IF(INDEX(THHKI!$V$8:$Y$62,MATCH($BL29,THHKI!$AG$8:$AG$62,0),2)&lt;&gt;"",INDEX(THHKI!$V$8:$Y$62,MATCH($BL29,THHKI!$AG$8:$AG$62,0),2),""),""),"")</f>
        <v>Giỏi</v>
      </c>
      <c r="AX29" s="23" t="str">
        <f>IF($A29&gt;=1,IF(INDEX(THHKII!$V$8:$Y$62,MATCH($BL29,THHKII!$AG$8:$AG$62,0),2)&lt;&gt;"",INDEX(THHKII!$V$8:$Y$62,MATCH($BL29,THHKII!$AG$8:$AG$62,0),2),""),"")</f>
        <v/>
      </c>
      <c r="AY29" s="27" t="str">
        <f>IF($A29&gt;=1,IF(INDEX(THCN!$V$8:$Y$62,MATCH($BL29,THCN!$AG$8:$AG$62,0),2)&lt;&gt;"",INDEX(THCN!$V$8:$Y$62,MATCH($BL29,THCN!$AG$8:$AG$62,0),2),""),"")</f>
        <v/>
      </c>
      <c r="AZ29" s="22" t="str">
        <f>IFERROR(IF($A29&gt;=1,IF(INDEX(THHKI!$V$8:$Y$62,MATCH($BL29,THHKI!$AG$8:$AG$62,0),3)&lt;&gt;"",INDEX(THHKI!$V$8:$Y$62,MATCH($BL29,THHKI!$AG$8:$AG$62,0),3),""),""),"")</f>
        <v>Tốt</v>
      </c>
      <c r="BA29" s="23" t="str">
        <f>IF($A29&gt;=1,IF(INDEX(THHKII!$V$8:$Y$62,MATCH($BL29,THHKII!$AG$8:$AG$62,0),3)&lt;&gt;"",INDEX(THHKII!$V$8:$Y$62,MATCH($BL29,THHKII!$AG$8:$AG$62,0),3),""),"")</f>
        <v/>
      </c>
      <c r="BB29" s="28" t="str">
        <f>IF($A29&gt;=1,IF(INDEX(THCN!$V$8:$Y$62,MATCH($BL29,THCN!$AG$8:$AG$62,0),3)&lt;&gt;"",INDEX(THCN!$V$8:$Y$62,MATCH($BL29,THCN!$AG$8:$AG$62,0),3),""),"")</f>
        <v/>
      </c>
      <c r="BC29" s="29" t="str">
        <f>IF($A29&gt;=1,IF(INDEX(THCN!$V$8:$Y$62,MATCH($BL29,THCN!$AG$8:$AG$62,0),4)&lt;&gt;"",INDEX(THCN!$V$8:$Y$62,MATCH($BL29,THCN!$AG$8:$AG$62,0),4),""),"")</f>
        <v/>
      </c>
      <c r="BE29" s="16" t="str">
        <f>IFERROR(IF($A29&gt;=1,IF(INDEX(THHKI!$V$8:$Y$62,MATCH($BL29,THHKI!$AG$8:$AG$62,0),4)&lt;&gt;"",INDEX(THHKI!$V$8:$Y$62,MATCH($BL29,THHKI!$AG$8:$AG$62,0),4),""),""),"")</f>
        <v>HSG</v>
      </c>
      <c r="BF29" s="29" t="str">
        <f>IF($A29&gt;=1,IF(INDEX(THHKII!$V$8:$Y$62,MATCH($BL29,THHKII!$AG$8:$AG$62,0),4)&lt;&gt;"",INDEX(THHKII!$V$8:$Y$62,MATCH($BL29,THHKII!$AG$8:$AG$62,0),4),""),"")</f>
        <v/>
      </c>
      <c r="BL29" s="30" t="str">
        <f>IF($A29&lt;&gt;"",INDEX(DiemHKII!$B$4:$K$58,MATCH($A29,DiemHKII!$B$4:$B$58,0),2),"")</f>
        <v>12A1Phạm TấnLộc05/07/2004</v>
      </c>
    </row>
    <row r="30" spans="1:64" s="30" customFormat="1" ht="29.1" customHeight="1">
      <c r="A30" s="31">
        <f>IF(A29&lt;MAX(DiemHKII!$B$4:$B$58),A29+1,"")</f>
        <v>22</v>
      </c>
      <c r="B30" s="32" t="str">
        <f>IF($A30&lt;&gt;"",PROPER(INDEX(DiemHKII!$B$4:$K$58,MATCH($A30,DiemHKII!$B$4:$B$58,0),4)),"")</f>
        <v xml:space="preserve">Phạm Thị Khả </v>
      </c>
      <c r="C30" s="33" t="str">
        <f>IF($A30&lt;&gt;"",PROPER(INDEX(DiemHKII!$B$4:$K$58,MATCH($A30,DiemHKII!$B$4:$B$58,0),5)),"")</f>
        <v>My</v>
      </c>
      <c r="D30" s="34" t="str">
        <f>IF($A30&lt;&gt;"",IF(INDEX(BDHK2,MATCH($A30,DiemHKII!$B$4:$B$58,0),INDEX($BG$14:$BK$27,MATCH(D$7,$BG$14:$BG$27,0),2))&lt;&gt;"",INDEX(BDHK2,MATCH($A30,DiemHKII!$B$4:$B$58,0),INDEX($BG$14:$BK$27,MATCH(D$7,$BG$14:$BG$27,0),3)),""),"")</f>
        <v/>
      </c>
      <c r="E30" s="35" t="str">
        <f>IF($A30&lt;&gt;"",IF(INDEX(BDHK2,MATCH($A30,DiemHKII!$B$4:$B$58,0),INDEX($BG$14:$BK$27,MATCH(D$7,$BG$14:$BG$27,0),2))&lt;&gt;"",INDEX(BDHK2,MATCH($A30,DiemHKII!$B$4:$B$58,0),INDEX($BG$14:$BK$27,MATCH(D$7,$BG$14:$BG$27,0),4)),""),"")</f>
        <v/>
      </c>
      <c r="F30" s="36" t="str">
        <f>IF($A30&lt;&gt;"",IF(INDEX(BDHK2,MATCH($A30,DiemHKII!$B$4:$B$58,0),INDEX($BG$14:$BK$27,MATCH(D$7,$BG$14:$BG$27,0),2))&lt;&gt;"",INDEX(BDHK2,MATCH($A30,DiemHKII!$B$4:$B$58,0),INDEX($BG$14:$BK$27,MATCH(D$7,$BG$14:$BG$27,0),5)),""),"")</f>
        <v/>
      </c>
      <c r="G30" s="34" t="str">
        <f>IF($A30&lt;&gt;"",IF(INDEX(BDHK2,MATCH($A30,DiemHKII!$B$4:$B$58,0),INDEX($BG$14:$BK$27,MATCH(G$7,$BG$14:$BG$27,0),2))&lt;&gt;"",INDEX(BDHK2,MATCH($A30,DiemHKII!$B$4:$B$58,0),INDEX($BG$14:$BK$27,MATCH(G$7,$BG$14:$BG$27,0),3)),""),"")</f>
        <v/>
      </c>
      <c r="H30" s="35" t="str">
        <f>IF($A30&lt;&gt;"",IF(INDEX(BDHK2,MATCH($A30,DiemHKII!$B$4:$B$58,0),INDEX($BG$14:$BK$27,MATCH(G$7,$BG$14:$BG$27,0),2))&lt;&gt;"",INDEX(BDHK2,MATCH($A30,DiemHKII!$B$4:$B$58,0),INDEX($BG$14:$BK$27,MATCH(G$7,$BG$14:$BG$27,0),4)),""),"")</f>
        <v/>
      </c>
      <c r="I30" s="36" t="str">
        <f>IF($A30&lt;&gt;"",IF(INDEX(BDHK2,MATCH($A30,DiemHKII!$B$4:$B$58,0),INDEX($BG$14:$BK$27,MATCH(G$7,$BG$14:$BG$27,0),2))&lt;&gt;"",INDEX(BDHK2,MATCH($A30,DiemHKII!$B$4:$B$58,0),INDEX($BG$14:$BK$27,MATCH(G$7,$BG$14:$BG$27,0),5)),""),"")</f>
        <v/>
      </c>
      <c r="J30" s="34" t="str">
        <f>IF($A30&lt;&gt;"",IF(INDEX(BDHK2,MATCH($A30,DiemHKII!$B$4:$B$58,0),INDEX($BG$14:$BK$27,MATCH(J$7,$BG$14:$BG$27,0),2))&lt;&gt;"",INDEX(BDHK2,MATCH($A30,DiemHKII!$B$4:$B$58,0),INDEX($BG$14:$BK$27,MATCH(J$7,$BG$14:$BG$27,0),3)),""),"")</f>
        <v/>
      </c>
      <c r="K30" s="35" t="str">
        <f>IF($A30&lt;&gt;"",IF(INDEX(BDHK2,MATCH($A30,DiemHKII!$B$4:$B$58,0),INDEX($BG$14:$BK$27,MATCH(J$7,$BG$14:$BG$27,0),2))&lt;&gt;"",INDEX(BDHK2,MATCH($A30,DiemHKII!$B$4:$B$58,0),INDEX($BG$14:$BK$27,MATCH(J$7,$BG$14:$BG$27,0),4)),""),"")</f>
        <v/>
      </c>
      <c r="L30" s="36" t="str">
        <f>IF($A30&lt;&gt;"",IF(INDEX(BDHK2,MATCH($A30,DiemHKII!$B$4:$B$58,0),INDEX($BG$14:$BK$27,MATCH(J$7,$BG$14:$BG$27,0),2))&lt;&gt;"",INDEX(BDHK2,MATCH($A30,DiemHKII!$B$4:$B$58,0),INDEX($BG$14:$BK$27,MATCH(J$7,$BG$14:$BG$27,0),5)),""),"")</f>
        <v/>
      </c>
      <c r="M30" s="34" t="str">
        <f>IF($A30&lt;&gt;"",IF(INDEX(BDHK2,MATCH($A30,DiemHKII!$B$4:$B$58,0),INDEX($BG$14:$BK$27,MATCH(M$7,$BG$14:$BG$27,0),2))&lt;&gt;"",INDEX(BDHK2,MATCH($A30,DiemHKII!$B$4:$B$58,0),INDEX($BG$14:$BK$27,MATCH(M$7,$BG$14:$BG$27,0),3)),""),"")</f>
        <v/>
      </c>
      <c r="N30" s="35" t="str">
        <f>IF($A30&lt;&gt;"",IF(INDEX(BDHK2,MATCH($A30,DiemHKII!$B$4:$B$58,0),INDEX($BG$14:$BK$27,MATCH(M$7,$BG$14:$BG$27,0),2))&lt;&gt;"",INDEX(BDHK2,MATCH($A30,DiemHKII!$B$4:$B$58,0),INDEX($BG$14:$BK$27,MATCH(M$7,$BG$14:$BG$27,0),4)),""),"")</f>
        <v/>
      </c>
      <c r="O30" s="36" t="str">
        <f>IF($A30&lt;&gt;"",IF(INDEX(BDHK2,MATCH($A30,DiemHKII!$B$4:$B$58,0),INDEX($BG$14:$BK$27,MATCH(M$7,$BG$14:$BG$27,0),2))&lt;&gt;"",INDEX(BDHK2,MATCH($A30,DiemHKII!$B$4:$B$58,0),INDEX($BG$14:$BK$27,MATCH(M$7,$BG$14:$BG$27,0),5)),""),"")</f>
        <v/>
      </c>
      <c r="P30" s="34" t="str">
        <f>IF($A30&lt;&gt;"",IF(INDEX(BDHK2,MATCH($A30,DiemHKII!$B$4:$B$58,0),INDEX($BG$14:$BK$27,MATCH(P$7,$BG$14:$BG$27,0),2))&lt;&gt;"",INDEX(BDHK2,MATCH($A30,DiemHKII!$B$4:$B$58,0),INDEX($BG$14:$BK$27,MATCH(P$7,$BG$14:$BG$27,0),3)),""),"")</f>
        <v/>
      </c>
      <c r="Q30" s="35" t="str">
        <f>IF($A30&lt;&gt;"",IF(INDEX(BDHK2,MATCH($A30,DiemHKII!$B$4:$B$58,0),INDEX($BG$14:$BK$27,MATCH(P$7,$BG$14:$BG$27,0),2))&lt;&gt;"",INDEX(BDHK2,MATCH($A30,DiemHKII!$B$4:$B$58,0),INDEX($BG$14:$BK$27,MATCH(P$7,$BG$14:$BG$27,0),4)),""),"")</f>
        <v/>
      </c>
      <c r="R30" s="36" t="str">
        <f>IF($A30&lt;&gt;"",IF(INDEX(BDHK2,MATCH($A30,DiemHKII!$B$4:$B$58,0),INDEX($BG$14:$BK$27,MATCH(P$7,$BG$14:$BG$27,0),2))&lt;&gt;"",INDEX(BDHK2,MATCH($A30,DiemHKII!$B$4:$B$58,0),INDEX($BG$14:$BK$27,MATCH(P$7,$BG$14:$BG$27,0),5)),""),"")</f>
        <v/>
      </c>
      <c r="S30" s="34" t="str">
        <f>IF($A30&lt;&gt;"",IF(INDEX(BDHK2,MATCH($A30,DiemHKII!$B$4:$B$58,0),INDEX($BG$14:$BK$27,MATCH(S$7,$BG$14:$BG$27,0),2))&lt;&gt;"",INDEX(BDHK2,MATCH($A30,DiemHKII!$B$4:$B$58,0),INDEX($BG$14:$BK$27,MATCH(S$7,$BG$14:$BG$27,0),3)),""),"")</f>
        <v/>
      </c>
      <c r="T30" s="35" t="str">
        <f>IF($A30&lt;&gt;"",IF(INDEX(BDHK2,MATCH($A30,DiemHKII!$B$4:$B$58,0),INDEX($BG$14:$BK$27,MATCH(S$7,$BG$14:$BG$27,0),2))&lt;&gt;"",INDEX(BDHK2,MATCH($A30,DiemHKII!$B$4:$B$58,0),INDEX($BG$14:$BK$27,MATCH(S$7,$BG$14:$BG$27,0),4)),""),"")</f>
        <v/>
      </c>
      <c r="U30" s="36" t="str">
        <f>IF($A30&lt;&gt;"",IF(INDEX(BDHK2,MATCH($A30,DiemHKII!$B$4:$B$58,0),INDEX($BG$14:$BK$27,MATCH(S$7,$BG$14:$BG$27,0),2))&lt;&gt;"",INDEX(BDHK2,MATCH($A30,DiemHKII!$B$4:$B$58,0),INDEX($BG$14:$BK$27,MATCH(S$7,$BG$14:$BG$27,0),5)),""),"")</f>
        <v/>
      </c>
      <c r="V30" s="34" t="str">
        <f>IF($A30&lt;&gt;"",IF(INDEX(BDHK2,MATCH($A30,DiemHKII!$B$4:$B$58,0),INDEX($BG$14:$BK$27,MATCH(V$7,$BG$14:$BG$27,0),2))&lt;&gt;"",INDEX(BDHK2,MATCH($A30,DiemHKII!$B$4:$B$58,0),INDEX($BG$14:$BK$27,MATCH(V$7,$BG$14:$BG$27,0),3)),""),"")</f>
        <v/>
      </c>
      <c r="W30" s="35" t="str">
        <f>IF($A30&lt;&gt;"",IF(INDEX(BDHK2,MATCH($A30,DiemHKII!$B$4:$B$58,0),INDEX($BG$14:$BK$27,MATCH(V$7,$BG$14:$BG$27,0),2))&lt;&gt;"",INDEX(BDHK2,MATCH($A30,DiemHKII!$B$4:$B$58,0),INDEX($BG$14:$BK$27,MATCH(V$7,$BG$14:$BG$27,0),4)),""),"")</f>
        <v/>
      </c>
      <c r="X30" s="36" t="str">
        <f>IF($A30&lt;&gt;"",IF(INDEX(BDHK2,MATCH($A30,DiemHKII!$B$4:$B$58,0),INDEX($BG$14:$BK$27,MATCH(V$7,$BG$14:$BG$27,0),2))&lt;&gt;"",INDEX(BDHK2,MATCH($A30,DiemHKII!$B$4:$B$58,0),INDEX($BG$14:$BK$27,MATCH(V$7,$BG$14:$BG$27,0),5)),""),"")</f>
        <v/>
      </c>
      <c r="Y30" s="34" t="str">
        <f>IF($A30&lt;&gt;"",IF(INDEX(BDHK2,MATCH($A30,DiemHKII!$B$4:$B$58,0),INDEX($BG$14:$BK$27,MATCH(Y$7,$BG$14:$BG$27,0),2))&lt;&gt;"",INDEX(BDHK2,MATCH($A30,DiemHKII!$B$4:$B$58,0),INDEX($BG$14:$BK$27,MATCH(Y$7,$BG$14:$BG$27,0),3)),""),"")</f>
        <v/>
      </c>
      <c r="Z30" s="35" t="str">
        <f>IF($A30&lt;&gt;"",IF(INDEX(BDHK2,MATCH($A30,DiemHKII!$B$4:$B$58,0),INDEX($BG$14:$BK$27,MATCH(Y$7,$BG$14:$BG$27,0),2))&lt;&gt;"",INDEX(BDHK2,MATCH($A30,DiemHKII!$B$4:$B$58,0),INDEX($BG$14:$BK$27,MATCH(Y$7,$BG$14:$BG$27,0),4)),""),"")</f>
        <v/>
      </c>
      <c r="AA30" s="36" t="str">
        <f>IF($A30&lt;&gt;"",IF(INDEX(BDHK2,MATCH($A30,DiemHKII!$B$4:$B$58,0),INDEX($BG$14:$BK$27,MATCH(Y$7,$BG$14:$BG$27,0),2))&lt;&gt;"",INDEX(BDHK2,MATCH($A30,DiemHKII!$B$4:$B$58,0),INDEX($BG$14:$BK$27,MATCH(Y$7,$BG$14:$BG$27,0),5)),""),"")</f>
        <v/>
      </c>
      <c r="AB30" s="34" t="str">
        <f>IF($A30&lt;&gt;"",IF(INDEX(BDHK2,MATCH($A30,DiemHKII!$B$4:$B$58,0),INDEX($BG$14:$BK$27,MATCH(AB$7,$BG$14:$BG$27,0),2))&lt;&gt;"",INDEX(BDHK2,MATCH($A30,DiemHKII!$B$4:$B$58,0),INDEX($BG$14:$BK$27,MATCH(AB$7,$BG$14:$BG$27,0),3)),""),"")</f>
        <v/>
      </c>
      <c r="AC30" s="35" t="str">
        <f>IF($A30&lt;&gt;"",IF(INDEX(BDHK2,MATCH($A30,DiemHKII!$B$4:$B$58,0),INDEX($BG$14:$BK$27,MATCH(AB$7,$BG$14:$BG$27,0),2))&lt;&gt;"",INDEX(BDHK2,MATCH($A30,DiemHKII!$B$4:$B$58,0),INDEX($BG$14:$BK$27,MATCH(AB$7,$BG$14:$BG$27,0),4)),""),"")</f>
        <v/>
      </c>
      <c r="AD30" s="36" t="str">
        <f>IF($A30&lt;&gt;"",IF(INDEX(BDHK2,MATCH($A30,DiemHKII!$B$4:$B$58,0),INDEX($BG$14:$BK$27,MATCH(AB$7,$BG$14:$BG$27,0),2))&lt;&gt;"",INDEX(BDHK2,MATCH($A30,DiemHKII!$B$4:$B$58,0),INDEX($BG$14:$BK$27,MATCH(AB$7,$BG$14:$BG$27,0),5)),""),"")</f>
        <v/>
      </c>
      <c r="AE30" s="34" t="str">
        <f>IF($A30&lt;&gt;"",IF(INDEX(BDHK2,MATCH($A30,DiemHKII!$B$4:$B$58,0),INDEX($BG$14:$BK$27,MATCH(AE$7,$BG$14:$BG$27,0),2))&lt;&gt;"",INDEX(BDHK2,MATCH($A30,DiemHKII!$B$4:$B$58,0),INDEX($BG$14:$BK$27,MATCH(AE$7,$BG$14:$BG$27,0),3)),""),"")</f>
        <v/>
      </c>
      <c r="AF30" s="35" t="str">
        <f>IF($A30&lt;&gt;"",IF(INDEX(BDHK2,MATCH($A30,DiemHKII!$B$4:$B$58,0),INDEX($BG$14:$BK$27,MATCH(AE$7,$BG$14:$BG$27,0),2))&lt;&gt;"",INDEX(BDHK2,MATCH($A30,DiemHKII!$B$4:$B$58,0),INDEX($BG$14:$BK$27,MATCH(AE$7,$BG$14:$BG$27,0),4)),""),"")</f>
        <v/>
      </c>
      <c r="AG30" s="36" t="str">
        <f>IF($A30&lt;&gt;"",IF(INDEX(BDHK2,MATCH($A30,DiemHKII!$B$4:$B$58,0),INDEX($BG$14:$BK$27,MATCH(AE$7,$BG$14:$BG$27,0),2))&lt;&gt;"",INDEX(BDHK2,MATCH($A30,DiemHKII!$B$4:$B$58,0),INDEX($BG$14:$BK$27,MATCH(AE$7,$BG$14:$BG$27,0),5)),""),"")</f>
        <v/>
      </c>
      <c r="AH30" s="34" t="str">
        <f>IF($A30&lt;&gt;"",IF(INDEX(BDHK2,MATCH($A30,DiemHKII!$B$4:$B$58,0),INDEX($BG$14:$BK$27,MATCH(AH$7,$BG$14:$BG$27,0),2))&lt;&gt;"",INDEX(BDHK2,MATCH($A30,DiemHKII!$B$4:$B$58,0),INDEX($BG$14:$BK$27,MATCH(AH$7,$BG$14:$BG$27,0),3)),""),"")</f>
        <v/>
      </c>
      <c r="AI30" s="35" t="str">
        <f>IF($A30&lt;&gt;"",IF(INDEX(BDHK2,MATCH($A30,DiemHKII!$B$4:$B$58,0),INDEX($BG$14:$BK$27,MATCH(AH$7,$BG$14:$BG$27,0),2))&lt;&gt;"",INDEX(BDHK2,MATCH($A30,DiemHKII!$B$4:$B$58,0),INDEX($BG$14:$BK$27,MATCH(AH$7,$BG$14:$BG$27,0),4)),""),"")</f>
        <v/>
      </c>
      <c r="AJ30" s="36" t="str">
        <f>IF($A30&lt;&gt;"",IF(INDEX(BDHK2,MATCH($A30,DiemHKII!$B$4:$B$58,0),INDEX($BG$14:$BK$27,MATCH(AH$7,$BG$14:$BG$27,0),2))&lt;&gt;"",INDEX(BDHK2,MATCH($A30,DiemHKII!$B$4:$B$58,0),INDEX($BG$14:$BK$27,MATCH(AH$7,$BG$14:$BG$27,0),5)),""),"")</f>
        <v/>
      </c>
      <c r="AK30" s="37" t="str">
        <f>IF($A30&lt;&gt;"",IF(INDEX(BDHK2,MATCH($A30,DiemHKII!$B$4:$B$58,0),INDEX($BG$14:$BK$27,MATCH(AK$7,$BG$14:$BG$27,0),2))&lt;&gt;"",INDEX(BDHK2,MATCH($A30,DiemHKII!$B$4:$B$58,0),INDEX($BG$14:$BK$27,MATCH(AK$7,$BG$14:$BG$27,0),3)),""),"")</f>
        <v/>
      </c>
      <c r="AL30" s="8" t="str">
        <f>IF($A30&lt;&gt;"",IF(INDEX(BDHK2,MATCH($A30,DiemHKII!$B$4:$B$58,0),INDEX($BG$14:$BK$27,MATCH(AK$7,$BG$14:$BG$27,0),2))&lt;&gt;"",INDEX(BDHK2,MATCH($A30,DiemHKII!$B$4:$B$58,0),INDEX($BG$14:$BK$27,MATCH(AK$7,$BG$14:$BG$27,0),4)),""),"")</f>
        <v/>
      </c>
      <c r="AM30" s="38" t="str">
        <f>IF($A30&lt;&gt;"",IF(INDEX(BDHK2,MATCH($A30,DiemHKII!$B$4:$B$58,0),INDEX($BG$14:$BK$27,MATCH(AK$7,$BG$14:$BG$27,0),2))&lt;&gt;"",INDEX(BDHK2,MATCH($A30,DiemHKII!$B$4:$B$58,0),INDEX($BG$14:$BK$27,MATCH(AK$7,$BG$14:$BG$27,0),5)),""),"")</f>
        <v/>
      </c>
      <c r="AN30" s="34" t="str">
        <f>IF($A30&lt;&gt;"",IF(INDEX(BDHK2,MATCH($A30,DiemHKII!$B$4:$B$58,0),INDEX($BG$14:$BK$27,MATCH(AN$7,$BG$14:$BG$27,0),2))&lt;&gt;"",INDEX(BDHK2,MATCH($A30,DiemHKII!$B$4:$B$58,0),INDEX($BG$14:$BK$27,MATCH(AN$7,$BG$14:$BG$27,0),3)),""),"")</f>
        <v/>
      </c>
      <c r="AO30" s="35" t="str">
        <f>IF($A30&lt;&gt;"",IF(INDEX(BDHK2,MATCH($A30,DiemHKII!$B$4:$B$58,0),INDEX($BG$14:$BK$27,MATCH(AN$7,$BG$14:$BG$27,0),2))&lt;&gt;"",INDEX(BDHK2,MATCH($A30,DiemHKII!$B$4:$B$58,0),INDEX($BG$14:$BK$27,MATCH(AN$7,$BG$14:$BG$27,0),4)),""),"")</f>
        <v/>
      </c>
      <c r="AP30" s="36" t="str">
        <f>IF($A30&lt;&gt;"",IF(INDEX(BDHK2,MATCH($A30,DiemHKII!$B$4:$B$58,0),INDEX($BG$14:$BK$27,MATCH(AN$7,$BG$14:$BG$27,0),2))&lt;&gt;"",INDEX(BDHK2,MATCH($A30,DiemHKII!$B$4:$B$58,0),INDEX($BG$14:$BK$27,MATCH(AN$7,$BG$14:$BG$27,0),5)),""),"")</f>
        <v/>
      </c>
      <c r="AQ30" s="34" t="str">
        <f>IF($A30&lt;&gt;"",IF(INDEX(BDHK2,MATCH($A30,DiemHKII!$B$4:$B$58,0),INDEX($BG$14:$BK$27,MATCH(AQ$7,$BG$14:$BG$27,0),2))&lt;&gt;"",INDEX(BDHK2,MATCH($A30,DiemHKII!$B$4:$B$58,0),INDEX($BG$14:$BK$27,MATCH(AQ$7,$BG$14:$BG$27,0),3)),""),"")</f>
        <v/>
      </c>
      <c r="AR30" s="35" t="str">
        <f>IF($A30&lt;&gt;"",IF(INDEX(BDHK2,MATCH($A30,DiemHKII!$B$4:$B$58,0),INDEX($BG$14:$BK$27,MATCH(AQ$7,$BG$14:$BG$27,0),2))&lt;&gt;"",INDEX(BDHK2,MATCH($A30,DiemHKII!$B$4:$B$58,0),INDEX($BG$14:$BK$27,MATCH(AQ$7,$BG$14:$BG$27,0),4)),""),"")</f>
        <v/>
      </c>
      <c r="AS30" s="36" t="str">
        <f>IF($A30&lt;&gt;"",IF(INDEX(BDHK2,MATCH($A30,DiemHKII!$B$4:$B$58,0),INDEX($BG$14:$BK$27,MATCH(AQ$7,$BG$14:$BG$27,0),2))&lt;&gt;"",INDEX(BDHK2,MATCH($A30,DiemHKII!$B$4:$B$58,0),INDEX($BG$14:$BK$27,MATCH(AQ$7,$BG$14:$BG$27,0),5)),""),"")</f>
        <v/>
      </c>
      <c r="AT30" s="34">
        <f>IFERROR(IF($A30&gt;=1,IF(INDEX(THHKI!$V$8:$Y$62,MATCH($BL30,THHKI!$AG$8:$AG$62,0),1)&lt;&gt;"",INDEX(THHKI!$V$8:$Y$62,MATCH($BL30,THHKI!$AG$8:$AG$62,0),1),""),""),"")</f>
        <v>9.4</v>
      </c>
      <c r="AU30" s="35" t="str">
        <f>IF($A30&gt;=1,IF(INDEX(THHKII!$V$8:$Y$62,MATCH($BL30,THHKII!$AG$8:$AG$62,0),1)&lt;&gt;"",INDEX(THHKII!$V$8:$Y$62,MATCH($BL30,THHKII!$AG$8:$AG$62,0),1),""),"")</f>
        <v/>
      </c>
      <c r="AV30" s="39" t="str">
        <f>IF($A30&gt;=1,IF(INDEX(THCN!$V$8:$Y$62,MATCH($BL30,THCN!$AG$8:$AG$62,0),1)&lt;&gt;"",INDEX(THCN!$V$8:$Y$62,MATCH($BL30,THCN!$AG$8:$AG$62,0),1),""),"")</f>
        <v/>
      </c>
      <c r="AW30" s="40" t="str">
        <f>IFERROR(IF($A30&gt;=1,IF(INDEX(THHKI!$V$8:$Y$62,MATCH($BL30,THHKI!$AG$8:$AG$62,0),2)&lt;&gt;"",INDEX(THHKI!$V$8:$Y$62,MATCH($BL30,THHKI!$AG$8:$AG$62,0),2),""),""),"")</f>
        <v>Giỏi</v>
      </c>
      <c r="AX30" s="8" t="str">
        <f>IF($A30&gt;=1,IF(INDEX(THHKII!$V$8:$Y$62,MATCH($BL30,THHKII!$AG$8:$AG$62,0),2)&lt;&gt;"",INDEX(THHKII!$V$8:$Y$62,MATCH($BL30,THHKII!$AG$8:$AG$62,0),2),""),"")</f>
        <v/>
      </c>
      <c r="AY30" s="467" t="str">
        <f>IF($A30&gt;=1,IF(INDEX(THCN!$V$8:$Y$62,MATCH($BL30,THCN!$AG$8:$AG$62,0),2)&lt;&gt;"",INDEX(THCN!$V$8:$Y$62,MATCH($BL30,THCN!$AG$8:$AG$62,0),2),""),"")</f>
        <v/>
      </c>
      <c r="AZ30" s="37" t="str">
        <f>IFERROR(IF($A30&gt;=1,IF(INDEX(THHKI!$V$8:$Y$62,MATCH($BL30,THHKI!$AG$8:$AG$62,0),3)&lt;&gt;"",INDEX(THHKI!$V$8:$Y$62,MATCH($BL30,THHKI!$AG$8:$AG$62,0),3),""),""),"")</f>
        <v>Tốt</v>
      </c>
      <c r="BA30" s="8" t="str">
        <f>IF($A30&gt;=1,IF(INDEX(THHKII!$V$8:$Y$62,MATCH($BL30,THHKII!$AG$8:$AG$62,0),3)&lt;&gt;"",INDEX(THHKII!$V$8:$Y$62,MATCH($BL30,THHKII!$AG$8:$AG$62,0),3),""),"")</f>
        <v/>
      </c>
      <c r="BB30" s="41" t="str">
        <f>IF($A30&gt;=1,IF(INDEX(THCN!$V$8:$Y$62,MATCH($BL30,THCN!$AG$8:$AG$62,0),3)&lt;&gt;"",INDEX(THCN!$V$8:$Y$62,MATCH($BL30,THCN!$AG$8:$AG$62,0),3),""),"")</f>
        <v/>
      </c>
      <c r="BC30" s="42" t="str">
        <f>IF($A30&gt;=1,IF(INDEX(THCN!$V$8:$Y$62,MATCH($BL30,THCN!$AG$8:$AG$62,0),4)&lt;&gt;"",INDEX(THCN!$V$8:$Y$62,MATCH($BL30,THCN!$AG$8:$AG$62,0),4),""),"")</f>
        <v/>
      </c>
      <c r="BE30" s="31" t="str">
        <f>IFERROR(IF($A30&gt;=1,IF(INDEX(THHKI!$V$8:$Y$62,MATCH($BL30,THHKI!$AG$8:$AG$62,0),4)&lt;&gt;"",INDEX(THHKI!$V$8:$Y$62,MATCH($BL30,THHKI!$AG$8:$AG$62,0),4),""),""),"")</f>
        <v>HSG</v>
      </c>
      <c r="BF30" s="42" t="str">
        <f>IF($A30&gt;=1,IF(INDEX(THHKII!$V$8:$Y$62,MATCH($BL30,THHKII!$AG$8:$AG$62,0),4)&lt;&gt;"",INDEX(THHKII!$V$8:$Y$62,MATCH($BL30,THHKII!$AG$8:$AG$62,0),4),""),"")</f>
        <v/>
      </c>
      <c r="BL30" s="30" t="str">
        <f>IF($A30&lt;&gt;"",INDEX(DiemHKII!$B$4:$K$58,MATCH($A30,DiemHKII!$B$4:$B$58,0),2),"")</f>
        <v>12A1Phạm Thị KhảMy28/02/2004</v>
      </c>
    </row>
    <row r="31" spans="1:64" s="30" customFormat="1" ht="29.1" customHeight="1">
      <c r="A31" s="31">
        <f>IF(A30&lt;MAX(DiemHKII!$B$4:$B$58),A30+1,"")</f>
        <v>23</v>
      </c>
      <c r="B31" s="32" t="str">
        <f>IF($A31&lt;&gt;"",PROPER(INDEX(DiemHKII!$B$4:$K$58,MATCH($A31,DiemHKII!$B$4:$B$58,0),4)),"")</f>
        <v>Lê</v>
      </c>
      <c r="C31" s="33" t="str">
        <f>IF($A31&lt;&gt;"",PROPER(INDEX(DiemHKII!$B$4:$K$58,MATCH($A31,DiemHKII!$B$4:$B$58,0),5)),"")</f>
        <v>Na</v>
      </c>
      <c r="D31" s="34" t="str">
        <f>IF($A31&lt;&gt;"",IF(INDEX(BDHK2,MATCH($A31,DiemHKII!$B$4:$B$58,0),INDEX($BG$14:$BK$27,MATCH(D$7,$BG$14:$BG$27,0),2))&lt;&gt;"",INDEX(BDHK2,MATCH($A31,DiemHKII!$B$4:$B$58,0),INDEX($BG$14:$BK$27,MATCH(D$7,$BG$14:$BG$27,0),3)),""),"")</f>
        <v/>
      </c>
      <c r="E31" s="35" t="str">
        <f>IF($A31&lt;&gt;"",IF(INDEX(BDHK2,MATCH($A31,DiemHKII!$B$4:$B$58,0),INDEX($BG$14:$BK$27,MATCH(D$7,$BG$14:$BG$27,0),2))&lt;&gt;"",INDEX(BDHK2,MATCH($A31,DiemHKII!$B$4:$B$58,0),INDEX($BG$14:$BK$27,MATCH(D$7,$BG$14:$BG$27,0),4)),""),"")</f>
        <v/>
      </c>
      <c r="F31" s="36" t="str">
        <f>IF($A31&lt;&gt;"",IF(INDEX(BDHK2,MATCH($A31,DiemHKII!$B$4:$B$58,0),INDEX($BG$14:$BK$27,MATCH(D$7,$BG$14:$BG$27,0),2))&lt;&gt;"",INDEX(BDHK2,MATCH($A31,DiemHKII!$B$4:$B$58,0),INDEX($BG$14:$BK$27,MATCH(D$7,$BG$14:$BG$27,0),5)),""),"")</f>
        <v/>
      </c>
      <c r="G31" s="34" t="str">
        <f>IF($A31&lt;&gt;"",IF(INDEX(BDHK2,MATCH($A31,DiemHKII!$B$4:$B$58,0),INDEX($BG$14:$BK$27,MATCH(G$7,$BG$14:$BG$27,0),2))&lt;&gt;"",INDEX(BDHK2,MATCH($A31,DiemHKII!$B$4:$B$58,0),INDEX($BG$14:$BK$27,MATCH(G$7,$BG$14:$BG$27,0),3)),""),"")</f>
        <v/>
      </c>
      <c r="H31" s="35" t="str">
        <f>IF($A31&lt;&gt;"",IF(INDEX(BDHK2,MATCH($A31,DiemHKII!$B$4:$B$58,0),INDEX($BG$14:$BK$27,MATCH(G$7,$BG$14:$BG$27,0),2))&lt;&gt;"",INDEX(BDHK2,MATCH($A31,DiemHKII!$B$4:$B$58,0),INDEX($BG$14:$BK$27,MATCH(G$7,$BG$14:$BG$27,0),4)),""),"")</f>
        <v/>
      </c>
      <c r="I31" s="36" t="str">
        <f>IF($A31&lt;&gt;"",IF(INDEX(BDHK2,MATCH($A31,DiemHKII!$B$4:$B$58,0),INDEX($BG$14:$BK$27,MATCH(G$7,$BG$14:$BG$27,0),2))&lt;&gt;"",INDEX(BDHK2,MATCH($A31,DiemHKII!$B$4:$B$58,0),INDEX($BG$14:$BK$27,MATCH(G$7,$BG$14:$BG$27,0),5)),""),"")</f>
        <v/>
      </c>
      <c r="J31" s="34" t="str">
        <f>IF($A31&lt;&gt;"",IF(INDEX(BDHK2,MATCH($A31,DiemHKII!$B$4:$B$58,0),INDEX($BG$14:$BK$27,MATCH(J$7,$BG$14:$BG$27,0),2))&lt;&gt;"",INDEX(BDHK2,MATCH($A31,DiemHKII!$B$4:$B$58,0),INDEX($BG$14:$BK$27,MATCH(J$7,$BG$14:$BG$27,0),3)),""),"")</f>
        <v/>
      </c>
      <c r="K31" s="35" t="str">
        <f>IF($A31&lt;&gt;"",IF(INDEX(BDHK2,MATCH($A31,DiemHKII!$B$4:$B$58,0),INDEX($BG$14:$BK$27,MATCH(J$7,$BG$14:$BG$27,0),2))&lt;&gt;"",INDEX(BDHK2,MATCH($A31,DiemHKII!$B$4:$B$58,0),INDEX($BG$14:$BK$27,MATCH(J$7,$BG$14:$BG$27,0),4)),""),"")</f>
        <v/>
      </c>
      <c r="L31" s="36" t="str">
        <f>IF($A31&lt;&gt;"",IF(INDEX(BDHK2,MATCH($A31,DiemHKII!$B$4:$B$58,0),INDEX($BG$14:$BK$27,MATCH(J$7,$BG$14:$BG$27,0),2))&lt;&gt;"",INDEX(BDHK2,MATCH($A31,DiemHKII!$B$4:$B$58,0),INDEX($BG$14:$BK$27,MATCH(J$7,$BG$14:$BG$27,0),5)),""),"")</f>
        <v/>
      </c>
      <c r="M31" s="34" t="str">
        <f>IF($A31&lt;&gt;"",IF(INDEX(BDHK2,MATCH($A31,DiemHKII!$B$4:$B$58,0),INDEX($BG$14:$BK$27,MATCH(M$7,$BG$14:$BG$27,0),2))&lt;&gt;"",INDEX(BDHK2,MATCH($A31,DiemHKII!$B$4:$B$58,0),INDEX($BG$14:$BK$27,MATCH(M$7,$BG$14:$BG$27,0),3)),""),"")</f>
        <v/>
      </c>
      <c r="N31" s="35" t="str">
        <f>IF($A31&lt;&gt;"",IF(INDEX(BDHK2,MATCH($A31,DiemHKII!$B$4:$B$58,0),INDEX($BG$14:$BK$27,MATCH(M$7,$BG$14:$BG$27,0),2))&lt;&gt;"",INDEX(BDHK2,MATCH($A31,DiemHKII!$B$4:$B$58,0),INDEX($BG$14:$BK$27,MATCH(M$7,$BG$14:$BG$27,0),4)),""),"")</f>
        <v/>
      </c>
      <c r="O31" s="36" t="str">
        <f>IF($A31&lt;&gt;"",IF(INDEX(BDHK2,MATCH($A31,DiemHKII!$B$4:$B$58,0),INDEX($BG$14:$BK$27,MATCH(M$7,$BG$14:$BG$27,0),2))&lt;&gt;"",INDEX(BDHK2,MATCH($A31,DiemHKII!$B$4:$B$58,0),INDEX($BG$14:$BK$27,MATCH(M$7,$BG$14:$BG$27,0),5)),""),"")</f>
        <v/>
      </c>
      <c r="P31" s="34" t="str">
        <f>IF($A31&lt;&gt;"",IF(INDEX(BDHK2,MATCH($A31,DiemHKII!$B$4:$B$58,0),INDEX($BG$14:$BK$27,MATCH(P$7,$BG$14:$BG$27,0),2))&lt;&gt;"",INDEX(BDHK2,MATCH($A31,DiemHKII!$B$4:$B$58,0),INDEX($BG$14:$BK$27,MATCH(P$7,$BG$14:$BG$27,0),3)),""),"")</f>
        <v/>
      </c>
      <c r="Q31" s="35" t="str">
        <f>IF($A31&lt;&gt;"",IF(INDEX(BDHK2,MATCH($A31,DiemHKII!$B$4:$B$58,0),INDEX($BG$14:$BK$27,MATCH(P$7,$BG$14:$BG$27,0),2))&lt;&gt;"",INDEX(BDHK2,MATCH($A31,DiemHKII!$B$4:$B$58,0),INDEX($BG$14:$BK$27,MATCH(P$7,$BG$14:$BG$27,0),4)),""),"")</f>
        <v/>
      </c>
      <c r="R31" s="36" t="str">
        <f>IF($A31&lt;&gt;"",IF(INDEX(BDHK2,MATCH($A31,DiemHKII!$B$4:$B$58,0),INDEX($BG$14:$BK$27,MATCH(P$7,$BG$14:$BG$27,0),2))&lt;&gt;"",INDEX(BDHK2,MATCH($A31,DiemHKII!$B$4:$B$58,0),INDEX($BG$14:$BK$27,MATCH(P$7,$BG$14:$BG$27,0),5)),""),"")</f>
        <v/>
      </c>
      <c r="S31" s="34" t="str">
        <f>IF($A31&lt;&gt;"",IF(INDEX(BDHK2,MATCH($A31,DiemHKII!$B$4:$B$58,0),INDEX($BG$14:$BK$27,MATCH(S$7,$BG$14:$BG$27,0),2))&lt;&gt;"",INDEX(BDHK2,MATCH($A31,DiemHKII!$B$4:$B$58,0),INDEX($BG$14:$BK$27,MATCH(S$7,$BG$14:$BG$27,0),3)),""),"")</f>
        <v/>
      </c>
      <c r="T31" s="35" t="str">
        <f>IF($A31&lt;&gt;"",IF(INDEX(BDHK2,MATCH($A31,DiemHKII!$B$4:$B$58,0),INDEX($BG$14:$BK$27,MATCH(S$7,$BG$14:$BG$27,0),2))&lt;&gt;"",INDEX(BDHK2,MATCH($A31,DiemHKII!$B$4:$B$58,0),INDEX($BG$14:$BK$27,MATCH(S$7,$BG$14:$BG$27,0),4)),""),"")</f>
        <v/>
      </c>
      <c r="U31" s="36" t="str">
        <f>IF($A31&lt;&gt;"",IF(INDEX(BDHK2,MATCH($A31,DiemHKII!$B$4:$B$58,0),INDEX($BG$14:$BK$27,MATCH(S$7,$BG$14:$BG$27,0),2))&lt;&gt;"",INDEX(BDHK2,MATCH($A31,DiemHKII!$B$4:$B$58,0),INDEX($BG$14:$BK$27,MATCH(S$7,$BG$14:$BG$27,0),5)),""),"")</f>
        <v/>
      </c>
      <c r="V31" s="34" t="str">
        <f>IF($A31&lt;&gt;"",IF(INDEX(BDHK2,MATCH($A31,DiemHKII!$B$4:$B$58,0),INDEX($BG$14:$BK$27,MATCH(V$7,$BG$14:$BG$27,0),2))&lt;&gt;"",INDEX(BDHK2,MATCH($A31,DiemHKII!$B$4:$B$58,0),INDEX($BG$14:$BK$27,MATCH(V$7,$BG$14:$BG$27,0),3)),""),"")</f>
        <v/>
      </c>
      <c r="W31" s="35" t="str">
        <f>IF($A31&lt;&gt;"",IF(INDEX(BDHK2,MATCH($A31,DiemHKII!$B$4:$B$58,0),INDEX($BG$14:$BK$27,MATCH(V$7,$BG$14:$BG$27,0),2))&lt;&gt;"",INDEX(BDHK2,MATCH($A31,DiemHKII!$B$4:$B$58,0),INDEX($BG$14:$BK$27,MATCH(V$7,$BG$14:$BG$27,0),4)),""),"")</f>
        <v/>
      </c>
      <c r="X31" s="36" t="str">
        <f>IF($A31&lt;&gt;"",IF(INDEX(BDHK2,MATCH($A31,DiemHKII!$B$4:$B$58,0),INDEX($BG$14:$BK$27,MATCH(V$7,$BG$14:$BG$27,0),2))&lt;&gt;"",INDEX(BDHK2,MATCH($A31,DiemHKII!$B$4:$B$58,0),INDEX($BG$14:$BK$27,MATCH(V$7,$BG$14:$BG$27,0),5)),""),"")</f>
        <v/>
      </c>
      <c r="Y31" s="34" t="str">
        <f>IF($A31&lt;&gt;"",IF(INDEX(BDHK2,MATCH($A31,DiemHKII!$B$4:$B$58,0),INDEX($BG$14:$BK$27,MATCH(Y$7,$BG$14:$BG$27,0),2))&lt;&gt;"",INDEX(BDHK2,MATCH($A31,DiemHKII!$B$4:$B$58,0),INDEX($BG$14:$BK$27,MATCH(Y$7,$BG$14:$BG$27,0),3)),""),"")</f>
        <v/>
      </c>
      <c r="Z31" s="35" t="str">
        <f>IF($A31&lt;&gt;"",IF(INDEX(BDHK2,MATCH($A31,DiemHKII!$B$4:$B$58,0),INDEX($BG$14:$BK$27,MATCH(Y$7,$BG$14:$BG$27,0),2))&lt;&gt;"",INDEX(BDHK2,MATCH($A31,DiemHKII!$B$4:$B$58,0),INDEX($BG$14:$BK$27,MATCH(Y$7,$BG$14:$BG$27,0),4)),""),"")</f>
        <v/>
      </c>
      <c r="AA31" s="36" t="str">
        <f>IF($A31&lt;&gt;"",IF(INDEX(BDHK2,MATCH($A31,DiemHKII!$B$4:$B$58,0),INDEX($BG$14:$BK$27,MATCH(Y$7,$BG$14:$BG$27,0),2))&lt;&gt;"",INDEX(BDHK2,MATCH($A31,DiemHKII!$B$4:$B$58,0),INDEX($BG$14:$BK$27,MATCH(Y$7,$BG$14:$BG$27,0),5)),""),"")</f>
        <v/>
      </c>
      <c r="AB31" s="34" t="str">
        <f>IF($A31&lt;&gt;"",IF(INDEX(BDHK2,MATCH($A31,DiemHKII!$B$4:$B$58,0),INDEX($BG$14:$BK$27,MATCH(AB$7,$BG$14:$BG$27,0),2))&lt;&gt;"",INDEX(BDHK2,MATCH($A31,DiemHKII!$B$4:$B$58,0),INDEX($BG$14:$BK$27,MATCH(AB$7,$BG$14:$BG$27,0),3)),""),"")</f>
        <v/>
      </c>
      <c r="AC31" s="35" t="str">
        <f>IF($A31&lt;&gt;"",IF(INDEX(BDHK2,MATCH($A31,DiemHKII!$B$4:$B$58,0),INDEX($BG$14:$BK$27,MATCH(AB$7,$BG$14:$BG$27,0),2))&lt;&gt;"",INDEX(BDHK2,MATCH($A31,DiemHKII!$B$4:$B$58,0),INDEX($BG$14:$BK$27,MATCH(AB$7,$BG$14:$BG$27,0),4)),""),"")</f>
        <v/>
      </c>
      <c r="AD31" s="36" t="str">
        <f>IF($A31&lt;&gt;"",IF(INDEX(BDHK2,MATCH($A31,DiemHKII!$B$4:$B$58,0),INDEX($BG$14:$BK$27,MATCH(AB$7,$BG$14:$BG$27,0),2))&lt;&gt;"",INDEX(BDHK2,MATCH($A31,DiemHKII!$B$4:$B$58,0),INDEX($BG$14:$BK$27,MATCH(AB$7,$BG$14:$BG$27,0),5)),""),"")</f>
        <v/>
      </c>
      <c r="AE31" s="34" t="str">
        <f>IF($A31&lt;&gt;"",IF(INDEX(BDHK2,MATCH($A31,DiemHKII!$B$4:$B$58,0),INDEX($BG$14:$BK$27,MATCH(AE$7,$BG$14:$BG$27,0),2))&lt;&gt;"",INDEX(BDHK2,MATCH($A31,DiemHKII!$B$4:$B$58,0),INDEX($BG$14:$BK$27,MATCH(AE$7,$BG$14:$BG$27,0),3)),""),"")</f>
        <v/>
      </c>
      <c r="AF31" s="35" t="str">
        <f>IF($A31&lt;&gt;"",IF(INDEX(BDHK2,MATCH($A31,DiemHKII!$B$4:$B$58,0),INDEX($BG$14:$BK$27,MATCH(AE$7,$BG$14:$BG$27,0),2))&lt;&gt;"",INDEX(BDHK2,MATCH($A31,DiemHKII!$B$4:$B$58,0),INDEX($BG$14:$BK$27,MATCH(AE$7,$BG$14:$BG$27,0),4)),""),"")</f>
        <v/>
      </c>
      <c r="AG31" s="36" t="str">
        <f>IF($A31&lt;&gt;"",IF(INDEX(BDHK2,MATCH($A31,DiemHKII!$B$4:$B$58,0),INDEX($BG$14:$BK$27,MATCH(AE$7,$BG$14:$BG$27,0),2))&lt;&gt;"",INDEX(BDHK2,MATCH($A31,DiemHKII!$B$4:$B$58,0),INDEX($BG$14:$BK$27,MATCH(AE$7,$BG$14:$BG$27,0),5)),""),"")</f>
        <v/>
      </c>
      <c r="AH31" s="34" t="str">
        <f>IF($A31&lt;&gt;"",IF(INDEX(BDHK2,MATCH($A31,DiemHKII!$B$4:$B$58,0),INDEX($BG$14:$BK$27,MATCH(AH$7,$BG$14:$BG$27,0),2))&lt;&gt;"",INDEX(BDHK2,MATCH($A31,DiemHKII!$B$4:$B$58,0),INDEX($BG$14:$BK$27,MATCH(AH$7,$BG$14:$BG$27,0),3)),""),"")</f>
        <v/>
      </c>
      <c r="AI31" s="35" t="str">
        <f>IF($A31&lt;&gt;"",IF(INDEX(BDHK2,MATCH($A31,DiemHKII!$B$4:$B$58,0),INDEX($BG$14:$BK$27,MATCH(AH$7,$BG$14:$BG$27,0),2))&lt;&gt;"",INDEX(BDHK2,MATCH($A31,DiemHKII!$B$4:$B$58,0),INDEX($BG$14:$BK$27,MATCH(AH$7,$BG$14:$BG$27,0),4)),""),"")</f>
        <v/>
      </c>
      <c r="AJ31" s="36" t="str">
        <f>IF($A31&lt;&gt;"",IF(INDEX(BDHK2,MATCH($A31,DiemHKII!$B$4:$B$58,0),INDEX($BG$14:$BK$27,MATCH(AH$7,$BG$14:$BG$27,0),2))&lt;&gt;"",INDEX(BDHK2,MATCH($A31,DiemHKII!$B$4:$B$58,0),INDEX($BG$14:$BK$27,MATCH(AH$7,$BG$14:$BG$27,0),5)),""),"")</f>
        <v/>
      </c>
      <c r="AK31" s="37" t="str">
        <f>IF($A31&lt;&gt;"",IF(INDEX(BDHK2,MATCH($A31,DiemHKII!$B$4:$B$58,0),INDEX($BG$14:$BK$27,MATCH(AK$7,$BG$14:$BG$27,0),2))&lt;&gt;"",INDEX(BDHK2,MATCH($A31,DiemHKII!$B$4:$B$58,0),INDEX($BG$14:$BK$27,MATCH(AK$7,$BG$14:$BG$27,0),3)),""),"")</f>
        <v/>
      </c>
      <c r="AL31" s="8" t="str">
        <f>IF($A31&lt;&gt;"",IF(INDEX(BDHK2,MATCH($A31,DiemHKII!$B$4:$B$58,0),INDEX($BG$14:$BK$27,MATCH(AK$7,$BG$14:$BG$27,0),2))&lt;&gt;"",INDEX(BDHK2,MATCH($A31,DiemHKII!$B$4:$B$58,0),INDEX($BG$14:$BK$27,MATCH(AK$7,$BG$14:$BG$27,0),4)),""),"")</f>
        <v/>
      </c>
      <c r="AM31" s="38" t="str">
        <f>IF($A31&lt;&gt;"",IF(INDEX(BDHK2,MATCH($A31,DiemHKII!$B$4:$B$58,0),INDEX($BG$14:$BK$27,MATCH(AK$7,$BG$14:$BG$27,0),2))&lt;&gt;"",INDEX(BDHK2,MATCH($A31,DiemHKII!$B$4:$B$58,0),INDEX($BG$14:$BK$27,MATCH(AK$7,$BG$14:$BG$27,0),5)),""),"")</f>
        <v/>
      </c>
      <c r="AN31" s="34" t="str">
        <f>IF($A31&lt;&gt;"",IF(INDEX(BDHK2,MATCH($A31,DiemHKII!$B$4:$B$58,0),INDEX($BG$14:$BK$27,MATCH(AN$7,$BG$14:$BG$27,0),2))&lt;&gt;"",INDEX(BDHK2,MATCH($A31,DiemHKII!$B$4:$B$58,0),INDEX($BG$14:$BK$27,MATCH(AN$7,$BG$14:$BG$27,0),3)),""),"")</f>
        <v/>
      </c>
      <c r="AO31" s="35" t="str">
        <f>IF($A31&lt;&gt;"",IF(INDEX(BDHK2,MATCH($A31,DiemHKII!$B$4:$B$58,0),INDEX($BG$14:$BK$27,MATCH(AN$7,$BG$14:$BG$27,0),2))&lt;&gt;"",INDEX(BDHK2,MATCH($A31,DiemHKII!$B$4:$B$58,0),INDEX($BG$14:$BK$27,MATCH(AN$7,$BG$14:$BG$27,0),4)),""),"")</f>
        <v/>
      </c>
      <c r="AP31" s="36" t="str">
        <f>IF($A31&lt;&gt;"",IF(INDEX(BDHK2,MATCH($A31,DiemHKII!$B$4:$B$58,0),INDEX($BG$14:$BK$27,MATCH(AN$7,$BG$14:$BG$27,0),2))&lt;&gt;"",INDEX(BDHK2,MATCH($A31,DiemHKII!$B$4:$B$58,0),INDEX($BG$14:$BK$27,MATCH(AN$7,$BG$14:$BG$27,0),5)),""),"")</f>
        <v/>
      </c>
      <c r="AQ31" s="34" t="str">
        <f>IF($A31&lt;&gt;"",IF(INDEX(BDHK2,MATCH($A31,DiemHKII!$B$4:$B$58,0),INDEX($BG$14:$BK$27,MATCH(AQ$7,$BG$14:$BG$27,0),2))&lt;&gt;"",INDEX(BDHK2,MATCH($A31,DiemHKII!$B$4:$B$58,0),INDEX($BG$14:$BK$27,MATCH(AQ$7,$BG$14:$BG$27,0),3)),""),"")</f>
        <v/>
      </c>
      <c r="AR31" s="35" t="str">
        <f>IF($A31&lt;&gt;"",IF(INDEX(BDHK2,MATCH($A31,DiemHKII!$B$4:$B$58,0),INDEX($BG$14:$BK$27,MATCH(AQ$7,$BG$14:$BG$27,0),2))&lt;&gt;"",INDEX(BDHK2,MATCH($A31,DiemHKII!$B$4:$B$58,0),INDEX($BG$14:$BK$27,MATCH(AQ$7,$BG$14:$BG$27,0),4)),""),"")</f>
        <v/>
      </c>
      <c r="AS31" s="36" t="str">
        <f>IF($A31&lt;&gt;"",IF(INDEX(BDHK2,MATCH($A31,DiemHKII!$B$4:$B$58,0),INDEX($BG$14:$BK$27,MATCH(AQ$7,$BG$14:$BG$27,0),2))&lt;&gt;"",INDEX(BDHK2,MATCH($A31,DiemHKII!$B$4:$B$58,0),INDEX($BG$14:$BK$27,MATCH(AQ$7,$BG$14:$BG$27,0),5)),""),"")</f>
        <v/>
      </c>
      <c r="AT31" s="34">
        <f>IFERROR(IF($A31&gt;=1,IF(INDEX(THHKI!$V$8:$Y$62,MATCH($BL31,THHKI!$AG$8:$AG$62,0),1)&lt;&gt;"",INDEX(THHKI!$V$8:$Y$62,MATCH($BL31,THHKI!$AG$8:$AG$62,0),1),""),""),"")</f>
        <v>9.3000000000000007</v>
      </c>
      <c r="AU31" s="35" t="str">
        <f>IF($A31&gt;=1,IF(INDEX(THHKII!$V$8:$Y$62,MATCH($BL31,THHKII!$AG$8:$AG$62,0),1)&lt;&gt;"",INDEX(THHKII!$V$8:$Y$62,MATCH($BL31,THHKII!$AG$8:$AG$62,0),1),""),"")</f>
        <v/>
      </c>
      <c r="AV31" s="39" t="str">
        <f>IF($A31&gt;=1,IF(INDEX(THCN!$V$8:$Y$62,MATCH($BL31,THCN!$AG$8:$AG$62,0),1)&lt;&gt;"",INDEX(THCN!$V$8:$Y$62,MATCH($BL31,THCN!$AG$8:$AG$62,0),1),""),"")</f>
        <v/>
      </c>
      <c r="AW31" s="40" t="str">
        <f>IFERROR(IF($A31&gt;=1,IF(INDEX(THHKI!$V$8:$Y$62,MATCH($BL31,THHKI!$AG$8:$AG$62,0),2)&lt;&gt;"",INDEX(THHKI!$V$8:$Y$62,MATCH($BL31,THHKI!$AG$8:$AG$62,0),2),""),""),"")</f>
        <v>Giỏi</v>
      </c>
      <c r="AX31" s="8" t="str">
        <f>IF($A31&gt;=1,IF(INDEX(THHKII!$V$8:$Y$62,MATCH($BL31,THHKII!$AG$8:$AG$62,0),2)&lt;&gt;"",INDEX(THHKII!$V$8:$Y$62,MATCH($BL31,THHKII!$AG$8:$AG$62,0),2),""),"")</f>
        <v/>
      </c>
      <c r="AY31" s="467" t="str">
        <f>IF($A31&gt;=1,IF(INDEX(THCN!$V$8:$Y$62,MATCH($BL31,THCN!$AG$8:$AG$62,0),2)&lt;&gt;"",INDEX(THCN!$V$8:$Y$62,MATCH($BL31,THCN!$AG$8:$AG$62,0),2),""),"")</f>
        <v/>
      </c>
      <c r="AZ31" s="37" t="str">
        <f>IFERROR(IF($A31&gt;=1,IF(INDEX(THHKI!$V$8:$Y$62,MATCH($BL31,THHKI!$AG$8:$AG$62,0),3)&lt;&gt;"",INDEX(THHKI!$V$8:$Y$62,MATCH($BL31,THHKI!$AG$8:$AG$62,0),3),""),""),"")</f>
        <v>Tốt</v>
      </c>
      <c r="BA31" s="8" t="str">
        <f>IF($A31&gt;=1,IF(INDEX(THHKII!$V$8:$Y$62,MATCH($BL31,THHKII!$AG$8:$AG$62,0),3)&lt;&gt;"",INDEX(THHKII!$V$8:$Y$62,MATCH($BL31,THHKII!$AG$8:$AG$62,0),3),""),"")</f>
        <v/>
      </c>
      <c r="BB31" s="41" t="str">
        <f>IF($A31&gt;=1,IF(INDEX(THCN!$V$8:$Y$62,MATCH($BL31,THCN!$AG$8:$AG$62,0),3)&lt;&gt;"",INDEX(THCN!$V$8:$Y$62,MATCH($BL31,THCN!$AG$8:$AG$62,0),3),""),"")</f>
        <v/>
      </c>
      <c r="BC31" s="42" t="str">
        <f>IF($A31&gt;=1,IF(INDEX(THCN!$V$8:$Y$62,MATCH($BL31,THCN!$AG$8:$AG$62,0),4)&lt;&gt;"",INDEX(THCN!$V$8:$Y$62,MATCH($BL31,THCN!$AG$8:$AG$62,0),4),""),"")</f>
        <v/>
      </c>
      <c r="BE31" s="31" t="str">
        <f>IFERROR(IF($A31&gt;=1,IF(INDEX(THHKI!$V$8:$Y$62,MATCH($BL31,THHKI!$AG$8:$AG$62,0),4)&lt;&gt;"",INDEX(THHKI!$V$8:$Y$62,MATCH($BL31,THHKI!$AG$8:$AG$62,0),4),""),""),"")</f>
        <v>HSG</v>
      </c>
      <c r="BF31" s="42" t="str">
        <f>IF($A31&gt;=1,IF(INDEX(THHKII!$V$8:$Y$62,MATCH($BL31,THHKII!$AG$8:$AG$62,0),4)&lt;&gt;"",INDEX(THHKII!$V$8:$Y$62,MATCH($BL31,THHKII!$AG$8:$AG$62,0),4),""),"")</f>
        <v/>
      </c>
      <c r="BL31" s="30" t="str">
        <f>IF($A31&lt;&gt;"",INDEX(DiemHKII!$B$4:$K$58,MATCH($A31,DiemHKII!$B$4:$B$58,0),2),"")</f>
        <v>12A1LêNa29/02/2004</v>
      </c>
    </row>
    <row r="32" spans="1:64" s="30" customFormat="1" ht="29.1" customHeight="1">
      <c r="A32" s="31">
        <f>IF(A31&lt;MAX(DiemHKII!$B$4:$B$58),A31+1,"")</f>
        <v>24</v>
      </c>
      <c r="B32" s="32" t="str">
        <f>IF($A32&lt;&gt;"",PROPER(INDEX(DiemHKII!$B$4:$K$58,MATCH($A32,DiemHKII!$B$4:$B$58,0),4)),"")</f>
        <v>Quách Tống Minh</v>
      </c>
      <c r="C32" s="33" t="str">
        <f>IF($A32&lt;&gt;"",PROPER(INDEX(DiemHKII!$B$4:$K$58,MATCH($A32,DiemHKII!$B$4:$B$58,0),5)),"")</f>
        <v>Nhật</v>
      </c>
      <c r="D32" s="34" t="str">
        <f>IF($A32&lt;&gt;"",IF(INDEX(BDHK2,MATCH($A32,DiemHKII!$B$4:$B$58,0),INDEX($BG$14:$BK$27,MATCH(D$7,$BG$14:$BG$27,0),2))&lt;&gt;"",INDEX(BDHK2,MATCH($A32,DiemHKII!$B$4:$B$58,0),INDEX($BG$14:$BK$27,MATCH(D$7,$BG$14:$BG$27,0),3)),""),"")</f>
        <v/>
      </c>
      <c r="E32" s="35" t="str">
        <f>IF($A32&lt;&gt;"",IF(INDEX(BDHK2,MATCH($A32,DiemHKII!$B$4:$B$58,0),INDEX($BG$14:$BK$27,MATCH(D$7,$BG$14:$BG$27,0),2))&lt;&gt;"",INDEX(BDHK2,MATCH($A32,DiemHKII!$B$4:$B$58,0),INDEX($BG$14:$BK$27,MATCH(D$7,$BG$14:$BG$27,0),4)),""),"")</f>
        <v/>
      </c>
      <c r="F32" s="36" t="str">
        <f>IF($A32&lt;&gt;"",IF(INDEX(BDHK2,MATCH($A32,DiemHKII!$B$4:$B$58,0),INDEX($BG$14:$BK$27,MATCH(D$7,$BG$14:$BG$27,0),2))&lt;&gt;"",INDEX(BDHK2,MATCH($A32,DiemHKII!$B$4:$B$58,0),INDEX($BG$14:$BK$27,MATCH(D$7,$BG$14:$BG$27,0),5)),""),"")</f>
        <v/>
      </c>
      <c r="G32" s="34" t="str">
        <f>IF($A32&lt;&gt;"",IF(INDEX(BDHK2,MATCH($A32,DiemHKII!$B$4:$B$58,0),INDEX($BG$14:$BK$27,MATCH(G$7,$BG$14:$BG$27,0),2))&lt;&gt;"",INDEX(BDHK2,MATCH($A32,DiemHKII!$B$4:$B$58,0),INDEX($BG$14:$BK$27,MATCH(G$7,$BG$14:$BG$27,0),3)),""),"")</f>
        <v/>
      </c>
      <c r="H32" s="35" t="str">
        <f>IF($A32&lt;&gt;"",IF(INDEX(BDHK2,MATCH($A32,DiemHKII!$B$4:$B$58,0),INDEX($BG$14:$BK$27,MATCH(G$7,$BG$14:$BG$27,0),2))&lt;&gt;"",INDEX(BDHK2,MATCH($A32,DiemHKII!$B$4:$B$58,0),INDEX($BG$14:$BK$27,MATCH(G$7,$BG$14:$BG$27,0),4)),""),"")</f>
        <v/>
      </c>
      <c r="I32" s="36" t="str">
        <f>IF($A32&lt;&gt;"",IF(INDEX(BDHK2,MATCH($A32,DiemHKII!$B$4:$B$58,0),INDEX($BG$14:$BK$27,MATCH(G$7,$BG$14:$BG$27,0),2))&lt;&gt;"",INDEX(BDHK2,MATCH($A32,DiemHKII!$B$4:$B$58,0),INDEX($BG$14:$BK$27,MATCH(G$7,$BG$14:$BG$27,0),5)),""),"")</f>
        <v/>
      </c>
      <c r="J32" s="34" t="str">
        <f>IF($A32&lt;&gt;"",IF(INDEX(BDHK2,MATCH($A32,DiemHKII!$B$4:$B$58,0),INDEX($BG$14:$BK$27,MATCH(J$7,$BG$14:$BG$27,0),2))&lt;&gt;"",INDEX(BDHK2,MATCH($A32,DiemHKII!$B$4:$B$58,0),INDEX($BG$14:$BK$27,MATCH(J$7,$BG$14:$BG$27,0),3)),""),"")</f>
        <v/>
      </c>
      <c r="K32" s="35" t="str">
        <f>IF($A32&lt;&gt;"",IF(INDEX(BDHK2,MATCH($A32,DiemHKII!$B$4:$B$58,0),INDEX($BG$14:$BK$27,MATCH(J$7,$BG$14:$BG$27,0),2))&lt;&gt;"",INDEX(BDHK2,MATCH($A32,DiemHKII!$B$4:$B$58,0),INDEX($BG$14:$BK$27,MATCH(J$7,$BG$14:$BG$27,0),4)),""),"")</f>
        <v/>
      </c>
      <c r="L32" s="36" t="str">
        <f>IF($A32&lt;&gt;"",IF(INDEX(BDHK2,MATCH($A32,DiemHKII!$B$4:$B$58,0),INDEX($BG$14:$BK$27,MATCH(J$7,$BG$14:$BG$27,0),2))&lt;&gt;"",INDEX(BDHK2,MATCH($A32,DiemHKII!$B$4:$B$58,0),INDEX($BG$14:$BK$27,MATCH(J$7,$BG$14:$BG$27,0),5)),""),"")</f>
        <v/>
      </c>
      <c r="M32" s="34" t="str">
        <f>IF($A32&lt;&gt;"",IF(INDEX(BDHK2,MATCH($A32,DiemHKII!$B$4:$B$58,0),INDEX($BG$14:$BK$27,MATCH(M$7,$BG$14:$BG$27,0),2))&lt;&gt;"",INDEX(BDHK2,MATCH($A32,DiemHKII!$B$4:$B$58,0),INDEX($BG$14:$BK$27,MATCH(M$7,$BG$14:$BG$27,0),3)),""),"")</f>
        <v/>
      </c>
      <c r="N32" s="35" t="str">
        <f>IF($A32&lt;&gt;"",IF(INDEX(BDHK2,MATCH($A32,DiemHKII!$B$4:$B$58,0),INDEX($BG$14:$BK$27,MATCH(M$7,$BG$14:$BG$27,0),2))&lt;&gt;"",INDEX(BDHK2,MATCH($A32,DiemHKII!$B$4:$B$58,0),INDEX($BG$14:$BK$27,MATCH(M$7,$BG$14:$BG$27,0),4)),""),"")</f>
        <v/>
      </c>
      <c r="O32" s="36" t="str">
        <f>IF($A32&lt;&gt;"",IF(INDEX(BDHK2,MATCH($A32,DiemHKII!$B$4:$B$58,0),INDEX($BG$14:$BK$27,MATCH(M$7,$BG$14:$BG$27,0),2))&lt;&gt;"",INDEX(BDHK2,MATCH($A32,DiemHKII!$B$4:$B$58,0),INDEX($BG$14:$BK$27,MATCH(M$7,$BG$14:$BG$27,0),5)),""),"")</f>
        <v/>
      </c>
      <c r="P32" s="34" t="str">
        <f>IF($A32&lt;&gt;"",IF(INDEX(BDHK2,MATCH($A32,DiemHKII!$B$4:$B$58,0),INDEX($BG$14:$BK$27,MATCH(P$7,$BG$14:$BG$27,0),2))&lt;&gt;"",INDEX(BDHK2,MATCH($A32,DiemHKII!$B$4:$B$58,0),INDEX($BG$14:$BK$27,MATCH(P$7,$BG$14:$BG$27,0),3)),""),"")</f>
        <v/>
      </c>
      <c r="Q32" s="35" t="str">
        <f>IF($A32&lt;&gt;"",IF(INDEX(BDHK2,MATCH($A32,DiemHKII!$B$4:$B$58,0),INDEX($BG$14:$BK$27,MATCH(P$7,$BG$14:$BG$27,0),2))&lt;&gt;"",INDEX(BDHK2,MATCH($A32,DiemHKII!$B$4:$B$58,0),INDEX($BG$14:$BK$27,MATCH(P$7,$BG$14:$BG$27,0),4)),""),"")</f>
        <v/>
      </c>
      <c r="R32" s="36" t="str">
        <f>IF($A32&lt;&gt;"",IF(INDEX(BDHK2,MATCH($A32,DiemHKII!$B$4:$B$58,0),INDEX($BG$14:$BK$27,MATCH(P$7,$BG$14:$BG$27,0),2))&lt;&gt;"",INDEX(BDHK2,MATCH($A32,DiemHKII!$B$4:$B$58,0),INDEX($BG$14:$BK$27,MATCH(P$7,$BG$14:$BG$27,0),5)),""),"")</f>
        <v/>
      </c>
      <c r="S32" s="34" t="str">
        <f>IF($A32&lt;&gt;"",IF(INDEX(BDHK2,MATCH($A32,DiemHKII!$B$4:$B$58,0),INDEX($BG$14:$BK$27,MATCH(S$7,$BG$14:$BG$27,0),2))&lt;&gt;"",INDEX(BDHK2,MATCH($A32,DiemHKII!$B$4:$B$58,0),INDEX($BG$14:$BK$27,MATCH(S$7,$BG$14:$BG$27,0),3)),""),"")</f>
        <v/>
      </c>
      <c r="T32" s="35" t="str">
        <f>IF($A32&lt;&gt;"",IF(INDEX(BDHK2,MATCH($A32,DiemHKII!$B$4:$B$58,0),INDEX($BG$14:$BK$27,MATCH(S$7,$BG$14:$BG$27,0),2))&lt;&gt;"",INDEX(BDHK2,MATCH($A32,DiemHKII!$B$4:$B$58,0),INDEX($BG$14:$BK$27,MATCH(S$7,$BG$14:$BG$27,0),4)),""),"")</f>
        <v/>
      </c>
      <c r="U32" s="36" t="str">
        <f>IF($A32&lt;&gt;"",IF(INDEX(BDHK2,MATCH($A32,DiemHKII!$B$4:$B$58,0),INDEX($BG$14:$BK$27,MATCH(S$7,$BG$14:$BG$27,0),2))&lt;&gt;"",INDEX(BDHK2,MATCH($A32,DiemHKII!$B$4:$B$58,0),INDEX($BG$14:$BK$27,MATCH(S$7,$BG$14:$BG$27,0),5)),""),"")</f>
        <v/>
      </c>
      <c r="V32" s="34" t="str">
        <f>IF($A32&lt;&gt;"",IF(INDEX(BDHK2,MATCH($A32,DiemHKII!$B$4:$B$58,0),INDEX($BG$14:$BK$27,MATCH(V$7,$BG$14:$BG$27,0),2))&lt;&gt;"",INDEX(BDHK2,MATCH($A32,DiemHKII!$B$4:$B$58,0),INDEX($BG$14:$BK$27,MATCH(V$7,$BG$14:$BG$27,0),3)),""),"")</f>
        <v/>
      </c>
      <c r="W32" s="35" t="str">
        <f>IF($A32&lt;&gt;"",IF(INDEX(BDHK2,MATCH($A32,DiemHKII!$B$4:$B$58,0),INDEX($BG$14:$BK$27,MATCH(V$7,$BG$14:$BG$27,0),2))&lt;&gt;"",INDEX(BDHK2,MATCH($A32,DiemHKII!$B$4:$B$58,0),INDEX($BG$14:$BK$27,MATCH(V$7,$BG$14:$BG$27,0),4)),""),"")</f>
        <v/>
      </c>
      <c r="X32" s="36" t="str">
        <f>IF($A32&lt;&gt;"",IF(INDEX(BDHK2,MATCH($A32,DiemHKII!$B$4:$B$58,0),INDEX($BG$14:$BK$27,MATCH(V$7,$BG$14:$BG$27,0),2))&lt;&gt;"",INDEX(BDHK2,MATCH($A32,DiemHKII!$B$4:$B$58,0),INDEX($BG$14:$BK$27,MATCH(V$7,$BG$14:$BG$27,0),5)),""),"")</f>
        <v/>
      </c>
      <c r="Y32" s="34" t="str">
        <f>IF($A32&lt;&gt;"",IF(INDEX(BDHK2,MATCH($A32,DiemHKII!$B$4:$B$58,0),INDEX($BG$14:$BK$27,MATCH(Y$7,$BG$14:$BG$27,0),2))&lt;&gt;"",INDEX(BDHK2,MATCH($A32,DiemHKII!$B$4:$B$58,0),INDEX($BG$14:$BK$27,MATCH(Y$7,$BG$14:$BG$27,0),3)),""),"")</f>
        <v/>
      </c>
      <c r="Z32" s="35" t="str">
        <f>IF($A32&lt;&gt;"",IF(INDEX(BDHK2,MATCH($A32,DiemHKII!$B$4:$B$58,0),INDEX($BG$14:$BK$27,MATCH(Y$7,$BG$14:$BG$27,0),2))&lt;&gt;"",INDEX(BDHK2,MATCH($A32,DiemHKII!$B$4:$B$58,0),INDEX($BG$14:$BK$27,MATCH(Y$7,$BG$14:$BG$27,0),4)),""),"")</f>
        <v/>
      </c>
      <c r="AA32" s="36" t="str">
        <f>IF($A32&lt;&gt;"",IF(INDEX(BDHK2,MATCH($A32,DiemHKII!$B$4:$B$58,0),INDEX($BG$14:$BK$27,MATCH(Y$7,$BG$14:$BG$27,0),2))&lt;&gt;"",INDEX(BDHK2,MATCH($A32,DiemHKII!$B$4:$B$58,0),INDEX($BG$14:$BK$27,MATCH(Y$7,$BG$14:$BG$27,0),5)),""),"")</f>
        <v/>
      </c>
      <c r="AB32" s="34" t="str">
        <f>IF($A32&lt;&gt;"",IF(INDEX(BDHK2,MATCH($A32,DiemHKII!$B$4:$B$58,0),INDEX($BG$14:$BK$27,MATCH(AB$7,$BG$14:$BG$27,0),2))&lt;&gt;"",INDEX(BDHK2,MATCH($A32,DiemHKII!$B$4:$B$58,0),INDEX($BG$14:$BK$27,MATCH(AB$7,$BG$14:$BG$27,0),3)),""),"")</f>
        <v/>
      </c>
      <c r="AC32" s="35" t="str">
        <f>IF($A32&lt;&gt;"",IF(INDEX(BDHK2,MATCH($A32,DiemHKII!$B$4:$B$58,0),INDEX($BG$14:$BK$27,MATCH(AB$7,$BG$14:$BG$27,0),2))&lt;&gt;"",INDEX(BDHK2,MATCH($A32,DiemHKII!$B$4:$B$58,0),INDEX($BG$14:$BK$27,MATCH(AB$7,$BG$14:$BG$27,0),4)),""),"")</f>
        <v/>
      </c>
      <c r="AD32" s="36" t="str">
        <f>IF($A32&lt;&gt;"",IF(INDEX(BDHK2,MATCH($A32,DiemHKII!$B$4:$B$58,0),INDEX($BG$14:$BK$27,MATCH(AB$7,$BG$14:$BG$27,0),2))&lt;&gt;"",INDEX(BDHK2,MATCH($A32,DiemHKII!$B$4:$B$58,0),INDEX($BG$14:$BK$27,MATCH(AB$7,$BG$14:$BG$27,0),5)),""),"")</f>
        <v/>
      </c>
      <c r="AE32" s="34" t="str">
        <f>IF($A32&lt;&gt;"",IF(INDEX(BDHK2,MATCH($A32,DiemHKII!$B$4:$B$58,0),INDEX($BG$14:$BK$27,MATCH(AE$7,$BG$14:$BG$27,0),2))&lt;&gt;"",INDEX(BDHK2,MATCH($A32,DiemHKII!$B$4:$B$58,0),INDEX($BG$14:$BK$27,MATCH(AE$7,$BG$14:$BG$27,0),3)),""),"")</f>
        <v/>
      </c>
      <c r="AF32" s="35" t="str">
        <f>IF($A32&lt;&gt;"",IF(INDEX(BDHK2,MATCH($A32,DiemHKII!$B$4:$B$58,0),INDEX($BG$14:$BK$27,MATCH(AE$7,$BG$14:$BG$27,0),2))&lt;&gt;"",INDEX(BDHK2,MATCH($A32,DiemHKII!$B$4:$B$58,0),INDEX($BG$14:$BK$27,MATCH(AE$7,$BG$14:$BG$27,0),4)),""),"")</f>
        <v/>
      </c>
      <c r="AG32" s="36" t="str">
        <f>IF($A32&lt;&gt;"",IF(INDEX(BDHK2,MATCH($A32,DiemHKII!$B$4:$B$58,0),INDEX($BG$14:$BK$27,MATCH(AE$7,$BG$14:$BG$27,0),2))&lt;&gt;"",INDEX(BDHK2,MATCH($A32,DiemHKII!$B$4:$B$58,0),INDEX($BG$14:$BK$27,MATCH(AE$7,$BG$14:$BG$27,0),5)),""),"")</f>
        <v/>
      </c>
      <c r="AH32" s="34" t="str">
        <f>IF($A32&lt;&gt;"",IF(INDEX(BDHK2,MATCH($A32,DiemHKII!$B$4:$B$58,0),INDEX($BG$14:$BK$27,MATCH(AH$7,$BG$14:$BG$27,0),2))&lt;&gt;"",INDEX(BDHK2,MATCH($A32,DiemHKII!$B$4:$B$58,0),INDEX($BG$14:$BK$27,MATCH(AH$7,$BG$14:$BG$27,0),3)),""),"")</f>
        <v/>
      </c>
      <c r="AI32" s="35" t="str">
        <f>IF($A32&lt;&gt;"",IF(INDEX(BDHK2,MATCH($A32,DiemHKII!$B$4:$B$58,0),INDEX($BG$14:$BK$27,MATCH(AH$7,$BG$14:$BG$27,0),2))&lt;&gt;"",INDEX(BDHK2,MATCH($A32,DiemHKII!$B$4:$B$58,0),INDEX($BG$14:$BK$27,MATCH(AH$7,$BG$14:$BG$27,0),4)),""),"")</f>
        <v/>
      </c>
      <c r="AJ32" s="36" t="str">
        <f>IF($A32&lt;&gt;"",IF(INDEX(BDHK2,MATCH($A32,DiemHKII!$B$4:$B$58,0),INDEX($BG$14:$BK$27,MATCH(AH$7,$BG$14:$BG$27,0),2))&lt;&gt;"",INDEX(BDHK2,MATCH($A32,DiemHKII!$B$4:$B$58,0),INDEX($BG$14:$BK$27,MATCH(AH$7,$BG$14:$BG$27,0),5)),""),"")</f>
        <v/>
      </c>
      <c r="AK32" s="37" t="str">
        <f>IF($A32&lt;&gt;"",IF(INDEX(BDHK2,MATCH($A32,DiemHKII!$B$4:$B$58,0),INDEX($BG$14:$BK$27,MATCH(AK$7,$BG$14:$BG$27,0),2))&lt;&gt;"",INDEX(BDHK2,MATCH($A32,DiemHKII!$B$4:$B$58,0),INDEX($BG$14:$BK$27,MATCH(AK$7,$BG$14:$BG$27,0),3)),""),"")</f>
        <v/>
      </c>
      <c r="AL32" s="8" t="str">
        <f>IF($A32&lt;&gt;"",IF(INDEX(BDHK2,MATCH($A32,DiemHKII!$B$4:$B$58,0),INDEX($BG$14:$BK$27,MATCH(AK$7,$BG$14:$BG$27,0),2))&lt;&gt;"",INDEX(BDHK2,MATCH($A32,DiemHKII!$B$4:$B$58,0),INDEX($BG$14:$BK$27,MATCH(AK$7,$BG$14:$BG$27,0),4)),""),"")</f>
        <v/>
      </c>
      <c r="AM32" s="38" t="str">
        <f>IF($A32&lt;&gt;"",IF(INDEX(BDHK2,MATCH($A32,DiemHKII!$B$4:$B$58,0),INDEX($BG$14:$BK$27,MATCH(AK$7,$BG$14:$BG$27,0),2))&lt;&gt;"",INDEX(BDHK2,MATCH($A32,DiemHKII!$B$4:$B$58,0),INDEX($BG$14:$BK$27,MATCH(AK$7,$BG$14:$BG$27,0),5)),""),"")</f>
        <v/>
      </c>
      <c r="AN32" s="34" t="str">
        <f>IF($A32&lt;&gt;"",IF(INDEX(BDHK2,MATCH($A32,DiemHKII!$B$4:$B$58,0),INDEX($BG$14:$BK$27,MATCH(AN$7,$BG$14:$BG$27,0),2))&lt;&gt;"",INDEX(BDHK2,MATCH($A32,DiemHKII!$B$4:$B$58,0),INDEX($BG$14:$BK$27,MATCH(AN$7,$BG$14:$BG$27,0),3)),""),"")</f>
        <v/>
      </c>
      <c r="AO32" s="35" t="str">
        <f>IF($A32&lt;&gt;"",IF(INDEX(BDHK2,MATCH($A32,DiemHKII!$B$4:$B$58,0),INDEX($BG$14:$BK$27,MATCH(AN$7,$BG$14:$BG$27,0),2))&lt;&gt;"",INDEX(BDHK2,MATCH($A32,DiemHKII!$B$4:$B$58,0),INDEX($BG$14:$BK$27,MATCH(AN$7,$BG$14:$BG$27,0),4)),""),"")</f>
        <v/>
      </c>
      <c r="AP32" s="36" t="str">
        <f>IF($A32&lt;&gt;"",IF(INDEX(BDHK2,MATCH($A32,DiemHKII!$B$4:$B$58,0),INDEX($BG$14:$BK$27,MATCH(AN$7,$BG$14:$BG$27,0),2))&lt;&gt;"",INDEX(BDHK2,MATCH($A32,DiemHKII!$B$4:$B$58,0),INDEX($BG$14:$BK$27,MATCH(AN$7,$BG$14:$BG$27,0),5)),""),"")</f>
        <v/>
      </c>
      <c r="AQ32" s="34" t="str">
        <f>IF($A32&lt;&gt;"",IF(INDEX(BDHK2,MATCH($A32,DiemHKII!$B$4:$B$58,0),INDEX($BG$14:$BK$27,MATCH(AQ$7,$BG$14:$BG$27,0),2))&lt;&gt;"",INDEX(BDHK2,MATCH($A32,DiemHKII!$B$4:$B$58,0),INDEX($BG$14:$BK$27,MATCH(AQ$7,$BG$14:$BG$27,0),3)),""),"")</f>
        <v/>
      </c>
      <c r="AR32" s="35" t="str">
        <f>IF($A32&lt;&gt;"",IF(INDEX(BDHK2,MATCH($A32,DiemHKII!$B$4:$B$58,0),INDEX($BG$14:$BK$27,MATCH(AQ$7,$BG$14:$BG$27,0),2))&lt;&gt;"",INDEX(BDHK2,MATCH($A32,DiemHKII!$B$4:$B$58,0),INDEX($BG$14:$BK$27,MATCH(AQ$7,$BG$14:$BG$27,0),4)),""),"")</f>
        <v/>
      </c>
      <c r="AS32" s="36" t="str">
        <f>IF($A32&lt;&gt;"",IF(INDEX(BDHK2,MATCH($A32,DiemHKII!$B$4:$B$58,0),INDEX($BG$14:$BK$27,MATCH(AQ$7,$BG$14:$BG$27,0),2))&lt;&gt;"",INDEX(BDHK2,MATCH($A32,DiemHKII!$B$4:$B$58,0),INDEX($BG$14:$BK$27,MATCH(AQ$7,$BG$14:$BG$27,0),5)),""),"")</f>
        <v/>
      </c>
      <c r="AT32" s="34">
        <f>IFERROR(IF($A32&gt;=1,IF(INDEX(THHKI!$V$8:$Y$62,MATCH($BL32,THHKI!$AG$8:$AG$62,0),1)&lt;&gt;"",INDEX(THHKI!$V$8:$Y$62,MATCH($BL32,THHKI!$AG$8:$AG$62,0),1),""),""),"")</f>
        <v>9.1999999999999993</v>
      </c>
      <c r="AU32" s="35" t="str">
        <f>IF($A32&gt;=1,IF(INDEX(THHKII!$V$8:$Y$62,MATCH($BL32,THHKII!$AG$8:$AG$62,0),1)&lt;&gt;"",INDEX(THHKII!$V$8:$Y$62,MATCH($BL32,THHKII!$AG$8:$AG$62,0),1),""),"")</f>
        <v/>
      </c>
      <c r="AV32" s="39" t="str">
        <f>IF($A32&gt;=1,IF(INDEX(THCN!$V$8:$Y$62,MATCH($BL32,THCN!$AG$8:$AG$62,0),1)&lt;&gt;"",INDEX(THCN!$V$8:$Y$62,MATCH($BL32,THCN!$AG$8:$AG$62,0),1),""),"")</f>
        <v/>
      </c>
      <c r="AW32" s="40" t="str">
        <f>IFERROR(IF($A32&gt;=1,IF(INDEX(THHKI!$V$8:$Y$62,MATCH($BL32,THHKI!$AG$8:$AG$62,0),2)&lt;&gt;"",INDEX(THHKI!$V$8:$Y$62,MATCH($BL32,THHKI!$AG$8:$AG$62,0),2),""),""),"")</f>
        <v>Giỏi</v>
      </c>
      <c r="AX32" s="8" t="str">
        <f>IF($A32&gt;=1,IF(INDEX(THHKII!$V$8:$Y$62,MATCH($BL32,THHKII!$AG$8:$AG$62,0),2)&lt;&gt;"",INDEX(THHKII!$V$8:$Y$62,MATCH($BL32,THHKII!$AG$8:$AG$62,0),2),""),"")</f>
        <v/>
      </c>
      <c r="AY32" s="467" t="str">
        <f>IF($A32&gt;=1,IF(INDEX(THCN!$V$8:$Y$62,MATCH($BL32,THCN!$AG$8:$AG$62,0),2)&lt;&gt;"",INDEX(THCN!$V$8:$Y$62,MATCH($BL32,THCN!$AG$8:$AG$62,0),2),""),"")</f>
        <v/>
      </c>
      <c r="AZ32" s="37" t="str">
        <f>IFERROR(IF($A32&gt;=1,IF(INDEX(THHKI!$V$8:$Y$62,MATCH($BL32,THHKI!$AG$8:$AG$62,0),3)&lt;&gt;"",INDEX(THHKI!$V$8:$Y$62,MATCH($BL32,THHKI!$AG$8:$AG$62,0),3),""),""),"")</f>
        <v>Tốt</v>
      </c>
      <c r="BA32" s="8" t="str">
        <f>IF($A32&gt;=1,IF(INDEX(THHKII!$V$8:$Y$62,MATCH($BL32,THHKII!$AG$8:$AG$62,0),3)&lt;&gt;"",INDEX(THHKII!$V$8:$Y$62,MATCH($BL32,THHKII!$AG$8:$AG$62,0),3),""),"")</f>
        <v/>
      </c>
      <c r="BB32" s="41" t="str">
        <f>IF($A32&gt;=1,IF(INDEX(THCN!$V$8:$Y$62,MATCH($BL32,THCN!$AG$8:$AG$62,0),3)&lt;&gt;"",INDEX(THCN!$V$8:$Y$62,MATCH($BL32,THCN!$AG$8:$AG$62,0),3),""),"")</f>
        <v/>
      </c>
      <c r="BC32" s="42" t="str">
        <f>IF($A32&gt;=1,IF(INDEX(THCN!$V$8:$Y$62,MATCH($BL32,THCN!$AG$8:$AG$62,0),4)&lt;&gt;"",INDEX(THCN!$V$8:$Y$62,MATCH($BL32,THCN!$AG$8:$AG$62,0),4),""),"")</f>
        <v/>
      </c>
      <c r="BE32" s="31" t="str">
        <f>IFERROR(IF($A32&gt;=1,IF(INDEX(THHKI!$V$8:$Y$62,MATCH($BL32,THHKI!$AG$8:$AG$62,0),4)&lt;&gt;"",INDEX(THHKI!$V$8:$Y$62,MATCH($BL32,THHKI!$AG$8:$AG$62,0),4),""),""),"")</f>
        <v>HSG</v>
      </c>
      <c r="BF32" s="42" t="str">
        <f>IF($A32&gt;=1,IF(INDEX(THHKII!$V$8:$Y$62,MATCH($BL32,THHKII!$AG$8:$AG$62,0),4)&lt;&gt;"",INDEX(THHKII!$V$8:$Y$62,MATCH($BL32,THHKII!$AG$8:$AG$62,0),4),""),"")</f>
        <v/>
      </c>
      <c r="BL32" s="30" t="str">
        <f>IF($A32&lt;&gt;"",INDEX(DiemHKII!$B$4:$K$58,MATCH($A32,DiemHKII!$B$4:$B$58,0),2),"")</f>
        <v>12A1Quách Tống MinhNhật01/12/2004</v>
      </c>
    </row>
    <row r="33" spans="1:64" s="30" customFormat="1" ht="29.1" customHeight="1" thickBot="1">
      <c r="A33" s="43">
        <f>IF(A32&lt;MAX(DiemHKII!$B$4:$B$58),A32+1,"")</f>
        <v>25</v>
      </c>
      <c r="B33" s="44" t="str">
        <f>IF($A33&lt;&gt;"",PROPER(INDEX(DiemHKII!$B$4:$K$58,MATCH($A33,DiemHKII!$B$4:$B$58,0),4)),"")</f>
        <v>Nguyễn Thục</v>
      </c>
      <c r="C33" s="45" t="str">
        <f>IF($A33&lt;&gt;"",PROPER(INDEX(DiemHKII!$B$4:$K$58,MATCH($A33,DiemHKII!$B$4:$B$58,0),5)),"")</f>
        <v>Nhi</v>
      </c>
      <c r="D33" s="46" t="str">
        <f>IF($A33&lt;&gt;"",IF(INDEX(BDHK2,MATCH($A33,DiemHKII!$B$4:$B$58,0),INDEX($BG$14:$BK$27,MATCH(D$7,$BG$14:$BG$27,0),2))&lt;&gt;"",INDEX(BDHK2,MATCH($A33,DiemHKII!$B$4:$B$58,0),INDEX($BG$14:$BK$27,MATCH(D$7,$BG$14:$BG$27,0),3)),""),"")</f>
        <v/>
      </c>
      <c r="E33" s="47" t="str">
        <f>IF($A33&lt;&gt;"",IF(INDEX(BDHK2,MATCH($A33,DiemHKII!$B$4:$B$58,0),INDEX($BG$14:$BK$27,MATCH(D$7,$BG$14:$BG$27,0),2))&lt;&gt;"",INDEX(BDHK2,MATCH($A33,DiemHKII!$B$4:$B$58,0),INDEX($BG$14:$BK$27,MATCH(D$7,$BG$14:$BG$27,0),4)),""),"")</f>
        <v/>
      </c>
      <c r="F33" s="48" t="str">
        <f>IF($A33&lt;&gt;"",IF(INDEX(BDHK2,MATCH($A33,DiemHKII!$B$4:$B$58,0),INDEX($BG$14:$BK$27,MATCH(D$7,$BG$14:$BG$27,0),2))&lt;&gt;"",INDEX(BDHK2,MATCH($A33,DiemHKII!$B$4:$B$58,0),INDEX($BG$14:$BK$27,MATCH(D$7,$BG$14:$BG$27,0),5)),""),"")</f>
        <v/>
      </c>
      <c r="G33" s="46" t="str">
        <f>IF($A33&lt;&gt;"",IF(INDEX(BDHK2,MATCH($A33,DiemHKII!$B$4:$B$58,0),INDEX($BG$14:$BK$27,MATCH(G$7,$BG$14:$BG$27,0),2))&lt;&gt;"",INDEX(BDHK2,MATCH($A33,DiemHKII!$B$4:$B$58,0),INDEX($BG$14:$BK$27,MATCH(G$7,$BG$14:$BG$27,0),3)),""),"")</f>
        <v/>
      </c>
      <c r="H33" s="47" t="str">
        <f>IF($A33&lt;&gt;"",IF(INDEX(BDHK2,MATCH($A33,DiemHKII!$B$4:$B$58,0),INDEX($BG$14:$BK$27,MATCH(G$7,$BG$14:$BG$27,0),2))&lt;&gt;"",INDEX(BDHK2,MATCH($A33,DiemHKII!$B$4:$B$58,0),INDEX($BG$14:$BK$27,MATCH(G$7,$BG$14:$BG$27,0),4)),""),"")</f>
        <v/>
      </c>
      <c r="I33" s="48" t="str">
        <f>IF($A33&lt;&gt;"",IF(INDEX(BDHK2,MATCH($A33,DiemHKII!$B$4:$B$58,0),INDEX($BG$14:$BK$27,MATCH(G$7,$BG$14:$BG$27,0),2))&lt;&gt;"",INDEX(BDHK2,MATCH($A33,DiemHKII!$B$4:$B$58,0),INDEX($BG$14:$BK$27,MATCH(G$7,$BG$14:$BG$27,0),5)),""),"")</f>
        <v/>
      </c>
      <c r="J33" s="46" t="str">
        <f>IF($A33&lt;&gt;"",IF(INDEX(BDHK2,MATCH($A33,DiemHKII!$B$4:$B$58,0),INDEX($BG$14:$BK$27,MATCH(J$7,$BG$14:$BG$27,0),2))&lt;&gt;"",INDEX(BDHK2,MATCH($A33,DiemHKII!$B$4:$B$58,0),INDEX($BG$14:$BK$27,MATCH(J$7,$BG$14:$BG$27,0),3)),""),"")</f>
        <v/>
      </c>
      <c r="K33" s="47" t="str">
        <f>IF($A33&lt;&gt;"",IF(INDEX(BDHK2,MATCH($A33,DiemHKII!$B$4:$B$58,0),INDEX($BG$14:$BK$27,MATCH(J$7,$BG$14:$BG$27,0),2))&lt;&gt;"",INDEX(BDHK2,MATCH($A33,DiemHKII!$B$4:$B$58,0),INDEX($BG$14:$BK$27,MATCH(J$7,$BG$14:$BG$27,0),4)),""),"")</f>
        <v/>
      </c>
      <c r="L33" s="48" t="str">
        <f>IF($A33&lt;&gt;"",IF(INDEX(BDHK2,MATCH($A33,DiemHKII!$B$4:$B$58,0),INDEX($BG$14:$BK$27,MATCH(J$7,$BG$14:$BG$27,0),2))&lt;&gt;"",INDEX(BDHK2,MATCH($A33,DiemHKII!$B$4:$B$58,0),INDEX($BG$14:$BK$27,MATCH(J$7,$BG$14:$BG$27,0),5)),""),"")</f>
        <v/>
      </c>
      <c r="M33" s="46" t="str">
        <f>IF($A33&lt;&gt;"",IF(INDEX(BDHK2,MATCH($A33,DiemHKII!$B$4:$B$58,0),INDEX($BG$14:$BK$27,MATCH(M$7,$BG$14:$BG$27,0),2))&lt;&gt;"",INDEX(BDHK2,MATCH($A33,DiemHKII!$B$4:$B$58,0),INDEX($BG$14:$BK$27,MATCH(M$7,$BG$14:$BG$27,0),3)),""),"")</f>
        <v/>
      </c>
      <c r="N33" s="47" t="str">
        <f>IF($A33&lt;&gt;"",IF(INDEX(BDHK2,MATCH($A33,DiemHKII!$B$4:$B$58,0),INDEX($BG$14:$BK$27,MATCH(M$7,$BG$14:$BG$27,0),2))&lt;&gt;"",INDEX(BDHK2,MATCH($A33,DiemHKII!$B$4:$B$58,0),INDEX($BG$14:$BK$27,MATCH(M$7,$BG$14:$BG$27,0),4)),""),"")</f>
        <v/>
      </c>
      <c r="O33" s="48" t="str">
        <f>IF($A33&lt;&gt;"",IF(INDEX(BDHK2,MATCH($A33,DiemHKII!$B$4:$B$58,0),INDEX($BG$14:$BK$27,MATCH(M$7,$BG$14:$BG$27,0),2))&lt;&gt;"",INDEX(BDHK2,MATCH($A33,DiemHKII!$B$4:$B$58,0),INDEX($BG$14:$BK$27,MATCH(M$7,$BG$14:$BG$27,0),5)),""),"")</f>
        <v/>
      </c>
      <c r="P33" s="46" t="str">
        <f>IF($A33&lt;&gt;"",IF(INDEX(BDHK2,MATCH($A33,DiemHKII!$B$4:$B$58,0),INDEX($BG$14:$BK$27,MATCH(P$7,$BG$14:$BG$27,0),2))&lt;&gt;"",INDEX(BDHK2,MATCH($A33,DiemHKII!$B$4:$B$58,0),INDEX($BG$14:$BK$27,MATCH(P$7,$BG$14:$BG$27,0),3)),""),"")</f>
        <v/>
      </c>
      <c r="Q33" s="47" t="str">
        <f>IF($A33&lt;&gt;"",IF(INDEX(BDHK2,MATCH($A33,DiemHKII!$B$4:$B$58,0),INDEX($BG$14:$BK$27,MATCH(P$7,$BG$14:$BG$27,0),2))&lt;&gt;"",INDEX(BDHK2,MATCH($A33,DiemHKII!$B$4:$B$58,0),INDEX($BG$14:$BK$27,MATCH(P$7,$BG$14:$BG$27,0),4)),""),"")</f>
        <v/>
      </c>
      <c r="R33" s="48" t="str">
        <f>IF($A33&lt;&gt;"",IF(INDEX(BDHK2,MATCH($A33,DiemHKII!$B$4:$B$58,0),INDEX($BG$14:$BK$27,MATCH(P$7,$BG$14:$BG$27,0),2))&lt;&gt;"",INDEX(BDHK2,MATCH($A33,DiemHKII!$B$4:$B$58,0),INDEX($BG$14:$BK$27,MATCH(P$7,$BG$14:$BG$27,0),5)),""),"")</f>
        <v/>
      </c>
      <c r="S33" s="46" t="str">
        <f>IF($A33&lt;&gt;"",IF(INDEX(BDHK2,MATCH($A33,DiemHKII!$B$4:$B$58,0),INDEX($BG$14:$BK$27,MATCH(S$7,$BG$14:$BG$27,0),2))&lt;&gt;"",INDEX(BDHK2,MATCH($A33,DiemHKII!$B$4:$B$58,0),INDEX($BG$14:$BK$27,MATCH(S$7,$BG$14:$BG$27,0),3)),""),"")</f>
        <v/>
      </c>
      <c r="T33" s="47" t="str">
        <f>IF($A33&lt;&gt;"",IF(INDEX(BDHK2,MATCH($A33,DiemHKII!$B$4:$B$58,0),INDEX($BG$14:$BK$27,MATCH(S$7,$BG$14:$BG$27,0),2))&lt;&gt;"",INDEX(BDHK2,MATCH($A33,DiemHKII!$B$4:$B$58,0),INDEX($BG$14:$BK$27,MATCH(S$7,$BG$14:$BG$27,0),4)),""),"")</f>
        <v/>
      </c>
      <c r="U33" s="48" t="str">
        <f>IF($A33&lt;&gt;"",IF(INDEX(BDHK2,MATCH($A33,DiemHKII!$B$4:$B$58,0),INDEX($BG$14:$BK$27,MATCH(S$7,$BG$14:$BG$27,0),2))&lt;&gt;"",INDEX(BDHK2,MATCH($A33,DiemHKII!$B$4:$B$58,0),INDEX($BG$14:$BK$27,MATCH(S$7,$BG$14:$BG$27,0),5)),""),"")</f>
        <v/>
      </c>
      <c r="V33" s="46" t="str">
        <f>IF($A33&lt;&gt;"",IF(INDEX(BDHK2,MATCH($A33,DiemHKII!$B$4:$B$58,0),INDEX($BG$14:$BK$27,MATCH(V$7,$BG$14:$BG$27,0),2))&lt;&gt;"",INDEX(BDHK2,MATCH($A33,DiemHKII!$B$4:$B$58,0),INDEX($BG$14:$BK$27,MATCH(V$7,$BG$14:$BG$27,0),3)),""),"")</f>
        <v/>
      </c>
      <c r="W33" s="47" t="str">
        <f>IF($A33&lt;&gt;"",IF(INDEX(BDHK2,MATCH($A33,DiemHKII!$B$4:$B$58,0),INDEX($BG$14:$BK$27,MATCH(V$7,$BG$14:$BG$27,0),2))&lt;&gt;"",INDEX(BDHK2,MATCH($A33,DiemHKII!$B$4:$B$58,0),INDEX($BG$14:$BK$27,MATCH(V$7,$BG$14:$BG$27,0),4)),""),"")</f>
        <v/>
      </c>
      <c r="X33" s="48" t="str">
        <f>IF($A33&lt;&gt;"",IF(INDEX(BDHK2,MATCH($A33,DiemHKII!$B$4:$B$58,0),INDEX($BG$14:$BK$27,MATCH(V$7,$BG$14:$BG$27,0),2))&lt;&gt;"",INDEX(BDHK2,MATCH($A33,DiemHKII!$B$4:$B$58,0),INDEX($BG$14:$BK$27,MATCH(V$7,$BG$14:$BG$27,0),5)),""),"")</f>
        <v/>
      </c>
      <c r="Y33" s="46" t="str">
        <f>IF($A33&lt;&gt;"",IF(INDEX(BDHK2,MATCH($A33,DiemHKII!$B$4:$B$58,0),INDEX($BG$14:$BK$27,MATCH(Y$7,$BG$14:$BG$27,0),2))&lt;&gt;"",INDEX(BDHK2,MATCH($A33,DiemHKII!$B$4:$B$58,0),INDEX($BG$14:$BK$27,MATCH(Y$7,$BG$14:$BG$27,0),3)),""),"")</f>
        <v/>
      </c>
      <c r="Z33" s="47" t="str">
        <f>IF($A33&lt;&gt;"",IF(INDEX(BDHK2,MATCH($A33,DiemHKII!$B$4:$B$58,0),INDEX($BG$14:$BK$27,MATCH(Y$7,$BG$14:$BG$27,0),2))&lt;&gt;"",INDEX(BDHK2,MATCH($A33,DiemHKII!$B$4:$B$58,0),INDEX($BG$14:$BK$27,MATCH(Y$7,$BG$14:$BG$27,0),4)),""),"")</f>
        <v/>
      </c>
      <c r="AA33" s="48" t="str">
        <f>IF($A33&lt;&gt;"",IF(INDEX(BDHK2,MATCH($A33,DiemHKII!$B$4:$B$58,0),INDEX($BG$14:$BK$27,MATCH(Y$7,$BG$14:$BG$27,0),2))&lt;&gt;"",INDEX(BDHK2,MATCH($A33,DiemHKII!$B$4:$B$58,0),INDEX($BG$14:$BK$27,MATCH(Y$7,$BG$14:$BG$27,0),5)),""),"")</f>
        <v/>
      </c>
      <c r="AB33" s="46" t="str">
        <f>IF($A33&lt;&gt;"",IF(INDEX(BDHK2,MATCH($A33,DiemHKII!$B$4:$B$58,0),INDEX($BG$14:$BK$27,MATCH(AB$7,$BG$14:$BG$27,0),2))&lt;&gt;"",INDEX(BDHK2,MATCH($A33,DiemHKII!$B$4:$B$58,0),INDEX($BG$14:$BK$27,MATCH(AB$7,$BG$14:$BG$27,0),3)),""),"")</f>
        <v/>
      </c>
      <c r="AC33" s="47" t="str">
        <f>IF($A33&lt;&gt;"",IF(INDEX(BDHK2,MATCH($A33,DiemHKII!$B$4:$B$58,0),INDEX($BG$14:$BK$27,MATCH(AB$7,$BG$14:$BG$27,0),2))&lt;&gt;"",INDEX(BDHK2,MATCH($A33,DiemHKII!$B$4:$B$58,0),INDEX($BG$14:$BK$27,MATCH(AB$7,$BG$14:$BG$27,0),4)),""),"")</f>
        <v/>
      </c>
      <c r="AD33" s="48" t="str">
        <f>IF($A33&lt;&gt;"",IF(INDEX(BDHK2,MATCH($A33,DiemHKII!$B$4:$B$58,0),INDEX($BG$14:$BK$27,MATCH(AB$7,$BG$14:$BG$27,0),2))&lt;&gt;"",INDEX(BDHK2,MATCH($A33,DiemHKII!$B$4:$B$58,0),INDEX($BG$14:$BK$27,MATCH(AB$7,$BG$14:$BG$27,0),5)),""),"")</f>
        <v/>
      </c>
      <c r="AE33" s="46" t="str">
        <f>IF($A33&lt;&gt;"",IF(INDEX(BDHK2,MATCH($A33,DiemHKII!$B$4:$B$58,0),INDEX($BG$14:$BK$27,MATCH(AE$7,$BG$14:$BG$27,0),2))&lt;&gt;"",INDEX(BDHK2,MATCH($A33,DiemHKII!$B$4:$B$58,0),INDEX($BG$14:$BK$27,MATCH(AE$7,$BG$14:$BG$27,0),3)),""),"")</f>
        <v/>
      </c>
      <c r="AF33" s="47" t="str">
        <f>IF($A33&lt;&gt;"",IF(INDEX(BDHK2,MATCH($A33,DiemHKII!$B$4:$B$58,0),INDEX($BG$14:$BK$27,MATCH(AE$7,$BG$14:$BG$27,0),2))&lt;&gt;"",INDEX(BDHK2,MATCH($A33,DiemHKII!$B$4:$B$58,0),INDEX($BG$14:$BK$27,MATCH(AE$7,$BG$14:$BG$27,0),4)),""),"")</f>
        <v/>
      </c>
      <c r="AG33" s="48" t="str">
        <f>IF($A33&lt;&gt;"",IF(INDEX(BDHK2,MATCH($A33,DiemHKII!$B$4:$B$58,0),INDEX($BG$14:$BK$27,MATCH(AE$7,$BG$14:$BG$27,0),2))&lt;&gt;"",INDEX(BDHK2,MATCH($A33,DiemHKII!$B$4:$B$58,0),INDEX($BG$14:$BK$27,MATCH(AE$7,$BG$14:$BG$27,0),5)),""),"")</f>
        <v/>
      </c>
      <c r="AH33" s="46" t="str">
        <f>IF($A33&lt;&gt;"",IF(INDEX(BDHK2,MATCH($A33,DiemHKII!$B$4:$B$58,0),INDEX($BG$14:$BK$27,MATCH(AH$7,$BG$14:$BG$27,0),2))&lt;&gt;"",INDEX(BDHK2,MATCH($A33,DiemHKII!$B$4:$B$58,0),INDEX($BG$14:$BK$27,MATCH(AH$7,$BG$14:$BG$27,0),3)),""),"")</f>
        <v/>
      </c>
      <c r="AI33" s="47" t="str">
        <f>IF($A33&lt;&gt;"",IF(INDEX(BDHK2,MATCH($A33,DiemHKII!$B$4:$B$58,0),INDEX($BG$14:$BK$27,MATCH(AH$7,$BG$14:$BG$27,0),2))&lt;&gt;"",INDEX(BDHK2,MATCH($A33,DiemHKII!$B$4:$B$58,0),INDEX($BG$14:$BK$27,MATCH(AH$7,$BG$14:$BG$27,0),4)),""),"")</f>
        <v/>
      </c>
      <c r="AJ33" s="48" t="str">
        <f>IF($A33&lt;&gt;"",IF(INDEX(BDHK2,MATCH($A33,DiemHKII!$B$4:$B$58,0),INDEX($BG$14:$BK$27,MATCH(AH$7,$BG$14:$BG$27,0),2))&lt;&gt;"",INDEX(BDHK2,MATCH($A33,DiemHKII!$B$4:$B$58,0),INDEX($BG$14:$BK$27,MATCH(AH$7,$BG$14:$BG$27,0),5)),""),"")</f>
        <v/>
      </c>
      <c r="AK33" s="49" t="str">
        <f>IF($A33&lt;&gt;"",IF(INDEX(BDHK2,MATCH($A33,DiemHKII!$B$4:$B$58,0),INDEX($BG$14:$BK$27,MATCH(AK$7,$BG$14:$BG$27,0),2))&lt;&gt;"",INDEX(BDHK2,MATCH($A33,DiemHKII!$B$4:$B$58,0),INDEX($BG$14:$BK$27,MATCH(AK$7,$BG$14:$BG$27,0),3)),""),"")</f>
        <v/>
      </c>
      <c r="AL33" s="50" t="str">
        <f>IF($A33&lt;&gt;"",IF(INDEX(BDHK2,MATCH($A33,DiemHKII!$B$4:$B$58,0),INDEX($BG$14:$BK$27,MATCH(AK$7,$BG$14:$BG$27,0),2))&lt;&gt;"",INDEX(BDHK2,MATCH($A33,DiemHKII!$B$4:$B$58,0),INDEX($BG$14:$BK$27,MATCH(AK$7,$BG$14:$BG$27,0),4)),""),"")</f>
        <v/>
      </c>
      <c r="AM33" s="51" t="str">
        <f>IF($A33&lt;&gt;"",IF(INDEX(BDHK2,MATCH($A33,DiemHKII!$B$4:$B$58,0),INDEX($BG$14:$BK$27,MATCH(AK$7,$BG$14:$BG$27,0),2))&lt;&gt;"",INDEX(BDHK2,MATCH($A33,DiemHKII!$B$4:$B$58,0),INDEX($BG$14:$BK$27,MATCH(AK$7,$BG$14:$BG$27,0),5)),""),"")</f>
        <v/>
      </c>
      <c r="AN33" s="46" t="str">
        <f>IF($A33&lt;&gt;"",IF(INDEX(BDHK2,MATCH($A33,DiemHKII!$B$4:$B$58,0),INDEX($BG$14:$BK$27,MATCH(AN$7,$BG$14:$BG$27,0),2))&lt;&gt;"",INDEX(BDHK2,MATCH($A33,DiemHKII!$B$4:$B$58,0),INDEX($BG$14:$BK$27,MATCH(AN$7,$BG$14:$BG$27,0),3)),""),"")</f>
        <v/>
      </c>
      <c r="AO33" s="47" t="str">
        <f>IF($A33&lt;&gt;"",IF(INDEX(BDHK2,MATCH($A33,DiemHKII!$B$4:$B$58,0),INDEX($BG$14:$BK$27,MATCH(AN$7,$BG$14:$BG$27,0),2))&lt;&gt;"",INDEX(BDHK2,MATCH($A33,DiemHKII!$B$4:$B$58,0),INDEX($BG$14:$BK$27,MATCH(AN$7,$BG$14:$BG$27,0),4)),""),"")</f>
        <v/>
      </c>
      <c r="AP33" s="48" t="str">
        <f>IF($A33&lt;&gt;"",IF(INDEX(BDHK2,MATCH($A33,DiemHKII!$B$4:$B$58,0),INDEX($BG$14:$BK$27,MATCH(AN$7,$BG$14:$BG$27,0),2))&lt;&gt;"",INDEX(BDHK2,MATCH($A33,DiemHKII!$B$4:$B$58,0),INDEX($BG$14:$BK$27,MATCH(AN$7,$BG$14:$BG$27,0),5)),""),"")</f>
        <v/>
      </c>
      <c r="AQ33" s="46" t="str">
        <f>IF($A33&lt;&gt;"",IF(INDEX(BDHK2,MATCH($A33,DiemHKII!$B$4:$B$58,0),INDEX($BG$14:$BK$27,MATCH(AQ$7,$BG$14:$BG$27,0),2))&lt;&gt;"",INDEX(BDHK2,MATCH($A33,DiemHKII!$B$4:$B$58,0),INDEX($BG$14:$BK$27,MATCH(AQ$7,$BG$14:$BG$27,0),3)),""),"")</f>
        <v/>
      </c>
      <c r="AR33" s="47" t="str">
        <f>IF($A33&lt;&gt;"",IF(INDEX(BDHK2,MATCH($A33,DiemHKII!$B$4:$B$58,0),INDEX($BG$14:$BK$27,MATCH(AQ$7,$BG$14:$BG$27,0),2))&lt;&gt;"",INDEX(BDHK2,MATCH($A33,DiemHKII!$B$4:$B$58,0),INDEX($BG$14:$BK$27,MATCH(AQ$7,$BG$14:$BG$27,0),4)),""),"")</f>
        <v/>
      </c>
      <c r="AS33" s="48" t="str">
        <f>IF($A33&lt;&gt;"",IF(INDEX(BDHK2,MATCH($A33,DiemHKII!$B$4:$B$58,0),INDEX($BG$14:$BK$27,MATCH(AQ$7,$BG$14:$BG$27,0),2))&lt;&gt;"",INDEX(BDHK2,MATCH($A33,DiemHKII!$B$4:$B$58,0),INDEX($BG$14:$BK$27,MATCH(AQ$7,$BG$14:$BG$27,0),5)),""),"")</f>
        <v/>
      </c>
      <c r="AT33" s="46">
        <f>IFERROR(IF($A33&gt;=1,IF(INDEX(THHKI!$V$8:$Y$62,MATCH($BL33,THHKI!$AG$8:$AG$62,0),1)&lt;&gt;"",INDEX(THHKI!$V$8:$Y$62,MATCH($BL33,THHKI!$AG$8:$AG$62,0),1),""),""),"")</f>
        <v>9.5</v>
      </c>
      <c r="AU33" s="47" t="str">
        <f>IF($A33&gt;=1,IF(INDEX(THHKII!$V$8:$Y$62,MATCH($BL33,THHKII!$AG$8:$AG$62,0),1)&lt;&gt;"",INDEX(THHKII!$V$8:$Y$62,MATCH($BL33,THHKII!$AG$8:$AG$62,0),1),""),"")</f>
        <v/>
      </c>
      <c r="AV33" s="52" t="str">
        <f>IF($A33&gt;=1,IF(INDEX(THCN!$V$8:$Y$62,MATCH($BL33,THCN!$AG$8:$AG$62,0),1)&lt;&gt;"",INDEX(THCN!$V$8:$Y$62,MATCH($BL33,THCN!$AG$8:$AG$62,0),1),""),"")</f>
        <v/>
      </c>
      <c r="AW33" s="53" t="str">
        <f>IFERROR(IF($A33&gt;=1,IF(INDEX(THHKI!$V$8:$Y$62,MATCH($BL33,THHKI!$AG$8:$AG$62,0),2)&lt;&gt;"",INDEX(THHKI!$V$8:$Y$62,MATCH($BL33,THHKI!$AG$8:$AG$62,0),2),""),""),"")</f>
        <v>Giỏi</v>
      </c>
      <c r="AX33" s="50" t="str">
        <f>IF($A33&gt;=1,IF(INDEX(THHKII!$V$8:$Y$62,MATCH($BL33,THHKII!$AG$8:$AG$62,0),2)&lt;&gt;"",INDEX(THHKII!$V$8:$Y$62,MATCH($BL33,THHKII!$AG$8:$AG$62,0),2),""),"")</f>
        <v/>
      </c>
      <c r="AY33" s="54" t="str">
        <f>IF($A33&gt;=1,IF(INDEX(THCN!$V$8:$Y$62,MATCH($BL33,THCN!$AG$8:$AG$62,0),2)&lt;&gt;"",INDEX(THCN!$V$8:$Y$62,MATCH($BL33,THCN!$AG$8:$AG$62,0),2),""),"")</f>
        <v/>
      </c>
      <c r="AZ33" s="49" t="str">
        <f>IFERROR(IF($A33&gt;=1,IF(INDEX(THHKI!$V$8:$Y$62,MATCH($BL33,THHKI!$AG$8:$AG$62,0),3)&lt;&gt;"",INDEX(THHKI!$V$8:$Y$62,MATCH($BL33,THHKI!$AG$8:$AG$62,0),3),""),""),"")</f>
        <v>Tốt</v>
      </c>
      <c r="BA33" s="50" t="str">
        <f>IF($A33&gt;=1,IF(INDEX(THHKII!$V$8:$Y$62,MATCH($BL33,THHKII!$AG$8:$AG$62,0),3)&lt;&gt;"",INDEX(THHKII!$V$8:$Y$62,MATCH($BL33,THHKII!$AG$8:$AG$62,0),3),""),"")</f>
        <v/>
      </c>
      <c r="BB33" s="55" t="str">
        <f>IF($A33&gt;=1,IF(INDEX(THCN!$V$8:$Y$62,MATCH($BL33,THCN!$AG$8:$AG$62,0),3)&lt;&gt;"",INDEX(THCN!$V$8:$Y$62,MATCH($BL33,THCN!$AG$8:$AG$62,0),3),""),"")</f>
        <v/>
      </c>
      <c r="BC33" s="56" t="str">
        <f>IF($A33&gt;=1,IF(INDEX(THCN!$V$8:$Y$62,MATCH($BL33,THCN!$AG$8:$AG$62,0),4)&lt;&gt;"",INDEX(THCN!$V$8:$Y$62,MATCH($BL33,THCN!$AG$8:$AG$62,0),4),""),"")</f>
        <v/>
      </c>
      <c r="BE33" s="43" t="str">
        <f>IFERROR(IF($A33&gt;=1,IF(INDEX(THHKI!$V$8:$Y$62,MATCH($BL33,THHKI!$AG$8:$AG$62,0),4)&lt;&gt;"",INDEX(THHKI!$V$8:$Y$62,MATCH($BL33,THHKI!$AG$8:$AG$62,0),4),""),""),"")</f>
        <v>HSG</v>
      </c>
      <c r="BF33" s="56" t="str">
        <f>IF($A33&gt;=1,IF(INDEX(THHKII!$V$8:$Y$62,MATCH($BL33,THHKII!$AG$8:$AG$62,0),4)&lt;&gt;"",INDEX(THHKII!$V$8:$Y$62,MATCH($BL33,THHKII!$AG$8:$AG$62,0),4),""),"")</f>
        <v/>
      </c>
      <c r="BL33" s="30" t="str">
        <f>IF($A33&lt;&gt;"",INDEX(DiemHKII!$B$4:$K$58,MATCH($A33,DiemHKII!$B$4:$B$58,0),2),"")</f>
        <v>12A1Nguyễn ThụcNhi04/10/2004</v>
      </c>
    </row>
    <row r="34" spans="1:64" s="30" customFormat="1" ht="29.1" customHeight="1">
      <c r="A34" s="16">
        <f>IF(A33&lt;MAX(DiemHKII!$B$4:$B$58),A33+1,"")</f>
        <v>26</v>
      </c>
      <c r="B34" s="17" t="str">
        <f>IF($A34&lt;&gt;"",PROPER(INDEX(DiemHKII!$B$4:$K$58,MATCH($A34,DiemHKII!$B$4:$B$58,0),4)),"")</f>
        <v>Trần Thị Hải</v>
      </c>
      <c r="C34" s="18" t="str">
        <f>IF($A34&lt;&gt;"",PROPER(INDEX(DiemHKII!$B$4:$K$58,MATCH($A34,DiemHKII!$B$4:$B$58,0),5)),"")</f>
        <v>Như</v>
      </c>
      <c r="D34" s="19" t="str">
        <f>IF($A34&lt;&gt;"",IF(INDEX(BDHK2,MATCH($A34,DiemHKII!$B$4:$B$58,0),INDEX($BG$14:$BK$27,MATCH(D$7,$BG$14:$BG$27,0),2))&lt;&gt;"",INDEX(BDHK2,MATCH($A34,DiemHKII!$B$4:$B$58,0),INDEX($BG$14:$BK$27,MATCH(D$7,$BG$14:$BG$27,0),3)),""),"")</f>
        <v/>
      </c>
      <c r="E34" s="20" t="str">
        <f>IF($A34&lt;&gt;"",IF(INDEX(BDHK2,MATCH($A34,DiemHKII!$B$4:$B$58,0),INDEX($BG$14:$BK$27,MATCH(D$7,$BG$14:$BG$27,0),2))&lt;&gt;"",INDEX(BDHK2,MATCH($A34,DiemHKII!$B$4:$B$58,0),INDEX($BG$14:$BK$27,MATCH(D$7,$BG$14:$BG$27,0),4)),""),"")</f>
        <v/>
      </c>
      <c r="F34" s="21" t="str">
        <f>IF($A34&lt;&gt;"",IF(INDEX(BDHK2,MATCH($A34,DiemHKII!$B$4:$B$58,0),INDEX($BG$14:$BK$27,MATCH(D$7,$BG$14:$BG$27,0),2))&lt;&gt;"",INDEX(BDHK2,MATCH($A34,DiemHKII!$B$4:$B$58,0),INDEX($BG$14:$BK$27,MATCH(D$7,$BG$14:$BG$27,0),5)),""),"")</f>
        <v/>
      </c>
      <c r="G34" s="19" t="str">
        <f>IF($A34&lt;&gt;"",IF(INDEX(BDHK2,MATCH($A34,DiemHKII!$B$4:$B$58,0),INDEX($BG$14:$BK$27,MATCH(G$7,$BG$14:$BG$27,0),2))&lt;&gt;"",INDEX(BDHK2,MATCH($A34,DiemHKII!$B$4:$B$58,0),INDEX($BG$14:$BK$27,MATCH(G$7,$BG$14:$BG$27,0),3)),""),"")</f>
        <v/>
      </c>
      <c r="H34" s="20" t="str">
        <f>IF($A34&lt;&gt;"",IF(INDEX(BDHK2,MATCH($A34,DiemHKII!$B$4:$B$58,0),INDEX($BG$14:$BK$27,MATCH(G$7,$BG$14:$BG$27,0),2))&lt;&gt;"",INDEX(BDHK2,MATCH($A34,DiemHKII!$B$4:$B$58,0),INDEX($BG$14:$BK$27,MATCH(G$7,$BG$14:$BG$27,0),4)),""),"")</f>
        <v/>
      </c>
      <c r="I34" s="21" t="str">
        <f>IF($A34&lt;&gt;"",IF(INDEX(BDHK2,MATCH($A34,DiemHKII!$B$4:$B$58,0),INDEX($BG$14:$BK$27,MATCH(G$7,$BG$14:$BG$27,0),2))&lt;&gt;"",INDEX(BDHK2,MATCH($A34,DiemHKII!$B$4:$B$58,0),INDEX($BG$14:$BK$27,MATCH(G$7,$BG$14:$BG$27,0),5)),""),"")</f>
        <v/>
      </c>
      <c r="J34" s="19" t="str">
        <f>IF($A34&lt;&gt;"",IF(INDEX(BDHK2,MATCH($A34,DiemHKII!$B$4:$B$58,0),INDEX($BG$14:$BK$27,MATCH(J$7,$BG$14:$BG$27,0),2))&lt;&gt;"",INDEX(BDHK2,MATCH($A34,DiemHKII!$B$4:$B$58,0),INDEX($BG$14:$BK$27,MATCH(J$7,$BG$14:$BG$27,0),3)),""),"")</f>
        <v/>
      </c>
      <c r="K34" s="20" t="str">
        <f>IF($A34&lt;&gt;"",IF(INDEX(BDHK2,MATCH($A34,DiemHKII!$B$4:$B$58,0),INDEX($BG$14:$BK$27,MATCH(J$7,$BG$14:$BG$27,0),2))&lt;&gt;"",INDEX(BDHK2,MATCH($A34,DiemHKII!$B$4:$B$58,0),INDEX($BG$14:$BK$27,MATCH(J$7,$BG$14:$BG$27,0),4)),""),"")</f>
        <v/>
      </c>
      <c r="L34" s="21" t="str">
        <f>IF($A34&lt;&gt;"",IF(INDEX(BDHK2,MATCH($A34,DiemHKII!$B$4:$B$58,0),INDEX($BG$14:$BK$27,MATCH(J$7,$BG$14:$BG$27,0),2))&lt;&gt;"",INDEX(BDHK2,MATCH($A34,DiemHKII!$B$4:$B$58,0),INDEX($BG$14:$BK$27,MATCH(J$7,$BG$14:$BG$27,0),5)),""),"")</f>
        <v/>
      </c>
      <c r="M34" s="19" t="str">
        <f>IF($A34&lt;&gt;"",IF(INDEX(BDHK2,MATCH($A34,DiemHKII!$B$4:$B$58,0),INDEX($BG$14:$BK$27,MATCH(M$7,$BG$14:$BG$27,0),2))&lt;&gt;"",INDEX(BDHK2,MATCH($A34,DiemHKII!$B$4:$B$58,0),INDEX($BG$14:$BK$27,MATCH(M$7,$BG$14:$BG$27,0),3)),""),"")</f>
        <v/>
      </c>
      <c r="N34" s="20" t="str">
        <f>IF($A34&lt;&gt;"",IF(INDEX(BDHK2,MATCH($A34,DiemHKII!$B$4:$B$58,0),INDEX($BG$14:$BK$27,MATCH(M$7,$BG$14:$BG$27,0),2))&lt;&gt;"",INDEX(BDHK2,MATCH($A34,DiemHKII!$B$4:$B$58,0),INDEX($BG$14:$BK$27,MATCH(M$7,$BG$14:$BG$27,0),4)),""),"")</f>
        <v/>
      </c>
      <c r="O34" s="21" t="str">
        <f>IF($A34&lt;&gt;"",IF(INDEX(BDHK2,MATCH($A34,DiemHKII!$B$4:$B$58,0),INDEX($BG$14:$BK$27,MATCH(M$7,$BG$14:$BG$27,0),2))&lt;&gt;"",INDEX(BDHK2,MATCH($A34,DiemHKII!$B$4:$B$58,0),INDEX($BG$14:$BK$27,MATCH(M$7,$BG$14:$BG$27,0),5)),""),"")</f>
        <v/>
      </c>
      <c r="P34" s="19" t="str">
        <f>IF($A34&lt;&gt;"",IF(INDEX(BDHK2,MATCH($A34,DiemHKII!$B$4:$B$58,0),INDEX($BG$14:$BK$27,MATCH(P$7,$BG$14:$BG$27,0),2))&lt;&gt;"",INDEX(BDHK2,MATCH($A34,DiemHKII!$B$4:$B$58,0),INDEX($BG$14:$BK$27,MATCH(P$7,$BG$14:$BG$27,0),3)),""),"")</f>
        <v/>
      </c>
      <c r="Q34" s="20" t="str">
        <f>IF($A34&lt;&gt;"",IF(INDEX(BDHK2,MATCH($A34,DiemHKII!$B$4:$B$58,0),INDEX($BG$14:$BK$27,MATCH(P$7,$BG$14:$BG$27,0),2))&lt;&gt;"",INDEX(BDHK2,MATCH($A34,DiemHKII!$B$4:$B$58,0),INDEX($BG$14:$BK$27,MATCH(P$7,$BG$14:$BG$27,0),4)),""),"")</f>
        <v/>
      </c>
      <c r="R34" s="21" t="str">
        <f>IF($A34&lt;&gt;"",IF(INDEX(BDHK2,MATCH($A34,DiemHKII!$B$4:$B$58,0),INDEX($BG$14:$BK$27,MATCH(P$7,$BG$14:$BG$27,0),2))&lt;&gt;"",INDEX(BDHK2,MATCH($A34,DiemHKII!$B$4:$B$58,0),INDEX($BG$14:$BK$27,MATCH(P$7,$BG$14:$BG$27,0),5)),""),"")</f>
        <v/>
      </c>
      <c r="S34" s="19" t="str">
        <f>IF($A34&lt;&gt;"",IF(INDEX(BDHK2,MATCH($A34,DiemHKII!$B$4:$B$58,0),INDEX($BG$14:$BK$27,MATCH(S$7,$BG$14:$BG$27,0),2))&lt;&gt;"",INDEX(BDHK2,MATCH($A34,DiemHKII!$B$4:$B$58,0),INDEX($BG$14:$BK$27,MATCH(S$7,$BG$14:$BG$27,0),3)),""),"")</f>
        <v/>
      </c>
      <c r="T34" s="20" t="str">
        <f>IF($A34&lt;&gt;"",IF(INDEX(BDHK2,MATCH($A34,DiemHKII!$B$4:$B$58,0),INDEX($BG$14:$BK$27,MATCH(S$7,$BG$14:$BG$27,0),2))&lt;&gt;"",INDEX(BDHK2,MATCH($A34,DiemHKII!$B$4:$B$58,0),INDEX($BG$14:$BK$27,MATCH(S$7,$BG$14:$BG$27,0),4)),""),"")</f>
        <v/>
      </c>
      <c r="U34" s="21" t="str">
        <f>IF($A34&lt;&gt;"",IF(INDEX(BDHK2,MATCH($A34,DiemHKII!$B$4:$B$58,0),INDEX($BG$14:$BK$27,MATCH(S$7,$BG$14:$BG$27,0),2))&lt;&gt;"",INDEX(BDHK2,MATCH($A34,DiemHKII!$B$4:$B$58,0),INDEX($BG$14:$BK$27,MATCH(S$7,$BG$14:$BG$27,0),5)),""),"")</f>
        <v/>
      </c>
      <c r="V34" s="19" t="str">
        <f>IF($A34&lt;&gt;"",IF(INDEX(BDHK2,MATCH($A34,DiemHKII!$B$4:$B$58,0),INDEX($BG$14:$BK$27,MATCH(V$7,$BG$14:$BG$27,0),2))&lt;&gt;"",INDEX(BDHK2,MATCH($A34,DiemHKII!$B$4:$B$58,0),INDEX($BG$14:$BK$27,MATCH(V$7,$BG$14:$BG$27,0),3)),""),"")</f>
        <v/>
      </c>
      <c r="W34" s="20" t="str">
        <f>IF($A34&lt;&gt;"",IF(INDEX(BDHK2,MATCH($A34,DiemHKII!$B$4:$B$58,0),INDEX($BG$14:$BK$27,MATCH(V$7,$BG$14:$BG$27,0),2))&lt;&gt;"",INDEX(BDHK2,MATCH($A34,DiemHKII!$B$4:$B$58,0),INDEX($BG$14:$BK$27,MATCH(V$7,$BG$14:$BG$27,0),4)),""),"")</f>
        <v/>
      </c>
      <c r="X34" s="21" t="str">
        <f>IF($A34&lt;&gt;"",IF(INDEX(BDHK2,MATCH($A34,DiemHKII!$B$4:$B$58,0),INDEX($BG$14:$BK$27,MATCH(V$7,$BG$14:$BG$27,0),2))&lt;&gt;"",INDEX(BDHK2,MATCH($A34,DiemHKII!$B$4:$B$58,0),INDEX($BG$14:$BK$27,MATCH(V$7,$BG$14:$BG$27,0),5)),""),"")</f>
        <v/>
      </c>
      <c r="Y34" s="19" t="str">
        <f>IF($A34&lt;&gt;"",IF(INDEX(BDHK2,MATCH($A34,DiemHKII!$B$4:$B$58,0),INDEX($BG$14:$BK$27,MATCH(Y$7,$BG$14:$BG$27,0),2))&lt;&gt;"",INDEX(BDHK2,MATCH($A34,DiemHKII!$B$4:$B$58,0),INDEX($BG$14:$BK$27,MATCH(Y$7,$BG$14:$BG$27,0),3)),""),"")</f>
        <v/>
      </c>
      <c r="Z34" s="20" t="str">
        <f>IF($A34&lt;&gt;"",IF(INDEX(BDHK2,MATCH($A34,DiemHKII!$B$4:$B$58,0),INDEX($BG$14:$BK$27,MATCH(Y$7,$BG$14:$BG$27,0),2))&lt;&gt;"",INDEX(BDHK2,MATCH($A34,DiemHKII!$B$4:$B$58,0),INDEX($BG$14:$BK$27,MATCH(Y$7,$BG$14:$BG$27,0),4)),""),"")</f>
        <v/>
      </c>
      <c r="AA34" s="21" t="str">
        <f>IF($A34&lt;&gt;"",IF(INDEX(BDHK2,MATCH($A34,DiemHKII!$B$4:$B$58,0),INDEX($BG$14:$BK$27,MATCH(Y$7,$BG$14:$BG$27,0),2))&lt;&gt;"",INDEX(BDHK2,MATCH($A34,DiemHKII!$B$4:$B$58,0),INDEX($BG$14:$BK$27,MATCH(Y$7,$BG$14:$BG$27,0),5)),""),"")</f>
        <v/>
      </c>
      <c r="AB34" s="19" t="str">
        <f>IF($A34&lt;&gt;"",IF(INDEX(BDHK2,MATCH($A34,DiemHKII!$B$4:$B$58,0),INDEX($BG$14:$BK$27,MATCH(AB$7,$BG$14:$BG$27,0),2))&lt;&gt;"",INDEX(BDHK2,MATCH($A34,DiemHKII!$B$4:$B$58,0),INDEX($BG$14:$BK$27,MATCH(AB$7,$BG$14:$BG$27,0),3)),""),"")</f>
        <v/>
      </c>
      <c r="AC34" s="20" t="str">
        <f>IF($A34&lt;&gt;"",IF(INDEX(BDHK2,MATCH($A34,DiemHKII!$B$4:$B$58,0),INDEX($BG$14:$BK$27,MATCH(AB$7,$BG$14:$BG$27,0),2))&lt;&gt;"",INDEX(BDHK2,MATCH($A34,DiemHKII!$B$4:$B$58,0),INDEX($BG$14:$BK$27,MATCH(AB$7,$BG$14:$BG$27,0),4)),""),"")</f>
        <v/>
      </c>
      <c r="AD34" s="21" t="str">
        <f>IF($A34&lt;&gt;"",IF(INDEX(BDHK2,MATCH($A34,DiemHKII!$B$4:$B$58,0),INDEX($BG$14:$BK$27,MATCH(AB$7,$BG$14:$BG$27,0),2))&lt;&gt;"",INDEX(BDHK2,MATCH($A34,DiemHKII!$B$4:$B$58,0),INDEX($BG$14:$BK$27,MATCH(AB$7,$BG$14:$BG$27,0),5)),""),"")</f>
        <v/>
      </c>
      <c r="AE34" s="19" t="str">
        <f>IF($A34&lt;&gt;"",IF(INDEX(BDHK2,MATCH($A34,DiemHKII!$B$4:$B$58,0),INDEX($BG$14:$BK$27,MATCH(AE$7,$BG$14:$BG$27,0),2))&lt;&gt;"",INDEX(BDHK2,MATCH($A34,DiemHKII!$B$4:$B$58,0),INDEX($BG$14:$BK$27,MATCH(AE$7,$BG$14:$BG$27,0),3)),""),"")</f>
        <v/>
      </c>
      <c r="AF34" s="20" t="str">
        <f>IF($A34&lt;&gt;"",IF(INDEX(BDHK2,MATCH($A34,DiemHKII!$B$4:$B$58,0),INDEX($BG$14:$BK$27,MATCH(AE$7,$BG$14:$BG$27,0),2))&lt;&gt;"",INDEX(BDHK2,MATCH($A34,DiemHKII!$B$4:$B$58,0),INDEX($BG$14:$BK$27,MATCH(AE$7,$BG$14:$BG$27,0),4)),""),"")</f>
        <v/>
      </c>
      <c r="AG34" s="21" t="str">
        <f>IF($A34&lt;&gt;"",IF(INDEX(BDHK2,MATCH($A34,DiemHKII!$B$4:$B$58,0),INDEX($BG$14:$BK$27,MATCH(AE$7,$BG$14:$BG$27,0),2))&lt;&gt;"",INDEX(BDHK2,MATCH($A34,DiemHKII!$B$4:$B$58,0),INDEX($BG$14:$BK$27,MATCH(AE$7,$BG$14:$BG$27,0),5)),""),"")</f>
        <v/>
      </c>
      <c r="AH34" s="19" t="str">
        <f>IF($A34&lt;&gt;"",IF(INDEX(BDHK2,MATCH($A34,DiemHKII!$B$4:$B$58,0),INDEX($BG$14:$BK$27,MATCH(AH$7,$BG$14:$BG$27,0),2))&lt;&gt;"",INDEX(BDHK2,MATCH($A34,DiemHKII!$B$4:$B$58,0),INDEX($BG$14:$BK$27,MATCH(AH$7,$BG$14:$BG$27,0),3)),""),"")</f>
        <v/>
      </c>
      <c r="AI34" s="20" t="str">
        <f>IF($A34&lt;&gt;"",IF(INDEX(BDHK2,MATCH($A34,DiemHKII!$B$4:$B$58,0),INDEX($BG$14:$BK$27,MATCH(AH$7,$BG$14:$BG$27,0),2))&lt;&gt;"",INDEX(BDHK2,MATCH($A34,DiemHKII!$B$4:$B$58,0),INDEX($BG$14:$BK$27,MATCH(AH$7,$BG$14:$BG$27,0),4)),""),"")</f>
        <v/>
      </c>
      <c r="AJ34" s="21" t="str">
        <f>IF($A34&lt;&gt;"",IF(INDEX(BDHK2,MATCH($A34,DiemHKII!$B$4:$B$58,0),INDEX($BG$14:$BK$27,MATCH(AH$7,$BG$14:$BG$27,0),2))&lt;&gt;"",INDEX(BDHK2,MATCH($A34,DiemHKII!$B$4:$B$58,0),INDEX($BG$14:$BK$27,MATCH(AH$7,$BG$14:$BG$27,0),5)),""),"")</f>
        <v/>
      </c>
      <c r="AK34" s="22" t="str">
        <f>IF($A34&lt;&gt;"",IF(INDEX(BDHK2,MATCH($A34,DiemHKII!$B$4:$B$58,0),INDEX($BG$14:$BK$27,MATCH(AK$7,$BG$14:$BG$27,0),2))&lt;&gt;"",INDEX(BDHK2,MATCH($A34,DiemHKII!$B$4:$B$58,0),INDEX($BG$14:$BK$27,MATCH(AK$7,$BG$14:$BG$27,0),3)),""),"")</f>
        <v/>
      </c>
      <c r="AL34" s="23" t="str">
        <f>IF($A34&lt;&gt;"",IF(INDEX(BDHK2,MATCH($A34,DiemHKII!$B$4:$B$58,0),INDEX($BG$14:$BK$27,MATCH(AK$7,$BG$14:$BG$27,0),2))&lt;&gt;"",INDEX(BDHK2,MATCH($A34,DiemHKII!$B$4:$B$58,0),INDEX($BG$14:$BK$27,MATCH(AK$7,$BG$14:$BG$27,0),4)),""),"")</f>
        <v/>
      </c>
      <c r="AM34" s="24" t="str">
        <f>IF($A34&lt;&gt;"",IF(INDEX(BDHK2,MATCH($A34,DiemHKII!$B$4:$B$58,0),INDEX($BG$14:$BK$27,MATCH(AK$7,$BG$14:$BG$27,0),2))&lt;&gt;"",INDEX(BDHK2,MATCH($A34,DiemHKII!$B$4:$B$58,0),INDEX($BG$14:$BK$27,MATCH(AK$7,$BG$14:$BG$27,0),5)),""),"")</f>
        <v/>
      </c>
      <c r="AN34" s="19" t="str">
        <f>IF($A34&lt;&gt;"",IF(INDEX(BDHK2,MATCH($A34,DiemHKII!$B$4:$B$58,0),INDEX($BG$14:$BK$27,MATCH(AN$7,$BG$14:$BG$27,0),2))&lt;&gt;"",INDEX(BDHK2,MATCH($A34,DiemHKII!$B$4:$B$58,0),INDEX($BG$14:$BK$27,MATCH(AN$7,$BG$14:$BG$27,0),3)),""),"")</f>
        <v/>
      </c>
      <c r="AO34" s="20" t="str">
        <f>IF($A34&lt;&gt;"",IF(INDEX(BDHK2,MATCH($A34,DiemHKII!$B$4:$B$58,0),INDEX($BG$14:$BK$27,MATCH(AN$7,$BG$14:$BG$27,0),2))&lt;&gt;"",INDEX(BDHK2,MATCH($A34,DiemHKII!$B$4:$B$58,0),INDEX($BG$14:$BK$27,MATCH(AN$7,$BG$14:$BG$27,0),4)),""),"")</f>
        <v/>
      </c>
      <c r="AP34" s="21" t="str">
        <f>IF($A34&lt;&gt;"",IF(INDEX(BDHK2,MATCH($A34,DiemHKII!$B$4:$B$58,0),INDEX($BG$14:$BK$27,MATCH(AN$7,$BG$14:$BG$27,0),2))&lt;&gt;"",INDEX(BDHK2,MATCH($A34,DiemHKII!$B$4:$B$58,0),INDEX($BG$14:$BK$27,MATCH(AN$7,$BG$14:$BG$27,0),5)),""),"")</f>
        <v/>
      </c>
      <c r="AQ34" s="19" t="str">
        <f>IF($A34&lt;&gt;"",IF(INDEX(BDHK2,MATCH($A34,DiemHKII!$B$4:$B$58,0),INDEX($BG$14:$BK$27,MATCH(AQ$7,$BG$14:$BG$27,0),2))&lt;&gt;"",INDEX(BDHK2,MATCH($A34,DiemHKII!$B$4:$B$58,0),INDEX($BG$14:$BK$27,MATCH(AQ$7,$BG$14:$BG$27,0),3)),""),"")</f>
        <v/>
      </c>
      <c r="AR34" s="20" t="str">
        <f>IF($A34&lt;&gt;"",IF(INDEX(BDHK2,MATCH($A34,DiemHKII!$B$4:$B$58,0),INDEX($BG$14:$BK$27,MATCH(AQ$7,$BG$14:$BG$27,0),2))&lt;&gt;"",INDEX(BDHK2,MATCH($A34,DiemHKII!$B$4:$B$58,0),INDEX($BG$14:$BK$27,MATCH(AQ$7,$BG$14:$BG$27,0),4)),""),"")</f>
        <v/>
      </c>
      <c r="AS34" s="21" t="str">
        <f>IF($A34&lt;&gt;"",IF(INDEX(BDHK2,MATCH($A34,DiemHKII!$B$4:$B$58,0),INDEX($BG$14:$BK$27,MATCH(AQ$7,$BG$14:$BG$27,0),2))&lt;&gt;"",INDEX(BDHK2,MATCH($A34,DiemHKII!$B$4:$B$58,0),INDEX($BG$14:$BK$27,MATCH(AQ$7,$BG$14:$BG$27,0),5)),""),"")</f>
        <v/>
      </c>
      <c r="AT34" s="19">
        <f>IFERROR(IF($A34&gt;=1,IF(INDEX(THHKI!$V$8:$Y$62,MATCH($BL34,THHKI!$AG$8:$AG$62,0),1)&lt;&gt;"",INDEX(THHKI!$V$8:$Y$62,MATCH($BL34,THHKI!$AG$8:$AG$62,0),1),""),""),"")</f>
        <v>9.3000000000000007</v>
      </c>
      <c r="AU34" s="20" t="str">
        <f>IF($A34&gt;=1,IF(INDEX(THHKII!$V$8:$Y$62,MATCH($BL34,THHKII!$AG$8:$AG$62,0),1)&lt;&gt;"",INDEX(THHKII!$V$8:$Y$62,MATCH($BL34,THHKII!$AG$8:$AG$62,0),1),""),"")</f>
        <v/>
      </c>
      <c r="AV34" s="25" t="str">
        <f>IF($A34&gt;=1,IF(INDEX(THCN!$V$8:$Y$62,MATCH($BL34,THCN!$AG$8:$AG$62,0),1)&lt;&gt;"",INDEX(THCN!$V$8:$Y$62,MATCH($BL34,THCN!$AG$8:$AG$62,0),1),""),"")</f>
        <v/>
      </c>
      <c r="AW34" s="26" t="str">
        <f>IFERROR(IF($A34&gt;=1,IF(INDEX(THHKI!$V$8:$Y$62,MATCH($BL34,THHKI!$AG$8:$AG$62,0),2)&lt;&gt;"",INDEX(THHKI!$V$8:$Y$62,MATCH($BL34,THHKI!$AG$8:$AG$62,0),2),""),""),"")</f>
        <v>Giỏi</v>
      </c>
      <c r="AX34" s="23" t="str">
        <f>IF($A34&gt;=1,IF(INDEX(THHKII!$V$8:$Y$62,MATCH($BL34,THHKII!$AG$8:$AG$62,0),2)&lt;&gt;"",INDEX(THHKII!$V$8:$Y$62,MATCH($BL34,THHKII!$AG$8:$AG$62,0),2),""),"")</f>
        <v/>
      </c>
      <c r="AY34" s="27" t="str">
        <f>IF($A34&gt;=1,IF(INDEX(THCN!$V$8:$Y$62,MATCH($BL34,THCN!$AG$8:$AG$62,0),2)&lt;&gt;"",INDEX(THCN!$V$8:$Y$62,MATCH($BL34,THCN!$AG$8:$AG$62,0),2),""),"")</f>
        <v/>
      </c>
      <c r="AZ34" s="22" t="str">
        <f>IFERROR(IF($A34&gt;=1,IF(INDEX(THHKI!$V$8:$Y$62,MATCH($BL34,THHKI!$AG$8:$AG$62,0),3)&lt;&gt;"",INDEX(THHKI!$V$8:$Y$62,MATCH($BL34,THHKI!$AG$8:$AG$62,0),3),""),""),"")</f>
        <v>Tốt</v>
      </c>
      <c r="BA34" s="23" t="str">
        <f>IF($A34&gt;=1,IF(INDEX(THHKII!$V$8:$Y$62,MATCH($BL34,THHKII!$AG$8:$AG$62,0),3)&lt;&gt;"",INDEX(THHKII!$V$8:$Y$62,MATCH($BL34,THHKII!$AG$8:$AG$62,0),3),""),"")</f>
        <v/>
      </c>
      <c r="BB34" s="28" t="str">
        <f>IF($A34&gt;=1,IF(INDEX(THCN!$V$8:$Y$62,MATCH($BL34,THCN!$AG$8:$AG$62,0),3)&lt;&gt;"",INDEX(THCN!$V$8:$Y$62,MATCH($BL34,THCN!$AG$8:$AG$62,0),3),""),"")</f>
        <v/>
      </c>
      <c r="BC34" s="29" t="str">
        <f>IF($A34&gt;=1,IF(INDEX(THCN!$V$8:$Y$62,MATCH($BL34,THCN!$AG$8:$AG$62,0),4)&lt;&gt;"",INDEX(THCN!$V$8:$Y$62,MATCH($BL34,THCN!$AG$8:$AG$62,0),4),""),"")</f>
        <v/>
      </c>
      <c r="BE34" s="16" t="str">
        <f>IFERROR(IF($A34&gt;=1,IF(INDEX(THHKI!$V$8:$Y$62,MATCH($BL34,THHKI!$AG$8:$AG$62,0),4)&lt;&gt;"",INDEX(THHKI!$V$8:$Y$62,MATCH($BL34,THHKI!$AG$8:$AG$62,0),4),""),""),"")</f>
        <v>HSG</v>
      </c>
      <c r="BF34" s="29" t="str">
        <f>IF($A34&gt;=1,IF(INDEX(THHKII!$V$8:$Y$62,MATCH($BL34,THHKII!$AG$8:$AG$62,0),4)&lt;&gt;"",INDEX(THHKII!$V$8:$Y$62,MATCH($BL34,THHKII!$AG$8:$AG$62,0),4),""),"")</f>
        <v/>
      </c>
      <c r="BL34" s="30" t="str">
        <f>IF($A34&lt;&gt;"",INDEX(DiemHKII!$B$4:$K$58,MATCH($A34,DiemHKII!$B$4:$B$58,0),2),"")</f>
        <v>12A1Trần Thị HảiNhư17/08/2004</v>
      </c>
    </row>
    <row r="35" spans="1:64" s="30" customFormat="1" ht="29.1" customHeight="1">
      <c r="A35" s="31">
        <f>IF(A34&lt;MAX(DiemHKII!$B$4:$B$58),A34+1,"")</f>
        <v>27</v>
      </c>
      <c r="B35" s="32" t="str">
        <f>IF($A35&lt;&gt;"",PROPER(INDEX(DiemHKII!$B$4:$K$58,MATCH($A35,DiemHKII!$B$4:$B$58,0),4)),"")</f>
        <v>Nguyễn Bá Nhật</v>
      </c>
      <c r="C35" s="33" t="str">
        <f>IF($A35&lt;&gt;"",PROPER(INDEX(DiemHKII!$B$4:$K$58,MATCH($A35,DiemHKII!$B$4:$B$58,0),5)),"")</f>
        <v>Quang</v>
      </c>
      <c r="D35" s="34" t="str">
        <f>IF($A35&lt;&gt;"",IF(INDEX(BDHK2,MATCH($A35,DiemHKII!$B$4:$B$58,0),INDEX($BG$14:$BK$27,MATCH(D$7,$BG$14:$BG$27,0),2))&lt;&gt;"",INDEX(BDHK2,MATCH($A35,DiemHKII!$B$4:$B$58,0),INDEX($BG$14:$BK$27,MATCH(D$7,$BG$14:$BG$27,0),3)),""),"")</f>
        <v/>
      </c>
      <c r="E35" s="35" t="str">
        <f>IF($A35&lt;&gt;"",IF(INDEX(BDHK2,MATCH($A35,DiemHKII!$B$4:$B$58,0),INDEX($BG$14:$BK$27,MATCH(D$7,$BG$14:$BG$27,0),2))&lt;&gt;"",INDEX(BDHK2,MATCH($A35,DiemHKII!$B$4:$B$58,0),INDEX($BG$14:$BK$27,MATCH(D$7,$BG$14:$BG$27,0),4)),""),"")</f>
        <v/>
      </c>
      <c r="F35" s="36" t="str">
        <f>IF($A35&lt;&gt;"",IF(INDEX(BDHK2,MATCH($A35,DiemHKII!$B$4:$B$58,0),INDEX($BG$14:$BK$27,MATCH(D$7,$BG$14:$BG$27,0),2))&lt;&gt;"",INDEX(BDHK2,MATCH($A35,DiemHKII!$B$4:$B$58,0),INDEX($BG$14:$BK$27,MATCH(D$7,$BG$14:$BG$27,0),5)),""),"")</f>
        <v/>
      </c>
      <c r="G35" s="34" t="str">
        <f>IF($A35&lt;&gt;"",IF(INDEX(BDHK2,MATCH($A35,DiemHKII!$B$4:$B$58,0),INDEX($BG$14:$BK$27,MATCH(G$7,$BG$14:$BG$27,0),2))&lt;&gt;"",INDEX(BDHK2,MATCH($A35,DiemHKII!$B$4:$B$58,0),INDEX($BG$14:$BK$27,MATCH(G$7,$BG$14:$BG$27,0),3)),""),"")</f>
        <v/>
      </c>
      <c r="H35" s="35" t="str">
        <f>IF($A35&lt;&gt;"",IF(INDEX(BDHK2,MATCH($A35,DiemHKII!$B$4:$B$58,0),INDEX($BG$14:$BK$27,MATCH(G$7,$BG$14:$BG$27,0),2))&lt;&gt;"",INDEX(BDHK2,MATCH($A35,DiemHKII!$B$4:$B$58,0),INDEX($BG$14:$BK$27,MATCH(G$7,$BG$14:$BG$27,0),4)),""),"")</f>
        <v/>
      </c>
      <c r="I35" s="36" t="str">
        <f>IF($A35&lt;&gt;"",IF(INDEX(BDHK2,MATCH($A35,DiemHKII!$B$4:$B$58,0),INDEX($BG$14:$BK$27,MATCH(G$7,$BG$14:$BG$27,0),2))&lt;&gt;"",INDEX(BDHK2,MATCH($A35,DiemHKII!$B$4:$B$58,0),INDEX($BG$14:$BK$27,MATCH(G$7,$BG$14:$BG$27,0),5)),""),"")</f>
        <v/>
      </c>
      <c r="J35" s="34" t="str">
        <f>IF($A35&lt;&gt;"",IF(INDEX(BDHK2,MATCH($A35,DiemHKII!$B$4:$B$58,0),INDEX($BG$14:$BK$27,MATCH(J$7,$BG$14:$BG$27,0),2))&lt;&gt;"",INDEX(BDHK2,MATCH($A35,DiemHKII!$B$4:$B$58,0),INDEX($BG$14:$BK$27,MATCH(J$7,$BG$14:$BG$27,0),3)),""),"")</f>
        <v/>
      </c>
      <c r="K35" s="35" t="str">
        <f>IF($A35&lt;&gt;"",IF(INDEX(BDHK2,MATCH($A35,DiemHKII!$B$4:$B$58,0),INDEX($BG$14:$BK$27,MATCH(J$7,$BG$14:$BG$27,0),2))&lt;&gt;"",INDEX(BDHK2,MATCH($A35,DiemHKII!$B$4:$B$58,0),INDEX($BG$14:$BK$27,MATCH(J$7,$BG$14:$BG$27,0),4)),""),"")</f>
        <v/>
      </c>
      <c r="L35" s="36" t="str">
        <f>IF($A35&lt;&gt;"",IF(INDEX(BDHK2,MATCH($A35,DiemHKII!$B$4:$B$58,0),INDEX($BG$14:$BK$27,MATCH(J$7,$BG$14:$BG$27,0),2))&lt;&gt;"",INDEX(BDHK2,MATCH($A35,DiemHKII!$B$4:$B$58,0),INDEX($BG$14:$BK$27,MATCH(J$7,$BG$14:$BG$27,0),5)),""),"")</f>
        <v/>
      </c>
      <c r="M35" s="34" t="str">
        <f>IF($A35&lt;&gt;"",IF(INDEX(BDHK2,MATCH($A35,DiemHKII!$B$4:$B$58,0),INDEX($BG$14:$BK$27,MATCH(M$7,$BG$14:$BG$27,0),2))&lt;&gt;"",INDEX(BDHK2,MATCH($A35,DiemHKII!$B$4:$B$58,0),INDEX($BG$14:$BK$27,MATCH(M$7,$BG$14:$BG$27,0),3)),""),"")</f>
        <v/>
      </c>
      <c r="N35" s="35" t="str">
        <f>IF($A35&lt;&gt;"",IF(INDEX(BDHK2,MATCH($A35,DiemHKII!$B$4:$B$58,0),INDEX($BG$14:$BK$27,MATCH(M$7,$BG$14:$BG$27,0),2))&lt;&gt;"",INDEX(BDHK2,MATCH($A35,DiemHKII!$B$4:$B$58,0),INDEX($BG$14:$BK$27,MATCH(M$7,$BG$14:$BG$27,0),4)),""),"")</f>
        <v/>
      </c>
      <c r="O35" s="36" t="str">
        <f>IF($A35&lt;&gt;"",IF(INDEX(BDHK2,MATCH($A35,DiemHKII!$B$4:$B$58,0),INDEX($BG$14:$BK$27,MATCH(M$7,$BG$14:$BG$27,0),2))&lt;&gt;"",INDEX(BDHK2,MATCH($A35,DiemHKII!$B$4:$B$58,0),INDEX($BG$14:$BK$27,MATCH(M$7,$BG$14:$BG$27,0),5)),""),"")</f>
        <v/>
      </c>
      <c r="P35" s="34" t="str">
        <f>IF($A35&lt;&gt;"",IF(INDEX(BDHK2,MATCH($A35,DiemHKII!$B$4:$B$58,0),INDEX($BG$14:$BK$27,MATCH(P$7,$BG$14:$BG$27,0),2))&lt;&gt;"",INDEX(BDHK2,MATCH($A35,DiemHKII!$B$4:$B$58,0),INDEX($BG$14:$BK$27,MATCH(P$7,$BG$14:$BG$27,0),3)),""),"")</f>
        <v/>
      </c>
      <c r="Q35" s="35" t="str">
        <f>IF($A35&lt;&gt;"",IF(INDEX(BDHK2,MATCH($A35,DiemHKII!$B$4:$B$58,0),INDEX($BG$14:$BK$27,MATCH(P$7,$BG$14:$BG$27,0),2))&lt;&gt;"",INDEX(BDHK2,MATCH($A35,DiemHKII!$B$4:$B$58,0),INDEX($BG$14:$BK$27,MATCH(P$7,$BG$14:$BG$27,0),4)),""),"")</f>
        <v/>
      </c>
      <c r="R35" s="36" t="str">
        <f>IF($A35&lt;&gt;"",IF(INDEX(BDHK2,MATCH($A35,DiemHKII!$B$4:$B$58,0),INDEX($BG$14:$BK$27,MATCH(P$7,$BG$14:$BG$27,0),2))&lt;&gt;"",INDEX(BDHK2,MATCH($A35,DiemHKII!$B$4:$B$58,0),INDEX($BG$14:$BK$27,MATCH(P$7,$BG$14:$BG$27,0),5)),""),"")</f>
        <v/>
      </c>
      <c r="S35" s="34" t="str">
        <f>IF($A35&lt;&gt;"",IF(INDEX(BDHK2,MATCH($A35,DiemHKII!$B$4:$B$58,0),INDEX($BG$14:$BK$27,MATCH(S$7,$BG$14:$BG$27,0),2))&lt;&gt;"",INDEX(BDHK2,MATCH($A35,DiemHKII!$B$4:$B$58,0),INDEX($BG$14:$BK$27,MATCH(S$7,$BG$14:$BG$27,0),3)),""),"")</f>
        <v/>
      </c>
      <c r="T35" s="35" t="str">
        <f>IF($A35&lt;&gt;"",IF(INDEX(BDHK2,MATCH($A35,DiemHKII!$B$4:$B$58,0),INDEX($BG$14:$BK$27,MATCH(S$7,$BG$14:$BG$27,0),2))&lt;&gt;"",INDEX(BDHK2,MATCH($A35,DiemHKII!$B$4:$B$58,0),INDEX($BG$14:$BK$27,MATCH(S$7,$BG$14:$BG$27,0),4)),""),"")</f>
        <v/>
      </c>
      <c r="U35" s="36" t="str">
        <f>IF($A35&lt;&gt;"",IF(INDEX(BDHK2,MATCH($A35,DiemHKII!$B$4:$B$58,0),INDEX($BG$14:$BK$27,MATCH(S$7,$BG$14:$BG$27,0),2))&lt;&gt;"",INDEX(BDHK2,MATCH($A35,DiemHKII!$B$4:$B$58,0),INDEX($BG$14:$BK$27,MATCH(S$7,$BG$14:$BG$27,0),5)),""),"")</f>
        <v/>
      </c>
      <c r="V35" s="34" t="str">
        <f>IF($A35&lt;&gt;"",IF(INDEX(BDHK2,MATCH($A35,DiemHKII!$B$4:$B$58,0),INDEX($BG$14:$BK$27,MATCH(V$7,$BG$14:$BG$27,0),2))&lt;&gt;"",INDEX(BDHK2,MATCH($A35,DiemHKII!$B$4:$B$58,0),INDEX($BG$14:$BK$27,MATCH(V$7,$BG$14:$BG$27,0),3)),""),"")</f>
        <v/>
      </c>
      <c r="W35" s="35" t="str">
        <f>IF($A35&lt;&gt;"",IF(INDEX(BDHK2,MATCH($A35,DiemHKII!$B$4:$B$58,0),INDEX($BG$14:$BK$27,MATCH(V$7,$BG$14:$BG$27,0),2))&lt;&gt;"",INDEX(BDHK2,MATCH($A35,DiemHKII!$B$4:$B$58,0),INDEX($BG$14:$BK$27,MATCH(V$7,$BG$14:$BG$27,0),4)),""),"")</f>
        <v/>
      </c>
      <c r="X35" s="36" t="str">
        <f>IF($A35&lt;&gt;"",IF(INDEX(BDHK2,MATCH($A35,DiemHKII!$B$4:$B$58,0),INDEX($BG$14:$BK$27,MATCH(V$7,$BG$14:$BG$27,0),2))&lt;&gt;"",INDEX(BDHK2,MATCH($A35,DiemHKII!$B$4:$B$58,0),INDEX($BG$14:$BK$27,MATCH(V$7,$BG$14:$BG$27,0),5)),""),"")</f>
        <v/>
      </c>
      <c r="Y35" s="34" t="str">
        <f>IF($A35&lt;&gt;"",IF(INDEX(BDHK2,MATCH($A35,DiemHKII!$B$4:$B$58,0),INDEX($BG$14:$BK$27,MATCH(Y$7,$BG$14:$BG$27,0),2))&lt;&gt;"",INDEX(BDHK2,MATCH($A35,DiemHKII!$B$4:$B$58,0),INDEX($BG$14:$BK$27,MATCH(Y$7,$BG$14:$BG$27,0),3)),""),"")</f>
        <v/>
      </c>
      <c r="Z35" s="35" t="str">
        <f>IF($A35&lt;&gt;"",IF(INDEX(BDHK2,MATCH($A35,DiemHKII!$B$4:$B$58,0),INDEX($BG$14:$BK$27,MATCH(Y$7,$BG$14:$BG$27,0),2))&lt;&gt;"",INDEX(BDHK2,MATCH($A35,DiemHKII!$B$4:$B$58,0),INDEX($BG$14:$BK$27,MATCH(Y$7,$BG$14:$BG$27,0),4)),""),"")</f>
        <v/>
      </c>
      <c r="AA35" s="36" t="str">
        <f>IF($A35&lt;&gt;"",IF(INDEX(BDHK2,MATCH($A35,DiemHKII!$B$4:$B$58,0),INDEX($BG$14:$BK$27,MATCH(Y$7,$BG$14:$BG$27,0),2))&lt;&gt;"",INDEX(BDHK2,MATCH($A35,DiemHKII!$B$4:$B$58,0),INDEX($BG$14:$BK$27,MATCH(Y$7,$BG$14:$BG$27,0),5)),""),"")</f>
        <v/>
      </c>
      <c r="AB35" s="34" t="str">
        <f>IF($A35&lt;&gt;"",IF(INDEX(BDHK2,MATCH($A35,DiemHKII!$B$4:$B$58,0),INDEX($BG$14:$BK$27,MATCH(AB$7,$BG$14:$BG$27,0),2))&lt;&gt;"",INDEX(BDHK2,MATCH($A35,DiemHKII!$B$4:$B$58,0),INDEX($BG$14:$BK$27,MATCH(AB$7,$BG$14:$BG$27,0),3)),""),"")</f>
        <v/>
      </c>
      <c r="AC35" s="35" t="str">
        <f>IF($A35&lt;&gt;"",IF(INDEX(BDHK2,MATCH($A35,DiemHKII!$B$4:$B$58,0),INDEX($BG$14:$BK$27,MATCH(AB$7,$BG$14:$BG$27,0),2))&lt;&gt;"",INDEX(BDHK2,MATCH($A35,DiemHKII!$B$4:$B$58,0),INDEX($BG$14:$BK$27,MATCH(AB$7,$BG$14:$BG$27,0),4)),""),"")</f>
        <v/>
      </c>
      <c r="AD35" s="36" t="str">
        <f>IF($A35&lt;&gt;"",IF(INDEX(BDHK2,MATCH($A35,DiemHKII!$B$4:$B$58,0),INDEX($BG$14:$BK$27,MATCH(AB$7,$BG$14:$BG$27,0),2))&lt;&gt;"",INDEX(BDHK2,MATCH($A35,DiemHKII!$B$4:$B$58,0),INDEX($BG$14:$BK$27,MATCH(AB$7,$BG$14:$BG$27,0),5)),""),"")</f>
        <v/>
      </c>
      <c r="AE35" s="34" t="str">
        <f>IF($A35&lt;&gt;"",IF(INDEX(BDHK2,MATCH($A35,DiemHKII!$B$4:$B$58,0),INDEX($BG$14:$BK$27,MATCH(AE$7,$BG$14:$BG$27,0),2))&lt;&gt;"",INDEX(BDHK2,MATCH($A35,DiemHKII!$B$4:$B$58,0),INDEX($BG$14:$BK$27,MATCH(AE$7,$BG$14:$BG$27,0),3)),""),"")</f>
        <v/>
      </c>
      <c r="AF35" s="35" t="str">
        <f>IF($A35&lt;&gt;"",IF(INDEX(BDHK2,MATCH($A35,DiemHKII!$B$4:$B$58,0),INDEX($BG$14:$BK$27,MATCH(AE$7,$BG$14:$BG$27,0),2))&lt;&gt;"",INDEX(BDHK2,MATCH($A35,DiemHKII!$B$4:$B$58,0),INDEX($BG$14:$BK$27,MATCH(AE$7,$BG$14:$BG$27,0),4)),""),"")</f>
        <v/>
      </c>
      <c r="AG35" s="36" t="str">
        <f>IF($A35&lt;&gt;"",IF(INDEX(BDHK2,MATCH($A35,DiemHKII!$B$4:$B$58,0),INDEX($BG$14:$BK$27,MATCH(AE$7,$BG$14:$BG$27,0),2))&lt;&gt;"",INDEX(BDHK2,MATCH($A35,DiemHKII!$B$4:$B$58,0),INDEX($BG$14:$BK$27,MATCH(AE$7,$BG$14:$BG$27,0),5)),""),"")</f>
        <v/>
      </c>
      <c r="AH35" s="34" t="str">
        <f>IF($A35&lt;&gt;"",IF(INDEX(BDHK2,MATCH($A35,DiemHKII!$B$4:$B$58,0),INDEX($BG$14:$BK$27,MATCH(AH$7,$BG$14:$BG$27,0),2))&lt;&gt;"",INDEX(BDHK2,MATCH($A35,DiemHKII!$B$4:$B$58,0),INDEX($BG$14:$BK$27,MATCH(AH$7,$BG$14:$BG$27,0),3)),""),"")</f>
        <v/>
      </c>
      <c r="AI35" s="35" t="str">
        <f>IF($A35&lt;&gt;"",IF(INDEX(BDHK2,MATCH($A35,DiemHKII!$B$4:$B$58,0),INDEX($BG$14:$BK$27,MATCH(AH$7,$BG$14:$BG$27,0),2))&lt;&gt;"",INDEX(BDHK2,MATCH($A35,DiemHKII!$B$4:$B$58,0),INDEX($BG$14:$BK$27,MATCH(AH$7,$BG$14:$BG$27,0),4)),""),"")</f>
        <v/>
      </c>
      <c r="AJ35" s="36" t="str">
        <f>IF($A35&lt;&gt;"",IF(INDEX(BDHK2,MATCH($A35,DiemHKII!$B$4:$B$58,0),INDEX($BG$14:$BK$27,MATCH(AH$7,$BG$14:$BG$27,0),2))&lt;&gt;"",INDEX(BDHK2,MATCH($A35,DiemHKII!$B$4:$B$58,0),INDEX($BG$14:$BK$27,MATCH(AH$7,$BG$14:$BG$27,0),5)),""),"")</f>
        <v/>
      </c>
      <c r="AK35" s="37" t="str">
        <f>IF($A35&lt;&gt;"",IF(INDEX(BDHK2,MATCH($A35,DiemHKII!$B$4:$B$58,0),INDEX($BG$14:$BK$27,MATCH(AK$7,$BG$14:$BG$27,0),2))&lt;&gt;"",INDEX(BDHK2,MATCH($A35,DiemHKII!$B$4:$B$58,0),INDEX($BG$14:$BK$27,MATCH(AK$7,$BG$14:$BG$27,0),3)),""),"")</f>
        <v/>
      </c>
      <c r="AL35" s="8" t="str">
        <f>IF($A35&lt;&gt;"",IF(INDEX(BDHK2,MATCH($A35,DiemHKII!$B$4:$B$58,0),INDEX($BG$14:$BK$27,MATCH(AK$7,$BG$14:$BG$27,0),2))&lt;&gt;"",INDEX(BDHK2,MATCH($A35,DiemHKII!$B$4:$B$58,0),INDEX($BG$14:$BK$27,MATCH(AK$7,$BG$14:$BG$27,0),4)),""),"")</f>
        <v/>
      </c>
      <c r="AM35" s="38" t="str">
        <f>IF($A35&lt;&gt;"",IF(INDEX(BDHK2,MATCH($A35,DiemHKII!$B$4:$B$58,0),INDEX($BG$14:$BK$27,MATCH(AK$7,$BG$14:$BG$27,0),2))&lt;&gt;"",INDEX(BDHK2,MATCH($A35,DiemHKII!$B$4:$B$58,0),INDEX($BG$14:$BK$27,MATCH(AK$7,$BG$14:$BG$27,0),5)),""),"")</f>
        <v/>
      </c>
      <c r="AN35" s="34" t="str">
        <f>IF($A35&lt;&gt;"",IF(INDEX(BDHK2,MATCH($A35,DiemHKII!$B$4:$B$58,0),INDEX($BG$14:$BK$27,MATCH(AN$7,$BG$14:$BG$27,0),2))&lt;&gt;"",INDEX(BDHK2,MATCH($A35,DiemHKII!$B$4:$B$58,0),INDEX($BG$14:$BK$27,MATCH(AN$7,$BG$14:$BG$27,0),3)),""),"")</f>
        <v/>
      </c>
      <c r="AO35" s="35" t="str">
        <f>IF($A35&lt;&gt;"",IF(INDEX(BDHK2,MATCH($A35,DiemHKII!$B$4:$B$58,0),INDEX($BG$14:$BK$27,MATCH(AN$7,$BG$14:$BG$27,0),2))&lt;&gt;"",INDEX(BDHK2,MATCH($A35,DiemHKII!$B$4:$B$58,0),INDEX($BG$14:$BK$27,MATCH(AN$7,$BG$14:$BG$27,0),4)),""),"")</f>
        <v/>
      </c>
      <c r="AP35" s="36" t="str">
        <f>IF($A35&lt;&gt;"",IF(INDEX(BDHK2,MATCH($A35,DiemHKII!$B$4:$B$58,0),INDEX($BG$14:$BK$27,MATCH(AN$7,$BG$14:$BG$27,0),2))&lt;&gt;"",INDEX(BDHK2,MATCH($A35,DiemHKII!$B$4:$B$58,0),INDEX($BG$14:$BK$27,MATCH(AN$7,$BG$14:$BG$27,0),5)),""),"")</f>
        <v/>
      </c>
      <c r="AQ35" s="34" t="str">
        <f>IF($A35&lt;&gt;"",IF(INDEX(BDHK2,MATCH($A35,DiemHKII!$B$4:$B$58,0),INDEX($BG$14:$BK$27,MATCH(AQ$7,$BG$14:$BG$27,0),2))&lt;&gt;"",INDEX(BDHK2,MATCH($A35,DiemHKII!$B$4:$B$58,0),INDEX($BG$14:$BK$27,MATCH(AQ$7,$BG$14:$BG$27,0),3)),""),"")</f>
        <v/>
      </c>
      <c r="AR35" s="35" t="str">
        <f>IF($A35&lt;&gt;"",IF(INDEX(BDHK2,MATCH($A35,DiemHKII!$B$4:$B$58,0),INDEX($BG$14:$BK$27,MATCH(AQ$7,$BG$14:$BG$27,0),2))&lt;&gt;"",INDEX(BDHK2,MATCH($A35,DiemHKII!$B$4:$B$58,0),INDEX($BG$14:$BK$27,MATCH(AQ$7,$BG$14:$BG$27,0),4)),""),"")</f>
        <v/>
      </c>
      <c r="AS35" s="36" t="str">
        <f>IF($A35&lt;&gt;"",IF(INDEX(BDHK2,MATCH($A35,DiemHKII!$B$4:$B$58,0),INDEX($BG$14:$BK$27,MATCH(AQ$7,$BG$14:$BG$27,0),2))&lt;&gt;"",INDEX(BDHK2,MATCH($A35,DiemHKII!$B$4:$B$58,0),INDEX($BG$14:$BK$27,MATCH(AQ$7,$BG$14:$BG$27,0),5)),""),"")</f>
        <v/>
      </c>
      <c r="AT35" s="34">
        <f>IFERROR(IF($A35&gt;=1,IF(INDEX(THHKI!$V$8:$Y$62,MATCH($BL35,THHKI!$AG$8:$AG$62,0),1)&lt;&gt;"",INDEX(THHKI!$V$8:$Y$62,MATCH($BL35,THHKI!$AG$8:$AG$62,0),1),""),""),"")</f>
        <v>9.5</v>
      </c>
      <c r="AU35" s="35" t="str">
        <f>IF($A35&gt;=1,IF(INDEX(THHKII!$V$8:$Y$62,MATCH($BL35,THHKII!$AG$8:$AG$62,0),1)&lt;&gt;"",INDEX(THHKII!$V$8:$Y$62,MATCH($BL35,THHKII!$AG$8:$AG$62,0),1),""),"")</f>
        <v/>
      </c>
      <c r="AV35" s="39" t="str">
        <f>IF($A35&gt;=1,IF(INDEX(THCN!$V$8:$Y$62,MATCH($BL35,THCN!$AG$8:$AG$62,0),1)&lt;&gt;"",INDEX(THCN!$V$8:$Y$62,MATCH($BL35,THCN!$AG$8:$AG$62,0),1),""),"")</f>
        <v/>
      </c>
      <c r="AW35" s="40" t="str">
        <f>IFERROR(IF($A35&gt;=1,IF(INDEX(THHKI!$V$8:$Y$62,MATCH($BL35,THHKI!$AG$8:$AG$62,0),2)&lt;&gt;"",INDEX(THHKI!$V$8:$Y$62,MATCH($BL35,THHKI!$AG$8:$AG$62,0),2),""),""),"")</f>
        <v>Giỏi</v>
      </c>
      <c r="AX35" s="8" t="str">
        <f>IF($A35&gt;=1,IF(INDEX(THHKII!$V$8:$Y$62,MATCH($BL35,THHKII!$AG$8:$AG$62,0),2)&lt;&gt;"",INDEX(THHKII!$V$8:$Y$62,MATCH($BL35,THHKII!$AG$8:$AG$62,0),2),""),"")</f>
        <v/>
      </c>
      <c r="AY35" s="467" t="str">
        <f>IF($A35&gt;=1,IF(INDEX(THCN!$V$8:$Y$62,MATCH($BL35,THCN!$AG$8:$AG$62,0),2)&lt;&gt;"",INDEX(THCN!$V$8:$Y$62,MATCH($BL35,THCN!$AG$8:$AG$62,0),2),""),"")</f>
        <v/>
      </c>
      <c r="AZ35" s="37" t="str">
        <f>IFERROR(IF($A35&gt;=1,IF(INDEX(THHKI!$V$8:$Y$62,MATCH($BL35,THHKI!$AG$8:$AG$62,0),3)&lt;&gt;"",INDEX(THHKI!$V$8:$Y$62,MATCH($BL35,THHKI!$AG$8:$AG$62,0),3),""),""),"")</f>
        <v>Tốt</v>
      </c>
      <c r="BA35" s="8" t="str">
        <f>IF($A35&gt;=1,IF(INDEX(THHKII!$V$8:$Y$62,MATCH($BL35,THHKII!$AG$8:$AG$62,0),3)&lt;&gt;"",INDEX(THHKII!$V$8:$Y$62,MATCH($BL35,THHKII!$AG$8:$AG$62,0),3),""),"")</f>
        <v/>
      </c>
      <c r="BB35" s="41" t="str">
        <f>IF($A35&gt;=1,IF(INDEX(THCN!$V$8:$Y$62,MATCH($BL35,THCN!$AG$8:$AG$62,0),3)&lt;&gt;"",INDEX(THCN!$V$8:$Y$62,MATCH($BL35,THCN!$AG$8:$AG$62,0),3),""),"")</f>
        <v/>
      </c>
      <c r="BC35" s="42" t="str">
        <f>IF($A35&gt;=1,IF(INDEX(THCN!$V$8:$Y$62,MATCH($BL35,THCN!$AG$8:$AG$62,0),4)&lt;&gt;"",INDEX(THCN!$V$8:$Y$62,MATCH($BL35,THCN!$AG$8:$AG$62,0),4),""),"")</f>
        <v/>
      </c>
      <c r="BE35" s="31" t="str">
        <f>IFERROR(IF($A35&gt;=1,IF(INDEX(THHKI!$V$8:$Y$62,MATCH($BL35,THHKI!$AG$8:$AG$62,0),4)&lt;&gt;"",INDEX(THHKI!$V$8:$Y$62,MATCH($BL35,THHKI!$AG$8:$AG$62,0),4),""),""),"")</f>
        <v>HSG</v>
      </c>
      <c r="BF35" s="42" t="str">
        <f>IF($A35&gt;=1,IF(INDEX(THHKII!$V$8:$Y$62,MATCH($BL35,THHKII!$AG$8:$AG$62,0),4)&lt;&gt;"",INDEX(THHKII!$V$8:$Y$62,MATCH($BL35,THHKII!$AG$8:$AG$62,0),4),""),"")</f>
        <v/>
      </c>
      <c r="BL35" s="30" t="str">
        <f>IF($A35&lt;&gt;"",INDEX(DiemHKII!$B$4:$K$58,MATCH($A35,DiemHKII!$B$4:$B$58,0),2),"")</f>
        <v>12A1Nguyễn Bá NhậtQuang18/07/2004</v>
      </c>
    </row>
    <row r="36" spans="1:64" s="30" customFormat="1" ht="29.1" customHeight="1">
      <c r="A36" s="31">
        <f>IF(A35&lt;MAX(DiemHKII!$B$4:$B$58),A35+1,"")</f>
        <v>28</v>
      </c>
      <c r="B36" s="32" t="str">
        <f>IF($A36&lt;&gt;"",PROPER(INDEX(DiemHKII!$B$4:$K$58,MATCH($A36,DiemHKII!$B$4:$B$58,0),4)),"")</f>
        <v>Phan Trương Kiến</v>
      </c>
      <c r="C36" s="33" t="str">
        <f>IF($A36&lt;&gt;"",PROPER(INDEX(DiemHKII!$B$4:$K$58,MATCH($A36,DiemHKII!$B$4:$B$58,0),5)),"")</f>
        <v>Quốc</v>
      </c>
      <c r="D36" s="34" t="str">
        <f>IF($A36&lt;&gt;"",IF(INDEX(BDHK2,MATCH($A36,DiemHKII!$B$4:$B$58,0),INDEX($BG$14:$BK$27,MATCH(D$7,$BG$14:$BG$27,0),2))&lt;&gt;"",INDEX(BDHK2,MATCH($A36,DiemHKII!$B$4:$B$58,0),INDEX($BG$14:$BK$27,MATCH(D$7,$BG$14:$BG$27,0),3)),""),"")</f>
        <v/>
      </c>
      <c r="E36" s="35" t="str">
        <f>IF($A36&lt;&gt;"",IF(INDEX(BDHK2,MATCH($A36,DiemHKII!$B$4:$B$58,0),INDEX($BG$14:$BK$27,MATCH(D$7,$BG$14:$BG$27,0),2))&lt;&gt;"",INDEX(BDHK2,MATCH($A36,DiemHKII!$B$4:$B$58,0),INDEX($BG$14:$BK$27,MATCH(D$7,$BG$14:$BG$27,0),4)),""),"")</f>
        <v/>
      </c>
      <c r="F36" s="36" t="str">
        <f>IF($A36&lt;&gt;"",IF(INDEX(BDHK2,MATCH($A36,DiemHKII!$B$4:$B$58,0),INDEX($BG$14:$BK$27,MATCH(D$7,$BG$14:$BG$27,0),2))&lt;&gt;"",INDEX(BDHK2,MATCH($A36,DiemHKII!$B$4:$B$58,0),INDEX($BG$14:$BK$27,MATCH(D$7,$BG$14:$BG$27,0),5)),""),"")</f>
        <v/>
      </c>
      <c r="G36" s="34" t="str">
        <f>IF($A36&lt;&gt;"",IF(INDEX(BDHK2,MATCH($A36,DiemHKII!$B$4:$B$58,0),INDEX($BG$14:$BK$27,MATCH(G$7,$BG$14:$BG$27,0),2))&lt;&gt;"",INDEX(BDHK2,MATCH($A36,DiemHKII!$B$4:$B$58,0),INDEX($BG$14:$BK$27,MATCH(G$7,$BG$14:$BG$27,0),3)),""),"")</f>
        <v/>
      </c>
      <c r="H36" s="35" t="str">
        <f>IF($A36&lt;&gt;"",IF(INDEX(BDHK2,MATCH($A36,DiemHKII!$B$4:$B$58,0),INDEX($BG$14:$BK$27,MATCH(G$7,$BG$14:$BG$27,0),2))&lt;&gt;"",INDEX(BDHK2,MATCH($A36,DiemHKII!$B$4:$B$58,0),INDEX($BG$14:$BK$27,MATCH(G$7,$BG$14:$BG$27,0),4)),""),"")</f>
        <v/>
      </c>
      <c r="I36" s="36" t="str">
        <f>IF($A36&lt;&gt;"",IF(INDEX(BDHK2,MATCH($A36,DiemHKII!$B$4:$B$58,0),INDEX($BG$14:$BK$27,MATCH(G$7,$BG$14:$BG$27,0),2))&lt;&gt;"",INDEX(BDHK2,MATCH($A36,DiemHKII!$B$4:$B$58,0),INDEX($BG$14:$BK$27,MATCH(G$7,$BG$14:$BG$27,0),5)),""),"")</f>
        <v/>
      </c>
      <c r="J36" s="34" t="str">
        <f>IF($A36&lt;&gt;"",IF(INDEX(BDHK2,MATCH($A36,DiemHKII!$B$4:$B$58,0),INDEX($BG$14:$BK$27,MATCH(J$7,$BG$14:$BG$27,0),2))&lt;&gt;"",INDEX(BDHK2,MATCH($A36,DiemHKII!$B$4:$B$58,0),INDEX($BG$14:$BK$27,MATCH(J$7,$BG$14:$BG$27,0),3)),""),"")</f>
        <v/>
      </c>
      <c r="K36" s="35" t="str">
        <f>IF($A36&lt;&gt;"",IF(INDEX(BDHK2,MATCH($A36,DiemHKII!$B$4:$B$58,0),INDEX($BG$14:$BK$27,MATCH(J$7,$BG$14:$BG$27,0),2))&lt;&gt;"",INDEX(BDHK2,MATCH($A36,DiemHKII!$B$4:$B$58,0),INDEX($BG$14:$BK$27,MATCH(J$7,$BG$14:$BG$27,0),4)),""),"")</f>
        <v/>
      </c>
      <c r="L36" s="36" t="str">
        <f>IF($A36&lt;&gt;"",IF(INDEX(BDHK2,MATCH($A36,DiemHKII!$B$4:$B$58,0),INDEX($BG$14:$BK$27,MATCH(J$7,$BG$14:$BG$27,0),2))&lt;&gt;"",INDEX(BDHK2,MATCH($A36,DiemHKII!$B$4:$B$58,0),INDEX($BG$14:$BK$27,MATCH(J$7,$BG$14:$BG$27,0),5)),""),"")</f>
        <v/>
      </c>
      <c r="M36" s="34" t="str">
        <f>IF($A36&lt;&gt;"",IF(INDEX(BDHK2,MATCH($A36,DiemHKII!$B$4:$B$58,0),INDEX($BG$14:$BK$27,MATCH(M$7,$BG$14:$BG$27,0),2))&lt;&gt;"",INDEX(BDHK2,MATCH($A36,DiemHKII!$B$4:$B$58,0),INDEX($BG$14:$BK$27,MATCH(M$7,$BG$14:$BG$27,0),3)),""),"")</f>
        <v/>
      </c>
      <c r="N36" s="35" t="str">
        <f>IF($A36&lt;&gt;"",IF(INDEX(BDHK2,MATCH($A36,DiemHKII!$B$4:$B$58,0),INDEX($BG$14:$BK$27,MATCH(M$7,$BG$14:$BG$27,0),2))&lt;&gt;"",INDEX(BDHK2,MATCH($A36,DiemHKII!$B$4:$B$58,0),INDEX($BG$14:$BK$27,MATCH(M$7,$BG$14:$BG$27,0),4)),""),"")</f>
        <v/>
      </c>
      <c r="O36" s="36" t="str">
        <f>IF($A36&lt;&gt;"",IF(INDEX(BDHK2,MATCH($A36,DiemHKII!$B$4:$B$58,0),INDEX($BG$14:$BK$27,MATCH(M$7,$BG$14:$BG$27,0),2))&lt;&gt;"",INDEX(BDHK2,MATCH($A36,DiemHKII!$B$4:$B$58,0),INDEX($BG$14:$BK$27,MATCH(M$7,$BG$14:$BG$27,0),5)),""),"")</f>
        <v/>
      </c>
      <c r="P36" s="34" t="str">
        <f>IF($A36&lt;&gt;"",IF(INDEX(BDHK2,MATCH($A36,DiemHKII!$B$4:$B$58,0),INDEX($BG$14:$BK$27,MATCH(P$7,$BG$14:$BG$27,0),2))&lt;&gt;"",INDEX(BDHK2,MATCH($A36,DiemHKII!$B$4:$B$58,0),INDEX($BG$14:$BK$27,MATCH(P$7,$BG$14:$BG$27,0),3)),""),"")</f>
        <v/>
      </c>
      <c r="Q36" s="35" t="str">
        <f>IF($A36&lt;&gt;"",IF(INDEX(BDHK2,MATCH($A36,DiemHKII!$B$4:$B$58,0),INDEX($BG$14:$BK$27,MATCH(P$7,$BG$14:$BG$27,0),2))&lt;&gt;"",INDEX(BDHK2,MATCH($A36,DiemHKII!$B$4:$B$58,0),INDEX($BG$14:$BK$27,MATCH(P$7,$BG$14:$BG$27,0),4)),""),"")</f>
        <v/>
      </c>
      <c r="R36" s="36" t="str">
        <f>IF($A36&lt;&gt;"",IF(INDEX(BDHK2,MATCH($A36,DiemHKII!$B$4:$B$58,0),INDEX($BG$14:$BK$27,MATCH(P$7,$BG$14:$BG$27,0),2))&lt;&gt;"",INDEX(BDHK2,MATCH($A36,DiemHKII!$B$4:$B$58,0),INDEX($BG$14:$BK$27,MATCH(P$7,$BG$14:$BG$27,0),5)),""),"")</f>
        <v/>
      </c>
      <c r="S36" s="34" t="str">
        <f>IF($A36&lt;&gt;"",IF(INDEX(BDHK2,MATCH($A36,DiemHKII!$B$4:$B$58,0),INDEX($BG$14:$BK$27,MATCH(S$7,$BG$14:$BG$27,0),2))&lt;&gt;"",INDEX(BDHK2,MATCH($A36,DiemHKII!$B$4:$B$58,0),INDEX($BG$14:$BK$27,MATCH(S$7,$BG$14:$BG$27,0),3)),""),"")</f>
        <v/>
      </c>
      <c r="T36" s="35" t="str">
        <f>IF($A36&lt;&gt;"",IF(INDEX(BDHK2,MATCH($A36,DiemHKII!$B$4:$B$58,0),INDEX($BG$14:$BK$27,MATCH(S$7,$BG$14:$BG$27,0),2))&lt;&gt;"",INDEX(BDHK2,MATCH($A36,DiemHKII!$B$4:$B$58,0),INDEX($BG$14:$BK$27,MATCH(S$7,$BG$14:$BG$27,0),4)),""),"")</f>
        <v/>
      </c>
      <c r="U36" s="36" t="str">
        <f>IF($A36&lt;&gt;"",IF(INDEX(BDHK2,MATCH($A36,DiemHKII!$B$4:$B$58,0),INDEX($BG$14:$BK$27,MATCH(S$7,$BG$14:$BG$27,0),2))&lt;&gt;"",INDEX(BDHK2,MATCH($A36,DiemHKII!$B$4:$B$58,0),INDEX($BG$14:$BK$27,MATCH(S$7,$BG$14:$BG$27,0),5)),""),"")</f>
        <v/>
      </c>
      <c r="V36" s="34" t="str">
        <f>IF($A36&lt;&gt;"",IF(INDEX(BDHK2,MATCH($A36,DiemHKII!$B$4:$B$58,0),INDEX($BG$14:$BK$27,MATCH(V$7,$BG$14:$BG$27,0),2))&lt;&gt;"",INDEX(BDHK2,MATCH($A36,DiemHKII!$B$4:$B$58,0),INDEX($BG$14:$BK$27,MATCH(V$7,$BG$14:$BG$27,0),3)),""),"")</f>
        <v/>
      </c>
      <c r="W36" s="35" t="str">
        <f>IF($A36&lt;&gt;"",IF(INDEX(BDHK2,MATCH($A36,DiemHKII!$B$4:$B$58,0),INDEX($BG$14:$BK$27,MATCH(V$7,$BG$14:$BG$27,0),2))&lt;&gt;"",INDEX(BDHK2,MATCH($A36,DiemHKII!$B$4:$B$58,0),INDEX($BG$14:$BK$27,MATCH(V$7,$BG$14:$BG$27,0),4)),""),"")</f>
        <v/>
      </c>
      <c r="X36" s="36" t="str">
        <f>IF($A36&lt;&gt;"",IF(INDEX(BDHK2,MATCH($A36,DiemHKII!$B$4:$B$58,0),INDEX($BG$14:$BK$27,MATCH(V$7,$BG$14:$BG$27,0),2))&lt;&gt;"",INDEX(BDHK2,MATCH($A36,DiemHKII!$B$4:$B$58,0),INDEX($BG$14:$BK$27,MATCH(V$7,$BG$14:$BG$27,0),5)),""),"")</f>
        <v/>
      </c>
      <c r="Y36" s="34" t="str">
        <f>IF($A36&lt;&gt;"",IF(INDEX(BDHK2,MATCH($A36,DiemHKII!$B$4:$B$58,0),INDEX($BG$14:$BK$27,MATCH(Y$7,$BG$14:$BG$27,0),2))&lt;&gt;"",INDEX(BDHK2,MATCH($A36,DiemHKII!$B$4:$B$58,0),INDEX($BG$14:$BK$27,MATCH(Y$7,$BG$14:$BG$27,0),3)),""),"")</f>
        <v/>
      </c>
      <c r="Z36" s="35" t="str">
        <f>IF($A36&lt;&gt;"",IF(INDEX(BDHK2,MATCH($A36,DiemHKII!$B$4:$B$58,0),INDEX($BG$14:$BK$27,MATCH(Y$7,$BG$14:$BG$27,0),2))&lt;&gt;"",INDEX(BDHK2,MATCH($A36,DiemHKII!$B$4:$B$58,0),INDEX($BG$14:$BK$27,MATCH(Y$7,$BG$14:$BG$27,0),4)),""),"")</f>
        <v/>
      </c>
      <c r="AA36" s="36" t="str">
        <f>IF($A36&lt;&gt;"",IF(INDEX(BDHK2,MATCH($A36,DiemHKII!$B$4:$B$58,0),INDEX($BG$14:$BK$27,MATCH(Y$7,$BG$14:$BG$27,0),2))&lt;&gt;"",INDEX(BDHK2,MATCH($A36,DiemHKII!$B$4:$B$58,0),INDEX($BG$14:$BK$27,MATCH(Y$7,$BG$14:$BG$27,0),5)),""),"")</f>
        <v/>
      </c>
      <c r="AB36" s="34" t="str">
        <f>IF($A36&lt;&gt;"",IF(INDEX(BDHK2,MATCH($A36,DiemHKII!$B$4:$B$58,0),INDEX($BG$14:$BK$27,MATCH(AB$7,$BG$14:$BG$27,0),2))&lt;&gt;"",INDEX(BDHK2,MATCH($A36,DiemHKII!$B$4:$B$58,0),INDEX($BG$14:$BK$27,MATCH(AB$7,$BG$14:$BG$27,0),3)),""),"")</f>
        <v/>
      </c>
      <c r="AC36" s="35" t="str">
        <f>IF($A36&lt;&gt;"",IF(INDEX(BDHK2,MATCH($A36,DiemHKII!$B$4:$B$58,0),INDEX($BG$14:$BK$27,MATCH(AB$7,$BG$14:$BG$27,0),2))&lt;&gt;"",INDEX(BDHK2,MATCH($A36,DiemHKII!$B$4:$B$58,0),INDEX($BG$14:$BK$27,MATCH(AB$7,$BG$14:$BG$27,0),4)),""),"")</f>
        <v/>
      </c>
      <c r="AD36" s="36" t="str">
        <f>IF($A36&lt;&gt;"",IF(INDEX(BDHK2,MATCH($A36,DiemHKII!$B$4:$B$58,0),INDEX($BG$14:$BK$27,MATCH(AB$7,$BG$14:$BG$27,0),2))&lt;&gt;"",INDEX(BDHK2,MATCH($A36,DiemHKII!$B$4:$B$58,0),INDEX($BG$14:$BK$27,MATCH(AB$7,$BG$14:$BG$27,0),5)),""),"")</f>
        <v/>
      </c>
      <c r="AE36" s="34" t="str">
        <f>IF($A36&lt;&gt;"",IF(INDEX(BDHK2,MATCH($A36,DiemHKII!$B$4:$B$58,0),INDEX($BG$14:$BK$27,MATCH(AE$7,$BG$14:$BG$27,0),2))&lt;&gt;"",INDEX(BDHK2,MATCH($A36,DiemHKII!$B$4:$B$58,0),INDEX($BG$14:$BK$27,MATCH(AE$7,$BG$14:$BG$27,0),3)),""),"")</f>
        <v/>
      </c>
      <c r="AF36" s="35" t="str">
        <f>IF($A36&lt;&gt;"",IF(INDEX(BDHK2,MATCH($A36,DiemHKII!$B$4:$B$58,0),INDEX($BG$14:$BK$27,MATCH(AE$7,$BG$14:$BG$27,0),2))&lt;&gt;"",INDEX(BDHK2,MATCH($A36,DiemHKII!$B$4:$B$58,0),INDEX($BG$14:$BK$27,MATCH(AE$7,$BG$14:$BG$27,0),4)),""),"")</f>
        <v/>
      </c>
      <c r="AG36" s="36" t="str">
        <f>IF($A36&lt;&gt;"",IF(INDEX(BDHK2,MATCH($A36,DiemHKII!$B$4:$B$58,0),INDEX($BG$14:$BK$27,MATCH(AE$7,$BG$14:$BG$27,0),2))&lt;&gt;"",INDEX(BDHK2,MATCH($A36,DiemHKII!$B$4:$B$58,0),INDEX($BG$14:$BK$27,MATCH(AE$7,$BG$14:$BG$27,0),5)),""),"")</f>
        <v/>
      </c>
      <c r="AH36" s="34" t="str">
        <f>IF($A36&lt;&gt;"",IF(INDEX(BDHK2,MATCH($A36,DiemHKII!$B$4:$B$58,0),INDEX($BG$14:$BK$27,MATCH(AH$7,$BG$14:$BG$27,0),2))&lt;&gt;"",INDEX(BDHK2,MATCH($A36,DiemHKII!$B$4:$B$58,0),INDEX($BG$14:$BK$27,MATCH(AH$7,$BG$14:$BG$27,0),3)),""),"")</f>
        <v/>
      </c>
      <c r="AI36" s="35" t="str">
        <f>IF($A36&lt;&gt;"",IF(INDEX(BDHK2,MATCH($A36,DiemHKII!$B$4:$B$58,0),INDEX($BG$14:$BK$27,MATCH(AH$7,$BG$14:$BG$27,0),2))&lt;&gt;"",INDEX(BDHK2,MATCH($A36,DiemHKII!$B$4:$B$58,0),INDEX($BG$14:$BK$27,MATCH(AH$7,$BG$14:$BG$27,0),4)),""),"")</f>
        <v/>
      </c>
      <c r="AJ36" s="36" t="str">
        <f>IF($A36&lt;&gt;"",IF(INDEX(BDHK2,MATCH($A36,DiemHKII!$B$4:$B$58,0),INDEX($BG$14:$BK$27,MATCH(AH$7,$BG$14:$BG$27,0),2))&lt;&gt;"",INDEX(BDHK2,MATCH($A36,DiemHKII!$B$4:$B$58,0),INDEX($BG$14:$BK$27,MATCH(AH$7,$BG$14:$BG$27,0),5)),""),"")</f>
        <v/>
      </c>
      <c r="AK36" s="37" t="str">
        <f>IF($A36&lt;&gt;"",IF(INDEX(BDHK2,MATCH($A36,DiemHKII!$B$4:$B$58,0),INDEX($BG$14:$BK$27,MATCH(AK$7,$BG$14:$BG$27,0),2))&lt;&gt;"",INDEX(BDHK2,MATCH($A36,DiemHKII!$B$4:$B$58,0),INDEX($BG$14:$BK$27,MATCH(AK$7,$BG$14:$BG$27,0),3)),""),"")</f>
        <v/>
      </c>
      <c r="AL36" s="8" t="str">
        <f>IF($A36&lt;&gt;"",IF(INDEX(BDHK2,MATCH($A36,DiemHKII!$B$4:$B$58,0),INDEX($BG$14:$BK$27,MATCH(AK$7,$BG$14:$BG$27,0),2))&lt;&gt;"",INDEX(BDHK2,MATCH($A36,DiemHKII!$B$4:$B$58,0),INDEX($BG$14:$BK$27,MATCH(AK$7,$BG$14:$BG$27,0),4)),""),"")</f>
        <v/>
      </c>
      <c r="AM36" s="38" t="str">
        <f>IF($A36&lt;&gt;"",IF(INDEX(BDHK2,MATCH($A36,DiemHKII!$B$4:$B$58,0),INDEX($BG$14:$BK$27,MATCH(AK$7,$BG$14:$BG$27,0),2))&lt;&gt;"",INDEX(BDHK2,MATCH($A36,DiemHKII!$B$4:$B$58,0),INDEX($BG$14:$BK$27,MATCH(AK$7,$BG$14:$BG$27,0),5)),""),"")</f>
        <v/>
      </c>
      <c r="AN36" s="34" t="str">
        <f>IF($A36&lt;&gt;"",IF(INDEX(BDHK2,MATCH($A36,DiemHKII!$B$4:$B$58,0),INDEX($BG$14:$BK$27,MATCH(AN$7,$BG$14:$BG$27,0),2))&lt;&gt;"",INDEX(BDHK2,MATCH($A36,DiemHKII!$B$4:$B$58,0),INDEX($BG$14:$BK$27,MATCH(AN$7,$BG$14:$BG$27,0),3)),""),"")</f>
        <v/>
      </c>
      <c r="AO36" s="35" t="str">
        <f>IF($A36&lt;&gt;"",IF(INDEX(BDHK2,MATCH($A36,DiemHKII!$B$4:$B$58,0),INDEX($BG$14:$BK$27,MATCH(AN$7,$BG$14:$BG$27,0),2))&lt;&gt;"",INDEX(BDHK2,MATCH($A36,DiemHKII!$B$4:$B$58,0),INDEX($BG$14:$BK$27,MATCH(AN$7,$BG$14:$BG$27,0),4)),""),"")</f>
        <v/>
      </c>
      <c r="AP36" s="36" t="str">
        <f>IF($A36&lt;&gt;"",IF(INDEX(BDHK2,MATCH($A36,DiemHKII!$B$4:$B$58,0),INDEX($BG$14:$BK$27,MATCH(AN$7,$BG$14:$BG$27,0),2))&lt;&gt;"",INDEX(BDHK2,MATCH($A36,DiemHKII!$B$4:$B$58,0),INDEX($BG$14:$BK$27,MATCH(AN$7,$BG$14:$BG$27,0),5)),""),"")</f>
        <v/>
      </c>
      <c r="AQ36" s="34" t="str">
        <f>IF($A36&lt;&gt;"",IF(INDEX(BDHK2,MATCH($A36,DiemHKII!$B$4:$B$58,0),INDEX($BG$14:$BK$27,MATCH(AQ$7,$BG$14:$BG$27,0),2))&lt;&gt;"",INDEX(BDHK2,MATCH($A36,DiemHKII!$B$4:$B$58,0),INDEX($BG$14:$BK$27,MATCH(AQ$7,$BG$14:$BG$27,0),3)),""),"")</f>
        <v/>
      </c>
      <c r="AR36" s="35" t="str">
        <f>IF($A36&lt;&gt;"",IF(INDEX(BDHK2,MATCH($A36,DiemHKII!$B$4:$B$58,0),INDEX($BG$14:$BK$27,MATCH(AQ$7,$BG$14:$BG$27,0),2))&lt;&gt;"",INDEX(BDHK2,MATCH($A36,DiemHKII!$B$4:$B$58,0),INDEX($BG$14:$BK$27,MATCH(AQ$7,$BG$14:$BG$27,0),4)),""),"")</f>
        <v/>
      </c>
      <c r="AS36" s="36" t="str">
        <f>IF($A36&lt;&gt;"",IF(INDEX(BDHK2,MATCH($A36,DiemHKII!$B$4:$B$58,0),INDEX($BG$14:$BK$27,MATCH(AQ$7,$BG$14:$BG$27,0),2))&lt;&gt;"",INDEX(BDHK2,MATCH($A36,DiemHKII!$B$4:$B$58,0),INDEX($BG$14:$BK$27,MATCH(AQ$7,$BG$14:$BG$27,0),5)),""),"")</f>
        <v/>
      </c>
      <c r="AT36" s="34">
        <f>IFERROR(IF($A36&gt;=1,IF(INDEX(THHKI!$V$8:$Y$62,MATCH($BL36,THHKI!$AG$8:$AG$62,0),1)&lt;&gt;"",INDEX(THHKI!$V$8:$Y$62,MATCH($BL36,THHKI!$AG$8:$AG$62,0),1),""),""),"")</f>
        <v>9.1999999999999993</v>
      </c>
      <c r="AU36" s="35" t="str">
        <f>IF($A36&gt;=1,IF(INDEX(THHKII!$V$8:$Y$62,MATCH($BL36,THHKII!$AG$8:$AG$62,0),1)&lt;&gt;"",INDEX(THHKII!$V$8:$Y$62,MATCH($BL36,THHKII!$AG$8:$AG$62,0),1),""),"")</f>
        <v/>
      </c>
      <c r="AV36" s="39" t="str">
        <f>IF($A36&gt;=1,IF(INDEX(THCN!$V$8:$Y$62,MATCH($BL36,THCN!$AG$8:$AG$62,0),1)&lt;&gt;"",INDEX(THCN!$V$8:$Y$62,MATCH($BL36,THCN!$AG$8:$AG$62,0),1),""),"")</f>
        <v/>
      </c>
      <c r="AW36" s="40" t="str">
        <f>IFERROR(IF($A36&gt;=1,IF(INDEX(THHKI!$V$8:$Y$62,MATCH($BL36,THHKI!$AG$8:$AG$62,0),2)&lt;&gt;"",INDEX(THHKI!$V$8:$Y$62,MATCH($BL36,THHKI!$AG$8:$AG$62,0),2),""),""),"")</f>
        <v>Giỏi</v>
      </c>
      <c r="AX36" s="8" t="str">
        <f>IF($A36&gt;=1,IF(INDEX(THHKII!$V$8:$Y$62,MATCH($BL36,THHKII!$AG$8:$AG$62,0),2)&lt;&gt;"",INDEX(THHKII!$V$8:$Y$62,MATCH($BL36,THHKII!$AG$8:$AG$62,0),2),""),"")</f>
        <v/>
      </c>
      <c r="AY36" s="467" t="str">
        <f>IF($A36&gt;=1,IF(INDEX(THCN!$V$8:$Y$62,MATCH($BL36,THCN!$AG$8:$AG$62,0),2)&lt;&gt;"",INDEX(THCN!$V$8:$Y$62,MATCH($BL36,THCN!$AG$8:$AG$62,0),2),""),"")</f>
        <v/>
      </c>
      <c r="AZ36" s="37" t="str">
        <f>IFERROR(IF($A36&gt;=1,IF(INDEX(THHKI!$V$8:$Y$62,MATCH($BL36,THHKI!$AG$8:$AG$62,0),3)&lt;&gt;"",INDEX(THHKI!$V$8:$Y$62,MATCH($BL36,THHKI!$AG$8:$AG$62,0),3),""),""),"")</f>
        <v>Tốt</v>
      </c>
      <c r="BA36" s="8" t="str">
        <f>IF($A36&gt;=1,IF(INDEX(THHKII!$V$8:$Y$62,MATCH($BL36,THHKII!$AG$8:$AG$62,0),3)&lt;&gt;"",INDEX(THHKII!$V$8:$Y$62,MATCH($BL36,THHKII!$AG$8:$AG$62,0),3),""),"")</f>
        <v/>
      </c>
      <c r="BB36" s="41" t="str">
        <f>IF($A36&gt;=1,IF(INDEX(THCN!$V$8:$Y$62,MATCH($BL36,THCN!$AG$8:$AG$62,0),3)&lt;&gt;"",INDEX(THCN!$V$8:$Y$62,MATCH($BL36,THCN!$AG$8:$AG$62,0),3),""),"")</f>
        <v/>
      </c>
      <c r="BC36" s="42" t="str">
        <f>IF($A36&gt;=1,IF(INDEX(THCN!$V$8:$Y$62,MATCH($BL36,THCN!$AG$8:$AG$62,0),4)&lt;&gt;"",INDEX(THCN!$V$8:$Y$62,MATCH($BL36,THCN!$AG$8:$AG$62,0),4),""),"")</f>
        <v/>
      </c>
      <c r="BE36" s="31" t="str">
        <f>IFERROR(IF($A36&gt;=1,IF(INDEX(THHKI!$V$8:$Y$62,MATCH($BL36,THHKI!$AG$8:$AG$62,0),4)&lt;&gt;"",INDEX(THHKI!$V$8:$Y$62,MATCH($BL36,THHKI!$AG$8:$AG$62,0),4),""),""),"")</f>
        <v>HSG</v>
      </c>
      <c r="BF36" s="42" t="str">
        <f>IF($A36&gt;=1,IF(INDEX(THHKII!$V$8:$Y$62,MATCH($BL36,THHKII!$AG$8:$AG$62,0),4)&lt;&gt;"",INDEX(THHKII!$V$8:$Y$62,MATCH($BL36,THHKII!$AG$8:$AG$62,0),4),""),"")</f>
        <v/>
      </c>
      <c r="BL36" s="30" t="str">
        <f>IF($A36&lt;&gt;"",INDEX(DiemHKII!$B$4:$K$58,MATCH($A36,DiemHKII!$B$4:$B$58,0),2),"")</f>
        <v>12A1Phan Trương KiếnQuốc03/12/2004</v>
      </c>
    </row>
    <row r="37" spans="1:64" s="30" customFormat="1" ht="29.1" customHeight="1">
      <c r="A37" s="31">
        <f>IF(A36&lt;MAX(DiemHKII!$B$4:$B$58),A36+1,"")</f>
        <v>29</v>
      </c>
      <c r="B37" s="32" t="str">
        <f>IF($A37&lt;&gt;"",PROPER(INDEX(DiemHKII!$B$4:$K$58,MATCH($A37,DiemHKII!$B$4:$B$58,0),4)),"")</f>
        <v>Trần Thị Như</v>
      </c>
      <c r="C37" s="33" t="str">
        <f>IF($A37&lt;&gt;"",PROPER(INDEX(DiemHKII!$B$4:$K$58,MATCH($A37,DiemHKII!$B$4:$B$58,0),5)),"")</f>
        <v>Quỳnh</v>
      </c>
      <c r="D37" s="34" t="str">
        <f>IF($A37&lt;&gt;"",IF(INDEX(BDHK2,MATCH($A37,DiemHKII!$B$4:$B$58,0),INDEX($BG$14:$BK$27,MATCH(D$7,$BG$14:$BG$27,0),2))&lt;&gt;"",INDEX(BDHK2,MATCH($A37,DiemHKII!$B$4:$B$58,0),INDEX($BG$14:$BK$27,MATCH(D$7,$BG$14:$BG$27,0),3)),""),"")</f>
        <v/>
      </c>
      <c r="E37" s="35" t="str">
        <f>IF($A37&lt;&gt;"",IF(INDEX(BDHK2,MATCH($A37,DiemHKII!$B$4:$B$58,0),INDEX($BG$14:$BK$27,MATCH(D$7,$BG$14:$BG$27,0),2))&lt;&gt;"",INDEX(BDHK2,MATCH($A37,DiemHKII!$B$4:$B$58,0),INDEX($BG$14:$BK$27,MATCH(D$7,$BG$14:$BG$27,0),4)),""),"")</f>
        <v/>
      </c>
      <c r="F37" s="36" t="str">
        <f>IF($A37&lt;&gt;"",IF(INDEX(BDHK2,MATCH($A37,DiemHKII!$B$4:$B$58,0),INDEX($BG$14:$BK$27,MATCH(D$7,$BG$14:$BG$27,0),2))&lt;&gt;"",INDEX(BDHK2,MATCH($A37,DiemHKII!$B$4:$B$58,0),INDEX($BG$14:$BK$27,MATCH(D$7,$BG$14:$BG$27,0),5)),""),"")</f>
        <v/>
      </c>
      <c r="G37" s="34" t="str">
        <f>IF($A37&lt;&gt;"",IF(INDEX(BDHK2,MATCH($A37,DiemHKII!$B$4:$B$58,0),INDEX($BG$14:$BK$27,MATCH(G$7,$BG$14:$BG$27,0),2))&lt;&gt;"",INDEX(BDHK2,MATCH($A37,DiemHKII!$B$4:$B$58,0),INDEX($BG$14:$BK$27,MATCH(G$7,$BG$14:$BG$27,0),3)),""),"")</f>
        <v/>
      </c>
      <c r="H37" s="35" t="str">
        <f>IF($A37&lt;&gt;"",IF(INDEX(BDHK2,MATCH($A37,DiemHKII!$B$4:$B$58,0),INDEX($BG$14:$BK$27,MATCH(G$7,$BG$14:$BG$27,0),2))&lt;&gt;"",INDEX(BDHK2,MATCH($A37,DiemHKII!$B$4:$B$58,0),INDEX($BG$14:$BK$27,MATCH(G$7,$BG$14:$BG$27,0),4)),""),"")</f>
        <v/>
      </c>
      <c r="I37" s="36" t="str">
        <f>IF($A37&lt;&gt;"",IF(INDEX(BDHK2,MATCH($A37,DiemHKII!$B$4:$B$58,0),INDEX($BG$14:$BK$27,MATCH(G$7,$BG$14:$BG$27,0),2))&lt;&gt;"",INDEX(BDHK2,MATCH($A37,DiemHKII!$B$4:$B$58,0),INDEX($BG$14:$BK$27,MATCH(G$7,$BG$14:$BG$27,0),5)),""),"")</f>
        <v/>
      </c>
      <c r="J37" s="34" t="str">
        <f>IF($A37&lt;&gt;"",IF(INDEX(BDHK2,MATCH($A37,DiemHKII!$B$4:$B$58,0),INDEX($BG$14:$BK$27,MATCH(J$7,$BG$14:$BG$27,0),2))&lt;&gt;"",INDEX(BDHK2,MATCH($A37,DiemHKII!$B$4:$B$58,0),INDEX($BG$14:$BK$27,MATCH(J$7,$BG$14:$BG$27,0),3)),""),"")</f>
        <v/>
      </c>
      <c r="K37" s="35" t="str">
        <f>IF($A37&lt;&gt;"",IF(INDEX(BDHK2,MATCH($A37,DiemHKII!$B$4:$B$58,0),INDEX($BG$14:$BK$27,MATCH(J$7,$BG$14:$BG$27,0),2))&lt;&gt;"",INDEX(BDHK2,MATCH($A37,DiemHKII!$B$4:$B$58,0),INDEX($BG$14:$BK$27,MATCH(J$7,$BG$14:$BG$27,0),4)),""),"")</f>
        <v/>
      </c>
      <c r="L37" s="36" t="str">
        <f>IF($A37&lt;&gt;"",IF(INDEX(BDHK2,MATCH($A37,DiemHKII!$B$4:$B$58,0),INDEX($BG$14:$BK$27,MATCH(J$7,$BG$14:$BG$27,0),2))&lt;&gt;"",INDEX(BDHK2,MATCH($A37,DiemHKII!$B$4:$B$58,0),INDEX($BG$14:$BK$27,MATCH(J$7,$BG$14:$BG$27,0),5)),""),"")</f>
        <v/>
      </c>
      <c r="M37" s="34" t="str">
        <f>IF($A37&lt;&gt;"",IF(INDEX(BDHK2,MATCH($A37,DiemHKII!$B$4:$B$58,0),INDEX($BG$14:$BK$27,MATCH(M$7,$BG$14:$BG$27,0),2))&lt;&gt;"",INDEX(BDHK2,MATCH($A37,DiemHKII!$B$4:$B$58,0),INDEX($BG$14:$BK$27,MATCH(M$7,$BG$14:$BG$27,0),3)),""),"")</f>
        <v/>
      </c>
      <c r="N37" s="35" t="str">
        <f>IF($A37&lt;&gt;"",IF(INDEX(BDHK2,MATCH($A37,DiemHKII!$B$4:$B$58,0),INDEX($BG$14:$BK$27,MATCH(M$7,$BG$14:$BG$27,0),2))&lt;&gt;"",INDEX(BDHK2,MATCH($A37,DiemHKII!$B$4:$B$58,0),INDEX($BG$14:$BK$27,MATCH(M$7,$BG$14:$BG$27,0),4)),""),"")</f>
        <v/>
      </c>
      <c r="O37" s="36" t="str">
        <f>IF($A37&lt;&gt;"",IF(INDEX(BDHK2,MATCH($A37,DiemHKII!$B$4:$B$58,0),INDEX($BG$14:$BK$27,MATCH(M$7,$BG$14:$BG$27,0),2))&lt;&gt;"",INDEX(BDHK2,MATCH($A37,DiemHKII!$B$4:$B$58,0),INDEX($BG$14:$BK$27,MATCH(M$7,$BG$14:$BG$27,0),5)),""),"")</f>
        <v/>
      </c>
      <c r="P37" s="34" t="str">
        <f>IF($A37&lt;&gt;"",IF(INDEX(BDHK2,MATCH($A37,DiemHKII!$B$4:$B$58,0),INDEX($BG$14:$BK$27,MATCH(P$7,$BG$14:$BG$27,0),2))&lt;&gt;"",INDEX(BDHK2,MATCH($A37,DiemHKII!$B$4:$B$58,0),INDEX($BG$14:$BK$27,MATCH(P$7,$BG$14:$BG$27,0),3)),""),"")</f>
        <v/>
      </c>
      <c r="Q37" s="35" t="str">
        <f>IF($A37&lt;&gt;"",IF(INDEX(BDHK2,MATCH($A37,DiemHKII!$B$4:$B$58,0),INDEX($BG$14:$BK$27,MATCH(P$7,$BG$14:$BG$27,0),2))&lt;&gt;"",INDEX(BDHK2,MATCH($A37,DiemHKII!$B$4:$B$58,0),INDEX($BG$14:$BK$27,MATCH(P$7,$BG$14:$BG$27,0),4)),""),"")</f>
        <v/>
      </c>
      <c r="R37" s="36" t="str">
        <f>IF($A37&lt;&gt;"",IF(INDEX(BDHK2,MATCH($A37,DiemHKII!$B$4:$B$58,0),INDEX($BG$14:$BK$27,MATCH(P$7,$BG$14:$BG$27,0),2))&lt;&gt;"",INDEX(BDHK2,MATCH($A37,DiemHKII!$B$4:$B$58,0),INDEX($BG$14:$BK$27,MATCH(P$7,$BG$14:$BG$27,0),5)),""),"")</f>
        <v/>
      </c>
      <c r="S37" s="34" t="str">
        <f>IF($A37&lt;&gt;"",IF(INDEX(BDHK2,MATCH($A37,DiemHKII!$B$4:$B$58,0),INDEX($BG$14:$BK$27,MATCH(S$7,$BG$14:$BG$27,0),2))&lt;&gt;"",INDEX(BDHK2,MATCH($A37,DiemHKII!$B$4:$B$58,0),INDEX($BG$14:$BK$27,MATCH(S$7,$BG$14:$BG$27,0),3)),""),"")</f>
        <v/>
      </c>
      <c r="T37" s="35" t="str">
        <f>IF($A37&lt;&gt;"",IF(INDEX(BDHK2,MATCH($A37,DiemHKII!$B$4:$B$58,0),INDEX($BG$14:$BK$27,MATCH(S$7,$BG$14:$BG$27,0),2))&lt;&gt;"",INDEX(BDHK2,MATCH($A37,DiemHKII!$B$4:$B$58,0),INDEX($BG$14:$BK$27,MATCH(S$7,$BG$14:$BG$27,0),4)),""),"")</f>
        <v/>
      </c>
      <c r="U37" s="36" t="str">
        <f>IF($A37&lt;&gt;"",IF(INDEX(BDHK2,MATCH($A37,DiemHKII!$B$4:$B$58,0),INDEX($BG$14:$BK$27,MATCH(S$7,$BG$14:$BG$27,0),2))&lt;&gt;"",INDEX(BDHK2,MATCH($A37,DiemHKII!$B$4:$B$58,0),INDEX($BG$14:$BK$27,MATCH(S$7,$BG$14:$BG$27,0),5)),""),"")</f>
        <v/>
      </c>
      <c r="V37" s="34" t="str">
        <f>IF($A37&lt;&gt;"",IF(INDEX(BDHK2,MATCH($A37,DiemHKII!$B$4:$B$58,0),INDEX($BG$14:$BK$27,MATCH(V$7,$BG$14:$BG$27,0),2))&lt;&gt;"",INDEX(BDHK2,MATCH($A37,DiemHKII!$B$4:$B$58,0),INDEX($BG$14:$BK$27,MATCH(V$7,$BG$14:$BG$27,0),3)),""),"")</f>
        <v/>
      </c>
      <c r="W37" s="35" t="str">
        <f>IF($A37&lt;&gt;"",IF(INDEX(BDHK2,MATCH($A37,DiemHKII!$B$4:$B$58,0),INDEX($BG$14:$BK$27,MATCH(V$7,$BG$14:$BG$27,0),2))&lt;&gt;"",INDEX(BDHK2,MATCH($A37,DiemHKII!$B$4:$B$58,0),INDEX($BG$14:$BK$27,MATCH(V$7,$BG$14:$BG$27,0),4)),""),"")</f>
        <v/>
      </c>
      <c r="X37" s="36" t="str">
        <f>IF($A37&lt;&gt;"",IF(INDEX(BDHK2,MATCH($A37,DiemHKII!$B$4:$B$58,0),INDEX($BG$14:$BK$27,MATCH(V$7,$BG$14:$BG$27,0),2))&lt;&gt;"",INDEX(BDHK2,MATCH($A37,DiemHKII!$B$4:$B$58,0),INDEX($BG$14:$BK$27,MATCH(V$7,$BG$14:$BG$27,0),5)),""),"")</f>
        <v/>
      </c>
      <c r="Y37" s="34" t="str">
        <f>IF($A37&lt;&gt;"",IF(INDEX(BDHK2,MATCH($A37,DiemHKII!$B$4:$B$58,0),INDEX($BG$14:$BK$27,MATCH(Y$7,$BG$14:$BG$27,0),2))&lt;&gt;"",INDEX(BDHK2,MATCH($A37,DiemHKII!$B$4:$B$58,0),INDEX($BG$14:$BK$27,MATCH(Y$7,$BG$14:$BG$27,0),3)),""),"")</f>
        <v/>
      </c>
      <c r="Z37" s="35" t="str">
        <f>IF($A37&lt;&gt;"",IF(INDEX(BDHK2,MATCH($A37,DiemHKII!$B$4:$B$58,0),INDEX($BG$14:$BK$27,MATCH(Y$7,$BG$14:$BG$27,0),2))&lt;&gt;"",INDEX(BDHK2,MATCH($A37,DiemHKII!$B$4:$B$58,0),INDEX($BG$14:$BK$27,MATCH(Y$7,$BG$14:$BG$27,0),4)),""),"")</f>
        <v/>
      </c>
      <c r="AA37" s="36" t="str">
        <f>IF($A37&lt;&gt;"",IF(INDEX(BDHK2,MATCH($A37,DiemHKII!$B$4:$B$58,0),INDEX($BG$14:$BK$27,MATCH(Y$7,$BG$14:$BG$27,0),2))&lt;&gt;"",INDEX(BDHK2,MATCH($A37,DiemHKII!$B$4:$B$58,0),INDEX($BG$14:$BK$27,MATCH(Y$7,$BG$14:$BG$27,0),5)),""),"")</f>
        <v/>
      </c>
      <c r="AB37" s="34" t="str">
        <f>IF($A37&lt;&gt;"",IF(INDEX(BDHK2,MATCH($A37,DiemHKII!$B$4:$B$58,0),INDEX($BG$14:$BK$27,MATCH(AB$7,$BG$14:$BG$27,0),2))&lt;&gt;"",INDEX(BDHK2,MATCH($A37,DiemHKII!$B$4:$B$58,0),INDEX($BG$14:$BK$27,MATCH(AB$7,$BG$14:$BG$27,0),3)),""),"")</f>
        <v/>
      </c>
      <c r="AC37" s="35" t="str">
        <f>IF($A37&lt;&gt;"",IF(INDEX(BDHK2,MATCH($A37,DiemHKII!$B$4:$B$58,0),INDEX($BG$14:$BK$27,MATCH(AB$7,$BG$14:$BG$27,0),2))&lt;&gt;"",INDEX(BDHK2,MATCH($A37,DiemHKII!$B$4:$B$58,0),INDEX($BG$14:$BK$27,MATCH(AB$7,$BG$14:$BG$27,0),4)),""),"")</f>
        <v/>
      </c>
      <c r="AD37" s="36" t="str">
        <f>IF($A37&lt;&gt;"",IF(INDEX(BDHK2,MATCH($A37,DiemHKII!$B$4:$B$58,0),INDEX($BG$14:$BK$27,MATCH(AB$7,$BG$14:$BG$27,0),2))&lt;&gt;"",INDEX(BDHK2,MATCH($A37,DiemHKII!$B$4:$B$58,0),INDEX($BG$14:$BK$27,MATCH(AB$7,$BG$14:$BG$27,0),5)),""),"")</f>
        <v/>
      </c>
      <c r="AE37" s="34" t="str">
        <f>IF($A37&lt;&gt;"",IF(INDEX(BDHK2,MATCH($A37,DiemHKII!$B$4:$B$58,0),INDEX($BG$14:$BK$27,MATCH(AE$7,$BG$14:$BG$27,0),2))&lt;&gt;"",INDEX(BDHK2,MATCH($A37,DiemHKII!$B$4:$B$58,0),INDEX($BG$14:$BK$27,MATCH(AE$7,$BG$14:$BG$27,0),3)),""),"")</f>
        <v/>
      </c>
      <c r="AF37" s="35" t="str">
        <f>IF($A37&lt;&gt;"",IF(INDEX(BDHK2,MATCH($A37,DiemHKII!$B$4:$B$58,0),INDEX($BG$14:$BK$27,MATCH(AE$7,$BG$14:$BG$27,0),2))&lt;&gt;"",INDEX(BDHK2,MATCH($A37,DiemHKII!$B$4:$B$58,0),INDEX($BG$14:$BK$27,MATCH(AE$7,$BG$14:$BG$27,0),4)),""),"")</f>
        <v/>
      </c>
      <c r="AG37" s="36" t="str">
        <f>IF($A37&lt;&gt;"",IF(INDEX(BDHK2,MATCH($A37,DiemHKII!$B$4:$B$58,0),INDEX($BG$14:$BK$27,MATCH(AE$7,$BG$14:$BG$27,0),2))&lt;&gt;"",INDEX(BDHK2,MATCH($A37,DiemHKII!$B$4:$B$58,0),INDEX($BG$14:$BK$27,MATCH(AE$7,$BG$14:$BG$27,0),5)),""),"")</f>
        <v/>
      </c>
      <c r="AH37" s="34" t="str">
        <f>IF($A37&lt;&gt;"",IF(INDEX(BDHK2,MATCH($A37,DiemHKII!$B$4:$B$58,0),INDEX($BG$14:$BK$27,MATCH(AH$7,$BG$14:$BG$27,0),2))&lt;&gt;"",INDEX(BDHK2,MATCH($A37,DiemHKII!$B$4:$B$58,0),INDEX($BG$14:$BK$27,MATCH(AH$7,$BG$14:$BG$27,0),3)),""),"")</f>
        <v/>
      </c>
      <c r="AI37" s="35" t="str">
        <f>IF($A37&lt;&gt;"",IF(INDEX(BDHK2,MATCH($A37,DiemHKII!$B$4:$B$58,0),INDEX($BG$14:$BK$27,MATCH(AH$7,$BG$14:$BG$27,0),2))&lt;&gt;"",INDEX(BDHK2,MATCH($A37,DiemHKII!$B$4:$B$58,0),INDEX($BG$14:$BK$27,MATCH(AH$7,$BG$14:$BG$27,0),4)),""),"")</f>
        <v/>
      </c>
      <c r="AJ37" s="36" t="str">
        <f>IF($A37&lt;&gt;"",IF(INDEX(BDHK2,MATCH($A37,DiemHKII!$B$4:$B$58,0),INDEX($BG$14:$BK$27,MATCH(AH$7,$BG$14:$BG$27,0),2))&lt;&gt;"",INDEX(BDHK2,MATCH($A37,DiemHKII!$B$4:$B$58,0),INDEX($BG$14:$BK$27,MATCH(AH$7,$BG$14:$BG$27,0),5)),""),"")</f>
        <v/>
      </c>
      <c r="AK37" s="37" t="str">
        <f>IF($A37&lt;&gt;"",IF(INDEX(BDHK2,MATCH($A37,DiemHKII!$B$4:$B$58,0),INDEX($BG$14:$BK$27,MATCH(AK$7,$BG$14:$BG$27,0),2))&lt;&gt;"",INDEX(BDHK2,MATCH($A37,DiemHKII!$B$4:$B$58,0),INDEX($BG$14:$BK$27,MATCH(AK$7,$BG$14:$BG$27,0),3)),""),"")</f>
        <v/>
      </c>
      <c r="AL37" s="8" t="str">
        <f>IF($A37&lt;&gt;"",IF(INDEX(BDHK2,MATCH($A37,DiemHKII!$B$4:$B$58,0),INDEX($BG$14:$BK$27,MATCH(AK$7,$BG$14:$BG$27,0),2))&lt;&gt;"",INDEX(BDHK2,MATCH($A37,DiemHKII!$B$4:$B$58,0),INDEX($BG$14:$BK$27,MATCH(AK$7,$BG$14:$BG$27,0),4)),""),"")</f>
        <v/>
      </c>
      <c r="AM37" s="38" t="str">
        <f>IF($A37&lt;&gt;"",IF(INDEX(BDHK2,MATCH($A37,DiemHKII!$B$4:$B$58,0),INDEX($BG$14:$BK$27,MATCH(AK$7,$BG$14:$BG$27,0),2))&lt;&gt;"",INDEX(BDHK2,MATCH($A37,DiemHKII!$B$4:$B$58,0),INDEX($BG$14:$BK$27,MATCH(AK$7,$BG$14:$BG$27,0),5)),""),"")</f>
        <v/>
      </c>
      <c r="AN37" s="34" t="str">
        <f>IF($A37&lt;&gt;"",IF(INDEX(BDHK2,MATCH($A37,DiemHKII!$B$4:$B$58,0),INDEX($BG$14:$BK$27,MATCH(AN$7,$BG$14:$BG$27,0),2))&lt;&gt;"",INDEX(BDHK2,MATCH($A37,DiemHKII!$B$4:$B$58,0),INDEX($BG$14:$BK$27,MATCH(AN$7,$BG$14:$BG$27,0),3)),""),"")</f>
        <v/>
      </c>
      <c r="AO37" s="35" t="str">
        <f>IF($A37&lt;&gt;"",IF(INDEX(BDHK2,MATCH($A37,DiemHKII!$B$4:$B$58,0),INDEX($BG$14:$BK$27,MATCH(AN$7,$BG$14:$BG$27,0),2))&lt;&gt;"",INDEX(BDHK2,MATCH($A37,DiemHKII!$B$4:$B$58,0),INDEX($BG$14:$BK$27,MATCH(AN$7,$BG$14:$BG$27,0),4)),""),"")</f>
        <v/>
      </c>
      <c r="AP37" s="36" t="str">
        <f>IF($A37&lt;&gt;"",IF(INDEX(BDHK2,MATCH($A37,DiemHKII!$B$4:$B$58,0),INDEX($BG$14:$BK$27,MATCH(AN$7,$BG$14:$BG$27,0),2))&lt;&gt;"",INDEX(BDHK2,MATCH($A37,DiemHKII!$B$4:$B$58,0),INDEX($BG$14:$BK$27,MATCH(AN$7,$BG$14:$BG$27,0),5)),""),"")</f>
        <v/>
      </c>
      <c r="AQ37" s="34" t="str">
        <f>IF($A37&lt;&gt;"",IF(INDEX(BDHK2,MATCH($A37,DiemHKII!$B$4:$B$58,0),INDEX($BG$14:$BK$27,MATCH(AQ$7,$BG$14:$BG$27,0),2))&lt;&gt;"",INDEX(BDHK2,MATCH($A37,DiemHKII!$B$4:$B$58,0),INDEX($BG$14:$BK$27,MATCH(AQ$7,$BG$14:$BG$27,0),3)),""),"")</f>
        <v/>
      </c>
      <c r="AR37" s="35" t="str">
        <f>IF($A37&lt;&gt;"",IF(INDEX(BDHK2,MATCH($A37,DiemHKII!$B$4:$B$58,0),INDEX($BG$14:$BK$27,MATCH(AQ$7,$BG$14:$BG$27,0),2))&lt;&gt;"",INDEX(BDHK2,MATCH($A37,DiemHKII!$B$4:$B$58,0),INDEX($BG$14:$BK$27,MATCH(AQ$7,$BG$14:$BG$27,0),4)),""),"")</f>
        <v/>
      </c>
      <c r="AS37" s="36" t="str">
        <f>IF($A37&lt;&gt;"",IF(INDEX(BDHK2,MATCH($A37,DiemHKII!$B$4:$B$58,0),INDEX($BG$14:$BK$27,MATCH(AQ$7,$BG$14:$BG$27,0),2))&lt;&gt;"",INDEX(BDHK2,MATCH($A37,DiemHKII!$B$4:$B$58,0),INDEX($BG$14:$BK$27,MATCH(AQ$7,$BG$14:$BG$27,0),5)),""),"")</f>
        <v/>
      </c>
      <c r="AT37" s="34">
        <f>IFERROR(IF($A37&gt;=1,IF(INDEX(THHKI!$V$8:$Y$62,MATCH($BL37,THHKI!$AG$8:$AG$62,0),1)&lt;&gt;"",INDEX(THHKI!$V$8:$Y$62,MATCH($BL37,THHKI!$AG$8:$AG$62,0),1),""),""),"")</f>
        <v>9.4</v>
      </c>
      <c r="AU37" s="35" t="str">
        <f>IF($A37&gt;=1,IF(INDEX(THHKII!$V$8:$Y$62,MATCH($BL37,THHKII!$AG$8:$AG$62,0),1)&lt;&gt;"",INDEX(THHKII!$V$8:$Y$62,MATCH($BL37,THHKII!$AG$8:$AG$62,0),1),""),"")</f>
        <v/>
      </c>
      <c r="AV37" s="39" t="str">
        <f>IF($A37&gt;=1,IF(INDEX(THCN!$V$8:$Y$62,MATCH($BL37,THCN!$AG$8:$AG$62,0),1)&lt;&gt;"",INDEX(THCN!$V$8:$Y$62,MATCH($BL37,THCN!$AG$8:$AG$62,0),1),""),"")</f>
        <v/>
      </c>
      <c r="AW37" s="40" t="str">
        <f>IFERROR(IF($A37&gt;=1,IF(INDEX(THHKI!$V$8:$Y$62,MATCH($BL37,THHKI!$AG$8:$AG$62,0),2)&lt;&gt;"",INDEX(THHKI!$V$8:$Y$62,MATCH($BL37,THHKI!$AG$8:$AG$62,0),2),""),""),"")</f>
        <v>Giỏi</v>
      </c>
      <c r="AX37" s="8" t="str">
        <f>IF($A37&gt;=1,IF(INDEX(THHKII!$V$8:$Y$62,MATCH($BL37,THHKII!$AG$8:$AG$62,0),2)&lt;&gt;"",INDEX(THHKII!$V$8:$Y$62,MATCH($BL37,THHKII!$AG$8:$AG$62,0),2),""),"")</f>
        <v/>
      </c>
      <c r="AY37" s="467" t="str">
        <f>IF($A37&gt;=1,IF(INDEX(THCN!$V$8:$Y$62,MATCH($BL37,THCN!$AG$8:$AG$62,0),2)&lt;&gt;"",INDEX(THCN!$V$8:$Y$62,MATCH($BL37,THCN!$AG$8:$AG$62,0),2),""),"")</f>
        <v/>
      </c>
      <c r="AZ37" s="37" t="str">
        <f>IFERROR(IF($A37&gt;=1,IF(INDEX(THHKI!$V$8:$Y$62,MATCH($BL37,THHKI!$AG$8:$AG$62,0),3)&lt;&gt;"",INDEX(THHKI!$V$8:$Y$62,MATCH($BL37,THHKI!$AG$8:$AG$62,0),3),""),""),"")</f>
        <v>Tốt</v>
      </c>
      <c r="BA37" s="8" t="str">
        <f>IF($A37&gt;=1,IF(INDEX(THHKII!$V$8:$Y$62,MATCH($BL37,THHKII!$AG$8:$AG$62,0),3)&lt;&gt;"",INDEX(THHKII!$V$8:$Y$62,MATCH($BL37,THHKII!$AG$8:$AG$62,0),3),""),"")</f>
        <v/>
      </c>
      <c r="BB37" s="41" t="str">
        <f>IF($A37&gt;=1,IF(INDEX(THCN!$V$8:$Y$62,MATCH($BL37,THCN!$AG$8:$AG$62,0),3)&lt;&gt;"",INDEX(THCN!$V$8:$Y$62,MATCH($BL37,THCN!$AG$8:$AG$62,0),3),""),"")</f>
        <v/>
      </c>
      <c r="BC37" s="42" t="str">
        <f>IF($A37&gt;=1,IF(INDEX(THCN!$V$8:$Y$62,MATCH($BL37,THCN!$AG$8:$AG$62,0),4)&lt;&gt;"",INDEX(THCN!$V$8:$Y$62,MATCH($BL37,THCN!$AG$8:$AG$62,0),4),""),"")</f>
        <v/>
      </c>
      <c r="BE37" s="31" t="str">
        <f>IFERROR(IF($A37&gt;=1,IF(INDEX(THHKI!$V$8:$Y$62,MATCH($BL37,THHKI!$AG$8:$AG$62,0),4)&lt;&gt;"",INDEX(THHKI!$V$8:$Y$62,MATCH($BL37,THHKI!$AG$8:$AG$62,0),4),""),""),"")</f>
        <v>HSG</v>
      </c>
      <c r="BF37" s="42" t="str">
        <f>IF($A37&gt;=1,IF(INDEX(THHKII!$V$8:$Y$62,MATCH($BL37,THHKII!$AG$8:$AG$62,0),4)&lt;&gt;"",INDEX(THHKII!$V$8:$Y$62,MATCH($BL37,THHKII!$AG$8:$AG$62,0),4),""),"")</f>
        <v/>
      </c>
      <c r="BL37" s="30" t="str">
        <f>IF($A37&lt;&gt;"",INDEX(DiemHKII!$B$4:$K$58,MATCH($A37,DiemHKII!$B$4:$B$58,0),2),"")</f>
        <v>12A1Trần Thị NhưQuỳnh28/01/2004</v>
      </c>
    </row>
    <row r="38" spans="1:64" s="30" customFormat="1" ht="29.1" customHeight="1" thickBot="1">
      <c r="A38" s="43">
        <f>IF(A37&lt;MAX(DiemHKII!$B$4:$B$58),A37+1,"")</f>
        <v>30</v>
      </c>
      <c r="B38" s="44" t="str">
        <f>IF($A38&lt;&gt;"",PROPER(INDEX(DiemHKII!$B$4:$K$58,MATCH($A38,DiemHKII!$B$4:$B$58,0),4)),"")</f>
        <v>Nguyễn Thái</v>
      </c>
      <c r="C38" s="45" t="str">
        <f>IF($A38&lt;&gt;"",PROPER(INDEX(DiemHKII!$B$4:$K$58,MATCH($A38,DiemHKII!$B$4:$B$58,0),5)),"")</f>
        <v>Sơn</v>
      </c>
      <c r="D38" s="46" t="str">
        <f>IF($A38&lt;&gt;"",IF(INDEX(BDHK2,MATCH($A38,DiemHKII!$B$4:$B$58,0),INDEX($BG$14:$BK$27,MATCH(D$7,$BG$14:$BG$27,0),2))&lt;&gt;"",INDEX(BDHK2,MATCH($A38,DiemHKII!$B$4:$B$58,0),INDEX($BG$14:$BK$27,MATCH(D$7,$BG$14:$BG$27,0),3)),""),"")</f>
        <v/>
      </c>
      <c r="E38" s="47" t="str">
        <f>IF($A38&lt;&gt;"",IF(INDEX(BDHK2,MATCH($A38,DiemHKII!$B$4:$B$58,0),INDEX($BG$14:$BK$27,MATCH(D$7,$BG$14:$BG$27,0),2))&lt;&gt;"",INDEX(BDHK2,MATCH($A38,DiemHKII!$B$4:$B$58,0),INDEX($BG$14:$BK$27,MATCH(D$7,$BG$14:$BG$27,0),4)),""),"")</f>
        <v/>
      </c>
      <c r="F38" s="48" t="str">
        <f>IF($A38&lt;&gt;"",IF(INDEX(BDHK2,MATCH($A38,DiemHKII!$B$4:$B$58,0),INDEX($BG$14:$BK$27,MATCH(D$7,$BG$14:$BG$27,0),2))&lt;&gt;"",INDEX(BDHK2,MATCH($A38,DiemHKII!$B$4:$B$58,0),INDEX($BG$14:$BK$27,MATCH(D$7,$BG$14:$BG$27,0),5)),""),"")</f>
        <v/>
      </c>
      <c r="G38" s="46" t="str">
        <f>IF($A38&lt;&gt;"",IF(INDEX(BDHK2,MATCH($A38,DiemHKII!$B$4:$B$58,0),INDEX($BG$14:$BK$27,MATCH(G$7,$BG$14:$BG$27,0),2))&lt;&gt;"",INDEX(BDHK2,MATCH($A38,DiemHKII!$B$4:$B$58,0),INDEX($BG$14:$BK$27,MATCH(G$7,$BG$14:$BG$27,0),3)),""),"")</f>
        <v/>
      </c>
      <c r="H38" s="47" t="str">
        <f>IF($A38&lt;&gt;"",IF(INDEX(BDHK2,MATCH($A38,DiemHKII!$B$4:$B$58,0),INDEX($BG$14:$BK$27,MATCH(G$7,$BG$14:$BG$27,0),2))&lt;&gt;"",INDEX(BDHK2,MATCH($A38,DiemHKII!$B$4:$B$58,0),INDEX($BG$14:$BK$27,MATCH(G$7,$BG$14:$BG$27,0),4)),""),"")</f>
        <v/>
      </c>
      <c r="I38" s="48" t="str">
        <f>IF($A38&lt;&gt;"",IF(INDEX(BDHK2,MATCH($A38,DiemHKII!$B$4:$B$58,0),INDEX($BG$14:$BK$27,MATCH(G$7,$BG$14:$BG$27,0),2))&lt;&gt;"",INDEX(BDHK2,MATCH($A38,DiemHKII!$B$4:$B$58,0),INDEX($BG$14:$BK$27,MATCH(G$7,$BG$14:$BG$27,0),5)),""),"")</f>
        <v/>
      </c>
      <c r="J38" s="46" t="str">
        <f>IF($A38&lt;&gt;"",IF(INDEX(BDHK2,MATCH($A38,DiemHKII!$B$4:$B$58,0),INDEX($BG$14:$BK$27,MATCH(J$7,$BG$14:$BG$27,0),2))&lt;&gt;"",INDEX(BDHK2,MATCH($A38,DiemHKII!$B$4:$B$58,0),INDEX($BG$14:$BK$27,MATCH(J$7,$BG$14:$BG$27,0),3)),""),"")</f>
        <v/>
      </c>
      <c r="K38" s="47" t="str">
        <f>IF($A38&lt;&gt;"",IF(INDEX(BDHK2,MATCH($A38,DiemHKII!$B$4:$B$58,0),INDEX($BG$14:$BK$27,MATCH(J$7,$BG$14:$BG$27,0),2))&lt;&gt;"",INDEX(BDHK2,MATCH($A38,DiemHKII!$B$4:$B$58,0),INDEX($BG$14:$BK$27,MATCH(J$7,$BG$14:$BG$27,0),4)),""),"")</f>
        <v/>
      </c>
      <c r="L38" s="48" t="str">
        <f>IF($A38&lt;&gt;"",IF(INDEX(BDHK2,MATCH($A38,DiemHKII!$B$4:$B$58,0),INDEX($BG$14:$BK$27,MATCH(J$7,$BG$14:$BG$27,0),2))&lt;&gt;"",INDEX(BDHK2,MATCH($A38,DiemHKII!$B$4:$B$58,0),INDEX($BG$14:$BK$27,MATCH(J$7,$BG$14:$BG$27,0),5)),""),"")</f>
        <v/>
      </c>
      <c r="M38" s="46" t="str">
        <f>IF($A38&lt;&gt;"",IF(INDEX(BDHK2,MATCH($A38,DiemHKII!$B$4:$B$58,0),INDEX($BG$14:$BK$27,MATCH(M$7,$BG$14:$BG$27,0),2))&lt;&gt;"",INDEX(BDHK2,MATCH($A38,DiemHKII!$B$4:$B$58,0),INDEX($BG$14:$BK$27,MATCH(M$7,$BG$14:$BG$27,0),3)),""),"")</f>
        <v/>
      </c>
      <c r="N38" s="47" t="str">
        <f>IF($A38&lt;&gt;"",IF(INDEX(BDHK2,MATCH($A38,DiemHKII!$B$4:$B$58,0),INDEX($BG$14:$BK$27,MATCH(M$7,$BG$14:$BG$27,0),2))&lt;&gt;"",INDEX(BDHK2,MATCH($A38,DiemHKII!$B$4:$B$58,0),INDEX($BG$14:$BK$27,MATCH(M$7,$BG$14:$BG$27,0),4)),""),"")</f>
        <v/>
      </c>
      <c r="O38" s="48" t="str">
        <f>IF($A38&lt;&gt;"",IF(INDEX(BDHK2,MATCH($A38,DiemHKII!$B$4:$B$58,0),INDEX($BG$14:$BK$27,MATCH(M$7,$BG$14:$BG$27,0),2))&lt;&gt;"",INDEX(BDHK2,MATCH($A38,DiemHKII!$B$4:$B$58,0),INDEX($BG$14:$BK$27,MATCH(M$7,$BG$14:$BG$27,0),5)),""),"")</f>
        <v/>
      </c>
      <c r="P38" s="46" t="str">
        <f>IF($A38&lt;&gt;"",IF(INDEX(BDHK2,MATCH($A38,DiemHKII!$B$4:$B$58,0),INDEX($BG$14:$BK$27,MATCH(P$7,$BG$14:$BG$27,0),2))&lt;&gt;"",INDEX(BDHK2,MATCH($A38,DiemHKII!$B$4:$B$58,0),INDEX($BG$14:$BK$27,MATCH(P$7,$BG$14:$BG$27,0),3)),""),"")</f>
        <v/>
      </c>
      <c r="Q38" s="47" t="str">
        <f>IF($A38&lt;&gt;"",IF(INDEX(BDHK2,MATCH($A38,DiemHKII!$B$4:$B$58,0),INDEX($BG$14:$BK$27,MATCH(P$7,$BG$14:$BG$27,0),2))&lt;&gt;"",INDEX(BDHK2,MATCH($A38,DiemHKII!$B$4:$B$58,0),INDEX($BG$14:$BK$27,MATCH(P$7,$BG$14:$BG$27,0),4)),""),"")</f>
        <v/>
      </c>
      <c r="R38" s="48" t="str">
        <f>IF($A38&lt;&gt;"",IF(INDEX(BDHK2,MATCH($A38,DiemHKII!$B$4:$B$58,0),INDEX($BG$14:$BK$27,MATCH(P$7,$BG$14:$BG$27,0),2))&lt;&gt;"",INDEX(BDHK2,MATCH($A38,DiemHKII!$B$4:$B$58,0),INDEX($BG$14:$BK$27,MATCH(P$7,$BG$14:$BG$27,0),5)),""),"")</f>
        <v/>
      </c>
      <c r="S38" s="46" t="str">
        <f>IF($A38&lt;&gt;"",IF(INDEX(BDHK2,MATCH($A38,DiemHKII!$B$4:$B$58,0),INDEX($BG$14:$BK$27,MATCH(S$7,$BG$14:$BG$27,0),2))&lt;&gt;"",INDEX(BDHK2,MATCH($A38,DiemHKII!$B$4:$B$58,0),INDEX($BG$14:$BK$27,MATCH(S$7,$BG$14:$BG$27,0),3)),""),"")</f>
        <v/>
      </c>
      <c r="T38" s="47" t="str">
        <f>IF($A38&lt;&gt;"",IF(INDEX(BDHK2,MATCH($A38,DiemHKII!$B$4:$B$58,0),INDEX($BG$14:$BK$27,MATCH(S$7,$BG$14:$BG$27,0),2))&lt;&gt;"",INDEX(BDHK2,MATCH($A38,DiemHKII!$B$4:$B$58,0),INDEX($BG$14:$BK$27,MATCH(S$7,$BG$14:$BG$27,0),4)),""),"")</f>
        <v/>
      </c>
      <c r="U38" s="48" t="str">
        <f>IF($A38&lt;&gt;"",IF(INDEX(BDHK2,MATCH($A38,DiemHKII!$B$4:$B$58,0),INDEX($BG$14:$BK$27,MATCH(S$7,$BG$14:$BG$27,0),2))&lt;&gt;"",INDEX(BDHK2,MATCH($A38,DiemHKII!$B$4:$B$58,0),INDEX($BG$14:$BK$27,MATCH(S$7,$BG$14:$BG$27,0),5)),""),"")</f>
        <v/>
      </c>
      <c r="V38" s="46" t="str">
        <f>IF($A38&lt;&gt;"",IF(INDEX(BDHK2,MATCH($A38,DiemHKII!$B$4:$B$58,0),INDEX($BG$14:$BK$27,MATCH(V$7,$BG$14:$BG$27,0),2))&lt;&gt;"",INDEX(BDHK2,MATCH($A38,DiemHKII!$B$4:$B$58,0),INDEX($BG$14:$BK$27,MATCH(V$7,$BG$14:$BG$27,0),3)),""),"")</f>
        <v/>
      </c>
      <c r="W38" s="47" t="str">
        <f>IF($A38&lt;&gt;"",IF(INDEX(BDHK2,MATCH($A38,DiemHKII!$B$4:$B$58,0),INDEX($BG$14:$BK$27,MATCH(V$7,$BG$14:$BG$27,0),2))&lt;&gt;"",INDEX(BDHK2,MATCH($A38,DiemHKII!$B$4:$B$58,0),INDEX($BG$14:$BK$27,MATCH(V$7,$BG$14:$BG$27,0),4)),""),"")</f>
        <v/>
      </c>
      <c r="X38" s="48" t="str">
        <f>IF($A38&lt;&gt;"",IF(INDEX(BDHK2,MATCH($A38,DiemHKII!$B$4:$B$58,0),INDEX($BG$14:$BK$27,MATCH(V$7,$BG$14:$BG$27,0),2))&lt;&gt;"",INDEX(BDHK2,MATCH($A38,DiemHKII!$B$4:$B$58,0),INDEX($BG$14:$BK$27,MATCH(V$7,$BG$14:$BG$27,0),5)),""),"")</f>
        <v/>
      </c>
      <c r="Y38" s="46" t="str">
        <f>IF($A38&lt;&gt;"",IF(INDEX(BDHK2,MATCH($A38,DiemHKII!$B$4:$B$58,0),INDEX($BG$14:$BK$27,MATCH(Y$7,$BG$14:$BG$27,0),2))&lt;&gt;"",INDEX(BDHK2,MATCH($A38,DiemHKII!$B$4:$B$58,0),INDEX($BG$14:$BK$27,MATCH(Y$7,$BG$14:$BG$27,0),3)),""),"")</f>
        <v/>
      </c>
      <c r="Z38" s="47" t="str">
        <f>IF($A38&lt;&gt;"",IF(INDEX(BDHK2,MATCH($A38,DiemHKII!$B$4:$B$58,0),INDEX($BG$14:$BK$27,MATCH(Y$7,$BG$14:$BG$27,0),2))&lt;&gt;"",INDEX(BDHK2,MATCH($A38,DiemHKII!$B$4:$B$58,0),INDEX($BG$14:$BK$27,MATCH(Y$7,$BG$14:$BG$27,0),4)),""),"")</f>
        <v/>
      </c>
      <c r="AA38" s="48" t="str">
        <f>IF($A38&lt;&gt;"",IF(INDEX(BDHK2,MATCH($A38,DiemHKII!$B$4:$B$58,0),INDEX($BG$14:$BK$27,MATCH(Y$7,$BG$14:$BG$27,0),2))&lt;&gt;"",INDEX(BDHK2,MATCH($A38,DiemHKII!$B$4:$B$58,0),INDEX($BG$14:$BK$27,MATCH(Y$7,$BG$14:$BG$27,0),5)),""),"")</f>
        <v/>
      </c>
      <c r="AB38" s="46" t="str">
        <f>IF($A38&lt;&gt;"",IF(INDEX(BDHK2,MATCH($A38,DiemHKII!$B$4:$B$58,0),INDEX($BG$14:$BK$27,MATCH(AB$7,$BG$14:$BG$27,0),2))&lt;&gt;"",INDEX(BDHK2,MATCH($A38,DiemHKII!$B$4:$B$58,0),INDEX($BG$14:$BK$27,MATCH(AB$7,$BG$14:$BG$27,0),3)),""),"")</f>
        <v/>
      </c>
      <c r="AC38" s="47" t="str">
        <f>IF($A38&lt;&gt;"",IF(INDEX(BDHK2,MATCH($A38,DiemHKII!$B$4:$B$58,0),INDEX($BG$14:$BK$27,MATCH(AB$7,$BG$14:$BG$27,0),2))&lt;&gt;"",INDEX(BDHK2,MATCH($A38,DiemHKII!$B$4:$B$58,0),INDEX($BG$14:$BK$27,MATCH(AB$7,$BG$14:$BG$27,0),4)),""),"")</f>
        <v/>
      </c>
      <c r="AD38" s="48" t="str">
        <f>IF($A38&lt;&gt;"",IF(INDEX(BDHK2,MATCH($A38,DiemHKII!$B$4:$B$58,0),INDEX($BG$14:$BK$27,MATCH(AB$7,$BG$14:$BG$27,0),2))&lt;&gt;"",INDEX(BDHK2,MATCH($A38,DiemHKII!$B$4:$B$58,0),INDEX($BG$14:$BK$27,MATCH(AB$7,$BG$14:$BG$27,0),5)),""),"")</f>
        <v/>
      </c>
      <c r="AE38" s="46" t="str">
        <f>IF($A38&lt;&gt;"",IF(INDEX(BDHK2,MATCH($A38,DiemHKII!$B$4:$B$58,0),INDEX($BG$14:$BK$27,MATCH(AE$7,$BG$14:$BG$27,0),2))&lt;&gt;"",INDEX(BDHK2,MATCH($A38,DiemHKII!$B$4:$B$58,0),INDEX($BG$14:$BK$27,MATCH(AE$7,$BG$14:$BG$27,0),3)),""),"")</f>
        <v/>
      </c>
      <c r="AF38" s="47" t="str">
        <f>IF($A38&lt;&gt;"",IF(INDEX(BDHK2,MATCH($A38,DiemHKII!$B$4:$B$58,0),INDEX($BG$14:$BK$27,MATCH(AE$7,$BG$14:$BG$27,0),2))&lt;&gt;"",INDEX(BDHK2,MATCH($A38,DiemHKII!$B$4:$B$58,0),INDEX($BG$14:$BK$27,MATCH(AE$7,$BG$14:$BG$27,0),4)),""),"")</f>
        <v/>
      </c>
      <c r="AG38" s="48" t="str">
        <f>IF($A38&lt;&gt;"",IF(INDEX(BDHK2,MATCH($A38,DiemHKII!$B$4:$B$58,0),INDEX($BG$14:$BK$27,MATCH(AE$7,$BG$14:$BG$27,0),2))&lt;&gt;"",INDEX(BDHK2,MATCH($A38,DiemHKII!$B$4:$B$58,0),INDEX($BG$14:$BK$27,MATCH(AE$7,$BG$14:$BG$27,0),5)),""),"")</f>
        <v/>
      </c>
      <c r="AH38" s="46" t="str">
        <f>IF($A38&lt;&gt;"",IF(INDEX(BDHK2,MATCH($A38,DiemHKII!$B$4:$B$58,0),INDEX($BG$14:$BK$27,MATCH(AH$7,$BG$14:$BG$27,0),2))&lt;&gt;"",INDEX(BDHK2,MATCH($A38,DiemHKII!$B$4:$B$58,0),INDEX($BG$14:$BK$27,MATCH(AH$7,$BG$14:$BG$27,0),3)),""),"")</f>
        <v/>
      </c>
      <c r="AI38" s="47" t="str">
        <f>IF($A38&lt;&gt;"",IF(INDEX(BDHK2,MATCH($A38,DiemHKII!$B$4:$B$58,0),INDEX($BG$14:$BK$27,MATCH(AH$7,$BG$14:$BG$27,0),2))&lt;&gt;"",INDEX(BDHK2,MATCH($A38,DiemHKII!$B$4:$B$58,0),INDEX($BG$14:$BK$27,MATCH(AH$7,$BG$14:$BG$27,0),4)),""),"")</f>
        <v/>
      </c>
      <c r="AJ38" s="48" t="str">
        <f>IF($A38&lt;&gt;"",IF(INDEX(BDHK2,MATCH($A38,DiemHKII!$B$4:$B$58,0),INDEX($BG$14:$BK$27,MATCH(AH$7,$BG$14:$BG$27,0),2))&lt;&gt;"",INDEX(BDHK2,MATCH($A38,DiemHKII!$B$4:$B$58,0),INDEX($BG$14:$BK$27,MATCH(AH$7,$BG$14:$BG$27,0),5)),""),"")</f>
        <v/>
      </c>
      <c r="AK38" s="49" t="str">
        <f>IF($A38&lt;&gt;"",IF(INDEX(BDHK2,MATCH($A38,DiemHKII!$B$4:$B$58,0),INDEX($BG$14:$BK$27,MATCH(AK$7,$BG$14:$BG$27,0),2))&lt;&gt;"",INDEX(BDHK2,MATCH($A38,DiemHKII!$B$4:$B$58,0),INDEX($BG$14:$BK$27,MATCH(AK$7,$BG$14:$BG$27,0),3)),""),"")</f>
        <v/>
      </c>
      <c r="AL38" s="50" t="str">
        <f>IF($A38&lt;&gt;"",IF(INDEX(BDHK2,MATCH($A38,DiemHKII!$B$4:$B$58,0),INDEX($BG$14:$BK$27,MATCH(AK$7,$BG$14:$BG$27,0),2))&lt;&gt;"",INDEX(BDHK2,MATCH($A38,DiemHKII!$B$4:$B$58,0),INDEX($BG$14:$BK$27,MATCH(AK$7,$BG$14:$BG$27,0),4)),""),"")</f>
        <v/>
      </c>
      <c r="AM38" s="51" t="str">
        <f>IF($A38&lt;&gt;"",IF(INDEX(BDHK2,MATCH($A38,DiemHKII!$B$4:$B$58,0),INDEX($BG$14:$BK$27,MATCH(AK$7,$BG$14:$BG$27,0),2))&lt;&gt;"",INDEX(BDHK2,MATCH($A38,DiemHKII!$B$4:$B$58,0),INDEX($BG$14:$BK$27,MATCH(AK$7,$BG$14:$BG$27,0),5)),""),"")</f>
        <v/>
      </c>
      <c r="AN38" s="46" t="str">
        <f>IF($A38&lt;&gt;"",IF(INDEX(BDHK2,MATCH($A38,DiemHKII!$B$4:$B$58,0),INDEX($BG$14:$BK$27,MATCH(AN$7,$BG$14:$BG$27,0),2))&lt;&gt;"",INDEX(BDHK2,MATCH($A38,DiemHKII!$B$4:$B$58,0),INDEX($BG$14:$BK$27,MATCH(AN$7,$BG$14:$BG$27,0),3)),""),"")</f>
        <v/>
      </c>
      <c r="AO38" s="47" t="str">
        <f>IF($A38&lt;&gt;"",IF(INDEX(BDHK2,MATCH($A38,DiemHKII!$B$4:$B$58,0),INDEX($BG$14:$BK$27,MATCH(AN$7,$BG$14:$BG$27,0),2))&lt;&gt;"",INDEX(BDHK2,MATCH($A38,DiemHKII!$B$4:$B$58,0),INDEX($BG$14:$BK$27,MATCH(AN$7,$BG$14:$BG$27,0),4)),""),"")</f>
        <v/>
      </c>
      <c r="AP38" s="48" t="str">
        <f>IF($A38&lt;&gt;"",IF(INDEX(BDHK2,MATCH($A38,DiemHKII!$B$4:$B$58,0),INDEX($BG$14:$BK$27,MATCH(AN$7,$BG$14:$BG$27,0),2))&lt;&gt;"",INDEX(BDHK2,MATCH($A38,DiemHKII!$B$4:$B$58,0),INDEX($BG$14:$BK$27,MATCH(AN$7,$BG$14:$BG$27,0),5)),""),"")</f>
        <v/>
      </c>
      <c r="AQ38" s="46" t="str">
        <f>IF($A38&lt;&gt;"",IF(INDEX(BDHK2,MATCH($A38,DiemHKII!$B$4:$B$58,0),INDEX($BG$14:$BK$27,MATCH(AQ$7,$BG$14:$BG$27,0),2))&lt;&gt;"",INDEX(BDHK2,MATCH($A38,DiemHKII!$B$4:$B$58,0),INDEX($BG$14:$BK$27,MATCH(AQ$7,$BG$14:$BG$27,0),3)),""),"")</f>
        <v/>
      </c>
      <c r="AR38" s="47" t="str">
        <f>IF($A38&lt;&gt;"",IF(INDEX(BDHK2,MATCH($A38,DiemHKII!$B$4:$B$58,0),INDEX($BG$14:$BK$27,MATCH(AQ$7,$BG$14:$BG$27,0),2))&lt;&gt;"",INDEX(BDHK2,MATCH($A38,DiemHKII!$B$4:$B$58,0),INDEX($BG$14:$BK$27,MATCH(AQ$7,$BG$14:$BG$27,0),4)),""),"")</f>
        <v/>
      </c>
      <c r="AS38" s="48" t="str">
        <f>IF($A38&lt;&gt;"",IF(INDEX(BDHK2,MATCH($A38,DiemHKII!$B$4:$B$58,0),INDEX($BG$14:$BK$27,MATCH(AQ$7,$BG$14:$BG$27,0),2))&lt;&gt;"",INDEX(BDHK2,MATCH($A38,DiemHKII!$B$4:$B$58,0),INDEX($BG$14:$BK$27,MATCH(AQ$7,$BG$14:$BG$27,0),5)),""),"")</f>
        <v/>
      </c>
      <c r="AT38" s="46">
        <f>IFERROR(IF($A38&gt;=1,IF(INDEX(THHKI!$V$8:$Y$62,MATCH($BL38,THHKI!$AG$8:$AG$62,0),1)&lt;&gt;"",INDEX(THHKI!$V$8:$Y$62,MATCH($BL38,THHKI!$AG$8:$AG$62,0),1),""),""),"")</f>
        <v>9.1999999999999993</v>
      </c>
      <c r="AU38" s="47" t="str">
        <f>IF($A38&gt;=1,IF(INDEX(THHKII!$V$8:$Y$62,MATCH($BL38,THHKII!$AG$8:$AG$62,0),1)&lt;&gt;"",INDEX(THHKII!$V$8:$Y$62,MATCH($BL38,THHKII!$AG$8:$AG$62,0),1),""),"")</f>
        <v/>
      </c>
      <c r="AV38" s="52" t="str">
        <f>IF($A38&gt;=1,IF(INDEX(THCN!$V$8:$Y$62,MATCH($BL38,THCN!$AG$8:$AG$62,0),1)&lt;&gt;"",INDEX(THCN!$V$8:$Y$62,MATCH($BL38,THCN!$AG$8:$AG$62,0),1),""),"")</f>
        <v/>
      </c>
      <c r="AW38" s="53" t="str">
        <f>IFERROR(IF($A38&gt;=1,IF(INDEX(THHKI!$V$8:$Y$62,MATCH($BL38,THHKI!$AG$8:$AG$62,0),2)&lt;&gt;"",INDEX(THHKI!$V$8:$Y$62,MATCH($BL38,THHKI!$AG$8:$AG$62,0),2),""),""),"")</f>
        <v>Giỏi</v>
      </c>
      <c r="AX38" s="50" t="str">
        <f>IF($A38&gt;=1,IF(INDEX(THHKII!$V$8:$Y$62,MATCH($BL38,THHKII!$AG$8:$AG$62,0),2)&lt;&gt;"",INDEX(THHKII!$V$8:$Y$62,MATCH($BL38,THHKII!$AG$8:$AG$62,0),2),""),"")</f>
        <v/>
      </c>
      <c r="AY38" s="54" t="str">
        <f>IF($A38&gt;=1,IF(INDEX(THCN!$V$8:$Y$62,MATCH($BL38,THCN!$AG$8:$AG$62,0),2)&lt;&gt;"",INDEX(THCN!$V$8:$Y$62,MATCH($BL38,THCN!$AG$8:$AG$62,0),2),""),"")</f>
        <v/>
      </c>
      <c r="AZ38" s="49" t="str">
        <f>IFERROR(IF($A38&gt;=1,IF(INDEX(THHKI!$V$8:$Y$62,MATCH($BL38,THHKI!$AG$8:$AG$62,0),3)&lt;&gt;"",INDEX(THHKI!$V$8:$Y$62,MATCH($BL38,THHKI!$AG$8:$AG$62,0),3),""),""),"")</f>
        <v>Tốt</v>
      </c>
      <c r="BA38" s="50" t="str">
        <f>IF($A38&gt;=1,IF(INDEX(THHKII!$V$8:$Y$62,MATCH($BL38,THHKII!$AG$8:$AG$62,0),3)&lt;&gt;"",INDEX(THHKII!$V$8:$Y$62,MATCH($BL38,THHKII!$AG$8:$AG$62,0),3),""),"")</f>
        <v/>
      </c>
      <c r="BB38" s="55" t="str">
        <f>IF($A38&gt;=1,IF(INDEX(THCN!$V$8:$Y$62,MATCH($BL38,THCN!$AG$8:$AG$62,0),3)&lt;&gt;"",INDEX(THCN!$V$8:$Y$62,MATCH($BL38,THCN!$AG$8:$AG$62,0),3),""),"")</f>
        <v/>
      </c>
      <c r="BC38" s="56" t="str">
        <f>IF($A38&gt;=1,IF(INDEX(THCN!$V$8:$Y$62,MATCH($BL38,THCN!$AG$8:$AG$62,0),4)&lt;&gt;"",INDEX(THCN!$V$8:$Y$62,MATCH($BL38,THCN!$AG$8:$AG$62,0),4),""),"")</f>
        <v/>
      </c>
      <c r="BE38" s="43" t="str">
        <f>IFERROR(IF($A38&gt;=1,IF(INDEX(THHKI!$V$8:$Y$62,MATCH($BL38,THHKI!$AG$8:$AG$62,0),4)&lt;&gt;"",INDEX(THHKI!$V$8:$Y$62,MATCH($BL38,THHKI!$AG$8:$AG$62,0),4),""),""),"")</f>
        <v>HSG</v>
      </c>
      <c r="BF38" s="56" t="str">
        <f>IF($A38&gt;=1,IF(INDEX(THHKII!$V$8:$Y$62,MATCH($BL38,THHKII!$AG$8:$AG$62,0),4)&lt;&gt;"",INDEX(THHKII!$V$8:$Y$62,MATCH($BL38,THHKII!$AG$8:$AG$62,0),4),""),"")</f>
        <v/>
      </c>
      <c r="BL38" s="30" t="str">
        <f>IF($A38&lt;&gt;"",INDEX(DiemHKII!$B$4:$K$58,MATCH($A38,DiemHKII!$B$4:$B$58,0),2),"")</f>
        <v>12A1Nguyễn TháiSơn14/04/2004</v>
      </c>
    </row>
    <row r="39" spans="1:64" s="30" customFormat="1" ht="29.1" customHeight="1">
      <c r="A39" s="16">
        <f>IF(A38&lt;MAX(DiemHKII!$B$4:$B$58),A38+1,"")</f>
        <v>31</v>
      </c>
      <c r="B39" s="17" t="str">
        <f>IF($A39&lt;&gt;"",PROPER(INDEX(DiemHKII!$B$4:$K$58,MATCH($A39,DiemHKII!$B$4:$B$58,0),4)),"")</f>
        <v>Đặng Hoàng</v>
      </c>
      <c r="C39" s="18" t="str">
        <f>IF($A39&lt;&gt;"",PROPER(INDEX(DiemHKII!$B$4:$K$58,MATCH($A39,DiemHKII!$B$4:$B$58,0),5)),"")</f>
        <v>Tân</v>
      </c>
      <c r="D39" s="19" t="str">
        <f>IF($A39&lt;&gt;"",IF(INDEX(BDHK2,MATCH($A39,DiemHKII!$B$4:$B$58,0),INDEX($BG$14:$BK$27,MATCH(D$7,$BG$14:$BG$27,0),2))&lt;&gt;"",INDEX(BDHK2,MATCH($A39,DiemHKII!$B$4:$B$58,0),INDEX($BG$14:$BK$27,MATCH(D$7,$BG$14:$BG$27,0),3)),""),"")</f>
        <v/>
      </c>
      <c r="E39" s="20" t="str">
        <f>IF($A39&lt;&gt;"",IF(INDEX(BDHK2,MATCH($A39,DiemHKII!$B$4:$B$58,0),INDEX($BG$14:$BK$27,MATCH(D$7,$BG$14:$BG$27,0),2))&lt;&gt;"",INDEX(BDHK2,MATCH($A39,DiemHKII!$B$4:$B$58,0),INDEX($BG$14:$BK$27,MATCH(D$7,$BG$14:$BG$27,0),4)),""),"")</f>
        <v/>
      </c>
      <c r="F39" s="21" t="str">
        <f>IF($A39&lt;&gt;"",IF(INDEX(BDHK2,MATCH($A39,DiemHKII!$B$4:$B$58,0),INDEX($BG$14:$BK$27,MATCH(D$7,$BG$14:$BG$27,0),2))&lt;&gt;"",INDEX(BDHK2,MATCH($A39,DiemHKII!$B$4:$B$58,0),INDEX($BG$14:$BK$27,MATCH(D$7,$BG$14:$BG$27,0),5)),""),"")</f>
        <v/>
      </c>
      <c r="G39" s="19" t="str">
        <f>IF($A39&lt;&gt;"",IF(INDEX(BDHK2,MATCH($A39,DiemHKII!$B$4:$B$58,0),INDEX($BG$14:$BK$27,MATCH(G$7,$BG$14:$BG$27,0),2))&lt;&gt;"",INDEX(BDHK2,MATCH($A39,DiemHKII!$B$4:$B$58,0),INDEX($BG$14:$BK$27,MATCH(G$7,$BG$14:$BG$27,0),3)),""),"")</f>
        <v/>
      </c>
      <c r="H39" s="20" t="str">
        <f>IF($A39&lt;&gt;"",IF(INDEX(BDHK2,MATCH($A39,DiemHKII!$B$4:$B$58,0),INDEX($BG$14:$BK$27,MATCH(G$7,$BG$14:$BG$27,0),2))&lt;&gt;"",INDEX(BDHK2,MATCH($A39,DiemHKII!$B$4:$B$58,0),INDEX($BG$14:$BK$27,MATCH(G$7,$BG$14:$BG$27,0),4)),""),"")</f>
        <v/>
      </c>
      <c r="I39" s="21" t="str">
        <f>IF($A39&lt;&gt;"",IF(INDEX(BDHK2,MATCH($A39,DiemHKII!$B$4:$B$58,0),INDEX($BG$14:$BK$27,MATCH(G$7,$BG$14:$BG$27,0),2))&lt;&gt;"",INDEX(BDHK2,MATCH($A39,DiemHKII!$B$4:$B$58,0),INDEX($BG$14:$BK$27,MATCH(G$7,$BG$14:$BG$27,0),5)),""),"")</f>
        <v/>
      </c>
      <c r="J39" s="19" t="str">
        <f>IF($A39&lt;&gt;"",IF(INDEX(BDHK2,MATCH($A39,DiemHKII!$B$4:$B$58,0),INDEX($BG$14:$BK$27,MATCH(J$7,$BG$14:$BG$27,0),2))&lt;&gt;"",INDEX(BDHK2,MATCH($A39,DiemHKII!$B$4:$B$58,0),INDEX($BG$14:$BK$27,MATCH(J$7,$BG$14:$BG$27,0),3)),""),"")</f>
        <v/>
      </c>
      <c r="K39" s="20" t="str">
        <f>IF($A39&lt;&gt;"",IF(INDEX(BDHK2,MATCH($A39,DiemHKII!$B$4:$B$58,0),INDEX($BG$14:$BK$27,MATCH(J$7,$BG$14:$BG$27,0),2))&lt;&gt;"",INDEX(BDHK2,MATCH($A39,DiemHKII!$B$4:$B$58,0),INDEX($BG$14:$BK$27,MATCH(J$7,$BG$14:$BG$27,0),4)),""),"")</f>
        <v/>
      </c>
      <c r="L39" s="21" t="str">
        <f>IF($A39&lt;&gt;"",IF(INDEX(BDHK2,MATCH($A39,DiemHKII!$B$4:$B$58,0),INDEX($BG$14:$BK$27,MATCH(J$7,$BG$14:$BG$27,0),2))&lt;&gt;"",INDEX(BDHK2,MATCH($A39,DiemHKII!$B$4:$B$58,0),INDEX($BG$14:$BK$27,MATCH(J$7,$BG$14:$BG$27,0),5)),""),"")</f>
        <v/>
      </c>
      <c r="M39" s="19" t="str">
        <f>IF($A39&lt;&gt;"",IF(INDEX(BDHK2,MATCH($A39,DiemHKII!$B$4:$B$58,0),INDEX($BG$14:$BK$27,MATCH(M$7,$BG$14:$BG$27,0),2))&lt;&gt;"",INDEX(BDHK2,MATCH($A39,DiemHKII!$B$4:$B$58,0),INDEX($BG$14:$BK$27,MATCH(M$7,$BG$14:$BG$27,0),3)),""),"")</f>
        <v/>
      </c>
      <c r="N39" s="20" t="str">
        <f>IF($A39&lt;&gt;"",IF(INDEX(BDHK2,MATCH($A39,DiemHKII!$B$4:$B$58,0),INDEX($BG$14:$BK$27,MATCH(M$7,$BG$14:$BG$27,0),2))&lt;&gt;"",INDEX(BDHK2,MATCH($A39,DiemHKII!$B$4:$B$58,0),INDEX($BG$14:$BK$27,MATCH(M$7,$BG$14:$BG$27,0),4)),""),"")</f>
        <v/>
      </c>
      <c r="O39" s="21" t="str">
        <f>IF($A39&lt;&gt;"",IF(INDEX(BDHK2,MATCH($A39,DiemHKII!$B$4:$B$58,0),INDEX($BG$14:$BK$27,MATCH(M$7,$BG$14:$BG$27,0),2))&lt;&gt;"",INDEX(BDHK2,MATCH($A39,DiemHKII!$B$4:$B$58,0),INDEX($BG$14:$BK$27,MATCH(M$7,$BG$14:$BG$27,0),5)),""),"")</f>
        <v/>
      </c>
      <c r="P39" s="19" t="str">
        <f>IF($A39&lt;&gt;"",IF(INDEX(BDHK2,MATCH($A39,DiemHKII!$B$4:$B$58,0),INDEX($BG$14:$BK$27,MATCH(P$7,$BG$14:$BG$27,0),2))&lt;&gt;"",INDEX(BDHK2,MATCH($A39,DiemHKII!$B$4:$B$58,0),INDEX($BG$14:$BK$27,MATCH(P$7,$BG$14:$BG$27,0),3)),""),"")</f>
        <v/>
      </c>
      <c r="Q39" s="20" t="str">
        <f>IF($A39&lt;&gt;"",IF(INDEX(BDHK2,MATCH($A39,DiemHKII!$B$4:$B$58,0),INDEX($BG$14:$BK$27,MATCH(P$7,$BG$14:$BG$27,0),2))&lt;&gt;"",INDEX(BDHK2,MATCH($A39,DiemHKII!$B$4:$B$58,0),INDEX($BG$14:$BK$27,MATCH(P$7,$BG$14:$BG$27,0),4)),""),"")</f>
        <v/>
      </c>
      <c r="R39" s="21" t="str">
        <f>IF($A39&lt;&gt;"",IF(INDEX(BDHK2,MATCH($A39,DiemHKII!$B$4:$B$58,0),INDEX($BG$14:$BK$27,MATCH(P$7,$BG$14:$BG$27,0),2))&lt;&gt;"",INDEX(BDHK2,MATCH($A39,DiemHKII!$B$4:$B$58,0),INDEX($BG$14:$BK$27,MATCH(P$7,$BG$14:$BG$27,0),5)),""),"")</f>
        <v/>
      </c>
      <c r="S39" s="19" t="str">
        <f>IF($A39&lt;&gt;"",IF(INDEX(BDHK2,MATCH($A39,DiemHKII!$B$4:$B$58,0),INDEX($BG$14:$BK$27,MATCH(S$7,$BG$14:$BG$27,0),2))&lt;&gt;"",INDEX(BDHK2,MATCH($A39,DiemHKII!$B$4:$B$58,0),INDEX($BG$14:$BK$27,MATCH(S$7,$BG$14:$BG$27,0),3)),""),"")</f>
        <v/>
      </c>
      <c r="T39" s="20" t="str">
        <f>IF($A39&lt;&gt;"",IF(INDEX(BDHK2,MATCH($A39,DiemHKII!$B$4:$B$58,0),INDEX($BG$14:$BK$27,MATCH(S$7,$BG$14:$BG$27,0),2))&lt;&gt;"",INDEX(BDHK2,MATCH($A39,DiemHKII!$B$4:$B$58,0),INDEX($BG$14:$BK$27,MATCH(S$7,$BG$14:$BG$27,0),4)),""),"")</f>
        <v/>
      </c>
      <c r="U39" s="21" t="str">
        <f>IF($A39&lt;&gt;"",IF(INDEX(BDHK2,MATCH($A39,DiemHKII!$B$4:$B$58,0),INDEX($BG$14:$BK$27,MATCH(S$7,$BG$14:$BG$27,0),2))&lt;&gt;"",INDEX(BDHK2,MATCH($A39,DiemHKII!$B$4:$B$58,0),INDEX($BG$14:$BK$27,MATCH(S$7,$BG$14:$BG$27,0),5)),""),"")</f>
        <v/>
      </c>
      <c r="V39" s="19" t="str">
        <f>IF($A39&lt;&gt;"",IF(INDEX(BDHK2,MATCH($A39,DiemHKII!$B$4:$B$58,0),INDEX($BG$14:$BK$27,MATCH(V$7,$BG$14:$BG$27,0),2))&lt;&gt;"",INDEX(BDHK2,MATCH($A39,DiemHKII!$B$4:$B$58,0),INDEX($BG$14:$BK$27,MATCH(V$7,$BG$14:$BG$27,0),3)),""),"")</f>
        <v/>
      </c>
      <c r="W39" s="20" t="str">
        <f>IF($A39&lt;&gt;"",IF(INDEX(BDHK2,MATCH($A39,DiemHKII!$B$4:$B$58,0),INDEX($BG$14:$BK$27,MATCH(V$7,$BG$14:$BG$27,0),2))&lt;&gt;"",INDEX(BDHK2,MATCH($A39,DiemHKII!$B$4:$B$58,0),INDEX($BG$14:$BK$27,MATCH(V$7,$BG$14:$BG$27,0),4)),""),"")</f>
        <v/>
      </c>
      <c r="X39" s="21" t="str">
        <f>IF($A39&lt;&gt;"",IF(INDEX(BDHK2,MATCH($A39,DiemHKII!$B$4:$B$58,0),INDEX($BG$14:$BK$27,MATCH(V$7,$BG$14:$BG$27,0),2))&lt;&gt;"",INDEX(BDHK2,MATCH($A39,DiemHKII!$B$4:$B$58,0),INDEX($BG$14:$BK$27,MATCH(V$7,$BG$14:$BG$27,0),5)),""),"")</f>
        <v/>
      </c>
      <c r="Y39" s="19" t="str">
        <f>IF($A39&lt;&gt;"",IF(INDEX(BDHK2,MATCH($A39,DiemHKII!$B$4:$B$58,0),INDEX($BG$14:$BK$27,MATCH(Y$7,$BG$14:$BG$27,0),2))&lt;&gt;"",INDEX(BDHK2,MATCH($A39,DiemHKII!$B$4:$B$58,0),INDEX($BG$14:$BK$27,MATCH(Y$7,$BG$14:$BG$27,0),3)),""),"")</f>
        <v/>
      </c>
      <c r="Z39" s="20" t="str">
        <f>IF($A39&lt;&gt;"",IF(INDEX(BDHK2,MATCH($A39,DiemHKII!$B$4:$B$58,0),INDEX($BG$14:$BK$27,MATCH(Y$7,$BG$14:$BG$27,0),2))&lt;&gt;"",INDEX(BDHK2,MATCH($A39,DiemHKII!$B$4:$B$58,0),INDEX($BG$14:$BK$27,MATCH(Y$7,$BG$14:$BG$27,0),4)),""),"")</f>
        <v/>
      </c>
      <c r="AA39" s="21" t="str">
        <f>IF($A39&lt;&gt;"",IF(INDEX(BDHK2,MATCH($A39,DiemHKII!$B$4:$B$58,0),INDEX($BG$14:$BK$27,MATCH(Y$7,$BG$14:$BG$27,0),2))&lt;&gt;"",INDEX(BDHK2,MATCH($A39,DiemHKII!$B$4:$B$58,0),INDEX($BG$14:$BK$27,MATCH(Y$7,$BG$14:$BG$27,0),5)),""),"")</f>
        <v/>
      </c>
      <c r="AB39" s="19" t="str">
        <f>IF($A39&lt;&gt;"",IF(INDEX(BDHK2,MATCH($A39,DiemHKII!$B$4:$B$58,0),INDEX($BG$14:$BK$27,MATCH(AB$7,$BG$14:$BG$27,0),2))&lt;&gt;"",INDEX(BDHK2,MATCH($A39,DiemHKII!$B$4:$B$58,0),INDEX($BG$14:$BK$27,MATCH(AB$7,$BG$14:$BG$27,0),3)),""),"")</f>
        <v/>
      </c>
      <c r="AC39" s="20" t="str">
        <f>IF($A39&lt;&gt;"",IF(INDEX(BDHK2,MATCH($A39,DiemHKII!$B$4:$B$58,0),INDEX($BG$14:$BK$27,MATCH(AB$7,$BG$14:$BG$27,0),2))&lt;&gt;"",INDEX(BDHK2,MATCH($A39,DiemHKII!$B$4:$B$58,0),INDEX($BG$14:$BK$27,MATCH(AB$7,$BG$14:$BG$27,0),4)),""),"")</f>
        <v/>
      </c>
      <c r="AD39" s="21" t="str">
        <f>IF($A39&lt;&gt;"",IF(INDEX(BDHK2,MATCH($A39,DiemHKII!$B$4:$B$58,0),INDEX($BG$14:$BK$27,MATCH(AB$7,$BG$14:$BG$27,0),2))&lt;&gt;"",INDEX(BDHK2,MATCH($A39,DiemHKII!$B$4:$B$58,0),INDEX($BG$14:$BK$27,MATCH(AB$7,$BG$14:$BG$27,0),5)),""),"")</f>
        <v/>
      </c>
      <c r="AE39" s="19" t="str">
        <f>IF($A39&lt;&gt;"",IF(INDEX(BDHK2,MATCH($A39,DiemHKII!$B$4:$B$58,0),INDEX($BG$14:$BK$27,MATCH(AE$7,$BG$14:$BG$27,0),2))&lt;&gt;"",INDEX(BDHK2,MATCH($A39,DiemHKII!$B$4:$B$58,0),INDEX($BG$14:$BK$27,MATCH(AE$7,$BG$14:$BG$27,0),3)),""),"")</f>
        <v/>
      </c>
      <c r="AF39" s="20" t="str">
        <f>IF($A39&lt;&gt;"",IF(INDEX(BDHK2,MATCH($A39,DiemHKII!$B$4:$B$58,0),INDEX($BG$14:$BK$27,MATCH(AE$7,$BG$14:$BG$27,0),2))&lt;&gt;"",INDEX(BDHK2,MATCH($A39,DiemHKII!$B$4:$B$58,0),INDEX($BG$14:$BK$27,MATCH(AE$7,$BG$14:$BG$27,0),4)),""),"")</f>
        <v/>
      </c>
      <c r="AG39" s="21" t="str">
        <f>IF($A39&lt;&gt;"",IF(INDEX(BDHK2,MATCH($A39,DiemHKII!$B$4:$B$58,0),INDEX($BG$14:$BK$27,MATCH(AE$7,$BG$14:$BG$27,0),2))&lt;&gt;"",INDEX(BDHK2,MATCH($A39,DiemHKII!$B$4:$B$58,0),INDEX($BG$14:$BK$27,MATCH(AE$7,$BG$14:$BG$27,0),5)),""),"")</f>
        <v/>
      </c>
      <c r="AH39" s="19" t="str">
        <f>IF($A39&lt;&gt;"",IF(INDEX(BDHK2,MATCH($A39,DiemHKII!$B$4:$B$58,0),INDEX($BG$14:$BK$27,MATCH(AH$7,$BG$14:$BG$27,0),2))&lt;&gt;"",INDEX(BDHK2,MATCH($A39,DiemHKII!$B$4:$B$58,0),INDEX($BG$14:$BK$27,MATCH(AH$7,$BG$14:$BG$27,0),3)),""),"")</f>
        <v/>
      </c>
      <c r="AI39" s="20" t="str">
        <f>IF($A39&lt;&gt;"",IF(INDEX(BDHK2,MATCH($A39,DiemHKII!$B$4:$B$58,0),INDEX($BG$14:$BK$27,MATCH(AH$7,$BG$14:$BG$27,0),2))&lt;&gt;"",INDEX(BDHK2,MATCH($A39,DiemHKII!$B$4:$B$58,0),INDEX($BG$14:$BK$27,MATCH(AH$7,$BG$14:$BG$27,0),4)),""),"")</f>
        <v/>
      </c>
      <c r="AJ39" s="21" t="str">
        <f>IF($A39&lt;&gt;"",IF(INDEX(BDHK2,MATCH($A39,DiemHKII!$B$4:$B$58,0),INDEX($BG$14:$BK$27,MATCH(AH$7,$BG$14:$BG$27,0),2))&lt;&gt;"",INDEX(BDHK2,MATCH($A39,DiemHKII!$B$4:$B$58,0),INDEX($BG$14:$BK$27,MATCH(AH$7,$BG$14:$BG$27,0),5)),""),"")</f>
        <v/>
      </c>
      <c r="AK39" s="22" t="str">
        <f>IF($A39&lt;&gt;"",IF(INDEX(BDHK2,MATCH($A39,DiemHKII!$B$4:$B$58,0),INDEX($BG$14:$BK$27,MATCH(AK$7,$BG$14:$BG$27,0),2))&lt;&gt;"",INDEX(BDHK2,MATCH($A39,DiemHKII!$B$4:$B$58,0),INDEX($BG$14:$BK$27,MATCH(AK$7,$BG$14:$BG$27,0),3)),""),"")</f>
        <v/>
      </c>
      <c r="AL39" s="23" t="str">
        <f>IF($A39&lt;&gt;"",IF(INDEX(BDHK2,MATCH($A39,DiemHKII!$B$4:$B$58,0),INDEX($BG$14:$BK$27,MATCH(AK$7,$BG$14:$BG$27,0),2))&lt;&gt;"",INDEX(BDHK2,MATCH($A39,DiemHKII!$B$4:$B$58,0),INDEX($BG$14:$BK$27,MATCH(AK$7,$BG$14:$BG$27,0),4)),""),"")</f>
        <v/>
      </c>
      <c r="AM39" s="24" t="str">
        <f>IF($A39&lt;&gt;"",IF(INDEX(BDHK2,MATCH($A39,DiemHKII!$B$4:$B$58,0),INDEX($BG$14:$BK$27,MATCH(AK$7,$BG$14:$BG$27,0),2))&lt;&gt;"",INDEX(BDHK2,MATCH($A39,DiemHKII!$B$4:$B$58,0),INDEX($BG$14:$BK$27,MATCH(AK$7,$BG$14:$BG$27,0),5)),""),"")</f>
        <v/>
      </c>
      <c r="AN39" s="19" t="str">
        <f>IF($A39&lt;&gt;"",IF(INDEX(BDHK2,MATCH($A39,DiemHKII!$B$4:$B$58,0),INDEX($BG$14:$BK$27,MATCH(AN$7,$BG$14:$BG$27,0),2))&lt;&gt;"",INDEX(BDHK2,MATCH($A39,DiemHKII!$B$4:$B$58,0),INDEX($BG$14:$BK$27,MATCH(AN$7,$BG$14:$BG$27,0),3)),""),"")</f>
        <v/>
      </c>
      <c r="AO39" s="20" t="str">
        <f>IF($A39&lt;&gt;"",IF(INDEX(BDHK2,MATCH($A39,DiemHKII!$B$4:$B$58,0),INDEX($BG$14:$BK$27,MATCH(AN$7,$BG$14:$BG$27,0),2))&lt;&gt;"",INDEX(BDHK2,MATCH($A39,DiemHKII!$B$4:$B$58,0),INDEX($BG$14:$BK$27,MATCH(AN$7,$BG$14:$BG$27,0),4)),""),"")</f>
        <v/>
      </c>
      <c r="AP39" s="21" t="str">
        <f>IF($A39&lt;&gt;"",IF(INDEX(BDHK2,MATCH($A39,DiemHKII!$B$4:$B$58,0),INDEX($BG$14:$BK$27,MATCH(AN$7,$BG$14:$BG$27,0),2))&lt;&gt;"",INDEX(BDHK2,MATCH($A39,DiemHKII!$B$4:$B$58,0),INDEX($BG$14:$BK$27,MATCH(AN$7,$BG$14:$BG$27,0),5)),""),"")</f>
        <v/>
      </c>
      <c r="AQ39" s="19" t="str">
        <f>IF($A39&lt;&gt;"",IF(INDEX(BDHK2,MATCH($A39,DiemHKII!$B$4:$B$58,0),INDEX($BG$14:$BK$27,MATCH(AQ$7,$BG$14:$BG$27,0),2))&lt;&gt;"",INDEX(BDHK2,MATCH($A39,DiemHKII!$B$4:$B$58,0),INDEX($BG$14:$BK$27,MATCH(AQ$7,$BG$14:$BG$27,0),3)),""),"")</f>
        <v/>
      </c>
      <c r="AR39" s="20" t="str">
        <f>IF($A39&lt;&gt;"",IF(INDEX(BDHK2,MATCH($A39,DiemHKII!$B$4:$B$58,0),INDEX($BG$14:$BK$27,MATCH(AQ$7,$BG$14:$BG$27,0),2))&lt;&gt;"",INDEX(BDHK2,MATCH($A39,DiemHKII!$B$4:$B$58,0),INDEX($BG$14:$BK$27,MATCH(AQ$7,$BG$14:$BG$27,0),4)),""),"")</f>
        <v/>
      </c>
      <c r="AS39" s="21" t="str">
        <f>IF($A39&lt;&gt;"",IF(INDEX(BDHK2,MATCH($A39,DiemHKII!$B$4:$B$58,0),INDEX($BG$14:$BK$27,MATCH(AQ$7,$BG$14:$BG$27,0),2))&lt;&gt;"",INDEX(BDHK2,MATCH($A39,DiemHKII!$B$4:$B$58,0),INDEX($BG$14:$BK$27,MATCH(AQ$7,$BG$14:$BG$27,0),5)),""),"")</f>
        <v/>
      </c>
      <c r="AT39" s="19">
        <f>IFERROR(IF($A39&gt;=1,IF(INDEX(THHKI!$V$8:$Y$62,MATCH($BL39,THHKI!$AG$8:$AG$62,0),1)&lt;&gt;"",INDEX(THHKI!$V$8:$Y$62,MATCH($BL39,THHKI!$AG$8:$AG$62,0),1),""),""),"")</f>
        <v>9.1999999999999993</v>
      </c>
      <c r="AU39" s="20" t="str">
        <f>IF($A39&gt;=1,IF(INDEX(THHKII!$V$8:$Y$62,MATCH($BL39,THHKII!$AG$8:$AG$62,0),1)&lt;&gt;"",INDEX(THHKII!$V$8:$Y$62,MATCH($BL39,THHKII!$AG$8:$AG$62,0),1),""),"")</f>
        <v/>
      </c>
      <c r="AV39" s="25" t="str">
        <f>IF($A39&gt;=1,IF(INDEX(THCN!$V$8:$Y$62,MATCH($BL39,THCN!$AG$8:$AG$62,0),1)&lt;&gt;"",INDEX(THCN!$V$8:$Y$62,MATCH($BL39,THCN!$AG$8:$AG$62,0),1),""),"")</f>
        <v/>
      </c>
      <c r="AW39" s="26" t="str">
        <f>IFERROR(IF($A39&gt;=1,IF(INDEX(THHKI!$V$8:$Y$62,MATCH($BL39,THHKI!$AG$8:$AG$62,0),2)&lt;&gt;"",INDEX(THHKI!$V$8:$Y$62,MATCH($BL39,THHKI!$AG$8:$AG$62,0),2),""),""),"")</f>
        <v>Giỏi</v>
      </c>
      <c r="AX39" s="23" t="str">
        <f>IF($A39&gt;=1,IF(INDEX(THHKII!$V$8:$Y$62,MATCH($BL39,THHKII!$AG$8:$AG$62,0),2)&lt;&gt;"",INDEX(THHKII!$V$8:$Y$62,MATCH($BL39,THHKII!$AG$8:$AG$62,0),2),""),"")</f>
        <v/>
      </c>
      <c r="AY39" s="27" t="str">
        <f>IF($A39&gt;=1,IF(INDEX(THCN!$V$8:$Y$62,MATCH($BL39,THCN!$AG$8:$AG$62,0),2)&lt;&gt;"",INDEX(THCN!$V$8:$Y$62,MATCH($BL39,THCN!$AG$8:$AG$62,0),2),""),"")</f>
        <v/>
      </c>
      <c r="AZ39" s="22" t="str">
        <f>IFERROR(IF($A39&gt;=1,IF(INDEX(THHKI!$V$8:$Y$62,MATCH($BL39,THHKI!$AG$8:$AG$62,0),3)&lt;&gt;"",INDEX(THHKI!$V$8:$Y$62,MATCH($BL39,THHKI!$AG$8:$AG$62,0),3),""),""),"")</f>
        <v>Tốt</v>
      </c>
      <c r="BA39" s="23" t="str">
        <f>IF($A39&gt;=1,IF(INDEX(THHKII!$V$8:$Y$62,MATCH($BL39,THHKII!$AG$8:$AG$62,0),3)&lt;&gt;"",INDEX(THHKII!$V$8:$Y$62,MATCH($BL39,THHKII!$AG$8:$AG$62,0),3),""),"")</f>
        <v/>
      </c>
      <c r="BB39" s="28" t="str">
        <f>IF($A39&gt;=1,IF(INDEX(THCN!$V$8:$Y$62,MATCH($BL39,THCN!$AG$8:$AG$62,0),3)&lt;&gt;"",INDEX(THCN!$V$8:$Y$62,MATCH($BL39,THCN!$AG$8:$AG$62,0),3),""),"")</f>
        <v/>
      </c>
      <c r="BC39" s="29" t="str">
        <f>IF($A39&gt;=1,IF(INDEX(THCN!$V$8:$Y$62,MATCH($BL39,THCN!$AG$8:$AG$62,0),4)&lt;&gt;"",INDEX(THCN!$V$8:$Y$62,MATCH($BL39,THCN!$AG$8:$AG$62,0),4),""),"")</f>
        <v/>
      </c>
      <c r="BE39" s="16" t="str">
        <f>IFERROR(IF($A39&gt;=1,IF(INDEX(THHKI!$V$8:$Y$62,MATCH($BL39,THHKI!$AG$8:$AG$62,0),4)&lt;&gt;"",INDEX(THHKI!$V$8:$Y$62,MATCH($BL39,THHKI!$AG$8:$AG$62,0),4),""),""),"")</f>
        <v>HSG</v>
      </c>
      <c r="BF39" s="29" t="str">
        <f>IF($A39&gt;=1,IF(INDEX(THHKII!$V$8:$Y$62,MATCH($BL39,THHKII!$AG$8:$AG$62,0),4)&lt;&gt;"",INDEX(THHKII!$V$8:$Y$62,MATCH($BL39,THHKII!$AG$8:$AG$62,0),4),""),"")</f>
        <v/>
      </c>
      <c r="BL39" s="30" t="str">
        <f>IF($A39&lt;&gt;"",INDEX(DiemHKII!$B$4:$K$58,MATCH($A39,DiemHKII!$B$4:$B$58,0),2),"")</f>
        <v>12A1Đặng HoàngTân26/09/2004</v>
      </c>
    </row>
    <row r="40" spans="1:64" s="30" customFormat="1" ht="29.1" customHeight="1">
      <c r="A40" s="31">
        <f>IF(A39&lt;MAX(DiemHKII!$B$4:$B$58),A39+1,"")</f>
        <v>32</v>
      </c>
      <c r="B40" s="32" t="str">
        <f>IF($A40&lt;&gt;"",PROPER(INDEX(DiemHKII!$B$4:$K$58,MATCH($A40,DiemHKII!$B$4:$B$58,0),4)),"")</f>
        <v>Hồ Quang</v>
      </c>
      <c r="C40" s="33" t="str">
        <f>IF($A40&lt;&gt;"",PROPER(INDEX(DiemHKII!$B$4:$K$58,MATCH($A40,DiemHKII!$B$4:$B$58,0),5)),"")</f>
        <v>Thành</v>
      </c>
      <c r="D40" s="34" t="str">
        <f>IF($A40&lt;&gt;"",IF(INDEX(BDHK2,MATCH($A40,DiemHKII!$B$4:$B$58,0),INDEX($BG$14:$BK$27,MATCH(D$7,$BG$14:$BG$27,0),2))&lt;&gt;"",INDEX(BDHK2,MATCH($A40,DiemHKII!$B$4:$B$58,0),INDEX($BG$14:$BK$27,MATCH(D$7,$BG$14:$BG$27,0),3)),""),"")</f>
        <v/>
      </c>
      <c r="E40" s="35" t="str">
        <f>IF($A40&lt;&gt;"",IF(INDEX(BDHK2,MATCH($A40,DiemHKII!$B$4:$B$58,0),INDEX($BG$14:$BK$27,MATCH(D$7,$BG$14:$BG$27,0),2))&lt;&gt;"",INDEX(BDHK2,MATCH($A40,DiemHKII!$B$4:$B$58,0),INDEX($BG$14:$BK$27,MATCH(D$7,$BG$14:$BG$27,0),4)),""),"")</f>
        <v/>
      </c>
      <c r="F40" s="36" t="str">
        <f>IF($A40&lt;&gt;"",IF(INDEX(BDHK2,MATCH($A40,DiemHKII!$B$4:$B$58,0),INDEX($BG$14:$BK$27,MATCH(D$7,$BG$14:$BG$27,0),2))&lt;&gt;"",INDEX(BDHK2,MATCH($A40,DiemHKII!$B$4:$B$58,0),INDEX($BG$14:$BK$27,MATCH(D$7,$BG$14:$BG$27,0),5)),""),"")</f>
        <v/>
      </c>
      <c r="G40" s="34" t="str">
        <f>IF($A40&lt;&gt;"",IF(INDEX(BDHK2,MATCH($A40,DiemHKII!$B$4:$B$58,0),INDEX($BG$14:$BK$27,MATCH(G$7,$BG$14:$BG$27,0),2))&lt;&gt;"",INDEX(BDHK2,MATCH($A40,DiemHKII!$B$4:$B$58,0),INDEX($BG$14:$BK$27,MATCH(G$7,$BG$14:$BG$27,0),3)),""),"")</f>
        <v/>
      </c>
      <c r="H40" s="35" t="str">
        <f>IF($A40&lt;&gt;"",IF(INDEX(BDHK2,MATCH($A40,DiemHKII!$B$4:$B$58,0),INDEX($BG$14:$BK$27,MATCH(G$7,$BG$14:$BG$27,0),2))&lt;&gt;"",INDEX(BDHK2,MATCH($A40,DiemHKII!$B$4:$B$58,0),INDEX($BG$14:$BK$27,MATCH(G$7,$BG$14:$BG$27,0),4)),""),"")</f>
        <v/>
      </c>
      <c r="I40" s="36" t="str">
        <f>IF($A40&lt;&gt;"",IF(INDEX(BDHK2,MATCH($A40,DiemHKII!$B$4:$B$58,0),INDEX($BG$14:$BK$27,MATCH(G$7,$BG$14:$BG$27,0),2))&lt;&gt;"",INDEX(BDHK2,MATCH($A40,DiemHKII!$B$4:$B$58,0),INDEX($BG$14:$BK$27,MATCH(G$7,$BG$14:$BG$27,0),5)),""),"")</f>
        <v/>
      </c>
      <c r="J40" s="34" t="str">
        <f>IF($A40&lt;&gt;"",IF(INDEX(BDHK2,MATCH($A40,DiemHKII!$B$4:$B$58,0),INDEX($BG$14:$BK$27,MATCH(J$7,$BG$14:$BG$27,0),2))&lt;&gt;"",INDEX(BDHK2,MATCH($A40,DiemHKII!$B$4:$B$58,0),INDEX($BG$14:$BK$27,MATCH(J$7,$BG$14:$BG$27,0),3)),""),"")</f>
        <v/>
      </c>
      <c r="K40" s="35" t="str">
        <f>IF($A40&lt;&gt;"",IF(INDEX(BDHK2,MATCH($A40,DiemHKII!$B$4:$B$58,0),INDEX($BG$14:$BK$27,MATCH(J$7,$BG$14:$BG$27,0),2))&lt;&gt;"",INDEX(BDHK2,MATCH($A40,DiemHKII!$B$4:$B$58,0),INDEX($BG$14:$BK$27,MATCH(J$7,$BG$14:$BG$27,0),4)),""),"")</f>
        <v/>
      </c>
      <c r="L40" s="36" t="str">
        <f>IF($A40&lt;&gt;"",IF(INDEX(BDHK2,MATCH($A40,DiemHKII!$B$4:$B$58,0),INDEX($BG$14:$BK$27,MATCH(J$7,$BG$14:$BG$27,0),2))&lt;&gt;"",INDEX(BDHK2,MATCH($A40,DiemHKII!$B$4:$B$58,0),INDEX($BG$14:$BK$27,MATCH(J$7,$BG$14:$BG$27,0),5)),""),"")</f>
        <v/>
      </c>
      <c r="M40" s="34" t="str">
        <f>IF($A40&lt;&gt;"",IF(INDEX(BDHK2,MATCH($A40,DiemHKII!$B$4:$B$58,0),INDEX($BG$14:$BK$27,MATCH(M$7,$BG$14:$BG$27,0),2))&lt;&gt;"",INDEX(BDHK2,MATCH($A40,DiemHKII!$B$4:$B$58,0),INDEX($BG$14:$BK$27,MATCH(M$7,$BG$14:$BG$27,0),3)),""),"")</f>
        <v/>
      </c>
      <c r="N40" s="35" t="str">
        <f>IF($A40&lt;&gt;"",IF(INDEX(BDHK2,MATCH($A40,DiemHKII!$B$4:$B$58,0),INDEX($BG$14:$BK$27,MATCH(M$7,$BG$14:$BG$27,0),2))&lt;&gt;"",INDEX(BDHK2,MATCH($A40,DiemHKII!$B$4:$B$58,0),INDEX($BG$14:$BK$27,MATCH(M$7,$BG$14:$BG$27,0),4)),""),"")</f>
        <v/>
      </c>
      <c r="O40" s="36" t="str">
        <f>IF($A40&lt;&gt;"",IF(INDEX(BDHK2,MATCH($A40,DiemHKII!$B$4:$B$58,0),INDEX($BG$14:$BK$27,MATCH(M$7,$BG$14:$BG$27,0),2))&lt;&gt;"",INDEX(BDHK2,MATCH($A40,DiemHKII!$B$4:$B$58,0),INDEX($BG$14:$BK$27,MATCH(M$7,$BG$14:$BG$27,0),5)),""),"")</f>
        <v/>
      </c>
      <c r="P40" s="34" t="str">
        <f>IF($A40&lt;&gt;"",IF(INDEX(BDHK2,MATCH($A40,DiemHKII!$B$4:$B$58,0),INDEX($BG$14:$BK$27,MATCH(P$7,$BG$14:$BG$27,0),2))&lt;&gt;"",INDEX(BDHK2,MATCH($A40,DiemHKII!$B$4:$B$58,0),INDEX($BG$14:$BK$27,MATCH(P$7,$BG$14:$BG$27,0),3)),""),"")</f>
        <v/>
      </c>
      <c r="Q40" s="35" t="str">
        <f>IF($A40&lt;&gt;"",IF(INDEX(BDHK2,MATCH($A40,DiemHKII!$B$4:$B$58,0),INDEX($BG$14:$BK$27,MATCH(P$7,$BG$14:$BG$27,0),2))&lt;&gt;"",INDEX(BDHK2,MATCH($A40,DiemHKII!$B$4:$B$58,0),INDEX($BG$14:$BK$27,MATCH(P$7,$BG$14:$BG$27,0),4)),""),"")</f>
        <v/>
      </c>
      <c r="R40" s="36" t="str">
        <f>IF($A40&lt;&gt;"",IF(INDEX(BDHK2,MATCH($A40,DiemHKII!$B$4:$B$58,0),INDEX($BG$14:$BK$27,MATCH(P$7,$BG$14:$BG$27,0),2))&lt;&gt;"",INDEX(BDHK2,MATCH($A40,DiemHKII!$B$4:$B$58,0),INDEX($BG$14:$BK$27,MATCH(P$7,$BG$14:$BG$27,0),5)),""),"")</f>
        <v/>
      </c>
      <c r="S40" s="34" t="str">
        <f>IF($A40&lt;&gt;"",IF(INDEX(BDHK2,MATCH($A40,DiemHKII!$B$4:$B$58,0),INDEX($BG$14:$BK$27,MATCH(S$7,$BG$14:$BG$27,0),2))&lt;&gt;"",INDEX(BDHK2,MATCH($A40,DiemHKII!$B$4:$B$58,0),INDEX($BG$14:$BK$27,MATCH(S$7,$BG$14:$BG$27,0),3)),""),"")</f>
        <v/>
      </c>
      <c r="T40" s="35" t="str">
        <f>IF($A40&lt;&gt;"",IF(INDEX(BDHK2,MATCH($A40,DiemHKII!$B$4:$B$58,0),INDEX($BG$14:$BK$27,MATCH(S$7,$BG$14:$BG$27,0),2))&lt;&gt;"",INDEX(BDHK2,MATCH($A40,DiemHKII!$B$4:$B$58,0),INDEX($BG$14:$BK$27,MATCH(S$7,$BG$14:$BG$27,0),4)),""),"")</f>
        <v/>
      </c>
      <c r="U40" s="36" t="str">
        <f>IF($A40&lt;&gt;"",IF(INDEX(BDHK2,MATCH($A40,DiemHKII!$B$4:$B$58,0),INDEX($BG$14:$BK$27,MATCH(S$7,$BG$14:$BG$27,0),2))&lt;&gt;"",INDEX(BDHK2,MATCH($A40,DiemHKII!$B$4:$B$58,0),INDEX($BG$14:$BK$27,MATCH(S$7,$BG$14:$BG$27,0),5)),""),"")</f>
        <v/>
      </c>
      <c r="V40" s="34" t="str">
        <f>IF($A40&lt;&gt;"",IF(INDEX(BDHK2,MATCH($A40,DiemHKII!$B$4:$B$58,0),INDEX($BG$14:$BK$27,MATCH(V$7,$BG$14:$BG$27,0),2))&lt;&gt;"",INDEX(BDHK2,MATCH($A40,DiemHKII!$B$4:$B$58,0),INDEX($BG$14:$BK$27,MATCH(V$7,$BG$14:$BG$27,0),3)),""),"")</f>
        <v/>
      </c>
      <c r="W40" s="35" t="str">
        <f>IF($A40&lt;&gt;"",IF(INDEX(BDHK2,MATCH($A40,DiemHKII!$B$4:$B$58,0),INDEX($BG$14:$BK$27,MATCH(V$7,$BG$14:$BG$27,0),2))&lt;&gt;"",INDEX(BDHK2,MATCH($A40,DiemHKII!$B$4:$B$58,0),INDEX($BG$14:$BK$27,MATCH(V$7,$BG$14:$BG$27,0),4)),""),"")</f>
        <v/>
      </c>
      <c r="X40" s="36" t="str">
        <f>IF($A40&lt;&gt;"",IF(INDEX(BDHK2,MATCH($A40,DiemHKII!$B$4:$B$58,0),INDEX($BG$14:$BK$27,MATCH(V$7,$BG$14:$BG$27,0),2))&lt;&gt;"",INDEX(BDHK2,MATCH($A40,DiemHKII!$B$4:$B$58,0),INDEX($BG$14:$BK$27,MATCH(V$7,$BG$14:$BG$27,0),5)),""),"")</f>
        <v/>
      </c>
      <c r="Y40" s="34" t="str">
        <f>IF($A40&lt;&gt;"",IF(INDEX(BDHK2,MATCH($A40,DiemHKII!$B$4:$B$58,0),INDEX($BG$14:$BK$27,MATCH(Y$7,$BG$14:$BG$27,0),2))&lt;&gt;"",INDEX(BDHK2,MATCH($A40,DiemHKII!$B$4:$B$58,0),INDEX($BG$14:$BK$27,MATCH(Y$7,$BG$14:$BG$27,0),3)),""),"")</f>
        <v/>
      </c>
      <c r="Z40" s="35" t="str">
        <f>IF($A40&lt;&gt;"",IF(INDEX(BDHK2,MATCH($A40,DiemHKII!$B$4:$B$58,0),INDEX($BG$14:$BK$27,MATCH(Y$7,$BG$14:$BG$27,0),2))&lt;&gt;"",INDEX(BDHK2,MATCH($A40,DiemHKII!$B$4:$B$58,0),INDEX($BG$14:$BK$27,MATCH(Y$7,$BG$14:$BG$27,0),4)),""),"")</f>
        <v/>
      </c>
      <c r="AA40" s="36" t="str">
        <f>IF($A40&lt;&gt;"",IF(INDEX(BDHK2,MATCH($A40,DiemHKII!$B$4:$B$58,0),INDEX($BG$14:$BK$27,MATCH(Y$7,$BG$14:$BG$27,0),2))&lt;&gt;"",INDEX(BDHK2,MATCH($A40,DiemHKII!$B$4:$B$58,0),INDEX($BG$14:$BK$27,MATCH(Y$7,$BG$14:$BG$27,0),5)),""),"")</f>
        <v/>
      </c>
      <c r="AB40" s="34" t="str">
        <f>IF($A40&lt;&gt;"",IF(INDEX(BDHK2,MATCH($A40,DiemHKII!$B$4:$B$58,0),INDEX($BG$14:$BK$27,MATCH(AB$7,$BG$14:$BG$27,0),2))&lt;&gt;"",INDEX(BDHK2,MATCH($A40,DiemHKII!$B$4:$B$58,0),INDEX($BG$14:$BK$27,MATCH(AB$7,$BG$14:$BG$27,0),3)),""),"")</f>
        <v/>
      </c>
      <c r="AC40" s="35" t="str">
        <f>IF($A40&lt;&gt;"",IF(INDEX(BDHK2,MATCH($A40,DiemHKII!$B$4:$B$58,0),INDEX($BG$14:$BK$27,MATCH(AB$7,$BG$14:$BG$27,0),2))&lt;&gt;"",INDEX(BDHK2,MATCH($A40,DiemHKII!$B$4:$B$58,0),INDEX($BG$14:$BK$27,MATCH(AB$7,$BG$14:$BG$27,0),4)),""),"")</f>
        <v/>
      </c>
      <c r="AD40" s="36" t="str">
        <f>IF($A40&lt;&gt;"",IF(INDEX(BDHK2,MATCH($A40,DiemHKII!$B$4:$B$58,0),INDEX($BG$14:$BK$27,MATCH(AB$7,$BG$14:$BG$27,0),2))&lt;&gt;"",INDEX(BDHK2,MATCH($A40,DiemHKII!$B$4:$B$58,0),INDEX($BG$14:$BK$27,MATCH(AB$7,$BG$14:$BG$27,0),5)),""),"")</f>
        <v/>
      </c>
      <c r="AE40" s="34" t="str">
        <f>IF($A40&lt;&gt;"",IF(INDEX(BDHK2,MATCH($A40,DiemHKII!$B$4:$B$58,0),INDEX($BG$14:$BK$27,MATCH(AE$7,$BG$14:$BG$27,0),2))&lt;&gt;"",INDEX(BDHK2,MATCH($A40,DiemHKII!$B$4:$B$58,0),INDEX($BG$14:$BK$27,MATCH(AE$7,$BG$14:$BG$27,0),3)),""),"")</f>
        <v/>
      </c>
      <c r="AF40" s="35" t="str">
        <f>IF($A40&lt;&gt;"",IF(INDEX(BDHK2,MATCH($A40,DiemHKII!$B$4:$B$58,0),INDEX($BG$14:$BK$27,MATCH(AE$7,$BG$14:$BG$27,0),2))&lt;&gt;"",INDEX(BDHK2,MATCH($A40,DiemHKII!$B$4:$B$58,0),INDEX($BG$14:$BK$27,MATCH(AE$7,$BG$14:$BG$27,0),4)),""),"")</f>
        <v/>
      </c>
      <c r="AG40" s="36" t="str">
        <f>IF($A40&lt;&gt;"",IF(INDEX(BDHK2,MATCH($A40,DiemHKII!$B$4:$B$58,0),INDEX($BG$14:$BK$27,MATCH(AE$7,$BG$14:$BG$27,0),2))&lt;&gt;"",INDEX(BDHK2,MATCH($A40,DiemHKII!$B$4:$B$58,0),INDEX($BG$14:$BK$27,MATCH(AE$7,$BG$14:$BG$27,0),5)),""),"")</f>
        <v/>
      </c>
      <c r="AH40" s="34" t="str">
        <f>IF($A40&lt;&gt;"",IF(INDEX(BDHK2,MATCH($A40,DiemHKII!$B$4:$B$58,0),INDEX($BG$14:$BK$27,MATCH(AH$7,$BG$14:$BG$27,0),2))&lt;&gt;"",INDEX(BDHK2,MATCH($A40,DiemHKII!$B$4:$B$58,0),INDEX($BG$14:$BK$27,MATCH(AH$7,$BG$14:$BG$27,0),3)),""),"")</f>
        <v/>
      </c>
      <c r="AI40" s="35" t="str">
        <f>IF($A40&lt;&gt;"",IF(INDEX(BDHK2,MATCH($A40,DiemHKII!$B$4:$B$58,0),INDEX($BG$14:$BK$27,MATCH(AH$7,$BG$14:$BG$27,0),2))&lt;&gt;"",INDEX(BDHK2,MATCH($A40,DiemHKII!$B$4:$B$58,0),INDEX($BG$14:$BK$27,MATCH(AH$7,$BG$14:$BG$27,0),4)),""),"")</f>
        <v/>
      </c>
      <c r="AJ40" s="36" t="str">
        <f>IF($A40&lt;&gt;"",IF(INDEX(BDHK2,MATCH($A40,DiemHKII!$B$4:$B$58,0),INDEX($BG$14:$BK$27,MATCH(AH$7,$BG$14:$BG$27,0),2))&lt;&gt;"",INDEX(BDHK2,MATCH($A40,DiemHKII!$B$4:$B$58,0),INDEX($BG$14:$BK$27,MATCH(AH$7,$BG$14:$BG$27,0),5)),""),"")</f>
        <v/>
      </c>
      <c r="AK40" s="37" t="str">
        <f>IF($A40&lt;&gt;"",IF(INDEX(BDHK2,MATCH($A40,DiemHKII!$B$4:$B$58,0),INDEX($BG$14:$BK$27,MATCH(AK$7,$BG$14:$BG$27,0),2))&lt;&gt;"",INDEX(BDHK2,MATCH($A40,DiemHKII!$B$4:$B$58,0),INDEX($BG$14:$BK$27,MATCH(AK$7,$BG$14:$BG$27,0),3)),""),"")</f>
        <v/>
      </c>
      <c r="AL40" s="8" t="str">
        <f>IF($A40&lt;&gt;"",IF(INDEX(BDHK2,MATCH($A40,DiemHKII!$B$4:$B$58,0),INDEX($BG$14:$BK$27,MATCH(AK$7,$BG$14:$BG$27,0),2))&lt;&gt;"",INDEX(BDHK2,MATCH($A40,DiemHKII!$B$4:$B$58,0),INDEX($BG$14:$BK$27,MATCH(AK$7,$BG$14:$BG$27,0),4)),""),"")</f>
        <v/>
      </c>
      <c r="AM40" s="38" t="str">
        <f>IF($A40&lt;&gt;"",IF(INDEX(BDHK2,MATCH($A40,DiemHKII!$B$4:$B$58,0),INDEX($BG$14:$BK$27,MATCH(AK$7,$BG$14:$BG$27,0),2))&lt;&gt;"",INDEX(BDHK2,MATCH($A40,DiemHKII!$B$4:$B$58,0),INDEX($BG$14:$BK$27,MATCH(AK$7,$BG$14:$BG$27,0),5)),""),"")</f>
        <v/>
      </c>
      <c r="AN40" s="34" t="str">
        <f>IF($A40&lt;&gt;"",IF(INDEX(BDHK2,MATCH($A40,DiemHKII!$B$4:$B$58,0),INDEX($BG$14:$BK$27,MATCH(AN$7,$BG$14:$BG$27,0),2))&lt;&gt;"",INDEX(BDHK2,MATCH($A40,DiemHKII!$B$4:$B$58,0),INDEX($BG$14:$BK$27,MATCH(AN$7,$BG$14:$BG$27,0),3)),""),"")</f>
        <v/>
      </c>
      <c r="AO40" s="35" t="str">
        <f>IF($A40&lt;&gt;"",IF(INDEX(BDHK2,MATCH($A40,DiemHKII!$B$4:$B$58,0),INDEX($BG$14:$BK$27,MATCH(AN$7,$BG$14:$BG$27,0),2))&lt;&gt;"",INDEX(BDHK2,MATCH($A40,DiemHKII!$B$4:$B$58,0),INDEX($BG$14:$BK$27,MATCH(AN$7,$BG$14:$BG$27,0),4)),""),"")</f>
        <v/>
      </c>
      <c r="AP40" s="36" t="str">
        <f>IF($A40&lt;&gt;"",IF(INDEX(BDHK2,MATCH($A40,DiemHKII!$B$4:$B$58,0),INDEX($BG$14:$BK$27,MATCH(AN$7,$BG$14:$BG$27,0),2))&lt;&gt;"",INDEX(BDHK2,MATCH($A40,DiemHKII!$B$4:$B$58,0),INDEX($BG$14:$BK$27,MATCH(AN$7,$BG$14:$BG$27,0),5)),""),"")</f>
        <v/>
      </c>
      <c r="AQ40" s="34" t="str">
        <f>IF($A40&lt;&gt;"",IF(INDEX(BDHK2,MATCH($A40,DiemHKII!$B$4:$B$58,0),INDEX($BG$14:$BK$27,MATCH(AQ$7,$BG$14:$BG$27,0),2))&lt;&gt;"",INDEX(BDHK2,MATCH($A40,DiemHKII!$B$4:$B$58,0),INDEX($BG$14:$BK$27,MATCH(AQ$7,$BG$14:$BG$27,0),3)),""),"")</f>
        <v/>
      </c>
      <c r="AR40" s="35" t="str">
        <f>IF($A40&lt;&gt;"",IF(INDEX(BDHK2,MATCH($A40,DiemHKII!$B$4:$B$58,0),INDEX($BG$14:$BK$27,MATCH(AQ$7,$BG$14:$BG$27,0),2))&lt;&gt;"",INDEX(BDHK2,MATCH($A40,DiemHKII!$B$4:$B$58,0),INDEX($BG$14:$BK$27,MATCH(AQ$7,$BG$14:$BG$27,0),4)),""),"")</f>
        <v/>
      </c>
      <c r="AS40" s="36" t="str">
        <f>IF($A40&lt;&gt;"",IF(INDEX(BDHK2,MATCH($A40,DiemHKII!$B$4:$B$58,0),INDEX($BG$14:$BK$27,MATCH(AQ$7,$BG$14:$BG$27,0),2))&lt;&gt;"",INDEX(BDHK2,MATCH($A40,DiemHKII!$B$4:$B$58,0),INDEX($BG$14:$BK$27,MATCH(AQ$7,$BG$14:$BG$27,0),5)),""),"")</f>
        <v/>
      </c>
      <c r="AT40" s="34">
        <f>IFERROR(IF($A40&gt;=1,IF(INDEX(THHKI!$V$8:$Y$62,MATCH($BL40,THHKI!$AG$8:$AG$62,0),1)&lt;&gt;"",INDEX(THHKI!$V$8:$Y$62,MATCH($BL40,THHKI!$AG$8:$AG$62,0),1),""),""),"")</f>
        <v>9.4</v>
      </c>
      <c r="AU40" s="35" t="str">
        <f>IF($A40&gt;=1,IF(INDEX(THHKII!$V$8:$Y$62,MATCH($BL40,THHKII!$AG$8:$AG$62,0),1)&lt;&gt;"",INDEX(THHKII!$V$8:$Y$62,MATCH($BL40,THHKII!$AG$8:$AG$62,0),1),""),"")</f>
        <v/>
      </c>
      <c r="AV40" s="39" t="str">
        <f>IF($A40&gt;=1,IF(INDEX(THCN!$V$8:$Y$62,MATCH($BL40,THCN!$AG$8:$AG$62,0),1)&lt;&gt;"",INDEX(THCN!$V$8:$Y$62,MATCH($BL40,THCN!$AG$8:$AG$62,0),1),""),"")</f>
        <v/>
      </c>
      <c r="AW40" s="40" t="str">
        <f>IFERROR(IF($A40&gt;=1,IF(INDEX(THHKI!$V$8:$Y$62,MATCH($BL40,THHKI!$AG$8:$AG$62,0),2)&lt;&gt;"",INDEX(THHKI!$V$8:$Y$62,MATCH($BL40,THHKI!$AG$8:$AG$62,0),2),""),""),"")</f>
        <v>Giỏi</v>
      </c>
      <c r="AX40" s="8" t="str">
        <f>IF($A40&gt;=1,IF(INDEX(THHKII!$V$8:$Y$62,MATCH($BL40,THHKII!$AG$8:$AG$62,0),2)&lt;&gt;"",INDEX(THHKII!$V$8:$Y$62,MATCH($BL40,THHKII!$AG$8:$AG$62,0),2),""),"")</f>
        <v/>
      </c>
      <c r="AY40" s="467" t="str">
        <f>IF($A40&gt;=1,IF(INDEX(THCN!$V$8:$Y$62,MATCH($BL40,THCN!$AG$8:$AG$62,0),2)&lt;&gt;"",INDEX(THCN!$V$8:$Y$62,MATCH($BL40,THCN!$AG$8:$AG$62,0),2),""),"")</f>
        <v/>
      </c>
      <c r="AZ40" s="37" t="str">
        <f>IFERROR(IF($A40&gt;=1,IF(INDEX(THHKI!$V$8:$Y$62,MATCH($BL40,THHKI!$AG$8:$AG$62,0),3)&lt;&gt;"",INDEX(THHKI!$V$8:$Y$62,MATCH($BL40,THHKI!$AG$8:$AG$62,0),3),""),""),"")</f>
        <v>Tốt</v>
      </c>
      <c r="BA40" s="8" t="str">
        <f>IF($A40&gt;=1,IF(INDEX(THHKII!$V$8:$Y$62,MATCH($BL40,THHKII!$AG$8:$AG$62,0),3)&lt;&gt;"",INDEX(THHKII!$V$8:$Y$62,MATCH($BL40,THHKII!$AG$8:$AG$62,0),3),""),"")</f>
        <v/>
      </c>
      <c r="BB40" s="41" t="str">
        <f>IF($A40&gt;=1,IF(INDEX(THCN!$V$8:$Y$62,MATCH($BL40,THCN!$AG$8:$AG$62,0),3)&lt;&gt;"",INDEX(THCN!$V$8:$Y$62,MATCH($BL40,THCN!$AG$8:$AG$62,0),3),""),"")</f>
        <v/>
      </c>
      <c r="BC40" s="42" t="str">
        <f>IF($A40&gt;=1,IF(INDEX(THCN!$V$8:$Y$62,MATCH($BL40,THCN!$AG$8:$AG$62,0),4)&lt;&gt;"",INDEX(THCN!$V$8:$Y$62,MATCH($BL40,THCN!$AG$8:$AG$62,0),4),""),"")</f>
        <v/>
      </c>
      <c r="BE40" s="31" t="str">
        <f>IFERROR(IF($A40&gt;=1,IF(INDEX(THHKI!$V$8:$Y$62,MATCH($BL40,THHKI!$AG$8:$AG$62,0),4)&lt;&gt;"",INDEX(THHKI!$V$8:$Y$62,MATCH($BL40,THHKI!$AG$8:$AG$62,0),4),""),""),"")</f>
        <v>HSG</v>
      </c>
      <c r="BF40" s="42" t="str">
        <f>IF($A40&gt;=1,IF(INDEX(THHKII!$V$8:$Y$62,MATCH($BL40,THHKII!$AG$8:$AG$62,0),4)&lt;&gt;"",INDEX(THHKII!$V$8:$Y$62,MATCH($BL40,THHKII!$AG$8:$AG$62,0),4),""),"")</f>
        <v/>
      </c>
      <c r="BL40" s="30" t="str">
        <f>IF($A40&lt;&gt;"",INDEX(DiemHKII!$B$4:$K$58,MATCH($A40,DiemHKII!$B$4:$B$58,0),2),"")</f>
        <v>12A1Hồ QuangThành28/02/2004</v>
      </c>
    </row>
    <row r="41" spans="1:64" s="30" customFormat="1" ht="29.1" customHeight="1">
      <c r="A41" s="31">
        <f>IF(A40&lt;MAX(DiemHKII!$B$4:$B$58),A40+1,"")</f>
        <v>33</v>
      </c>
      <c r="B41" s="32" t="str">
        <f>IF($A41&lt;&gt;"",PROPER(INDEX(DiemHKII!$B$4:$K$58,MATCH($A41,DiemHKII!$B$4:$B$58,0),4)),"")</f>
        <v>Trần Thịnh</v>
      </c>
      <c r="C41" s="33" t="str">
        <f>IF($A41&lt;&gt;"",PROPER(INDEX(DiemHKII!$B$4:$K$58,MATCH($A41,DiemHKII!$B$4:$B$58,0),5)),"")</f>
        <v>Thịnh</v>
      </c>
      <c r="D41" s="34" t="str">
        <f>IF($A41&lt;&gt;"",IF(INDEX(BDHK2,MATCH($A41,DiemHKII!$B$4:$B$58,0),INDEX($BG$14:$BK$27,MATCH(D$7,$BG$14:$BG$27,0),2))&lt;&gt;"",INDEX(BDHK2,MATCH($A41,DiemHKII!$B$4:$B$58,0),INDEX($BG$14:$BK$27,MATCH(D$7,$BG$14:$BG$27,0),3)),""),"")</f>
        <v/>
      </c>
      <c r="E41" s="35" t="str">
        <f>IF($A41&lt;&gt;"",IF(INDEX(BDHK2,MATCH($A41,DiemHKII!$B$4:$B$58,0),INDEX($BG$14:$BK$27,MATCH(D$7,$BG$14:$BG$27,0),2))&lt;&gt;"",INDEX(BDHK2,MATCH($A41,DiemHKII!$B$4:$B$58,0),INDEX($BG$14:$BK$27,MATCH(D$7,$BG$14:$BG$27,0),4)),""),"")</f>
        <v/>
      </c>
      <c r="F41" s="36" t="str">
        <f>IF($A41&lt;&gt;"",IF(INDEX(BDHK2,MATCH($A41,DiemHKII!$B$4:$B$58,0),INDEX($BG$14:$BK$27,MATCH(D$7,$BG$14:$BG$27,0),2))&lt;&gt;"",INDEX(BDHK2,MATCH($A41,DiemHKII!$B$4:$B$58,0),INDEX($BG$14:$BK$27,MATCH(D$7,$BG$14:$BG$27,0),5)),""),"")</f>
        <v/>
      </c>
      <c r="G41" s="34" t="str">
        <f>IF($A41&lt;&gt;"",IF(INDEX(BDHK2,MATCH($A41,DiemHKII!$B$4:$B$58,0),INDEX($BG$14:$BK$27,MATCH(G$7,$BG$14:$BG$27,0),2))&lt;&gt;"",INDEX(BDHK2,MATCH($A41,DiemHKII!$B$4:$B$58,0),INDEX($BG$14:$BK$27,MATCH(G$7,$BG$14:$BG$27,0),3)),""),"")</f>
        <v/>
      </c>
      <c r="H41" s="35" t="str">
        <f>IF($A41&lt;&gt;"",IF(INDEX(BDHK2,MATCH($A41,DiemHKII!$B$4:$B$58,0),INDEX($BG$14:$BK$27,MATCH(G$7,$BG$14:$BG$27,0),2))&lt;&gt;"",INDEX(BDHK2,MATCH($A41,DiemHKII!$B$4:$B$58,0),INDEX($BG$14:$BK$27,MATCH(G$7,$BG$14:$BG$27,0),4)),""),"")</f>
        <v/>
      </c>
      <c r="I41" s="36" t="str">
        <f>IF($A41&lt;&gt;"",IF(INDEX(BDHK2,MATCH($A41,DiemHKII!$B$4:$B$58,0),INDEX($BG$14:$BK$27,MATCH(G$7,$BG$14:$BG$27,0),2))&lt;&gt;"",INDEX(BDHK2,MATCH($A41,DiemHKII!$B$4:$B$58,0),INDEX($BG$14:$BK$27,MATCH(G$7,$BG$14:$BG$27,0),5)),""),"")</f>
        <v/>
      </c>
      <c r="J41" s="34" t="str">
        <f>IF($A41&lt;&gt;"",IF(INDEX(BDHK2,MATCH($A41,DiemHKII!$B$4:$B$58,0),INDEX($BG$14:$BK$27,MATCH(J$7,$BG$14:$BG$27,0),2))&lt;&gt;"",INDEX(BDHK2,MATCH($A41,DiemHKII!$B$4:$B$58,0),INDEX($BG$14:$BK$27,MATCH(J$7,$BG$14:$BG$27,0),3)),""),"")</f>
        <v/>
      </c>
      <c r="K41" s="35" t="str">
        <f>IF($A41&lt;&gt;"",IF(INDEX(BDHK2,MATCH($A41,DiemHKII!$B$4:$B$58,0),INDEX($BG$14:$BK$27,MATCH(J$7,$BG$14:$BG$27,0),2))&lt;&gt;"",INDEX(BDHK2,MATCH($A41,DiemHKII!$B$4:$B$58,0),INDEX($BG$14:$BK$27,MATCH(J$7,$BG$14:$BG$27,0),4)),""),"")</f>
        <v/>
      </c>
      <c r="L41" s="36" t="str">
        <f>IF($A41&lt;&gt;"",IF(INDEX(BDHK2,MATCH($A41,DiemHKII!$B$4:$B$58,0),INDEX($BG$14:$BK$27,MATCH(J$7,$BG$14:$BG$27,0),2))&lt;&gt;"",INDEX(BDHK2,MATCH($A41,DiemHKII!$B$4:$B$58,0),INDEX($BG$14:$BK$27,MATCH(J$7,$BG$14:$BG$27,0),5)),""),"")</f>
        <v/>
      </c>
      <c r="M41" s="34" t="str">
        <f>IF($A41&lt;&gt;"",IF(INDEX(BDHK2,MATCH($A41,DiemHKII!$B$4:$B$58,0),INDEX($BG$14:$BK$27,MATCH(M$7,$BG$14:$BG$27,0),2))&lt;&gt;"",INDEX(BDHK2,MATCH($A41,DiemHKII!$B$4:$B$58,0),INDEX($BG$14:$BK$27,MATCH(M$7,$BG$14:$BG$27,0),3)),""),"")</f>
        <v/>
      </c>
      <c r="N41" s="35" t="str">
        <f>IF($A41&lt;&gt;"",IF(INDEX(BDHK2,MATCH($A41,DiemHKII!$B$4:$B$58,0),INDEX($BG$14:$BK$27,MATCH(M$7,$BG$14:$BG$27,0),2))&lt;&gt;"",INDEX(BDHK2,MATCH($A41,DiemHKII!$B$4:$B$58,0),INDEX($BG$14:$BK$27,MATCH(M$7,$BG$14:$BG$27,0),4)),""),"")</f>
        <v/>
      </c>
      <c r="O41" s="36" t="str">
        <f>IF($A41&lt;&gt;"",IF(INDEX(BDHK2,MATCH($A41,DiemHKII!$B$4:$B$58,0),INDEX($BG$14:$BK$27,MATCH(M$7,$BG$14:$BG$27,0),2))&lt;&gt;"",INDEX(BDHK2,MATCH($A41,DiemHKII!$B$4:$B$58,0),INDEX($BG$14:$BK$27,MATCH(M$7,$BG$14:$BG$27,0),5)),""),"")</f>
        <v/>
      </c>
      <c r="P41" s="34" t="str">
        <f>IF($A41&lt;&gt;"",IF(INDEX(BDHK2,MATCH($A41,DiemHKII!$B$4:$B$58,0),INDEX($BG$14:$BK$27,MATCH(P$7,$BG$14:$BG$27,0),2))&lt;&gt;"",INDEX(BDHK2,MATCH($A41,DiemHKII!$B$4:$B$58,0),INDEX($BG$14:$BK$27,MATCH(P$7,$BG$14:$BG$27,0),3)),""),"")</f>
        <v/>
      </c>
      <c r="Q41" s="35" t="str">
        <f>IF($A41&lt;&gt;"",IF(INDEX(BDHK2,MATCH($A41,DiemHKII!$B$4:$B$58,0),INDEX($BG$14:$BK$27,MATCH(P$7,$BG$14:$BG$27,0),2))&lt;&gt;"",INDEX(BDHK2,MATCH($A41,DiemHKII!$B$4:$B$58,0),INDEX($BG$14:$BK$27,MATCH(P$7,$BG$14:$BG$27,0),4)),""),"")</f>
        <v/>
      </c>
      <c r="R41" s="36" t="str">
        <f>IF($A41&lt;&gt;"",IF(INDEX(BDHK2,MATCH($A41,DiemHKII!$B$4:$B$58,0),INDEX($BG$14:$BK$27,MATCH(P$7,$BG$14:$BG$27,0),2))&lt;&gt;"",INDEX(BDHK2,MATCH($A41,DiemHKII!$B$4:$B$58,0),INDEX($BG$14:$BK$27,MATCH(P$7,$BG$14:$BG$27,0),5)),""),"")</f>
        <v/>
      </c>
      <c r="S41" s="34" t="str">
        <f>IF($A41&lt;&gt;"",IF(INDEX(BDHK2,MATCH($A41,DiemHKII!$B$4:$B$58,0),INDEX($BG$14:$BK$27,MATCH(S$7,$BG$14:$BG$27,0),2))&lt;&gt;"",INDEX(BDHK2,MATCH($A41,DiemHKII!$B$4:$B$58,0),INDEX($BG$14:$BK$27,MATCH(S$7,$BG$14:$BG$27,0),3)),""),"")</f>
        <v/>
      </c>
      <c r="T41" s="35" t="str">
        <f>IF($A41&lt;&gt;"",IF(INDEX(BDHK2,MATCH($A41,DiemHKII!$B$4:$B$58,0),INDEX($BG$14:$BK$27,MATCH(S$7,$BG$14:$BG$27,0),2))&lt;&gt;"",INDEX(BDHK2,MATCH($A41,DiemHKII!$B$4:$B$58,0),INDEX($BG$14:$BK$27,MATCH(S$7,$BG$14:$BG$27,0),4)),""),"")</f>
        <v/>
      </c>
      <c r="U41" s="36" t="str">
        <f>IF($A41&lt;&gt;"",IF(INDEX(BDHK2,MATCH($A41,DiemHKII!$B$4:$B$58,0),INDEX($BG$14:$BK$27,MATCH(S$7,$BG$14:$BG$27,0),2))&lt;&gt;"",INDEX(BDHK2,MATCH($A41,DiemHKII!$B$4:$B$58,0),INDEX($BG$14:$BK$27,MATCH(S$7,$BG$14:$BG$27,0),5)),""),"")</f>
        <v/>
      </c>
      <c r="V41" s="34" t="str">
        <f>IF($A41&lt;&gt;"",IF(INDEX(BDHK2,MATCH($A41,DiemHKII!$B$4:$B$58,0),INDEX($BG$14:$BK$27,MATCH(V$7,$BG$14:$BG$27,0),2))&lt;&gt;"",INDEX(BDHK2,MATCH($A41,DiemHKII!$B$4:$B$58,0),INDEX($BG$14:$BK$27,MATCH(V$7,$BG$14:$BG$27,0),3)),""),"")</f>
        <v/>
      </c>
      <c r="W41" s="35" t="str">
        <f>IF($A41&lt;&gt;"",IF(INDEX(BDHK2,MATCH($A41,DiemHKII!$B$4:$B$58,0),INDEX($BG$14:$BK$27,MATCH(V$7,$BG$14:$BG$27,0),2))&lt;&gt;"",INDEX(BDHK2,MATCH($A41,DiemHKII!$B$4:$B$58,0),INDEX($BG$14:$BK$27,MATCH(V$7,$BG$14:$BG$27,0),4)),""),"")</f>
        <v/>
      </c>
      <c r="X41" s="36" t="str">
        <f>IF($A41&lt;&gt;"",IF(INDEX(BDHK2,MATCH($A41,DiemHKII!$B$4:$B$58,0),INDEX($BG$14:$BK$27,MATCH(V$7,$BG$14:$BG$27,0),2))&lt;&gt;"",INDEX(BDHK2,MATCH($A41,DiemHKII!$B$4:$B$58,0),INDEX($BG$14:$BK$27,MATCH(V$7,$BG$14:$BG$27,0),5)),""),"")</f>
        <v/>
      </c>
      <c r="Y41" s="34" t="str">
        <f>IF($A41&lt;&gt;"",IF(INDEX(BDHK2,MATCH($A41,DiemHKII!$B$4:$B$58,0),INDEX($BG$14:$BK$27,MATCH(Y$7,$BG$14:$BG$27,0),2))&lt;&gt;"",INDEX(BDHK2,MATCH($A41,DiemHKII!$B$4:$B$58,0),INDEX($BG$14:$BK$27,MATCH(Y$7,$BG$14:$BG$27,0),3)),""),"")</f>
        <v/>
      </c>
      <c r="Z41" s="35" t="str">
        <f>IF($A41&lt;&gt;"",IF(INDEX(BDHK2,MATCH($A41,DiemHKII!$B$4:$B$58,0),INDEX($BG$14:$BK$27,MATCH(Y$7,$BG$14:$BG$27,0),2))&lt;&gt;"",INDEX(BDHK2,MATCH($A41,DiemHKII!$B$4:$B$58,0),INDEX($BG$14:$BK$27,MATCH(Y$7,$BG$14:$BG$27,0),4)),""),"")</f>
        <v/>
      </c>
      <c r="AA41" s="36" t="str">
        <f>IF($A41&lt;&gt;"",IF(INDEX(BDHK2,MATCH($A41,DiemHKII!$B$4:$B$58,0),INDEX($BG$14:$BK$27,MATCH(Y$7,$BG$14:$BG$27,0),2))&lt;&gt;"",INDEX(BDHK2,MATCH($A41,DiemHKII!$B$4:$B$58,0),INDEX($BG$14:$BK$27,MATCH(Y$7,$BG$14:$BG$27,0),5)),""),"")</f>
        <v/>
      </c>
      <c r="AB41" s="34" t="str">
        <f>IF($A41&lt;&gt;"",IF(INDEX(BDHK2,MATCH($A41,DiemHKII!$B$4:$B$58,0),INDEX($BG$14:$BK$27,MATCH(AB$7,$BG$14:$BG$27,0),2))&lt;&gt;"",INDEX(BDHK2,MATCH($A41,DiemHKII!$B$4:$B$58,0),INDEX($BG$14:$BK$27,MATCH(AB$7,$BG$14:$BG$27,0),3)),""),"")</f>
        <v/>
      </c>
      <c r="AC41" s="35" t="str">
        <f>IF($A41&lt;&gt;"",IF(INDEX(BDHK2,MATCH($A41,DiemHKII!$B$4:$B$58,0),INDEX($BG$14:$BK$27,MATCH(AB$7,$BG$14:$BG$27,0),2))&lt;&gt;"",INDEX(BDHK2,MATCH($A41,DiemHKII!$B$4:$B$58,0),INDEX($BG$14:$BK$27,MATCH(AB$7,$BG$14:$BG$27,0),4)),""),"")</f>
        <v/>
      </c>
      <c r="AD41" s="36" t="str">
        <f>IF($A41&lt;&gt;"",IF(INDEX(BDHK2,MATCH($A41,DiemHKII!$B$4:$B$58,0),INDEX($BG$14:$BK$27,MATCH(AB$7,$BG$14:$BG$27,0),2))&lt;&gt;"",INDEX(BDHK2,MATCH($A41,DiemHKII!$B$4:$B$58,0),INDEX($BG$14:$BK$27,MATCH(AB$7,$BG$14:$BG$27,0),5)),""),"")</f>
        <v/>
      </c>
      <c r="AE41" s="34" t="str">
        <f>IF($A41&lt;&gt;"",IF(INDEX(BDHK2,MATCH($A41,DiemHKII!$B$4:$B$58,0),INDEX($BG$14:$BK$27,MATCH(AE$7,$BG$14:$BG$27,0),2))&lt;&gt;"",INDEX(BDHK2,MATCH($A41,DiemHKII!$B$4:$B$58,0),INDEX($BG$14:$BK$27,MATCH(AE$7,$BG$14:$BG$27,0),3)),""),"")</f>
        <v/>
      </c>
      <c r="AF41" s="35" t="str">
        <f>IF($A41&lt;&gt;"",IF(INDEX(BDHK2,MATCH($A41,DiemHKII!$B$4:$B$58,0),INDEX($BG$14:$BK$27,MATCH(AE$7,$BG$14:$BG$27,0),2))&lt;&gt;"",INDEX(BDHK2,MATCH($A41,DiemHKII!$B$4:$B$58,0),INDEX($BG$14:$BK$27,MATCH(AE$7,$BG$14:$BG$27,0),4)),""),"")</f>
        <v/>
      </c>
      <c r="AG41" s="36" t="str">
        <f>IF($A41&lt;&gt;"",IF(INDEX(BDHK2,MATCH($A41,DiemHKII!$B$4:$B$58,0),INDEX($BG$14:$BK$27,MATCH(AE$7,$BG$14:$BG$27,0),2))&lt;&gt;"",INDEX(BDHK2,MATCH($A41,DiemHKII!$B$4:$B$58,0),INDEX($BG$14:$BK$27,MATCH(AE$7,$BG$14:$BG$27,0),5)),""),"")</f>
        <v/>
      </c>
      <c r="AH41" s="34" t="str">
        <f>IF($A41&lt;&gt;"",IF(INDEX(BDHK2,MATCH($A41,DiemHKII!$B$4:$B$58,0),INDEX($BG$14:$BK$27,MATCH(AH$7,$BG$14:$BG$27,0),2))&lt;&gt;"",INDEX(BDHK2,MATCH($A41,DiemHKII!$B$4:$B$58,0),INDEX($BG$14:$BK$27,MATCH(AH$7,$BG$14:$BG$27,0),3)),""),"")</f>
        <v/>
      </c>
      <c r="AI41" s="35" t="str">
        <f>IF($A41&lt;&gt;"",IF(INDEX(BDHK2,MATCH($A41,DiemHKII!$B$4:$B$58,0),INDEX($BG$14:$BK$27,MATCH(AH$7,$BG$14:$BG$27,0),2))&lt;&gt;"",INDEX(BDHK2,MATCH($A41,DiemHKII!$B$4:$B$58,0),INDEX($BG$14:$BK$27,MATCH(AH$7,$BG$14:$BG$27,0),4)),""),"")</f>
        <v/>
      </c>
      <c r="AJ41" s="36" t="str">
        <f>IF($A41&lt;&gt;"",IF(INDEX(BDHK2,MATCH($A41,DiemHKII!$B$4:$B$58,0),INDEX($BG$14:$BK$27,MATCH(AH$7,$BG$14:$BG$27,0),2))&lt;&gt;"",INDEX(BDHK2,MATCH($A41,DiemHKII!$B$4:$B$58,0),INDEX($BG$14:$BK$27,MATCH(AH$7,$BG$14:$BG$27,0),5)),""),"")</f>
        <v/>
      </c>
      <c r="AK41" s="37" t="str">
        <f>IF($A41&lt;&gt;"",IF(INDEX(BDHK2,MATCH($A41,DiemHKII!$B$4:$B$58,0),INDEX($BG$14:$BK$27,MATCH(AK$7,$BG$14:$BG$27,0),2))&lt;&gt;"",INDEX(BDHK2,MATCH($A41,DiemHKII!$B$4:$B$58,0),INDEX($BG$14:$BK$27,MATCH(AK$7,$BG$14:$BG$27,0),3)),""),"")</f>
        <v/>
      </c>
      <c r="AL41" s="8" t="str">
        <f>IF($A41&lt;&gt;"",IF(INDEX(BDHK2,MATCH($A41,DiemHKII!$B$4:$B$58,0),INDEX($BG$14:$BK$27,MATCH(AK$7,$BG$14:$BG$27,0),2))&lt;&gt;"",INDEX(BDHK2,MATCH($A41,DiemHKII!$B$4:$B$58,0),INDEX($BG$14:$BK$27,MATCH(AK$7,$BG$14:$BG$27,0),4)),""),"")</f>
        <v/>
      </c>
      <c r="AM41" s="38" t="str">
        <f>IF($A41&lt;&gt;"",IF(INDEX(BDHK2,MATCH($A41,DiemHKII!$B$4:$B$58,0),INDEX($BG$14:$BK$27,MATCH(AK$7,$BG$14:$BG$27,0),2))&lt;&gt;"",INDEX(BDHK2,MATCH($A41,DiemHKII!$B$4:$B$58,0),INDEX($BG$14:$BK$27,MATCH(AK$7,$BG$14:$BG$27,0),5)),""),"")</f>
        <v/>
      </c>
      <c r="AN41" s="34" t="str">
        <f>IF($A41&lt;&gt;"",IF(INDEX(BDHK2,MATCH($A41,DiemHKII!$B$4:$B$58,0),INDEX($BG$14:$BK$27,MATCH(AN$7,$BG$14:$BG$27,0),2))&lt;&gt;"",INDEX(BDHK2,MATCH($A41,DiemHKII!$B$4:$B$58,0),INDEX($BG$14:$BK$27,MATCH(AN$7,$BG$14:$BG$27,0),3)),""),"")</f>
        <v/>
      </c>
      <c r="AO41" s="35" t="str">
        <f>IF($A41&lt;&gt;"",IF(INDEX(BDHK2,MATCH($A41,DiemHKII!$B$4:$B$58,0),INDEX($BG$14:$BK$27,MATCH(AN$7,$BG$14:$BG$27,0),2))&lt;&gt;"",INDEX(BDHK2,MATCH($A41,DiemHKII!$B$4:$B$58,0),INDEX($BG$14:$BK$27,MATCH(AN$7,$BG$14:$BG$27,0),4)),""),"")</f>
        <v/>
      </c>
      <c r="AP41" s="36" t="str">
        <f>IF($A41&lt;&gt;"",IF(INDEX(BDHK2,MATCH($A41,DiemHKII!$B$4:$B$58,0),INDEX($BG$14:$BK$27,MATCH(AN$7,$BG$14:$BG$27,0),2))&lt;&gt;"",INDEX(BDHK2,MATCH($A41,DiemHKII!$B$4:$B$58,0),INDEX($BG$14:$BK$27,MATCH(AN$7,$BG$14:$BG$27,0),5)),""),"")</f>
        <v/>
      </c>
      <c r="AQ41" s="34" t="str">
        <f>IF($A41&lt;&gt;"",IF(INDEX(BDHK2,MATCH($A41,DiemHKII!$B$4:$B$58,0),INDEX($BG$14:$BK$27,MATCH(AQ$7,$BG$14:$BG$27,0),2))&lt;&gt;"",INDEX(BDHK2,MATCH($A41,DiemHKII!$B$4:$B$58,0),INDEX($BG$14:$BK$27,MATCH(AQ$7,$BG$14:$BG$27,0),3)),""),"")</f>
        <v/>
      </c>
      <c r="AR41" s="35" t="str">
        <f>IF($A41&lt;&gt;"",IF(INDEX(BDHK2,MATCH($A41,DiemHKII!$B$4:$B$58,0),INDEX($BG$14:$BK$27,MATCH(AQ$7,$BG$14:$BG$27,0),2))&lt;&gt;"",INDEX(BDHK2,MATCH($A41,DiemHKII!$B$4:$B$58,0),INDEX($BG$14:$BK$27,MATCH(AQ$7,$BG$14:$BG$27,0),4)),""),"")</f>
        <v/>
      </c>
      <c r="AS41" s="36" t="str">
        <f>IF($A41&lt;&gt;"",IF(INDEX(BDHK2,MATCH($A41,DiemHKII!$B$4:$B$58,0),INDEX($BG$14:$BK$27,MATCH(AQ$7,$BG$14:$BG$27,0),2))&lt;&gt;"",INDEX(BDHK2,MATCH($A41,DiemHKII!$B$4:$B$58,0),INDEX($BG$14:$BK$27,MATCH(AQ$7,$BG$14:$BG$27,0),5)),""),"")</f>
        <v/>
      </c>
      <c r="AT41" s="34">
        <f>IFERROR(IF($A41&gt;=1,IF(INDEX(THHKI!$V$8:$Y$62,MATCH($BL41,THHKI!$AG$8:$AG$62,0),1)&lt;&gt;"",INDEX(THHKI!$V$8:$Y$62,MATCH($BL41,THHKI!$AG$8:$AG$62,0),1),""),""),"")</f>
        <v>9.3000000000000007</v>
      </c>
      <c r="AU41" s="35" t="str">
        <f>IF($A41&gt;=1,IF(INDEX(THHKII!$V$8:$Y$62,MATCH($BL41,THHKII!$AG$8:$AG$62,0),1)&lt;&gt;"",INDEX(THHKII!$V$8:$Y$62,MATCH($BL41,THHKII!$AG$8:$AG$62,0),1),""),"")</f>
        <v/>
      </c>
      <c r="AV41" s="39" t="str">
        <f>IF($A41&gt;=1,IF(INDEX(THCN!$V$8:$Y$62,MATCH($BL41,THCN!$AG$8:$AG$62,0),1)&lt;&gt;"",INDEX(THCN!$V$8:$Y$62,MATCH($BL41,THCN!$AG$8:$AG$62,0),1),""),"")</f>
        <v/>
      </c>
      <c r="AW41" s="40" t="str">
        <f>IFERROR(IF($A41&gt;=1,IF(INDEX(THHKI!$V$8:$Y$62,MATCH($BL41,THHKI!$AG$8:$AG$62,0),2)&lt;&gt;"",INDEX(THHKI!$V$8:$Y$62,MATCH($BL41,THHKI!$AG$8:$AG$62,0),2),""),""),"")</f>
        <v>Giỏi</v>
      </c>
      <c r="AX41" s="8" t="str">
        <f>IF($A41&gt;=1,IF(INDEX(THHKII!$V$8:$Y$62,MATCH($BL41,THHKII!$AG$8:$AG$62,0),2)&lt;&gt;"",INDEX(THHKII!$V$8:$Y$62,MATCH($BL41,THHKII!$AG$8:$AG$62,0),2),""),"")</f>
        <v/>
      </c>
      <c r="AY41" s="467" t="str">
        <f>IF($A41&gt;=1,IF(INDEX(THCN!$V$8:$Y$62,MATCH($BL41,THCN!$AG$8:$AG$62,0),2)&lt;&gt;"",INDEX(THCN!$V$8:$Y$62,MATCH($BL41,THCN!$AG$8:$AG$62,0),2),""),"")</f>
        <v/>
      </c>
      <c r="AZ41" s="37" t="str">
        <f>IFERROR(IF($A41&gt;=1,IF(INDEX(THHKI!$V$8:$Y$62,MATCH($BL41,THHKI!$AG$8:$AG$62,0),3)&lt;&gt;"",INDEX(THHKI!$V$8:$Y$62,MATCH($BL41,THHKI!$AG$8:$AG$62,0),3),""),""),"")</f>
        <v>Tốt</v>
      </c>
      <c r="BA41" s="8" t="str">
        <f>IF($A41&gt;=1,IF(INDEX(THHKII!$V$8:$Y$62,MATCH($BL41,THHKII!$AG$8:$AG$62,0),3)&lt;&gt;"",INDEX(THHKII!$V$8:$Y$62,MATCH($BL41,THHKII!$AG$8:$AG$62,0),3),""),"")</f>
        <v/>
      </c>
      <c r="BB41" s="41" t="str">
        <f>IF($A41&gt;=1,IF(INDEX(THCN!$V$8:$Y$62,MATCH($BL41,THCN!$AG$8:$AG$62,0),3)&lt;&gt;"",INDEX(THCN!$V$8:$Y$62,MATCH($BL41,THCN!$AG$8:$AG$62,0),3),""),"")</f>
        <v/>
      </c>
      <c r="BC41" s="42" t="str">
        <f>IF($A41&gt;=1,IF(INDEX(THCN!$V$8:$Y$62,MATCH($BL41,THCN!$AG$8:$AG$62,0),4)&lt;&gt;"",INDEX(THCN!$V$8:$Y$62,MATCH($BL41,THCN!$AG$8:$AG$62,0),4),""),"")</f>
        <v/>
      </c>
      <c r="BE41" s="31" t="str">
        <f>IFERROR(IF($A41&gt;=1,IF(INDEX(THHKI!$V$8:$Y$62,MATCH($BL41,THHKI!$AG$8:$AG$62,0),4)&lt;&gt;"",INDEX(THHKI!$V$8:$Y$62,MATCH($BL41,THHKI!$AG$8:$AG$62,0),4),""),""),"")</f>
        <v>HSG</v>
      </c>
      <c r="BF41" s="42" t="str">
        <f>IF($A41&gt;=1,IF(INDEX(THHKII!$V$8:$Y$62,MATCH($BL41,THHKII!$AG$8:$AG$62,0),4)&lt;&gt;"",INDEX(THHKII!$V$8:$Y$62,MATCH($BL41,THHKII!$AG$8:$AG$62,0),4),""),"")</f>
        <v/>
      </c>
      <c r="BL41" s="30" t="str">
        <f>IF($A41&lt;&gt;"",INDEX(DiemHKII!$B$4:$K$58,MATCH($A41,DiemHKII!$B$4:$B$58,0),2),"")</f>
        <v>12A1Trần ThịnhThịnh18/08/2004</v>
      </c>
    </row>
    <row r="42" spans="1:64" s="30" customFormat="1" ht="29.1" customHeight="1">
      <c r="A42" s="31">
        <f>IF(A41&lt;MAX(DiemHKII!$B$4:$B$58),A41+1,"")</f>
        <v>34</v>
      </c>
      <c r="B42" s="32" t="str">
        <f>IF($A42&lt;&gt;"",PROPER(INDEX(DiemHKII!$B$4:$K$58,MATCH($A42,DiemHKII!$B$4:$B$58,0),4)),"")</f>
        <v>Trần Kim Bảo</v>
      </c>
      <c r="C42" s="33" t="str">
        <f>IF($A42&lt;&gt;"",PROPER(INDEX(DiemHKII!$B$4:$K$58,MATCH($A42,DiemHKII!$B$4:$B$58,0),5)),"")</f>
        <v>Trân</v>
      </c>
      <c r="D42" s="34" t="str">
        <f>IF($A42&lt;&gt;"",IF(INDEX(BDHK2,MATCH($A42,DiemHKII!$B$4:$B$58,0),INDEX($BG$14:$BK$27,MATCH(D$7,$BG$14:$BG$27,0),2))&lt;&gt;"",INDEX(BDHK2,MATCH($A42,DiemHKII!$B$4:$B$58,0),INDEX($BG$14:$BK$27,MATCH(D$7,$BG$14:$BG$27,0),3)),""),"")</f>
        <v/>
      </c>
      <c r="E42" s="35" t="str">
        <f>IF($A42&lt;&gt;"",IF(INDEX(BDHK2,MATCH($A42,DiemHKII!$B$4:$B$58,0),INDEX($BG$14:$BK$27,MATCH(D$7,$BG$14:$BG$27,0),2))&lt;&gt;"",INDEX(BDHK2,MATCH($A42,DiemHKII!$B$4:$B$58,0),INDEX($BG$14:$BK$27,MATCH(D$7,$BG$14:$BG$27,0),4)),""),"")</f>
        <v/>
      </c>
      <c r="F42" s="36" t="str">
        <f>IF($A42&lt;&gt;"",IF(INDEX(BDHK2,MATCH($A42,DiemHKII!$B$4:$B$58,0),INDEX($BG$14:$BK$27,MATCH(D$7,$BG$14:$BG$27,0),2))&lt;&gt;"",INDEX(BDHK2,MATCH($A42,DiemHKII!$B$4:$B$58,0),INDEX($BG$14:$BK$27,MATCH(D$7,$BG$14:$BG$27,0),5)),""),"")</f>
        <v/>
      </c>
      <c r="G42" s="34" t="str">
        <f>IF($A42&lt;&gt;"",IF(INDEX(BDHK2,MATCH($A42,DiemHKII!$B$4:$B$58,0),INDEX($BG$14:$BK$27,MATCH(G$7,$BG$14:$BG$27,0),2))&lt;&gt;"",INDEX(BDHK2,MATCH($A42,DiemHKII!$B$4:$B$58,0),INDEX($BG$14:$BK$27,MATCH(G$7,$BG$14:$BG$27,0),3)),""),"")</f>
        <v/>
      </c>
      <c r="H42" s="35" t="str">
        <f>IF($A42&lt;&gt;"",IF(INDEX(BDHK2,MATCH($A42,DiemHKII!$B$4:$B$58,0),INDEX($BG$14:$BK$27,MATCH(G$7,$BG$14:$BG$27,0),2))&lt;&gt;"",INDEX(BDHK2,MATCH($A42,DiemHKII!$B$4:$B$58,0),INDEX($BG$14:$BK$27,MATCH(G$7,$BG$14:$BG$27,0),4)),""),"")</f>
        <v/>
      </c>
      <c r="I42" s="36" t="str">
        <f>IF($A42&lt;&gt;"",IF(INDEX(BDHK2,MATCH($A42,DiemHKII!$B$4:$B$58,0),INDEX($BG$14:$BK$27,MATCH(G$7,$BG$14:$BG$27,0),2))&lt;&gt;"",INDEX(BDHK2,MATCH($A42,DiemHKII!$B$4:$B$58,0),INDEX($BG$14:$BK$27,MATCH(G$7,$BG$14:$BG$27,0),5)),""),"")</f>
        <v/>
      </c>
      <c r="J42" s="34" t="str">
        <f>IF($A42&lt;&gt;"",IF(INDEX(BDHK2,MATCH($A42,DiemHKII!$B$4:$B$58,0),INDEX($BG$14:$BK$27,MATCH(J$7,$BG$14:$BG$27,0),2))&lt;&gt;"",INDEX(BDHK2,MATCH($A42,DiemHKII!$B$4:$B$58,0),INDEX($BG$14:$BK$27,MATCH(J$7,$BG$14:$BG$27,0),3)),""),"")</f>
        <v/>
      </c>
      <c r="K42" s="35" t="str">
        <f>IF($A42&lt;&gt;"",IF(INDEX(BDHK2,MATCH($A42,DiemHKII!$B$4:$B$58,0),INDEX($BG$14:$BK$27,MATCH(J$7,$BG$14:$BG$27,0),2))&lt;&gt;"",INDEX(BDHK2,MATCH($A42,DiemHKII!$B$4:$B$58,0),INDEX($BG$14:$BK$27,MATCH(J$7,$BG$14:$BG$27,0),4)),""),"")</f>
        <v/>
      </c>
      <c r="L42" s="36" t="str">
        <f>IF($A42&lt;&gt;"",IF(INDEX(BDHK2,MATCH($A42,DiemHKII!$B$4:$B$58,0),INDEX($BG$14:$BK$27,MATCH(J$7,$BG$14:$BG$27,0),2))&lt;&gt;"",INDEX(BDHK2,MATCH($A42,DiemHKII!$B$4:$B$58,0),INDEX($BG$14:$BK$27,MATCH(J$7,$BG$14:$BG$27,0),5)),""),"")</f>
        <v/>
      </c>
      <c r="M42" s="34" t="str">
        <f>IF($A42&lt;&gt;"",IF(INDEX(BDHK2,MATCH($A42,DiemHKII!$B$4:$B$58,0),INDEX($BG$14:$BK$27,MATCH(M$7,$BG$14:$BG$27,0),2))&lt;&gt;"",INDEX(BDHK2,MATCH($A42,DiemHKII!$B$4:$B$58,0),INDEX($BG$14:$BK$27,MATCH(M$7,$BG$14:$BG$27,0),3)),""),"")</f>
        <v/>
      </c>
      <c r="N42" s="35" t="str">
        <f>IF($A42&lt;&gt;"",IF(INDEX(BDHK2,MATCH($A42,DiemHKII!$B$4:$B$58,0),INDEX($BG$14:$BK$27,MATCH(M$7,$BG$14:$BG$27,0),2))&lt;&gt;"",INDEX(BDHK2,MATCH($A42,DiemHKII!$B$4:$B$58,0),INDEX($BG$14:$BK$27,MATCH(M$7,$BG$14:$BG$27,0),4)),""),"")</f>
        <v/>
      </c>
      <c r="O42" s="36" t="str">
        <f>IF($A42&lt;&gt;"",IF(INDEX(BDHK2,MATCH($A42,DiemHKII!$B$4:$B$58,0),INDEX($BG$14:$BK$27,MATCH(M$7,$BG$14:$BG$27,0),2))&lt;&gt;"",INDEX(BDHK2,MATCH($A42,DiemHKII!$B$4:$B$58,0),INDEX($BG$14:$BK$27,MATCH(M$7,$BG$14:$BG$27,0),5)),""),"")</f>
        <v/>
      </c>
      <c r="P42" s="34" t="str">
        <f>IF($A42&lt;&gt;"",IF(INDEX(BDHK2,MATCH($A42,DiemHKII!$B$4:$B$58,0),INDEX($BG$14:$BK$27,MATCH(P$7,$BG$14:$BG$27,0),2))&lt;&gt;"",INDEX(BDHK2,MATCH($A42,DiemHKII!$B$4:$B$58,0),INDEX($BG$14:$BK$27,MATCH(P$7,$BG$14:$BG$27,0),3)),""),"")</f>
        <v/>
      </c>
      <c r="Q42" s="35" t="str">
        <f>IF($A42&lt;&gt;"",IF(INDEX(BDHK2,MATCH($A42,DiemHKII!$B$4:$B$58,0),INDEX($BG$14:$BK$27,MATCH(P$7,$BG$14:$BG$27,0),2))&lt;&gt;"",INDEX(BDHK2,MATCH($A42,DiemHKII!$B$4:$B$58,0),INDEX($BG$14:$BK$27,MATCH(P$7,$BG$14:$BG$27,0),4)),""),"")</f>
        <v/>
      </c>
      <c r="R42" s="36" t="str">
        <f>IF($A42&lt;&gt;"",IF(INDEX(BDHK2,MATCH($A42,DiemHKII!$B$4:$B$58,0),INDEX($BG$14:$BK$27,MATCH(P$7,$BG$14:$BG$27,0),2))&lt;&gt;"",INDEX(BDHK2,MATCH($A42,DiemHKII!$B$4:$B$58,0),INDEX($BG$14:$BK$27,MATCH(P$7,$BG$14:$BG$27,0),5)),""),"")</f>
        <v/>
      </c>
      <c r="S42" s="34" t="str">
        <f>IF($A42&lt;&gt;"",IF(INDEX(BDHK2,MATCH($A42,DiemHKII!$B$4:$B$58,0),INDEX($BG$14:$BK$27,MATCH(S$7,$BG$14:$BG$27,0),2))&lt;&gt;"",INDEX(BDHK2,MATCH($A42,DiemHKII!$B$4:$B$58,0),INDEX($BG$14:$BK$27,MATCH(S$7,$BG$14:$BG$27,0),3)),""),"")</f>
        <v/>
      </c>
      <c r="T42" s="35" t="str">
        <f>IF($A42&lt;&gt;"",IF(INDEX(BDHK2,MATCH($A42,DiemHKII!$B$4:$B$58,0),INDEX($BG$14:$BK$27,MATCH(S$7,$BG$14:$BG$27,0),2))&lt;&gt;"",INDEX(BDHK2,MATCH($A42,DiemHKII!$B$4:$B$58,0),INDEX($BG$14:$BK$27,MATCH(S$7,$BG$14:$BG$27,0),4)),""),"")</f>
        <v/>
      </c>
      <c r="U42" s="36" t="str">
        <f>IF($A42&lt;&gt;"",IF(INDEX(BDHK2,MATCH($A42,DiemHKII!$B$4:$B$58,0),INDEX($BG$14:$BK$27,MATCH(S$7,$BG$14:$BG$27,0),2))&lt;&gt;"",INDEX(BDHK2,MATCH($A42,DiemHKII!$B$4:$B$58,0),INDEX($BG$14:$BK$27,MATCH(S$7,$BG$14:$BG$27,0),5)),""),"")</f>
        <v/>
      </c>
      <c r="V42" s="34" t="str">
        <f>IF($A42&lt;&gt;"",IF(INDEX(BDHK2,MATCH($A42,DiemHKII!$B$4:$B$58,0),INDEX($BG$14:$BK$27,MATCH(V$7,$BG$14:$BG$27,0),2))&lt;&gt;"",INDEX(BDHK2,MATCH($A42,DiemHKII!$B$4:$B$58,0),INDEX($BG$14:$BK$27,MATCH(V$7,$BG$14:$BG$27,0),3)),""),"")</f>
        <v/>
      </c>
      <c r="W42" s="35" t="str">
        <f>IF($A42&lt;&gt;"",IF(INDEX(BDHK2,MATCH($A42,DiemHKII!$B$4:$B$58,0),INDEX($BG$14:$BK$27,MATCH(V$7,$BG$14:$BG$27,0),2))&lt;&gt;"",INDEX(BDHK2,MATCH($A42,DiemHKII!$B$4:$B$58,0),INDEX($BG$14:$BK$27,MATCH(V$7,$BG$14:$BG$27,0),4)),""),"")</f>
        <v/>
      </c>
      <c r="X42" s="36" t="str">
        <f>IF($A42&lt;&gt;"",IF(INDEX(BDHK2,MATCH($A42,DiemHKII!$B$4:$B$58,0),INDEX($BG$14:$BK$27,MATCH(V$7,$BG$14:$BG$27,0),2))&lt;&gt;"",INDEX(BDHK2,MATCH($A42,DiemHKII!$B$4:$B$58,0),INDEX($BG$14:$BK$27,MATCH(V$7,$BG$14:$BG$27,0),5)),""),"")</f>
        <v/>
      </c>
      <c r="Y42" s="34" t="str">
        <f>IF($A42&lt;&gt;"",IF(INDEX(BDHK2,MATCH($A42,DiemHKII!$B$4:$B$58,0),INDEX($BG$14:$BK$27,MATCH(Y$7,$BG$14:$BG$27,0),2))&lt;&gt;"",INDEX(BDHK2,MATCH($A42,DiemHKII!$B$4:$B$58,0),INDEX($BG$14:$BK$27,MATCH(Y$7,$BG$14:$BG$27,0),3)),""),"")</f>
        <v/>
      </c>
      <c r="Z42" s="35" t="str">
        <f>IF($A42&lt;&gt;"",IF(INDEX(BDHK2,MATCH($A42,DiemHKII!$B$4:$B$58,0),INDEX($BG$14:$BK$27,MATCH(Y$7,$BG$14:$BG$27,0),2))&lt;&gt;"",INDEX(BDHK2,MATCH($A42,DiemHKII!$B$4:$B$58,0),INDEX($BG$14:$BK$27,MATCH(Y$7,$BG$14:$BG$27,0),4)),""),"")</f>
        <v/>
      </c>
      <c r="AA42" s="36" t="str">
        <f>IF($A42&lt;&gt;"",IF(INDEX(BDHK2,MATCH($A42,DiemHKII!$B$4:$B$58,0),INDEX($BG$14:$BK$27,MATCH(Y$7,$BG$14:$BG$27,0),2))&lt;&gt;"",INDEX(BDHK2,MATCH($A42,DiemHKII!$B$4:$B$58,0),INDEX($BG$14:$BK$27,MATCH(Y$7,$BG$14:$BG$27,0),5)),""),"")</f>
        <v/>
      </c>
      <c r="AB42" s="34" t="str">
        <f>IF($A42&lt;&gt;"",IF(INDEX(BDHK2,MATCH($A42,DiemHKII!$B$4:$B$58,0),INDEX($BG$14:$BK$27,MATCH(AB$7,$BG$14:$BG$27,0),2))&lt;&gt;"",INDEX(BDHK2,MATCH($A42,DiemHKII!$B$4:$B$58,0),INDEX($BG$14:$BK$27,MATCH(AB$7,$BG$14:$BG$27,0),3)),""),"")</f>
        <v/>
      </c>
      <c r="AC42" s="35" t="str">
        <f>IF($A42&lt;&gt;"",IF(INDEX(BDHK2,MATCH($A42,DiemHKII!$B$4:$B$58,0),INDEX($BG$14:$BK$27,MATCH(AB$7,$BG$14:$BG$27,0),2))&lt;&gt;"",INDEX(BDHK2,MATCH($A42,DiemHKII!$B$4:$B$58,0),INDEX($BG$14:$BK$27,MATCH(AB$7,$BG$14:$BG$27,0),4)),""),"")</f>
        <v/>
      </c>
      <c r="AD42" s="36" t="str">
        <f>IF($A42&lt;&gt;"",IF(INDEX(BDHK2,MATCH($A42,DiemHKII!$B$4:$B$58,0),INDEX($BG$14:$BK$27,MATCH(AB$7,$BG$14:$BG$27,0),2))&lt;&gt;"",INDEX(BDHK2,MATCH($A42,DiemHKII!$B$4:$B$58,0),INDEX($BG$14:$BK$27,MATCH(AB$7,$BG$14:$BG$27,0),5)),""),"")</f>
        <v/>
      </c>
      <c r="AE42" s="34" t="str">
        <f>IF($A42&lt;&gt;"",IF(INDEX(BDHK2,MATCH($A42,DiemHKII!$B$4:$B$58,0),INDEX($BG$14:$BK$27,MATCH(AE$7,$BG$14:$BG$27,0),2))&lt;&gt;"",INDEX(BDHK2,MATCH($A42,DiemHKII!$B$4:$B$58,0),INDEX($BG$14:$BK$27,MATCH(AE$7,$BG$14:$BG$27,0),3)),""),"")</f>
        <v/>
      </c>
      <c r="AF42" s="35" t="str">
        <f>IF($A42&lt;&gt;"",IF(INDEX(BDHK2,MATCH($A42,DiemHKII!$B$4:$B$58,0),INDEX($BG$14:$BK$27,MATCH(AE$7,$BG$14:$BG$27,0),2))&lt;&gt;"",INDEX(BDHK2,MATCH($A42,DiemHKII!$B$4:$B$58,0),INDEX($BG$14:$BK$27,MATCH(AE$7,$BG$14:$BG$27,0),4)),""),"")</f>
        <v/>
      </c>
      <c r="AG42" s="36" t="str">
        <f>IF($A42&lt;&gt;"",IF(INDEX(BDHK2,MATCH($A42,DiemHKII!$B$4:$B$58,0),INDEX($BG$14:$BK$27,MATCH(AE$7,$BG$14:$BG$27,0),2))&lt;&gt;"",INDEX(BDHK2,MATCH($A42,DiemHKII!$B$4:$B$58,0),INDEX($BG$14:$BK$27,MATCH(AE$7,$BG$14:$BG$27,0),5)),""),"")</f>
        <v/>
      </c>
      <c r="AH42" s="34" t="str">
        <f>IF($A42&lt;&gt;"",IF(INDEX(BDHK2,MATCH($A42,DiemHKII!$B$4:$B$58,0),INDEX($BG$14:$BK$27,MATCH(AH$7,$BG$14:$BG$27,0),2))&lt;&gt;"",INDEX(BDHK2,MATCH($A42,DiemHKII!$B$4:$B$58,0),INDEX($BG$14:$BK$27,MATCH(AH$7,$BG$14:$BG$27,0),3)),""),"")</f>
        <v/>
      </c>
      <c r="AI42" s="35" t="str">
        <f>IF($A42&lt;&gt;"",IF(INDEX(BDHK2,MATCH($A42,DiemHKII!$B$4:$B$58,0),INDEX($BG$14:$BK$27,MATCH(AH$7,$BG$14:$BG$27,0),2))&lt;&gt;"",INDEX(BDHK2,MATCH($A42,DiemHKII!$B$4:$B$58,0),INDEX($BG$14:$BK$27,MATCH(AH$7,$BG$14:$BG$27,0),4)),""),"")</f>
        <v/>
      </c>
      <c r="AJ42" s="36" t="str">
        <f>IF($A42&lt;&gt;"",IF(INDEX(BDHK2,MATCH($A42,DiemHKII!$B$4:$B$58,0),INDEX($BG$14:$BK$27,MATCH(AH$7,$BG$14:$BG$27,0),2))&lt;&gt;"",INDEX(BDHK2,MATCH($A42,DiemHKII!$B$4:$B$58,0),INDEX($BG$14:$BK$27,MATCH(AH$7,$BG$14:$BG$27,0),5)),""),"")</f>
        <v/>
      </c>
      <c r="AK42" s="37" t="str">
        <f>IF($A42&lt;&gt;"",IF(INDEX(BDHK2,MATCH($A42,DiemHKII!$B$4:$B$58,0),INDEX($BG$14:$BK$27,MATCH(AK$7,$BG$14:$BG$27,0),2))&lt;&gt;"",INDEX(BDHK2,MATCH($A42,DiemHKII!$B$4:$B$58,0),INDEX($BG$14:$BK$27,MATCH(AK$7,$BG$14:$BG$27,0),3)),""),"")</f>
        <v/>
      </c>
      <c r="AL42" s="8" t="str">
        <f>IF($A42&lt;&gt;"",IF(INDEX(BDHK2,MATCH($A42,DiemHKII!$B$4:$B$58,0),INDEX($BG$14:$BK$27,MATCH(AK$7,$BG$14:$BG$27,0),2))&lt;&gt;"",INDEX(BDHK2,MATCH($A42,DiemHKII!$B$4:$B$58,0),INDEX($BG$14:$BK$27,MATCH(AK$7,$BG$14:$BG$27,0),4)),""),"")</f>
        <v/>
      </c>
      <c r="AM42" s="38" t="str">
        <f>IF($A42&lt;&gt;"",IF(INDEX(BDHK2,MATCH($A42,DiemHKII!$B$4:$B$58,0),INDEX($BG$14:$BK$27,MATCH(AK$7,$BG$14:$BG$27,0),2))&lt;&gt;"",INDEX(BDHK2,MATCH($A42,DiemHKII!$B$4:$B$58,0),INDEX($BG$14:$BK$27,MATCH(AK$7,$BG$14:$BG$27,0),5)),""),"")</f>
        <v/>
      </c>
      <c r="AN42" s="34" t="str">
        <f>IF($A42&lt;&gt;"",IF(INDEX(BDHK2,MATCH($A42,DiemHKII!$B$4:$B$58,0),INDEX($BG$14:$BK$27,MATCH(AN$7,$BG$14:$BG$27,0),2))&lt;&gt;"",INDEX(BDHK2,MATCH($A42,DiemHKII!$B$4:$B$58,0),INDEX($BG$14:$BK$27,MATCH(AN$7,$BG$14:$BG$27,0),3)),""),"")</f>
        <v/>
      </c>
      <c r="AO42" s="35" t="str">
        <f>IF($A42&lt;&gt;"",IF(INDEX(BDHK2,MATCH($A42,DiemHKII!$B$4:$B$58,0),INDEX($BG$14:$BK$27,MATCH(AN$7,$BG$14:$BG$27,0),2))&lt;&gt;"",INDEX(BDHK2,MATCH($A42,DiemHKII!$B$4:$B$58,0),INDEX($BG$14:$BK$27,MATCH(AN$7,$BG$14:$BG$27,0),4)),""),"")</f>
        <v/>
      </c>
      <c r="AP42" s="36" t="str">
        <f>IF($A42&lt;&gt;"",IF(INDEX(BDHK2,MATCH($A42,DiemHKII!$B$4:$B$58,0),INDEX($BG$14:$BK$27,MATCH(AN$7,$BG$14:$BG$27,0),2))&lt;&gt;"",INDEX(BDHK2,MATCH($A42,DiemHKII!$B$4:$B$58,0),INDEX($BG$14:$BK$27,MATCH(AN$7,$BG$14:$BG$27,0),5)),""),"")</f>
        <v/>
      </c>
      <c r="AQ42" s="34" t="str">
        <f>IF($A42&lt;&gt;"",IF(INDEX(BDHK2,MATCH($A42,DiemHKII!$B$4:$B$58,0),INDEX($BG$14:$BK$27,MATCH(AQ$7,$BG$14:$BG$27,0),2))&lt;&gt;"",INDEX(BDHK2,MATCH($A42,DiemHKII!$B$4:$B$58,0),INDEX($BG$14:$BK$27,MATCH(AQ$7,$BG$14:$BG$27,0),3)),""),"")</f>
        <v/>
      </c>
      <c r="AR42" s="35" t="str">
        <f>IF($A42&lt;&gt;"",IF(INDEX(BDHK2,MATCH($A42,DiemHKII!$B$4:$B$58,0),INDEX($BG$14:$BK$27,MATCH(AQ$7,$BG$14:$BG$27,0),2))&lt;&gt;"",INDEX(BDHK2,MATCH($A42,DiemHKII!$B$4:$B$58,0),INDEX($BG$14:$BK$27,MATCH(AQ$7,$BG$14:$BG$27,0),4)),""),"")</f>
        <v/>
      </c>
      <c r="AS42" s="36" t="str">
        <f>IF($A42&lt;&gt;"",IF(INDEX(BDHK2,MATCH($A42,DiemHKII!$B$4:$B$58,0),INDEX($BG$14:$BK$27,MATCH(AQ$7,$BG$14:$BG$27,0),2))&lt;&gt;"",INDEX(BDHK2,MATCH($A42,DiemHKII!$B$4:$B$58,0),INDEX($BG$14:$BK$27,MATCH(AQ$7,$BG$14:$BG$27,0),5)),""),"")</f>
        <v/>
      </c>
      <c r="AT42" s="34">
        <f>IFERROR(IF($A42&gt;=1,IF(INDEX(THHKI!$V$8:$Y$62,MATCH($BL42,THHKI!$AG$8:$AG$62,0),1)&lt;&gt;"",INDEX(THHKI!$V$8:$Y$62,MATCH($BL42,THHKI!$AG$8:$AG$62,0),1),""),""),"")</f>
        <v>9.3000000000000007</v>
      </c>
      <c r="AU42" s="35" t="str">
        <f>IF($A42&gt;=1,IF(INDEX(THHKII!$V$8:$Y$62,MATCH($BL42,THHKII!$AG$8:$AG$62,0),1)&lt;&gt;"",INDEX(THHKII!$V$8:$Y$62,MATCH($BL42,THHKII!$AG$8:$AG$62,0),1),""),"")</f>
        <v/>
      </c>
      <c r="AV42" s="39" t="str">
        <f>IF($A42&gt;=1,IF(INDEX(THCN!$V$8:$Y$62,MATCH($BL42,THCN!$AG$8:$AG$62,0),1)&lt;&gt;"",INDEX(THCN!$V$8:$Y$62,MATCH($BL42,THCN!$AG$8:$AG$62,0),1),""),"")</f>
        <v/>
      </c>
      <c r="AW42" s="40" t="str">
        <f>IFERROR(IF($A42&gt;=1,IF(INDEX(THHKI!$V$8:$Y$62,MATCH($BL42,THHKI!$AG$8:$AG$62,0),2)&lt;&gt;"",INDEX(THHKI!$V$8:$Y$62,MATCH($BL42,THHKI!$AG$8:$AG$62,0),2),""),""),"")</f>
        <v>Giỏi</v>
      </c>
      <c r="AX42" s="8" t="str">
        <f>IF($A42&gt;=1,IF(INDEX(THHKII!$V$8:$Y$62,MATCH($BL42,THHKII!$AG$8:$AG$62,0),2)&lt;&gt;"",INDEX(THHKII!$V$8:$Y$62,MATCH($BL42,THHKII!$AG$8:$AG$62,0),2),""),"")</f>
        <v/>
      </c>
      <c r="AY42" s="467" t="str">
        <f>IF($A42&gt;=1,IF(INDEX(THCN!$V$8:$Y$62,MATCH($BL42,THCN!$AG$8:$AG$62,0),2)&lt;&gt;"",INDEX(THCN!$V$8:$Y$62,MATCH($BL42,THCN!$AG$8:$AG$62,0),2),""),"")</f>
        <v/>
      </c>
      <c r="AZ42" s="37" t="str">
        <f>IFERROR(IF($A42&gt;=1,IF(INDEX(THHKI!$V$8:$Y$62,MATCH($BL42,THHKI!$AG$8:$AG$62,0),3)&lt;&gt;"",INDEX(THHKI!$V$8:$Y$62,MATCH($BL42,THHKI!$AG$8:$AG$62,0),3),""),""),"")</f>
        <v>Tốt</v>
      </c>
      <c r="BA42" s="8" t="str">
        <f>IF($A42&gt;=1,IF(INDEX(THHKII!$V$8:$Y$62,MATCH($BL42,THHKII!$AG$8:$AG$62,0),3)&lt;&gt;"",INDEX(THHKII!$V$8:$Y$62,MATCH($BL42,THHKII!$AG$8:$AG$62,0),3),""),"")</f>
        <v/>
      </c>
      <c r="BB42" s="41" t="str">
        <f>IF($A42&gt;=1,IF(INDEX(THCN!$V$8:$Y$62,MATCH($BL42,THCN!$AG$8:$AG$62,0),3)&lt;&gt;"",INDEX(THCN!$V$8:$Y$62,MATCH($BL42,THCN!$AG$8:$AG$62,0),3),""),"")</f>
        <v/>
      </c>
      <c r="BC42" s="42" t="str">
        <f>IF($A42&gt;=1,IF(INDEX(THCN!$V$8:$Y$62,MATCH($BL42,THCN!$AG$8:$AG$62,0),4)&lt;&gt;"",INDEX(THCN!$V$8:$Y$62,MATCH($BL42,THCN!$AG$8:$AG$62,0),4),""),"")</f>
        <v/>
      </c>
      <c r="BE42" s="31" t="str">
        <f>IFERROR(IF($A42&gt;=1,IF(INDEX(THHKI!$V$8:$Y$62,MATCH($BL42,THHKI!$AG$8:$AG$62,0),4)&lt;&gt;"",INDEX(THHKI!$V$8:$Y$62,MATCH($BL42,THHKI!$AG$8:$AG$62,0),4),""),""),"")</f>
        <v>HSG</v>
      </c>
      <c r="BF42" s="42" t="str">
        <f>IF($A42&gt;=1,IF(INDEX(THHKII!$V$8:$Y$62,MATCH($BL42,THHKII!$AG$8:$AG$62,0),4)&lt;&gt;"",INDEX(THHKII!$V$8:$Y$62,MATCH($BL42,THHKII!$AG$8:$AG$62,0),4),""),"")</f>
        <v/>
      </c>
      <c r="BL42" s="30" t="str">
        <f>IF($A42&lt;&gt;"",INDEX(DiemHKII!$B$4:$K$58,MATCH($A42,DiemHKII!$B$4:$B$58,0),2),"")</f>
        <v>12A1Trần Kim BảoTrân05/06/2004</v>
      </c>
    </row>
    <row r="43" spans="1:64" s="30" customFormat="1" ht="29.1" customHeight="1" thickBot="1">
      <c r="A43" s="43">
        <f>IF(A42&lt;MAX(DiemHKII!$B$4:$B$58),A42+1,"")</f>
        <v>35</v>
      </c>
      <c r="B43" s="44" t="str">
        <f>IF($A43&lt;&gt;"",PROPER(INDEX(DiemHKII!$B$4:$K$58,MATCH($A43,DiemHKII!$B$4:$B$58,0),4)),"")</f>
        <v>Phạm Đức</v>
      </c>
      <c r="C43" s="45" t="str">
        <f>IF($A43&lt;&gt;"",PROPER(INDEX(DiemHKII!$B$4:$K$58,MATCH($A43,DiemHKII!$B$4:$B$58,0),5)),"")</f>
        <v>Trung</v>
      </c>
      <c r="D43" s="46" t="str">
        <f>IF($A43&lt;&gt;"",IF(INDEX(BDHK2,MATCH($A43,DiemHKII!$B$4:$B$58,0),INDEX($BG$14:$BK$27,MATCH(D$7,$BG$14:$BG$27,0),2))&lt;&gt;"",INDEX(BDHK2,MATCH($A43,DiemHKII!$B$4:$B$58,0),INDEX($BG$14:$BK$27,MATCH(D$7,$BG$14:$BG$27,0),3)),""),"")</f>
        <v/>
      </c>
      <c r="E43" s="47" t="str">
        <f>IF($A43&lt;&gt;"",IF(INDEX(BDHK2,MATCH($A43,DiemHKII!$B$4:$B$58,0),INDEX($BG$14:$BK$27,MATCH(D$7,$BG$14:$BG$27,0),2))&lt;&gt;"",INDEX(BDHK2,MATCH($A43,DiemHKII!$B$4:$B$58,0),INDEX($BG$14:$BK$27,MATCH(D$7,$BG$14:$BG$27,0),4)),""),"")</f>
        <v/>
      </c>
      <c r="F43" s="48" t="str">
        <f>IF($A43&lt;&gt;"",IF(INDEX(BDHK2,MATCH($A43,DiemHKII!$B$4:$B$58,0),INDEX($BG$14:$BK$27,MATCH(D$7,$BG$14:$BG$27,0),2))&lt;&gt;"",INDEX(BDHK2,MATCH($A43,DiemHKII!$B$4:$B$58,0),INDEX($BG$14:$BK$27,MATCH(D$7,$BG$14:$BG$27,0),5)),""),"")</f>
        <v/>
      </c>
      <c r="G43" s="46" t="str">
        <f>IF($A43&lt;&gt;"",IF(INDEX(BDHK2,MATCH($A43,DiemHKII!$B$4:$B$58,0),INDEX($BG$14:$BK$27,MATCH(G$7,$BG$14:$BG$27,0),2))&lt;&gt;"",INDEX(BDHK2,MATCH($A43,DiemHKII!$B$4:$B$58,0),INDEX($BG$14:$BK$27,MATCH(G$7,$BG$14:$BG$27,0),3)),""),"")</f>
        <v/>
      </c>
      <c r="H43" s="47" t="str">
        <f>IF($A43&lt;&gt;"",IF(INDEX(BDHK2,MATCH($A43,DiemHKII!$B$4:$B$58,0),INDEX($BG$14:$BK$27,MATCH(G$7,$BG$14:$BG$27,0),2))&lt;&gt;"",INDEX(BDHK2,MATCH($A43,DiemHKII!$B$4:$B$58,0),INDEX($BG$14:$BK$27,MATCH(G$7,$BG$14:$BG$27,0),4)),""),"")</f>
        <v/>
      </c>
      <c r="I43" s="48" t="str">
        <f>IF($A43&lt;&gt;"",IF(INDEX(BDHK2,MATCH($A43,DiemHKII!$B$4:$B$58,0),INDEX($BG$14:$BK$27,MATCH(G$7,$BG$14:$BG$27,0),2))&lt;&gt;"",INDEX(BDHK2,MATCH($A43,DiemHKII!$B$4:$B$58,0),INDEX($BG$14:$BK$27,MATCH(G$7,$BG$14:$BG$27,0),5)),""),"")</f>
        <v/>
      </c>
      <c r="J43" s="46" t="str">
        <f>IF($A43&lt;&gt;"",IF(INDEX(BDHK2,MATCH($A43,DiemHKII!$B$4:$B$58,0),INDEX($BG$14:$BK$27,MATCH(J$7,$BG$14:$BG$27,0),2))&lt;&gt;"",INDEX(BDHK2,MATCH($A43,DiemHKII!$B$4:$B$58,0),INDEX($BG$14:$BK$27,MATCH(J$7,$BG$14:$BG$27,0),3)),""),"")</f>
        <v/>
      </c>
      <c r="K43" s="47" t="str">
        <f>IF($A43&lt;&gt;"",IF(INDEX(BDHK2,MATCH($A43,DiemHKII!$B$4:$B$58,0),INDEX($BG$14:$BK$27,MATCH(J$7,$BG$14:$BG$27,0),2))&lt;&gt;"",INDEX(BDHK2,MATCH($A43,DiemHKII!$B$4:$B$58,0),INDEX($BG$14:$BK$27,MATCH(J$7,$BG$14:$BG$27,0),4)),""),"")</f>
        <v/>
      </c>
      <c r="L43" s="48" t="str">
        <f>IF($A43&lt;&gt;"",IF(INDEX(BDHK2,MATCH($A43,DiemHKII!$B$4:$B$58,0),INDEX($BG$14:$BK$27,MATCH(J$7,$BG$14:$BG$27,0),2))&lt;&gt;"",INDEX(BDHK2,MATCH($A43,DiemHKII!$B$4:$B$58,0),INDEX($BG$14:$BK$27,MATCH(J$7,$BG$14:$BG$27,0),5)),""),"")</f>
        <v/>
      </c>
      <c r="M43" s="46" t="str">
        <f>IF($A43&lt;&gt;"",IF(INDEX(BDHK2,MATCH($A43,DiemHKII!$B$4:$B$58,0),INDEX($BG$14:$BK$27,MATCH(M$7,$BG$14:$BG$27,0),2))&lt;&gt;"",INDEX(BDHK2,MATCH($A43,DiemHKII!$B$4:$B$58,0),INDEX($BG$14:$BK$27,MATCH(M$7,$BG$14:$BG$27,0),3)),""),"")</f>
        <v/>
      </c>
      <c r="N43" s="47" t="str">
        <f>IF($A43&lt;&gt;"",IF(INDEX(BDHK2,MATCH($A43,DiemHKII!$B$4:$B$58,0),INDEX($BG$14:$BK$27,MATCH(M$7,$BG$14:$BG$27,0),2))&lt;&gt;"",INDEX(BDHK2,MATCH($A43,DiemHKII!$B$4:$B$58,0),INDEX($BG$14:$BK$27,MATCH(M$7,$BG$14:$BG$27,0),4)),""),"")</f>
        <v/>
      </c>
      <c r="O43" s="48" t="str">
        <f>IF($A43&lt;&gt;"",IF(INDEX(BDHK2,MATCH($A43,DiemHKII!$B$4:$B$58,0),INDEX($BG$14:$BK$27,MATCH(M$7,$BG$14:$BG$27,0),2))&lt;&gt;"",INDEX(BDHK2,MATCH($A43,DiemHKII!$B$4:$B$58,0),INDEX($BG$14:$BK$27,MATCH(M$7,$BG$14:$BG$27,0),5)),""),"")</f>
        <v/>
      </c>
      <c r="P43" s="46" t="str">
        <f>IF($A43&lt;&gt;"",IF(INDEX(BDHK2,MATCH($A43,DiemHKII!$B$4:$B$58,0),INDEX($BG$14:$BK$27,MATCH(P$7,$BG$14:$BG$27,0),2))&lt;&gt;"",INDEX(BDHK2,MATCH($A43,DiemHKII!$B$4:$B$58,0),INDEX($BG$14:$BK$27,MATCH(P$7,$BG$14:$BG$27,0),3)),""),"")</f>
        <v/>
      </c>
      <c r="Q43" s="47" t="str">
        <f>IF($A43&lt;&gt;"",IF(INDEX(BDHK2,MATCH($A43,DiemHKII!$B$4:$B$58,0),INDEX($BG$14:$BK$27,MATCH(P$7,$BG$14:$BG$27,0),2))&lt;&gt;"",INDEX(BDHK2,MATCH($A43,DiemHKII!$B$4:$B$58,0),INDEX($BG$14:$BK$27,MATCH(P$7,$BG$14:$BG$27,0),4)),""),"")</f>
        <v/>
      </c>
      <c r="R43" s="48" t="str">
        <f>IF($A43&lt;&gt;"",IF(INDEX(BDHK2,MATCH($A43,DiemHKII!$B$4:$B$58,0),INDEX($BG$14:$BK$27,MATCH(P$7,$BG$14:$BG$27,0),2))&lt;&gt;"",INDEX(BDHK2,MATCH($A43,DiemHKII!$B$4:$B$58,0),INDEX($BG$14:$BK$27,MATCH(P$7,$BG$14:$BG$27,0),5)),""),"")</f>
        <v/>
      </c>
      <c r="S43" s="46" t="str">
        <f>IF($A43&lt;&gt;"",IF(INDEX(BDHK2,MATCH($A43,DiemHKII!$B$4:$B$58,0),INDEX($BG$14:$BK$27,MATCH(S$7,$BG$14:$BG$27,0),2))&lt;&gt;"",INDEX(BDHK2,MATCH($A43,DiemHKII!$B$4:$B$58,0),INDEX($BG$14:$BK$27,MATCH(S$7,$BG$14:$BG$27,0),3)),""),"")</f>
        <v/>
      </c>
      <c r="T43" s="47" t="str">
        <f>IF($A43&lt;&gt;"",IF(INDEX(BDHK2,MATCH($A43,DiemHKII!$B$4:$B$58,0),INDEX($BG$14:$BK$27,MATCH(S$7,$BG$14:$BG$27,0),2))&lt;&gt;"",INDEX(BDHK2,MATCH($A43,DiemHKII!$B$4:$B$58,0),INDEX($BG$14:$BK$27,MATCH(S$7,$BG$14:$BG$27,0),4)),""),"")</f>
        <v/>
      </c>
      <c r="U43" s="48" t="str">
        <f>IF($A43&lt;&gt;"",IF(INDEX(BDHK2,MATCH($A43,DiemHKII!$B$4:$B$58,0),INDEX($BG$14:$BK$27,MATCH(S$7,$BG$14:$BG$27,0),2))&lt;&gt;"",INDEX(BDHK2,MATCH($A43,DiemHKII!$B$4:$B$58,0),INDEX($BG$14:$BK$27,MATCH(S$7,$BG$14:$BG$27,0),5)),""),"")</f>
        <v/>
      </c>
      <c r="V43" s="46" t="str">
        <f>IF($A43&lt;&gt;"",IF(INDEX(BDHK2,MATCH($A43,DiemHKII!$B$4:$B$58,0),INDEX($BG$14:$BK$27,MATCH(V$7,$BG$14:$BG$27,0),2))&lt;&gt;"",INDEX(BDHK2,MATCH($A43,DiemHKII!$B$4:$B$58,0),INDEX($BG$14:$BK$27,MATCH(V$7,$BG$14:$BG$27,0),3)),""),"")</f>
        <v/>
      </c>
      <c r="W43" s="47" t="str">
        <f>IF($A43&lt;&gt;"",IF(INDEX(BDHK2,MATCH($A43,DiemHKII!$B$4:$B$58,0),INDEX($BG$14:$BK$27,MATCH(V$7,$BG$14:$BG$27,0),2))&lt;&gt;"",INDEX(BDHK2,MATCH($A43,DiemHKII!$B$4:$B$58,0),INDEX($BG$14:$BK$27,MATCH(V$7,$BG$14:$BG$27,0),4)),""),"")</f>
        <v/>
      </c>
      <c r="X43" s="48" t="str">
        <f>IF($A43&lt;&gt;"",IF(INDEX(BDHK2,MATCH($A43,DiemHKII!$B$4:$B$58,0),INDEX($BG$14:$BK$27,MATCH(V$7,$BG$14:$BG$27,0),2))&lt;&gt;"",INDEX(BDHK2,MATCH($A43,DiemHKII!$B$4:$B$58,0),INDEX($BG$14:$BK$27,MATCH(V$7,$BG$14:$BG$27,0),5)),""),"")</f>
        <v/>
      </c>
      <c r="Y43" s="46" t="str">
        <f>IF($A43&lt;&gt;"",IF(INDEX(BDHK2,MATCH($A43,DiemHKII!$B$4:$B$58,0),INDEX($BG$14:$BK$27,MATCH(Y$7,$BG$14:$BG$27,0),2))&lt;&gt;"",INDEX(BDHK2,MATCH($A43,DiemHKII!$B$4:$B$58,0),INDEX($BG$14:$BK$27,MATCH(Y$7,$BG$14:$BG$27,0),3)),""),"")</f>
        <v/>
      </c>
      <c r="Z43" s="47" t="str">
        <f>IF($A43&lt;&gt;"",IF(INDEX(BDHK2,MATCH($A43,DiemHKII!$B$4:$B$58,0),INDEX($BG$14:$BK$27,MATCH(Y$7,$BG$14:$BG$27,0),2))&lt;&gt;"",INDEX(BDHK2,MATCH($A43,DiemHKII!$B$4:$B$58,0),INDEX($BG$14:$BK$27,MATCH(Y$7,$BG$14:$BG$27,0),4)),""),"")</f>
        <v/>
      </c>
      <c r="AA43" s="48" t="str">
        <f>IF($A43&lt;&gt;"",IF(INDEX(BDHK2,MATCH($A43,DiemHKII!$B$4:$B$58,0),INDEX($BG$14:$BK$27,MATCH(Y$7,$BG$14:$BG$27,0),2))&lt;&gt;"",INDEX(BDHK2,MATCH($A43,DiemHKII!$B$4:$B$58,0),INDEX($BG$14:$BK$27,MATCH(Y$7,$BG$14:$BG$27,0),5)),""),"")</f>
        <v/>
      </c>
      <c r="AB43" s="46" t="str">
        <f>IF($A43&lt;&gt;"",IF(INDEX(BDHK2,MATCH($A43,DiemHKII!$B$4:$B$58,0),INDEX($BG$14:$BK$27,MATCH(AB$7,$BG$14:$BG$27,0),2))&lt;&gt;"",INDEX(BDHK2,MATCH($A43,DiemHKII!$B$4:$B$58,0),INDEX($BG$14:$BK$27,MATCH(AB$7,$BG$14:$BG$27,0),3)),""),"")</f>
        <v/>
      </c>
      <c r="AC43" s="47" t="str">
        <f>IF($A43&lt;&gt;"",IF(INDEX(BDHK2,MATCH($A43,DiemHKII!$B$4:$B$58,0),INDEX($BG$14:$BK$27,MATCH(AB$7,$BG$14:$BG$27,0),2))&lt;&gt;"",INDEX(BDHK2,MATCH($A43,DiemHKII!$B$4:$B$58,0),INDEX($BG$14:$BK$27,MATCH(AB$7,$BG$14:$BG$27,0),4)),""),"")</f>
        <v/>
      </c>
      <c r="AD43" s="48" t="str">
        <f>IF($A43&lt;&gt;"",IF(INDEX(BDHK2,MATCH($A43,DiemHKII!$B$4:$B$58,0),INDEX($BG$14:$BK$27,MATCH(AB$7,$BG$14:$BG$27,0),2))&lt;&gt;"",INDEX(BDHK2,MATCH($A43,DiemHKII!$B$4:$B$58,0),INDEX($BG$14:$BK$27,MATCH(AB$7,$BG$14:$BG$27,0),5)),""),"")</f>
        <v/>
      </c>
      <c r="AE43" s="46" t="str">
        <f>IF($A43&lt;&gt;"",IF(INDEX(BDHK2,MATCH($A43,DiemHKII!$B$4:$B$58,0),INDEX($BG$14:$BK$27,MATCH(AE$7,$BG$14:$BG$27,0),2))&lt;&gt;"",INDEX(BDHK2,MATCH($A43,DiemHKII!$B$4:$B$58,0),INDEX($BG$14:$BK$27,MATCH(AE$7,$BG$14:$BG$27,0),3)),""),"")</f>
        <v/>
      </c>
      <c r="AF43" s="47" t="str">
        <f>IF($A43&lt;&gt;"",IF(INDEX(BDHK2,MATCH($A43,DiemHKII!$B$4:$B$58,0),INDEX($BG$14:$BK$27,MATCH(AE$7,$BG$14:$BG$27,0),2))&lt;&gt;"",INDEX(BDHK2,MATCH($A43,DiemHKII!$B$4:$B$58,0),INDEX($BG$14:$BK$27,MATCH(AE$7,$BG$14:$BG$27,0),4)),""),"")</f>
        <v/>
      </c>
      <c r="AG43" s="48" t="str">
        <f>IF($A43&lt;&gt;"",IF(INDEX(BDHK2,MATCH($A43,DiemHKII!$B$4:$B$58,0),INDEX($BG$14:$BK$27,MATCH(AE$7,$BG$14:$BG$27,0),2))&lt;&gt;"",INDEX(BDHK2,MATCH($A43,DiemHKII!$B$4:$B$58,0),INDEX($BG$14:$BK$27,MATCH(AE$7,$BG$14:$BG$27,0),5)),""),"")</f>
        <v/>
      </c>
      <c r="AH43" s="46" t="str">
        <f>IF($A43&lt;&gt;"",IF(INDEX(BDHK2,MATCH($A43,DiemHKII!$B$4:$B$58,0),INDEX($BG$14:$BK$27,MATCH(AH$7,$BG$14:$BG$27,0),2))&lt;&gt;"",INDEX(BDHK2,MATCH($A43,DiemHKII!$B$4:$B$58,0),INDEX($BG$14:$BK$27,MATCH(AH$7,$BG$14:$BG$27,0),3)),""),"")</f>
        <v/>
      </c>
      <c r="AI43" s="47" t="str">
        <f>IF($A43&lt;&gt;"",IF(INDEX(BDHK2,MATCH($A43,DiemHKII!$B$4:$B$58,0),INDEX($BG$14:$BK$27,MATCH(AH$7,$BG$14:$BG$27,0),2))&lt;&gt;"",INDEX(BDHK2,MATCH($A43,DiemHKII!$B$4:$B$58,0),INDEX($BG$14:$BK$27,MATCH(AH$7,$BG$14:$BG$27,0),4)),""),"")</f>
        <v/>
      </c>
      <c r="AJ43" s="48" t="str">
        <f>IF($A43&lt;&gt;"",IF(INDEX(BDHK2,MATCH($A43,DiemHKII!$B$4:$B$58,0),INDEX($BG$14:$BK$27,MATCH(AH$7,$BG$14:$BG$27,0),2))&lt;&gt;"",INDEX(BDHK2,MATCH($A43,DiemHKII!$B$4:$B$58,0),INDEX($BG$14:$BK$27,MATCH(AH$7,$BG$14:$BG$27,0),5)),""),"")</f>
        <v/>
      </c>
      <c r="AK43" s="49" t="str">
        <f>IF($A43&lt;&gt;"",IF(INDEX(BDHK2,MATCH($A43,DiemHKII!$B$4:$B$58,0),INDEX($BG$14:$BK$27,MATCH(AK$7,$BG$14:$BG$27,0),2))&lt;&gt;"",INDEX(BDHK2,MATCH($A43,DiemHKII!$B$4:$B$58,0),INDEX($BG$14:$BK$27,MATCH(AK$7,$BG$14:$BG$27,0),3)),""),"")</f>
        <v/>
      </c>
      <c r="AL43" s="50" t="str">
        <f>IF($A43&lt;&gt;"",IF(INDEX(BDHK2,MATCH($A43,DiemHKII!$B$4:$B$58,0),INDEX($BG$14:$BK$27,MATCH(AK$7,$BG$14:$BG$27,0),2))&lt;&gt;"",INDEX(BDHK2,MATCH($A43,DiemHKII!$B$4:$B$58,0),INDEX($BG$14:$BK$27,MATCH(AK$7,$BG$14:$BG$27,0),4)),""),"")</f>
        <v/>
      </c>
      <c r="AM43" s="51" t="str">
        <f>IF($A43&lt;&gt;"",IF(INDEX(BDHK2,MATCH($A43,DiemHKII!$B$4:$B$58,0),INDEX($BG$14:$BK$27,MATCH(AK$7,$BG$14:$BG$27,0),2))&lt;&gt;"",INDEX(BDHK2,MATCH($A43,DiemHKII!$B$4:$B$58,0),INDEX($BG$14:$BK$27,MATCH(AK$7,$BG$14:$BG$27,0),5)),""),"")</f>
        <v/>
      </c>
      <c r="AN43" s="46" t="str">
        <f>IF($A43&lt;&gt;"",IF(INDEX(BDHK2,MATCH($A43,DiemHKII!$B$4:$B$58,0),INDEX($BG$14:$BK$27,MATCH(AN$7,$BG$14:$BG$27,0),2))&lt;&gt;"",INDEX(BDHK2,MATCH($A43,DiemHKII!$B$4:$B$58,0),INDEX($BG$14:$BK$27,MATCH(AN$7,$BG$14:$BG$27,0),3)),""),"")</f>
        <v/>
      </c>
      <c r="AO43" s="47" t="str">
        <f>IF($A43&lt;&gt;"",IF(INDEX(BDHK2,MATCH($A43,DiemHKII!$B$4:$B$58,0),INDEX($BG$14:$BK$27,MATCH(AN$7,$BG$14:$BG$27,0),2))&lt;&gt;"",INDEX(BDHK2,MATCH($A43,DiemHKII!$B$4:$B$58,0),INDEX($BG$14:$BK$27,MATCH(AN$7,$BG$14:$BG$27,0),4)),""),"")</f>
        <v/>
      </c>
      <c r="AP43" s="48" t="str">
        <f>IF($A43&lt;&gt;"",IF(INDEX(BDHK2,MATCH($A43,DiemHKII!$B$4:$B$58,0),INDEX($BG$14:$BK$27,MATCH(AN$7,$BG$14:$BG$27,0),2))&lt;&gt;"",INDEX(BDHK2,MATCH($A43,DiemHKII!$B$4:$B$58,0),INDEX($BG$14:$BK$27,MATCH(AN$7,$BG$14:$BG$27,0),5)),""),"")</f>
        <v/>
      </c>
      <c r="AQ43" s="46" t="str">
        <f>IF($A43&lt;&gt;"",IF(INDEX(BDHK2,MATCH($A43,DiemHKII!$B$4:$B$58,0),INDEX($BG$14:$BK$27,MATCH(AQ$7,$BG$14:$BG$27,0),2))&lt;&gt;"",INDEX(BDHK2,MATCH($A43,DiemHKII!$B$4:$B$58,0),INDEX($BG$14:$BK$27,MATCH(AQ$7,$BG$14:$BG$27,0),3)),""),"")</f>
        <v/>
      </c>
      <c r="AR43" s="47" t="str">
        <f>IF($A43&lt;&gt;"",IF(INDEX(BDHK2,MATCH($A43,DiemHKII!$B$4:$B$58,0),INDEX($BG$14:$BK$27,MATCH(AQ$7,$BG$14:$BG$27,0),2))&lt;&gt;"",INDEX(BDHK2,MATCH($A43,DiemHKII!$B$4:$B$58,0),INDEX($BG$14:$BK$27,MATCH(AQ$7,$BG$14:$BG$27,0),4)),""),"")</f>
        <v/>
      </c>
      <c r="AS43" s="48" t="str">
        <f>IF($A43&lt;&gt;"",IF(INDEX(BDHK2,MATCH($A43,DiemHKII!$B$4:$B$58,0),INDEX($BG$14:$BK$27,MATCH(AQ$7,$BG$14:$BG$27,0),2))&lt;&gt;"",INDEX(BDHK2,MATCH($A43,DiemHKII!$B$4:$B$58,0),INDEX($BG$14:$BK$27,MATCH(AQ$7,$BG$14:$BG$27,0),5)),""),"")</f>
        <v/>
      </c>
      <c r="AT43" s="46">
        <f>IFERROR(IF($A43&gt;=1,IF(INDEX(THHKI!$V$8:$Y$62,MATCH($BL43,THHKI!$AG$8:$AG$62,0),1)&lt;&gt;"",INDEX(THHKI!$V$8:$Y$62,MATCH($BL43,THHKI!$AG$8:$AG$62,0),1),""),""),"")</f>
        <v>9.4</v>
      </c>
      <c r="AU43" s="47" t="str">
        <f>IF($A43&gt;=1,IF(INDEX(THHKII!$V$8:$Y$62,MATCH($BL43,THHKII!$AG$8:$AG$62,0),1)&lt;&gt;"",INDEX(THHKII!$V$8:$Y$62,MATCH($BL43,THHKII!$AG$8:$AG$62,0),1),""),"")</f>
        <v/>
      </c>
      <c r="AV43" s="52" t="str">
        <f>IF($A43&gt;=1,IF(INDEX(THCN!$V$8:$Y$62,MATCH($BL43,THCN!$AG$8:$AG$62,0),1)&lt;&gt;"",INDEX(THCN!$V$8:$Y$62,MATCH($BL43,THCN!$AG$8:$AG$62,0),1),""),"")</f>
        <v/>
      </c>
      <c r="AW43" s="53" t="str">
        <f>IFERROR(IF($A43&gt;=1,IF(INDEX(THHKI!$V$8:$Y$62,MATCH($BL43,THHKI!$AG$8:$AG$62,0),2)&lt;&gt;"",INDEX(THHKI!$V$8:$Y$62,MATCH($BL43,THHKI!$AG$8:$AG$62,0),2),""),""),"")</f>
        <v>Giỏi</v>
      </c>
      <c r="AX43" s="50" t="str">
        <f>IF($A43&gt;=1,IF(INDEX(THHKII!$V$8:$Y$62,MATCH($BL43,THHKII!$AG$8:$AG$62,0),2)&lt;&gt;"",INDEX(THHKII!$V$8:$Y$62,MATCH($BL43,THHKII!$AG$8:$AG$62,0),2),""),"")</f>
        <v/>
      </c>
      <c r="AY43" s="54" t="str">
        <f>IF($A43&gt;=1,IF(INDEX(THCN!$V$8:$Y$62,MATCH($BL43,THCN!$AG$8:$AG$62,0),2)&lt;&gt;"",INDEX(THCN!$V$8:$Y$62,MATCH($BL43,THCN!$AG$8:$AG$62,0),2),""),"")</f>
        <v/>
      </c>
      <c r="AZ43" s="49" t="str">
        <f>IFERROR(IF($A43&gt;=1,IF(INDEX(THHKI!$V$8:$Y$62,MATCH($BL43,THHKI!$AG$8:$AG$62,0),3)&lt;&gt;"",INDEX(THHKI!$V$8:$Y$62,MATCH($BL43,THHKI!$AG$8:$AG$62,0),3),""),""),"")</f>
        <v>Tốt</v>
      </c>
      <c r="BA43" s="50" t="str">
        <f>IF($A43&gt;=1,IF(INDEX(THHKII!$V$8:$Y$62,MATCH($BL43,THHKII!$AG$8:$AG$62,0),3)&lt;&gt;"",INDEX(THHKII!$V$8:$Y$62,MATCH($BL43,THHKII!$AG$8:$AG$62,0),3),""),"")</f>
        <v/>
      </c>
      <c r="BB43" s="55" t="str">
        <f>IF($A43&gt;=1,IF(INDEX(THCN!$V$8:$Y$62,MATCH($BL43,THCN!$AG$8:$AG$62,0),3)&lt;&gt;"",INDEX(THCN!$V$8:$Y$62,MATCH($BL43,THCN!$AG$8:$AG$62,0),3),""),"")</f>
        <v/>
      </c>
      <c r="BC43" s="56" t="str">
        <f>IF($A43&gt;=1,IF(INDEX(THCN!$V$8:$Y$62,MATCH($BL43,THCN!$AG$8:$AG$62,0),4)&lt;&gt;"",INDEX(THCN!$V$8:$Y$62,MATCH($BL43,THCN!$AG$8:$AG$62,0),4),""),"")</f>
        <v/>
      </c>
      <c r="BE43" s="43" t="str">
        <f>IFERROR(IF($A43&gt;=1,IF(INDEX(THHKI!$V$8:$Y$62,MATCH($BL43,THHKI!$AG$8:$AG$62,0),4)&lt;&gt;"",INDEX(THHKI!$V$8:$Y$62,MATCH($BL43,THHKI!$AG$8:$AG$62,0),4),""),""),"")</f>
        <v>HSG</v>
      </c>
      <c r="BF43" s="56" t="str">
        <f>IF($A43&gt;=1,IF(INDEX(THHKII!$V$8:$Y$62,MATCH($BL43,THHKII!$AG$8:$AG$62,0),4)&lt;&gt;"",INDEX(THHKII!$V$8:$Y$62,MATCH($BL43,THHKII!$AG$8:$AG$62,0),4),""),"")</f>
        <v/>
      </c>
      <c r="BL43" s="30" t="str">
        <f>IF($A43&lt;&gt;"",INDEX(DiemHKII!$B$4:$K$58,MATCH($A43,DiemHKII!$B$4:$B$58,0),2),"")</f>
        <v>12A1Phạm ĐứcTrung07/10/2004</v>
      </c>
    </row>
    <row r="44" spans="1:64" s="30" customFormat="1" ht="29.1" customHeight="1">
      <c r="A44" s="16">
        <f>IF(A43&lt;MAX(DiemHKII!$B$4:$B$58),A43+1,"")</f>
        <v>36</v>
      </c>
      <c r="B44" s="17" t="str">
        <f>IF($A44&lt;&gt;"",PROPER(INDEX(DiemHKII!$B$4:$K$58,MATCH($A44,DiemHKII!$B$4:$B$58,0),4)),"")</f>
        <v>Võ Thủy</v>
      </c>
      <c r="C44" s="18" t="str">
        <f>IF($A44&lt;&gt;"",PROPER(INDEX(DiemHKII!$B$4:$K$58,MATCH($A44,DiemHKII!$B$4:$B$58,0),5)),"")</f>
        <v>Vân</v>
      </c>
      <c r="D44" s="19" t="str">
        <f>IF($A44&lt;&gt;"",IF(INDEX(BDHK2,MATCH($A44,DiemHKII!$B$4:$B$58,0),INDEX($BG$14:$BK$27,MATCH(D$7,$BG$14:$BG$27,0),2))&lt;&gt;"",INDEX(BDHK2,MATCH($A44,DiemHKII!$B$4:$B$58,0),INDEX($BG$14:$BK$27,MATCH(D$7,$BG$14:$BG$27,0),3)),""),"")</f>
        <v/>
      </c>
      <c r="E44" s="20" t="str">
        <f>IF($A44&lt;&gt;"",IF(INDEX(BDHK2,MATCH($A44,DiemHKII!$B$4:$B$58,0),INDEX($BG$14:$BK$27,MATCH(D$7,$BG$14:$BG$27,0),2))&lt;&gt;"",INDEX(BDHK2,MATCH($A44,DiemHKII!$B$4:$B$58,0),INDEX($BG$14:$BK$27,MATCH(D$7,$BG$14:$BG$27,0),4)),""),"")</f>
        <v/>
      </c>
      <c r="F44" s="21" t="str">
        <f>IF($A44&lt;&gt;"",IF(INDEX(BDHK2,MATCH($A44,DiemHKII!$B$4:$B$58,0),INDEX($BG$14:$BK$27,MATCH(D$7,$BG$14:$BG$27,0),2))&lt;&gt;"",INDEX(BDHK2,MATCH($A44,DiemHKII!$B$4:$B$58,0),INDEX($BG$14:$BK$27,MATCH(D$7,$BG$14:$BG$27,0),5)),""),"")</f>
        <v/>
      </c>
      <c r="G44" s="19" t="str">
        <f>IF($A44&lt;&gt;"",IF(INDEX(BDHK2,MATCH($A44,DiemHKII!$B$4:$B$58,0),INDEX($BG$14:$BK$27,MATCH(G$7,$BG$14:$BG$27,0),2))&lt;&gt;"",INDEX(BDHK2,MATCH($A44,DiemHKII!$B$4:$B$58,0),INDEX($BG$14:$BK$27,MATCH(G$7,$BG$14:$BG$27,0),3)),""),"")</f>
        <v/>
      </c>
      <c r="H44" s="20" t="str">
        <f>IF($A44&lt;&gt;"",IF(INDEX(BDHK2,MATCH($A44,DiemHKII!$B$4:$B$58,0),INDEX($BG$14:$BK$27,MATCH(G$7,$BG$14:$BG$27,0),2))&lt;&gt;"",INDEX(BDHK2,MATCH($A44,DiemHKII!$B$4:$B$58,0),INDEX($BG$14:$BK$27,MATCH(G$7,$BG$14:$BG$27,0),4)),""),"")</f>
        <v/>
      </c>
      <c r="I44" s="21" t="str">
        <f>IF($A44&lt;&gt;"",IF(INDEX(BDHK2,MATCH($A44,DiemHKII!$B$4:$B$58,0),INDEX($BG$14:$BK$27,MATCH(G$7,$BG$14:$BG$27,0),2))&lt;&gt;"",INDEX(BDHK2,MATCH($A44,DiemHKII!$B$4:$B$58,0),INDEX($BG$14:$BK$27,MATCH(G$7,$BG$14:$BG$27,0),5)),""),"")</f>
        <v/>
      </c>
      <c r="J44" s="19" t="str">
        <f>IF($A44&lt;&gt;"",IF(INDEX(BDHK2,MATCH($A44,DiemHKII!$B$4:$B$58,0),INDEX($BG$14:$BK$27,MATCH(J$7,$BG$14:$BG$27,0),2))&lt;&gt;"",INDEX(BDHK2,MATCH($A44,DiemHKII!$B$4:$B$58,0),INDEX($BG$14:$BK$27,MATCH(J$7,$BG$14:$BG$27,0),3)),""),"")</f>
        <v/>
      </c>
      <c r="K44" s="20" t="str">
        <f>IF($A44&lt;&gt;"",IF(INDEX(BDHK2,MATCH($A44,DiemHKII!$B$4:$B$58,0),INDEX($BG$14:$BK$27,MATCH(J$7,$BG$14:$BG$27,0),2))&lt;&gt;"",INDEX(BDHK2,MATCH($A44,DiemHKII!$B$4:$B$58,0),INDEX($BG$14:$BK$27,MATCH(J$7,$BG$14:$BG$27,0),4)),""),"")</f>
        <v/>
      </c>
      <c r="L44" s="21" t="str">
        <f>IF($A44&lt;&gt;"",IF(INDEX(BDHK2,MATCH($A44,DiemHKII!$B$4:$B$58,0),INDEX($BG$14:$BK$27,MATCH(J$7,$BG$14:$BG$27,0),2))&lt;&gt;"",INDEX(BDHK2,MATCH($A44,DiemHKII!$B$4:$B$58,0),INDEX($BG$14:$BK$27,MATCH(J$7,$BG$14:$BG$27,0),5)),""),"")</f>
        <v/>
      </c>
      <c r="M44" s="19" t="str">
        <f>IF($A44&lt;&gt;"",IF(INDEX(BDHK2,MATCH($A44,DiemHKII!$B$4:$B$58,0),INDEX($BG$14:$BK$27,MATCH(M$7,$BG$14:$BG$27,0),2))&lt;&gt;"",INDEX(BDHK2,MATCH($A44,DiemHKII!$B$4:$B$58,0),INDEX($BG$14:$BK$27,MATCH(M$7,$BG$14:$BG$27,0),3)),""),"")</f>
        <v/>
      </c>
      <c r="N44" s="20" t="str">
        <f>IF($A44&lt;&gt;"",IF(INDEX(BDHK2,MATCH($A44,DiemHKII!$B$4:$B$58,0),INDEX($BG$14:$BK$27,MATCH(M$7,$BG$14:$BG$27,0),2))&lt;&gt;"",INDEX(BDHK2,MATCH($A44,DiemHKII!$B$4:$B$58,0),INDEX($BG$14:$BK$27,MATCH(M$7,$BG$14:$BG$27,0),4)),""),"")</f>
        <v/>
      </c>
      <c r="O44" s="21" t="str">
        <f>IF($A44&lt;&gt;"",IF(INDEX(BDHK2,MATCH($A44,DiemHKII!$B$4:$B$58,0),INDEX($BG$14:$BK$27,MATCH(M$7,$BG$14:$BG$27,0),2))&lt;&gt;"",INDEX(BDHK2,MATCH($A44,DiemHKII!$B$4:$B$58,0),INDEX($BG$14:$BK$27,MATCH(M$7,$BG$14:$BG$27,0),5)),""),"")</f>
        <v/>
      </c>
      <c r="P44" s="19" t="str">
        <f>IF($A44&lt;&gt;"",IF(INDEX(BDHK2,MATCH($A44,DiemHKII!$B$4:$B$58,0),INDEX($BG$14:$BK$27,MATCH(P$7,$BG$14:$BG$27,0),2))&lt;&gt;"",INDEX(BDHK2,MATCH($A44,DiemHKII!$B$4:$B$58,0),INDEX($BG$14:$BK$27,MATCH(P$7,$BG$14:$BG$27,0),3)),""),"")</f>
        <v/>
      </c>
      <c r="Q44" s="20" t="str">
        <f>IF($A44&lt;&gt;"",IF(INDEX(BDHK2,MATCH($A44,DiemHKII!$B$4:$B$58,0),INDEX($BG$14:$BK$27,MATCH(P$7,$BG$14:$BG$27,0),2))&lt;&gt;"",INDEX(BDHK2,MATCH($A44,DiemHKII!$B$4:$B$58,0),INDEX($BG$14:$BK$27,MATCH(P$7,$BG$14:$BG$27,0),4)),""),"")</f>
        <v/>
      </c>
      <c r="R44" s="21" t="str">
        <f>IF($A44&lt;&gt;"",IF(INDEX(BDHK2,MATCH($A44,DiemHKII!$B$4:$B$58,0),INDEX($BG$14:$BK$27,MATCH(P$7,$BG$14:$BG$27,0),2))&lt;&gt;"",INDEX(BDHK2,MATCH($A44,DiemHKII!$B$4:$B$58,0),INDEX($BG$14:$BK$27,MATCH(P$7,$BG$14:$BG$27,0),5)),""),"")</f>
        <v/>
      </c>
      <c r="S44" s="19" t="str">
        <f>IF($A44&lt;&gt;"",IF(INDEX(BDHK2,MATCH($A44,DiemHKII!$B$4:$B$58,0),INDEX($BG$14:$BK$27,MATCH(S$7,$BG$14:$BG$27,0),2))&lt;&gt;"",INDEX(BDHK2,MATCH($A44,DiemHKII!$B$4:$B$58,0),INDEX($BG$14:$BK$27,MATCH(S$7,$BG$14:$BG$27,0),3)),""),"")</f>
        <v/>
      </c>
      <c r="T44" s="20" t="str">
        <f>IF($A44&lt;&gt;"",IF(INDEX(BDHK2,MATCH($A44,DiemHKII!$B$4:$B$58,0),INDEX($BG$14:$BK$27,MATCH(S$7,$BG$14:$BG$27,0),2))&lt;&gt;"",INDEX(BDHK2,MATCH($A44,DiemHKII!$B$4:$B$58,0),INDEX($BG$14:$BK$27,MATCH(S$7,$BG$14:$BG$27,0),4)),""),"")</f>
        <v/>
      </c>
      <c r="U44" s="21" t="str">
        <f>IF($A44&lt;&gt;"",IF(INDEX(BDHK2,MATCH($A44,DiemHKII!$B$4:$B$58,0),INDEX($BG$14:$BK$27,MATCH(S$7,$BG$14:$BG$27,0),2))&lt;&gt;"",INDEX(BDHK2,MATCH($A44,DiemHKII!$B$4:$B$58,0),INDEX($BG$14:$BK$27,MATCH(S$7,$BG$14:$BG$27,0),5)),""),"")</f>
        <v/>
      </c>
      <c r="V44" s="19" t="str">
        <f>IF($A44&lt;&gt;"",IF(INDEX(BDHK2,MATCH($A44,DiemHKII!$B$4:$B$58,0),INDEX($BG$14:$BK$27,MATCH(V$7,$BG$14:$BG$27,0),2))&lt;&gt;"",INDEX(BDHK2,MATCH($A44,DiemHKII!$B$4:$B$58,0),INDEX($BG$14:$BK$27,MATCH(V$7,$BG$14:$BG$27,0),3)),""),"")</f>
        <v/>
      </c>
      <c r="W44" s="20" t="str">
        <f>IF($A44&lt;&gt;"",IF(INDEX(BDHK2,MATCH($A44,DiemHKII!$B$4:$B$58,0),INDEX($BG$14:$BK$27,MATCH(V$7,$BG$14:$BG$27,0),2))&lt;&gt;"",INDEX(BDHK2,MATCH($A44,DiemHKII!$B$4:$B$58,0),INDEX($BG$14:$BK$27,MATCH(V$7,$BG$14:$BG$27,0),4)),""),"")</f>
        <v/>
      </c>
      <c r="X44" s="21" t="str">
        <f>IF($A44&lt;&gt;"",IF(INDEX(BDHK2,MATCH($A44,DiemHKII!$B$4:$B$58,0),INDEX($BG$14:$BK$27,MATCH(V$7,$BG$14:$BG$27,0),2))&lt;&gt;"",INDEX(BDHK2,MATCH($A44,DiemHKII!$B$4:$B$58,0),INDEX($BG$14:$BK$27,MATCH(V$7,$BG$14:$BG$27,0),5)),""),"")</f>
        <v/>
      </c>
      <c r="Y44" s="19" t="str">
        <f>IF($A44&lt;&gt;"",IF(INDEX(BDHK2,MATCH($A44,DiemHKII!$B$4:$B$58,0),INDEX($BG$14:$BK$27,MATCH(Y$7,$BG$14:$BG$27,0),2))&lt;&gt;"",INDEX(BDHK2,MATCH($A44,DiemHKII!$B$4:$B$58,0),INDEX($BG$14:$BK$27,MATCH(Y$7,$BG$14:$BG$27,0),3)),""),"")</f>
        <v/>
      </c>
      <c r="Z44" s="20" t="str">
        <f>IF($A44&lt;&gt;"",IF(INDEX(BDHK2,MATCH($A44,DiemHKII!$B$4:$B$58,0),INDEX($BG$14:$BK$27,MATCH(Y$7,$BG$14:$BG$27,0),2))&lt;&gt;"",INDEX(BDHK2,MATCH($A44,DiemHKII!$B$4:$B$58,0),INDEX($BG$14:$BK$27,MATCH(Y$7,$BG$14:$BG$27,0),4)),""),"")</f>
        <v/>
      </c>
      <c r="AA44" s="21" t="str">
        <f>IF($A44&lt;&gt;"",IF(INDEX(BDHK2,MATCH($A44,DiemHKII!$B$4:$B$58,0),INDEX($BG$14:$BK$27,MATCH(Y$7,$BG$14:$BG$27,0),2))&lt;&gt;"",INDEX(BDHK2,MATCH($A44,DiemHKII!$B$4:$B$58,0),INDEX($BG$14:$BK$27,MATCH(Y$7,$BG$14:$BG$27,0),5)),""),"")</f>
        <v/>
      </c>
      <c r="AB44" s="19" t="str">
        <f>IF($A44&lt;&gt;"",IF(INDEX(BDHK2,MATCH($A44,DiemHKII!$B$4:$B$58,0),INDEX($BG$14:$BK$27,MATCH(AB$7,$BG$14:$BG$27,0),2))&lt;&gt;"",INDEX(BDHK2,MATCH($A44,DiemHKII!$B$4:$B$58,0),INDEX($BG$14:$BK$27,MATCH(AB$7,$BG$14:$BG$27,0),3)),""),"")</f>
        <v/>
      </c>
      <c r="AC44" s="20" t="str">
        <f>IF($A44&lt;&gt;"",IF(INDEX(BDHK2,MATCH($A44,DiemHKII!$B$4:$B$58,0),INDEX($BG$14:$BK$27,MATCH(AB$7,$BG$14:$BG$27,0),2))&lt;&gt;"",INDEX(BDHK2,MATCH($A44,DiemHKII!$B$4:$B$58,0),INDEX($BG$14:$BK$27,MATCH(AB$7,$BG$14:$BG$27,0),4)),""),"")</f>
        <v/>
      </c>
      <c r="AD44" s="21" t="str">
        <f>IF($A44&lt;&gt;"",IF(INDEX(BDHK2,MATCH($A44,DiemHKII!$B$4:$B$58,0),INDEX($BG$14:$BK$27,MATCH(AB$7,$BG$14:$BG$27,0),2))&lt;&gt;"",INDEX(BDHK2,MATCH($A44,DiemHKII!$B$4:$B$58,0),INDEX($BG$14:$BK$27,MATCH(AB$7,$BG$14:$BG$27,0),5)),""),"")</f>
        <v/>
      </c>
      <c r="AE44" s="19" t="str">
        <f>IF($A44&lt;&gt;"",IF(INDEX(BDHK2,MATCH($A44,DiemHKII!$B$4:$B$58,0),INDEX($BG$14:$BK$27,MATCH(AE$7,$BG$14:$BG$27,0),2))&lt;&gt;"",INDEX(BDHK2,MATCH($A44,DiemHKII!$B$4:$B$58,0),INDEX($BG$14:$BK$27,MATCH(AE$7,$BG$14:$BG$27,0),3)),""),"")</f>
        <v/>
      </c>
      <c r="AF44" s="20" t="str">
        <f>IF($A44&lt;&gt;"",IF(INDEX(BDHK2,MATCH($A44,DiemHKII!$B$4:$B$58,0),INDEX($BG$14:$BK$27,MATCH(AE$7,$BG$14:$BG$27,0),2))&lt;&gt;"",INDEX(BDHK2,MATCH($A44,DiemHKII!$B$4:$B$58,0),INDEX($BG$14:$BK$27,MATCH(AE$7,$BG$14:$BG$27,0),4)),""),"")</f>
        <v/>
      </c>
      <c r="AG44" s="21" t="str">
        <f>IF($A44&lt;&gt;"",IF(INDEX(BDHK2,MATCH($A44,DiemHKII!$B$4:$B$58,0),INDEX($BG$14:$BK$27,MATCH(AE$7,$BG$14:$BG$27,0),2))&lt;&gt;"",INDEX(BDHK2,MATCH($A44,DiemHKII!$B$4:$B$58,0),INDEX($BG$14:$BK$27,MATCH(AE$7,$BG$14:$BG$27,0),5)),""),"")</f>
        <v/>
      </c>
      <c r="AH44" s="19" t="str">
        <f>IF($A44&lt;&gt;"",IF(INDEX(BDHK2,MATCH($A44,DiemHKII!$B$4:$B$58,0),INDEX($BG$14:$BK$27,MATCH(AH$7,$BG$14:$BG$27,0),2))&lt;&gt;"",INDEX(BDHK2,MATCH($A44,DiemHKII!$B$4:$B$58,0),INDEX($BG$14:$BK$27,MATCH(AH$7,$BG$14:$BG$27,0),3)),""),"")</f>
        <v/>
      </c>
      <c r="AI44" s="20" t="str">
        <f>IF($A44&lt;&gt;"",IF(INDEX(BDHK2,MATCH($A44,DiemHKII!$B$4:$B$58,0),INDEX($BG$14:$BK$27,MATCH(AH$7,$BG$14:$BG$27,0),2))&lt;&gt;"",INDEX(BDHK2,MATCH($A44,DiemHKII!$B$4:$B$58,0),INDEX($BG$14:$BK$27,MATCH(AH$7,$BG$14:$BG$27,0),4)),""),"")</f>
        <v/>
      </c>
      <c r="AJ44" s="21" t="str">
        <f>IF($A44&lt;&gt;"",IF(INDEX(BDHK2,MATCH($A44,DiemHKII!$B$4:$B$58,0),INDEX($BG$14:$BK$27,MATCH(AH$7,$BG$14:$BG$27,0),2))&lt;&gt;"",INDEX(BDHK2,MATCH($A44,DiemHKII!$B$4:$B$58,0),INDEX($BG$14:$BK$27,MATCH(AH$7,$BG$14:$BG$27,0),5)),""),"")</f>
        <v/>
      </c>
      <c r="AK44" s="22" t="str">
        <f>IF($A44&lt;&gt;"",IF(INDEX(BDHK2,MATCH($A44,DiemHKII!$B$4:$B$58,0),INDEX($BG$14:$BK$27,MATCH(AK$7,$BG$14:$BG$27,0),2))&lt;&gt;"",INDEX(BDHK2,MATCH($A44,DiemHKII!$B$4:$B$58,0),INDEX($BG$14:$BK$27,MATCH(AK$7,$BG$14:$BG$27,0),3)),""),"")</f>
        <v/>
      </c>
      <c r="AL44" s="23" t="str">
        <f>IF($A44&lt;&gt;"",IF(INDEX(BDHK2,MATCH($A44,DiemHKII!$B$4:$B$58,0),INDEX($BG$14:$BK$27,MATCH(AK$7,$BG$14:$BG$27,0),2))&lt;&gt;"",INDEX(BDHK2,MATCH($A44,DiemHKII!$B$4:$B$58,0),INDEX($BG$14:$BK$27,MATCH(AK$7,$BG$14:$BG$27,0),4)),""),"")</f>
        <v/>
      </c>
      <c r="AM44" s="24" t="str">
        <f>IF($A44&lt;&gt;"",IF(INDEX(BDHK2,MATCH($A44,DiemHKII!$B$4:$B$58,0),INDEX($BG$14:$BK$27,MATCH(AK$7,$BG$14:$BG$27,0),2))&lt;&gt;"",INDEX(BDHK2,MATCH($A44,DiemHKII!$B$4:$B$58,0),INDEX($BG$14:$BK$27,MATCH(AK$7,$BG$14:$BG$27,0),5)),""),"")</f>
        <v/>
      </c>
      <c r="AN44" s="19" t="str">
        <f>IF($A44&lt;&gt;"",IF(INDEX(BDHK2,MATCH($A44,DiemHKII!$B$4:$B$58,0),INDEX($BG$14:$BK$27,MATCH(AN$7,$BG$14:$BG$27,0),2))&lt;&gt;"",INDEX(BDHK2,MATCH($A44,DiemHKII!$B$4:$B$58,0),INDEX($BG$14:$BK$27,MATCH(AN$7,$BG$14:$BG$27,0),3)),""),"")</f>
        <v/>
      </c>
      <c r="AO44" s="20" t="str">
        <f>IF($A44&lt;&gt;"",IF(INDEX(BDHK2,MATCH($A44,DiemHKII!$B$4:$B$58,0),INDEX($BG$14:$BK$27,MATCH(AN$7,$BG$14:$BG$27,0),2))&lt;&gt;"",INDEX(BDHK2,MATCH($A44,DiemHKII!$B$4:$B$58,0),INDEX($BG$14:$BK$27,MATCH(AN$7,$BG$14:$BG$27,0),4)),""),"")</f>
        <v/>
      </c>
      <c r="AP44" s="21" t="str">
        <f>IF($A44&lt;&gt;"",IF(INDEX(BDHK2,MATCH($A44,DiemHKII!$B$4:$B$58,0),INDEX($BG$14:$BK$27,MATCH(AN$7,$BG$14:$BG$27,0),2))&lt;&gt;"",INDEX(BDHK2,MATCH($A44,DiemHKII!$B$4:$B$58,0),INDEX($BG$14:$BK$27,MATCH(AN$7,$BG$14:$BG$27,0),5)),""),"")</f>
        <v/>
      </c>
      <c r="AQ44" s="19" t="str">
        <f>IF($A44&lt;&gt;"",IF(INDEX(BDHK2,MATCH($A44,DiemHKII!$B$4:$B$58,0),INDEX($BG$14:$BK$27,MATCH(AQ$7,$BG$14:$BG$27,0),2))&lt;&gt;"",INDEX(BDHK2,MATCH($A44,DiemHKII!$B$4:$B$58,0),INDEX($BG$14:$BK$27,MATCH(AQ$7,$BG$14:$BG$27,0),3)),""),"")</f>
        <v/>
      </c>
      <c r="AR44" s="20" t="str">
        <f>IF($A44&lt;&gt;"",IF(INDEX(BDHK2,MATCH($A44,DiemHKII!$B$4:$B$58,0),INDEX($BG$14:$BK$27,MATCH(AQ$7,$BG$14:$BG$27,0),2))&lt;&gt;"",INDEX(BDHK2,MATCH($A44,DiemHKII!$B$4:$B$58,0),INDEX($BG$14:$BK$27,MATCH(AQ$7,$BG$14:$BG$27,0),4)),""),"")</f>
        <v/>
      </c>
      <c r="AS44" s="21" t="str">
        <f>IF($A44&lt;&gt;"",IF(INDEX(BDHK2,MATCH($A44,DiemHKII!$B$4:$B$58,0),INDEX($BG$14:$BK$27,MATCH(AQ$7,$BG$14:$BG$27,0),2))&lt;&gt;"",INDEX(BDHK2,MATCH($A44,DiemHKII!$B$4:$B$58,0),INDEX($BG$14:$BK$27,MATCH(AQ$7,$BG$14:$BG$27,0),5)),""),"")</f>
        <v/>
      </c>
      <c r="AT44" s="19">
        <f>IFERROR(IF($A44&gt;=1,IF(INDEX(THHKI!$V$8:$Y$62,MATCH($BL44,THHKI!$AG$8:$AG$62,0),1)&lt;&gt;"",INDEX(THHKI!$V$8:$Y$62,MATCH($BL44,THHKI!$AG$8:$AG$62,0),1),""),""),"")</f>
        <v>9.6</v>
      </c>
      <c r="AU44" s="20" t="str">
        <f>IF($A44&gt;=1,IF(INDEX(THHKII!$V$8:$Y$62,MATCH($BL44,THHKII!$AG$8:$AG$62,0),1)&lt;&gt;"",INDEX(THHKII!$V$8:$Y$62,MATCH($BL44,THHKII!$AG$8:$AG$62,0),1),""),"")</f>
        <v/>
      </c>
      <c r="AV44" s="25" t="str">
        <f>IF($A44&gt;=1,IF(INDEX(THCN!$V$8:$Y$62,MATCH($BL44,THCN!$AG$8:$AG$62,0),1)&lt;&gt;"",INDEX(THCN!$V$8:$Y$62,MATCH($BL44,THCN!$AG$8:$AG$62,0),1),""),"")</f>
        <v/>
      </c>
      <c r="AW44" s="26" t="str">
        <f>IFERROR(IF($A44&gt;=1,IF(INDEX(THHKI!$V$8:$Y$62,MATCH($BL44,THHKI!$AG$8:$AG$62,0),2)&lt;&gt;"",INDEX(THHKI!$V$8:$Y$62,MATCH($BL44,THHKI!$AG$8:$AG$62,0),2),""),""),"")</f>
        <v>Giỏi</v>
      </c>
      <c r="AX44" s="23" t="str">
        <f>IF($A44&gt;=1,IF(INDEX(THHKII!$V$8:$Y$62,MATCH($BL44,THHKII!$AG$8:$AG$62,0),2)&lt;&gt;"",INDEX(THHKII!$V$8:$Y$62,MATCH($BL44,THHKII!$AG$8:$AG$62,0),2),""),"")</f>
        <v/>
      </c>
      <c r="AY44" s="27" t="str">
        <f>IF($A44&gt;=1,IF(INDEX(THCN!$V$8:$Y$62,MATCH($BL44,THCN!$AG$8:$AG$62,0),2)&lt;&gt;"",INDEX(THCN!$V$8:$Y$62,MATCH($BL44,THCN!$AG$8:$AG$62,0),2),""),"")</f>
        <v/>
      </c>
      <c r="AZ44" s="22" t="str">
        <f>IFERROR(IF($A44&gt;=1,IF(INDEX(THHKI!$V$8:$Y$62,MATCH($BL44,THHKI!$AG$8:$AG$62,0),3)&lt;&gt;"",INDEX(THHKI!$V$8:$Y$62,MATCH($BL44,THHKI!$AG$8:$AG$62,0),3),""),""),"")</f>
        <v>Tốt</v>
      </c>
      <c r="BA44" s="23" t="str">
        <f>IF($A44&gt;=1,IF(INDEX(THHKII!$V$8:$Y$62,MATCH($BL44,THHKII!$AG$8:$AG$62,0),3)&lt;&gt;"",INDEX(THHKII!$V$8:$Y$62,MATCH($BL44,THHKII!$AG$8:$AG$62,0),3),""),"")</f>
        <v/>
      </c>
      <c r="BB44" s="28" t="str">
        <f>IF($A44&gt;=1,IF(INDEX(THCN!$V$8:$Y$62,MATCH($BL44,THCN!$AG$8:$AG$62,0),3)&lt;&gt;"",INDEX(THCN!$V$8:$Y$62,MATCH($BL44,THCN!$AG$8:$AG$62,0),3),""),"")</f>
        <v/>
      </c>
      <c r="BC44" s="29" t="str">
        <f>IF($A44&gt;=1,IF(INDEX(THCN!$V$8:$Y$62,MATCH($BL44,THCN!$AG$8:$AG$62,0),4)&lt;&gt;"",INDEX(THCN!$V$8:$Y$62,MATCH($BL44,THCN!$AG$8:$AG$62,0),4),""),"")</f>
        <v/>
      </c>
      <c r="BE44" s="16" t="str">
        <f>IFERROR(IF($A44&gt;=1,IF(INDEX(THHKI!$V$8:$Y$62,MATCH($BL44,THHKI!$AG$8:$AG$62,0),4)&lt;&gt;"",INDEX(THHKI!$V$8:$Y$62,MATCH($BL44,THHKI!$AG$8:$AG$62,0),4),""),""),"")</f>
        <v>HSG</v>
      </c>
      <c r="BF44" s="29" t="str">
        <f>IF($A44&gt;=1,IF(INDEX(THHKII!$V$8:$Y$62,MATCH($BL44,THHKII!$AG$8:$AG$62,0),4)&lt;&gt;"",INDEX(THHKII!$V$8:$Y$62,MATCH($BL44,THHKII!$AG$8:$AG$62,0),4),""),"")</f>
        <v/>
      </c>
      <c r="BL44" s="30" t="str">
        <f>IF($A44&lt;&gt;"",INDEX(DiemHKII!$B$4:$K$58,MATCH($A44,DiemHKII!$B$4:$B$58,0),2),"")</f>
        <v>12A1Võ ThủyVân30/10/2004</v>
      </c>
    </row>
    <row r="45" spans="1:64" s="30" customFormat="1" ht="29.1" customHeight="1">
      <c r="A45" s="31" t="str">
        <f>IF(A44&lt;MAX(DiemHKII!$B$4:$B$58),A44+1,"")</f>
        <v/>
      </c>
      <c r="B45" s="32" t="str">
        <f>IF($A45&lt;&gt;"",PROPER(INDEX(DiemHKII!$B$4:$K$58,MATCH($A45,DiemHKII!$B$4:$B$58,0),4)),"")</f>
        <v/>
      </c>
      <c r="C45" s="33" t="str">
        <f>IF($A45&lt;&gt;"",PROPER(INDEX(DiemHKII!$B$4:$K$58,MATCH($A45,DiemHKII!$B$4:$B$58,0),5)),"")</f>
        <v/>
      </c>
      <c r="D45" s="34" t="str">
        <f>IF($A45&lt;&gt;"",IF(INDEX(BDHK2,MATCH($A45,DiemHKII!$B$4:$B$58,0),INDEX($BG$14:$BK$27,MATCH(D$7,$BG$14:$BG$27,0),2))&lt;&gt;"",INDEX(BDHK2,MATCH($A45,DiemHKII!$B$4:$B$58,0),INDEX($BG$14:$BK$27,MATCH(D$7,$BG$14:$BG$27,0),3)),""),"")</f>
        <v/>
      </c>
      <c r="E45" s="35" t="str">
        <f>IF($A45&lt;&gt;"",IF(INDEX(BDHK2,MATCH($A45,DiemHKII!$B$4:$B$58,0),INDEX($BG$14:$BK$27,MATCH(D$7,$BG$14:$BG$27,0),2))&lt;&gt;"",INDEX(BDHK2,MATCH($A45,DiemHKII!$B$4:$B$58,0),INDEX($BG$14:$BK$27,MATCH(D$7,$BG$14:$BG$27,0),4)),""),"")</f>
        <v/>
      </c>
      <c r="F45" s="36" t="str">
        <f>IF($A45&lt;&gt;"",IF(INDEX(BDHK2,MATCH($A45,DiemHKII!$B$4:$B$58,0),INDEX($BG$14:$BK$27,MATCH(D$7,$BG$14:$BG$27,0),2))&lt;&gt;"",INDEX(BDHK2,MATCH($A45,DiemHKII!$B$4:$B$58,0),INDEX($BG$14:$BK$27,MATCH(D$7,$BG$14:$BG$27,0),5)),""),"")</f>
        <v/>
      </c>
      <c r="G45" s="34" t="str">
        <f>IF($A45&lt;&gt;"",IF(INDEX(BDHK2,MATCH($A45,DiemHKII!$B$4:$B$58,0),INDEX($BG$14:$BK$27,MATCH(G$7,$BG$14:$BG$27,0),2))&lt;&gt;"",INDEX(BDHK2,MATCH($A45,DiemHKII!$B$4:$B$58,0),INDEX($BG$14:$BK$27,MATCH(G$7,$BG$14:$BG$27,0),3)),""),"")</f>
        <v/>
      </c>
      <c r="H45" s="35" t="str">
        <f>IF($A45&lt;&gt;"",IF(INDEX(BDHK2,MATCH($A45,DiemHKII!$B$4:$B$58,0),INDEX($BG$14:$BK$27,MATCH(G$7,$BG$14:$BG$27,0),2))&lt;&gt;"",INDEX(BDHK2,MATCH($A45,DiemHKII!$B$4:$B$58,0),INDEX($BG$14:$BK$27,MATCH(G$7,$BG$14:$BG$27,0),4)),""),"")</f>
        <v/>
      </c>
      <c r="I45" s="36" t="str">
        <f>IF($A45&lt;&gt;"",IF(INDEX(BDHK2,MATCH($A45,DiemHKII!$B$4:$B$58,0),INDEX($BG$14:$BK$27,MATCH(G$7,$BG$14:$BG$27,0),2))&lt;&gt;"",INDEX(BDHK2,MATCH($A45,DiemHKII!$B$4:$B$58,0),INDEX($BG$14:$BK$27,MATCH(G$7,$BG$14:$BG$27,0),5)),""),"")</f>
        <v/>
      </c>
      <c r="J45" s="34" t="str">
        <f>IF($A45&lt;&gt;"",IF(INDEX(BDHK2,MATCH($A45,DiemHKII!$B$4:$B$58,0),INDEX($BG$14:$BK$27,MATCH(J$7,$BG$14:$BG$27,0),2))&lt;&gt;"",INDEX(BDHK2,MATCH($A45,DiemHKII!$B$4:$B$58,0),INDEX($BG$14:$BK$27,MATCH(J$7,$BG$14:$BG$27,0),3)),""),"")</f>
        <v/>
      </c>
      <c r="K45" s="35" t="str">
        <f>IF($A45&lt;&gt;"",IF(INDEX(BDHK2,MATCH($A45,DiemHKII!$B$4:$B$58,0),INDEX($BG$14:$BK$27,MATCH(J$7,$BG$14:$BG$27,0),2))&lt;&gt;"",INDEX(BDHK2,MATCH($A45,DiemHKII!$B$4:$B$58,0),INDEX($BG$14:$BK$27,MATCH(J$7,$BG$14:$BG$27,0),4)),""),"")</f>
        <v/>
      </c>
      <c r="L45" s="36" t="str">
        <f>IF($A45&lt;&gt;"",IF(INDEX(BDHK2,MATCH($A45,DiemHKII!$B$4:$B$58,0),INDEX($BG$14:$BK$27,MATCH(J$7,$BG$14:$BG$27,0),2))&lt;&gt;"",INDEX(BDHK2,MATCH($A45,DiemHKII!$B$4:$B$58,0),INDEX($BG$14:$BK$27,MATCH(J$7,$BG$14:$BG$27,0),5)),""),"")</f>
        <v/>
      </c>
      <c r="M45" s="34" t="str">
        <f>IF($A45&lt;&gt;"",IF(INDEX(BDHK2,MATCH($A45,DiemHKII!$B$4:$B$58,0),INDEX($BG$14:$BK$27,MATCH(M$7,$BG$14:$BG$27,0),2))&lt;&gt;"",INDEX(BDHK2,MATCH($A45,DiemHKII!$B$4:$B$58,0),INDEX($BG$14:$BK$27,MATCH(M$7,$BG$14:$BG$27,0),3)),""),"")</f>
        <v/>
      </c>
      <c r="N45" s="35" t="str">
        <f>IF($A45&lt;&gt;"",IF(INDEX(BDHK2,MATCH($A45,DiemHKII!$B$4:$B$58,0),INDEX($BG$14:$BK$27,MATCH(M$7,$BG$14:$BG$27,0),2))&lt;&gt;"",INDEX(BDHK2,MATCH($A45,DiemHKII!$B$4:$B$58,0),INDEX($BG$14:$BK$27,MATCH(M$7,$BG$14:$BG$27,0),4)),""),"")</f>
        <v/>
      </c>
      <c r="O45" s="36" t="str">
        <f>IF($A45&lt;&gt;"",IF(INDEX(BDHK2,MATCH($A45,DiemHKII!$B$4:$B$58,0),INDEX($BG$14:$BK$27,MATCH(M$7,$BG$14:$BG$27,0),2))&lt;&gt;"",INDEX(BDHK2,MATCH($A45,DiemHKII!$B$4:$B$58,0),INDEX($BG$14:$BK$27,MATCH(M$7,$BG$14:$BG$27,0),5)),""),"")</f>
        <v/>
      </c>
      <c r="P45" s="34" t="str">
        <f>IF($A45&lt;&gt;"",IF(INDEX(BDHK2,MATCH($A45,DiemHKII!$B$4:$B$58,0),INDEX($BG$14:$BK$27,MATCH(P$7,$BG$14:$BG$27,0),2))&lt;&gt;"",INDEX(BDHK2,MATCH($A45,DiemHKII!$B$4:$B$58,0),INDEX($BG$14:$BK$27,MATCH(P$7,$BG$14:$BG$27,0),3)),""),"")</f>
        <v/>
      </c>
      <c r="Q45" s="35" t="str">
        <f>IF($A45&lt;&gt;"",IF(INDEX(BDHK2,MATCH($A45,DiemHKII!$B$4:$B$58,0),INDEX($BG$14:$BK$27,MATCH(P$7,$BG$14:$BG$27,0),2))&lt;&gt;"",INDEX(BDHK2,MATCH($A45,DiemHKII!$B$4:$B$58,0),INDEX($BG$14:$BK$27,MATCH(P$7,$BG$14:$BG$27,0),4)),""),"")</f>
        <v/>
      </c>
      <c r="R45" s="36" t="str">
        <f>IF($A45&lt;&gt;"",IF(INDEX(BDHK2,MATCH($A45,DiemHKII!$B$4:$B$58,0),INDEX($BG$14:$BK$27,MATCH(P$7,$BG$14:$BG$27,0),2))&lt;&gt;"",INDEX(BDHK2,MATCH($A45,DiemHKII!$B$4:$B$58,0),INDEX($BG$14:$BK$27,MATCH(P$7,$BG$14:$BG$27,0),5)),""),"")</f>
        <v/>
      </c>
      <c r="S45" s="34" t="str">
        <f>IF($A45&lt;&gt;"",IF(INDEX(BDHK2,MATCH($A45,DiemHKII!$B$4:$B$58,0),INDEX($BG$14:$BK$27,MATCH(S$7,$BG$14:$BG$27,0),2))&lt;&gt;"",INDEX(BDHK2,MATCH($A45,DiemHKII!$B$4:$B$58,0),INDEX($BG$14:$BK$27,MATCH(S$7,$BG$14:$BG$27,0),3)),""),"")</f>
        <v/>
      </c>
      <c r="T45" s="35" t="str">
        <f>IF($A45&lt;&gt;"",IF(INDEX(BDHK2,MATCH($A45,DiemHKII!$B$4:$B$58,0),INDEX($BG$14:$BK$27,MATCH(S$7,$BG$14:$BG$27,0),2))&lt;&gt;"",INDEX(BDHK2,MATCH($A45,DiemHKII!$B$4:$B$58,0),INDEX($BG$14:$BK$27,MATCH(S$7,$BG$14:$BG$27,0),4)),""),"")</f>
        <v/>
      </c>
      <c r="U45" s="36" t="str">
        <f>IF($A45&lt;&gt;"",IF(INDEX(BDHK2,MATCH($A45,DiemHKII!$B$4:$B$58,0),INDEX($BG$14:$BK$27,MATCH(S$7,$BG$14:$BG$27,0),2))&lt;&gt;"",INDEX(BDHK2,MATCH($A45,DiemHKII!$B$4:$B$58,0),INDEX($BG$14:$BK$27,MATCH(S$7,$BG$14:$BG$27,0),5)),""),"")</f>
        <v/>
      </c>
      <c r="V45" s="34" t="str">
        <f>IF($A45&lt;&gt;"",IF(INDEX(BDHK2,MATCH($A45,DiemHKII!$B$4:$B$58,0),INDEX($BG$14:$BK$27,MATCH(V$7,$BG$14:$BG$27,0),2))&lt;&gt;"",INDEX(BDHK2,MATCH($A45,DiemHKII!$B$4:$B$58,0),INDEX($BG$14:$BK$27,MATCH(V$7,$BG$14:$BG$27,0),3)),""),"")</f>
        <v/>
      </c>
      <c r="W45" s="35" t="str">
        <f>IF($A45&lt;&gt;"",IF(INDEX(BDHK2,MATCH($A45,DiemHKII!$B$4:$B$58,0),INDEX($BG$14:$BK$27,MATCH(V$7,$BG$14:$BG$27,0),2))&lt;&gt;"",INDEX(BDHK2,MATCH($A45,DiemHKII!$B$4:$B$58,0),INDEX($BG$14:$BK$27,MATCH(V$7,$BG$14:$BG$27,0),4)),""),"")</f>
        <v/>
      </c>
      <c r="X45" s="36" t="str">
        <f>IF($A45&lt;&gt;"",IF(INDEX(BDHK2,MATCH($A45,DiemHKII!$B$4:$B$58,0),INDEX($BG$14:$BK$27,MATCH(V$7,$BG$14:$BG$27,0),2))&lt;&gt;"",INDEX(BDHK2,MATCH($A45,DiemHKII!$B$4:$B$58,0),INDEX($BG$14:$BK$27,MATCH(V$7,$BG$14:$BG$27,0),5)),""),"")</f>
        <v/>
      </c>
      <c r="Y45" s="34" t="str">
        <f>IF($A45&lt;&gt;"",IF(INDEX(BDHK2,MATCH($A45,DiemHKII!$B$4:$B$58,0),INDEX($BG$14:$BK$27,MATCH(Y$7,$BG$14:$BG$27,0),2))&lt;&gt;"",INDEX(BDHK2,MATCH($A45,DiemHKII!$B$4:$B$58,0),INDEX($BG$14:$BK$27,MATCH(Y$7,$BG$14:$BG$27,0),3)),""),"")</f>
        <v/>
      </c>
      <c r="Z45" s="35" t="str">
        <f>IF($A45&lt;&gt;"",IF(INDEX(BDHK2,MATCH($A45,DiemHKII!$B$4:$B$58,0),INDEX($BG$14:$BK$27,MATCH(Y$7,$BG$14:$BG$27,0),2))&lt;&gt;"",INDEX(BDHK2,MATCH($A45,DiemHKII!$B$4:$B$58,0),INDEX($BG$14:$BK$27,MATCH(Y$7,$BG$14:$BG$27,0),4)),""),"")</f>
        <v/>
      </c>
      <c r="AA45" s="36" t="str">
        <f>IF($A45&lt;&gt;"",IF(INDEX(BDHK2,MATCH($A45,DiemHKII!$B$4:$B$58,0),INDEX($BG$14:$BK$27,MATCH(Y$7,$BG$14:$BG$27,0),2))&lt;&gt;"",INDEX(BDHK2,MATCH($A45,DiemHKII!$B$4:$B$58,0),INDEX($BG$14:$BK$27,MATCH(Y$7,$BG$14:$BG$27,0),5)),""),"")</f>
        <v/>
      </c>
      <c r="AB45" s="34" t="str">
        <f>IF($A45&lt;&gt;"",IF(INDEX(BDHK2,MATCH($A45,DiemHKII!$B$4:$B$58,0),INDEX($BG$14:$BK$27,MATCH(AB$7,$BG$14:$BG$27,0),2))&lt;&gt;"",INDEX(BDHK2,MATCH($A45,DiemHKII!$B$4:$B$58,0),INDEX($BG$14:$BK$27,MATCH(AB$7,$BG$14:$BG$27,0),3)),""),"")</f>
        <v/>
      </c>
      <c r="AC45" s="35" t="str">
        <f>IF($A45&lt;&gt;"",IF(INDEX(BDHK2,MATCH($A45,DiemHKII!$B$4:$B$58,0),INDEX($BG$14:$BK$27,MATCH(AB$7,$BG$14:$BG$27,0),2))&lt;&gt;"",INDEX(BDHK2,MATCH($A45,DiemHKII!$B$4:$B$58,0),INDEX($BG$14:$BK$27,MATCH(AB$7,$BG$14:$BG$27,0),4)),""),"")</f>
        <v/>
      </c>
      <c r="AD45" s="36" t="str">
        <f>IF($A45&lt;&gt;"",IF(INDEX(BDHK2,MATCH($A45,DiemHKII!$B$4:$B$58,0),INDEX($BG$14:$BK$27,MATCH(AB$7,$BG$14:$BG$27,0),2))&lt;&gt;"",INDEX(BDHK2,MATCH($A45,DiemHKII!$B$4:$B$58,0),INDEX($BG$14:$BK$27,MATCH(AB$7,$BG$14:$BG$27,0),5)),""),"")</f>
        <v/>
      </c>
      <c r="AE45" s="34" t="str">
        <f>IF($A45&lt;&gt;"",IF(INDEX(BDHK2,MATCH($A45,DiemHKII!$B$4:$B$58,0),INDEX($BG$14:$BK$27,MATCH(AE$7,$BG$14:$BG$27,0),2))&lt;&gt;"",INDEX(BDHK2,MATCH($A45,DiemHKII!$B$4:$B$58,0),INDEX($BG$14:$BK$27,MATCH(AE$7,$BG$14:$BG$27,0),3)),""),"")</f>
        <v/>
      </c>
      <c r="AF45" s="35" t="str">
        <f>IF($A45&lt;&gt;"",IF(INDEX(BDHK2,MATCH($A45,DiemHKII!$B$4:$B$58,0),INDEX($BG$14:$BK$27,MATCH(AE$7,$BG$14:$BG$27,0),2))&lt;&gt;"",INDEX(BDHK2,MATCH($A45,DiemHKII!$B$4:$B$58,0),INDEX($BG$14:$BK$27,MATCH(AE$7,$BG$14:$BG$27,0),4)),""),"")</f>
        <v/>
      </c>
      <c r="AG45" s="36" t="str">
        <f>IF($A45&lt;&gt;"",IF(INDEX(BDHK2,MATCH($A45,DiemHKII!$B$4:$B$58,0),INDEX($BG$14:$BK$27,MATCH(AE$7,$BG$14:$BG$27,0),2))&lt;&gt;"",INDEX(BDHK2,MATCH($A45,DiemHKII!$B$4:$B$58,0),INDEX($BG$14:$BK$27,MATCH(AE$7,$BG$14:$BG$27,0),5)),""),"")</f>
        <v/>
      </c>
      <c r="AH45" s="34" t="str">
        <f>IF($A45&lt;&gt;"",IF(INDEX(BDHK2,MATCH($A45,DiemHKII!$B$4:$B$58,0),INDEX($BG$14:$BK$27,MATCH(AH$7,$BG$14:$BG$27,0),2))&lt;&gt;"",INDEX(BDHK2,MATCH($A45,DiemHKII!$B$4:$B$58,0),INDEX($BG$14:$BK$27,MATCH(AH$7,$BG$14:$BG$27,0),3)),""),"")</f>
        <v/>
      </c>
      <c r="AI45" s="35" t="str">
        <f>IF($A45&lt;&gt;"",IF(INDEX(BDHK2,MATCH($A45,DiemHKII!$B$4:$B$58,0),INDEX($BG$14:$BK$27,MATCH(AH$7,$BG$14:$BG$27,0),2))&lt;&gt;"",INDEX(BDHK2,MATCH($A45,DiemHKII!$B$4:$B$58,0),INDEX($BG$14:$BK$27,MATCH(AH$7,$BG$14:$BG$27,0),4)),""),"")</f>
        <v/>
      </c>
      <c r="AJ45" s="36" t="str">
        <f>IF($A45&lt;&gt;"",IF(INDEX(BDHK2,MATCH($A45,DiemHKII!$B$4:$B$58,0),INDEX($BG$14:$BK$27,MATCH(AH$7,$BG$14:$BG$27,0),2))&lt;&gt;"",INDEX(BDHK2,MATCH($A45,DiemHKII!$B$4:$B$58,0),INDEX($BG$14:$BK$27,MATCH(AH$7,$BG$14:$BG$27,0),5)),""),"")</f>
        <v/>
      </c>
      <c r="AK45" s="37" t="str">
        <f>IF($A45&lt;&gt;"",IF(INDEX(BDHK2,MATCH($A45,DiemHKII!$B$4:$B$58,0),INDEX($BG$14:$BK$27,MATCH(AK$7,$BG$14:$BG$27,0),2))&lt;&gt;"",INDEX(BDHK2,MATCH($A45,DiemHKII!$B$4:$B$58,0),INDEX($BG$14:$BK$27,MATCH(AK$7,$BG$14:$BG$27,0),3)),""),"")</f>
        <v/>
      </c>
      <c r="AL45" s="8" t="str">
        <f>IF($A45&lt;&gt;"",IF(INDEX(BDHK2,MATCH($A45,DiemHKII!$B$4:$B$58,0),INDEX($BG$14:$BK$27,MATCH(AK$7,$BG$14:$BG$27,0),2))&lt;&gt;"",INDEX(BDHK2,MATCH($A45,DiemHKII!$B$4:$B$58,0),INDEX($BG$14:$BK$27,MATCH(AK$7,$BG$14:$BG$27,0),4)),""),"")</f>
        <v/>
      </c>
      <c r="AM45" s="38" t="str">
        <f>IF($A45&lt;&gt;"",IF(INDEX(BDHK2,MATCH($A45,DiemHKII!$B$4:$B$58,0),INDEX($BG$14:$BK$27,MATCH(AK$7,$BG$14:$BG$27,0),2))&lt;&gt;"",INDEX(BDHK2,MATCH($A45,DiemHKII!$B$4:$B$58,0),INDEX($BG$14:$BK$27,MATCH(AK$7,$BG$14:$BG$27,0),5)),""),"")</f>
        <v/>
      </c>
      <c r="AN45" s="34" t="str">
        <f>IF($A45&lt;&gt;"",IF(INDEX(BDHK2,MATCH($A45,DiemHKII!$B$4:$B$58,0),INDEX($BG$14:$BK$27,MATCH(AN$7,$BG$14:$BG$27,0),2))&lt;&gt;"",INDEX(BDHK2,MATCH($A45,DiemHKII!$B$4:$B$58,0),INDEX($BG$14:$BK$27,MATCH(AN$7,$BG$14:$BG$27,0),3)),""),"")</f>
        <v/>
      </c>
      <c r="AO45" s="35" t="str">
        <f>IF($A45&lt;&gt;"",IF(INDEX(BDHK2,MATCH($A45,DiemHKII!$B$4:$B$58,0),INDEX($BG$14:$BK$27,MATCH(AN$7,$BG$14:$BG$27,0),2))&lt;&gt;"",INDEX(BDHK2,MATCH($A45,DiemHKII!$B$4:$B$58,0),INDEX($BG$14:$BK$27,MATCH(AN$7,$BG$14:$BG$27,0),4)),""),"")</f>
        <v/>
      </c>
      <c r="AP45" s="36" t="str">
        <f>IF($A45&lt;&gt;"",IF(INDEX(BDHK2,MATCH($A45,DiemHKII!$B$4:$B$58,0),INDEX($BG$14:$BK$27,MATCH(AN$7,$BG$14:$BG$27,0),2))&lt;&gt;"",INDEX(BDHK2,MATCH($A45,DiemHKII!$B$4:$B$58,0),INDEX($BG$14:$BK$27,MATCH(AN$7,$BG$14:$BG$27,0),5)),""),"")</f>
        <v/>
      </c>
      <c r="AQ45" s="34" t="str">
        <f>IF($A45&lt;&gt;"",IF(INDEX(BDHK2,MATCH($A45,DiemHKII!$B$4:$B$58,0),INDEX($BG$14:$BK$27,MATCH(AQ$7,$BG$14:$BG$27,0),2))&lt;&gt;"",INDEX(BDHK2,MATCH($A45,DiemHKII!$B$4:$B$58,0),INDEX($BG$14:$BK$27,MATCH(AQ$7,$BG$14:$BG$27,0),3)),""),"")</f>
        <v/>
      </c>
      <c r="AR45" s="35" t="str">
        <f>IF($A45&lt;&gt;"",IF(INDEX(BDHK2,MATCH($A45,DiemHKII!$B$4:$B$58,0),INDEX($BG$14:$BK$27,MATCH(AQ$7,$BG$14:$BG$27,0),2))&lt;&gt;"",INDEX(BDHK2,MATCH($A45,DiemHKII!$B$4:$B$58,0),INDEX($BG$14:$BK$27,MATCH(AQ$7,$BG$14:$BG$27,0),4)),""),"")</f>
        <v/>
      </c>
      <c r="AS45" s="36" t="str">
        <f>IF($A45&lt;&gt;"",IF(INDEX(BDHK2,MATCH($A45,DiemHKII!$B$4:$B$58,0),INDEX($BG$14:$BK$27,MATCH(AQ$7,$BG$14:$BG$27,0),2))&lt;&gt;"",INDEX(BDHK2,MATCH($A45,DiemHKII!$B$4:$B$58,0),INDEX($BG$14:$BK$27,MATCH(AQ$7,$BG$14:$BG$27,0),5)),""),"")</f>
        <v/>
      </c>
      <c r="AT45" s="34" t="str">
        <f>IFERROR(IF($A45&gt;=1,IF(INDEX(THHKI!$V$8:$Y$62,MATCH($BL45,THHKI!$AG$8:$AG$62,0),1)&lt;&gt;"",INDEX(THHKI!$V$8:$Y$62,MATCH($BL45,THHKI!$AG$8:$AG$62,0),1),""),""),"")</f>
        <v/>
      </c>
      <c r="AU45" s="35" t="str">
        <f>IF($A45&gt;=1,IF(INDEX(THHKII!$V$8:$Y$62,MATCH($BL45,THHKII!$AG$8:$AG$62,0),1)&lt;&gt;"",INDEX(THHKII!$V$8:$Y$62,MATCH($BL45,THHKII!$AG$8:$AG$62,0),1),""),"")</f>
        <v/>
      </c>
      <c r="AV45" s="39" t="str">
        <f>IF($A45&gt;=1,IF(INDEX(THCN!$V$8:$Y$62,MATCH($BL45,THCN!$AG$8:$AG$62,0),1)&lt;&gt;"",INDEX(THCN!$V$8:$Y$62,MATCH($BL45,THCN!$AG$8:$AG$62,0),1),""),"")</f>
        <v/>
      </c>
      <c r="AW45" s="40" t="str">
        <f>IFERROR(IF($A45&gt;=1,IF(INDEX(THHKI!$V$8:$Y$62,MATCH($BL45,THHKI!$AG$8:$AG$62,0),2)&lt;&gt;"",INDEX(THHKI!$V$8:$Y$62,MATCH($BL45,THHKI!$AG$8:$AG$62,0),2),""),""),"")</f>
        <v/>
      </c>
      <c r="AX45" s="8" t="str">
        <f>IF($A45&gt;=1,IF(INDEX(THHKII!$V$8:$Y$62,MATCH($BL45,THHKII!$AG$8:$AG$62,0),2)&lt;&gt;"",INDEX(THHKII!$V$8:$Y$62,MATCH($BL45,THHKII!$AG$8:$AG$62,0),2),""),"")</f>
        <v/>
      </c>
      <c r="AY45" s="467" t="str">
        <f>IF($A45&gt;=1,IF(INDEX(THCN!$V$8:$Y$62,MATCH($BL45,THCN!$AG$8:$AG$62,0),2)&lt;&gt;"",INDEX(THCN!$V$8:$Y$62,MATCH($BL45,THCN!$AG$8:$AG$62,0),2),""),"")</f>
        <v/>
      </c>
      <c r="AZ45" s="37" t="str">
        <f>IFERROR(IF($A45&gt;=1,IF(INDEX(THHKI!$V$8:$Y$62,MATCH($BL45,THHKI!$AG$8:$AG$62,0),3)&lt;&gt;"",INDEX(THHKI!$V$8:$Y$62,MATCH($BL45,THHKI!$AG$8:$AG$62,0),3),""),""),"")</f>
        <v/>
      </c>
      <c r="BA45" s="8" t="str">
        <f>IF($A45&gt;=1,IF(INDEX(THHKII!$V$8:$Y$62,MATCH($BL45,THHKII!$AG$8:$AG$62,0),3)&lt;&gt;"",INDEX(THHKII!$V$8:$Y$62,MATCH($BL45,THHKII!$AG$8:$AG$62,0),3),""),"")</f>
        <v/>
      </c>
      <c r="BB45" s="41" t="str">
        <f>IF($A45&gt;=1,IF(INDEX(THCN!$V$8:$Y$62,MATCH($BL45,THCN!$AG$8:$AG$62,0),3)&lt;&gt;"",INDEX(THCN!$V$8:$Y$62,MATCH($BL45,THCN!$AG$8:$AG$62,0),3),""),"")</f>
        <v/>
      </c>
      <c r="BC45" s="42" t="str">
        <f>IF($A45&gt;=1,IF(INDEX(THCN!$V$8:$Y$62,MATCH($BL45,THCN!$AG$8:$AG$62,0),4)&lt;&gt;"",INDEX(THCN!$V$8:$Y$62,MATCH($BL45,THCN!$AG$8:$AG$62,0),4),""),"")</f>
        <v/>
      </c>
      <c r="BE45" s="31" t="str">
        <f>IFERROR(IF($A45&gt;=1,IF(INDEX(THHKI!$V$8:$Y$62,MATCH($BL45,THHKI!$AG$8:$AG$62,0),4)&lt;&gt;"",INDEX(THHKI!$V$8:$Y$62,MATCH($BL45,THHKI!$AG$8:$AG$62,0),4),""),""),"")</f>
        <v/>
      </c>
      <c r="BF45" s="42" t="str">
        <f>IF($A45&gt;=1,IF(INDEX(THHKII!$V$8:$Y$62,MATCH($BL45,THHKII!$AG$8:$AG$62,0),4)&lt;&gt;"",INDEX(THHKII!$V$8:$Y$62,MATCH($BL45,THHKII!$AG$8:$AG$62,0),4),""),"")</f>
        <v/>
      </c>
      <c r="BL45" s="30" t="str">
        <f>IF($A45&lt;&gt;"",INDEX(DiemHKII!$B$4:$K$58,MATCH($A45,DiemHKII!$B$4:$B$58,0),2),"")</f>
        <v/>
      </c>
    </row>
    <row r="46" spans="1:64" s="30" customFormat="1" ht="29.1" customHeight="1">
      <c r="A46" s="31" t="str">
        <f>IF(A45&lt;MAX(DiemHKII!$B$4:$B$58),A45+1,"")</f>
        <v/>
      </c>
      <c r="B46" s="32" t="str">
        <f>IF($A46&lt;&gt;"",PROPER(INDEX(DiemHKII!$B$4:$K$58,MATCH($A46,DiemHKII!$B$4:$B$58,0),4)),"")</f>
        <v/>
      </c>
      <c r="C46" s="33" t="str">
        <f>IF($A46&lt;&gt;"",PROPER(INDEX(DiemHKII!$B$4:$K$58,MATCH($A46,DiemHKII!$B$4:$B$58,0),5)),"")</f>
        <v/>
      </c>
      <c r="D46" s="34" t="str">
        <f>IF($A46&lt;&gt;"",IF(INDEX(BDHK2,MATCH($A46,DiemHKII!$B$4:$B$58,0),INDEX($BG$14:$BK$27,MATCH(D$7,$BG$14:$BG$27,0),2))&lt;&gt;"",INDEX(BDHK2,MATCH($A46,DiemHKII!$B$4:$B$58,0),INDEX($BG$14:$BK$27,MATCH(D$7,$BG$14:$BG$27,0),3)),""),"")</f>
        <v/>
      </c>
      <c r="E46" s="35" t="str">
        <f>IF($A46&lt;&gt;"",IF(INDEX(BDHK2,MATCH($A46,DiemHKII!$B$4:$B$58,0),INDEX($BG$14:$BK$27,MATCH(D$7,$BG$14:$BG$27,0),2))&lt;&gt;"",INDEX(BDHK2,MATCH($A46,DiemHKII!$B$4:$B$58,0),INDEX($BG$14:$BK$27,MATCH(D$7,$BG$14:$BG$27,0),4)),""),"")</f>
        <v/>
      </c>
      <c r="F46" s="36" t="str">
        <f>IF($A46&lt;&gt;"",IF(INDEX(BDHK2,MATCH($A46,DiemHKII!$B$4:$B$58,0),INDEX($BG$14:$BK$27,MATCH(D$7,$BG$14:$BG$27,0),2))&lt;&gt;"",INDEX(BDHK2,MATCH($A46,DiemHKII!$B$4:$B$58,0),INDEX($BG$14:$BK$27,MATCH(D$7,$BG$14:$BG$27,0),5)),""),"")</f>
        <v/>
      </c>
      <c r="G46" s="34" t="str">
        <f>IF($A46&lt;&gt;"",IF(INDEX(BDHK2,MATCH($A46,DiemHKII!$B$4:$B$58,0),INDEX($BG$14:$BK$27,MATCH(G$7,$BG$14:$BG$27,0),2))&lt;&gt;"",INDEX(BDHK2,MATCH($A46,DiemHKII!$B$4:$B$58,0),INDEX($BG$14:$BK$27,MATCH(G$7,$BG$14:$BG$27,0),3)),""),"")</f>
        <v/>
      </c>
      <c r="H46" s="35" t="str">
        <f>IF($A46&lt;&gt;"",IF(INDEX(BDHK2,MATCH($A46,DiemHKII!$B$4:$B$58,0),INDEX($BG$14:$BK$27,MATCH(G$7,$BG$14:$BG$27,0),2))&lt;&gt;"",INDEX(BDHK2,MATCH($A46,DiemHKII!$B$4:$B$58,0),INDEX($BG$14:$BK$27,MATCH(G$7,$BG$14:$BG$27,0),4)),""),"")</f>
        <v/>
      </c>
      <c r="I46" s="36" t="str">
        <f>IF($A46&lt;&gt;"",IF(INDEX(BDHK2,MATCH($A46,DiemHKII!$B$4:$B$58,0),INDEX($BG$14:$BK$27,MATCH(G$7,$BG$14:$BG$27,0),2))&lt;&gt;"",INDEX(BDHK2,MATCH($A46,DiemHKII!$B$4:$B$58,0),INDEX($BG$14:$BK$27,MATCH(G$7,$BG$14:$BG$27,0),5)),""),"")</f>
        <v/>
      </c>
      <c r="J46" s="34" t="str">
        <f>IF($A46&lt;&gt;"",IF(INDEX(BDHK2,MATCH($A46,DiemHKII!$B$4:$B$58,0),INDEX($BG$14:$BK$27,MATCH(J$7,$BG$14:$BG$27,0),2))&lt;&gt;"",INDEX(BDHK2,MATCH($A46,DiemHKII!$B$4:$B$58,0),INDEX($BG$14:$BK$27,MATCH(J$7,$BG$14:$BG$27,0),3)),""),"")</f>
        <v/>
      </c>
      <c r="K46" s="35" t="str">
        <f>IF($A46&lt;&gt;"",IF(INDEX(BDHK2,MATCH($A46,DiemHKII!$B$4:$B$58,0),INDEX($BG$14:$BK$27,MATCH(J$7,$BG$14:$BG$27,0),2))&lt;&gt;"",INDEX(BDHK2,MATCH($A46,DiemHKII!$B$4:$B$58,0),INDEX($BG$14:$BK$27,MATCH(J$7,$BG$14:$BG$27,0),4)),""),"")</f>
        <v/>
      </c>
      <c r="L46" s="36" t="str">
        <f>IF($A46&lt;&gt;"",IF(INDEX(BDHK2,MATCH($A46,DiemHKII!$B$4:$B$58,0),INDEX($BG$14:$BK$27,MATCH(J$7,$BG$14:$BG$27,0),2))&lt;&gt;"",INDEX(BDHK2,MATCH($A46,DiemHKII!$B$4:$B$58,0),INDEX($BG$14:$BK$27,MATCH(J$7,$BG$14:$BG$27,0),5)),""),"")</f>
        <v/>
      </c>
      <c r="M46" s="34" t="str">
        <f>IF($A46&lt;&gt;"",IF(INDEX(BDHK2,MATCH($A46,DiemHKII!$B$4:$B$58,0),INDEX($BG$14:$BK$27,MATCH(M$7,$BG$14:$BG$27,0),2))&lt;&gt;"",INDEX(BDHK2,MATCH($A46,DiemHKII!$B$4:$B$58,0),INDEX($BG$14:$BK$27,MATCH(M$7,$BG$14:$BG$27,0),3)),""),"")</f>
        <v/>
      </c>
      <c r="N46" s="35" t="str">
        <f>IF($A46&lt;&gt;"",IF(INDEX(BDHK2,MATCH($A46,DiemHKII!$B$4:$B$58,0),INDEX($BG$14:$BK$27,MATCH(M$7,$BG$14:$BG$27,0),2))&lt;&gt;"",INDEX(BDHK2,MATCH($A46,DiemHKII!$B$4:$B$58,0),INDEX($BG$14:$BK$27,MATCH(M$7,$BG$14:$BG$27,0),4)),""),"")</f>
        <v/>
      </c>
      <c r="O46" s="36" t="str">
        <f>IF($A46&lt;&gt;"",IF(INDEX(BDHK2,MATCH($A46,DiemHKII!$B$4:$B$58,0),INDEX($BG$14:$BK$27,MATCH(M$7,$BG$14:$BG$27,0),2))&lt;&gt;"",INDEX(BDHK2,MATCH($A46,DiemHKII!$B$4:$B$58,0),INDEX($BG$14:$BK$27,MATCH(M$7,$BG$14:$BG$27,0),5)),""),"")</f>
        <v/>
      </c>
      <c r="P46" s="34" t="str">
        <f>IF($A46&lt;&gt;"",IF(INDEX(BDHK2,MATCH($A46,DiemHKII!$B$4:$B$58,0),INDEX($BG$14:$BK$27,MATCH(P$7,$BG$14:$BG$27,0),2))&lt;&gt;"",INDEX(BDHK2,MATCH($A46,DiemHKII!$B$4:$B$58,0),INDEX($BG$14:$BK$27,MATCH(P$7,$BG$14:$BG$27,0),3)),""),"")</f>
        <v/>
      </c>
      <c r="Q46" s="35" t="str">
        <f>IF($A46&lt;&gt;"",IF(INDEX(BDHK2,MATCH($A46,DiemHKII!$B$4:$B$58,0),INDEX($BG$14:$BK$27,MATCH(P$7,$BG$14:$BG$27,0),2))&lt;&gt;"",INDEX(BDHK2,MATCH($A46,DiemHKII!$B$4:$B$58,0),INDEX($BG$14:$BK$27,MATCH(P$7,$BG$14:$BG$27,0),4)),""),"")</f>
        <v/>
      </c>
      <c r="R46" s="36" t="str">
        <f>IF($A46&lt;&gt;"",IF(INDEX(BDHK2,MATCH($A46,DiemHKII!$B$4:$B$58,0),INDEX($BG$14:$BK$27,MATCH(P$7,$BG$14:$BG$27,0),2))&lt;&gt;"",INDEX(BDHK2,MATCH($A46,DiemHKII!$B$4:$B$58,0),INDEX($BG$14:$BK$27,MATCH(P$7,$BG$14:$BG$27,0),5)),""),"")</f>
        <v/>
      </c>
      <c r="S46" s="34" t="str">
        <f>IF($A46&lt;&gt;"",IF(INDEX(BDHK2,MATCH($A46,DiemHKII!$B$4:$B$58,0),INDEX($BG$14:$BK$27,MATCH(S$7,$BG$14:$BG$27,0),2))&lt;&gt;"",INDEX(BDHK2,MATCH($A46,DiemHKII!$B$4:$B$58,0),INDEX($BG$14:$BK$27,MATCH(S$7,$BG$14:$BG$27,0),3)),""),"")</f>
        <v/>
      </c>
      <c r="T46" s="35" t="str">
        <f>IF($A46&lt;&gt;"",IF(INDEX(BDHK2,MATCH($A46,DiemHKII!$B$4:$B$58,0),INDEX($BG$14:$BK$27,MATCH(S$7,$BG$14:$BG$27,0),2))&lt;&gt;"",INDEX(BDHK2,MATCH($A46,DiemHKII!$B$4:$B$58,0),INDEX($BG$14:$BK$27,MATCH(S$7,$BG$14:$BG$27,0),4)),""),"")</f>
        <v/>
      </c>
      <c r="U46" s="36" t="str">
        <f>IF($A46&lt;&gt;"",IF(INDEX(BDHK2,MATCH($A46,DiemHKII!$B$4:$B$58,0),INDEX($BG$14:$BK$27,MATCH(S$7,$BG$14:$BG$27,0),2))&lt;&gt;"",INDEX(BDHK2,MATCH($A46,DiemHKII!$B$4:$B$58,0),INDEX($BG$14:$BK$27,MATCH(S$7,$BG$14:$BG$27,0),5)),""),"")</f>
        <v/>
      </c>
      <c r="V46" s="34" t="str">
        <f>IF($A46&lt;&gt;"",IF(INDEX(BDHK2,MATCH($A46,DiemHKII!$B$4:$B$58,0),INDEX($BG$14:$BK$27,MATCH(V$7,$BG$14:$BG$27,0),2))&lt;&gt;"",INDEX(BDHK2,MATCH($A46,DiemHKII!$B$4:$B$58,0),INDEX($BG$14:$BK$27,MATCH(V$7,$BG$14:$BG$27,0),3)),""),"")</f>
        <v/>
      </c>
      <c r="W46" s="35" t="str">
        <f>IF($A46&lt;&gt;"",IF(INDEX(BDHK2,MATCH($A46,DiemHKII!$B$4:$B$58,0),INDEX($BG$14:$BK$27,MATCH(V$7,$BG$14:$BG$27,0),2))&lt;&gt;"",INDEX(BDHK2,MATCH($A46,DiemHKII!$B$4:$B$58,0),INDEX($BG$14:$BK$27,MATCH(V$7,$BG$14:$BG$27,0),4)),""),"")</f>
        <v/>
      </c>
      <c r="X46" s="36" t="str">
        <f>IF($A46&lt;&gt;"",IF(INDEX(BDHK2,MATCH($A46,DiemHKII!$B$4:$B$58,0),INDEX($BG$14:$BK$27,MATCH(V$7,$BG$14:$BG$27,0),2))&lt;&gt;"",INDEX(BDHK2,MATCH($A46,DiemHKII!$B$4:$B$58,0),INDEX($BG$14:$BK$27,MATCH(V$7,$BG$14:$BG$27,0),5)),""),"")</f>
        <v/>
      </c>
      <c r="Y46" s="34" t="str">
        <f>IF($A46&lt;&gt;"",IF(INDEX(BDHK2,MATCH($A46,DiemHKII!$B$4:$B$58,0),INDEX($BG$14:$BK$27,MATCH(Y$7,$BG$14:$BG$27,0),2))&lt;&gt;"",INDEX(BDHK2,MATCH($A46,DiemHKII!$B$4:$B$58,0),INDEX($BG$14:$BK$27,MATCH(Y$7,$BG$14:$BG$27,0),3)),""),"")</f>
        <v/>
      </c>
      <c r="Z46" s="35" t="str">
        <f>IF($A46&lt;&gt;"",IF(INDEX(BDHK2,MATCH($A46,DiemHKII!$B$4:$B$58,0),INDEX($BG$14:$BK$27,MATCH(Y$7,$BG$14:$BG$27,0),2))&lt;&gt;"",INDEX(BDHK2,MATCH($A46,DiemHKII!$B$4:$B$58,0),INDEX($BG$14:$BK$27,MATCH(Y$7,$BG$14:$BG$27,0),4)),""),"")</f>
        <v/>
      </c>
      <c r="AA46" s="36" t="str">
        <f>IF($A46&lt;&gt;"",IF(INDEX(BDHK2,MATCH($A46,DiemHKII!$B$4:$B$58,0),INDEX($BG$14:$BK$27,MATCH(Y$7,$BG$14:$BG$27,0),2))&lt;&gt;"",INDEX(BDHK2,MATCH($A46,DiemHKII!$B$4:$B$58,0),INDEX($BG$14:$BK$27,MATCH(Y$7,$BG$14:$BG$27,0),5)),""),"")</f>
        <v/>
      </c>
      <c r="AB46" s="34" t="str">
        <f>IF($A46&lt;&gt;"",IF(INDEX(BDHK2,MATCH($A46,DiemHKII!$B$4:$B$58,0),INDEX($BG$14:$BK$27,MATCH(AB$7,$BG$14:$BG$27,0),2))&lt;&gt;"",INDEX(BDHK2,MATCH($A46,DiemHKII!$B$4:$B$58,0),INDEX($BG$14:$BK$27,MATCH(AB$7,$BG$14:$BG$27,0),3)),""),"")</f>
        <v/>
      </c>
      <c r="AC46" s="35" t="str">
        <f>IF($A46&lt;&gt;"",IF(INDEX(BDHK2,MATCH($A46,DiemHKII!$B$4:$B$58,0),INDEX($BG$14:$BK$27,MATCH(AB$7,$BG$14:$BG$27,0),2))&lt;&gt;"",INDEX(BDHK2,MATCH($A46,DiemHKII!$B$4:$B$58,0),INDEX($BG$14:$BK$27,MATCH(AB$7,$BG$14:$BG$27,0),4)),""),"")</f>
        <v/>
      </c>
      <c r="AD46" s="36" t="str">
        <f>IF($A46&lt;&gt;"",IF(INDEX(BDHK2,MATCH($A46,DiemHKII!$B$4:$B$58,0),INDEX($BG$14:$BK$27,MATCH(AB$7,$BG$14:$BG$27,0),2))&lt;&gt;"",INDEX(BDHK2,MATCH($A46,DiemHKII!$B$4:$B$58,0),INDEX($BG$14:$BK$27,MATCH(AB$7,$BG$14:$BG$27,0),5)),""),"")</f>
        <v/>
      </c>
      <c r="AE46" s="34" t="str">
        <f>IF($A46&lt;&gt;"",IF(INDEX(BDHK2,MATCH($A46,DiemHKII!$B$4:$B$58,0),INDEX($BG$14:$BK$27,MATCH(AE$7,$BG$14:$BG$27,0),2))&lt;&gt;"",INDEX(BDHK2,MATCH($A46,DiemHKII!$B$4:$B$58,0),INDEX($BG$14:$BK$27,MATCH(AE$7,$BG$14:$BG$27,0),3)),""),"")</f>
        <v/>
      </c>
      <c r="AF46" s="35" t="str">
        <f>IF($A46&lt;&gt;"",IF(INDEX(BDHK2,MATCH($A46,DiemHKII!$B$4:$B$58,0),INDEX($BG$14:$BK$27,MATCH(AE$7,$BG$14:$BG$27,0),2))&lt;&gt;"",INDEX(BDHK2,MATCH($A46,DiemHKII!$B$4:$B$58,0),INDEX($BG$14:$BK$27,MATCH(AE$7,$BG$14:$BG$27,0),4)),""),"")</f>
        <v/>
      </c>
      <c r="AG46" s="36" t="str">
        <f>IF($A46&lt;&gt;"",IF(INDEX(BDHK2,MATCH($A46,DiemHKII!$B$4:$B$58,0),INDEX($BG$14:$BK$27,MATCH(AE$7,$BG$14:$BG$27,0),2))&lt;&gt;"",INDEX(BDHK2,MATCH($A46,DiemHKII!$B$4:$B$58,0),INDEX($BG$14:$BK$27,MATCH(AE$7,$BG$14:$BG$27,0),5)),""),"")</f>
        <v/>
      </c>
      <c r="AH46" s="34" t="str">
        <f>IF($A46&lt;&gt;"",IF(INDEX(BDHK2,MATCH($A46,DiemHKII!$B$4:$B$58,0),INDEX($BG$14:$BK$27,MATCH(AH$7,$BG$14:$BG$27,0),2))&lt;&gt;"",INDEX(BDHK2,MATCH($A46,DiemHKII!$B$4:$B$58,0),INDEX($BG$14:$BK$27,MATCH(AH$7,$BG$14:$BG$27,0),3)),""),"")</f>
        <v/>
      </c>
      <c r="AI46" s="35" t="str">
        <f>IF($A46&lt;&gt;"",IF(INDEX(BDHK2,MATCH($A46,DiemHKII!$B$4:$B$58,0),INDEX($BG$14:$BK$27,MATCH(AH$7,$BG$14:$BG$27,0),2))&lt;&gt;"",INDEX(BDHK2,MATCH($A46,DiemHKII!$B$4:$B$58,0),INDEX($BG$14:$BK$27,MATCH(AH$7,$BG$14:$BG$27,0),4)),""),"")</f>
        <v/>
      </c>
      <c r="AJ46" s="36" t="str">
        <f>IF($A46&lt;&gt;"",IF(INDEX(BDHK2,MATCH($A46,DiemHKII!$B$4:$B$58,0),INDEX($BG$14:$BK$27,MATCH(AH$7,$BG$14:$BG$27,0),2))&lt;&gt;"",INDEX(BDHK2,MATCH($A46,DiemHKII!$B$4:$B$58,0),INDEX($BG$14:$BK$27,MATCH(AH$7,$BG$14:$BG$27,0),5)),""),"")</f>
        <v/>
      </c>
      <c r="AK46" s="37" t="str">
        <f>IF($A46&lt;&gt;"",IF(INDEX(BDHK2,MATCH($A46,DiemHKII!$B$4:$B$58,0),INDEX($BG$14:$BK$27,MATCH(AK$7,$BG$14:$BG$27,0),2))&lt;&gt;"",INDEX(BDHK2,MATCH($A46,DiemHKII!$B$4:$B$58,0),INDEX($BG$14:$BK$27,MATCH(AK$7,$BG$14:$BG$27,0),3)),""),"")</f>
        <v/>
      </c>
      <c r="AL46" s="8" t="str">
        <f>IF($A46&lt;&gt;"",IF(INDEX(BDHK2,MATCH($A46,DiemHKII!$B$4:$B$58,0),INDEX($BG$14:$BK$27,MATCH(AK$7,$BG$14:$BG$27,0),2))&lt;&gt;"",INDEX(BDHK2,MATCH($A46,DiemHKII!$B$4:$B$58,0),INDEX($BG$14:$BK$27,MATCH(AK$7,$BG$14:$BG$27,0),4)),""),"")</f>
        <v/>
      </c>
      <c r="AM46" s="38" t="str">
        <f>IF($A46&lt;&gt;"",IF(INDEX(BDHK2,MATCH($A46,DiemHKII!$B$4:$B$58,0),INDEX($BG$14:$BK$27,MATCH(AK$7,$BG$14:$BG$27,0),2))&lt;&gt;"",INDEX(BDHK2,MATCH($A46,DiemHKII!$B$4:$B$58,0),INDEX($BG$14:$BK$27,MATCH(AK$7,$BG$14:$BG$27,0),5)),""),"")</f>
        <v/>
      </c>
      <c r="AN46" s="34" t="str">
        <f>IF($A46&lt;&gt;"",IF(INDEX(BDHK2,MATCH($A46,DiemHKII!$B$4:$B$58,0),INDEX($BG$14:$BK$27,MATCH(AN$7,$BG$14:$BG$27,0),2))&lt;&gt;"",INDEX(BDHK2,MATCH($A46,DiemHKII!$B$4:$B$58,0),INDEX($BG$14:$BK$27,MATCH(AN$7,$BG$14:$BG$27,0),3)),""),"")</f>
        <v/>
      </c>
      <c r="AO46" s="35" t="str">
        <f>IF($A46&lt;&gt;"",IF(INDEX(BDHK2,MATCH($A46,DiemHKII!$B$4:$B$58,0),INDEX($BG$14:$BK$27,MATCH(AN$7,$BG$14:$BG$27,0),2))&lt;&gt;"",INDEX(BDHK2,MATCH($A46,DiemHKII!$B$4:$B$58,0),INDEX($BG$14:$BK$27,MATCH(AN$7,$BG$14:$BG$27,0),4)),""),"")</f>
        <v/>
      </c>
      <c r="AP46" s="36" t="str">
        <f>IF($A46&lt;&gt;"",IF(INDEX(BDHK2,MATCH($A46,DiemHKII!$B$4:$B$58,0),INDEX($BG$14:$BK$27,MATCH(AN$7,$BG$14:$BG$27,0),2))&lt;&gt;"",INDEX(BDHK2,MATCH($A46,DiemHKII!$B$4:$B$58,0),INDEX($BG$14:$BK$27,MATCH(AN$7,$BG$14:$BG$27,0),5)),""),"")</f>
        <v/>
      </c>
      <c r="AQ46" s="34" t="str">
        <f>IF($A46&lt;&gt;"",IF(INDEX(BDHK2,MATCH($A46,DiemHKII!$B$4:$B$58,0),INDEX($BG$14:$BK$27,MATCH(AQ$7,$BG$14:$BG$27,0),2))&lt;&gt;"",INDEX(BDHK2,MATCH($A46,DiemHKII!$B$4:$B$58,0),INDEX($BG$14:$BK$27,MATCH(AQ$7,$BG$14:$BG$27,0),3)),""),"")</f>
        <v/>
      </c>
      <c r="AR46" s="35" t="str">
        <f>IF($A46&lt;&gt;"",IF(INDEX(BDHK2,MATCH($A46,DiemHKII!$B$4:$B$58,0),INDEX($BG$14:$BK$27,MATCH(AQ$7,$BG$14:$BG$27,0),2))&lt;&gt;"",INDEX(BDHK2,MATCH($A46,DiemHKII!$B$4:$B$58,0),INDEX($BG$14:$BK$27,MATCH(AQ$7,$BG$14:$BG$27,0),4)),""),"")</f>
        <v/>
      </c>
      <c r="AS46" s="36" t="str">
        <f>IF($A46&lt;&gt;"",IF(INDEX(BDHK2,MATCH($A46,DiemHKII!$B$4:$B$58,0),INDEX($BG$14:$BK$27,MATCH(AQ$7,$BG$14:$BG$27,0),2))&lt;&gt;"",INDEX(BDHK2,MATCH($A46,DiemHKII!$B$4:$B$58,0),INDEX($BG$14:$BK$27,MATCH(AQ$7,$BG$14:$BG$27,0),5)),""),"")</f>
        <v/>
      </c>
      <c r="AT46" s="34" t="str">
        <f>IFERROR(IF($A46&gt;=1,IF(INDEX(THHKI!$V$8:$Y$62,MATCH($BL46,THHKI!$AG$8:$AG$62,0),1)&lt;&gt;"",INDEX(THHKI!$V$8:$Y$62,MATCH($BL46,THHKI!$AG$8:$AG$62,0),1),""),""),"")</f>
        <v/>
      </c>
      <c r="AU46" s="35" t="str">
        <f>IF($A46&gt;=1,IF(INDEX(THHKII!$V$8:$Y$62,MATCH($BL46,THHKII!$AG$8:$AG$62,0),1)&lt;&gt;"",INDEX(THHKII!$V$8:$Y$62,MATCH($BL46,THHKII!$AG$8:$AG$62,0),1),""),"")</f>
        <v/>
      </c>
      <c r="AV46" s="39" t="str">
        <f>IF($A46&gt;=1,IF(INDEX(THCN!$V$8:$Y$62,MATCH($BL46,THCN!$AG$8:$AG$62,0),1)&lt;&gt;"",INDEX(THCN!$V$8:$Y$62,MATCH($BL46,THCN!$AG$8:$AG$62,0),1),""),"")</f>
        <v/>
      </c>
      <c r="AW46" s="40" t="str">
        <f>IFERROR(IF($A46&gt;=1,IF(INDEX(THHKI!$V$8:$Y$62,MATCH($BL46,THHKI!$AG$8:$AG$62,0),2)&lt;&gt;"",INDEX(THHKI!$V$8:$Y$62,MATCH($BL46,THHKI!$AG$8:$AG$62,0),2),""),""),"")</f>
        <v/>
      </c>
      <c r="AX46" s="8" t="str">
        <f>IF($A46&gt;=1,IF(INDEX(THHKII!$V$8:$Y$62,MATCH($BL46,THHKII!$AG$8:$AG$62,0),2)&lt;&gt;"",INDEX(THHKII!$V$8:$Y$62,MATCH($BL46,THHKII!$AG$8:$AG$62,0),2),""),"")</f>
        <v/>
      </c>
      <c r="AY46" s="467" t="str">
        <f>IF($A46&gt;=1,IF(INDEX(THCN!$V$8:$Y$62,MATCH($BL46,THCN!$AG$8:$AG$62,0),2)&lt;&gt;"",INDEX(THCN!$V$8:$Y$62,MATCH($BL46,THCN!$AG$8:$AG$62,0),2),""),"")</f>
        <v/>
      </c>
      <c r="AZ46" s="37" t="str">
        <f>IFERROR(IF($A46&gt;=1,IF(INDEX(THHKI!$V$8:$Y$62,MATCH($BL46,THHKI!$AG$8:$AG$62,0),3)&lt;&gt;"",INDEX(THHKI!$V$8:$Y$62,MATCH($BL46,THHKI!$AG$8:$AG$62,0),3),""),""),"")</f>
        <v/>
      </c>
      <c r="BA46" s="8" t="str">
        <f>IF($A46&gt;=1,IF(INDEX(THHKII!$V$8:$Y$62,MATCH($BL46,THHKII!$AG$8:$AG$62,0),3)&lt;&gt;"",INDEX(THHKII!$V$8:$Y$62,MATCH($BL46,THHKII!$AG$8:$AG$62,0),3),""),"")</f>
        <v/>
      </c>
      <c r="BB46" s="41" t="str">
        <f>IF($A46&gt;=1,IF(INDEX(THCN!$V$8:$Y$62,MATCH($BL46,THCN!$AG$8:$AG$62,0),3)&lt;&gt;"",INDEX(THCN!$V$8:$Y$62,MATCH($BL46,THCN!$AG$8:$AG$62,0),3),""),"")</f>
        <v/>
      </c>
      <c r="BC46" s="42" t="str">
        <f>IF($A46&gt;=1,IF(INDEX(THCN!$V$8:$Y$62,MATCH($BL46,THCN!$AG$8:$AG$62,0),4)&lt;&gt;"",INDEX(THCN!$V$8:$Y$62,MATCH($BL46,THCN!$AG$8:$AG$62,0),4),""),"")</f>
        <v/>
      </c>
      <c r="BE46" s="31" t="str">
        <f>IFERROR(IF($A46&gt;=1,IF(INDEX(THHKI!$V$8:$Y$62,MATCH($BL46,THHKI!$AG$8:$AG$62,0),4)&lt;&gt;"",INDEX(THHKI!$V$8:$Y$62,MATCH($BL46,THHKI!$AG$8:$AG$62,0),4),""),""),"")</f>
        <v/>
      </c>
      <c r="BF46" s="42" t="str">
        <f>IF($A46&gt;=1,IF(INDEX(THHKII!$V$8:$Y$62,MATCH($BL46,THHKII!$AG$8:$AG$62,0),4)&lt;&gt;"",INDEX(THHKII!$V$8:$Y$62,MATCH($BL46,THHKII!$AG$8:$AG$62,0),4),""),"")</f>
        <v/>
      </c>
      <c r="BL46" s="30" t="str">
        <f>IF($A46&lt;&gt;"",INDEX(DiemHKII!$B$4:$K$58,MATCH($A46,DiemHKII!$B$4:$B$58,0),2),"")</f>
        <v/>
      </c>
    </row>
    <row r="47" spans="1:64" s="30" customFormat="1" ht="29.1" customHeight="1">
      <c r="A47" s="31" t="str">
        <f>IF(A46&lt;MAX(DiemHKII!$B$4:$B$58),A46+1,"")</f>
        <v/>
      </c>
      <c r="B47" s="32" t="str">
        <f>IF($A47&lt;&gt;"",PROPER(INDEX(DiemHKII!$B$4:$K$58,MATCH($A47,DiemHKII!$B$4:$B$58,0),4)),"")</f>
        <v/>
      </c>
      <c r="C47" s="33" t="str">
        <f>IF($A47&lt;&gt;"",PROPER(INDEX(DiemHKII!$B$4:$K$58,MATCH($A47,DiemHKII!$B$4:$B$58,0),5)),"")</f>
        <v/>
      </c>
      <c r="D47" s="34" t="str">
        <f>IF($A47&lt;&gt;"",IF(INDEX(BDHK2,MATCH($A47,DiemHKII!$B$4:$B$58,0),INDEX($BG$14:$BK$27,MATCH(D$7,$BG$14:$BG$27,0),2))&lt;&gt;"",INDEX(BDHK2,MATCH($A47,DiemHKII!$B$4:$B$58,0),INDEX($BG$14:$BK$27,MATCH(D$7,$BG$14:$BG$27,0),3)),""),"")</f>
        <v/>
      </c>
      <c r="E47" s="35" t="str">
        <f>IF($A47&lt;&gt;"",IF(INDEX(BDHK2,MATCH($A47,DiemHKII!$B$4:$B$58,0),INDEX($BG$14:$BK$27,MATCH(D$7,$BG$14:$BG$27,0),2))&lt;&gt;"",INDEX(BDHK2,MATCH($A47,DiemHKII!$B$4:$B$58,0),INDEX($BG$14:$BK$27,MATCH(D$7,$BG$14:$BG$27,0),4)),""),"")</f>
        <v/>
      </c>
      <c r="F47" s="36" t="str">
        <f>IF($A47&lt;&gt;"",IF(INDEX(BDHK2,MATCH($A47,DiemHKII!$B$4:$B$58,0),INDEX($BG$14:$BK$27,MATCH(D$7,$BG$14:$BG$27,0),2))&lt;&gt;"",INDEX(BDHK2,MATCH($A47,DiemHKII!$B$4:$B$58,0),INDEX($BG$14:$BK$27,MATCH(D$7,$BG$14:$BG$27,0),5)),""),"")</f>
        <v/>
      </c>
      <c r="G47" s="34" t="str">
        <f>IF($A47&lt;&gt;"",IF(INDEX(BDHK2,MATCH($A47,DiemHKII!$B$4:$B$58,0),INDEX($BG$14:$BK$27,MATCH(G$7,$BG$14:$BG$27,0),2))&lt;&gt;"",INDEX(BDHK2,MATCH($A47,DiemHKII!$B$4:$B$58,0),INDEX($BG$14:$BK$27,MATCH(G$7,$BG$14:$BG$27,0),3)),""),"")</f>
        <v/>
      </c>
      <c r="H47" s="35" t="str">
        <f>IF($A47&lt;&gt;"",IF(INDEX(BDHK2,MATCH($A47,DiemHKII!$B$4:$B$58,0),INDEX($BG$14:$BK$27,MATCH(G$7,$BG$14:$BG$27,0),2))&lt;&gt;"",INDEX(BDHK2,MATCH($A47,DiemHKII!$B$4:$B$58,0),INDEX($BG$14:$BK$27,MATCH(G$7,$BG$14:$BG$27,0),4)),""),"")</f>
        <v/>
      </c>
      <c r="I47" s="36" t="str">
        <f>IF($A47&lt;&gt;"",IF(INDEX(BDHK2,MATCH($A47,DiemHKII!$B$4:$B$58,0),INDEX($BG$14:$BK$27,MATCH(G$7,$BG$14:$BG$27,0),2))&lt;&gt;"",INDEX(BDHK2,MATCH($A47,DiemHKII!$B$4:$B$58,0),INDEX($BG$14:$BK$27,MATCH(G$7,$BG$14:$BG$27,0),5)),""),"")</f>
        <v/>
      </c>
      <c r="J47" s="34" t="str">
        <f>IF($A47&lt;&gt;"",IF(INDEX(BDHK2,MATCH($A47,DiemHKII!$B$4:$B$58,0),INDEX($BG$14:$BK$27,MATCH(J$7,$BG$14:$BG$27,0),2))&lt;&gt;"",INDEX(BDHK2,MATCH($A47,DiemHKII!$B$4:$B$58,0),INDEX($BG$14:$BK$27,MATCH(J$7,$BG$14:$BG$27,0),3)),""),"")</f>
        <v/>
      </c>
      <c r="K47" s="35" t="str">
        <f>IF($A47&lt;&gt;"",IF(INDEX(BDHK2,MATCH($A47,DiemHKII!$B$4:$B$58,0),INDEX($BG$14:$BK$27,MATCH(J$7,$BG$14:$BG$27,0),2))&lt;&gt;"",INDEX(BDHK2,MATCH($A47,DiemHKII!$B$4:$B$58,0),INDEX($BG$14:$BK$27,MATCH(J$7,$BG$14:$BG$27,0),4)),""),"")</f>
        <v/>
      </c>
      <c r="L47" s="36" t="str">
        <f>IF($A47&lt;&gt;"",IF(INDEX(BDHK2,MATCH($A47,DiemHKII!$B$4:$B$58,0),INDEX($BG$14:$BK$27,MATCH(J$7,$BG$14:$BG$27,0),2))&lt;&gt;"",INDEX(BDHK2,MATCH($A47,DiemHKII!$B$4:$B$58,0),INDEX($BG$14:$BK$27,MATCH(J$7,$BG$14:$BG$27,0),5)),""),"")</f>
        <v/>
      </c>
      <c r="M47" s="34" t="str">
        <f>IF($A47&lt;&gt;"",IF(INDEX(BDHK2,MATCH($A47,DiemHKII!$B$4:$B$58,0),INDEX($BG$14:$BK$27,MATCH(M$7,$BG$14:$BG$27,0),2))&lt;&gt;"",INDEX(BDHK2,MATCH($A47,DiemHKII!$B$4:$B$58,0),INDEX($BG$14:$BK$27,MATCH(M$7,$BG$14:$BG$27,0),3)),""),"")</f>
        <v/>
      </c>
      <c r="N47" s="35" t="str">
        <f>IF($A47&lt;&gt;"",IF(INDEX(BDHK2,MATCH($A47,DiemHKII!$B$4:$B$58,0),INDEX($BG$14:$BK$27,MATCH(M$7,$BG$14:$BG$27,0),2))&lt;&gt;"",INDEX(BDHK2,MATCH($A47,DiemHKII!$B$4:$B$58,0),INDEX($BG$14:$BK$27,MATCH(M$7,$BG$14:$BG$27,0),4)),""),"")</f>
        <v/>
      </c>
      <c r="O47" s="36" t="str">
        <f>IF($A47&lt;&gt;"",IF(INDEX(BDHK2,MATCH($A47,DiemHKII!$B$4:$B$58,0),INDEX($BG$14:$BK$27,MATCH(M$7,$BG$14:$BG$27,0),2))&lt;&gt;"",INDEX(BDHK2,MATCH($A47,DiemHKII!$B$4:$B$58,0),INDEX($BG$14:$BK$27,MATCH(M$7,$BG$14:$BG$27,0),5)),""),"")</f>
        <v/>
      </c>
      <c r="P47" s="34" t="str">
        <f>IF($A47&lt;&gt;"",IF(INDEX(BDHK2,MATCH($A47,DiemHKII!$B$4:$B$58,0),INDEX($BG$14:$BK$27,MATCH(P$7,$BG$14:$BG$27,0),2))&lt;&gt;"",INDEX(BDHK2,MATCH($A47,DiemHKII!$B$4:$B$58,0),INDEX($BG$14:$BK$27,MATCH(P$7,$BG$14:$BG$27,0),3)),""),"")</f>
        <v/>
      </c>
      <c r="Q47" s="35" t="str">
        <f>IF($A47&lt;&gt;"",IF(INDEX(BDHK2,MATCH($A47,DiemHKII!$B$4:$B$58,0),INDEX($BG$14:$BK$27,MATCH(P$7,$BG$14:$BG$27,0),2))&lt;&gt;"",INDEX(BDHK2,MATCH($A47,DiemHKII!$B$4:$B$58,0),INDEX($BG$14:$BK$27,MATCH(P$7,$BG$14:$BG$27,0),4)),""),"")</f>
        <v/>
      </c>
      <c r="R47" s="36" t="str">
        <f>IF($A47&lt;&gt;"",IF(INDEX(BDHK2,MATCH($A47,DiemHKII!$B$4:$B$58,0),INDEX($BG$14:$BK$27,MATCH(P$7,$BG$14:$BG$27,0),2))&lt;&gt;"",INDEX(BDHK2,MATCH($A47,DiemHKII!$B$4:$B$58,0),INDEX($BG$14:$BK$27,MATCH(P$7,$BG$14:$BG$27,0),5)),""),"")</f>
        <v/>
      </c>
      <c r="S47" s="34" t="str">
        <f>IF($A47&lt;&gt;"",IF(INDEX(BDHK2,MATCH($A47,DiemHKII!$B$4:$B$58,0),INDEX($BG$14:$BK$27,MATCH(S$7,$BG$14:$BG$27,0),2))&lt;&gt;"",INDEX(BDHK2,MATCH($A47,DiemHKII!$B$4:$B$58,0),INDEX($BG$14:$BK$27,MATCH(S$7,$BG$14:$BG$27,0),3)),""),"")</f>
        <v/>
      </c>
      <c r="T47" s="35" t="str">
        <f>IF($A47&lt;&gt;"",IF(INDEX(BDHK2,MATCH($A47,DiemHKII!$B$4:$B$58,0),INDEX($BG$14:$BK$27,MATCH(S$7,$BG$14:$BG$27,0),2))&lt;&gt;"",INDEX(BDHK2,MATCH($A47,DiemHKII!$B$4:$B$58,0),INDEX($BG$14:$BK$27,MATCH(S$7,$BG$14:$BG$27,0),4)),""),"")</f>
        <v/>
      </c>
      <c r="U47" s="36" t="str">
        <f>IF($A47&lt;&gt;"",IF(INDEX(BDHK2,MATCH($A47,DiemHKII!$B$4:$B$58,0),INDEX($BG$14:$BK$27,MATCH(S$7,$BG$14:$BG$27,0),2))&lt;&gt;"",INDEX(BDHK2,MATCH($A47,DiemHKII!$B$4:$B$58,0),INDEX($BG$14:$BK$27,MATCH(S$7,$BG$14:$BG$27,0),5)),""),"")</f>
        <v/>
      </c>
      <c r="V47" s="34" t="str">
        <f>IF($A47&lt;&gt;"",IF(INDEX(BDHK2,MATCH($A47,DiemHKII!$B$4:$B$58,0),INDEX($BG$14:$BK$27,MATCH(V$7,$BG$14:$BG$27,0),2))&lt;&gt;"",INDEX(BDHK2,MATCH($A47,DiemHKII!$B$4:$B$58,0),INDEX($BG$14:$BK$27,MATCH(V$7,$BG$14:$BG$27,0),3)),""),"")</f>
        <v/>
      </c>
      <c r="W47" s="35" t="str">
        <f>IF($A47&lt;&gt;"",IF(INDEX(BDHK2,MATCH($A47,DiemHKII!$B$4:$B$58,0),INDEX($BG$14:$BK$27,MATCH(V$7,$BG$14:$BG$27,0),2))&lt;&gt;"",INDEX(BDHK2,MATCH($A47,DiemHKII!$B$4:$B$58,0),INDEX($BG$14:$BK$27,MATCH(V$7,$BG$14:$BG$27,0),4)),""),"")</f>
        <v/>
      </c>
      <c r="X47" s="36" t="str">
        <f>IF($A47&lt;&gt;"",IF(INDEX(BDHK2,MATCH($A47,DiemHKII!$B$4:$B$58,0),INDEX($BG$14:$BK$27,MATCH(V$7,$BG$14:$BG$27,0),2))&lt;&gt;"",INDEX(BDHK2,MATCH($A47,DiemHKII!$B$4:$B$58,0),INDEX($BG$14:$BK$27,MATCH(V$7,$BG$14:$BG$27,0),5)),""),"")</f>
        <v/>
      </c>
      <c r="Y47" s="34" t="str">
        <f>IF($A47&lt;&gt;"",IF(INDEX(BDHK2,MATCH($A47,DiemHKII!$B$4:$B$58,0),INDEX($BG$14:$BK$27,MATCH(Y$7,$BG$14:$BG$27,0),2))&lt;&gt;"",INDEX(BDHK2,MATCH($A47,DiemHKII!$B$4:$B$58,0),INDEX($BG$14:$BK$27,MATCH(Y$7,$BG$14:$BG$27,0),3)),""),"")</f>
        <v/>
      </c>
      <c r="Z47" s="35" t="str">
        <f>IF($A47&lt;&gt;"",IF(INDEX(BDHK2,MATCH($A47,DiemHKII!$B$4:$B$58,0),INDEX($BG$14:$BK$27,MATCH(Y$7,$BG$14:$BG$27,0),2))&lt;&gt;"",INDEX(BDHK2,MATCH($A47,DiemHKII!$B$4:$B$58,0),INDEX($BG$14:$BK$27,MATCH(Y$7,$BG$14:$BG$27,0),4)),""),"")</f>
        <v/>
      </c>
      <c r="AA47" s="36" t="str">
        <f>IF($A47&lt;&gt;"",IF(INDEX(BDHK2,MATCH($A47,DiemHKII!$B$4:$B$58,0),INDEX($BG$14:$BK$27,MATCH(Y$7,$BG$14:$BG$27,0),2))&lt;&gt;"",INDEX(BDHK2,MATCH($A47,DiemHKII!$B$4:$B$58,0),INDEX($BG$14:$BK$27,MATCH(Y$7,$BG$14:$BG$27,0),5)),""),"")</f>
        <v/>
      </c>
      <c r="AB47" s="34" t="str">
        <f>IF($A47&lt;&gt;"",IF(INDEX(BDHK2,MATCH($A47,DiemHKII!$B$4:$B$58,0),INDEX($BG$14:$BK$27,MATCH(AB$7,$BG$14:$BG$27,0),2))&lt;&gt;"",INDEX(BDHK2,MATCH($A47,DiemHKII!$B$4:$B$58,0),INDEX($BG$14:$BK$27,MATCH(AB$7,$BG$14:$BG$27,0),3)),""),"")</f>
        <v/>
      </c>
      <c r="AC47" s="35" t="str">
        <f>IF($A47&lt;&gt;"",IF(INDEX(BDHK2,MATCH($A47,DiemHKII!$B$4:$B$58,0),INDEX($BG$14:$BK$27,MATCH(AB$7,$BG$14:$BG$27,0),2))&lt;&gt;"",INDEX(BDHK2,MATCH($A47,DiemHKII!$B$4:$B$58,0),INDEX($BG$14:$BK$27,MATCH(AB$7,$BG$14:$BG$27,0),4)),""),"")</f>
        <v/>
      </c>
      <c r="AD47" s="36" t="str">
        <f>IF($A47&lt;&gt;"",IF(INDEX(BDHK2,MATCH($A47,DiemHKII!$B$4:$B$58,0),INDEX($BG$14:$BK$27,MATCH(AB$7,$BG$14:$BG$27,0),2))&lt;&gt;"",INDEX(BDHK2,MATCH($A47,DiemHKII!$B$4:$B$58,0),INDEX($BG$14:$BK$27,MATCH(AB$7,$BG$14:$BG$27,0),5)),""),"")</f>
        <v/>
      </c>
      <c r="AE47" s="34" t="str">
        <f>IF($A47&lt;&gt;"",IF(INDEX(BDHK2,MATCH($A47,DiemHKII!$B$4:$B$58,0),INDEX($BG$14:$BK$27,MATCH(AE$7,$BG$14:$BG$27,0),2))&lt;&gt;"",INDEX(BDHK2,MATCH($A47,DiemHKII!$B$4:$B$58,0),INDEX($BG$14:$BK$27,MATCH(AE$7,$BG$14:$BG$27,0),3)),""),"")</f>
        <v/>
      </c>
      <c r="AF47" s="35" t="str">
        <f>IF($A47&lt;&gt;"",IF(INDEX(BDHK2,MATCH($A47,DiemHKII!$B$4:$B$58,0),INDEX($BG$14:$BK$27,MATCH(AE$7,$BG$14:$BG$27,0),2))&lt;&gt;"",INDEX(BDHK2,MATCH($A47,DiemHKII!$B$4:$B$58,0),INDEX($BG$14:$BK$27,MATCH(AE$7,$BG$14:$BG$27,0),4)),""),"")</f>
        <v/>
      </c>
      <c r="AG47" s="36" t="str">
        <f>IF($A47&lt;&gt;"",IF(INDEX(BDHK2,MATCH($A47,DiemHKII!$B$4:$B$58,0),INDEX($BG$14:$BK$27,MATCH(AE$7,$BG$14:$BG$27,0),2))&lt;&gt;"",INDEX(BDHK2,MATCH($A47,DiemHKII!$B$4:$B$58,0),INDEX($BG$14:$BK$27,MATCH(AE$7,$BG$14:$BG$27,0),5)),""),"")</f>
        <v/>
      </c>
      <c r="AH47" s="34" t="str">
        <f>IF($A47&lt;&gt;"",IF(INDEX(BDHK2,MATCH($A47,DiemHKII!$B$4:$B$58,0),INDEX($BG$14:$BK$27,MATCH(AH$7,$BG$14:$BG$27,0),2))&lt;&gt;"",INDEX(BDHK2,MATCH($A47,DiemHKII!$B$4:$B$58,0),INDEX($BG$14:$BK$27,MATCH(AH$7,$BG$14:$BG$27,0),3)),""),"")</f>
        <v/>
      </c>
      <c r="AI47" s="35" t="str">
        <f>IF($A47&lt;&gt;"",IF(INDEX(BDHK2,MATCH($A47,DiemHKII!$B$4:$B$58,0),INDEX($BG$14:$BK$27,MATCH(AH$7,$BG$14:$BG$27,0),2))&lt;&gt;"",INDEX(BDHK2,MATCH($A47,DiemHKII!$B$4:$B$58,0),INDEX($BG$14:$BK$27,MATCH(AH$7,$BG$14:$BG$27,0),4)),""),"")</f>
        <v/>
      </c>
      <c r="AJ47" s="36" t="str">
        <f>IF($A47&lt;&gt;"",IF(INDEX(BDHK2,MATCH($A47,DiemHKII!$B$4:$B$58,0),INDEX($BG$14:$BK$27,MATCH(AH$7,$BG$14:$BG$27,0),2))&lt;&gt;"",INDEX(BDHK2,MATCH($A47,DiemHKII!$B$4:$B$58,0),INDEX($BG$14:$BK$27,MATCH(AH$7,$BG$14:$BG$27,0),5)),""),"")</f>
        <v/>
      </c>
      <c r="AK47" s="37" t="str">
        <f>IF($A47&lt;&gt;"",IF(INDEX(BDHK2,MATCH($A47,DiemHKII!$B$4:$B$58,0),INDEX($BG$14:$BK$27,MATCH(AK$7,$BG$14:$BG$27,0),2))&lt;&gt;"",INDEX(BDHK2,MATCH($A47,DiemHKII!$B$4:$B$58,0),INDEX($BG$14:$BK$27,MATCH(AK$7,$BG$14:$BG$27,0),3)),""),"")</f>
        <v/>
      </c>
      <c r="AL47" s="8" t="str">
        <f>IF($A47&lt;&gt;"",IF(INDEX(BDHK2,MATCH($A47,DiemHKII!$B$4:$B$58,0),INDEX($BG$14:$BK$27,MATCH(AK$7,$BG$14:$BG$27,0),2))&lt;&gt;"",INDEX(BDHK2,MATCH($A47,DiemHKII!$B$4:$B$58,0),INDEX($BG$14:$BK$27,MATCH(AK$7,$BG$14:$BG$27,0),4)),""),"")</f>
        <v/>
      </c>
      <c r="AM47" s="38" t="str">
        <f>IF($A47&lt;&gt;"",IF(INDEX(BDHK2,MATCH($A47,DiemHKII!$B$4:$B$58,0),INDEX($BG$14:$BK$27,MATCH(AK$7,$BG$14:$BG$27,0),2))&lt;&gt;"",INDEX(BDHK2,MATCH($A47,DiemHKII!$B$4:$B$58,0),INDEX($BG$14:$BK$27,MATCH(AK$7,$BG$14:$BG$27,0),5)),""),"")</f>
        <v/>
      </c>
      <c r="AN47" s="34" t="str">
        <f>IF($A47&lt;&gt;"",IF(INDEX(BDHK2,MATCH($A47,DiemHKII!$B$4:$B$58,0),INDEX($BG$14:$BK$27,MATCH(AN$7,$BG$14:$BG$27,0),2))&lt;&gt;"",INDEX(BDHK2,MATCH($A47,DiemHKII!$B$4:$B$58,0),INDEX($BG$14:$BK$27,MATCH(AN$7,$BG$14:$BG$27,0),3)),""),"")</f>
        <v/>
      </c>
      <c r="AO47" s="35" t="str">
        <f>IF($A47&lt;&gt;"",IF(INDEX(BDHK2,MATCH($A47,DiemHKII!$B$4:$B$58,0),INDEX($BG$14:$BK$27,MATCH(AN$7,$BG$14:$BG$27,0),2))&lt;&gt;"",INDEX(BDHK2,MATCH($A47,DiemHKII!$B$4:$B$58,0),INDEX($BG$14:$BK$27,MATCH(AN$7,$BG$14:$BG$27,0),4)),""),"")</f>
        <v/>
      </c>
      <c r="AP47" s="36" t="str">
        <f>IF($A47&lt;&gt;"",IF(INDEX(BDHK2,MATCH($A47,DiemHKII!$B$4:$B$58,0),INDEX($BG$14:$BK$27,MATCH(AN$7,$BG$14:$BG$27,0),2))&lt;&gt;"",INDEX(BDHK2,MATCH($A47,DiemHKII!$B$4:$B$58,0),INDEX($BG$14:$BK$27,MATCH(AN$7,$BG$14:$BG$27,0),5)),""),"")</f>
        <v/>
      </c>
      <c r="AQ47" s="34" t="str">
        <f>IF($A47&lt;&gt;"",IF(INDEX(BDHK2,MATCH($A47,DiemHKII!$B$4:$B$58,0),INDEX($BG$14:$BK$27,MATCH(AQ$7,$BG$14:$BG$27,0),2))&lt;&gt;"",INDEX(BDHK2,MATCH($A47,DiemHKII!$B$4:$B$58,0),INDEX($BG$14:$BK$27,MATCH(AQ$7,$BG$14:$BG$27,0),3)),""),"")</f>
        <v/>
      </c>
      <c r="AR47" s="35" t="str">
        <f>IF($A47&lt;&gt;"",IF(INDEX(BDHK2,MATCH($A47,DiemHKII!$B$4:$B$58,0),INDEX($BG$14:$BK$27,MATCH(AQ$7,$BG$14:$BG$27,0),2))&lt;&gt;"",INDEX(BDHK2,MATCH($A47,DiemHKII!$B$4:$B$58,0),INDEX($BG$14:$BK$27,MATCH(AQ$7,$BG$14:$BG$27,0),4)),""),"")</f>
        <v/>
      </c>
      <c r="AS47" s="36" t="str">
        <f>IF($A47&lt;&gt;"",IF(INDEX(BDHK2,MATCH($A47,DiemHKII!$B$4:$B$58,0),INDEX($BG$14:$BK$27,MATCH(AQ$7,$BG$14:$BG$27,0),2))&lt;&gt;"",INDEX(BDHK2,MATCH($A47,DiemHKII!$B$4:$B$58,0),INDEX($BG$14:$BK$27,MATCH(AQ$7,$BG$14:$BG$27,0),5)),""),"")</f>
        <v/>
      </c>
      <c r="AT47" s="34" t="str">
        <f>IFERROR(IF($A47&gt;=1,IF(INDEX(THHKI!$V$8:$Y$62,MATCH($BL47,THHKI!$AG$8:$AG$62,0),1)&lt;&gt;"",INDEX(THHKI!$V$8:$Y$62,MATCH($BL47,THHKI!$AG$8:$AG$62,0),1),""),""),"")</f>
        <v/>
      </c>
      <c r="AU47" s="35" t="str">
        <f>IF($A47&gt;=1,IF(INDEX(THHKII!$V$8:$Y$62,MATCH($BL47,THHKII!$AG$8:$AG$62,0),1)&lt;&gt;"",INDEX(THHKII!$V$8:$Y$62,MATCH($BL47,THHKII!$AG$8:$AG$62,0),1),""),"")</f>
        <v/>
      </c>
      <c r="AV47" s="39" t="str">
        <f>IF($A47&gt;=1,IF(INDEX(THCN!$V$8:$Y$62,MATCH($BL47,THCN!$AG$8:$AG$62,0),1)&lt;&gt;"",INDEX(THCN!$V$8:$Y$62,MATCH($BL47,THCN!$AG$8:$AG$62,0),1),""),"")</f>
        <v/>
      </c>
      <c r="AW47" s="40" t="str">
        <f>IFERROR(IF($A47&gt;=1,IF(INDEX(THHKI!$V$8:$Y$62,MATCH($BL47,THHKI!$AG$8:$AG$62,0),2)&lt;&gt;"",INDEX(THHKI!$V$8:$Y$62,MATCH($BL47,THHKI!$AG$8:$AG$62,0),2),""),""),"")</f>
        <v/>
      </c>
      <c r="AX47" s="8" t="str">
        <f>IF($A47&gt;=1,IF(INDEX(THHKII!$V$8:$Y$62,MATCH($BL47,THHKII!$AG$8:$AG$62,0),2)&lt;&gt;"",INDEX(THHKII!$V$8:$Y$62,MATCH($BL47,THHKII!$AG$8:$AG$62,0),2),""),"")</f>
        <v/>
      </c>
      <c r="AY47" s="467" t="str">
        <f>IF($A47&gt;=1,IF(INDEX(THCN!$V$8:$Y$62,MATCH($BL47,THCN!$AG$8:$AG$62,0),2)&lt;&gt;"",INDEX(THCN!$V$8:$Y$62,MATCH($BL47,THCN!$AG$8:$AG$62,0),2),""),"")</f>
        <v/>
      </c>
      <c r="AZ47" s="37" t="str">
        <f>IFERROR(IF($A47&gt;=1,IF(INDEX(THHKI!$V$8:$Y$62,MATCH($BL47,THHKI!$AG$8:$AG$62,0),3)&lt;&gt;"",INDEX(THHKI!$V$8:$Y$62,MATCH($BL47,THHKI!$AG$8:$AG$62,0),3),""),""),"")</f>
        <v/>
      </c>
      <c r="BA47" s="8" t="str">
        <f>IF($A47&gt;=1,IF(INDEX(THHKII!$V$8:$Y$62,MATCH($BL47,THHKII!$AG$8:$AG$62,0),3)&lt;&gt;"",INDEX(THHKII!$V$8:$Y$62,MATCH($BL47,THHKII!$AG$8:$AG$62,0),3),""),"")</f>
        <v/>
      </c>
      <c r="BB47" s="41" t="str">
        <f>IF($A47&gt;=1,IF(INDEX(THCN!$V$8:$Y$62,MATCH($BL47,THCN!$AG$8:$AG$62,0),3)&lt;&gt;"",INDEX(THCN!$V$8:$Y$62,MATCH($BL47,THCN!$AG$8:$AG$62,0),3),""),"")</f>
        <v/>
      </c>
      <c r="BC47" s="42" t="str">
        <f>IF($A47&gt;=1,IF(INDEX(THCN!$V$8:$Y$62,MATCH($BL47,THCN!$AG$8:$AG$62,0),4)&lt;&gt;"",INDEX(THCN!$V$8:$Y$62,MATCH($BL47,THCN!$AG$8:$AG$62,0),4),""),"")</f>
        <v/>
      </c>
      <c r="BE47" s="31" t="str">
        <f>IFERROR(IF($A47&gt;=1,IF(INDEX(THHKI!$V$8:$Y$62,MATCH($BL47,THHKI!$AG$8:$AG$62,0),4)&lt;&gt;"",INDEX(THHKI!$V$8:$Y$62,MATCH($BL47,THHKI!$AG$8:$AG$62,0),4),""),""),"")</f>
        <v/>
      </c>
      <c r="BF47" s="42" t="str">
        <f>IF($A47&gt;=1,IF(INDEX(THHKII!$V$8:$Y$62,MATCH($BL47,THHKII!$AG$8:$AG$62,0),4)&lt;&gt;"",INDEX(THHKII!$V$8:$Y$62,MATCH($BL47,THHKII!$AG$8:$AG$62,0),4),""),"")</f>
        <v/>
      </c>
      <c r="BL47" s="30" t="str">
        <f>IF($A47&lt;&gt;"",INDEX(DiemHKII!$B$4:$K$58,MATCH($A47,DiemHKII!$B$4:$B$58,0),2),"")</f>
        <v/>
      </c>
    </row>
    <row r="48" spans="1:64" s="30" customFormat="1" ht="29.1" customHeight="1" thickBot="1">
      <c r="A48" s="43" t="str">
        <f>IF(A47&lt;MAX(DiemHKII!$B$4:$B$58),A47+1,"")</f>
        <v/>
      </c>
      <c r="B48" s="44" t="str">
        <f>IF($A48&lt;&gt;"",PROPER(INDEX(DiemHKII!$B$4:$K$58,MATCH($A48,DiemHKII!$B$4:$B$58,0),4)),"")</f>
        <v/>
      </c>
      <c r="C48" s="45" t="str">
        <f>IF($A48&lt;&gt;"",PROPER(INDEX(DiemHKII!$B$4:$K$58,MATCH($A48,DiemHKII!$B$4:$B$58,0),5)),"")</f>
        <v/>
      </c>
      <c r="D48" s="46" t="str">
        <f>IF($A48&lt;&gt;"",IF(INDEX(BDHK2,MATCH($A48,DiemHKII!$B$4:$B$58,0),INDEX($BG$14:$BK$27,MATCH(D$7,$BG$14:$BG$27,0),2))&lt;&gt;"",INDEX(BDHK2,MATCH($A48,DiemHKII!$B$4:$B$58,0),INDEX($BG$14:$BK$27,MATCH(D$7,$BG$14:$BG$27,0),3)),""),"")</f>
        <v/>
      </c>
      <c r="E48" s="47" t="str">
        <f>IF($A48&lt;&gt;"",IF(INDEX(BDHK2,MATCH($A48,DiemHKII!$B$4:$B$58,0),INDEX($BG$14:$BK$27,MATCH(D$7,$BG$14:$BG$27,0),2))&lt;&gt;"",INDEX(BDHK2,MATCH($A48,DiemHKII!$B$4:$B$58,0),INDEX($BG$14:$BK$27,MATCH(D$7,$BG$14:$BG$27,0),4)),""),"")</f>
        <v/>
      </c>
      <c r="F48" s="48" t="str">
        <f>IF($A48&lt;&gt;"",IF(INDEX(BDHK2,MATCH($A48,DiemHKII!$B$4:$B$58,0),INDEX($BG$14:$BK$27,MATCH(D$7,$BG$14:$BG$27,0),2))&lt;&gt;"",INDEX(BDHK2,MATCH($A48,DiemHKII!$B$4:$B$58,0),INDEX($BG$14:$BK$27,MATCH(D$7,$BG$14:$BG$27,0),5)),""),"")</f>
        <v/>
      </c>
      <c r="G48" s="46" t="str">
        <f>IF($A48&lt;&gt;"",IF(INDEX(BDHK2,MATCH($A48,DiemHKII!$B$4:$B$58,0),INDEX($BG$14:$BK$27,MATCH(G$7,$BG$14:$BG$27,0),2))&lt;&gt;"",INDEX(BDHK2,MATCH($A48,DiemHKII!$B$4:$B$58,0),INDEX($BG$14:$BK$27,MATCH(G$7,$BG$14:$BG$27,0),3)),""),"")</f>
        <v/>
      </c>
      <c r="H48" s="47" t="str">
        <f>IF($A48&lt;&gt;"",IF(INDEX(BDHK2,MATCH($A48,DiemHKII!$B$4:$B$58,0),INDEX($BG$14:$BK$27,MATCH(G$7,$BG$14:$BG$27,0),2))&lt;&gt;"",INDEX(BDHK2,MATCH($A48,DiemHKII!$B$4:$B$58,0),INDEX($BG$14:$BK$27,MATCH(G$7,$BG$14:$BG$27,0),4)),""),"")</f>
        <v/>
      </c>
      <c r="I48" s="48" t="str">
        <f>IF($A48&lt;&gt;"",IF(INDEX(BDHK2,MATCH($A48,DiemHKII!$B$4:$B$58,0),INDEX($BG$14:$BK$27,MATCH(G$7,$BG$14:$BG$27,0),2))&lt;&gt;"",INDEX(BDHK2,MATCH($A48,DiemHKII!$B$4:$B$58,0),INDEX($BG$14:$BK$27,MATCH(G$7,$BG$14:$BG$27,0),5)),""),"")</f>
        <v/>
      </c>
      <c r="J48" s="46" t="str">
        <f>IF($A48&lt;&gt;"",IF(INDEX(BDHK2,MATCH($A48,DiemHKII!$B$4:$B$58,0),INDEX($BG$14:$BK$27,MATCH(J$7,$BG$14:$BG$27,0),2))&lt;&gt;"",INDEX(BDHK2,MATCH($A48,DiemHKII!$B$4:$B$58,0),INDEX($BG$14:$BK$27,MATCH(J$7,$BG$14:$BG$27,0),3)),""),"")</f>
        <v/>
      </c>
      <c r="K48" s="47" t="str">
        <f>IF($A48&lt;&gt;"",IF(INDEX(BDHK2,MATCH($A48,DiemHKII!$B$4:$B$58,0),INDEX($BG$14:$BK$27,MATCH(J$7,$BG$14:$BG$27,0),2))&lt;&gt;"",INDEX(BDHK2,MATCH($A48,DiemHKII!$B$4:$B$58,0),INDEX($BG$14:$BK$27,MATCH(J$7,$BG$14:$BG$27,0),4)),""),"")</f>
        <v/>
      </c>
      <c r="L48" s="48" t="str">
        <f>IF($A48&lt;&gt;"",IF(INDEX(BDHK2,MATCH($A48,DiemHKII!$B$4:$B$58,0),INDEX($BG$14:$BK$27,MATCH(J$7,$BG$14:$BG$27,0),2))&lt;&gt;"",INDEX(BDHK2,MATCH($A48,DiemHKII!$B$4:$B$58,0),INDEX($BG$14:$BK$27,MATCH(J$7,$BG$14:$BG$27,0),5)),""),"")</f>
        <v/>
      </c>
      <c r="M48" s="46" t="str">
        <f>IF($A48&lt;&gt;"",IF(INDEX(BDHK2,MATCH($A48,DiemHKII!$B$4:$B$58,0),INDEX($BG$14:$BK$27,MATCH(M$7,$BG$14:$BG$27,0),2))&lt;&gt;"",INDEX(BDHK2,MATCH($A48,DiemHKII!$B$4:$B$58,0),INDEX($BG$14:$BK$27,MATCH(M$7,$BG$14:$BG$27,0),3)),""),"")</f>
        <v/>
      </c>
      <c r="N48" s="47" t="str">
        <f>IF($A48&lt;&gt;"",IF(INDEX(BDHK2,MATCH($A48,DiemHKII!$B$4:$B$58,0),INDEX($BG$14:$BK$27,MATCH(M$7,$BG$14:$BG$27,0),2))&lt;&gt;"",INDEX(BDHK2,MATCH($A48,DiemHKII!$B$4:$B$58,0),INDEX($BG$14:$BK$27,MATCH(M$7,$BG$14:$BG$27,0),4)),""),"")</f>
        <v/>
      </c>
      <c r="O48" s="48" t="str">
        <f>IF($A48&lt;&gt;"",IF(INDEX(BDHK2,MATCH($A48,DiemHKII!$B$4:$B$58,0),INDEX($BG$14:$BK$27,MATCH(M$7,$BG$14:$BG$27,0),2))&lt;&gt;"",INDEX(BDHK2,MATCH($A48,DiemHKII!$B$4:$B$58,0),INDEX($BG$14:$BK$27,MATCH(M$7,$BG$14:$BG$27,0),5)),""),"")</f>
        <v/>
      </c>
      <c r="P48" s="46" t="str">
        <f>IF($A48&lt;&gt;"",IF(INDEX(BDHK2,MATCH($A48,DiemHKII!$B$4:$B$58,0),INDEX($BG$14:$BK$27,MATCH(P$7,$BG$14:$BG$27,0),2))&lt;&gt;"",INDEX(BDHK2,MATCH($A48,DiemHKII!$B$4:$B$58,0),INDEX($BG$14:$BK$27,MATCH(P$7,$BG$14:$BG$27,0),3)),""),"")</f>
        <v/>
      </c>
      <c r="Q48" s="47" t="str">
        <f>IF($A48&lt;&gt;"",IF(INDEX(BDHK2,MATCH($A48,DiemHKII!$B$4:$B$58,0),INDEX($BG$14:$BK$27,MATCH(P$7,$BG$14:$BG$27,0),2))&lt;&gt;"",INDEX(BDHK2,MATCH($A48,DiemHKII!$B$4:$B$58,0),INDEX($BG$14:$BK$27,MATCH(P$7,$BG$14:$BG$27,0),4)),""),"")</f>
        <v/>
      </c>
      <c r="R48" s="48" t="str">
        <f>IF($A48&lt;&gt;"",IF(INDEX(BDHK2,MATCH($A48,DiemHKII!$B$4:$B$58,0),INDEX($BG$14:$BK$27,MATCH(P$7,$BG$14:$BG$27,0),2))&lt;&gt;"",INDEX(BDHK2,MATCH($A48,DiemHKII!$B$4:$B$58,0),INDEX($BG$14:$BK$27,MATCH(P$7,$BG$14:$BG$27,0),5)),""),"")</f>
        <v/>
      </c>
      <c r="S48" s="46" t="str">
        <f>IF($A48&lt;&gt;"",IF(INDEX(BDHK2,MATCH($A48,DiemHKII!$B$4:$B$58,0),INDEX($BG$14:$BK$27,MATCH(S$7,$BG$14:$BG$27,0),2))&lt;&gt;"",INDEX(BDHK2,MATCH($A48,DiemHKII!$B$4:$B$58,0),INDEX($BG$14:$BK$27,MATCH(S$7,$BG$14:$BG$27,0),3)),""),"")</f>
        <v/>
      </c>
      <c r="T48" s="47" t="str">
        <f>IF($A48&lt;&gt;"",IF(INDEX(BDHK2,MATCH($A48,DiemHKII!$B$4:$B$58,0),INDEX($BG$14:$BK$27,MATCH(S$7,$BG$14:$BG$27,0),2))&lt;&gt;"",INDEX(BDHK2,MATCH($A48,DiemHKII!$B$4:$B$58,0),INDEX($BG$14:$BK$27,MATCH(S$7,$BG$14:$BG$27,0),4)),""),"")</f>
        <v/>
      </c>
      <c r="U48" s="48" t="str">
        <f>IF($A48&lt;&gt;"",IF(INDEX(BDHK2,MATCH($A48,DiemHKII!$B$4:$B$58,0),INDEX($BG$14:$BK$27,MATCH(S$7,$BG$14:$BG$27,0),2))&lt;&gt;"",INDEX(BDHK2,MATCH($A48,DiemHKII!$B$4:$B$58,0),INDEX($BG$14:$BK$27,MATCH(S$7,$BG$14:$BG$27,0),5)),""),"")</f>
        <v/>
      </c>
      <c r="V48" s="46" t="str">
        <f>IF($A48&lt;&gt;"",IF(INDEX(BDHK2,MATCH($A48,DiemHKII!$B$4:$B$58,0),INDEX($BG$14:$BK$27,MATCH(V$7,$BG$14:$BG$27,0),2))&lt;&gt;"",INDEX(BDHK2,MATCH($A48,DiemHKII!$B$4:$B$58,0),INDEX($BG$14:$BK$27,MATCH(V$7,$BG$14:$BG$27,0),3)),""),"")</f>
        <v/>
      </c>
      <c r="W48" s="47" t="str">
        <f>IF($A48&lt;&gt;"",IF(INDEX(BDHK2,MATCH($A48,DiemHKII!$B$4:$B$58,0),INDEX($BG$14:$BK$27,MATCH(V$7,$BG$14:$BG$27,0),2))&lt;&gt;"",INDEX(BDHK2,MATCH($A48,DiemHKII!$B$4:$B$58,0),INDEX($BG$14:$BK$27,MATCH(V$7,$BG$14:$BG$27,0),4)),""),"")</f>
        <v/>
      </c>
      <c r="X48" s="48" t="str">
        <f>IF($A48&lt;&gt;"",IF(INDEX(BDHK2,MATCH($A48,DiemHKII!$B$4:$B$58,0),INDEX($BG$14:$BK$27,MATCH(V$7,$BG$14:$BG$27,0),2))&lt;&gt;"",INDEX(BDHK2,MATCH($A48,DiemHKII!$B$4:$B$58,0),INDEX($BG$14:$BK$27,MATCH(V$7,$BG$14:$BG$27,0),5)),""),"")</f>
        <v/>
      </c>
      <c r="Y48" s="46" t="str">
        <f>IF($A48&lt;&gt;"",IF(INDEX(BDHK2,MATCH($A48,DiemHKII!$B$4:$B$58,0),INDEX($BG$14:$BK$27,MATCH(Y$7,$BG$14:$BG$27,0),2))&lt;&gt;"",INDEX(BDHK2,MATCH($A48,DiemHKII!$B$4:$B$58,0),INDEX($BG$14:$BK$27,MATCH(Y$7,$BG$14:$BG$27,0),3)),""),"")</f>
        <v/>
      </c>
      <c r="Z48" s="47" t="str">
        <f>IF($A48&lt;&gt;"",IF(INDEX(BDHK2,MATCH($A48,DiemHKII!$B$4:$B$58,0),INDEX($BG$14:$BK$27,MATCH(Y$7,$BG$14:$BG$27,0),2))&lt;&gt;"",INDEX(BDHK2,MATCH($A48,DiemHKII!$B$4:$B$58,0),INDEX($BG$14:$BK$27,MATCH(Y$7,$BG$14:$BG$27,0),4)),""),"")</f>
        <v/>
      </c>
      <c r="AA48" s="48" t="str">
        <f>IF($A48&lt;&gt;"",IF(INDEX(BDHK2,MATCH($A48,DiemHKII!$B$4:$B$58,0),INDEX($BG$14:$BK$27,MATCH(Y$7,$BG$14:$BG$27,0),2))&lt;&gt;"",INDEX(BDHK2,MATCH($A48,DiemHKII!$B$4:$B$58,0),INDEX($BG$14:$BK$27,MATCH(Y$7,$BG$14:$BG$27,0),5)),""),"")</f>
        <v/>
      </c>
      <c r="AB48" s="46" t="str">
        <f>IF($A48&lt;&gt;"",IF(INDEX(BDHK2,MATCH($A48,DiemHKII!$B$4:$B$58,0),INDEX($BG$14:$BK$27,MATCH(AB$7,$BG$14:$BG$27,0),2))&lt;&gt;"",INDEX(BDHK2,MATCH($A48,DiemHKII!$B$4:$B$58,0),INDEX($BG$14:$BK$27,MATCH(AB$7,$BG$14:$BG$27,0),3)),""),"")</f>
        <v/>
      </c>
      <c r="AC48" s="47" t="str">
        <f>IF($A48&lt;&gt;"",IF(INDEX(BDHK2,MATCH($A48,DiemHKII!$B$4:$B$58,0),INDEX($BG$14:$BK$27,MATCH(AB$7,$BG$14:$BG$27,0),2))&lt;&gt;"",INDEX(BDHK2,MATCH($A48,DiemHKII!$B$4:$B$58,0),INDEX($BG$14:$BK$27,MATCH(AB$7,$BG$14:$BG$27,0),4)),""),"")</f>
        <v/>
      </c>
      <c r="AD48" s="48" t="str">
        <f>IF($A48&lt;&gt;"",IF(INDEX(BDHK2,MATCH($A48,DiemHKII!$B$4:$B$58,0),INDEX($BG$14:$BK$27,MATCH(AB$7,$BG$14:$BG$27,0),2))&lt;&gt;"",INDEX(BDHK2,MATCH($A48,DiemHKII!$B$4:$B$58,0),INDEX($BG$14:$BK$27,MATCH(AB$7,$BG$14:$BG$27,0),5)),""),"")</f>
        <v/>
      </c>
      <c r="AE48" s="46" t="str">
        <f>IF($A48&lt;&gt;"",IF(INDEX(BDHK2,MATCH($A48,DiemHKII!$B$4:$B$58,0),INDEX($BG$14:$BK$27,MATCH(AE$7,$BG$14:$BG$27,0),2))&lt;&gt;"",INDEX(BDHK2,MATCH($A48,DiemHKII!$B$4:$B$58,0),INDEX($BG$14:$BK$27,MATCH(AE$7,$BG$14:$BG$27,0),3)),""),"")</f>
        <v/>
      </c>
      <c r="AF48" s="47" t="str">
        <f>IF($A48&lt;&gt;"",IF(INDEX(BDHK2,MATCH($A48,DiemHKII!$B$4:$B$58,0),INDEX($BG$14:$BK$27,MATCH(AE$7,$BG$14:$BG$27,0),2))&lt;&gt;"",INDEX(BDHK2,MATCH($A48,DiemHKII!$B$4:$B$58,0),INDEX($BG$14:$BK$27,MATCH(AE$7,$BG$14:$BG$27,0),4)),""),"")</f>
        <v/>
      </c>
      <c r="AG48" s="48" t="str">
        <f>IF($A48&lt;&gt;"",IF(INDEX(BDHK2,MATCH($A48,DiemHKII!$B$4:$B$58,0),INDEX($BG$14:$BK$27,MATCH(AE$7,$BG$14:$BG$27,0),2))&lt;&gt;"",INDEX(BDHK2,MATCH($A48,DiemHKII!$B$4:$B$58,0),INDEX($BG$14:$BK$27,MATCH(AE$7,$BG$14:$BG$27,0),5)),""),"")</f>
        <v/>
      </c>
      <c r="AH48" s="46" t="str">
        <f>IF($A48&lt;&gt;"",IF(INDEX(BDHK2,MATCH($A48,DiemHKII!$B$4:$B$58,0),INDEX($BG$14:$BK$27,MATCH(AH$7,$BG$14:$BG$27,0),2))&lt;&gt;"",INDEX(BDHK2,MATCH($A48,DiemHKII!$B$4:$B$58,0),INDEX($BG$14:$BK$27,MATCH(AH$7,$BG$14:$BG$27,0),3)),""),"")</f>
        <v/>
      </c>
      <c r="AI48" s="47" t="str">
        <f>IF($A48&lt;&gt;"",IF(INDEX(BDHK2,MATCH($A48,DiemHKII!$B$4:$B$58,0),INDEX($BG$14:$BK$27,MATCH(AH$7,$BG$14:$BG$27,0),2))&lt;&gt;"",INDEX(BDHK2,MATCH($A48,DiemHKII!$B$4:$B$58,0),INDEX($BG$14:$BK$27,MATCH(AH$7,$BG$14:$BG$27,0),4)),""),"")</f>
        <v/>
      </c>
      <c r="AJ48" s="48" t="str">
        <f>IF($A48&lt;&gt;"",IF(INDEX(BDHK2,MATCH($A48,DiemHKII!$B$4:$B$58,0),INDEX($BG$14:$BK$27,MATCH(AH$7,$BG$14:$BG$27,0),2))&lt;&gt;"",INDEX(BDHK2,MATCH($A48,DiemHKII!$B$4:$B$58,0),INDEX($BG$14:$BK$27,MATCH(AH$7,$BG$14:$BG$27,0),5)),""),"")</f>
        <v/>
      </c>
      <c r="AK48" s="49" t="str">
        <f>IF($A48&lt;&gt;"",IF(INDEX(BDHK2,MATCH($A48,DiemHKII!$B$4:$B$58,0),INDEX($BG$14:$BK$27,MATCH(AK$7,$BG$14:$BG$27,0),2))&lt;&gt;"",INDEX(BDHK2,MATCH($A48,DiemHKII!$B$4:$B$58,0),INDEX($BG$14:$BK$27,MATCH(AK$7,$BG$14:$BG$27,0),3)),""),"")</f>
        <v/>
      </c>
      <c r="AL48" s="50" t="str">
        <f>IF($A48&lt;&gt;"",IF(INDEX(BDHK2,MATCH($A48,DiemHKII!$B$4:$B$58,0),INDEX($BG$14:$BK$27,MATCH(AK$7,$BG$14:$BG$27,0),2))&lt;&gt;"",INDEX(BDHK2,MATCH($A48,DiemHKII!$B$4:$B$58,0),INDEX($BG$14:$BK$27,MATCH(AK$7,$BG$14:$BG$27,0),4)),""),"")</f>
        <v/>
      </c>
      <c r="AM48" s="51" t="str">
        <f>IF($A48&lt;&gt;"",IF(INDEX(BDHK2,MATCH($A48,DiemHKII!$B$4:$B$58,0),INDEX($BG$14:$BK$27,MATCH(AK$7,$BG$14:$BG$27,0),2))&lt;&gt;"",INDEX(BDHK2,MATCH($A48,DiemHKII!$B$4:$B$58,0),INDEX($BG$14:$BK$27,MATCH(AK$7,$BG$14:$BG$27,0),5)),""),"")</f>
        <v/>
      </c>
      <c r="AN48" s="46" t="str">
        <f>IF($A48&lt;&gt;"",IF(INDEX(BDHK2,MATCH($A48,DiemHKII!$B$4:$B$58,0),INDEX($BG$14:$BK$27,MATCH(AN$7,$BG$14:$BG$27,0),2))&lt;&gt;"",INDEX(BDHK2,MATCH($A48,DiemHKII!$B$4:$B$58,0),INDEX($BG$14:$BK$27,MATCH(AN$7,$BG$14:$BG$27,0),3)),""),"")</f>
        <v/>
      </c>
      <c r="AO48" s="47" t="str">
        <f>IF($A48&lt;&gt;"",IF(INDEX(BDHK2,MATCH($A48,DiemHKII!$B$4:$B$58,0),INDEX($BG$14:$BK$27,MATCH(AN$7,$BG$14:$BG$27,0),2))&lt;&gt;"",INDEX(BDHK2,MATCH($A48,DiemHKII!$B$4:$B$58,0),INDEX($BG$14:$BK$27,MATCH(AN$7,$BG$14:$BG$27,0),4)),""),"")</f>
        <v/>
      </c>
      <c r="AP48" s="48" t="str">
        <f>IF($A48&lt;&gt;"",IF(INDEX(BDHK2,MATCH($A48,DiemHKII!$B$4:$B$58,0),INDEX($BG$14:$BK$27,MATCH(AN$7,$BG$14:$BG$27,0),2))&lt;&gt;"",INDEX(BDHK2,MATCH($A48,DiemHKII!$B$4:$B$58,0),INDEX($BG$14:$BK$27,MATCH(AN$7,$BG$14:$BG$27,0),5)),""),"")</f>
        <v/>
      </c>
      <c r="AQ48" s="46" t="str">
        <f>IF($A48&lt;&gt;"",IF(INDEX(BDHK2,MATCH($A48,DiemHKII!$B$4:$B$58,0),INDEX($BG$14:$BK$27,MATCH(AQ$7,$BG$14:$BG$27,0),2))&lt;&gt;"",INDEX(BDHK2,MATCH($A48,DiemHKII!$B$4:$B$58,0),INDEX($BG$14:$BK$27,MATCH(AQ$7,$BG$14:$BG$27,0),3)),""),"")</f>
        <v/>
      </c>
      <c r="AR48" s="47" t="str">
        <f>IF($A48&lt;&gt;"",IF(INDEX(BDHK2,MATCH($A48,DiemHKII!$B$4:$B$58,0),INDEX($BG$14:$BK$27,MATCH(AQ$7,$BG$14:$BG$27,0),2))&lt;&gt;"",INDEX(BDHK2,MATCH($A48,DiemHKII!$B$4:$B$58,0),INDEX($BG$14:$BK$27,MATCH(AQ$7,$BG$14:$BG$27,0),4)),""),"")</f>
        <v/>
      </c>
      <c r="AS48" s="48" t="str">
        <f>IF($A48&lt;&gt;"",IF(INDEX(BDHK2,MATCH($A48,DiemHKII!$B$4:$B$58,0),INDEX($BG$14:$BK$27,MATCH(AQ$7,$BG$14:$BG$27,0),2))&lt;&gt;"",INDEX(BDHK2,MATCH($A48,DiemHKII!$B$4:$B$58,0),INDEX($BG$14:$BK$27,MATCH(AQ$7,$BG$14:$BG$27,0),5)),""),"")</f>
        <v/>
      </c>
      <c r="AT48" s="46" t="str">
        <f>IFERROR(IF($A48&gt;=1,IF(INDEX(THHKI!$V$8:$Y$62,MATCH($BL48,THHKI!$AG$8:$AG$62,0),1)&lt;&gt;"",INDEX(THHKI!$V$8:$Y$62,MATCH($BL48,THHKI!$AG$8:$AG$62,0),1),""),""),"")</f>
        <v/>
      </c>
      <c r="AU48" s="47" t="str">
        <f>IF($A48&gt;=1,IF(INDEX(THHKII!$V$8:$Y$62,MATCH($BL48,THHKII!$AG$8:$AG$62,0),1)&lt;&gt;"",INDEX(THHKII!$V$8:$Y$62,MATCH($BL48,THHKII!$AG$8:$AG$62,0),1),""),"")</f>
        <v/>
      </c>
      <c r="AV48" s="52" t="str">
        <f>IF($A48&gt;=1,IF(INDEX(THCN!$V$8:$Y$62,MATCH($BL48,THCN!$AG$8:$AG$62,0),1)&lt;&gt;"",INDEX(THCN!$V$8:$Y$62,MATCH($BL48,THCN!$AG$8:$AG$62,0),1),""),"")</f>
        <v/>
      </c>
      <c r="AW48" s="53" t="str">
        <f>IFERROR(IF($A48&gt;=1,IF(INDEX(THHKI!$V$8:$Y$62,MATCH($BL48,THHKI!$AG$8:$AG$62,0),2)&lt;&gt;"",INDEX(THHKI!$V$8:$Y$62,MATCH($BL48,THHKI!$AG$8:$AG$62,0),2),""),""),"")</f>
        <v/>
      </c>
      <c r="AX48" s="50" t="str">
        <f>IF($A48&gt;=1,IF(INDEX(THHKII!$V$8:$Y$62,MATCH($BL48,THHKII!$AG$8:$AG$62,0),2)&lt;&gt;"",INDEX(THHKII!$V$8:$Y$62,MATCH($BL48,THHKII!$AG$8:$AG$62,0),2),""),"")</f>
        <v/>
      </c>
      <c r="AY48" s="54" t="str">
        <f>IF($A48&gt;=1,IF(INDEX(THCN!$V$8:$Y$62,MATCH($BL48,THCN!$AG$8:$AG$62,0),2)&lt;&gt;"",INDEX(THCN!$V$8:$Y$62,MATCH($BL48,THCN!$AG$8:$AG$62,0),2),""),"")</f>
        <v/>
      </c>
      <c r="AZ48" s="49" t="str">
        <f>IFERROR(IF($A48&gt;=1,IF(INDEX(THHKI!$V$8:$Y$62,MATCH($BL48,THHKI!$AG$8:$AG$62,0),3)&lt;&gt;"",INDEX(THHKI!$V$8:$Y$62,MATCH($BL48,THHKI!$AG$8:$AG$62,0),3),""),""),"")</f>
        <v/>
      </c>
      <c r="BA48" s="50" t="str">
        <f>IF($A48&gt;=1,IF(INDEX(THHKII!$V$8:$Y$62,MATCH($BL48,THHKII!$AG$8:$AG$62,0),3)&lt;&gt;"",INDEX(THHKII!$V$8:$Y$62,MATCH($BL48,THHKII!$AG$8:$AG$62,0),3),""),"")</f>
        <v/>
      </c>
      <c r="BB48" s="55" t="str">
        <f>IF($A48&gt;=1,IF(INDEX(THCN!$V$8:$Y$62,MATCH($BL48,THCN!$AG$8:$AG$62,0),3)&lt;&gt;"",INDEX(THCN!$V$8:$Y$62,MATCH($BL48,THCN!$AG$8:$AG$62,0),3),""),"")</f>
        <v/>
      </c>
      <c r="BC48" s="56" t="str">
        <f>IF($A48&gt;=1,IF(INDEX(THCN!$V$8:$Y$62,MATCH($BL48,THCN!$AG$8:$AG$62,0),4)&lt;&gt;"",INDEX(THCN!$V$8:$Y$62,MATCH($BL48,THCN!$AG$8:$AG$62,0),4),""),"")</f>
        <v/>
      </c>
      <c r="BE48" s="43" t="str">
        <f>IFERROR(IF($A48&gt;=1,IF(INDEX(THHKI!$V$8:$Y$62,MATCH($BL48,THHKI!$AG$8:$AG$62,0),4)&lt;&gt;"",INDEX(THHKI!$V$8:$Y$62,MATCH($BL48,THHKI!$AG$8:$AG$62,0),4),""),""),"")</f>
        <v/>
      </c>
      <c r="BF48" s="56" t="str">
        <f>IF($A48&gt;=1,IF(INDEX(THHKII!$V$8:$Y$62,MATCH($BL48,THHKII!$AG$8:$AG$62,0),4)&lt;&gt;"",INDEX(THHKII!$V$8:$Y$62,MATCH($BL48,THHKII!$AG$8:$AG$62,0),4),""),"")</f>
        <v/>
      </c>
      <c r="BL48" s="30" t="str">
        <f>IF($A48&lt;&gt;"",INDEX(DiemHKII!$B$4:$K$58,MATCH($A48,DiemHKII!$B$4:$B$58,0),2),"")</f>
        <v/>
      </c>
    </row>
    <row r="49" spans="1:64" s="30" customFormat="1" ht="29.1" hidden="1" customHeight="1">
      <c r="A49" s="16" t="str">
        <f>IF(A48&lt;MAX(DiemHKII!$B$4:$B$58),A48+1,"")</f>
        <v/>
      </c>
      <c r="B49" s="17" t="str">
        <f>IF($A49&lt;&gt;"",PROPER(INDEX(DiemHKII!$B$4:$K$58,MATCH($A49,DiemHKII!$B$4:$B$58,0),4)),"")</f>
        <v/>
      </c>
      <c r="C49" s="18" t="str">
        <f>IF($A49&lt;&gt;"",PROPER(INDEX(DiemHKII!$B$4:$K$58,MATCH($A49,DiemHKII!$B$4:$B$58,0),5)),"")</f>
        <v/>
      </c>
      <c r="D49" s="19" t="str">
        <f>IF($A49&lt;&gt;"",IF(INDEX(BDHK2,MATCH($A49,DiemHKII!$B$4:$B$58,0),INDEX($BG$14:$BK$27,MATCH(D$7,$BG$14:$BG$27,0),2))&lt;&gt;"",INDEX(BDHK2,MATCH($A49,DiemHKII!$B$4:$B$58,0),INDEX($BG$14:$BK$27,MATCH(D$7,$BG$14:$BG$27,0),3)),""),"")</f>
        <v/>
      </c>
      <c r="E49" s="20" t="str">
        <f>IF($A49&lt;&gt;"",IF(INDEX(BDHK2,MATCH($A49,DiemHKII!$B$4:$B$58,0),INDEX($BG$14:$BK$27,MATCH(D$7,$BG$14:$BG$27,0),2))&lt;&gt;"",INDEX(BDHK2,MATCH($A49,DiemHKII!$B$4:$B$58,0),INDEX($BG$14:$BK$27,MATCH(D$7,$BG$14:$BG$27,0),4)),""),"")</f>
        <v/>
      </c>
      <c r="F49" s="21" t="str">
        <f>IF($A49&lt;&gt;"",IF(INDEX(BDHK2,MATCH($A49,DiemHKII!$B$4:$B$58,0),INDEX($BG$14:$BK$27,MATCH(D$7,$BG$14:$BG$27,0),2))&lt;&gt;"",INDEX(BDHK2,MATCH($A49,DiemHKII!$B$4:$B$58,0),INDEX($BG$14:$BK$27,MATCH(D$7,$BG$14:$BG$27,0),5)),""),"")</f>
        <v/>
      </c>
      <c r="G49" s="19" t="str">
        <f>IF($A49&lt;&gt;"",IF(INDEX(BDHK2,MATCH($A49,DiemHKII!$B$4:$B$58,0),INDEX($BG$14:$BK$27,MATCH(G$7,$BG$14:$BG$27,0),2))&lt;&gt;"",INDEX(BDHK2,MATCH($A49,DiemHKII!$B$4:$B$58,0),INDEX($BG$14:$BK$27,MATCH(G$7,$BG$14:$BG$27,0),3)),""),"")</f>
        <v/>
      </c>
      <c r="H49" s="20" t="str">
        <f>IF($A49&lt;&gt;"",IF(INDEX(BDHK2,MATCH($A49,DiemHKII!$B$4:$B$58,0),INDEX($BG$14:$BK$27,MATCH(G$7,$BG$14:$BG$27,0),2))&lt;&gt;"",INDEX(BDHK2,MATCH($A49,DiemHKII!$B$4:$B$58,0),INDEX($BG$14:$BK$27,MATCH(G$7,$BG$14:$BG$27,0),4)),""),"")</f>
        <v/>
      </c>
      <c r="I49" s="21" t="str">
        <f>IF($A49&lt;&gt;"",IF(INDEX(BDHK2,MATCH($A49,DiemHKII!$B$4:$B$58,0),INDEX($BG$14:$BK$27,MATCH(G$7,$BG$14:$BG$27,0),2))&lt;&gt;"",INDEX(BDHK2,MATCH($A49,DiemHKII!$B$4:$B$58,0),INDEX($BG$14:$BK$27,MATCH(G$7,$BG$14:$BG$27,0),5)),""),"")</f>
        <v/>
      </c>
      <c r="J49" s="19" t="str">
        <f>IF($A49&lt;&gt;"",IF(INDEX(BDHK2,MATCH($A49,DiemHKII!$B$4:$B$58,0),INDEX($BG$14:$BK$27,MATCH(J$7,$BG$14:$BG$27,0),2))&lt;&gt;"",INDEX(BDHK2,MATCH($A49,DiemHKII!$B$4:$B$58,0),INDEX($BG$14:$BK$27,MATCH(J$7,$BG$14:$BG$27,0),3)),""),"")</f>
        <v/>
      </c>
      <c r="K49" s="20" t="str">
        <f>IF($A49&lt;&gt;"",IF(INDEX(BDHK2,MATCH($A49,DiemHKII!$B$4:$B$58,0),INDEX($BG$14:$BK$27,MATCH(J$7,$BG$14:$BG$27,0),2))&lt;&gt;"",INDEX(BDHK2,MATCH($A49,DiemHKII!$B$4:$B$58,0),INDEX($BG$14:$BK$27,MATCH(J$7,$BG$14:$BG$27,0),4)),""),"")</f>
        <v/>
      </c>
      <c r="L49" s="21" t="str">
        <f>IF($A49&lt;&gt;"",IF(INDEX(BDHK2,MATCH($A49,DiemHKII!$B$4:$B$58,0),INDEX($BG$14:$BK$27,MATCH(J$7,$BG$14:$BG$27,0),2))&lt;&gt;"",INDEX(BDHK2,MATCH($A49,DiemHKII!$B$4:$B$58,0),INDEX($BG$14:$BK$27,MATCH(J$7,$BG$14:$BG$27,0),5)),""),"")</f>
        <v/>
      </c>
      <c r="M49" s="19" t="str">
        <f>IF($A49&lt;&gt;"",IF(INDEX(BDHK2,MATCH($A49,DiemHKII!$B$4:$B$58,0),INDEX($BG$14:$BK$27,MATCH(M$7,$BG$14:$BG$27,0),2))&lt;&gt;"",INDEX(BDHK2,MATCH($A49,DiemHKII!$B$4:$B$58,0),INDEX($BG$14:$BK$27,MATCH(M$7,$BG$14:$BG$27,0),3)),""),"")</f>
        <v/>
      </c>
      <c r="N49" s="20" t="str">
        <f>IF($A49&lt;&gt;"",IF(INDEX(BDHK2,MATCH($A49,DiemHKII!$B$4:$B$58,0),INDEX($BG$14:$BK$27,MATCH(M$7,$BG$14:$BG$27,0),2))&lt;&gt;"",INDEX(BDHK2,MATCH($A49,DiemHKII!$B$4:$B$58,0),INDEX($BG$14:$BK$27,MATCH(M$7,$BG$14:$BG$27,0),4)),""),"")</f>
        <v/>
      </c>
      <c r="O49" s="21" t="str">
        <f>IF($A49&lt;&gt;"",IF(INDEX(BDHK2,MATCH($A49,DiemHKII!$B$4:$B$58,0),INDEX($BG$14:$BK$27,MATCH(M$7,$BG$14:$BG$27,0),2))&lt;&gt;"",INDEX(BDHK2,MATCH($A49,DiemHKII!$B$4:$B$58,0),INDEX($BG$14:$BK$27,MATCH(M$7,$BG$14:$BG$27,0),5)),""),"")</f>
        <v/>
      </c>
      <c r="P49" s="19" t="str">
        <f>IF($A49&lt;&gt;"",IF(INDEX(BDHK2,MATCH($A49,DiemHKII!$B$4:$B$58,0),INDEX($BG$14:$BK$27,MATCH(P$7,$BG$14:$BG$27,0),2))&lt;&gt;"",INDEX(BDHK2,MATCH($A49,DiemHKII!$B$4:$B$58,0),INDEX($BG$14:$BK$27,MATCH(P$7,$BG$14:$BG$27,0),3)),""),"")</f>
        <v/>
      </c>
      <c r="Q49" s="20" t="str">
        <f>IF($A49&lt;&gt;"",IF(INDEX(BDHK2,MATCH($A49,DiemHKII!$B$4:$B$58,0),INDEX($BG$14:$BK$27,MATCH(P$7,$BG$14:$BG$27,0),2))&lt;&gt;"",INDEX(BDHK2,MATCH($A49,DiemHKII!$B$4:$B$58,0),INDEX($BG$14:$BK$27,MATCH(P$7,$BG$14:$BG$27,0),4)),""),"")</f>
        <v/>
      </c>
      <c r="R49" s="21" t="str">
        <f>IF($A49&lt;&gt;"",IF(INDEX(BDHK2,MATCH($A49,DiemHKII!$B$4:$B$58,0),INDEX($BG$14:$BK$27,MATCH(P$7,$BG$14:$BG$27,0),2))&lt;&gt;"",INDEX(BDHK2,MATCH($A49,DiemHKII!$B$4:$B$58,0),INDEX($BG$14:$BK$27,MATCH(P$7,$BG$14:$BG$27,0),5)),""),"")</f>
        <v/>
      </c>
      <c r="S49" s="19" t="str">
        <f>IF($A49&lt;&gt;"",IF(INDEX(BDHK2,MATCH($A49,DiemHKII!$B$4:$B$58,0),INDEX($BG$14:$BK$27,MATCH(S$7,$BG$14:$BG$27,0),2))&lt;&gt;"",INDEX(BDHK2,MATCH($A49,DiemHKII!$B$4:$B$58,0),INDEX($BG$14:$BK$27,MATCH(S$7,$BG$14:$BG$27,0),3)),""),"")</f>
        <v/>
      </c>
      <c r="T49" s="20" t="str">
        <f>IF($A49&lt;&gt;"",IF(INDEX(BDHK2,MATCH($A49,DiemHKII!$B$4:$B$58,0),INDEX($BG$14:$BK$27,MATCH(S$7,$BG$14:$BG$27,0),2))&lt;&gt;"",INDEX(BDHK2,MATCH($A49,DiemHKII!$B$4:$B$58,0),INDEX($BG$14:$BK$27,MATCH(S$7,$BG$14:$BG$27,0),4)),""),"")</f>
        <v/>
      </c>
      <c r="U49" s="21" t="str">
        <f>IF($A49&lt;&gt;"",IF(INDEX(BDHK2,MATCH($A49,DiemHKII!$B$4:$B$58,0),INDEX($BG$14:$BK$27,MATCH(S$7,$BG$14:$BG$27,0),2))&lt;&gt;"",INDEX(BDHK2,MATCH($A49,DiemHKII!$B$4:$B$58,0),INDEX($BG$14:$BK$27,MATCH(S$7,$BG$14:$BG$27,0),5)),""),"")</f>
        <v/>
      </c>
      <c r="V49" s="19" t="str">
        <f>IF($A49&lt;&gt;"",IF(INDEX(BDHK2,MATCH($A49,DiemHKII!$B$4:$B$58,0),INDEX($BG$14:$BK$27,MATCH(V$7,$BG$14:$BG$27,0),2))&lt;&gt;"",INDEX(BDHK2,MATCH($A49,DiemHKII!$B$4:$B$58,0),INDEX($BG$14:$BK$27,MATCH(V$7,$BG$14:$BG$27,0),3)),""),"")</f>
        <v/>
      </c>
      <c r="W49" s="20" t="str">
        <f>IF($A49&lt;&gt;"",IF(INDEX(BDHK2,MATCH($A49,DiemHKII!$B$4:$B$58,0),INDEX($BG$14:$BK$27,MATCH(V$7,$BG$14:$BG$27,0),2))&lt;&gt;"",INDEX(BDHK2,MATCH($A49,DiemHKII!$B$4:$B$58,0),INDEX($BG$14:$BK$27,MATCH(V$7,$BG$14:$BG$27,0),4)),""),"")</f>
        <v/>
      </c>
      <c r="X49" s="21" t="str">
        <f>IF($A49&lt;&gt;"",IF(INDEX(BDHK2,MATCH($A49,DiemHKII!$B$4:$B$58,0),INDEX($BG$14:$BK$27,MATCH(V$7,$BG$14:$BG$27,0),2))&lt;&gt;"",INDEX(BDHK2,MATCH($A49,DiemHKII!$B$4:$B$58,0),INDEX($BG$14:$BK$27,MATCH(V$7,$BG$14:$BG$27,0),5)),""),"")</f>
        <v/>
      </c>
      <c r="Y49" s="19" t="str">
        <f>IF($A49&lt;&gt;"",IF(INDEX(BDHK2,MATCH($A49,DiemHKII!$B$4:$B$58,0),INDEX($BG$14:$BK$27,MATCH(Y$7,$BG$14:$BG$27,0),2))&lt;&gt;"",INDEX(BDHK2,MATCH($A49,DiemHKII!$B$4:$B$58,0),INDEX($BG$14:$BK$27,MATCH(Y$7,$BG$14:$BG$27,0),3)),""),"")</f>
        <v/>
      </c>
      <c r="Z49" s="20" t="str">
        <f>IF($A49&lt;&gt;"",IF(INDEX(BDHK2,MATCH($A49,DiemHKII!$B$4:$B$58,0),INDEX($BG$14:$BK$27,MATCH(Y$7,$BG$14:$BG$27,0),2))&lt;&gt;"",INDEX(BDHK2,MATCH($A49,DiemHKII!$B$4:$B$58,0),INDEX($BG$14:$BK$27,MATCH(Y$7,$BG$14:$BG$27,0),4)),""),"")</f>
        <v/>
      </c>
      <c r="AA49" s="21" t="str">
        <f>IF($A49&lt;&gt;"",IF(INDEX(BDHK2,MATCH($A49,DiemHKII!$B$4:$B$58,0),INDEX($BG$14:$BK$27,MATCH(Y$7,$BG$14:$BG$27,0),2))&lt;&gt;"",INDEX(BDHK2,MATCH($A49,DiemHKII!$B$4:$B$58,0),INDEX($BG$14:$BK$27,MATCH(Y$7,$BG$14:$BG$27,0),5)),""),"")</f>
        <v/>
      </c>
      <c r="AB49" s="19" t="str">
        <f>IF($A49&lt;&gt;"",IF(INDEX(BDHK2,MATCH($A49,DiemHKII!$B$4:$B$58,0),INDEX($BG$14:$BK$27,MATCH(AB$7,$BG$14:$BG$27,0),2))&lt;&gt;"",INDEX(BDHK2,MATCH($A49,DiemHKII!$B$4:$B$58,0),INDEX($BG$14:$BK$27,MATCH(AB$7,$BG$14:$BG$27,0),3)),""),"")</f>
        <v/>
      </c>
      <c r="AC49" s="20" t="str">
        <f>IF($A49&lt;&gt;"",IF(INDEX(BDHK2,MATCH($A49,DiemHKII!$B$4:$B$58,0),INDEX($BG$14:$BK$27,MATCH(AB$7,$BG$14:$BG$27,0),2))&lt;&gt;"",INDEX(BDHK2,MATCH($A49,DiemHKII!$B$4:$B$58,0),INDEX($BG$14:$BK$27,MATCH(AB$7,$BG$14:$BG$27,0),4)),""),"")</f>
        <v/>
      </c>
      <c r="AD49" s="21" t="str">
        <f>IF($A49&lt;&gt;"",IF(INDEX(BDHK2,MATCH($A49,DiemHKII!$B$4:$B$58,0),INDEX($BG$14:$BK$27,MATCH(AB$7,$BG$14:$BG$27,0),2))&lt;&gt;"",INDEX(BDHK2,MATCH($A49,DiemHKII!$B$4:$B$58,0),INDEX($BG$14:$BK$27,MATCH(AB$7,$BG$14:$BG$27,0),5)),""),"")</f>
        <v/>
      </c>
      <c r="AE49" s="19" t="str">
        <f>IF($A49&lt;&gt;"",IF(INDEX(BDHK2,MATCH($A49,DiemHKII!$B$4:$B$58,0),INDEX($BG$14:$BK$27,MATCH(AE$7,$BG$14:$BG$27,0),2))&lt;&gt;"",INDEX(BDHK2,MATCH($A49,DiemHKII!$B$4:$B$58,0),INDEX($BG$14:$BK$27,MATCH(AE$7,$BG$14:$BG$27,0),3)),""),"")</f>
        <v/>
      </c>
      <c r="AF49" s="20" t="str">
        <f>IF($A49&lt;&gt;"",IF(INDEX(BDHK2,MATCH($A49,DiemHKII!$B$4:$B$58,0),INDEX($BG$14:$BK$27,MATCH(AE$7,$BG$14:$BG$27,0),2))&lt;&gt;"",INDEX(BDHK2,MATCH($A49,DiemHKII!$B$4:$B$58,0),INDEX($BG$14:$BK$27,MATCH(AE$7,$BG$14:$BG$27,0),4)),""),"")</f>
        <v/>
      </c>
      <c r="AG49" s="21" t="str">
        <f>IF($A49&lt;&gt;"",IF(INDEX(BDHK2,MATCH($A49,DiemHKII!$B$4:$B$58,0),INDEX($BG$14:$BK$27,MATCH(AE$7,$BG$14:$BG$27,0),2))&lt;&gt;"",INDEX(BDHK2,MATCH($A49,DiemHKII!$B$4:$B$58,0),INDEX($BG$14:$BK$27,MATCH(AE$7,$BG$14:$BG$27,0),5)),""),"")</f>
        <v/>
      </c>
      <c r="AH49" s="19" t="str">
        <f>IF($A49&lt;&gt;"",IF(INDEX(BDHK2,MATCH($A49,DiemHKII!$B$4:$B$58,0),INDEX($BG$14:$BK$27,MATCH(AH$7,$BG$14:$BG$27,0),2))&lt;&gt;"",INDEX(BDHK2,MATCH($A49,DiemHKII!$B$4:$B$58,0),INDEX($BG$14:$BK$27,MATCH(AH$7,$BG$14:$BG$27,0),3)),""),"")</f>
        <v/>
      </c>
      <c r="AI49" s="20" t="str">
        <f>IF($A49&lt;&gt;"",IF(INDEX(BDHK2,MATCH($A49,DiemHKII!$B$4:$B$58,0),INDEX($BG$14:$BK$27,MATCH(AH$7,$BG$14:$BG$27,0),2))&lt;&gt;"",INDEX(BDHK2,MATCH($A49,DiemHKII!$B$4:$B$58,0),INDEX($BG$14:$BK$27,MATCH(AH$7,$BG$14:$BG$27,0),4)),""),"")</f>
        <v/>
      </c>
      <c r="AJ49" s="21" t="str">
        <f>IF($A49&lt;&gt;"",IF(INDEX(BDHK2,MATCH($A49,DiemHKII!$B$4:$B$58,0),INDEX($BG$14:$BK$27,MATCH(AH$7,$BG$14:$BG$27,0),2))&lt;&gt;"",INDEX(BDHK2,MATCH($A49,DiemHKII!$B$4:$B$58,0),INDEX($BG$14:$BK$27,MATCH(AH$7,$BG$14:$BG$27,0),5)),""),"")</f>
        <v/>
      </c>
      <c r="AK49" s="22" t="str">
        <f>IF($A49&lt;&gt;"",IF(INDEX(BDHK2,MATCH($A49,DiemHKII!$B$4:$B$58,0),INDEX($BG$14:$BK$27,MATCH(AK$7,$BG$14:$BG$27,0),2))&lt;&gt;"",INDEX(BDHK2,MATCH($A49,DiemHKII!$B$4:$B$58,0),INDEX($BG$14:$BK$27,MATCH(AK$7,$BG$14:$BG$27,0),3)),""),"")</f>
        <v/>
      </c>
      <c r="AL49" s="23" t="str">
        <f>IF($A49&lt;&gt;"",IF(INDEX(BDHK2,MATCH($A49,DiemHKII!$B$4:$B$58,0),INDEX($BG$14:$BK$27,MATCH(AK$7,$BG$14:$BG$27,0),2))&lt;&gt;"",INDEX(BDHK2,MATCH($A49,DiemHKII!$B$4:$B$58,0),INDEX($BG$14:$BK$27,MATCH(AK$7,$BG$14:$BG$27,0),4)),""),"")</f>
        <v/>
      </c>
      <c r="AM49" s="24" t="str">
        <f>IF($A49&lt;&gt;"",IF(INDEX(BDHK2,MATCH($A49,DiemHKII!$B$4:$B$58,0),INDEX($BG$14:$BK$27,MATCH(AK$7,$BG$14:$BG$27,0),2))&lt;&gt;"",INDEX(BDHK2,MATCH($A49,DiemHKII!$B$4:$B$58,0),INDEX($BG$14:$BK$27,MATCH(AK$7,$BG$14:$BG$27,0),5)),""),"")</f>
        <v/>
      </c>
      <c r="AN49" s="19" t="str">
        <f>IF($A49&lt;&gt;"",IF(INDEX(BDHK2,MATCH($A49,DiemHKII!$B$4:$B$58,0),INDEX($BG$14:$BK$27,MATCH(AN$7,$BG$14:$BG$27,0),2))&lt;&gt;"",INDEX(BDHK2,MATCH($A49,DiemHKII!$B$4:$B$58,0),INDEX($BG$14:$BK$27,MATCH(AN$7,$BG$14:$BG$27,0),3)),""),"")</f>
        <v/>
      </c>
      <c r="AO49" s="20" t="str">
        <f>IF($A49&lt;&gt;"",IF(INDEX(BDHK2,MATCH($A49,DiemHKII!$B$4:$B$58,0),INDEX($BG$14:$BK$27,MATCH(AN$7,$BG$14:$BG$27,0),2))&lt;&gt;"",INDEX(BDHK2,MATCH($A49,DiemHKII!$B$4:$B$58,0),INDEX($BG$14:$BK$27,MATCH(AN$7,$BG$14:$BG$27,0),4)),""),"")</f>
        <v/>
      </c>
      <c r="AP49" s="21" t="str">
        <f>IF($A49&lt;&gt;"",IF(INDEX(BDHK2,MATCH($A49,DiemHKII!$B$4:$B$58,0),INDEX($BG$14:$BK$27,MATCH(AN$7,$BG$14:$BG$27,0),2))&lt;&gt;"",INDEX(BDHK2,MATCH($A49,DiemHKII!$B$4:$B$58,0),INDEX($BG$14:$BK$27,MATCH(AN$7,$BG$14:$BG$27,0),5)),""),"")</f>
        <v/>
      </c>
      <c r="AQ49" s="19" t="str">
        <f>IF($A49&lt;&gt;"",IF(INDEX(BDHK2,MATCH($A49,DiemHKII!$B$4:$B$58,0),INDEX($BG$14:$BK$27,MATCH(AQ$7,$BG$14:$BG$27,0),2))&lt;&gt;"",INDEX(BDHK2,MATCH($A49,DiemHKII!$B$4:$B$58,0),INDEX($BG$14:$BK$27,MATCH(AQ$7,$BG$14:$BG$27,0),3)),""),"")</f>
        <v/>
      </c>
      <c r="AR49" s="20" t="str">
        <f>IF($A49&lt;&gt;"",IF(INDEX(BDHK2,MATCH($A49,DiemHKII!$B$4:$B$58,0),INDEX($BG$14:$BK$27,MATCH(AQ$7,$BG$14:$BG$27,0),2))&lt;&gt;"",INDEX(BDHK2,MATCH($A49,DiemHKII!$B$4:$B$58,0),INDEX($BG$14:$BK$27,MATCH(AQ$7,$BG$14:$BG$27,0),4)),""),"")</f>
        <v/>
      </c>
      <c r="AS49" s="21" t="str">
        <f>IF($A49&lt;&gt;"",IF(INDEX(BDHK2,MATCH($A49,DiemHKII!$B$4:$B$58,0),INDEX($BG$14:$BK$27,MATCH(AQ$7,$BG$14:$BG$27,0),2))&lt;&gt;"",INDEX(BDHK2,MATCH($A49,DiemHKII!$B$4:$B$58,0),INDEX($BG$14:$BK$27,MATCH(AQ$7,$BG$14:$BG$27,0),5)),""),"")</f>
        <v/>
      </c>
      <c r="AT49" s="19" t="str">
        <f>IFERROR(IF($A49&gt;=1,IF(INDEX(THHKI!$V$8:$Y$62,MATCH($BL49,THHKI!$AG$8:$AG$62,0),1)&lt;&gt;"",INDEX(THHKI!$V$8:$Y$62,MATCH($BL49,THHKI!$AG$8:$AG$62,0),1),""),""),"")</f>
        <v/>
      </c>
      <c r="AU49" s="20" t="str">
        <f>IF($A49&gt;=1,IF(INDEX(THHKII!$V$8:$Y$62,MATCH($BL49,THHKII!$AG$8:$AG$62,0),1)&lt;&gt;"",INDEX(THHKII!$V$8:$Y$62,MATCH($BL49,THHKII!$AG$8:$AG$62,0),1),""),"")</f>
        <v/>
      </c>
      <c r="AV49" s="25" t="str">
        <f>IF($A49&gt;=1,IF(INDEX(THCN!$V$8:$Y$62,MATCH($BL49,THCN!$AG$8:$AG$62,0),1)&lt;&gt;"",INDEX(THCN!$V$8:$Y$62,MATCH($BL49,THCN!$AG$8:$AG$62,0),1),""),"")</f>
        <v/>
      </c>
      <c r="AW49" s="26" t="str">
        <f>IFERROR(IF($A49&gt;=1,IF(INDEX(THHKI!$V$8:$Y$62,MATCH($BL49,THHKI!$AG$8:$AG$62,0),2)&lt;&gt;"",INDEX(THHKI!$V$8:$Y$62,MATCH($BL49,THHKI!$AG$8:$AG$62,0),2),""),""),"")</f>
        <v/>
      </c>
      <c r="AX49" s="23" t="str">
        <f>IF($A49&gt;=1,IF(INDEX(THHKII!$V$8:$Y$62,MATCH($BL49,THHKII!$AG$8:$AG$62,0),2)&lt;&gt;"",INDEX(THHKII!$V$8:$Y$62,MATCH($BL49,THHKII!$AG$8:$AG$62,0),2),""),"")</f>
        <v/>
      </c>
      <c r="AY49" s="27" t="str">
        <f>IF($A49&gt;=1,IF(INDEX(THCN!$V$8:$Y$62,MATCH($BL49,THCN!$AG$8:$AG$62,0),2)&lt;&gt;"",INDEX(THCN!$V$8:$Y$62,MATCH($BL49,THCN!$AG$8:$AG$62,0),2),""),"")</f>
        <v/>
      </c>
      <c r="AZ49" s="22" t="str">
        <f>IFERROR(IF($A49&gt;=1,IF(INDEX(THHKI!$V$8:$Y$62,MATCH($BL49,THHKI!$AG$8:$AG$62,0),3)&lt;&gt;"",INDEX(THHKI!$V$8:$Y$62,MATCH($BL49,THHKI!$AG$8:$AG$62,0),3),""),""),"")</f>
        <v/>
      </c>
      <c r="BA49" s="23" t="str">
        <f>IF($A49&gt;=1,IF(INDEX(THHKII!$V$8:$Y$62,MATCH($BL49,THHKII!$AG$8:$AG$62,0),3)&lt;&gt;"",INDEX(THHKII!$V$8:$Y$62,MATCH($BL49,THHKII!$AG$8:$AG$62,0),3),""),"")</f>
        <v/>
      </c>
      <c r="BB49" s="28" t="str">
        <f>IF($A49&gt;=1,IF(INDEX(THCN!$V$8:$Y$62,MATCH($BL49,THCN!$AG$8:$AG$62,0),3)&lt;&gt;"",INDEX(THCN!$V$8:$Y$62,MATCH($BL49,THCN!$AG$8:$AG$62,0),3),""),"")</f>
        <v/>
      </c>
      <c r="BC49" s="29" t="str">
        <f>IF($A49&gt;=1,IF(INDEX(THCN!$V$8:$Y$62,MATCH($BL49,THCN!$AG$8:$AG$62,0),4)&lt;&gt;"",INDEX(THCN!$V$8:$Y$62,MATCH($BL49,THCN!$AG$8:$AG$62,0),4),""),"")</f>
        <v/>
      </c>
      <c r="BE49" s="16" t="str">
        <f>IFERROR(IF($A49&gt;=1,IF(INDEX(THHKI!$V$8:$Y$62,MATCH($BL49,THHKI!$AG$8:$AG$62,0),4)&lt;&gt;"",INDEX(THHKI!$V$8:$Y$62,MATCH($BL49,THHKI!$AG$8:$AG$62,0),4),""),""),"")</f>
        <v/>
      </c>
      <c r="BF49" s="29" t="str">
        <f>IF($A49&gt;=1,IF(INDEX(THHKII!$V$8:$Y$62,MATCH($BL49,THHKII!$AG$8:$AG$62,0),4)&lt;&gt;"",INDEX(THHKII!$V$8:$Y$62,MATCH($BL49,THHKII!$AG$8:$AG$62,0),4),""),"")</f>
        <v/>
      </c>
      <c r="BL49" s="30" t="str">
        <f>IF($A49&lt;&gt;"",INDEX(DiemHKII!$B$4:$K$58,MATCH($A49,DiemHKII!$B$4:$B$58,0),2),"")</f>
        <v/>
      </c>
    </row>
    <row r="50" spans="1:64" s="30" customFormat="1" ht="29.1" hidden="1" customHeight="1">
      <c r="A50" s="31" t="str">
        <f>IF(A49&lt;MAX(DiemHKII!$B$4:$B$58),A49+1,"")</f>
        <v/>
      </c>
      <c r="B50" s="32" t="str">
        <f>IF($A50&lt;&gt;"",PROPER(INDEX(DiemHKII!$B$4:$K$58,MATCH($A50,DiemHKII!$B$4:$B$58,0),4)),"")</f>
        <v/>
      </c>
      <c r="C50" s="33" t="str">
        <f>IF($A50&lt;&gt;"",PROPER(INDEX(DiemHKII!$B$4:$K$58,MATCH($A50,DiemHKII!$B$4:$B$58,0),5)),"")</f>
        <v/>
      </c>
      <c r="D50" s="34" t="str">
        <f>IF($A50&lt;&gt;"",IF(INDEX(BDHK2,MATCH($A50,DiemHKII!$B$4:$B$58,0),INDEX($BG$14:$BK$27,MATCH(D$7,$BG$14:$BG$27,0),2))&lt;&gt;"",INDEX(BDHK2,MATCH($A50,DiemHKII!$B$4:$B$58,0),INDEX($BG$14:$BK$27,MATCH(D$7,$BG$14:$BG$27,0),3)),""),"")</f>
        <v/>
      </c>
      <c r="E50" s="35" t="str">
        <f>IF($A50&lt;&gt;"",IF(INDEX(BDHK2,MATCH($A50,DiemHKII!$B$4:$B$58,0),INDEX($BG$14:$BK$27,MATCH(D$7,$BG$14:$BG$27,0),2))&lt;&gt;"",INDEX(BDHK2,MATCH($A50,DiemHKII!$B$4:$B$58,0),INDEX($BG$14:$BK$27,MATCH(D$7,$BG$14:$BG$27,0),4)),""),"")</f>
        <v/>
      </c>
      <c r="F50" s="36" t="str">
        <f>IF($A50&lt;&gt;"",IF(INDEX(BDHK2,MATCH($A50,DiemHKII!$B$4:$B$58,0),INDEX($BG$14:$BK$27,MATCH(D$7,$BG$14:$BG$27,0),2))&lt;&gt;"",INDEX(BDHK2,MATCH($A50,DiemHKII!$B$4:$B$58,0),INDEX($BG$14:$BK$27,MATCH(D$7,$BG$14:$BG$27,0),5)),""),"")</f>
        <v/>
      </c>
      <c r="G50" s="34" t="str">
        <f>IF($A50&lt;&gt;"",IF(INDEX(BDHK2,MATCH($A50,DiemHKII!$B$4:$B$58,0),INDEX($BG$14:$BK$27,MATCH(G$7,$BG$14:$BG$27,0),2))&lt;&gt;"",INDEX(BDHK2,MATCH($A50,DiemHKII!$B$4:$B$58,0),INDEX($BG$14:$BK$27,MATCH(G$7,$BG$14:$BG$27,0),3)),""),"")</f>
        <v/>
      </c>
      <c r="H50" s="35" t="str">
        <f>IF($A50&lt;&gt;"",IF(INDEX(BDHK2,MATCH($A50,DiemHKII!$B$4:$B$58,0),INDEX($BG$14:$BK$27,MATCH(G$7,$BG$14:$BG$27,0),2))&lt;&gt;"",INDEX(BDHK2,MATCH($A50,DiemHKII!$B$4:$B$58,0),INDEX($BG$14:$BK$27,MATCH(G$7,$BG$14:$BG$27,0),4)),""),"")</f>
        <v/>
      </c>
      <c r="I50" s="36" t="str">
        <f>IF($A50&lt;&gt;"",IF(INDEX(BDHK2,MATCH($A50,DiemHKII!$B$4:$B$58,0),INDEX($BG$14:$BK$27,MATCH(G$7,$BG$14:$BG$27,0),2))&lt;&gt;"",INDEX(BDHK2,MATCH($A50,DiemHKII!$B$4:$B$58,0),INDEX($BG$14:$BK$27,MATCH(G$7,$BG$14:$BG$27,0),5)),""),"")</f>
        <v/>
      </c>
      <c r="J50" s="34" t="str">
        <f>IF($A50&lt;&gt;"",IF(INDEX(BDHK2,MATCH($A50,DiemHKII!$B$4:$B$58,0),INDEX($BG$14:$BK$27,MATCH(J$7,$BG$14:$BG$27,0),2))&lt;&gt;"",INDEX(BDHK2,MATCH($A50,DiemHKII!$B$4:$B$58,0),INDEX($BG$14:$BK$27,MATCH(J$7,$BG$14:$BG$27,0),3)),""),"")</f>
        <v/>
      </c>
      <c r="K50" s="35" t="str">
        <f>IF($A50&lt;&gt;"",IF(INDEX(BDHK2,MATCH($A50,DiemHKII!$B$4:$B$58,0),INDEX($BG$14:$BK$27,MATCH(J$7,$BG$14:$BG$27,0),2))&lt;&gt;"",INDEX(BDHK2,MATCH($A50,DiemHKII!$B$4:$B$58,0),INDEX($BG$14:$BK$27,MATCH(J$7,$BG$14:$BG$27,0),4)),""),"")</f>
        <v/>
      </c>
      <c r="L50" s="36" t="str">
        <f>IF($A50&lt;&gt;"",IF(INDEX(BDHK2,MATCH($A50,DiemHKII!$B$4:$B$58,0),INDEX($BG$14:$BK$27,MATCH(J$7,$BG$14:$BG$27,0),2))&lt;&gt;"",INDEX(BDHK2,MATCH($A50,DiemHKII!$B$4:$B$58,0),INDEX($BG$14:$BK$27,MATCH(J$7,$BG$14:$BG$27,0),5)),""),"")</f>
        <v/>
      </c>
      <c r="M50" s="34" t="str">
        <f>IF($A50&lt;&gt;"",IF(INDEX(BDHK2,MATCH($A50,DiemHKII!$B$4:$B$58,0),INDEX($BG$14:$BK$27,MATCH(M$7,$BG$14:$BG$27,0),2))&lt;&gt;"",INDEX(BDHK2,MATCH($A50,DiemHKII!$B$4:$B$58,0),INDEX($BG$14:$BK$27,MATCH(M$7,$BG$14:$BG$27,0),3)),""),"")</f>
        <v/>
      </c>
      <c r="N50" s="35" t="str">
        <f>IF($A50&lt;&gt;"",IF(INDEX(BDHK2,MATCH($A50,DiemHKII!$B$4:$B$58,0),INDEX($BG$14:$BK$27,MATCH(M$7,$BG$14:$BG$27,0),2))&lt;&gt;"",INDEX(BDHK2,MATCH($A50,DiemHKII!$B$4:$B$58,0),INDEX($BG$14:$BK$27,MATCH(M$7,$BG$14:$BG$27,0),4)),""),"")</f>
        <v/>
      </c>
      <c r="O50" s="36" t="str">
        <f>IF($A50&lt;&gt;"",IF(INDEX(BDHK2,MATCH($A50,DiemHKII!$B$4:$B$58,0),INDEX($BG$14:$BK$27,MATCH(M$7,$BG$14:$BG$27,0),2))&lt;&gt;"",INDEX(BDHK2,MATCH($A50,DiemHKII!$B$4:$B$58,0),INDEX($BG$14:$BK$27,MATCH(M$7,$BG$14:$BG$27,0),5)),""),"")</f>
        <v/>
      </c>
      <c r="P50" s="34" t="str">
        <f>IF($A50&lt;&gt;"",IF(INDEX(BDHK2,MATCH($A50,DiemHKII!$B$4:$B$58,0),INDEX($BG$14:$BK$27,MATCH(P$7,$BG$14:$BG$27,0),2))&lt;&gt;"",INDEX(BDHK2,MATCH($A50,DiemHKII!$B$4:$B$58,0),INDEX($BG$14:$BK$27,MATCH(P$7,$BG$14:$BG$27,0),3)),""),"")</f>
        <v/>
      </c>
      <c r="Q50" s="35" t="str">
        <f>IF($A50&lt;&gt;"",IF(INDEX(BDHK2,MATCH($A50,DiemHKII!$B$4:$B$58,0),INDEX($BG$14:$BK$27,MATCH(P$7,$BG$14:$BG$27,0),2))&lt;&gt;"",INDEX(BDHK2,MATCH($A50,DiemHKII!$B$4:$B$58,0),INDEX($BG$14:$BK$27,MATCH(P$7,$BG$14:$BG$27,0),4)),""),"")</f>
        <v/>
      </c>
      <c r="R50" s="36" t="str">
        <f>IF($A50&lt;&gt;"",IF(INDEX(BDHK2,MATCH($A50,DiemHKII!$B$4:$B$58,0),INDEX($BG$14:$BK$27,MATCH(P$7,$BG$14:$BG$27,0),2))&lt;&gt;"",INDEX(BDHK2,MATCH($A50,DiemHKII!$B$4:$B$58,0),INDEX($BG$14:$BK$27,MATCH(P$7,$BG$14:$BG$27,0),5)),""),"")</f>
        <v/>
      </c>
      <c r="S50" s="34" t="str">
        <f>IF($A50&lt;&gt;"",IF(INDEX(BDHK2,MATCH($A50,DiemHKII!$B$4:$B$58,0),INDEX($BG$14:$BK$27,MATCH(S$7,$BG$14:$BG$27,0),2))&lt;&gt;"",INDEX(BDHK2,MATCH($A50,DiemHKII!$B$4:$B$58,0),INDEX($BG$14:$BK$27,MATCH(S$7,$BG$14:$BG$27,0),3)),""),"")</f>
        <v/>
      </c>
      <c r="T50" s="35" t="str">
        <f>IF($A50&lt;&gt;"",IF(INDEX(BDHK2,MATCH($A50,DiemHKII!$B$4:$B$58,0),INDEX($BG$14:$BK$27,MATCH(S$7,$BG$14:$BG$27,0),2))&lt;&gt;"",INDEX(BDHK2,MATCH($A50,DiemHKII!$B$4:$B$58,0),INDEX($BG$14:$BK$27,MATCH(S$7,$BG$14:$BG$27,0),4)),""),"")</f>
        <v/>
      </c>
      <c r="U50" s="36" t="str">
        <f>IF($A50&lt;&gt;"",IF(INDEX(BDHK2,MATCH($A50,DiemHKII!$B$4:$B$58,0),INDEX($BG$14:$BK$27,MATCH(S$7,$BG$14:$BG$27,0),2))&lt;&gt;"",INDEX(BDHK2,MATCH($A50,DiemHKII!$B$4:$B$58,0),INDEX($BG$14:$BK$27,MATCH(S$7,$BG$14:$BG$27,0),5)),""),"")</f>
        <v/>
      </c>
      <c r="V50" s="34" t="str">
        <f>IF($A50&lt;&gt;"",IF(INDEX(BDHK2,MATCH($A50,DiemHKII!$B$4:$B$58,0),INDEX($BG$14:$BK$27,MATCH(V$7,$BG$14:$BG$27,0),2))&lt;&gt;"",INDEX(BDHK2,MATCH($A50,DiemHKII!$B$4:$B$58,0),INDEX($BG$14:$BK$27,MATCH(V$7,$BG$14:$BG$27,0),3)),""),"")</f>
        <v/>
      </c>
      <c r="W50" s="35" t="str">
        <f>IF($A50&lt;&gt;"",IF(INDEX(BDHK2,MATCH($A50,DiemHKII!$B$4:$B$58,0),INDEX($BG$14:$BK$27,MATCH(V$7,$BG$14:$BG$27,0),2))&lt;&gt;"",INDEX(BDHK2,MATCH($A50,DiemHKII!$B$4:$B$58,0),INDEX($BG$14:$BK$27,MATCH(V$7,$BG$14:$BG$27,0),4)),""),"")</f>
        <v/>
      </c>
      <c r="X50" s="36" t="str">
        <f>IF($A50&lt;&gt;"",IF(INDEX(BDHK2,MATCH($A50,DiemHKII!$B$4:$B$58,0),INDEX($BG$14:$BK$27,MATCH(V$7,$BG$14:$BG$27,0),2))&lt;&gt;"",INDEX(BDHK2,MATCH($A50,DiemHKII!$B$4:$B$58,0),INDEX($BG$14:$BK$27,MATCH(V$7,$BG$14:$BG$27,0),5)),""),"")</f>
        <v/>
      </c>
      <c r="Y50" s="34" t="str">
        <f>IF($A50&lt;&gt;"",IF(INDEX(BDHK2,MATCH($A50,DiemHKII!$B$4:$B$58,0),INDEX($BG$14:$BK$27,MATCH(Y$7,$BG$14:$BG$27,0),2))&lt;&gt;"",INDEX(BDHK2,MATCH($A50,DiemHKII!$B$4:$B$58,0),INDEX($BG$14:$BK$27,MATCH(Y$7,$BG$14:$BG$27,0),3)),""),"")</f>
        <v/>
      </c>
      <c r="Z50" s="35" t="str">
        <f>IF($A50&lt;&gt;"",IF(INDEX(BDHK2,MATCH($A50,DiemHKII!$B$4:$B$58,0),INDEX($BG$14:$BK$27,MATCH(Y$7,$BG$14:$BG$27,0),2))&lt;&gt;"",INDEX(BDHK2,MATCH($A50,DiemHKII!$B$4:$B$58,0),INDEX($BG$14:$BK$27,MATCH(Y$7,$BG$14:$BG$27,0),4)),""),"")</f>
        <v/>
      </c>
      <c r="AA50" s="36" t="str">
        <f>IF($A50&lt;&gt;"",IF(INDEX(BDHK2,MATCH($A50,DiemHKII!$B$4:$B$58,0),INDEX($BG$14:$BK$27,MATCH(Y$7,$BG$14:$BG$27,0),2))&lt;&gt;"",INDEX(BDHK2,MATCH($A50,DiemHKII!$B$4:$B$58,0),INDEX($BG$14:$BK$27,MATCH(Y$7,$BG$14:$BG$27,0),5)),""),"")</f>
        <v/>
      </c>
      <c r="AB50" s="34" t="str">
        <f>IF($A50&lt;&gt;"",IF(INDEX(BDHK2,MATCH($A50,DiemHKII!$B$4:$B$58,0),INDEX($BG$14:$BK$27,MATCH(AB$7,$BG$14:$BG$27,0),2))&lt;&gt;"",INDEX(BDHK2,MATCH($A50,DiemHKII!$B$4:$B$58,0),INDEX($BG$14:$BK$27,MATCH(AB$7,$BG$14:$BG$27,0),3)),""),"")</f>
        <v/>
      </c>
      <c r="AC50" s="35" t="str">
        <f>IF($A50&lt;&gt;"",IF(INDEX(BDHK2,MATCH($A50,DiemHKII!$B$4:$B$58,0),INDEX($BG$14:$BK$27,MATCH(AB$7,$BG$14:$BG$27,0),2))&lt;&gt;"",INDEX(BDHK2,MATCH($A50,DiemHKII!$B$4:$B$58,0),INDEX($BG$14:$BK$27,MATCH(AB$7,$BG$14:$BG$27,0),4)),""),"")</f>
        <v/>
      </c>
      <c r="AD50" s="36" t="str">
        <f>IF($A50&lt;&gt;"",IF(INDEX(BDHK2,MATCH($A50,DiemHKII!$B$4:$B$58,0),INDEX($BG$14:$BK$27,MATCH(AB$7,$BG$14:$BG$27,0),2))&lt;&gt;"",INDEX(BDHK2,MATCH($A50,DiemHKII!$B$4:$B$58,0),INDEX($BG$14:$BK$27,MATCH(AB$7,$BG$14:$BG$27,0),5)),""),"")</f>
        <v/>
      </c>
      <c r="AE50" s="34" t="str">
        <f>IF($A50&lt;&gt;"",IF(INDEX(BDHK2,MATCH($A50,DiemHKII!$B$4:$B$58,0),INDEX($BG$14:$BK$27,MATCH(AE$7,$BG$14:$BG$27,0),2))&lt;&gt;"",INDEX(BDHK2,MATCH($A50,DiemHKII!$B$4:$B$58,0),INDEX($BG$14:$BK$27,MATCH(AE$7,$BG$14:$BG$27,0),3)),""),"")</f>
        <v/>
      </c>
      <c r="AF50" s="35" t="str">
        <f>IF($A50&lt;&gt;"",IF(INDEX(BDHK2,MATCH($A50,DiemHKII!$B$4:$B$58,0),INDEX($BG$14:$BK$27,MATCH(AE$7,$BG$14:$BG$27,0),2))&lt;&gt;"",INDEX(BDHK2,MATCH($A50,DiemHKII!$B$4:$B$58,0),INDEX($BG$14:$BK$27,MATCH(AE$7,$BG$14:$BG$27,0),4)),""),"")</f>
        <v/>
      </c>
      <c r="AG50" s="36" t="str">
        <f>IF($A50&lt;&gt;"",IF(INDEX(BDHK2,MATCH($A50,DiemHKII!$B$4:$B$58,0),INDEX($BG$14:$BK$27,MATCH(AE$7,$BG$14:$BG$27,0),2))&lt;&gt;"",INDEX(BDHK2,MATCH($A50,DiemHKII!$B$4:$B$58,0),INDEX($BG$14:$BK$27,MATCH(AE$7,$BG$14:$BG$27,0),5)),""),"")</f>
        <v/>
      </c>
      <c r="AH50" s="34" t="str">
        <f>IF($A50&lt;&gt;"",IF(INDEX(BDHK2,MATCH($A50,DiemHKII!$B$4:$B$58,0),INDEX($BG$14:$BK$27,MATCH(AH$7,$BG$14:$BG$27,0),2))&lt;&gt;"",INDEX(BDHK2,MATCH($A50,DiemHKII!$B$4:$B$58,0),INDEX($BG$14:$BK$27,MATCH(AH$7,$BG$14:$BG$27,0),3)),""),"")</f>
        <v/>
      </c>
      <c r="AI50" s="35" t="str">
        <f>IF($A50&lt;&gt;"",IF(INDEX(BDHK2,MATCH($A50,DiemHKII!$B$4:$B$58,0),INDEX($BG$14:$BK$27,MATCH(AH$7,$BG$14:$BG$27,0),2))&lt;&gt;"",INDEX(BDHK2,MATCH($A50,DiemHKII!$B$4:$B$58,0),INDEX($BG$14:$BK$27,MATCH(AH$7,$BG$14:$BG$27,0),4)),""),"")</f>
        <v/>
      </c>
      <c r="AJ50" s="36" t="str">
        <f>IF($A50&lt;&gt;"",IF(INDEX(BDHK2,MATCH($A50,DiemHKII!$B$4:$B$58,0),INDEX($BG$14:$BK$27,MATCH(AH$7,$BG$14:$BG$27,0),2))&lt;&gt;"",INDEX(BDHK2,MATCH($A50,DiemHKII!$B$4:$B$58,0),INDEX($BG$14:$BK$27,MATCH(AH$7,$BG$14:$BG$27,0),5)),""),"")</f>
        <v/>
      </c>
      <c r="AK50" s="37" t="str">
        <f>IF($A50&lt;&gt;"",IF(INDEX(BDHK2,MATCH($A50,DiemHKII!$B$4:$B$58,0),INDEX($BG$14:$BK$27,MATCH(AK$7,$BG$14:$BG$27,0),2))&lt;&gt;"",INDEX(BDHK2,MATCH($A50,DiemHKII!$B$4:$B$58,0),INDEX($BG$14:$BK$27,MATCH(AK$7,$BG$14:$BG$27,0),3)),""),"")</f>
        <v/>
      </c>
      <c r="AL50" s="8" t="str">
        <f>IF($A50&lt;&gt;"",IF(INDEX(BDHK2,MATCH($A50,DiemHKII!$B$4:$B$58,0),INDEX($BG$14:$BK$27,MATCH(AK$7,$BG$14:$BG$27,0),2))&lt;&gt;"",INDEX(BDHK2,MATCH($A50,DiemHKII!$B$4:$B$58,0),INDEX($BG$14:$BK$27,MATCH(AK$7,$BG$14:$BG$27,0),4)),""),"")</f>
        <v/>
      </c>
      <c r="AM50" s="38" t="str">
        <f>IF($A50&lt;&gt;"",IF(INDEX(BDHK2,MATCH($A50,DiemHKII!$B$4:$B$58,0),INDEX($BG$14:$BK$27,MATCH(AK$7,$BG$14:$BG$27,0),2))&lt;&gt;"",INDEX(BDHK2,MATCH($A50,DiemHKII!$B$4:$B$58,0),INDEX($BG$14:$BK$27,MATCH(AK$7,$BG$14:$BG$27,0),5)),""),"")</f>
        <v/>
      </c>
      <c r="AN50" s="34" t="str">
        <f>IF($A50&lt;&gt;"",IF(INDEX(BDHK2,MATCH($A50,DiemHKII!$B$4:$B$58,0),INDEX($BG$14:$BK$27,MATCH(AN$7,$BG$14:$BG$27,0),2))&lt;&gt;"",INDEX(BDHK2,MATCH($A50,DiemHKII!$B$4:$B$58,0),INDEX($BG$14:$BK$27,MATCH(AN$7,$BG$14:$BG$27,0),3)),""),"")</f>
        <v/>
      </c>
      <c r="AO50" s="35" t="str">
        <f>IF($A50&lt;&gt;"",IF(INDEX(BDHK2,MATCH($A50,DiemHKII!$B$4:$B$58,0),INDEX($BG$14:$BK$27,MATCH(AN$7,$BG$14:$BG$27,0),2))&lt;&gt;"",INDEX(BDHK2,MATCH($A50,DiemHKII!$B$4:$B$58,0),INDEX($BG$14:$BK$27,MATCH(AN$7,$BG$14:$BG$27,0),4)),""),"")</f>
        <v/>
      </c>
      <c r="AP50" s="36" t="str">
        <f>IF($A50&lt;&gt;"",IF(INDEX(BDHK2,MATCH($A50,DiemHKII!$B$4:$B$58,0),INDEX($BG$14:$BK$27,MATCH(AN$7,$BG$14:$BG$27,0),2))&lt;&gt;"",INDEX(BDHK2,MATCH($A50,DiemHKII!$B$4:$B$58,0),INDEX($BG$14:$BK$27,MATCH(AN$7,$BG$14:$BG$27,0),5)),""),"")</f>
        <v/>
      </c>
      <c r="AQ50" s="34" t="str">
        <f>IF($A50&lt;&gt;"",IF(INDEX(BDHK2,MATCH($A50,DiemHKII!$B$4:$B$58,0),INDEX($BG$14:$BK$27,MATCH(AQ$7,$BG$14:$BG$27,0),2))&lt;&gt;"",INDEX(BDHK2,MATCH($A50,DiemHKII!$B$4:$B$58,0),INDEX($BG$14:$BK$27,MATCH(AQ$7,$BG$14:$BG$27,0),3)),""),"")</f>
        <v/>
      </c>
      <c r="AR50" s="35" t="str">
        <f>IF($A50&lt;&gt;"",IF(INDEX(BDHK2,MATCH($A50,DiemHKII!$B$4:$B$58,0),INDEX($BG$14:$BK$27,MATCH(AQ$7,$BG$14:$BG$27,0),2))&lt;&gt;"",INDEX(BDHK2,MATCH($A50,DiemHKII!$B$4:$B$58,0),INDEX($BG$14:$BK$27,MATCH(AQ$7,$BG$14:$BG$27,0),4)),""),"")</f>
        <v/>
      </c>
      <c r="AS50" s="36" t="str">
        <f>IF($A50&lt;&gt;"",IF(INDEX(BDHK2,MATCH($A50,DiemHKII!$B$4:$B$58,0),INDEX($BG$14:$BK$27,MATCH(AQ$7,$BG$14:$BG$27,0),2))&lt;&gt;"",INDEX(BDHK2,MATCH($A50,DiemHKII!$B$4:$B$58,0),INDEX($BG$14:$BK$27,MATCH(AQ$7,$BG$14:$BG$27,0),5)),""),"")</f>
        <v/>
      </c>
      <c r="AT50" s="34" t="str">
        <f>IFERROR(IF($A50&gt;=1,IF(INDEX(THHKI!$V$8:$Y$62,MATCH($BL50,THHKI!$AG$8:$AG$62,0),1)&lt;&gt;"",INDEX(THHKI!$V$8:$Y$62,MATCH($BL50,THHKI!$AG$8:$AG$62,0),1),""),""),"")</f>
        <v/>
      </c>
      <c r="AU50" s="35" t="str">
        <f>IF($A50&gt;=1,IF(INDEX(THHKII!$V$8:$Y$62,MATCH($BL50,THHKII!$AG$8:$AG$62,0),1)&lt;&gt;"",INDEX(THHKII!$V$8:$Y$62,MATCH($BL50,THHKII!$AG$8:$AG$62,0),1),""),"")</f>
        <v/>
      </c>
      <c r="AV50" s="39" t="str">
        <f>IF($A50&gt;=1,IF(INDEX(THCN!$V$8:$Y$62,MATCH($BL50,THCN!$AG$8:$AG$62,0),1)&lt;&gt;"",INDEX(THCN!$V$8:$Y$62,MATCH($BL50,THCN!$AG$8:$AG$62,0),1),""),"")</f>
        <v/>
      </c>
      <c r="AW50" s="40" t="str">
        <f>IFERROR(IF($A50&gt;=1,IF(INDEX(THHKI!$V$8:$Y$62,MATCH($BL50,THHKI!$AG$8:$AG$62,0),2)&lt;&gt;"",INDEX(THHKI!$V$8:$Y$62,MATCH($BL50,THHKI!$AG$8:$AG$62,0),2),""),""),"")</f>
        <v/>
      </c>
      <c r="AX50" s="8" t="str">
        <f>IF($A50&gt;=1,IF(INDEX(THHKII!$V$8:$Y$62,MATCH($BL50,THHKII!$AG$8:$AG$62,0),2)&lt;&gt;"",INDEX(THHKII!$V$8:$Y$62,MATCH($BL50,THHKII!$AG$8:$AG$62,0),2),""),"")</f>
        <v/>
      </c>
      <c r="AY50" s="467" t="str">
        <f>IF($A50&gt;=1,IF(INDEX(THCN!$V$8:$Y$62,MATCH($BL50,THCN!$AG$8:$AG$62,0),2)&lt;&gt;"",INDEX(THCN!$V$8:$Y$62,MATCH($BL50,THCN!$AG$8:$AG$62,0),2),""),"")</f>
        <v/>
      </c>
      <c r="AZ50" s="37" t="str">
        <f>IFERROR(IF($A50&gt;=1,IF(INDEX(THHKI!$V$8:$Y$62,MATCH($BL50,THHKI!$AG$8:$AG$62,0),3)&lt;&gt;"",INDEX(THHKI!$V$8:$Y$62,MATCH($BL50,THHKI!$AG$8:$AG$62,0),3),""),""),"")</f>
        <v/>
      </c>
      <c r="BA50" s="8" t="str">
        <f>IF($A50&gt;=1,IF(INDEX(THHKII!$V$8:$Y$62,MATCH($BL50,THHKII!$AG$8:$AG$62,0),3)&lt;&gt;"",INDEX(THHKII!$V$8:$Y$62,MATCH($BL50,THHKII!$AG$8:$AG$62,0),3),""),"")</f>
        <v/>
      </c>
      <c r="BB50" s="41" t="str">
        <f>IF($A50&gt;=1,IF(INDEX(THCN!$V$8:$Y$62,MATCH($BL50,THCN!$AG$8:$AG$62,0),3)&lt;&gt;"",INDEX(THCN!$V$8:$Y$62,MATCH($BL50,THCN!$AG$8:$AG$62,0),3),""),"")</f>
        <v/>
      </c>
      <c r="BC50" s="42" t="str">
        <f>IF($A50&gt;=1,IF(INDEX(THCN!$V$8:$Y$62,MATCH($BL50,THCN!$AG$8:$AG$62,0),4)&lt;&gt;"",INDEX(THCN!$V$8:$Y$62,MATCH($BL50,THCN!$AG$8:$AG$62,0),4),""),"")</f>
        <v/>
      </c>
      <c r="BE50" s="31" t="str">
        <f>IFERROR(IF($A50&gt;=1,IF(INDEX(THHKI!$V$8:$Y$62,MATCH($BL50,THHKI!$AG$8:$AG$62,0),4)&lt;&gt;"",INDEX(THHKI!$V$8:$Y$62,MATCH($BL50,THHKI!$AG$8:$AG$62,0),4),""),""),"")</f>
        <v/>
      </c>
      <c r="BF50" s="42" t="str">
        <f>IF($A50&gt;=1,IF(INDEX(THHKII!$V$8:$Y$62,MATCH($BL50,THHKII!$AG$8:$AG$62,0),4)&lt;&gt;"",INDEX(THHKII!$V$8:$Y$62,MATCH($BL50,THHKII!$AG$8:$AG$62,0),4),""),"")</f>
        <v/>
      </c>
      <c r="BL50" s="30" t="str">
        <f>IF($A50&lt;&gt;"",INDEX(DiemHKII!$B$4:$K$58,MATCH($A50,DiemHKII!$B$4:$B$58,0),2),"")</f>
        <v/>
      </c>
    </row>
    <row r="51" spans="1:64" s="30" customFormat="1" ht="29.1" hidden="1" customHeight="1">
      <c r="A51" s="31" t="str">
        <f>IF(A50&lt;MAX(DiemHKII!$B$4:$B$58),A50+1,"")</f>
        <v/>
      </c>
      <c r="B51" s="32" t="str">
        <f>IF($A51&lt;&gt;"",PROPER(INDEX(DiemHKII!$B$4:$K$58,MATCH($A51,DiemHKII!$B$4:$B$58,0),4)),"")</f>
        <v/>
      </c>
      <c r="C51" s="33" t="str">
        <f>IF($A51&lt;&gt;"",PROPER(INDEX(DiemHKII!$B$4:$K$58,MATCH($A51,DiemHKII!$B$4:$B$58,0),5)),"")</f>
        <v/>
      </c>
      <c r="D51" s="34" t="str">
        <f>IF($A51&lt;&gt;"",IF(INDEX(BDHK2,MATCH($A51,DiemHKII!$B$4:$B$58,0),INDEX($BG$14:$BK$27,MATCH(D$7,$BG$14:$BG$27,0),2))&lt;&gt;"",INDEX(BDHK2,MATCH($A51,DiemHKII!$B$4:$B$58,0),INDEX($BG$14:$BK$27,MATCH(D$7,$BG$14:$BG$27,0),3)),""),"")</f>
        <v/>
      </c>
      <c r="E51" s="35" t="str">
        <f>IF($A51&lt;&gt;"",IF(INDEX(BDHK2,MATCH($A51,DiemHKII!$B$4:$B$58,0),INDEX($BG$14:$BK$27,MATCH(D$7,$BG$14:$BG$27,0),2))&lt;&gt;"",INDEX(BDHK2,MATCH($A51,DiemHKII!$B$4:$B$58,0),INDEX($BG$14:$BK$27,MATCH(D$7,$BG$14:$BG$27,0),4)),""),"")</f>
        <v/>
      </c>
      <c r="F51" s="36" t="str">
        <f>IF($A51&lt;&gt;"",IF(INDEX(BDHK2,MATCH($A51,DiemHKII!$B$4:$B$58,0),INDEX($BG$14:$BK$27,MATCH(D$7,$BG$14:$BG$27,0),2))&lt;&gt;"",INDEX(BDHK2,MATCH($A51,DiemHKII!$B$4:$B$58,0),INDEX($BG$14:$BK$27,MATCH(D$7,$BG$14:$BG$27,0),5)),""),"")</f>
        <v/>
      </c>
      <c r="G51" s="34" t="str">
        <f>IF($A51&lt;&gt;"",IF(INDEX(BDHK2,MATCH($A51,DiemHKII!$B$4:$B$58,0),INDEX($BG$14:$BK$27,MATCH(G$7,$BG$14:$BG$27,0),2))&lt;&gt;"",INDEX(BDHK2,MATCH($A51,DiemHKII!$B$4:$B$58,0),INDEX($BG$14:$BK$27,MATCH(G$7,$BG$14:$BG$27,0),3)),""),"")</f>
        <v/>
      </c>
      <c r="H51" s="35" t="str">
        <f>IF($A51&lt;&gt;"",IF(INDEX(BDHK2,MATCH($A51,DiemHKII!$B$4:$B$58,0),INDEX($BG$14:$BK$27,MATCH(G$7,$BG$14:$BG$27,0),2))&lt;&gt;"",INDEX(BDHK2,MATCH($A51,DiemHKII!$B$4:$B$58,0),INDEX($BG$14:$BK$27,MATCH(G$7,$BG$14:$BG$27,0),4)),""),"")</f>
        <v/>
      </c>
      <c r="I51" s="36" t="str">
        <f>IF($A51&lt;&gt;"",IF(INDEX(BDHK2,MATCH($A51,DiemHKII!$B$4:$B$58,0),INDEX($BG$14:$BK$27,MATCH(G$7,$BG$14:$BG$27,0),2))&lt;&gt;"",INDEX(BDHK2,MATCH($A51,DiemHKII!$B$4:$B$58,0),INDEX($BG$14:$BK$27,MATCH(G$7,$BG$14:$BG$27,0),5)),""),"")</f>
        <v/>
      </c>
      <c r="J51" s="34" t="str">
        <f>IF($A51&lt;&gt;"",IF(INDEX(BDHK2,MATCH($A51,DiemHKII!$B$4:$B$58,0),INDEX($BG$14:$BK$27,MATCH(J$7,$BG$14:$BG$27,0),2))&lt;&gt;"",INDEX(BDHK2,MATCH($A51,DiemHKII!$B$4:$B$58,0),INDEX($BG$14:$BK$27,MATCH(J$7,$BG$14:$BG$27,0),3)),""),"")</f>
        <v/>
      </c>
      <c r="K51" s="35" t="str">
        <f>IF($A51&lt;&gt;"",IF(INDEX(BDHK2,MATCH($A51,DiemHKII!$B$4:$B$58,0),INDEX($BG$14:$BK$27,MATCH(J$7,$BG$14:$BG$27,0),2))&lt;&gt;"",INDEX(BDHK2,MATCH($A51,DiemHKII!$B$4:$B$58,0),INDEX($BG$14:$BK$27,MATCH(J$7,$BG$14:$BG$27,0),4)),""),"")</f>
        <v/>
      </c>
      <c r="L51" s="36" t="str">
        <f>IF($A51&lt;&gt;"",IF(INDEX(BDHK2,MATCH($A51,DiemHKII!$B$4:$B$58,0),INDEX($BG$14:$BK$27,MATCH(J$7,$BG$14:$BG$27,0),2))&lt;&gt;"",INDEX(BDHK2,MATCH($A51,DiemHKII!$B$4:$B$58,0),INDEX($BG$14:$BK$27,MATCH(J$7,$BG$14:$BG$27,0),5)),""),"")</f>
        <v/>
      </c>
      <c r="M51" s="34" t="str">
        <f>IF($A51&lt;&gt;"",IF(INDEX(BDHK2,MATCH($A51,DiemHKII!$B$4:$B$58,0),INDEX($BG$14:$BK$27,MATCH(M$7,$BG$14:$BG$27,0),2))&lt;&gt;"",INDEX(BDHK2,MATCH($A51,DiemHKII!$B$4:$B$58,0),INDEX($BG$14:$BK$27,MATCH(M$7,$BG$14:$BG$27,0),3)),""),"")</f>
        <v/>
      </c>
      <c r="N51" s="35" t="str">
        <f>IF($A51&lt;&gt;"",IF(INDEX(BDHK2,MATCH($A51,DiemHKII!$B$4:$B$58,0),INDEX($BG$14:$BK$27,MATCH(M$7,$BG$14:$BG$27,0),2))&lt;&gt;"",INDEX(BDHK2,MATCH($A51,DiemHKII!$B$4:$B$58,0),INDEX($BG$14:$BK$27,MATCH(M$7,$BG$14:$BG$27,0),4)),""),"")</f>
        <v/>
      </c>
      <c r="O51" s="36" t="str">
        <f>IF($A51&lt;&gt;"",IF(INDEX(BDHK2,MATCH($A51,DiemHKII!$B$4:$B$58,0),INDEX($BG$14:$BK$27,MATCH(M$7,$BG$14:$BG$27,0),2))&lt;&gt;"",INDEX(BDHK2,MATCH($A51,DiemHKII!$B$4:$B$58,0),INDEX($BG$14:$BK$27,MATCH(M$7,$BG$14:$BG$27,0),5)),""),"")</f>
        <v/>
      </c>
      <c r="P51" s="34" t="str">
        <f>IF($A51&lt;&gt;"",IF(INDEX(BDHK2,MATCH($A51,DiemHKII!$B$4:$B$58,0),INDEX($BG$14:$BK$27,MATCH(P$7,$BG$14:$BG$27,0),2))&lt;&gt;"",INDEX(BDHK2,MATCH($A51,DiemHKII!$B$4:$B$58,0),INDEX($BG$14:$BK$27,MATCH(P$7,$BG$14:$BG$27,0),3)),""),"")</f>
        <v/>
      </c>
      <c r="Q51" s="35" t="str">
        <f>IF($A51&lt;&gt;"",IF(INDEX(BDHK2,MATCH($A51,DiemHKII!$B$4:$B$58,0),INDEX($BG$14:$BK$27,MATCH(P$7,$BG$14:$BG$27,0),2))&lt;&gt;"",INDEX(BDHK2,MATCH($A51,DiemHKII!$B$4:$B$58,0),INDEX($BG$14:$BK$27,MATCH(P$7,$BG$14:$BG$27,0),4)),""),"")</f>
        <v/>
      </c>
      <c r="R51" s="36" t="str">
        <f>IF($A51&lt;&gt;"",IF(INDEX(BDHK2,MATCH($A51,DiemHKII!$B$4:$B$58,0),INDEX($BG$14:$BK$27,MATCH(P$7,$BG$14:$BG$27,0),2))&lt;&gt;"",INDEX(BDHK2,MATCH($A51,DiemHKII!$B$4:$B$58,0),INDEX($BG$14:$BK$27,MATCH(P$7,$BG$14:$BG$27,0),5)),""),"")</f>
        <v/>
      </c>
      <c r="S51" s="34" t="str">
        <f>IF($A51&lt;&gt;"",IF(INDEX(BDHK2,MATCH($A51,DiemHKII!$B$4:$B$58,0),INDEX($BG$14:$BK$27,MATCH(S$7,$BG$14:$BG$27,0),2))&lt;&gt;"",INDEX(BDHK2,MATCH($A51,DiemHKII!$B$4:$B$58,0),INDEX($BG$14:$BK$27,MATCH(S$7,$BG$14:$BG$27,0),3)),""),"")</f>
        <v/>
      </c>
      <c r="T51" s="35" t="str">
        <f>IF($A51&lt;&gt;"",IF(INDEX(BDHK2,MATCH($A51,DiemHKII!$B$4:$B$58,0),INDEX($BG$14:$BK$27,MATCH(S$7,$BG$14:$BG$27,0),2))&lt;&gt;"",INDEX(BDHK2,MATCH($A51,DiemHKII!$B$4:$B$58,0),INDEX($BG$14:$BK$27,MATCH(S$7,$BG$14:$BG$27,0),4)),""),"")</f>
        <v/>
      </c>
      <c r="U51" s="36" t="str">
        <f>IF($A51&lt;&gt;"",IF(INDEX(BDHK2,MATCH($A51,DiemHKII!$B$4:$B$58,0),INDEX($BG$14:$BK$27,MATCH(S$7,$BG$14:$BG$27,0),2))&lt;&gt;"",INDEX(BDHK2,MATCH($A51,DiemHKII!$B$4:$B$58,0),INDEX($BG$14:$BK$27,MATCH(S$7,$BG$14:$BG$27,0),5)),""),"")</f>
        <v/>
      </c>
      <c r="V51" s="34" t="str">
        <f>IF($A51&lt;&gt;"",IF(INDEX(BDHK2,MATCH($A51,DiemHKII!$B$4:$B$58,0),INDEX($BG$14:$BK$27,MATCH(V$7,$BG$14:$BG$27,0),2))&lt;&gt;"",INDEX(BDHK2,MATCH($A51,DiemHKII!$B$4:$B$58,0),INDEX($BG$14:$BK$27,MATCH(V$7,$BG$14:$BG$27,0),3)),""),"")</f>
        <v/>
      </c>
      <c r="W51" s="35" t="str">
        <f>IF($A51&lt;&gt;"",IF(INDEX(BDHK2,MATCH($A51,DiemHKII!$B$4:$B$58,0),INDEX($BG$14:$BK$27,MATCH(V$7,$BG$14:$BG$27,0),2))&lt;&gt;"",INDEX(BDHK2,MATCH($A51,DiemHKII!$B$4:$B$58,0),INDEX($BG$14:$BK$27,MATCH(V$7,$BG$14:$BG$27,0),4)),""),"")</f>
        <v/>
      </c>
      <c r="X51" s="36" t="str">
        <f>IF($A51&lt;&gt;"",IF(INDEX(BDHK2,MATCH($A51,DiemHKII!$B$4:$B$58,0),INDEX($BG$14:$BK$27,MATCH(V$7,$BG$14:$BG$27,0),2))&lt;&gt;"",INDEX(BDHK2,MATCH($A51,DiemHKII!$B$4:$B$58,0),INDEX($BG$14:$BK$27,MATCH(V$7,$BG$14:$BG$27,0),5)),""),"")</f>
        <v/>
      </c>
      <c r="Y51" s="34" t="str">
        <f>IF($A51&lt;&gt;"",IF(INDEX(BDHK2,MATCH($A51,DiemHKII!$B$4:$B$58,0),INDEX($BG$14:$BK$27,MATCH(Y$7,$BG$14:$BG$27,0),2))&lt;&gt;"",INDEX(BDHK2,MATCH($A51,DiemHKII!$B$4:$B$58,0),INDEX($BG$14:$BK$27,MATCH(Y$7,$BG$14:$BG$27,0),3)),""),"")</f>
        <v/>
      </c>
      <c r="Z51" s="35" t="str">
        <f>IF($A51&lt;&gt;"",IF(INDEX(BDHK2,MATCH($A51,DiemHKII!$B$4:$B$58,0),INDEX($BG$14:$BK$27,MATCH(Y$7,$BG$14:$BG$27,0),2))&lt;&gt;"",INDEX(BDHK2,MATCH($A51,DiemHKII!$B$4:$B$58,0),INDEX($BG$14:$BK$27,MATCH(Y$7,$BG$14:$BG$27,0),4)),""),"")</f>
        <v/>
      </c>
      <c r="AA51" s="36" t="str">
        <f>IF($A51&lt;&gt;"",IF(INDEX(BDHK2,MATCH($A51,DiemHKII!$B$4:$B$58,0),INDEX($BG$14:$BK$27,MATCH(Y$7,$BG$14:$BG$27,0),2))&lt;&gt;"",INDEX(BDHK2,MATCH($A51,DiemHKII!$B$4:$B$58,0),INDEX($BG$14:$BK$27,MATCH(Y$7,$BG$14:$BG$27,0),5)),""),"")</f>
        <v/>
      </c>
      <c r="AB51" s="34" t="str">
        <f>IF($A51&lt;&gt;"",IF(INDEX(BDHK2,MATCH($A51,DiemHKII!$B$4:$B$58,0),INDEX($BG$14:$BK$27,MATCH(AB$7,$BG$14:$BG$27,0),2))&lt;&gt;"",INDEX(BDHK2,MATCH($A51,DiemHKII!$B$4:$B$58,0),INDEX($BG$14:$BK$27,MATCH(AB$7,$BG$14:$BG$27,0),3)),""),"")</f>
        <v/>
      </c>
      <c r="AC51" s="35" t="str">
        <f>IF($A51&lt;&gt;"",IF(INDEX(BDHK2,MATCH($A51,DiemHKII!$B$4:$B$58,0),INDEX($BG$14:$BK$27,MATCH(AB$7,$BG$14:$BG$27,0),2))&lt;&gt;"",INDEX(BDHK2,MATCH($A51,DiemHKII!$B$4:$B$58,0),INDEX($BG$14:$BK$27,MATCH(AB$7,$BG$14:$BG$27,0),4)),""),"")</f>
        <v/>
      </c>
      <c r="AD51" s="36" t="str">
        <f>IF($A51&lt;&gt;"",IF(INDEX(BDHK2,MATCH($A51,DiemHKII!$B$4:$B$58,0),INDEX($BG$14:$BK$27,MATCH(AB$7,$BG$14:$BG$27,0),2))&lt;&gt;"",INDEX(BDHK2,MATCH($A51,DiemHKII!$B$4:$B$58,0),INDEX($BG$14:$BK$27,MATCH(AB$7,$BG$14:$BG$27,0),5)),""),"")</f>
        <v/>
      </c>
      <c r="AE51" s="34" t="str">
        <f>IF($A51&lt;&gt;"",IF(INDEX(BDHK2,MATCH($A51,DiemHKII!$B$4:$B$58,0),INDEX($BG$14:$BK$27,MATCH(AE$7,$BG$14:$BG$27,0),2))&lt;&gt;"",INDEX(BDHK2,MATCH($A51,DiemHKII!$B$4:$B$58,0),INDEX($BG$14:$BK$27,MATCH(AE$7,$BG$14:$BG$27,0),3)),""),"")</f>
        <v/>
      </c>
      <c r="AF51" s="35" t="str">
        <f>IF($A51&lt;&gt;"",IF(INDEX(BDHK2,MATCH($A51,DiemHKII!$B$4:$B$58,0),INDEX($BG$14:$BK$27,MATCH(AE$7,$BG$14:$BG$27,0),2))&lt;&gt;"",INDEX(BDHK2,MATCH($A51,DiemHKII!$B$4:$B$58,0),INDEX($BG$14:$BK$27,MATCH(AE$7,$BG$14:$BG$27,0),4)),""),"")</f>
        <v/>
      </c>
      <c r="AG51" s="36" t="str">
        <f>IF($A51&lt;&gt;"",IF(INDEX(BDHK2,MATCH($A51,DiemHKII!$B$4:$B$58,0),INDEX($BG$14:$BK$27,MATCH(AE$7,$BG$14:$BG$27,0),2))&lt;&gt;"",INDEX(BDHK2,MATCH($A51,DiemHKII!$B$4:$B$58,0),INDEX($BG$14:$BK$27,MATCH(AE$7,$BG$14:$BG$27,0),5)),""),"")</f>
        <v/>
      </c>
      <c r="AH51" s="34" t="str">
        <f>IF($A51&lt;&gt;"",IF(INDEX(BDHK2,MATCH($A51,DiemHKII!$B$4:$B$58,0),INDEX($BG$14:$BK$27,MATCH(AH$7,$BG$14:$BG$27,0),2))&lt;&gt;"",INDEX(BDHK2,MATCH($A51,DiemHKII!$B$4:$B$58,0),INDEX($BG$14:$BK$27,MATCH(AH$7,$BG$14:$BG$27,0),3)),""),"")</f>
        <v/>
      </c>
      <c r="AI51" s="35" t="str">
        <f>IF($A51&lt;&gt;"",IF(INDEX(BDHK2,MATCH($A51,DiemHKII!$B$4:$B$58,0),INDEX($BG$14:$BK$27,MATCH(AH$7,$BG$14:$BG$27,0),2))&lt;&gt;"",INDEX(BDHK2,MATCH($A51,DiemHKII!$B$4:$B$58,0),INDEX($BG$14:$BK$27,MATCH(AH$7,$BG$14:$BG$27,0),4)),""),"")</f>
        <v/>
      </c>
      <c r="AJ51" s="36" t="str">
        <f>IF($A51&lt;&gt;"",IF(INDEX(BDHK2,MATCH($A51,DiemHKII!$B$4:$B$58,0),INDEX($BG$14:$BK$27,MATCH(AH$7,$BG$14:$BG$27,0),2))&lt;&gt;"",INDEX(BDHK2,MATCH($A51,DiemHKII!$B$4:$B$58,0),INDEX($BG$14:$BK$27,MATCH(AH$7,$BG$14:$BG$27,0),5)),""),"")</f>
        <v/>
      </c>
      <c r="AK51" s="37" t="str">
        <f>IF($A51&lt;&gt;"",IF(INDEX(BDHK2,MATCH($A51,DiemHKII!$B$4:$B$58,0),INDEX($BG$14:$BK$27,MATCH(AK$7,$BG$14:$BG$27,0),2))&lt;&gt;"",INDEX(BDHK2,MATCH($A51,DiemHKII!$B$4:$B$58,0),INDEX($BG$14:$BK$27,MATCH(AK$7,$BG$14:$BG$27,0),3)),""),"")</f>
        <v/>
      </c>
      <c r="AL51" s="8" t="str">
        <f>IF($A51&lt;&gt;"",IF(INDEX(BDHK2,MATCH($A51,DiemHKII!$B$4:$B$58,0),INDEX($BG$14:$BK$27,MATCH(AK$7,$BG$14:$BG$27,0),2))&lt;&gt;"",INDEX(BDHK2,MATCH($A51,DiemHKII!$B$4:$B$58,0),INDEX($BG$14:$BK$27,MATCH(AK$7,$BG$14:$BG$27,0),4)),""),"")</f>
        <v/>
      </c>
      <c r="AM51" s="38" t="str">
        <f>IF($A51&lt;&gt;"",IF(INDEX(BDHK2,MATCH($A51,DiemHKII!$B$4:$B$58,0),INDEX($BG$14:$BK$27,MATCH(AK$7,$BG$14:$BG$27,0),2))&lt;&gt;"",INDEX(BDHK2,MATCH($A51,DiemHKII!$B$4:$B$58,0),INDEX($BG$14:$BK$27,MATCH(AK$7,$BG$14:$BG$27,0),5)),""),"")</f>
        <v/>
      </c>
      <c r="AN51" s="34" t="str">
        <f>IF($A51&lt;&gt;"",IF(INDEX(BDHK2,MATCH($A51,DiemHKII!$B$4:$B$58,0),INDEX($BG$14:$BK$27,MATCH(AN$7,$BG$14:$BG$27,0),2))&lt;&gt;"",INDEX(BDHK2,MATCH($A51,DiemHKII!$B$4:$B$58,0),INDEX($BG$14:$BK$27,MATCH(AN$7,$BG$14:$BG$27,0),3)),""),"")</f>
        <v/>
      </c>
      <c r="AO51" s="35" t="str">
        <f>IF($A51&lt;&gt;"",IF(INDEX(BDHK2,MATCH($A51,DiemHKII!$B$4:$B$58,0),INDEX($BG$14:$BK$27,MATCH(AN$7,$BG$14:$BG$27,0),2))&lt;&gt;"",INDEX(BDHK2,MATCH($A51,DiemHKII!$B$4:$B$58,0),INDEX($BG$14:$BK$27,MATCH(AN$7,$BG$14:$BG$27,0),4)),""),"")</f>
        <v/>
      </c>
      <c r="AP51" s="36" t="str">
        <f>IF($A51&lt;&gt;"",IF(INDEX(BDHK2,MATCH($A51,DiemHKII!$B$4:$B$58,0),INDEX($BG$14:$BK$27,MATCH(AN$7,$BG$14:$BG$27,0),2))&lt;&gt;"",INDEX(BDHK2,MATCH($A51,DiemHKII!$B$4:$B$58,0),INDEX($BG$14:$BK$27,MATCH(AN$7,$BG$14:$BG$27,0),5)),""),"")</f>
        <v/>
      </c>
      <c r="AQ51" s="34" t="str">
        <f>IF($A51&lt;&gt;"",IF(INDEX(BDHK2,MATCH($A51,DiemHKII!$B$4:$B$58,0),INDEX($BG$14:$BK$27,MATCH(AQ$7,$BG$14:$BG$27,0),2))&lt;&gt;"",INDEX(BDHK2,MATCH($A51,DiemHKII!$B$4:$B$58,0),INDEX($BG$14:$BK$27,MATCH(AQ$7,$BG$14:$BG$27,0),3)),""),"")</f>
        <v/>
      </c>
      <c r="AR51" s="35" t="str">
        <f>IF($A51&lt;&gt;"",IF(INDEX(BDHK2,MATCH($A51,DiemHKII!$B$4:$B$58,0),INDEX($BG$14:$BK$27,MATCH(AQ$7,$BG$14:$BG$27,0),2))&lt;&gt;"",INDEX(BDHK2,MATCH($A51,DiemHKII!$B$4:$B$58,0),INDEX($BG$14:$BK$27,MATCH(AQ$7,$BG$14:$BG$27,0),4)),""),"")</f>
        <v/>
      </c>
      <c r="AS51" s="36" t="str">
        <f>IF($A51&lt;&gt;"",IF(INDEX(BDHK2,MATCH($A51,DiemHKII!$B$4:$B$58,0),INDEX($BG$14:$BK$27,MATCH(AQ$7,$BG$14:$BG$27,0),2))&lt;&gt;"",INDEX(BDHK2,MATCH($A51,DiemHKII!$B$4:$B$58,0),INDEX($BG$14:$BK$27,MATCH(AQ$7,$BG$14:$BG$27,0),5)),""),"")</f>
        <v/>
      </c>
      <c r="AT51" s="34" t="str">
        <f>IFERROR(IF($A51&gt;=1,IF(INDEX(THHKI!$V$8:$Y$62,MATCH($BL51,THHKI!$AG$8:$AG$62,0),1)&lt;&gt;"",INDEX(THHKI!$V$8:$Y$62,MATCH($BL51,THHKI!$AG$8:$AG$62,0),1),""),""),"")</f>
        <v/>
      </c>
      <c r="AU51" s="35" t="str">
        <f>IF($A51&gt;=1,IF(INDEX(THHKII!$V$8:$Y$62,MATCH($BL51,THHKII!$AG$8:$AG$62,0),1)&lt;&gt;"",INDEX(THHKII!$V$8:$Y$62,MATCH($BL51,THHKII!$AG$8:$AG$62,0),1),""),"")</f>
        <v/>
      </c>
      <c r="AV51" s="39" t="str">
        <f>IF($A51&gt;=1,IF(INDEX(THCN!$V$8:$Y$62,MATCH($BL51,THCN!$AG$8:$AG$62,0),1)&lt;&gt;"",INDEX(THCN!$V$8:$Y$62,MATCH($BL51,THCN!$AG$8:$AG$62,0),1),""),"")</f>
        <v/>
      </c>
      <c r="AW51" s="40" t="str">
        <f>IFERROR(IF($A51&gt;=1,IF(INDEX(THHKI!$V$8:$Y$62,MATCH($BL51,THHKI!$AG$8:$AG$62,0),2)&lt;&gt;"",INDEX(THHKI!$V$8:$Y$62,MATCH($BL51,THHKI!$AG$8:$AG$62,0),2),""),""),"")</f>
        <v/>
      </c>
      <c r="AX51" s="8" t="str">
        <f>IF($A51&gt;=1,IF(INDEX(THHKII!$V$8:$Y$62,MATCH($BL51,THHKII!$AG$8:$AG$62,0),2)&lt;&gt;"",INDEX(THHKII!$V$8:$Y$62,MATCH($BL51,THHKII!$AG$8:$AG$62,0),2),""),"")</f>
        <v/>
      </c>
      <c r="AY51" s="467" t="str">
        <f>IF($A51&gt;=1,IF(INDEX(THCN!$V$8:$Y$62,MATCH($BL51,THCN!$AG$8:$AG$62,0),2)&lt;&gt;"",INDEX(THCN!$V$8:$Y$62,MATCH($BL51,THCN!$AG$8:$AG$62,0),2),""),"")</f>
        <v/>
      </c>
      <c r="AZ51" s="37" t="str">
        <f>IFERROR(IF($A51&gt;=1,IF(INDEX(THHKI!$V$8:$Y$62,MATCH($BL51,THHKI!$AG$8:$AG$62,0),3)&lt;&gt;"",INDEX(THHKI!$V$8:$Y$62,MATCH($BL51,THHKI!$AG$8:$AG$62,0),3),""),""),"")</f>
        <v/>
      </c>
      <c r="BA51" s="8" t="str">
        <f>IF($A51&gt;=1,IF(INDEX(THHKII!$V$8:$Y$62,MATCH($BL51,THHKII!$AG$8:$AG$62,0),3)&lt;&gt;"",INDEX(THHKII!$V$8:$Y$62,MATCH($BL51,THHKII!$AG$8:$AG$62,0),3),""),"")</f>
        <v/>
      </c>
      <c r="BB51" s="41" t="str">
        <f>IF($A51&gt;=1,IF(INDEX(THCN!$V$8:$Y$62,MATCH($BL51,THCN!$AG$8:$AG$62,0),3)&lt;&gt;"",INDEX(THCN!$V$8:$Y$62,MATCH($BL51,THCN!$AG$8:$AG$62,0),3),""),"")</f>
        <v/>
      </c>
      <c r="BC51" s="42" t="str">
        <f>IF($A51&gt;=1,IF(INDEX(THCN!$V$8:$Y$62,MATCH($BL51,THCN!$AG$8:$AG$62,0),4)&lt;&gt;"",INDEX(THCN!$V$8:$Y$62,MATCH($BL51,THCN!$AG$8:$AG$62,0),4),""),"")</f>
        <v/>
      </c>
      <c r="BE51" s="31" t="str">
        <f>IFERROR(IF($A51&gt;=1,IF(INDEX(THHKI!$V$8:$Y$62,MATCH($BL51,THHKI!$AG$8:$AG$62,0),4)&lt;&gt;"",INDEX(THHKI!$V$8:$Y$62,MATCH($BL51,THHKI!$AG$8:$AG$62,0),4),""),""),"")</f>
        <v/>
      </c>
      <c r="BF51" s="42" t="str">
        <f>IF($A51&gt;=1,IF(INDEX(THHKII!$V$8:$Y$62,MATCH($BL51,THHKII!$AG$8:$AG$62,0),4)&lt;&gt;"",INDEX(THHKII!$V$8:$Y$62,MATCH($BL51,THHKII!$AG$8:$AG$62,0),4),""),"")</f>
        <v/>
      </c>
      <c r="BL51" s="30" t="str">
        <f>IF($A51&lt;&gt;"",INDEX(DiemHKII!$B$4:$K$58,MATCH($A51,DiemHKII!$B$4:$B$58,0),2),"")</f>
        <v/>
      </c>
    </row>
    <row r="52" spans="1:64" s="30" customFormat="1" ht="29.1" hidden="1" customHeight="1">
      <c r="A52" s="31" t="str">
        <f>IF(A51&lt;MAX(DiemHKII!$B$4:$B$58),A51+1,"")</f>
        <v/>
      </c>
      <c r="B52" s="32" t="str">
        <f>IF($A52&lt;&gt;"",PROPER(INDEX(DiemHKII!$B$4:$K$58,MATCH($A52,DiemHKII!$B$4:$B$58,0),4)),"")</f>
        <v/>
      </c>
      <c r="C52" s="33" t="str">
        <f>IF($A52&lt;&gt;"",PROPER(INDEX(DiemHKII!$B$4:$K$58,MATCH($A52,DiemHKII!$B$4:$B$58,0),5)),"")</f>
        <v/>
      </c>
      <c r="D52" s="34" t="str">
        <f>IF($A52&lt;&gt;"",IF(INDEX(BDHK2,MATCH($A52,DiemHKII!$B$4:$B$58,0),INDEX($BG$14:$BK$27,MATCH(D$7,$BG$14:$BG$27,0),2))&lt;&gt;"",INDEX(BDHK2,MATCH($A52,DiemHKII!$B$4:$B$58,0),INDEX($BG$14:$BK$27,MATCH(D$7,$BG$14:$BG$27,0),3)),""),"")</f>
        <v/>
      </c>
      <c r="E52" s="35" t="str">
        <f>IF($A52&lt;&gt;"",IF(INDEX(BDHK2,MATCH($A52,DiemHKII!$B$4:$B$58,0),INDEX($BG$14:$BK$27,MATCH(D$7,$BG$14:$BG$27,0),2))&lt;&gt;"",INDEX(BDHK2,MATCH($A52,DiemHKII!$B$4:$B$58,0),INDEX($BG$14:$BK$27,MATCH(D$7,$BG$14:$BG$27,0),4)),""),"")</f>
        <v/>
      </c>
      <c r="F52" s="36" t="str">
        <f>IF($A52&lt;&gt;"",IF(INDEX(BDHK2,MATCH($A52,DiemHKII!$B$4:$B$58,0),INDEX($BG$14:$BK$27,MATCH(D$7,$BG$14:$BG$27,0),2))&lt;&gt;"",INDEX(BDHK2,MATCH($A52,DiemHKII!$B$4:$B$58,0),INDEX($BG$14:$BK$27,MATCH(D$7,$BG$14:$BG$27,0),5)),""),"")</f>
        <v/>
      </c>
      <c r="G52" s="34" t="str">
        <f>IF($A52&lt;&gt;"",IF(INDEX(BDHK2,MATCH($A52,DiemHKII!$B$4:$B$58,0),INDEX($BG$14:$BK$27,MATCH(G$7,$BG$14:$BG$27,0),2))&lt;&gt;"",INDEX(BDHK2,MATCH($A52,DiemHKII!$B$4:$B$58,0),INDEX($BG$14:$BK$27,MATCH(G$7,$BG$14:$BG$27,0),3)),""),"")</f>
        <v/>
      </c>
      <c r="H52" s="35" t="str">
        <f>IF($A52&lt;&gt;"",IF(INDEX(BDHK2,MATCH($A52,DiemHKII!$B$4:$B$58,0),INDEX($BG$14:$BK$27,MATCH(G$7,$BG$14:$BG$27,0),2))&lt;&gt;"",INDEX(BDHK2,MATCH($A52,DiemHKII!$B$4:$B$58,0),INDEX($BG$14:$BK$27,MATCH(G$7,$BG$14:$BG$27,0),4)),""),"")</f>
        <v/>
      </c>
      <c r="I52" s="36" t="str">
        <f>IF($A52&lt;&gt;"",IF(INDEX(BDHK2,MATCH($A52,DiemHKII!$B$4:$B$58,0),INDEX($BG$14:$BK$27,MATCH(G$7,$BG$14:$BG$27,0),2))&lt;&gt;"",INDEX(BDHK2,MATCH($A52,DiemHKII!$B$4:$B$58,0),INDEX($BG$14:$BK$27,MATCH(G$7,$BG$14:$BG$27,0),5)),""),"")</f>
        <v/>
      </c>
      <c r="J52" s="34" t="str">
        <f>IF($A52&lt;&gt;"",IF(INDEX(BDHK2,MATCH($A52,DiemHKII!$B$4:$B$58,0),INDEX($BG$14:$BK$27,MATCH(J$7,$BG$14:$BG$27,0),2))&lt;&gt;"",INDEX(BDHK2,MATCH($A52,DiemHKII!$B$4:$B$58,0),INDEX($BG$14:$BK$27,MATCH(J$7,$BG$14:$BG$27,0),3)),""),"")</f>
        <v/>
      </c>
      <c r="K52" s="35" t="str">
        <f>IF($A52&lt;&gt;"",IF(INDEX(BDHK2,MATCH($A52,DiemHKII!$B$4:$B$58,0),INDEX($BG$14:$BK$27,MATCH(J$7,$BG$14:$BG$27,0),2))&lt;&gt;"",INDEX(BDHK2,MATCH($A52,DiemHKII!$B$4:$B$58,0),INDEX($BG$14:$BK$27,MATCH(J$7,$BG$14:$BG$27,0),4)),""),"")</f>
        <v/>
      </c>
      <c r="L52" s="36" t="str">
        <f>IF($A52&lt;&gt;"",IF(INDEX(BDHK2,MATCH($A52,DiemHKII!$B$4:$B$58,0),INDEX($BG$14:$BK$27,MATCH(J$7,$BG$14:$BG$27,0),2))&lt;&gt;"",INDEX(BDHK2,MATCH($A52,DiemHKII!$B$4:$B$58,0),INDEX($BG$14:$BK$27,MATCH(J$7,$BG$14:$BG$27,0),5)),""),"")</f>
        <v/>
      </c>
      <c r="M52" s="34" t="str">
        <f>IF($A52&lt;&gt;"",IF(INDEX(BDHK2,MATCH($A52,DiemHKII!$B$4:$B$58,0),INDEX($BG$14:$BK$27,MATCH(M$7,$BG$14:$BG$27,0),2))&lt;&gt;"",INDEX(BDHK2,MATCH($A52,DiemHKII!$B$4:$B$58,0),INDEX($BG$14:$BK$27,MATCH(M$7,$BG$14:$BG$27,0),3)),""),"")</f>
        <v/>
      </c>
      <c r="N52" s="35" t="str">
        <f>IF($A52&lt;&gt;"",IF(INDEX(BDHK2,MATCH($A52,DiemHKII!$B$4:$B$58,0),INDEX($BG$14:$BK$27,MATCH(M$7,$BG$14:$BG$27,0),2))&lt;&gt;"",INDEX(BDHK2,MATCH($A52,DiemHKII!$B$4:$B$58,0),INDEX($BG$14:$BK$27,MATCH(M$7,$BG$14:$BG$27,0),4)),""),"")</f>
        <v/>
      </c>
      <c r="O52" s="36" t="str">
        <f>IF($A52&lt;&gt;"",IF(INDEX(BDHK2,MATCH($A52,DiemHKII!$B$4:$B$58,0),INDEX($BG$14:$BK$27,MATCH(M$7,$BG$14:$BG$27,0),2))&lt;&gt;"",INDEX(BDHK2,MATCH($A52,DiemHKII!$B$4:$B$58,0),INDEX($BG$14:$BK$27,MATCH(M$7,$BG$14:$BG$27,0),5)),""),"")</f>
        <v/>
      </c>
      <c r="P52" s="34" t="str">
        <f>IF($A52&lt;&gt;"",IF(INDEX(BDHK2,MATCH($A52,DiemHKII!$B$4:$B$58,0),INDEX($BG$14:$BK$27,MATCH(P$7,$BG$14:$BG$27,0),2))&lt;&gt;"",INDEX(BDHK2,MATCH($A52,DiemHKII!$B$4:$B$58,0),INDEX($BG$14:$BK$27,MATCH(P$7,$BG$14:$BG$27,0),3)),""),"")</f>
        <v/>
      </c>
      <c r="Q52" s="35" t="str">
        <f>IF($A52&lt;&gt;"",IF(INDEX(BDHK2,MATCH($A52,DiemHKII!$B$4:$B$58,0),INDEX($BG$14:$BK$27,MATCH(P$7,$BG$14:$BG$27,0),2))&lt;&gt;"",INDEX(BDHK2,MATCH($A52,DiemHKII!$B$4:$B$58,0),INDEX($BG$14:$BK$27,MATCH(P$7,$BG$14:$BG$27,0),4)),""),"")</f>
        <v/>
      </c>
      <c r="R52" s="36" t="str">
        <f>IF($A52&lt;&gt;"",IF(INDEX(BDHK2,MATCH($A52,DiemHKII!$B$4:$B$58,0),INDEX($BG$14:$BK$27,MATCH(P$7,$BG$14:$BG$27,0),2))&lt;&gt;"",INDEX(BDHK2,MATCH($A52,DiemHKII!$B$4:$B$58,0),INDEX($BG$14:$BK$27,MATCH(P$7,$BG$14:$BG$27,0),5)),""),"")</f>
        <v/>
      </c>
      <c r="S52" s="34" t="str">
        <f>IF($A52&lt;&gt;"",IF(INDEX(BDHK2,MATCH($A52,DiemHKII!$B$4:$B$58,0),INDEX($BG$14:$BK$27,MATCH(S$7,$BG$14:$BG$27,0),2))&lt;&gt;"",INDEX(BDHK2,MATCH($A52,DiemHKII!$B$4:$B$58,0),INDEX($BG$14:$BK$27,MATCH(S$7,$BG$14:$BG$27,0),3)),""),"")</f>
        <v/>
      </c>
      <c r="T52" s="35" t="str">
        <f>IF($A52&lt;&gt;"",IF(INDEX(BDHK2,MATCH($A52,DiemHKII!$B$4:$B$58,0),INDEX($BG$14:$BK$27,MATCH(S$7,$BG$14:$BG$27,0),2))&lt;&gt;"",INDEX(BDHK2,MATCH($A52,DiemHKII!$B$4:$B$58,0),INDEX($BG$14:$BK$27,MATCH(S$7,$BG$14:$BG$27,0),4)),""),"")</f>
        <v/>
      </c>
      <c r="U52" s="36" t="str">
        <f>IF($A52&lt;&gt;"",IF(INDEX(BDHK2,MATCH($A52,DiemHKII!$B$4:$B$58,0),INDEX($BG$14:$BK$27,MATCH(S$7,$BG$14:$BG$27,0),2))&lt;&gt;"",INDEX(BDHK2,MATCH($A52,DiemHKII!$B$4:$B$58,0),INDEX($BG$14:$BK$27,MATCH(S$7,$BG$14:$BG$27,0),5)),""),"")</f>
        <v/>
      </c>
      <c r="V52" s="34" t="str">
        <f>IF($A52&lt;&gt;"",IF(INDEX(BDHK2,MATCH($A52,DiemHKII!$B$4:$B$58,0),INDEX($BG$14:$BK$27,MATCH(V$7,$BG$14:$BG$27,0),2))&lt;&gt;"",INDEX(BDHK2,MATCH($A52,DiemHKII!$B$4:$B$58,0),INDEX($BG$14:$BK$27,MATCH(V$7,$BG$14:$BG$27,0),3)),""),"")</f>
        <v/>
      </c>
      <c r="W52" s="35" t="str">
        <f>IF($A52&lt;&gt;"",IF(INDEX(BDHK2,MATCH($A52,DiemHKII!$B$4:$B$58,0),INDEX($BG$14:$BK$27,MATCH(V$7,$BG$14:$BG$27,0),2))&lt;&gt;"",INDEX(BDHK2,MATCH($A52,DiemHKII!$B$4:$B$58,0),INDEX($BG$14:$BK$27,MATCH(V$7,$BG$14:$BG$27,0),4)),""),"")</f>
        <v/>
      </c>
      <c r="X52" s="36" t="str">
        <f>IF($A52&lt;&gt;"",IF(INDEX(BDHK2,MATCH($A52,DiemHKII!$B$4:$B$58,0),INDEX($BG$14:$BK$27,MATCH(V$7,$BG$14:$BG$27,0),2))&lt;&gt;"",INDEX(BDHK2,MATCH($A52,DiemHKII!$B$4:$B$58,0),INDEX($BG$14:$BK$27,MATCH(V$7,$BG$14:$BG$27,0),5)),""),"")</f>
        <v/>
      </c>
      <c r="Y52" s="34" t="str">
        <f>IF($A52&lt;&gt;"",IF(INDEX(BDHK2,MATCH($A52,DiemHKII!$B$4:$B$58,0),INDEX($BG$14:$BK$27,MATCH(Y$7,$BG$14:$BG$27,0),2))&lt;&gt;"",INDEX(BDHK2,MATCH($A52,DiemHKII!$B$4:$B$58,0),INDEX($BG$14:$BK$27,MATCH(Y$7,$BG$14:$BG$27,0),3)),""),"")</f>
        <v/>
      </c>
      <c r="Z52" s="35" t="str">
        <f>IF($A52&lt;&gt;"",IF(INDEX(BDHK2,MATCH($A52,DiemHKII!$B$4:$B$58,0),INDEX($BG$14:$BK$27,MATCH(Y$7,$BG$14:$BG$27,0),2))&lt;&gt;"",INDEX(BDHK2,MATCH($A52,DiemHKII!$B$4:$B$58,0),INDEX($BG$14:$BK$27,MATCH(Y$7,$BG$14:$BG$27,0),4)),""),"")</f>
        <v/>
      </c>
      <c r="AA52" s="36" t="str">
        <f>IF($A52&lt;&gt;"",IF(INDEX(BDHK2,MATCH($A52,DiemHKII!$B$4:$B$58,0),INDEX($BG$14:$BK$27,MATCH(Y$7,$BG$14:$BG$27,0),2))&lt;&gt;"",INDEX(BDHK2,MATCH($A52,DiemHKII!$B$4:$B$58,0),INDEX($BG$14:$BK$27,MATCH(Y$7,$BG$14:$BG$27,0),5)),""),"")</f>
        <v/>
      </c>
      <c r="AB52" s="34" t="str">
        <f>IF($A52&lt;&gt;"",IF(INDEX(BDHK2,MATCH($A52,DiemHKII!$B$4:$B$58,0),INDEX($BG$14:$BK$27,MATCH(AB$7,$BG$14:$BG$27,0),2))&lt;&gt;"",INDEX(BDHK2,MATCH($A52,DiemHKII!$B$4:$B$58,0),INDEX($BG$14:$BK$27,MATCH(AB$7,$BG$14:$BG$27,0),3)),""),"")</f>
        <v/>
      </c>
      <c r="AC52" s="35" t="str">
        <f>IF($A52&lt;&gt;"",IF(INDEX(BDHK2,MATCH($A52,DiemHKII!$B$4:$B$58,0),INDEX($BG$14:$BK$27,MATCH(AB$7,$BG$14:$BG$27,0),2))&lt;&gt;"",INDEX(BDHK2,MATCH($A52,DiemHKII!$B$4:$B$58,0),INDEX($BG$14:$BK$27,MATCH(AB$7,$BG$14:$BG$27,0),4)),""),"")</f>
        <v/>
      </c>
      <c r="AD52" s="36" t="str">
        <f>IF($A52&lt;&gt;"",IF(INDEX(BDHK2,MATCH($A52,DiemHKII!$B$4:$B$58,0),INDEX($BG$14:$BK$27,MATCH(AB$7,$BG$14:$BG$27,0),2))&lt;&gt;"",INDEX(BDHK2,MATCH($A52,DiemHKII!$B$4:$B$58,0),INDEX($BG$14:$BK$27,MATCH(AB$7,$BG$14:$BG$27,0),5)),""),"")</f>
        <v/>
      </c>
      <c r="AE52" s="34" t="str">
        <f>IF($A52&lt;&gt;"",IF(INDEX(BDHK2,MATCH($A52,DiemHKII!$B$4:$B$58,0),INDEX($BG$14:$BK$27,MATCH(AE$7,$BG$14:$BG$27,0),2))&lt;&gt;"",INDEX(BDHK2,MATCH($A52,DiemHKII!$B$4:$B$58,0),INDEX($BG$14:$BK$27,MATCH(AE$7,$BG$14:$BG$27,0),3)),""),"")</f>
        <v/>
      </c>
      <c r="AF52" s="35" t="str">
        <f>IF($A52&lt;&gt;"",IF(INDEX(BDHK2,MATCH($A52,DiemHKII!$B$4:$B$58,0),INDEX($BG$14:$BK$27,MATCH(AE$7,$BG$14:$BG$27,0),2))&lt;&gt;"",INDEX(BDHK2,MATCH($A52,DiemHKII!$B$4:$B$58,0),INDEX($BG$14:$BK$27,MATCH(AE$7,$BG$14:$BG$27,0),4)),""),"")</f>
        <v/>
      </c>
      <c r="AG52" s="36" t="str">
        <f>IF($A52&lt;&gt;"",IF(INDEX(BDHK2,MATCH($A52,DiemHKII!$B$4:$B$58,0),INDEX($BG$14:$BK$27,MATCH(AE$7,$BG$14:$BG$27,0),2))&lt;&gt;"",INDEX(BDHK2,MATCH($A52,DiemHKII!$B$4:$B$58,0),INDEX($BG$14:$BK$27,MATCH(AE$7,$BG$14:$BG$27,0),5)),""),"")</f>
        <v/>
      </c>
      <c r="AH52" s="34" t="str">
        <f>IF($A52&lt;&gt;"",IF(INDEX(BDHK2,MATCH($A52,DiemHKII!$B$4:$B$58,0),INDEX($BG$14:$BK$27,MATCH(AH$7,$BG$14:$BG$27,0),2))&lt;&gt;"",INDEX(BDHK2,MATCH($A52,DiemHKII!$B$4:$B$58,0),INDEX($BG$14:$BK$27,MATCH(AH$7,$BG$14:$BG$27,0),3)),""),"")</f>
        <v/>
      </c>
      <c r="AI52" s="35" t="str">
        <f>IF($A52&lt;&gt;"",IF(INDEX(BDHK2,MATCH($A52,DiemHKII!$B$4:$B$58,0),INDEX($BG$14:$BK$27,MATCH(AH$7,$BG$14:$BG$27,0),2))&lt;&gt;"",INDEX(BDHK2,MATCH($A52,DiemHKII!$B$4:$B$58,0),INDEX($BG$14:$BK$27,MATCH(AH$7,$BG$14:$BG$27,0),4)),""),"")</f>
        <v/>
      </c>
      <c r="AJ52" s="36" t="str">
        <f>IF($A52&lt;&gt;"",IF(INDEX(BDHK2,MATCH($A52,DiemHKII!$B$4:$B$58,0),INDEX($BG$14:$BK$27,MATCH(AH$7,$BG$14:$BG$27,0),2))&lt;&gt;"",INDEX(BDHK2,MATCH($A52,DiemHKII!$B$4:$B$58,0),INDEX($BG$14:$BK$27,MATCH(AH$7,$BG$14:$BG$27,0),5)),""),"")</f>
        <v/>
      </c>
      <c r="AK52" s="37" t="str">
        <f>IF($A52&lt;&gt;"",IF(INDEX(BDHK2,MATCH($A52,DiemHKII!$B$4:$B$58,0),INDEX($BG$14:$BK$27,MATCH(AK$7,$BG$14:$BG$27,0),2))&lt;&gt;"",INDEX(BDHK2,MATCH($A52,DiemHKII!$B$4:$B$58,0),INDEX($BG$14:$BK$27,MATCH(AK$7,$BG$14:$BG$27,0),3)),""),"")</f>
        <v/>
      </c>
      <c r="AL52" s="8" t="str">
        <f>IF($A52&lt;&gt;"",IF(INDEX(BDHK2,MATCH($A52,DiemHKII!$B$4:$B$58,0),INDEX($BG$14:$BK$27,MATCH(AK$7,$BG$14:$BG$27,0),2))&lt;&gt;"",INDEX(BDHK2,MATCH($A52,DiemHKII!$B$4:$B$58,0),INDEX($BG$14:$BK$27,MATCH(AK$7,$BG$14:$BG$27,0),4)),""),"")</f>
        <v/>
      </c>
      <c r="AM52" s="38" t="str">
        <f>IF($A52&lt;&gt;"",IF(INDEX(BDHK2,MATCH($A52,DiemHKII!$B$4:$B$58,0),INDEX($BG$14:$BK$27,MATCH(AK$7,$BG$14:$BG$27,0),2))&lt;&gt;"",INDEX(BDHK2,MATCH($A52,DiemHKII!$B$4:$B$58,0),INDEX($BG$14:$BK$27,MATCH(AK$7,$BG$14:$BG$27,0),5)),""),"")</f>
        <v/>
      </c>
      <c r="AN52" s="34" t="str">
        <f>IF($A52&lt;&gt;"",IF(INDEX(BDHK2,MATCH($A52,DiemHKII!$B$4:$B$58,0),INDEX($BG$14:$BK$27,MATCH(AN$7,$BG$14:$BG$27,0),2))&lt;&gt;"",INDEX(BDHK2,MATCH($A52,DiemHKII!$B$4:$B$58,0),INDEX($BG$14:$BK$27,MATCH(AN$7,$BG$14:$BG$27,0),3)),""),"")</f>
        <v/>
      </c>
      <c r="AO52" s="35" t="str">
        <f>IF($A52&lt;&gt;"",IF(INDEX(BDHK2,MATCH($A52,DiemHKII!$B$4:$B$58,0),INDEX($BG$14:$BK$27,MATCH(AN$7,$BG$14:$BG$27,0),2))&lt;&gt;"",INDEX(BDHK2,MATCH($A52,DiemHKII!$B$4:$B$58,0),INDEX($BG$14:$BK$27,MATCH(AN$7,$BG$14:$BG$27,0),4)),""),"")</f>
        <v/>
      </c>
      <c r="AP52" s="36" t="str">
        <f>IF($A52&lt;&gt;"",IF(INDEX(BDHK2,MATCH($A52,DiemHKII!$B$4:$B$58,0),INDEX($BG$14:$BK$27,MATCH(AN$7,$BG$14:$BG$27,0),2))&lt;&gt;"",INDEX(BDHK2,MATCH($A52,DiemHKII!$B$4:$B$58,0),INDEX($BG$14:$BK$27,MATCH(AN$7,$BG$14:$BG$27,0),5)),""),"")</f>
        <v/>
      </c>
      <c r="AQ52" s="34" t="str">
        <f>IF($A52&lt;&gt;"",IF(INDEX(BDHK2,MATCH($A52,DiemHKII!$B$4:$B$58,0),INDEX($BG$14:$BK$27,MATCH(AQ$7,$BG$14:$BG$27,0),2))&lt;&gt;"",INDEX(BDHK2,MATCH($A52,DiemHKII!$B$4:$B$58,0),INDEX($BG$14:$BK$27,MATCH(AQ$7,$BG$14:$BG$27,0),3)),""),"")</f>
        <v/>
      </c>
      <c r="AR52" s="35" t="str">
        <f>IF($A52&lt;&gt;"",IF(INDEX(BDHK2,MATCH($A52,DiemHKII!$B$4:$B$58,0),INDEX($BG$14:$BK$27,MATCH(AQ$7,$BG$14:$BG$27,0),2))&lt;&gt;"",INDEX(BDHK2,MATCH($A52,DiemHKII!$B$4:$B$58,0),INDEX($BG$14:$BK$27,MATCH(AQ$7,$BG$14:$BG$27,0),4)),""),"")</f>
        <v/>
      </c>
      <c r="AS52" s="36" t="str">
        <f>IF($A52&lt;&gt;"",IF(INDEX(BDHK2,MATCH($A52,DiemHKII!$B$4:$B$58,0),INDEX($BG$14:$BK$27,MATCH(AQ$7,$BG$14:$BG$27,0),2))&lt;&gt;"",INDEX(BDHK2,MATCH($A52,DiemHKII!$B$4:$B$58,0),INDEX($BG$14:$BK$27,MATCH(AQ$7,$BG$14:$BG$27,0),5)),""),"")</f>
        <v/>
      </c>
      <c r="AT52" s="34" t="str">
        <f>IFERROR(IF($A52&gt;=1,IF(INDEX(THHKI!$V$8:$Y$62,MATCH($BL52,THHKI!$AG$8:$AG$62,0),1)&lt;&gt;"",INDEX(THHKI!$V$8:$Y$62,MATCH($BL52,THHKI!$AG$8:$AG$62,0),1),""),""),"")</f>
        <v/>
      </c>
      <c r="AU52" s="35" t="str">
        <f>IF($A52&gt;=1,IF(INDEX(THHKII!$V$8:$Y$62,MATCH($BL52,THHKII!$AG$8:$AG$62,0),1)&lt;&gt;"",INDEX(THHKII!$V$8:$Y$62,MATCH($BL52,THHKII!$AG$8:$AG$62,0),1),""),"")</f>
        <v/>
      </c>
      <c r="AV52" s="39" t="str">
        <f>IF($A52&gt;=1,IF(INDEX(THCN!$V$8:$Y$62,MATCH($BL52,THCN!$AG$8:$AG$62,0),1)&lt;&gt;"",INDEX(THCN!$V$8:$Y$62,MATCH($BL52,THCN!$AG$8:$AG$62,0),1),""),"")</f>
        <v/>
      </c>
      <c r="AW52" s="40" t="str">
        <f>IFERROR(IF($A52&gt;=1,IF(INDEX(THHKI!$V$8:$Y$62,MATCH($BL52,THHKI!$AG$8:$AG$62,0),2)&lt;&gt;"",INDEX(THHKI!$V$8:$Y$62,MATCH($BL52,THHKI!$AG$8:$AG$62,0),2),""),""),"")</f>
        <v/>
      </c>
      <c r="AX52" s="8" t="str">
        <f>IF($A52&gt;=1,IF(INDEX(THHKII!$V$8:$Y$62,MATCH($BL52,THHKII!$AG$8:$AG$62,0),2)&lt;&gt;"",INDEX(THHKII!$V$8:$Y$62,MATCH($BL52,THHKII!$AG$8:$AG$62,0),2),""),"")</f>
        <v/>
      </c>
      <c r="AY52" s="467" t="str">
        <f>IF($A52&gt;=1,IF(INDEX(THCN!$V$8:$Y$62,MATCH($BL52,THCN!$AG$8:$AG$62,0),2)&lt;&gt;"",INDEX(THCN!$V$8:$Y$62,MATCH($BL52,THCN!$AG$8:$AG$62,0),2),""),"")</f>
        <v/>
      </c>
      <c r="AZ52" s="37" t="str">
        <f>IFERROR(IF($A52&gt;=1,IF(INDEX(THHKI!$V$8:$Y$62,MATCH($BL52,THHKI!$AG$8:$AG$62,0),3)&lt;&gt;"",INDEX(THHKI!$V$8:$Y$62,MATCH($BL52,THHKI!$AG$8:$AG$62,0),3),""),""),"")</f>
        <v/>
      </c>
      <c r="BA52" s="8" t="str">
        <f>IF($A52&gt;=1,IF(INDEX(THHKII!$V$8:$Y$62,MATCH($BL52,THHKII!$AG$8:$AG$62,0),3)&lt;&gt;"",INDEX(THHKII!$V$8:$Y$62,MATCH($BL52,THHKII!$AG$8:$AG$62,0),3),""),"")</f>
        <v/>
      </c>
      <c r="BB52" s="41" t="str">
        <f>IF($A52&gt;=1,IF(INDEX(THCN!$V$8:$Y$62,MATCH($BL52,THCN!$AG$8:$AG$62,0),3)&lt;&gt;"",INDEX(THCN!$V$8:$Y$62,MATCH($BL52,THCN!$AG$8:$AG$62,0),3),""),"")</f>
        <v/>
      </c>
      <c r="BC52" s="42" t="str">
        <f>IF($A52&gt;=1,IF(INDEX(THCN!$V$8:$Y$62,MATCH($BL52,THCN!$AG$8:$AG$62,0),4)&lt;&gt;"",INDEX(THCN!$V$8:$Y$62,MATCH($BL52,THCN!$AG$8:$AG$62,0),4),""),"")</f>
        <v/>
      </c>
      <c r="BE52" s="31" t="str">
        <f>IFERROR(IF($A52&gt;=1,IF(INDEX(THHKI!$V$8:$Y$62,MATCH($BL52,THHKI!$AG$8:$AG$62,0),4)&lt;&gt;"",INDEX(THHKI!$V$8:$Y$62,MATCH($BL52,THHKI!$AG$8:$AG$62,0),4),""),""),"")</f>
        <v/>
      </c>
      <c r="BF52" s="42" t="str">
        <f>IF($A52&gt;=1,IF(INDEX(THHKII!$V$8:$Y$62,MATCH($BL52,THHKII!$AG$8:$AG$62,0),4)&lt;&gt;"",INDEX(THHKII!$V$8:$Y$62,MATCH($BL52,THHKII!$AG$8:$AG$62,0),4),""),"")</f>
        <v/>
      </c>
      <c r="BL52" s="30" t="str">
        <f>IF($A52&lt;&gt;"",INDEX(DiemHKII!$B$4:$K$58,MATCH($A52,DiemHKII!$B$4:$B$58,0),2),"")</f>
        <v/>
      </c>
    </row>
    <row r="53" spans="1:64" s="30" customFormat="1" ht="29.1" hidden="1" customHeight="1" thickBot="1">
      <c r="A53" s="43" t="str">
        <f>IF(A52&lt;MAX(DiemHKII!$B$4:$B$58),A52+1,"")</f>
        <v/>
      </c>
      <c r="B53" s="44" t="str">
        <f>IF($A53&lt;&gt;"",PROPER(INDEX(DiemHKII!$B$4:$K$58,MATCH($A53,DiemHKII!$B$4:$B$58,0),4)),"")</f>
        <v/>
      </c>
      <c r="C53" s="45" t="str">
        <f>IF($A53&lt;&gt;"",PROPER(INDEX(DiemHKII!$B$4:$K$58,MATCH($A53,DiemHKII!$B$4:$B$58,0),5)),"")</f>
        <v/>
      </c>
      <c r="D53" s="46" t="str">
        <f>IF($A53&lt;&gt;"",IF(INDEX(BDHK2,MATCH($A53,DiemHKII!$B$4:$B$58,0),INDEX($BG$14:$BK$27,MATCH(D$7,$BG$14:$BG$27,0),2))&lt;&gt;"",INDEX(BDHK2,MATCH($A53,DiemHKII!$B$4:$B$58,0),INDEX($BG$14:$BK$27,MATCH(D$7,$BG$14:$BG$27,0),3)),""),"")</f>
        <v/>
      </c>
      <c r="E53" s="47" t="str">
        <f>IF($A53&lt;&gt;"",IF(INDEX(BDHK2,MATCH($A53,DiemHKII!$B$4:$B$58,0),INDEX($BG$14:$BK$27,MATCH(D$7,$BG$14:$BG$27,0),2))&lt;&gt;"",INDEX(BDHK2,MATCH($A53,DiemHKII!$B$4:$B$58,0),INDEX($BG$14:$BK$27,MATCH(D$7,$BG$14:$BG$27,0),4)),""),"")</f>
        <v/>
      </c>
      <c r="F53" s="48" t="str">
        <f>IF($A53&lt;&gt;"",IF(INDEX(BDHK2,MATCH($A53,DiemHKII!$B$4:$B$58,0),INDEX($BG$14:$BK$27,MATCH(D$7,$BG$14:$BG$27,0),2))&lt;&gt;"",INDEX(BDHK2,MATCH($A53,DiemHKII!$B$4:$B$58,0),INDEX($BG$14:$BK$27,MATCH(D$7,$BG$14:$BG$27,0),5)),""),"")</f>
        <v/>
      </c>
      <c r="G53" s="46" t="str">
        <f>IF($A53&lt;&gt;"",IF(INDEX(BDHK2,MATCH($A53,DiemHKII!$B$4:$B$58,0),INDEX($BG$14:$BK$27,MATCH(G$7,$BG$14:$BG$27,0),2))&lt;&gt;"",INDEX(BDHK2,MATCH($A53,DiemHKII!$B$4:$B$58,0),INDEX($BG$14:$BK$27,MATCH(G$7,$BG$14:$BG$27,0),3)),""),"")</f>
        <v/>
      </c>
      <c r="H53" s="47" t="str">
        <f>IF($A53&lt;&gt;"",IF(INDEX(BDHK2,MATCH($A53,DiemHKII!$B$4:$B$58,0),INDEX($BG$14:$BK$27,MATCH(G$7,$BG$14:$BG$27,0),2))&lt;&gt;"",INDEX(BDHK2,MATCH($A53,DiemHKII!$B$4:$B$58,0),INDEX($BG$14:$BK$27,MATCH(G$7,$BG$14:$BG$27,0),4)),""),"")</f>
        <v/>
      </c>
      <c r="I53" s="48" t="str">
        <f>IF($A53&lt;&gt;"",IF(INDEX(BDHK2,MATCH($A53,DiemHKII!$B$4:$B$58,0),INDEX($BG$14:$BK$27,MATCH(G$7,$BG$14:$BG$27,0),2))&lt;&gt;"",INDEX(BDHK2,MATCH($A53,DiemHKII!$B$4:$B$58,0),INDEX($BG$14:$BK$27,MATCH(G$7,$BG$14:$BG$27,0),5)),""),"")</f>
        <v/>
      </c>
      <c r="J53" s="46" t="str">
        <f>IF($A53&lt;&gt;"",IF(INDEX(BDHK2,MATCH($A53,DiemHKII!$B$4:$B$58,0),INDEX($BG$14:$BK$27,MATCH(J$7,$BG$14:$BG$27,0),2))&lt;&gt;"",INDEX(BDHK2,MATCH($A53,DiemHKII!$B$4:$B$58,0),INDEX($BG$14:$BK$27,MATCH(J$7,$BG$14:$BG$27,0),3)),""),"")</f>
        <v/>
      </c>
      <c r="K53" s="47" t="str">
        <f>IF($A53&lt;&gt;"",IF(INDEX(BDHK2,MATCH($A53,DiemHKII!$B$4:$B$58,0),INDEX($BG$14:$BK$27,MATCH(J$7,$BG$14:$BG$27,0),2))&lt;&gt;"",INDEX(BDHK2,MATCH($A53,DiemHKII!$B$4:$B$58,0),INDEX($BG$14:$BK$27,MATCH(J$7,$BG$14:$BG$27,0),4)),""),"")</f>
        <v/>
      </c>
      <c r="L53" s="48" t="str">
        <f>IF($A53&lt;&gt;"",IF(INDEX(BDHK2,MATCH($A53,DiemHKII!$B$4:$B$58,0),INDEX($BG$14:$BK$27,MATCH(J$7,$BG$14:$BG$27,0),2))&lt;&gt;"",INDEX(BDHK2,MATCH($A53,DiemHKII!$B$4:$B$58,0),INDEX($BG$14:$BK$27,MATCH(J$7,$BG$14:$BG$27,0),5)),""),"")</f>
        <v/>
      </c>
      <c r="M53" s="46" t="str">
        <f>IF($A53&lt;&gt;"",IF(INDEX(BDHK2,MATCH($A53,DiemHKII!$B$4:$B$58,0),INDEX($BG$14:$BK$27,MATCH(M$7,$BG$14:$BG$27,0),2))&lt;&gt;"",INDEX(BDHK2,MATCH($A53,DiemHKII!$B$4:$B$58,0),INDEX($BG$14:$BK$27,MATCH(M$7,$BG$14:$BG$27,0),3)),""),"")</f>
        <v/>
      </c>
      <c r="N53" s="47" t="str">
        <f>IF($A53&lt;&gt;"",IF(INDEX(BDHK2,MATCH($A53,DiemHKII!$B$4:$B$58,0),INDEX($BG$14:$BK$27,MATCH(M$7,$BG$14:$BG$27,0),2))&lt;&gt;"",INDEX(BDHK2,MATCH($A53,DiemHKII!$B$4:$B$58,0),INDEX($BG$14:$BK$27,MATCH(M$7,$BG$14:$BG$27,0),4)),""),"")</f>
        <v/>
      </c>
      <c r="O53" s="48" t="str">
        <f>IF($A53&lt;&gt;"",IF(INDEX(BDHK2,MATCH($A53,DiemHKII!$B$4:$B$58,0),INDEX($BG$14:$BK$27,MATCH(M$7,$BG$14:$BG$27,0),2))&lt;&gt;"",INDEX(BDHK2,MATCH($A53,DiemHKII!$B$4:$B$58,0),INDEX($BG$14:$BK$27,MATCH(M$7,$BG$14:$BG$27,0),5)),""),"")</f>
        <v/>
      </c>
      <c r="P53" s="46" t="str">
        <f>IF($A53&lt;&gt;"",IF(INDEX(BDHK2,MATCH($A53,DiemHKII!$B$4:$B$58,0),INDEX($BG$14:$BK$27,MATCH(P$7,$BG$14:$BG$27,0),2))&lt;&gt;"",INDEX(BDHK2,MATCH($A53,DiemHKII!$B$4:$B$58,0),INDEX($BG$14:$BK$27,MATCH(P$7,$BG$14:$BG$27,0),3)),""),"")</f>
        <v/>
      </c>
      <c r="Q53" s="47" t="str">
        <f>IF($A53&lt;&gt;"",IF(INDEX(BDHK2,MATCH($A53,DiemHKII!$B$4:$B$58,0),INDEX($BG$14:$BK$27,MATCH(P$7,$BG$14:$BG$27,0),2))&lt;&gt;"",INDEX(BDHK2,MATCH($A53,DiemHKII!$B$4:$B$58,0),INDEX($BG$14:$BK$27,MATCH(P$7,$BG$14:$BG$27,0),4)),""),"")</f>
        <v/>
      </c>
      <c r="R53" s="48" t="str">
        <f>IF($A53&lt;&gt;"",IF(INDEX(BDHK2,MATCH($A53,DiemHKII!$B$4:$B$58,0),INDEX($BG$14:$BK$27,MATCH(P$7,$BG$14:$BG$27,0),2))&lt;&gt;"",INDEX(BDHK2,MATCH($A53,DiemHKII!$B$4:$B$58,0),INDEX($BG$14:$BK$27,MATCH(P$7,$BG$14:$BG$27,0),5)),""),"")</f>
        <v/>
      </c>
      <c r="S53" s="46" t="str">
        <f>IF($A53&lt;&gt;"",IF(INDEX(BDHK2,MATCH($A53,DiemHKII!$B$4:$B$58,0),INDEX($BG$14:$BK$27,MATCH(S$7,$BG$14:$BG$27,0),2))&lt;&gt;"",INDEX(BDHK2,MATCH($A53,DiemHKII!$B$4:$B$58,0),INDEX($BG$14:$BK$27,MATCH(S$7,$BG$14:$BG$27,0),3)),""),"")</f>
        <v/>
      </c>
      <c r="T53" s="47" t="str">
        <f>IF($A53&lt;&gt;"",IF(INDEX(BDHK2,MATCH($A53,DiemHKII!$B$4:$B$58,0),INDEX($BG$14:$BK$27,MATCH(S$7,$BG$14:$BG$27,0),2))&lt;&gt;"",INDEX(BDHK2,MATCH($A53,DiemHKII!$B$4:$B$58,0),INDEX($BG$14:$BK$27,MATCH(S$7,$BG$14:$BG$27,0),4)),""),"")</f>
        <v/>
      </c>
      <c r="U53" s="48" t="str">
        <f>IF($A53&lt;&gt;"",IF(INDEX(BDHK2,MATCH($A53,DiemHKII!$B$4:$B$58,0),INDEX($BG$14:$BK$27,MATCH(S$7,$BG$14:$BG$27,0),2))&lt;&gt;"",INDEX(BDHK2,MATCH($A53,DiemHKII!$B$4:$B$58,0),INDEX($BG$14:$BK$27,MATCH(S$7,$BG$14:$BG$27,0),5)),""),"")</f>
        <v/>
      </c>
      <c r="V53" s="46" t="str">
        <f>IF($A53&lt;&gt;"",IF(INDEX(BDHK2,MATCH($A53,DiemHKII!$B$4:$B$58,0),INDEX($BG$14:$BK$27,MATCH(V$7,$BG$14:$BG$27,0),2))&lt;&gt;"",INDEX(BDHK2,MATCH($A53,DiemHKII!$B$4:$B$58,0),INDEX($BG$14:$BK$27,MATCH(V$7,$BG$14:$BG$27,0),3)),""),"")</f>
        <v/>
      </c>
      <c r="W53" s="47" t="str">
        <f>IF($A53&lt;&gt;"",IF(INDEX(BDHK2,MATCH($A53,DiemHKII!$B$4:$B$58,0),INDEX($BG$14:$BK$27,MATCH(V$7,$BG$14:$BG$27,0),2))&lt;&gt;"",INDEX(BDHK2,MATCH($A53,DiemHKII!$B$4:$B$58,0),INDEX($BG$14:$BK$27,MATCH(V$7,$BG$14:$BG$27,0),4)),""),"")</f>
        <v/>
      </c>
      <c r="X53" s="48" t="str">
        <f>IF($A53&lt;&gt;"",IF(INDEX(BDHK2,MATCH($A53,DiemHKII!$B$4:$B$58,0),INDEX($BG$14:$BK$27,MATCH(V$7,$BG$14:$BG$27,0),2))&lt;&gt;"",INDEX(BDHK2,MATCH($A53,DiemHKII!$B$4:$B$58,0),INDEX($BG$14:$BK$27,MATCH(V$7,$BG$14:$BG$27,0),5)),""),"")</f>
        <v/>
      </c>
      <c r="Y53" s="46" t="str">
        <f>IF($A53&lt;&gt;"",IF(INDEX(BDHK2,MATCH($A53,DiemHKII!$B$4:$B$58,0),INDEX($BG$14:$BK$27,MATCH(Y$7,$BG$14:$BG$27,0),2))&lt;&gt;"",INDEX(BDHK2,MATCH($A53,DiemHKII!$B$4:$B$58,0),INDEX($BG$14:$BK$27,MATCH(Y$7,$BG$14:$BG$27,0),3)),""),"")</f>
        <v/>
      </c>
      <c r="Z53" s="47" t="str">
        <f>IF($A53&lt;&gt;"",IF(INDEX(BDHK2,MATCH($A53,DiemHKII!$B$4:$B$58,0),INDEX($BG$14:$BK$27,MATCH(Y$7,$BG$14:$BG$27,0),2))&lt;&gt;"",INDEX(BDHK2,MATCH($A53,DiemHKII!$B$4:$B$58,0),INDEX($BG$14:$BK$27,MATCH(Y$7,$BG$14:$BG$27,0),4)),""),"")</f>
        <v/>
      </c>
      <c r="AA53" s="48" t="str">
        <f>IF($A53&lt;&gt;"",IF(INDEX(BDHK2,MATCH($A53,DiemHKII!$B$4:$B$58,0),INDEX($BG$14:$BK$27,MATCH(Y$7,$BG$14:$BG$27,0),2))&lt;&gt;"",INDEX(BDHK2,MATCH($A53,DiemHKII!$B$4:$B$58,0),INDEX($BG$14:$BK$27,MATCH(Y$7,$BG$14:$BG$27,0),5)),""),"")</f>
        <v/>
      </c>
      <c r="AB53" s="46" t="str">
        <f>IF($A53&lt;&gt;"",IF(INDEX(BDHK2,MATCH($A53,DiemHKII!$B$4:$B$58,0),INDEX($BG$14:$BK$27,MATCH(AB$7,$BG$14:$BG$27,0),2))&lt;&gt;"",INDEX(BDHK2,MATCH($A53,DiemHKII!$B$4:$B$58,0),INDEX($BG$14:$BK$27,MATCH(AB$7,$BG$14:$BG$27,0),3)),""),"")</f>
        <v/>
      </c>
      <c r="AC53" s="47" t="str">
        <f>IF($A53&lt;&gt;"",IF(INDEX(BDHK2,MATCH($A53,DiemHKII!$B$4:$B$58,0),INDEX($BG$14:$BK$27,MATCH(AB$7,$BG$14:$BG$27,0),2))&lt;&gt;"",INDEX(BDHK2,MATCH($A53,DiemHKII!$B$4:$B$58,0),INDEX($BG$14:$BK$27,MATCH(AB$7,$BG$14:$BG$27,0),4)),""),"")</f>
        <v/>
      </c>
      <c r="AD53" s="48" t="str">
        <f>IF($A53&lt;&gt;"",IF(INDEX(BDHK2,MATCH($A53,DiemHKII!$B$4:$B$58,0),INDEX($BG$14:$BK$27,MATCH(AB$7,$BG$14:$BG$27,0),2))&lt;&gt;"",INDEX(BDHK2,MATCH($A53,DiemHKII!$B$4:$B$58,0),INDEX($BG$14:$BK$27,MATCH(AB$7,$BG$14:$BG$27,0),5)),""),"")</f>
        <v/>
      </c>
      <c r="AE53" s="46" t="str">
        <f>IF($A53&lt;&gt;"",IF(INDEX(BDHK2,MATCH($A53,DiemHKII!$B$4:$B$58,0),INDEX($BG$14:$BK$27,MATCH(AE$7,$BG$14:$BG$27,0),2))&lt;&gt;"",INDEX(BDHK2,MATCH($A53,DiemHKII!$B$4:$B$58,0),INDEX($BG$14:$BK$27,MATCH(AE$7,$BG$14:$BG$27,0),3)),""),"")</f>
        <v/>
      </c>
      <c r="AF53" s="47" t="str">
        <f>IF($A53&lt;&gt;"",IF(INDEX(BDHK2,MATCH($A53,DiemHKII!$B$4:$B$58,0),INDEX($BG$14:$BK$27,MATCH(AE$7,$BG$14:$BG$27,0),2))&lt;&gt;"",INDEX(BDHK2,MATCH($A53,DiemHKII!$B$4:$B$58,0),INDEX($BG$14:$BK$27,MATCH(AE$7,$BG$14:$BG$27,0),4)),""),"")</f>
        <v/>
      </c>
      <c r="AG53" s="48" t="str">
        <f>IF($A53&lt;&gt;"",IF(INDEX(BDHK2,MATCH($A53,DiemHKII!$B$4:$B$58,0),INDEX($BG$14:$BK$27,MATCH(AE$7,$BG$14:$BG$27,0),2))&lt;&gt;"",INDEX(BDHK2,MATCH($A53,DiemHKII!$B$4:$B$58,0),INDEX($BG$14:$BK$27,MATCH(AE$7,$BG$14:$BG$27,0),5)),""),"")</f>
        <v/>
      </c>
      <c r="AH53" s="46" t="str">
        <f>IF($A53&lt;&gt;"",IF(INDEX(BDHK2,MATCH($A53,DiemHKII!$B$4:$B$58,0),INDEX($BG$14:$BK$27,MATCH(AH$7,$BG$14:$BG$27,0),2))&lt;&gt;"",INDEX(BDHK2,MATCH($A53,DiemHKII!$B$4:$B$58,0),INDEX($BG$14:$BK$27,MATCH(AH$7,$BG$14:$BG$27,0),3)),""),"")</f>
        <v/>
      </c>
      <c r="AI53" s="47" t="str">
        <f>IF($A53&lt;&gt;"",IF(INDEX(BDHK2,MATCH($A53,DiemHKII!$B$4:$B$58,0),INDEX($BG$14:$BK$27,MATCH(AH$7,$BG$14:$BG$27,0),2))&lt;&gt;"",INDEX(BDHK2,MATCH($A53,DiemHKII!$B$4:$B$58,0),INDEX($BG$14:$BK$27,MATCH(AH$7,$BG$14:$BG$27,0),4)),""),"")</f>
        <v/>
      </c>
      <c r="AJ53" s="48" t="str">
        <f>IF($A53&lt;&gt;"",IF(INDEX(BDHK2,MATCH($A53,DiemHKII!$B$4:$B$58,0),INDEX($BG$14:$BK$27,MATCH(AH$7,$BG$14:$BG$27,0),2))&lt;&gt;"",INDEX(BDHK2,MATCH($A53,DiemHKII!$B$4:$B$58,0),INDEX($BG$14:$BK$27,MATCH(AH$7,$BG$14:$BG$27,0),5)),""),"")</f>
        <v/>
      </c>
      <c r="AK53" s="49" t="str">
        <f>IF($A53&lt;&gt;"",IF(INDEX(BDHK2,MATCH($A53,DiemHKII!$B$4:$B$58,0),INDEX($BG$14:$BK$27,MATCH(AK$7,$BG$14:$BG$27,0),2))&lt;&gt;"",INDEX(BDHK2,MATCH($A53,DiemHKII!$B$4:$B$58,0),INDEX($BG$14:$BK$27,MATCH(AK$7,$BG$14:$BG$27,0),3)),""),"")</f>
        <v/>
      </c>
      <c r="AL53" s="50" t="str">
        <f>IF($A53&lt;&gt;"",IF(INDEX(BDHK2,MATCH($A53,DiemHKII!$B$4:$B$58,0),INDEX($BG$14:$BK$27,MATCH(AK$7,$BG$14:$BG$27,0),2))&lt;&gt;"",INDEX(BDHK2,MATCH($A53,DiemHKII!$B$4:$B$58,0),INDEX($BG$14:$BK$27,MATCH(AK$7,$BG$14:$BG$27,0),4)),""),"")</f>
        <v/>
      </c>
      <c r="AM53" s="51" t="str">
        <f>IF($A53&lt;&gt;"",IF(INDEX(BDHK2,MATCH($A53,DiemHKII!$B$4:$B$58,0),INDEX($BG$14:$BK$27,MATCH(AK$7,$BG$14:$BG$27,0),2))&lt;&gt;"",INDEX(BDHK2,MATCH($A53,DiemHKII!$B$4:$B$58,0),INDEX($BG$14:$BK$27,MATCH(AK$7,$BG$14:$BG$27,0),5)),""),"")</f>
        <v/>
      </c>
      <c r="AN53" s="46" t="str">
        <f>IF($A53&lt;&gt;"",IF(INDEX(BDHK2,MATCH($A53,DiemHKII!$B$4:$B$58,0),INDEX($BG$14:$BK$27,MATCH(AN$7,$BG$14:$BG$27,0),2))&lt;&gt;"",INDEX(BDHK2,MATCH($A53,DiemHKII!$B$4:$B$58,0),INDEX($BG$14:$BK$27,MATCH(AN$7,$BG$14:$BG$27,0),3)),""),"")</f>
        <v/>
      </c>
      <c r="AO53" s="47" t="str">
        <f>IF($A53&lt;&gt;"",IF(INDEX(BDHK2,MATCH($A53,DiemHKII!$B$4:$B$58,0),INDEX($BG$14:$BK$27,MATCH(AN$7,$BG$14:$BG$27,0),2))&lt;&gt;"",INDEX(BDHK2,MATCH($A53,DiemHKII!$B$4:$B$58,0),INDEX($BG$14:$BK$27,MATCH(AN$7,$BG$14:$BG$27,0),4)),""),"")</f>
        <v/>
      </c>
      <c r="AP53" s="48" t="str">
        <f>IF($A53&lt;&gt;"",IF(INDEX(BDHK2,MATCH($A53,DiemHKII!$B$4:$B$58,0),INDEX($BG$14:$BK$27,MATCH(AN$7,$BG$14:$BG$27,0),2))&lt;&gt;"",INDEX(BDHK2,MATCH($A53,DiemHKII!$B$4:$B$58,0),INDEX($BG$14:$BK$27,MATCH(AN$7,$BG$14:$BG$27,0),5)),""),"")</f>
        <v/>
      </c>
      <c r="AQ53" s="46" t="str">
        <f>IF($A53&lt;&gt;"",IF(INDEX(BDHK2,MATCH($A53,DiemHKII!$B$4:$B$58,0),INDEX($BG$14:$BK$27,MATCH(AQ$7,$BG$14:$BG$27,0),2))&lt;&gt;"",INDEX(BDHK2,MATCH($A53,DiemHKII!$B$4:$B$58,0),INDEX($BG$14:$BK$27,MATCH(AQ$7,$BG$14:$BG$27,0),3)),""),"")</f>
        <v/>
      </c>
      <c r="AR53" s="47" t="str">
        <f>IF($A53&lt;&gt;"",IF(INDEX(BDHK2,MATCH($A53,DiemHKII!$B$4:$B$58,0),INDEX($BG$14:$BK$27,MATCH(AQ$7,$BG$14:$BG$27,0),2))&lt;&gt;"",INDEX(BDHK2,MATCH($A53,DiemHKII!$B$4:$B$58,0),INDEX($BG$14:$BK$27,MATCH(AQ$7,$BG$14:$BG$27,0),4)),""),"")</f>
        <v/>
      </c>
      <c r="AS53" s="48" t="str">
        <f>IF($A53&lt;&gt;"",IF(INDEX(BDHK2,MATCH($A53,DiemHKII!$B$4:$B$58,0),INDEX($BG$14:$BK$27,MATCH(AQ$7,$BG$14:$BG$27,0),2))&lt;&gt;"",INDEX(BDHK2,MATCH($A53,DiemHKII!$B$4:$B$58,0),INDEX($BG$14:$BK$27,MATCH(AQ$7,$BG$14:$BG$27,0),5)),""),"")</f>
        <v/>
      </c>
      <c r="AT53" s="46" t="str">
        <f>IFERROR(IF($A53&gt;=1,IF(INDEX(THHKI!$V$8:$Y$62,MATCH($BL53,THHKI!$AG$8:$AG$62,0),1)&lt;&gt;"",INDEX(THHKI!$V$8:$Y$62,MATCH($BL53,THHKI!$AG$8:$AG$62,0),1),""),""),"")</f>
        <v/>
      </c>
      <c r="AU53" s="47" t="str">
        <f>IF($A53&gt;=1,IF(INDEX(THHKII!$V$8:$Y$62,MATCH($BL53,THHKII!$AG$8:$AG$62,0),1)&lt;&gt;"",INDEX(THHKII!$V$8:$Y$62,MATCH($BL53,THHKII!$AG$8:$AG$62,0),1),""),"")</f>
        <v/>
      </c>
      <c r="AV53" s="52" t="str">
        <f>IF($A53&gt;=1,IF(INDEX(THCN!$V$8:$Y$62,MATCH($BL53,THCN!$AG$8:$AG$62,0),1)&lt;&gt;"",INDEX(THCN!$V$8:$Y$62,MATCH($BL53,THCN!$AG$8:$AG$62,0),1),""),"")</f>
        <v/>
      </c>
      <c r="AW53" s="53" t="str">
        <f>IFERROR(IF($A53&gt;=1,IF(INDEX(THHKI!$V$8:$Y$62,MATCH($BL53,THHKI!$AG$8:$AG$62,0),2)&lt;&gt;"",INDEX(THHKI!$V$8:$Y$62,MATCH($BL53,THHKI!$AG$8:$AG$62,0),2),""),""),"")</f>
        <v/>
      </c>
      <c r="AX53" s="50" t="str">
        <f>IF($A53&gt;=1,IF(INDEX(THHKII!$V$8:$Y$62,MATCH($BL53,THHKII!$AG$8:$AG$62,0),2)&lt;&gt;"",INDEX(THHKII!$V$8:$Y$62,MATCH($BL53,THHKII!$AG$8:$AG$62,0),2),""),"")</f>
        <v/>
      </c>
      <c r="AY53" s="54" t="str">
        <f>IF($A53&gt;=1,IF(INDEX(THCN!$V$8:$Y$62,MATCH($BL53,THCN!$AG$8:$AG$62,0),2)&lt;&gt;"",INDEX(THCN!$V$8:$Y$62,MATCH($BL53,THCN!$AG$8:$AG$62,0),2),""),"")</f>
        <v/>
      </c>
      <c r="AZ53" s="49" t="str">
        <f>IFERROR(IF($A53&gt;=1,IF(INDEX(THHKI!$V$8:$Y$62,MATCH($BL53,THHKI!$AG$8:$AG$62,0),3)&lt;&gt;"",INDEX(THHKI!$V$8:$Y$62,MATCH($BL53,THHKI!$AG$8:$AG$62,0),3),""),""),"")</f>
        <v/>
      </c>
      <c r="BA53" s="50" t="str">
        <f>IF($A53&gt;=1,IF(INDEX(THHKII!$V$8:$Y$62,MATCH($BL53,THHKII!$AG$8:$AG$62,0),3)&lt;&gt;"",INDEX(THHKII!$V$8:$Y$62,MATCH($BL53,THHKII!$AG$8:$AG$62,0),3),""),"")</f>
        <v/>
      </c>
      <c r="BB53" s="55" t="str">
        <f>IF($A53&gt;=1,IF(INDEX(THCN!$V$8:$Y$62,MATCH($BL53,THCN!$AG$8:$AG$62,0),3)&lt;&gt;"",INDEX(THCN!$V$8:$Y$62,MATCH($BL53,THCN!$AG$8:$AG$62,0),3),""),"")</f>
        <v/>
      </c>
      <c r="BC53" s="56" t="str">
        <f>IF($A53&gt;=1,IF(INDEX(THCN!$V$8:$Y$62,MATCH($BL53,THCN!$AG$8:$AG$62,0),4)&lt;&gt;"",INDEX(THCN!$V$8:$Y$62,MATCH($BL53,THCN!$AG$8:$AG$62,0),4),""),"")</f>
        <v/>
      </c>
      <c r="BE53" s="43" t="str">
        <f>IFERROR(IF($A53&gt;=1,IF(INDEX(THHKI!$V$8:$Y$62,MATCH($BL53,THHKI!$AG$8:$AG$62,0),4)&lt;&gt;"",INDEX(THHKI!$V$8:$Y$62,MATCH($BL53,THHKI!$AG$8:$AG$62,0),4),""),""),"")</f>
        <v/>
      </c>
      <c r="BF53" s="56" t="str">
        <f>IF($A53&gt;=1,IF(INDEX(THHKII!$V$8:$Y$62,MATCH($BL53,THHKII!$AG$8:$AG$62,0),4)&lt;&gt;"",INDEX(THHKII!$V$8:$Y$62,MATCH($BL53,THHKII!$AG$8:$AG$62,0),4),""),"")</f>
        <v/>
      </c>
      <c r="BL53" s="30" t="str">
        <f>IF($A53&lt;&gt;"",INDEX(DiemHKII!$B$4:$K$58,MATCH($A53,DiemHKII!$B$4:$B$58,0),2),"")</f>
        <v/>
      </c>
    </row>
    <row r="54" spans="1:64" s="30" customFormat="1" ht="29.1" hidden="1" customHeight="1">
      <c r="A54" s="16" t="str">
        <f>IF(A53&lt;MAX(DiemHKII!$B$4:$B$58),A53+1,"")</f>
        <v/>
      </c>
      <c r="B54" s="17" t="str">
        <f>IF($A54&lt;&gt;"",PROPER(INDEX(DiemHKII!$B$4:$K$58,MATCH($A54,DiemHKII!$B$4:$B$58,0),4)),"")</f>
        <v/>
      </c>
      <c r="C54" s="18" t="str">
        <f>IF($A54&lt;&gt;"",PROPER(INDEX(DiemHKII!$B$4:$K$58,MATCH($A54,DiemHKII!$B$4:$B$58,0),5)),"")</f>
        <v/>
      </c>
      <c r="D54" s="19" t="str">
        <f>IF($A54&lt;&gt;"",IF(INDEX(BDHK2,MATCH($A54,DiemHKII!$B$4:$B$58,0),INDEX($BG$14:$BK$27,MATCH(D$7,$BG$14:$BG$27,0),2))&lt;&gt;"",INDEX(BDHK2,MATCH($A54,DiemHKII!$B$4:$B$58,0),INDEX($BG$14:$BK$27,MATCH(D$7,$BG$14:$BG$27,0),3)),""),"")</f>
        <v/>
      </c>
      <c r="E54" s="20" t="str">
        <f>IF($A54&lt;&gt;"",IF(INDEX(BDHK2,MATCH($A54,DiemHKII!$B$4:$B$58,0),INDEX($BG$14:$BK$27,MATCH(D$7,$BG$14:$BG$27,0),2))&lt;&gt;"",INDEX(BDHK2,MATCH($A54,DiemHKII!$B$4:$B$58,0),INDEX($BG$14:$BK$27,MATCH(D$7,$BG$14:$BG$27,0),4)),""),"")</f>
        <v/>
      </c>
      <c r="F54" s="21" t="str">
        <f>IF($A54&lt;&gt;"",IF(INDEX(BDHK2,MATCH($A54,DiemHKII!$B$4:$B$58,0),INDEX($BG$14:$BK$27,MATCH(D$7,$BG$14:$BG$27,0),2))&lt;&gt;"",INDEX(BDHK2,MATCH($A54,DiemHKII!$B$4:$B$58,0),INDEX($BG$14:$BK$27,MATCH(D$7,$BG$14:$BG$27,0),5)),""),"")</f>
        <v/>
      </c>
      <c r="G54" s="19" t="str">
        <f>IF($A54&lt;&gt;"",IF(INDEX(BDHK2,MATCH($A54,DiemHKII!$B$4:$B$58,0),INDEX($BG$14:$BK$27,MATCH(G$7,$BG$14:$BG$27,0),2))&lt;&gt;"",INDEX(BDHK2,MATCH($A54,DiemHKII!$B$4:$B$58,0),INDEX($BG$14:$BK$27,MATCH(G$7,$BG$14:$BG$27,0),3)),""),"")</f>
        <v/>
      </c>
      <c r="H54" s="20" t="str">
        <f>IF($A54&lt;&gt;"",IF(INDEX(BDHK2,MATCH($A54,DiemHKII!$B$4:$B$58,0),INDEX($BG$14:$BK$27,MATCH(G$7,$BG$14:$BG$27,0),2))&lt;&gt;"",INDEX(BDHK2,MATCH($A54,DiemHKII!$B$4:$B$58,0),INDEX($BG$14:$BK$27,MATCH(G$7,$BG$14:$BG$27,0),4)),""),"")</f>
        <v/>
      </c>
      <c r="I54" s="21" t="str">
        <f>IF($A54&lt;&gt;"",IF(INDEX(BDHK2,MATCH($A54,DiemHKII!$B$4:$B$58,0),INDEX($BG$14:$BK$27,MATCH(G$7,$BG$14:$BG$27,0),2))&lt;&gt;"",INDEX(BDHK2,MATCH($A54,DiemHKII!$B$4:$B$58,0),INDEX($BG$14:$BK$27,MATCH(G$7,$BG$14:$BG$27,0),5)),""),"")</f>
        <v/>
      </c>
      <c r="J54" s="19" t="str">
        <f>IF($A54&lt;&gt;"",IF(INDEX(BDHK2,MATCH($A54,DiemHKII!$B$4:$B$58,0),INDEX($BG$14:$BK$27,MATCH(J$7,$BG$14:$BG$27,0),2))&lt;&gt;"",INDEX(BDHK2,MATCH($A54,DiemHKII!$B$4:$B$58,0),INDEX($BG$14:$BK$27,MATCH(J$7,$BG$14:$BG$27,0),3)),""),"")</f>
        <v/>
      </c>
      <c r="K54" s="20" t="str">
        <f>IF($A54&lt;&gt;"",IF(INDEX(BDHK2,MATCH($A54,DiemHKII!$B$4:$B$58,0),INDEX($BG$14:$BK$27,MATCH(J$7,$BG$14:$BG$27,0),2))&lt;&gt;"",INDEX(BDHK2,MATCH($A54,DiemHKII!$B$4:$B$58,0),INDEX($BG$14:$BK$27,MATCH(J$7,$BG$14:$BG$27,0),4)),""),"")</f>
        <v/>
      </c>
      <c r="L54" s="21" t="str">
        <f>IF($A54&lt;&gt;"",IF(INDEX(BDHK2,MATCH($A54,DiemHKII!$B$4:$B$58,0),INDEX($BG$14:$BK$27,MATCH(J$7,$BG$14:$BG$27,0),2))&lt;&gt;"",INDEX(BDHK2,MATCH($A54,DiemHKII!$B$4:$B$58,0),INDEX($BG$14:$BK$27,MATCH(J$7,$BG$14:$BG$27,0),5)),""),"")</f>
        <v/>
      </c>
      <c r="M54" s="19" t="str">
        <f>IF($A54&lt;&gt;"",IF(INDEX(BDHK2,MATCH($A54,DiemHKII!$B$4:$B$58,0),INDEX($BG$14:$BK$27,MATCH(M$7,$BG$14:$BG$27,0),2))&lt;&gt;"",INDEX(BDHK2,MATCH($A54,DiemHKII!$B$4:$B$58,0),INDEX($BG$14:$BK$27,MATCH(M$7,$BG$14:$BG$27,0),3)),""),"")</f>
        <v/>
      </c>
      <c r="N54" s="20" t="str">
        <f>IF($A54&lt;&gt;"",IF(INDEX(BDHK2,MATCH($A54,DiemHKII!$B$4:$B$58,0),INDEX($BG$14:$BK$27,MATCH(M$7,$BG$14:$BG$27,0),2))&lt;&gt;"",INDEX(BDHK2,MATCH($A54,DiemHKII!$B$4:$B$58,0),INDEX($BG$14:$BK$27,MATCH(M$7,$BG$14:$BG$27,0),4)),""),"")</f>
        <v/>
      </c>
      <c r="O54" s="21" t="str">
        <f>IF($A54&lt;&gt;"",IF(INDEX(BDHK2,MATCH($A54,DiemHKII!$B$4:$B$58,0),INDEX($BG$14:$BK$27,MATCH(M$7,$BG$14:$BG$27,0),2))&lt;&gt;"",INDEX(BDHK2,MATCH($A54,DiemHKII!$B$4:$B$58,0),INDEX($BG$14:$BK$27,MATCH(M$7,$BG$14:$BG$27,0),5)),""),"")</f>
        <v/>
      </c>
      <c r="P54" s="19" t="str">
        <f>IF($A54&lt;&gt;"",IF(INDEX(BDHK2,MATCH($A54,DiemHKII!$B$4:$B$58,0),INDEX($BG$14:$BK$27,MATCH(P$7,$BG$14:$BG$27,0),2))&lt;&gt;"",INDEX(BDHK2,MATCH($A54,DiemHKII!$B$4:$B$58,0),INDEX($BG$14:$BK$27,MATCH(P$7,$BG$14:$BG$27,0),3)),""),"")</f>
        <v/>
      </c>
      <c r="Q54" s="20" t="str">
        <f>IF($A54&lt;&gt;"",IF(INDEX(BDHK2,MATCH($A54,DiemHKII!$B$4:$B$58,0),INDEX($BG$14:$BK$27,MATCH(P$7,$BG$14:$BG$27,0),2))&lt;&gt;"",INDEX(BDHK2,MATCH($A54,DiemHKII!$B$4:$B$58,0),INDEX($BG$14:$BK$27,MATCH(P$7,$BG$14:$BG$27,0),4)),""),"")</f>
        <v/>
      </c>
      <c r="R54" s="21" t="str">
        <f>IF($A54&lt;&gt;"",IF(INDEX(BDHK2,MATCH($A54,DiemHKII!$B$4:$B$58,0),INDEX($BG$14:$BK$27,MATCH(P$7,$BG$14:$BG$27,0),2))&lt;&gt;"",INDEX(BDHK2,MATCH($A54,DiemHKII!$B$4:$B$58,0),INDEX($BG$14:$BK$27,MATCH(P$7,$BG$14:$BG$27,0),5)),""),"")</f>
        <v/>
      </c>
      <c r="S54" s="19" t="str">
        <f>IF($A54&lt;&gt;"",IF(INDEX(BDHK2,MATCH($A54,DiemHKII!$B$4:$B$58,0),INDEX($BG$14:$BK$27,MATCH(S$7,$BG$14:$BG$27,0),2))&lt;&gt;"",INDEX(BDHK2,MATCH($A54,DiemHKII!$B$4:$B$58,0),INDEX($BG$14:$BK$27,MATCH(S$7,$BG$14:$BG$27,0),3)),""),"")</f>
        <v/>
      </c>
      <c r="T54" s="20" t="str">
        <f>IF($A54&lt;&gt;"",IF(INDEX(BDHK2,MATCH($A54,DiemHKII!$B$4:$B$58,0),INDEX($BG$14:$BK$27,MATCH(S$7,$BG$14:$BG$27,0),2))&lt;&gt;"",INDEX(BDHK2,MATCH($A54,DiemHKII!$B$4:$B$58,0),INDEX($BG$14:$BK$27,MATCH(S$7,$BG$14:$BG$27,0),4)),""),"")</f>
        <v/>
      </c>
      <c r="U54" s="21" t="str">
        <f>IF($A54&lt;&gt;"",IF(INDEX(BDHK2,MATCH($A54,DiemHKII!$B$4:$B$58,0),INDEX($BG$14:$BK$27,MATCH(S$7,$BG$14:$BG$27,0),2))&lt;&gt;"",INDEX(BDHK2,MATCH($A54,DiemHKII!$B$4:$B$58,0),INDEX($BG$14:$BK$27,MATCH(S$7,$BG$14:$BG$27,0),5)),""),"")</f>
        <v/>
      </c>
      <c r="V54" s="19" t="str">
        <f>IF($A54&lt;&gt;"",IF(INDEX(BDHK2,MATCH($A54,DiemHKII!$B$4:$B$58,0),INDEX($BG$14:$BK$27,MATCH(V$7,$BG$14:$BG$27,0),2))&lt;&gt;"",INDEX(BDHK2,MATCH($A54,DiemHKII!$B$4:$B$58,0),INDEX($BG$14:$BK$27,MATCH(V$7,$BG$14:$BG$27,0),3)),""),"")</f>
        <v/>
      </c>
      <c r="W54" s="20" t="str">
        <f>IF($A54&lt;&gt;"",IF(INDEX(BDHK2,MATCH($A54,DiemHKII!$B$4:$B$58,0),INDEX($BG$14:$BK$27,MATCH(V$7,$BG$14:$BG$27,0),2))&lt;&gt;"",INDEX(BDHK2,MATCH($A54,DiemHKII!$B$4:$B$58,0),INDEX($BG$14:$BK$27,MATCH(V$7,$BG$14:$BG$27,0),4)),""),"")</f>
        <v/>
      </c>
      <c r="X54" s="21" t="str">
        <f>IF($A54&lt;&gt;"",IF(INDEX(BDHK2,MATCH($A54,DiemHKII!$B$4:$B$58,0),INDEX($BG$14:$BK$27,MATCH(V$7,$BG$14:$BG$27,0),2))&lt;&gt;"",INDEX(BDHK2,MATCH($A54,DiemHKII!$B$4:$B$58,0),INDEX($BG$14:$BK$27,MATCH(V$7,$BG$14:$BG$27,0),5)),""),"")</f>
        <v/>
      </c>
      <c r="Y54" s="19" t="str">
        <f>IF($A54&lt;&gt;"",IF(INDEX(BDHK2,MATCH($A54,DiemHKII!$B$4:$B$58,0),INDEX($BG$14:$BK$27,MATCH(Y$7,$BG$14:$BG$27,0),2))&lt;&gt;"",INDEX(BDHK2,MATCH($A54,DiemHKII!$B$4:$B$58,0),INDEX($BG$14:$BK$27,MATCH(Y$7,$BG$14:$BG$27,0),3)),""),"")</f>
        <v/>
      </c>
      <c r="Z54" s="20" t="str">
        <f>IF($A54&lt;&gt;"",IF(INDEX(BDHK2,MATCH($A54,DiemHKII!$B$4:$B$58,0),INDEX($BG$14:$BK$27,MATCH(Y$7,$BG$14:$BG$27,0),2))&lt;&gt;"",INDEX(BDHK2,MATCH($A54,DiemHKII!$B$4:$B$58,0),INDEX($BG$14:$BK$27,MATCH(Y$7,$BG$14:$BG$27,0),4)),""),"")</f>
        <v/>
      </c>
      <c r="AA54" s="21" t="str">
        <f>IF($A54&lt;&gt;"",IF(INDEX(BDHK2,MATCH($A54,DiemHKII!$B$4:$B$58,0),INDEX($BG$14:$BK$27,MATCH(Y$7,$BG$14:$BG$27,0),2))&lt;&gt;"",INDEX(BDHK2,MATCH($A54,DiemHKII!$B$4:$B$58,0),INDEX($BG$14:$BK$27,MATCH(Y$7,$BG$14:$BG$27,0),5)),""),"")</f>
        <v/>
      </c>
      <c r="AB54" s="19" t="str">
        <f>IF($A54&lt;&gt;"",IF(INDEX(BDHK2,MATCH($A54,DiemHKII!$B$4:$B$58,0),INDEX($BG$14:$BK$27,MATCH(AB$7,$BG$14:$BG$27,0),2))&lt;&gt;"",INDEX(BDHK2,MATCH($A54,DiemHKII!$B$4:$B$58,0),INDEX($BG$14:$BK$27,MATCH(AB$7,$BG$14:$BG$27,0),3)),""),"")</f>
        <v/>
      </c>
      <c r="AC54" s="20" t="str">
        <f>IF($A54&lt;&gt;"",IF(INDEX(BDHK2,MATCH($A54,DiemHKII!$B$4:$B$58,0),INDEX($BG$14:$BK$27,MATCH(AB$7,$BG$14:$BG$27,0),2))&lt;&gt;"",INDEX(BDHK2,MATCH($A54,DiemHKII!$B$4:$B$58,0),INDEX($BG$14:$BK$27,MATCH(AB$7,$BG$14:$BG$27,0),4)),""),"")</f>
        <v/>
      </c>
      <c r="AD54" s="21" t="str">
        <f>IF($A54&lt;&gt;"",IF(INDEX(BDHK2,MATCH($A54,DiemHKII!$B$4:$B$58,0),INDEX($BG$14:$BK$27,MATCH(AB$7,$BG$14:$BG$27,0),2))&lt;&gt;"",INDEX(BDHK2,MATCH($A54,DiemHKII!$B$4:$B$58,0),INDEX($BG$14:$BK$27,MATCH(AB$7,$BG$14:$BG$27,0),5)),""),"")</f>
        <v/>
      </c>
      <c r="AE54" s="19" t="str">
        <f>IF($A54&lt;&gt;"",IF(INDEX(BDHK2,MATCH($A54,DiemHKII!$B$4:$B$58,0),INDEX($BG$14:$BK$27,MATCH(AE$7,$BG$14:$BG$27,0),2))&lt;&gt;"",INDEX(BDHK2,MATCH($A54,DiemHKII!$B$4:$B$58,0),INDEX($BG$14:$BK$27,MATCH(AE$7,$BG$14:$BG$27,0),3)),""),"")</f>
        <v/>
      </c>
      <c r="AF54" s="20" t="str">
        <f>IF($A54&lt;&gt;"",IF(INDEX(BDHK2,MATCH($A54,DiemHKII!$B$4:$B$58,0),INDEX($BG$14:$BK$27,MATCH(AE$7,$BG$14:$BG$27,0),2))&lt;&gt;"",INDEX(BDHK2,MATCH($A54,DiemHKII!$B$4:$B$58,0),INDEX($BG$14:$BK$27,MATCH(AE$7,$BG$14:$BG$27,0),4)),""),"")</f>
        <v/>
      </c>
      <c r="AG54" s="21" t="str">
        <f>IF($A54&lt;&gt;"",IF(INDEX(BDHK2,MATCH($A54,DiemHKII!$B$4:$B$58,0),INDEX($BG$14:$BK$27,MATCH(AE$7,$BG$14:$BG$27,0),2))&lt;&gt;"",INDEX(BDHK2,MATCH($A54,DiemHKII!$B$4:$B$58,0),INDEX($BG$14:$BK$27,MATCH(AE$7,$BG$14:$BG$27,0),5)),""),"")</f>
        <v/>
      </c>
      <c r="AH54" s="19" t="str">
        <f>IF($A54&lt;&gt;"",IF(INDEX(BDHK2,MATCH($A54,DiemHKII!$B$4:$B$58,0),INDEX($BG$14:$BK$27,MATCH(AH$7,$BG$14:$BG$27,0),2))&lt;&gt;"",INDEX(BDHK2,MATCH($A54,DiemHKII!$B$4:$B$58,0),INDEX($BG$14:$BK$27,MATCH(AH$7,$BG$14:$BG$27,0),3)),""),"")</f>
        <v/>
      </c>
      <c r="AI54" s="20" t="str">
        <f>IF($A54&lt;&gt;"",IF(INDEX(BDHK2,MATCH($A54,DiemHKII!$B$4:$B$58,0),INDEX($BG$14:$BK$27,MATCH(AH$7,$BG$14:$BG$27,0),2))&lt;&gt;"",INDEX(BDHK2,MATCH($A54,DiemHKII!$B$4:$B$58,0),INDEX($BG$14:$BK$27,MATCH(AH$7,$BG$14:$BG$27,0),4)),""),"")</f>
        <v/>
      </c>
      <c r="AJ54" s="21" t="str">
        <f>IF($A54&lt;&gt;"",IF(INDEX(BDHK2,MATCH($A54,DiemHKII!$B$4:$B$58,0),INDEX($BG$14:$BK$27,MATCH(AH$7,$BG$14:$BG$27,0),2))&lt;&gt;"",INDEX(BDHK2,MATCH($A54,DiemHKII!$B$4:$B$58,0),INDEX($BG$14:$BK$27,MATCH(AH$7,$BG$14:$BG$27,0),5)),""),"")</f>
        <v/>
      </c>
      <c r="AK54" s="22" t="str">
        <f>IF($A54&lt;&gt;"",IF(INDEX(BDHK2,MATCH($A54,DiemHKII!$B$4:$B$58,0),INDEX($BG$14:$BK$27,MATCH(AK$7,$BG$14:$BG$27,0),2))&lt;&gt;"",INDEX(BDHK2,MATCH($A54,DiemHKII!$B$4:$B$58,0),INDEX($BG$14:$BK$27,MATCH(AK$7,$BG$14:$BG$27,0),3)),""),"")</f>
        <v/>
      </c>
      <c r="AL54" s="23" t="str">
        <f>IF($A54&lt;&gt;"",IF(INDEX(BDHK2,MATCH($A54,DiemHKII!$B$4:$B$58,0),INDEX($BG$14:$BK$27,MATCH(AK$7,$BG$14:$BG$27,0),2))&lt;&gt;"",INDEX(BDHK2,MATCH($A54,DiemHKII!$B$4:$B$58,0),INDEX($BG$14:$BK$27,MATCH(AK$7,$BG$14:$BG$27,0),4)),""),"")</f>
        <v/>
      </c>
      <c r="AM54" s="24" t="str">
        <f>IF($A54&lt;&gt;"",IF(INDEX(BDHK2,MATCH($A54,DiemHKII!$B$4:$B$58,0),INDEX($BG$14:$BK$27,MATCH(AK$7,$BG$14:$BG$27,0),2))&lt;&gt;"",INDEX(BDHK2,MATCH($A54,DiemHKII!$B$4:$B$58,0),INDEX($BG$14:$BK$27,MATCH(AK$7,$BG$14:$BG$27,0),5)),""),"")</f>
        <v/>
      </c>
      <c r="AN54" s="19" t="str">
        <f>IF($A54&lt;&gt;"",IF(INDEX(BDHK2,MATCH($A54,DiemHKII!$B$4:$B$58,0),INDEX($BG$14:$BK$27,MATCH(AN$7,$BG$14:$BG$27,0),2))&lt;&gt;"",INDEX(BDHK2,MATCH($A54,DiemHKII!$B$4:$B$58,0),INDEX($BG$14:$BK$27,MATCH(AN$7,$BG$14:$BG$27,0),3)),""),"")</f>
        <v/>
      </c>
      <c r="AO54" s="20" t="str">
        <f>IF($A54&lt;&gt;"",IF(INDEX(BDHK2,MATCH($A54,DiemHKII!$B$4:$B$58,0),INDEX($BG$14:$BK$27,MATCH(AN$7,$BG$14:$BG$27,0),2))&lt;&gt;"",INDEX(BDHK2,MATCH($A54,DiemHKII!$B$4:$B$58,0),INDEX($BG$14:$BK$27,MATCH(AN$7,$BG$14:$BG$27,0),4)),""),"")</f>
        <v/>
      </c>
      <c r="AP54" s="21" t="str">
        <f>IF($A54&lt;&gt;"",IF(INDEX(BDHK2,MATCH($A54,DiemHKII!$B$4:$B$58,0),INDEX($BG$14:$BK$27,MATCH(AN$7,$BG$14:$BG$27,0),2))&lt;&gt;"",INDEX(BDHK2,MATCH($A54,DiemHKII!$B$4:$B$58,0),INDEX($BG$14:$BK$27,MATCH(AN$7,$BG$14:$BG$27,0),5)),""),"")</f>
        <v/>
      </c>
      <c r="AQ54" s="19" t="str">
        <f>IF($A54&lt;&gt;"",IF(INDEX(BDHK2,MATCH($A54,DiemHKII!$B$4:$B$58,0),INDEX($BG$14:$BK$27,MATCH(AQ$7,$BG$14:$BG$27,0),2))&lt;&gt;"",INDEX(BDHK2,MATCH($A54,DiemHKII!$B$4:$B$58,0),INDEX($BG$14:$BK$27,MATCH(AQ$7,$BG$14:$BG$27,0),3)),""),"")</f>
        <v/>
      </c>
      <c r="AR54" s="20" t="str">
        <f>IF($A54&lt;&gt;"",IF(INDEX(BDHK2,MATCH($A54,DiemHKII!$B$4:$B$58,0),INDEX($BG$14:$BK$27,MATCH(AQ$7,$BG$14:$BG$27,0),2))&lt;&gt;"",INDEX(BDHK2,MATCH($A54,DiemHKII!$B$4:$B$58,0),INDEX($BG$14:$BK$27,MATCH(AQ$7,$BG$14:$BG$27,0),4)),""),"")</f>
        <v/>
      </c>
      <c r="AS54" s="21" t="str">
        <f>IF($A54&lt;&gt;"",IF(INDEX(BDHK2,MATCH($A54,DiemHKII!$B$4:$B$58,0),INDEX($BG$14:$BK$27,MATCH(AQ$7,$BG$14:$BG$27,0),2))&lt;&gt;"",INDEX(BDHK2,MATCH($A54,DiemHKII!$B$4:$B$58,0),INDEX($BG$14:$BK$27,MATCH(AQ$7,$BG$14:$BG$27,0),5)),""),"")</f>
        <v/>
      </c>
      <c r="AT54" s="19" t="str">
        <f>IFERROR(IF($A54&gt;=1,IF(INDEX(THHKI!$V$8:$Y$62,MATCH($BL54,THHKI!$AG$8:$AG$62,0),1)&lt;&gt;"",INDEX(THHKI!$V$8:$Y$62,MATCH($BL54,THHKI!$AG$8:$AG$62,0),1),""),""),"")</f>
        <v/>
      </c>
      <c r="AU54" s="20" t="str">
        <f>IF($A54&gt;=1,IF(INDEX(THHKII!$V$8:$Y$62,MATCH($BL54,THHKII!$AG$8:$AG$62,0),1)&lt;&gt;"",INDEX(THHKII!$V$8:$Y$62,MATCH($BL54,THHKII!$AG$8:$AG$62,0),1),""),"")</f>
        <v/>
      </c>
      <c r="AV54" s="25" t="str">
        <f>IF($A54&gt;=1,IF(INDEX(THCN!$V$8:$Y$62,MATCH($BL54,THCN!$AG$8:$AG$62,0),1)&lt;&gt;"",INDEX(THCN!$V$8:$Y$62,MATCH($BL54,THCN!$AG$8:$AG$62,0),1),""),"")</f>
        <v/>
      </c>
      <c r="AW54" s="26" t="str">
        <f>IFERROR(IF($A54&gt;=1,IF(INDEX(THHKI!$V$8:$Y$62,MATCH($BL54,THHKI!$AG$8:$AG$62,0),2)&lt;&gt;"",INDEX(THHKI!$V$8:$Y$62,MATCH($BL54,THHKI!$AG$8:$AG$62,0),2),""),""),"")</f>
        <v/>
      </c>
      <c r="AX54" s="23" t="str">
        <f>IF($A54&gt;=1,IF(INDEX(THHKII!$V$8:$Y$62,MATCH($BL54,THHKII!$AG$8:$AG$62,0),2)&lt;&gt;"",INDEX(THHKII!$V$8:$Y$62,MATCH($BL54,THHKII!$AG$8:$AG$62,0),2),""),"")</f>
        <v/>
      </c>
      <c r="AY54" s="27" t="str">
        <f>IF($A54&gt;=1,IF(INDEX(THCN!$V$8:$Y$62,MATCH($BL54,THCN!$AG$8:$AG$62,0),2)&lt;&gt;"",INDEX(THCN!$V$8:$Y$62,MATCH($BL54,THCN!$AG$8:$AG$62,0),2),""),"")</f>
        <v/>
      </c>
      <c r="AZ54" s="22" t="str">
        <f>IFERROR(IF($A54&gt;=1,IF(INDEX(THHKI!$V$8:$Y$62,MATCH($BL54,THHKI!$AG$8:$AG$62,0),3)&lt;&gt;"",INDEX(THHKI!$V$8:$Y$62,MATCH($BL54,THHKI!$AG$8:$AG$62,0),3),""),""),"")</f>
        <v/>
      </c>
      <c r="BA54" s="23" t="str">
        <f>IF($A54&gt;=1,IF(INDEX(THHKII!$V$8:$Y$62,MATCH($BL54,THHKII!$AG$8:$AG$62,0),3)&lt;&gt;"",INDEX(THHKII!$V$8:$Y$62,MATCH($BL54,THHKII!$AG$8:$AG$62,0),3),""),"")</f>
        <v/>
      </c>
      <c r="BB54" s="28" t="str">
        <f>IF($A54&gt;=1,IF(INDEX(THCN!$V$8:$Y$62,MATCH($BL54,THCN!$AG$8:$AG$62,0),3)&lt;&gt;"",INDEX(THCN!$V$8:$Y$62,MATCH($BL54,THCN!$AG$8:$AG$62,0),3),""),"")</f>
        <v/>
      </c>
      <c r="BC54" s="29" t="str">
        <f>IF($A54&gt;=1,IF(INDEX(THCN!$V$8:$Y$62,MATCH($BL54,THCN!$AG$8:$AG$62,0),4)&lt;&gt;"",INDEX(THCN!$V$8:$Y$62,MATCH($BL54,THCN!$AG$8:$AG$62,0),4),""),"")</f>
        <v/>
      </c>
      <c r="BE54" s="16" t="str">
        <f>IFERROR(IF($A54&gt;=1,IF(INDEX(THHKI!$V$8:$Y$62,MATCH($BL54,THHKI!$AG$8:$AG$62,0),4)&lt;&gt;"",INDEX(THHKI!$V$8:$Y$62,MATCH($BL54,THHKI!$AG$8:$AG$62,0),4),""),""),"")</f>
        <v/>
      </c>
      <c r="BF54" s="29" t="str">
        <f>IF($A54&gt;=1,IF(INDEX(THHKII!$V$8:$Y$62,MATCH($BL54,THHKII!$AG$8:$AG$62,0),4)&lt;&gt;"",INDEX(THHKII!$V$8:$Y$62,MATCH($BL54,THHKII!$AG$8:$AG$62,0),4),""),"")</f>
        <v/>
      </c>
      <c r="BL54" s="30" t="str">
        <f>IF($A54&lt;&gt;"",INDEX(DiemHKII!$B$4:$K$58,MATCH($A54,DiemHKII!$B$4:$B$58,0),2),"")</f>
        <v/>
      </c>
    </row>
    <row r="55" spans="1:64" s="30" customFormat="1" ht="29.1" hidden="1" customHeight="1">
      <c r="A55" s="31" t="str">
        <f>IF(A54&lt;MAX(DiemHKII!$B$4:$B$58),A54+1,"")</f>
        <v/>
      </c>
      <c r="B55" s="32" t="str">
        <f>IF($A55&lt;&gt;"",PROPER(INDEX(DiemHKII!$B$4:$K$58,MATCH($A55,DiemHKII!$B$4:$B$58,0),4)),"")</f>
        <v/>
      </c>
      <c r="C55" s="33" t="str">
        <f>IF($A55&lt;&gt;"",PROPER(INDEX(DiemHKII!$B$4:$K$58,MATCH($A55,DiemHKII!$B$4:$B$58,0),5)),"")</f>
        <v/>
      </c>
      <c r="D55" s="34" t="str">
        <f>IF($A55&lt;&gt;"",IF(INDEX(BDHK2,MATCH($A55,DiemHKII!$B$4:$B$58,0),INDEX($BG$14:$BK$27,MATCH(D$7,$BG$14:$BG$27,0),2))&lt;&gt;"",INDEX(BDHK2,MATCH($A55,DiemHKII!$B$4:$B$58,0),INDEX($BG$14:$BK$27,MATCH(D$7,$BG$14:$BG$27,0),3)),""),"")</f>
        <v/>
      </c>
      <c r="E55" s="35" t="str">
        <f>IF($A55&lt;&gt;"",IF(INDEX(BDHK2,MATCH($A55,DiemHKII!$B$4:$B$58,0),INDEX($BG$14:$BK$27,MATCH(D$7,$BG$14:$BG$27,0),2))&lt;&gt;"",INDEX(BDHK2,MATCH($A55,DiemHKII!$B$4:$B$58,0),INDEX($BG$14:$BK$27,MATCH(D$7,$BG$14:$BG$27,0),4)),""),"")</f>
        <v/>
      </c>
      <c r="F55" s="36" t="str">
        <f>IF($A55&lt;&gt;"",IF(INDEX(BDHK2,MATCH($A55,DiemHKII!$B$4:$B$58,0),INDEX($BG$14:$BK$27,MATCH(D$7,$BG$14:$BG$27,0),2))&lt;&gt;"",INDEX(BDHK2,MATCH($A55,DiemHKII!$B$4:$B$58,0),INDEX($BG$14:$BK$27,MATCH(D$7,$BG$14:$BG$27,0),5)),""),"")</f>
        <v/>
      </c>
      <c r="G55" s="34" t="str">
        <f>IF($A55&lt;&gt;"",IF(INDEX(BDHK2,MATCH($A55,DiemHKII!$B$4:$B$58,0),INDEX($BG$14:$BK$27,MATCH(G$7,$BG$14:$BG$27,0),2))&lt;&gt;"",INDEX(BDHK2,MATCH($A55,DiemHKII!$B$4:$B$58,0),INDEX($BG$14:$BK$27,MATCH(G$7,$BG$14:$BG$27,0),3)),""),"")</f>
        <v/>
      </c>
      <c r="H55" s="35" t="str">
        <f>IF($A55&lt;&gt;"",IF(INDEX(BDHK2,MATCH($A55,DiemHKII!$B$4:$B$58,0),INDEX($BG$14:$BK$27,MATCH(G$7,$BG$14:$BG$27,0),2))&lt;&gt;"",INDEX(BDHK2,MATCH($A55,DiemHKII!$B$4:$B$58,0),INDEX($BG$14:$BK$27,MATCH(G$7,$BG$14:$BG$27,0),4)),""),"")</f>
        <v/>
      </c>
      <c r="I55" s="36" t="str">
        <f>IF($A55&lt;&gt;"",IF(INDEX(BDHK2,MATCH($A55,DiemHKII!$B$4:$B$58,0),INDEX($BG$14:$BK$27,MATCH(G$7,$BG$14:$BG$27,0),2))&lt;&gt;"",INDEX(BDHK2,MATCH($A55,DiemHKII!$B$4:$B$58,0),INDEX($BG$14:$BK$27,MATCH(G$7,$BG$14:$BG$27,0),5)),""),"")</f>
        <v/>
      </c>
      <c r="J55" s="34" t="str">
        <f>IF($A55&lt;&gt;"",IF(INDEX(BDHK2,MATCH($A55,DiemHKII!$B$4:$B$58,0),INDEX($BG$14:$BK$27,MATCH(J$7,$BG$14:$BG$27,0),2))&lt;&gt;"",INDEX(BDHK2,MATCH($A55,DiemHKII!$B$4:$B$58,0),INDEX($BG$14:$BK$27,MATCH(J$7,$BG$14:$BG$27,0),3)),""),"")</f>
        <v/>
      </c>
      <c r="K55" s="35" t="str">
        <f>IF($A55&lt;&gt;"",IF(INDEX(BDHK2,MATCH($A55,DiemHKII!$B$4:$B$58,0),INDEX($BG$14:$BK$27,MATCH(J$7,$BG$14:$BG$27,0),2))&lt;&gt;"",INDEX(BDHK2,MATCH($A55,DiemHKII!$B$4:$B$58,0),INDEX($BG$14:$BK$27,MATCH(J$7,$BG$14:$BG$27,0),4)),""),"")</f>
        <v/>
      </c>
      <c r="L55" s="36" t="str">
        <f>IF($A55&lt;&gt;"",IF(INDEX(BDHK2,MATCH($A55,DiemHKII!$B$4:$B$58,0),INDEX($BG$14:$BK$27,MATCH(J$7,$BG$14:$BG$27,0),2))&lt;&gt;"",INDEX(BDHK2,MATCH($A55,DiemHKII!$B$4:$B$58,0),INDEX($BG$14:$BK$27,MATCH(J$7,$BG$14:$BG$27,0),5)),""),"")</f>
        <v/>
      </c>
      <c r="M55" s="34" t="str">
        <f>IF($A55&lt;&gt;"",IF(INDEX(BDHK2,MATCH($A55,DiemHKII!$B$4:$B$58,0),INDEX($BG$14:$BK$27,MATCH(M$7,$BG$14:$BG$27,0),2))&lt;&gt;"",INDEX(BDHK2,MATCH($A55,DiemHKII!$B$4:$B$58,0),INDEX($BG$14:$BK$27,MATCH(M$7,$BG$14:$BG$27,0),3)),""),"")</f>
        <v/>
      </c>
      <c r="N55" s="35" t="str">
        <f>IF($A55&lt;&gt;"",IF(INDEX(BDHK2,MATCH($A55,DiemHKII!$B$4:$B$58,0),INDEX($BG$14:$BK$27,MATCH(M$7,$BG$14:$BG$27,0),2))&lt;&gt;"",INDEX(BDHK2,MATCH($A55,DiemHKII!$B$4:$B$58,0),INDEX($BG$14:$BK$27,MATCH(M$7,$BG$14:$BG$27,0),4)),""),"")</f>
        <v/>
      </c>
      <c r="O55" s="36" t="str">
        <f>IF($A55&lt;&gt;"",IF(INDEX(BDHK2,MATCH($A55,DiemHKII!$B$4:$B$58,0),INDEX($BG$14:$BK$27,MATCH(M$7,$BG$14:$BG$27,0),2))&lt;&gt;"",INDEX(BDHK2,MATCH($A55,DiemHKII!$B$4:$B$58,0),INDEX($BG$14:$BK$27,MATCH(M$7,$BG$14:$BG$27,0),5)),""),"")</f>
        <v/>
      </c>
      <c r="P55" s="34" t="str">
        <f>IF($A55&lt;&gt;"",IF(INDEX(BDHK2,MATCH($A55,DiemHKII!$B$4:$B$58,0),INDEX($BG$14:$BK$27,MATCH(P$7,$BG$14:$BG$27,0),2))&lt;&gt;"",INDEX(BDHK2,MATCH($A55,DiemHKII!$B$4:$B$58,0),INDEX($BG$14:$BK$27,MATCH(P$7,$BG$14:$BG$27,0),3)),""),"")</f>
        <v/>
      </c>
      <c r="Q55" s="35" t="str">
        <f>IF($A55&lt;&gt;"",IF(INDEX(BDHK2,MATCH($A55,DiemHKII!$B$4:$B$58,0),INDEX($BG$14:$BK$27,MATCH(P$7,$BG$14:$BG$27,0),2))&lt;&gt;"",INDEX(BDHK2,MATCH($A55,DiemHKII!$B$4:$B$58,0),INDEX($BG$14:$BK$27,MATCH(P$7,$BG$14:$BG$27,0),4)),""),"")</f>
        <v/>
      </c>
      <c r="R55" s="36" t="str">
        <f>IF($A55&lt;&gt;"",IF(INDEX(BDHK2,MATCH($A55,DiemHKII!$B$4:$B$58,0),INDEX($BG$14:$BK$27,MATCH(P$7,$BG$14:$BG$27,0),2))&lt;&gt;"",INDEX(BDHK2,MATCH($A55,DiemHKII!$B$4:$B$58,0),INDEX($BG$14:$BK$27,MATCH(P$7,$BG$14:$BG$27,0),5)),""),"")</f>
        <v/>
      </c>
      <c r="S55" s="34" t="str">
        <f>IF($A55&lt;&gt;"",IF(INDEX(BDHK2,MATCH($A55,DiemHKII!$B$4:$B$58,0),INDEX($BG$14:$BK$27,MATCH(S$7,$BG$14:$BG$27,0),2))&lt;&gt;"",INDEX(BDHK2,MATCH($A55,DiemHKII!$B$4:$B$58,0),INDEX($BG$14:$BK$27,MATCH(S$7,$BG$14:$BG$27,0),3)),""),"")</f>
        <v/>
      </c>
      <c r="T55" s="35" t="str">
        <f>IF($A55&lt;&gt;"",IF(INDEX(BDHK2,MATCH($A55,DiemHKII!$B$4:$B$58,0),INDEX($BG$14:$BK$27,MATCH(S$7,$BG$14:$BG$27,0),2))&lt;&gt;"",INDEX(BDHK2,MATCH($A55,DiemHKII!$B$4:$B$58,0),INDEX($BG$14:$BK$27,MATCH(S$7,$BG$14:$BG$27,0),4)),""),"")</f>
        <v/>
      </c>
      <c r="U55" s="36" t="str">
        <f>IF($A55&lt;&gt;"",IF(INDEX(BDHK2,MATCH($A55,DiemHKII!$B$4:$B$58,0),INDEX($BG$14:$BK$27,MATCH(S$7,$BG$14:$BG$27,0),2))&lt;&gt;"",INDEX(BDHK2,MATCH($A55,DiemHKII!$B$4:$B$58,0),INDEX($BG$14:$BK$27,MATCH(S$7,$BG$14:$BG$27,0),5)),""),"")</f>
        <v/>
      </c>
      <c r="V55" s="34" t="str">
        <f>IF($A55&lt;&gt;"",IF(INDEX(BDHK2,MATCH($A55,DiemHKII!$B$4:$B$58,0),INDEX($BG$14:$BK$27,MATCH(V$7,$BG$14:$BG$27,0),2))&lt;&gt;"",INDEX(BDHK2,MATCH($A55,DiemHKII!$B$4:$B$58,0),INDEX($BG$14:$BK$27,MATCH(V$7,$BG$14:$BG$27,0),3)),""),"")</f>
        <v/>
      </c>
      <c r="W55" s="35" t="str">
        <f>IF($A55&lt;&gt;"",IF(INDEX(BDHK2,MATCH($A55,DiemHKII!$B$4:$B$58,0),INDEX($BG$14:$BK$27,MATCH(V$7,$BG$14:$BG$27,0),2))&lt;&gt;"",INDEX(BDHK2,MATCH($A55,DiemHKII!$B$4:$B$58,0),INDEX($BG$14:$BK$27,MATCH(V$7,$BG$14:$BG$27,0),4)),""),"")</f>
        <v/>
      </c>
      <c r="X55" s="36" t="str">
        <f>IF($A55&lt;&gt;"",IF(INDEX(BDHK2,MATCH($A55,DiemHKII!$B$4:$B$58,0),INDEX($BG$14:$BK$27,MATCH(V$7,$BG$14:$BG$27,0),2))&lt;&gt;"",INDEX(BDHK2,MATCH($A55,DiemHKII!$B$4:$B$58,0),INDEX($BG$14:$BK$27,MATCH(V$7,$BG$14:$BG$27,0),5)),""),"")</f>
        <v/>
      </c>
      <c r="Y55" s="34" t="str">
        <f>IF($A55&lt;&gt;"",IF(INDEX(BDHK2,MATCH($A55,DiemHKII!$B$4:$B$58,0),INDEX($BG$14:$BK$27,MATCH(Y$7,$BG$14:$BG$27,0),2))&lt;&gt;"",INDEX(BDHK2,MATCH($A55,DiemHKII!$B$4:$B$58,0),INDEX($BG$14:$BK$27,MATCH(Y$7,$BG$14:$BG$27,0),3)),""),"")</f>
        <v/>
      </c>
      <c r="Z55" s="35" t="str">
        <f>IF($A55&lt;&gt;"",IF(INDEX(BDHK2,MATCH($A55,DiemHKII!$B$4:$B$58,0),INDEX($BG$14:$BK$27,MATCH(Y$7,$BG$14:$BG$27,0),2))&lt;&gt;"",INDEX(BDHK2,MATCH($A55,DiemHKII!$B$4:$B$58,0),INDEX($BG$14:$BK$27,MATCH(Y$7,$BG$14:$BG$27,0),4)),""),"")</f>
        <v/>
      </c>
      <c r="AA55" s="36" t="str">
        <f>IF($A55&lt;&gt;"",IF(INDEX(BDHK2,MATCH($A55,DiemHKII!$B$4:$B$58,0),INDEX($BG$14:$BK$27,MATCH(Y$7,$BG$14:$BG$27,0),2))&lt;&gt;"",INDEX(BDHK2,MATCH($A55,DiemHKII!$B$4:$B$58,0),INDEX($BG$14:$BK$27,MATCH(Y$7,$BG$14:$BG$27,0),5)),""),"")</f>
        <v/>
      </c>
      <c r="AB55" s="34" t="str">
        <f>IF($A55&lt;&gt;"",IF(INDEX(BDHK2,MATCH($A55,DiemHKII!$B$4:$B$58,0),INDEX($BG$14:$BK$27,MATCH(AB$7,$BG$14:$BG$27,0),2))&lt;&gt;"",INDEX(BDHK2,MATCH($A55,DiemHKII!$B$4:$B$58,0),INDEX($BG$14:$BK$27,MATCH(AB$7,$BG$14:$BG$27,0),3)),""),"")</f>
        <v/>
      </c>
      <c r="AC55" s="35" t="str">
        <f>IF($A55&lt;&gt;"",IF(INDEX(BDHK2,MATCH($A55,DiemHKII!$B$4:$B$58,0),INDEX($BG$14:$BK$27,MATCH(AB$7,$BG$14:$BG$27,0),2))&lt;&gt;"",INDEX(BDHK2,MATCH($A55,DiemHKII!$B$4:$B$58,0),INDEX($BG$14:$BK$27,MATCH(AB$7,$BG$14:$BG$27,0),4)),""),"")</f>
        <v/>
      </c>
      <c r="AD55" s="36" t="str">
        <f>IF($A55&lt;&gt;"",IF(INDEX(BDHK2,MATCH($A55,DiemHKII!$B$4:$B$58,0),INDEX($BG$14:$BK$27,MATCH(AB$7,$BG$14:$BG$27,0),2))&lt;&gt;"",INDEX(BDHK2,MATCH($A55,DiemHKII!$B$4:$B$58,0),INDEX($BG$14:$BK$27,MATCH(AB$7,$BG$14:$BG$27,0),5)),""),"")</f>
        <v/>
      </c>
      <c r="AE55" s="34" t="str">
        <f>IF($A55&lt;&gt;"",IF(INDEX(BDHK2,MATCH($A55,DiemHKII!$B$4:$B$58,0),INDEX($BG$14:$BK$27,MATCH(AE$7,$BG$14:$BG$27,0),2))&lt;&gt;"",INDEX(BDHK2,MATCH($A55,DiemHKII!$B$4:$B$58,0),INDEX($BG$14:$BK$27,MATCH(AE$7,$BG$14:$BG$27,0),3)),""),"")</f>
        <v/>
      </c>
      <c r="AF55" s="35" t="str">
        <f>IF($A55&lt;&gt;"",IF(INDEX(BDHK2,MATCH($A55,DiemHKII!$B$4:$B$58,0),INDEX($BG$14:$BK$27,MATCH(AE$7,$BG$14:$BG$27,0),2))&lt;&gt;"",INDEX(BDHK2,MATCH($A55,DiemHKII!$B$4:$B$58,0),INDEX($BG$14:$BK$27,MATCH(AE$7,$BG$14:$BG$27,0),4)),""),"")</f>
        <v/>
      </c>
      <c r="AG55" s="36" t="str">
        <f>IF($A55&lt;&gt;"",IF(INDEX(BDHK2,MATCH($A55,DiemHKII!$B$4:$B$58,0),INDEX($BG$14:$BK$27,MATCH(AE$7,$BG$14:$BG$27,0),2))&lt;&gt;"",INDEX(BDHK2,MATCH($A55,DiemHKII!$B$4:$B$58,0),INDEX($BG$14:$BK$27,MATCH(AE$7,$BG$14:$BG$27,0),5)),""),"")</f>
        <v/>
      </c>
      <c r="AH55" s="34" t="str">
        <f>IF($A55&lt;&gt;"",IF(INDEX(BDHK2,MATCH($A55,DiemHKII!$B$4:$B$58,0),INDEX($BG$14:$BK$27,MATCH(AH$7,$BG$14:$BG$27,0),2))&lt;&gt;"",INDEX(BDHK2,MATCH($A55,DiemHKII!$B$4:$B$58,0),INDEX($BG$14:$BK$27,MATCH(AH$7,$BG$14:$BG$27,0),3)),""),"")</f>
        <v/>
      </c>
      <c r="AI55" s="35" t="str">
        <f>IF($A55&lt;&gt;"",IF(INDEX(BDHK2,MATCH($A55,DiemHKII!$B$4:$B$58,0),INDEX($BG$14:$BK$27,MATCH(AH$7,$BG$14:$BG$27,0),2))&lt;&gt;"",INDEX(BDHK2,MATCH($A55,DiemHKII!$B$4:$B$58,0),INDEX($BG$14:$BK$27,MATCH(AH$7,$BG$14:$BG$27,0),4)),""),"")</f>
        <v/>
      </c>
      <c r="AJ55" s="36" t="str">
        <f>IF($A55&lt;&gt;"",IF(INDEX(BDHK2,MATCH($A55,DiemHKII!$B$4:$B$58,0),INDEX($BG$14:$BK$27,MATCH(AH$7,$BG$14:$BG$27,0),2))&lt;&gt;"",INDEX(BDHK2,MATCH($A55,DiemHKII!$B$4:$B$58,0),INDEX($BG$14:$BK$27,MATCH(AH$7,$BG$14:$BG$27,0),5)),""),"")</f>
        <v/>
      </c>
      <c r="AK55" s="37" t="str">
        <f>IF($A55&lt;&gt;"",IF(INDEX(BDHK2,MATCH($A55,DiemHKII!$B$4:$B$58,0),INDEX($BG$14:$BK$27,MATCH(AK$7,$BG$14:$BG$27,0),2))&lt;&gt;"",INDEX(BDHK2,MATCH($A55,DiemHKII!$B$4:$B$58,0),INDEX($BG$14:$BK$27,MATCH(AK$7,$BG$14:$BG$27,0),3)),""),"")</f>
        <v/>
      </c>
      <c r="AL55" s="8" t="str">
        <f>IF($A55&lt;&gt;"",IF(INDEX(BDHK2,MATCH($A55,DiemHKII!$B$4:$B$58,0),INDEX($BG$14:$BK$27,MATCH(AK$7,$BG$14:$BG$27,0),2))&lt;&gt;"",INDEX(BDHK2,MATCH($A55,DiemHKII!$B$4:$B$58,0),INDEX($BG$14:$BK$27,MATCH(AK$7,$BG$14:$BG$27,0),4)),""),"")</f>
        <v/>
      </c>
      <c r="AM55" s="38" t="str">
        <f>IF($A55&lt;&gt;"",IF(INDEX(BDHK2,MATCH($A55,DiemHKII!$B$4:$B$58,0),INDEX($BG$14:$BK$27,MATCH(AK$7,$BG$14:$BG$27,0),2))&lt;&gt;"",INDEX(BDHK2,MATCH($A55,DiemHKII!$B$4:$B$58,0),INDEX($BG$14:$BK$27,MATCH(AK$7,$BG$14:$BG$27,0),5)),""),"")</f>
        <v/>
      </c>
      <c r="AN55" s="34" t="str">
        <f>IF($A55&lt;&gt;"",IF(INDEX(BDHK2,MATCH($A55,DiemHKII!$B$4:$B$58,0),INDEX($BG$14:$BK$27,MATCH(AN$7,$BG$14:$BG$27,0),2))&lt;&gt;"",INDEX(BDHK2,MATCH($A55,DiemHKII!$B$4:$B$58,0),INDEX($BG$14:$BK$27,MATCH(AN$7,$BG$14:$BG$27,0),3)),""),"")</f>
        <v/>
      </c>
      <c r="AO55" s="35" t="str">
        <f>IF($A55&lt;&gt;"",IF(INDEX(BDHK2,MATCH($A55,DiemHKII!$B$4:$B$58,0),INDEX($BG$14:$BK$27,MATCH(AN$7,$BG$14:$BG$27,0),2))&lt;&gt;"",INDEX(BDHK2,MATCH($A55,DiemHKII!$B$4:$B$58,0),INDEX($BG$14:$BK$27,MATCH(AN$7,$BG$14:$BG$27,0),4)),""),"")</f>
        <v/>
      </c>
      <c r="AP55" s="36" t="str">
        <f>IF($A55&lt;&gt;"",IF(INDEX(BDHK2,MATCH($A55,DiemHKII!$B$4:$B$58,0),INDEX($BG$14:$BK$27,MATCH(AN$7,$BG$14:$BG$27,0),2))&lt;&gt;"",INDEX(BDHK2,MATCH($A55,DiemHKII!$B$4:$B$58,0),INDEX($BG$14:$BK$27,MATCH(AN$7,$BG$14:$BG$27,0),5)),""),"")</f>
        <v/>
      </c>
      <c r="AQ55" s="34" t="str">
        <f>IF($A55&lt;&gt;"",IF(INDEX(BDHK2,MATCH($A55,DiemHKII!$B$4:$B$58,0),INDEX($BG$14:$BK$27,MATCH(AQ$7,$BG$14:$BG$27,0),2))&lt;&gt;"",INDEX(BDHK2,MATCH($A55,DiemHKII!$B$4:$B$58,0),INDEX($BG$14:$BK$27,MATCH(AQ$7,$BG$14:$BG$27,0),3)),""),"")</f>
        <v/>
      </c>
      <c r="AR55" s="35" t="str">
        <f>IF($A55&lt;&gt;"",IF(INDEX(BDHK2,MATCH($A55,DiemHKII!$B$4:$B$58,0),INDEX($BG$14:$BK$27,MATCH(AQ$7,$BG$14:$BG$27,0),2))&lt;&gt;"",INDEX(BDHK2,MATCH($A55,DiemHKII!$B$4:$B$58,0),INDEX($BG$14:$BK$27,MATCH(AQ$7,$BG$14:$BG$27,0),4)),""),"")</f>
        <v/>
      </c>
      <c r="AS55" s="36" t="str">
        <f>IF($A55&lt;&gt;"",IF(INDEX(BDHK2,MATCH($A55,DiemHKII!$B$4:$B$58,0),INDEX($BG$14:$BK$27,MATCH(AQ$7,$BG$14:$BG$27,0),2))&lt;&gt;"",INDEX(BDHK2,MATCH($A55,DiemHKII!$B$4:$B$58,0),INDEX($BG$14:$BK$27,MATCH(AQ$7,$BG$14:$BG$27,0),5)),""),"")</f>
        <v/>
      </c>
      <c r="AT55" s="34" t="str">
        <f>IFERROR(IF($A55&gt;=1,IF(INDEX(THHKI!$V$8:$Y$62,MATCH($BL55,THHKI!$AG$8:$AG$62,0),1)&lt;&gt;"",INDEX(THHKI!$V$8:$Y$62,MATCH($BL55,THHKI!$AG$8:$AG$62,0),1),""),""),"")</f>
        <v/>
      </c>
      <c r="AU55" s="35" t="str">
        <f>IF($A55&gt;=1,IF(INDEX(THHKII!$V$8:$Y$62,MATCH($BL55,THHKII!$AG$8:$AG$62,0),1)&lt;&gt;"",INDEX(THHKII!$V$8:$Y$62,MATCH($BL55,THHKII!$AG$8:$AG$62,0),1),""),"")</f>
        <v/>
      </c>
      <c r="AV55" s="39" t="str">
        <f>IF($A55&gt;=1,IF(INDEX(THCN!$V$8:$Y$62,MATCH($BL55,THCN!$AG$8:$AG$62,0),1)&lt;&gt;"",INDEX(THCN!$V$8:$Y$62,MATCH($BL55,THCN!$AG$8:$AG$62,0),1),""),"")</f>
        <v/>
      </c>
      <c r="AW55" s="40" t="str">
        <f>IFERROR(IF($A55&gt;=1,IF(INDEX(THHKI!$V$8:$Y$62,MATCH($BL55,THHKI!$AG$8:$AG$62,0),2)&lt;&gt;"",INDEX(THHKI!$V$8:$Y$62,MATCH($BL55,THHKI!$AG$8:$AG$62,0),2),""),""),"")</f>
        <v/>
      </c>
      <c r="AX55" s="8" t="str">
        <f>IF($A55&gt;=1,IF(INDEX(THHKII!$V$8:$Y$62,MATCH($BL55,THHKII!$AG$8:$AG$62,0),2)&lt;&gt;"",INDEX(THHKII!$V$8:$Y$62,MATCH($BL55,THHKII!$AG$8:$AG$62,0),2),""),"")</f>
        <v/>
      </c>
      <c r="AY55" s="467" t="str">
        <f>IF($A55&gt;=1,IF(INDEX(THCN!$V$8:$Y$62,MATCH($BL55,THCN!$AG$8:$AG$62,0),2)&lt;&gt;"",INDEX(THCN!$V$8:$Y$62,MATCH($BL55,THCN!$AG$8:$AG$62,0),2),""),"")</f>
        <v/>
      </c>
      <c r="AZ55" s="37" t="str">
        <f>IFERROR(IF($A55&gt;=1,IF(INDEX(THHKI!$V$8:$Y$62,MATCH($BL55,THHKI!$AG$8:$AG$62,0),3)&lt;&gt;"",INDEX(THHKI!$V$8:$Y$62,MATCH($BL55,THHKI!$AG$8:$AG$62,0),3),""),""),"")</f>
        <v/>
      </c>
      <c r="BA55" s="8" t="str">
        <f>IF($A55&gt;=1,IF(INDEX(THHKII!$V$8:$Y$62,MATCH($BL55,THHKII!$AG$8:$AG$62,0),3)&lt;&gt;"",INDEX(THHKII!$V$8:$Y$62,MATCH($BL55,THHKII!$AG$8:$AG$62,0),3),""),"")</f>
        <v/>
      </c>
      <c r="BB55" s="41" t="str">
        <f>IF($A55&gt;=1,IF(INDEX(THCN!$V$8:$Y$62,MATCH($BL55,THCN!$AG$8:$AG$62,0),3)&lt;&gt;"",INDEX(THCN!$V$8:$Y$62,MATCH($BL55,THCN!$AG$8:$AG$62,0),3),""),"")</f>
        <v/>
      </c>
      <c r="BC55" s="42" t="str">
        <f>IF($A55&gt;=1,IF(INDEX(THCN!$V$8:$Y$62,MATCH($BL55,THCN!$AG$8:$AG$62,0),4)&lt;&gt;"",INDEX(THCN!$V$8:$Y$62,MATCH($BL55,THCN!$AG$8:$AG$62,0),4),""),"")</f>
        <v/>
      </c>
      <c r="BE55" s="31" t="str">
        <f>IFERROR(IF($A55&gt;=1,IF(INDEX(THHKI!$V$8:$Y$62,MATCH($BL55,THHKI!$AG$8:$AG$62,0),4)&lt;&gt;"",INDEX(THHKI!$V$8:$Y$62,MATCH($BL55,THHKI!$AG$8:$AG$62,0),4),""),""),"")</f>
        <v/>
      </c>
      <c r="BF55" s="42" t="str">
        <f>IF($A55&gt;=1,IF(INDEX(THHKII!$V$8:$Y$62,MATCH($BL55,THHKII!$AG$8:$AG$62,0),4)&lt;&gt;"",INDEX(THHKII!$V$8:$Y$62,MATCH($BL55,THHKII!$AG$8:$AG$62,0),4),""),"")</f>
        <v/>
      </c>
      <c r="BL55" s="30" t="str">
        <f>IF($A55&lt;&gt;"",INDEX(DiemHKII!$B$4:$K$58,MATCH($A55,DiemHKII!$B$4:$B$58,0),2),"")</f>
        <v/>
      </c>
    </row>
    <row r="56" spans="1:64" s="30" customFormat="1" ht="29.1" hidden="1" customHeight="1">
      <c r="A56" s="31" t="str">
        <f>IF(A55&lt;MAX(DiemHKII!$B$4:$B$58),A55+1,"")</f>
        <v/>
      </c>
      <c r="B56" s="32" t="str">
        <f>IF($A56&lt;&gt;"",PROPER(INDEX(DiemHKII!$B$4:$K$58,MATCH($A56,DiemHKII!$B$4:$B$58,0),4)),"")</f>
        <v/>
      </c>
      <c r="C56" s="33" t="str">
        <f>IF($A56&lt;&gt;"",PROPER(INDEX(DiemHKII!$B$4:$K$58,MATCH($A56,DiemHKII!$B$4:$B$58,0),5)),"")</f>
        <v/>
      </c>
      <c r="D56" s="34" t="str">
        <f>IF($A56&lt;&gt;"",IF(INDEX(BDHK2,MATCH($A56,DiemHKII!$B$4:$B$58,0),INDEX($BG$14:$BK$27,MATCH(D$7,$BG$14:$BG$27,0),2))&lt;&gt;"",INDEX(BDHK2,MATCH($A56,DiemHKII!$B$4:$B$58,0),INDEX($BG$14:$BK$27,MATCH(D$7,$BG$14:$BG$27,0),3)),""),"")</f>
        <v/>
      </c>
      <c r="E56" s="35" t="str">
        <f>IF($A56&lt;&gt;"",IF(INDEX(BDHK2,MATCH($A56,DiemHKII!$B$4:$B$58,0),INDEX($BG$14:$BK$27,MATCH(D$7,$BG$14:$BG$27,0),2))&lt;&gt;"",INDEX(BDHK2,MATCH($A56,DiemHKII!$B$4:$B$58,0),INDEX($BG$14:$BK$27,MATCH(D$7,$BG$14:$BG$27,0),4)),""),"")</f>
        <v/>
      </c>
      <c r="F56" s="36" t="str">
        <f>IF($A56&lt;&gt;"",IF(INDEX(BDHK2,MATCH($A56,DiemHKII!$B$4:$B$58,0),INDEX($BG$14:$BK$27,MATCH(D$7,$BG$14:$BG$27,0),2))&lt;&gt;"",INDEX(BDHK2,MATCH($A56,DiemHKII!$B$4:$B$58,0),INDEX($BG$14:$BK$27,MATCH(D$7,$BG$14:$BG$27,0),5)),""),"")</f>
        <v/>
      </c>
      <c r="G56" s="34" t="str">
        <f>IF($A56&lt;&gt;"",IF(INDEX(BDHK2,MATCH($A56,DiemHKII!$B$4:$B$58,0),INDEX($BG$14:$BK$27,MATCH(G$7,$BG$14:$BG$27,0),2))&lt;&gt;"",INDEX(BDHK2,MATCH($A56,DiemHKII!$B$4:$B$58,0),INDEX($BG$14:$BK$27,MATCH(G$7,$BG$14:$BG$27,0),3)),""),"")</f>
        <v/>
      </c>
      <c r="H56" s="35" t="str">
        <f>IF($A56&lt;&gt;"",IF(INDEX(BDHK2,MATCH($A56,DiemHKII!$B$4:$B$58,0),INDEX($BG$14:$BK$27,MATCH(G$7,$BG$14:$BG$27,0),2))&lt;&gt;"",INDEX(BDHK2,MATCH($A56,DiemHKII!$B$4:$B$58,0),INDEX($BG$14:$BK$27,MATCH(G$7,$BG$14:$BG$27,0),4)),""),"")</f>
        <v/>
      </c>
      <c r="I56" s="36" t="str">
        <f>IF($A56&lt;&gt;"",IF(INDEX(BDHK2,MATCH($A56,DiemHKII!$B$4:$B$58,0),INDEX($BG$14:$BK$27,MATCH(G$7,$BG$14:$BG$27,0),2))&lt;&gt;"",INDEX(BDHK2,MATCH($A56,DiemHKII!$B$4:$B$58,0),INDEX($BG$14:$BK$27,MATCH(G$7,$BG$14:$BG$27,0),5)),""),"")</f>
        <v/>
      </c>
      <c r="J56" s="34" t="str">
        <f>IF($A56&lt;&gt;"",IF(INDEX(BDHK2,MATCH($A56,DiemHKII!$B$4:$B$58,0),INDEX($BG$14:$BK$27,MATCH(J$7,$BG$14:$BG$27,0),2))&lt;&gt;"",INDEX(BDHK2,MATCH($A56,DiemHKII!$B$4:$B$58,0),INDEX($BG$14:$BK$27,MATCH(J$7,$BG$14:$BG$27,0),3)),""),"")</f>
        <v/>
      </c>
      <c r="K56" s="35" t="str">
        <f>IF($A56&lt;&gt;"",IF(INDEX(BDHK2,MATCH($A56,DiemHKII!$B$4:$B$58,0),INDEX($BG$14:$BK$27,MATCH(J$7,$BG$14:$BG$27,0),2))&lt;&gt;"",INDEX(BDHK2,MATCH($A56,DiemHKII!$B$4:$B$58,0),INDEX($BG$14:$BK$27,MATCH(J$7,$BG$14:$BG$27,0),4)),""),"")</f>
        <v/>
      </c>
      <c r="L56" s="36" t="str">
        <f>IF($A56&lt;&gt;"",IF(INDEX(BDHK2,MATCH($A56,DiemHKII!$B$4:$B$58,0),INDEX($BG$14:$BK$27,MATCH(J$7,$BG$14:$BG$27,0),2))&lt;&gt;"",INDEX(BDHK2,MATCH($A56,DiemHKII!$B$4:$B$58,0),INDEX($BG$14:$BK$27,MATCH(J$7,$BG$14:$BG$27,0),5)),""),"")</f>
        <v/>
      </c>
      <c r="M56" s="34" t="str">
        <f>IF($A56&lt;&gt;"",IF(INDEX(BDHK2,MATCH($A56,DiemHKII!$B$4:$B$58,0),INDEX($BG$14:$BK$27,MATCH(M$7,$BG$14:$BG$27,0),2))&lt;&gt;"",INDEX(BDHK2,MATCH($A56,DiemHKII!$B$4:$B$58,0),INDEX($BG$14:$BK$27,MATCH(M$7,$BG$14:$BG$27,0),3)),""),"")</f>
        <v/>
      </c>
      <c r="N56" s="35" t="str">
        <f>IF($A56&lt;&gt;"",IF(INDEX(BDHK2,MATCH($A56,DiemHKII!$B$4:$B$58,0),INDEX($BG$14:$BK$27,MATCH(M$7,$BG$14:$BG$27,0),2))&lt;&gt;"",INDEX(BDHK2,MATCH($A56,DiemHKII!$B$4:$B$58,0),INDEX($BG$14:$BK$27,MATCH(M$7,$BG$14:$BG$27,0),4)),""),"")</f>
        <v/>
      </c>
      <c r="O56" s="36" t="str">
        <f>IF($A56&lt;&gt;"",IF(INDEX(BDHK2,MATCH($A56,DiemHKII!$B$4:$B$58,0),INDEX($BG$14:$BK$27,MATCH(M$7,$BG$14:$BG$27,0),2))&lt;&gt;"",INDEX(BDHK2,MATCH($A56,DiemHKII!$B$4:$B$58,0),INDEX($BG$14:$BK$27,MATCH(M$7,$BG$14:$BG$27,0),5)),""),"")</f>
        <v/>
      </c>
      <c r="P56" s="34" t="str">
        <f>IF($A56&lt;&gt;"",IF(INDEX(BDHK2,MATCH($A56,DiemHKII!$B$4:$B$58,0),INDEX($BG$14:$BK$27,MATCH(P$7,$BG$14:$BG$27,0),2))&lt;&gt;"",INDEX(BDHK2,MATCH($A56,DiemHKII!$B$4:$B$58,0),INDEX($BG$14:$BK$27,MATCH(P$7,$BG$14:$BG$27,0),3)),""),"")</f>
        <v/>
      </c>
      <c r="Q56" s="35" t="str">
        <f>IF($A56&lt;&gt;"",IF(INDEX(BDHK2,MATCH($A56,DiemHKII!$B$4:$B$58,0),INDEX($BG$14:$BK$27,MATCH(P$7,$BG$14:$BG$27,0),2))&lt;&gt;"",INDEX(BDHK2,MATCH($A56,DiemHKII!$B$4:$B$58,0),INDEX($BG$14:$BK$27,MATCH(P$7,$BG$14:$BG$27,0),4)),""),"")</f>
        <v/>
      </c>
      <c r="R56" s="36" t="str">
        <f>IF($A56&lt;&gt;"",IF(INDEX(BDHK2,MATCH($A56,DiemHKII!$B$4:$B$58,0),INDEX($BG$14:$BK$27,MATCH(P$7,$BG$14:$BG$27,0),2))&lt;&gt;"",INDEX(BDHK2,MATCH($A56,DiemHKII!$B$4:$B$58,0),INDEX($BG$14:$BK$27,MATCH(P$7,$BG$14:$BG$27,0),5)),""),"")</f>
        <v/>
      </c>
      <c r="S56" s="34" t="str">
        <f>IF($A56&lt;&gt;"",IF(INDEX(BDHK2,MATCH($A56,DiemHKII!$B$4:$B$58,0),INDEX($BG$14:$BK$27,MATCH(S$7,$BG$14:$BG$27,0),2))&lt;&gt;"",INDEX(BDHK2,MATCH($A56,DiemHKII!$B$4:$B$58,0),INDEX($BG$14:$BK$27,MATCH(S$7,$BG$14:$BG$27,0),3)),""),"")</f>
        <v/>
      </c>
      <c r="T56" s="35" t="str">
        <f>IF($A56&lt;&gt;"",IF(INDEX(BDHK2,MATCH($A56,DiemHKII!$B$4:$B$58,0),INDEX($BG$14:$BK$27,MATCH(S$7,$BG$14:$BG$27,0),2))&lt;&gt;"",INDEX(BDHK2,MATCH($A56,DiemHKII!$B$4:$B$58,0),INDEX($BG$14:$BK$27,MATCH(S$7,$BG$14:$BG$27,0),4)),""),"")</f>
        <v/>
      </c>
      <c r="U56" s="36" t="str">
        <f>IF($A56&lt;&gt;"",IF(INDEX(BDHK2,MATCH($A56,DiemHKII!$B$4:$B$58,0),INDEX($BG$14:$BK$27,MATCH(S$7,$BG$14:$BG$27,0),2))&lt;&gt;"",INDEX(BDHK2,MATCH($A56,DiemHKII!$B$4:$B$58,0),INDEX($BG$14:$BK$27,MATCH(S$7,$BG$14:$BG$27,0),5)),""),"")</f>
        <v/>
      </c>
      <c r="V56" s="34" t="str">
        <f>IF($A56&lt;&gt;"",IF(INDEX(BDHK2,MATCH($A56,DiemHKII!$B$4:$B$58,0),INDEX($BG$14:$BK$27,MATCH(V$7,$BG$14:$BG$27,0),2))&lt;&gt;"",INDEX(BDHK2,MATCH($A56,DiemHKII!$B$4:$B$58,0),INDEX($BG$14:$BK$27,MATCH(V$7,$BG$14:$BG$27,0),3)),""),"")</f>
        <v/>
      </c>
      <c r="W56" s="35" t="str">
        <f>IF($A56&lt;&gt;"",IF(INDEX(BDHK2,MATCH($A56,DiemHKII!$B$4:$B$58,0),INDEX($BG$14:$BK$27,MATCH(V$7,$BG$14:$BG$27,0),2))&lt;&gt;"",INDEX(BDHK2,MATCH($A56,DiemHKII!$B$4:$B$58,0),INDEX($BG$14:$BK$27,MATCH(V$7,$BG$14:$BG$27,0),4)),""),"")</f>
        <v/>
      </c>
      <c r="X56" s="36" t="str">
        <f>IF($A56&lt;&gt;"",IF(INDEX(BDHK2,MATCH($A56,DiemHKII!$B$4:$B$58,0),INDEX($BG$14:$BK$27,MATCH(V$7,$BG$14:$BG$27,0),2))&lt;&gt;"",INDEX(BDHK2,MATCH($A56,DiemHKII!$B$4:$B$58,0),INDEX($BG$14:$BK$27,MATCH(V$7,$BG$14:$BG$27,0),5)),""),"")</f>
        <v/>
      </c>
      <c r="Y56" s="34" t="str">
        <f>IF($A56&lt;&gt;"",IF(INDEX(BDHK2,MATCH($A56,DiemHKII!$B$4:$B$58,0),INDEX($BG$14:$BK$27,MATCH(Y$7,$BG$14:$BG$27,0),2))&lt;&gt;"",INDEX(BDHK2,MATCH($A56,DiemHKII!$B$4:$B$58,0),INDEX($BG$14:$BK$27,MATCH(Y$7,$BG$14:$BG$27,0),3)),""),"")</f>
        <v/>
      </c>
      <c r="Z56" s="35" t="str">
        <f>IF($A56&lt;&gt;"",IF(INDEX(BDHK2,MATCH($A56,DiemHKII!$B$4:$B$58,0),INDEX($BG$14:$BK$27,MATCH(Y$7,$BG$14:$BG$27,0),2))&lt;&gt;"",INDEX(BDHK2,MATCH($A56,DiemHKII!$B$4:$B$58,0),INDEX($BG$14:$BK$27,MATCH(Y$7,$BG$14:$BG$27,0),4)),""),"")</f>
        <v/>
      </c>
      <c r="AA56" s="36" t="str">
        <f>IF($A56&lt;&gt;"",IF(INDEX(BDHK2,MATCH($A56,DiemHKII!$B$4:$B$58,0),INDEX($BG$14:$BK$27,MATCH(Y$7,$BG$14:$BG$27,0),2))&lt;&gt;"",INDEX(BDHK2,MATCH($A56,DiemHKII!$B$4:$B$58,0),INDEX($BG$14:$BK$27,MATCH(Y$7,$BG$14:$BG$27,0),5)),""),"")</f>
        <v/>
      </c>
      <c r="AB56" s="34" t="str">
        <f>IF($A56&lt;&gt;"",IF(INDEX(BDHK2,MATCH($A56,DiemHKII!$B$4:$B$58,0),INDEX($BG$14:$BK$27,MATCH(AB$7,$BG$14:$BG$27,0),2))&lt;&gt;"",INDEX(BDHK2,MATCH($A56,DiemHKII!$B$4:$B$58,0),INDEX($BG$14:$BK$27,MATCH(AB$7,$BG$14:$BG$27,0),3)),""),"")</f>
        <v/>
      </c>
      <c r="AC56" s="35" t="str">
        <f>IF($A56&lt;&gt;"",IF(INDEX(BDHK2,MATCH($A56,DiemHKII!$B$4:$B$58,0),INDEX($BG$14:$BK$27,MATCH(AB$7,$BG$14:$BG$27,0),2))&lt;&gt;"",INDEX(BDHK2,MATCH($A56,DiemHKII!$B$4:$B$58,0),INDEX($BG$14:$BK$27,MATCH(AB$7,$BG$14:$BG$27,0),4)),""),"")</f>
        <v/>
      </c>
      <c r="AD56" s="36" t="str">
        <f>IF($A56&lt;&gt;"",IF(INDEX(BDHK2,MATCH($A56,DiemHKII!$B$4:$B$58,0),INDEX($BG$14:$BK$27,MATCH(AB$7,$BG$14:$BG$27,0),2))&lt;&gt;"",INDEX(BDHK2,MATCH($A56,DiemHKII!$B$4:$B$58,0),INDEX($BG$14:$BK$27,MATCH(AB$7,$BG$14:$BG$27,0),5)),""),"")</f>
        <v/>
      </c>
      <c r="AE56" s="34" t="str">
        <f>IF($A56&lt;&gt;"",IF(INDEX(BDHK2,MATCH($A56,DiemHKII!$B$4:$B$58,0),INDEX($BG$14:$BK$27,MATCH(AE$7,$BG$14:$BG$27,0),2))&lt;&gt;"",INDEX(BDHK2,MATCH($A56,DiemHKII!$B$4:$B$58,0),INDEX($BG$14:$BK$27,MATCH(AE$7,$BG$14:$BG$27,0),3)),""),"")</f>
        <v/>
      </c>
      <c r="AF56" s="35" t="str">
        <f>IF($A56&lt;&gt;"",IF(INDEX(BDHK2,MATCH($A56,DiemHKII!$B$4:$B$58,0),INDEX($BG$14:$BK$27,MATCH(AE$7,$BG$14:$BG$27,0),2))&lt;&gt;"",INDEX(BDHK2,MATCH($A56,DiemHKII!$B$4:$B$58,0),INDEX($BG$14:$BK$27,MATCH(AE$7,$BG$14:$BG$27,0),4)),""),"")</f>
        <v/>
      </c>
      <c r="AG56" s="36" t="str">
        <f>IF($A56&lt;&gt;"",IF(INDEX(BDHK2,MATCH($A56,DiemHKII!$B$4:$B$58,0),INDEX($BG$14:$BK$27,MATCH(AE$7,$BG$14:$BG$27,0),2))&lt;&gt;"",INDEX(BDHK2,MATCH($A56,DiemHKII!$B$4:$B$58,0),INDEX($BG$14:$BK$27,MATCH(AE$7,$BG$14:$BG$27,0),5)),""),"")</f>
        <v/>
      </c>
      <c r="AH56" s="34" t="str">
        <f>IF($A56&lt;&gt;"",IF(INDEX(BDHK2,MATCH($A56,DiemHKII!$B$4:$B$58,0),INDEX($BG$14:$BK$27,MATCH(AH$7,$BG$14:$BG$27,0),2))&lt;&gt;"",INDEX(BDHK2,MATCH($A56,DiemHKII!$B$4:$B$58,0),INDEX($BG$14:$BK$27,MATCH(AH$7,$BG$14:$BG$27,0),3)),""),"")</f>
        <v/>
      </c>
      <c r="AI56" s="35" t="str">
        <f>IF($A56&lt;&gt;"",IF(INDEX(BDHK2,MATCH($A56,DiemHKII!$B$4:$B$58,0),INDEX($BG$14:$BK$27,MATCH(AH$7,$BG$14:$BG$27,0),2))&lt;&gt;"",INDEX(BDHK2,MATCH($A56,DiemHKII!$B$4:$B$58,0),INDEX($BG$14:$BK$27,MATCH(AH$7,$BG$14:$BG$27,0),4)),""),"")</f>
        <v/>
      </c>
      <c r="AJ56" s="36" t="str">
        <f>IF($A56&lt;&gt;"",IF(INDEX(BDHK2,MATCH($A56,DiemHKII!$B$4:$B$58,0),INDEX($BG$14:$BK$27,MATCH(AH$7,$BG$14:$BG$27,0),2))&lt;&gt;"",INDEX(BDHK2,MATCH($A56,DiemHKII!$B$4:$B$58,0),INDEX($BG$14:$BK$27,MATCH(AH$7,$BG$14:$BG$27,0),5)),""),"")</f>
        <v/>
      </c>
      <c r="AK56" s="37" t="str">
        <f>IF($A56&lt;&gt;"",IF(INDEX(BDHK2,MATCH($A56,DiemHKII!$B$4:$B$58,0),INDEX($BG$14:$BK$27,MATCH(AK$7,$BG$14:$BG$27,0),2))&lt;&gt;"",INDEX(BDHK2,MATCH($A56,DiemHKII!$B$4:$B$58,0),INDEX($BG$14:$BK$27,MATCH(AK$7,$BG$14:$BG$27,0),3)),""),"")</f>
        <v/>
      </c>
      <c r="AL56" s="8" t="str">
        <f>IF($A56&lt;&gt;"",IF(INDEX(BDHK2,MATCH($A56,DiemHKII!$B$4:$B$58,0),INDEX($BG$14:$BK$27,MATCH(AK$7,$BG$14:$BG$27,0),2))&lt;&gt;"",INDEX(BDHK2,MATCH($A56,DiemHKII!$B$4:$B$58,0),INDEX($BG$14:$BK$27,MATCH(AK$7,$BG$14:$BG$27,0),4)),""),"")</f>
        <v/>
      </c>
      <c r="AM56" s="38" t="str">
        <f>IF($A56&lt;&gt;"",IF(INDEX(BDHK2,MATCH($A56,DiemHKII!$B$4:$B$58,0),INDEX($BG$14:$BK$27,MATCH(AK$7,$BG$14:$BG$27,0),2))&lt;&gt;"",INDEX(BDHK2,MATCH($A56,DiemHKII!$B$4:$B$58,0),INDEX($BG$14:$BK$27,MATCH(AK$7,$BG$14:$BG$27,0),5)),""),"")</f>
        <v/>
      </c>
      <c r="AN56" s="34" t="str">
        <f>IF($A56&lt;&gt;"",IF(INDEX(BDHK2,MATCH($A56,DiemHKII!$B$4:$B$58,0),INDEX($BG$14:$BK$27,MATCH(AN$7,$BG$14:$BG$27,0),2))&lt;&gt;"",INDEX(BDHK2,MATCH($A56,DiemHKII!$B$4:$B$58,0),INDEX($BG$14:$BK$27,MATCH(AN$7,$BG$14:$BG$27,0),3)),""),"")</f>
        <v/>
      </c>
      <c r="AO56" s="35" t="str">
        <f>IF($A56&lt;&gt;"",IF(INDEX(BDHK2,MATCH($A56,DiemHKII!$B$4:$B$58,0),INDEX($BG$14:$BK$27,MATCH(AN$7,$BG$14:$BG$27,0),2))&lt;&gt;"",INDEX(BDHK2,MATCH($A56,DiemHKII!$B$4:$B$58,0),INDEX($BG$14:$BK$27,MATCH(AN$7,$BG$14:$BG$27,0),4)),""),"")</f>
        <v/>
      </c>
      <c r="AP56" s="36" t="str">
        <f>IF($A56&lt;&gt;"",IF(INDEX(BDHK2,MATCH($A56,DiemHKII!$B$4:$B$58,0),INDEX($BG$14:$BK$27,MATCH(AN$7,$BG$14:$BG$27,0),2))&lt;&gt;"",INDEX(BDHK2,MATCH($A56,DiemHKII!$B$4:$B$58,0),INDEX($BG$14:$BK$27,MATCH(AN$7,$BG$14:$BG$27,0),5)),""),"")</f>
        <v/>
      </c>
      <c r="AQ56" s="34" t="str">
        <f>IF($A56&lt;&gt;"",IF(INDEX(BDHK2,MATCH($A56,DiemHKII!$B$4:$B$58,0),INDEX($BG$14:$BK$27,MATCH(AQ$7,$BG$14:$BG$27,0),2))&lt;&gt;"",INDEX(BDHK2,MATCH($A56,DiemHKII!$B$4:$B$58,0),INDEX($BG$14:$BK$27,MATCH(AQ$7,$BG$14:$BG$27,0),3)),""),"")</f>
        <v/>
      </c>
      <c r="AR56" s="35" t="str">
        <f>IF($A56&lt;&gt;"",IF(INDEX(BDHK2,MATCH($A56,DiemHKII!$B$4:$B$58,0),INDEX($BG$14:$BK$27,MATCH(AQ$7,$BG$14:$BG$27,0),2))&lt;&gt;"",INDEX(BDHK2,MATCH($A56,DiemHKII!$B$4:$B$58,0),INDEX($BG$14:$BK$27,MATCH(AQ$7,$BG$14:$BG$27,0),4)),""),"")</f>
        <v/>
      </c>
      <c r="AS56" s="36" t="str">
        <f>IF($A56&lt;&gt;"",IF(INDEX(BDHK2,MATCH($A56,DiemHKII!$B$4:$B$58,0),INDEX($BG$14:$BK$27,MATCH(AQ$7,$BG$14:$BG$27,0),2))&lt;&gt;"",INDEX(BDHK2,MATCH($A56,DiemHKII!$B$4:$B$58,0),INDEX($BG$14:$BK$27,MATCH(AQ$7,$BG$14:$BG$27,0),5)),""),"")</f>
        <v/>
      </c>
      <c r="AT56" s="34" t="str">
        <f>IFERROR(IF($A56&gt;=1,IF(INDEX(THHKI!$V$8:$Y$62,MATCH($BL56,THHKI!$AG$8:$AG$62,0),1)&lt;&gt;"",INDEX(THHKI!$V$8:$Y$62,MATCH($BL56,THHKI!$AG$8:$AG$62,0),1),""),""),"")</f>
        <v/>
      </c>
      <c r="AU56" s="35" t="str">
        <f>IF($A56&gt;=1,IF(INDEX(THHKII!$V$8:$Y$62,MATCH($BL56,THHKII!$AG$8:$AG$62,0),1)&lt;&gt;"",INDEX(THHKII!$V$8:$Y$62,MATCH($BL56,THHKII!$AG$8:$AG$62,0),1),""),"")</f>
        <v/>
      </c>
      <c r="AV56" s="39" t="str">
        <f>IF($A56&gt;=1,IF(INDEX(THCN!$V$8:$Y$62,MATCH($BL56,THCN!$AG$8:$AG$62,0),1)&lt;&gt;"",INDEX(THCN!$V$8:$Y$62,MATCH($BL56,THCN!$AG$8:$AG$62,0),1),""),"")</f>
        <v/>
      </c>
      <c r="AW56" s="40" t="str">
        <f>IFERROR(IF($A56&gt;=1,IF(INDEX(THHKI!$V$8:$Y$62,MATCH($BL56,THHKI!$AG$8:$AG$62,0),2)&lt;&gt;"",INDEX(THHKI!$V$8:$Y$62,MATCH($BL56,THHKI!$AG$8:$AG$62,0),2),""),""),"")</f>
        <v/>
      </c>
      <c r="AX56" s="8" t="str">
        <f>IF($A56&gt;=1,IF(INDEX(THHKII!$V$8:$Y$62,MATCH($BL56,THHKII!$AG$8:$AG$62,0),2)&lt;&gt;"",INDEX(THHKII!$V$8:$Y$62,MATCH($BL56,THHKII!$AG$8:$AG$62,0),2),""),"")</f>
        <v/>
      </c>
      <c r="AY56" s="467" t="str">
        <f>IF($A56&gt;=1,IF(INDEX(THCN!$V$8:$Y$62,MATCH($BL56,THCN!$AG$8:$AG$62,0),2)&lt;&gt;"",INDEX(THCN!$V$8:$Y$62,MATCH($BL56,THCN!$AG$8:$AG$62,0),2),""),"")</f>
        <v/>
      </c>
      <c r="AZ56" s="37" t="str">
        <f>IFERROR(IF($A56&gt;=1,IF(INDEX(THHKI!$V$8:$Y$62,MATCH($BL56,THHKI!$AG$8:$AG$62,0),3)&lt;&gt;"",INDEX(THHKI!$V$8:$Y$62,MATCH($BL56,THHKI!$AG$8:$AG$62,0),3),""),""),"")</f>
        <v/>
      </c>
      <c r="BA56" s="8" t="str">
        <f>IF($A56&gt;=1,IF(INDEX(THHKII!$V$8:$Y$62,MATCH($BL56,THHKII!$AG$8:$AG$62,0),3)&lt;&gt;"",INDEX(THHKII!$V$8:$Y$62,MATCH($BL56,THHKII!$AG$8:$AG$62,0),3),""),"")</f>
        <v/>
      </c>
      <c r="BB56" s="41" t="str">
        <f>IF($A56&gt;=1,IF(INDEX(THCN!$V$8:$Y$62,MATCH($BL56,THCN!$AG$8:$AG$62,0),3)&lt;&gt;"",INDEX(THCN!$V$8:$Y$62,MATCH($BL56,THCN!$AG$8:$AG$62,0),3),""),"")</f>
        <v/>
      </c>
      <c r="BC56" s="42" t="str">
        <f>IF($A56&gt;=1,IF(INDEX(THCN!$V$8:$Y$62,MATCH($BL56,THCN!$AG$8:$AG$62,0),4)&lt;&gt;"",INDEX(THCN!$V$8:$Y$62,MATCH($BL56,THCN!$AG$8:$AG$62,0),4),""),"")</f>
        <v/>
      </c>
      <c r="BE56" s="31" t="str">
        <f>IFERROR(IF($A56&gt;=1,IF(INDEX(THHKI!$V$8:$Y$62,MATCH($BL56,THHKI!$AG$8:$AG$62,0),4)&lt;&gt;"",INDEX(THHKI!$V$8:$Y$62,MATCH($BL56,THHKI!$AG$8:$AG$62,0),4),""),""),"")</f>
        <v/>
      </c>
      <c r="BF56" s="42" t="str">
        <f>IF($A56&gt;=1,IF(INDEX(THHKII!$V$8:$Y$62,MATCH($BL56,THHKII!$AG$8:$AG$62,0),4)&lt;&gt;"",INDEX(THHKII!$V$8:$Y$62,MATCH($BL56,THHKII!$AG$8:$AG$62,0),4),""),"")</f>
        <v/>
      </c>
      <c r="BL56" s="30" t="str">
        <f>IF($A56&lt;&gt;"",INDEX(DiemHKII!$B$4:$K$58,MATCH($A56,DiemHKII!$B$4:$B$58,0),2),"")</f>
        <v/>
      </c>
    </row>
    <row r="57" spans="1:64" s="30" customFormat="1" ht="29.1" hidden="1" customHeight="1">
      <c r="A57" s="31" t="str">
        <f>IF(A56&lt;MAX(DiemHKII!$B$4:$B$58),A56+1,"")</f>
        <v/>
      </c>
      <c r="B57" s="32" t="str">
        <f>IF($A57&lt;&gt;"",PROPER(INDEX(DiemHKII!$B$4:$K$58,MATCH($A57,DiemHKII!$B$4:$B$58,0),4)),"")</f>
        <v/>
      </c>
      <c r="C57" s="33" t="str">
        <f>IF($A57&lt;&gt;"",PROPER(INDEX(DiemHKII!$B$4:$K$58,MATCH($A57,DiemHKII!$B$4:$B$58,0),5)),"")</f>
        <v/>
      </c>
      <c r="D57" s="34" t="str">
        <f>IF($A57&lt;&gt;"",IF(INDEX(BDHK2,MATCH($A57,DiemHKII!$B$4:$B$58,0),INDEX($BG$14:$BK$27,MATCH(D$7,$BG$14:$BG$27,0),2))&lt;&gt;"",INDEX(BDHK2,MATCH($A57,DiemHKII!$B$4:$B$58,0),INDEX($BG$14:$BK$27,MATCH(D$7,$BG$14:$BG$27,0),3)),""),"")</f>
        <v/>
      </c>
      <c r="E57" s="35" t="str">
        <f>IF($A57&lt;&gt;"",IF(INDEX(BDHK2,MATCH($A57,DiemHKII!$B$4:$B$58,0),INDEX($BG$14:$BK$27,MATCH(D$7,$BG$14:$BG$27,0),2))&lt;&gt;"",INDEX(BDHK2,MATCH($A57,DiemHKII!$B$4:$B$58,0),INDEX($BG$14:$BK$27,MATCH(D$7,$BG$14:$BG$27,0),4)),""),"")</f>
        <v/>
      </c>
      <c r="F57" s="36" t="str">
        <f>IF($A57&lt;&gt;"",IF(INDEX(BDHK2,MATCH($A57,DiemHKII!$B$4:$B$58,0),INDEX($BG$14:$BK$27,MATCH(D$7,$BG$14:$BG$27,0),2))&lt;&gt;"",INDEX(BDHK2,MATCH($A57,DiemHKII!$B$4:$B$58,0),INDEX($BG$14:$BK$27,MATCH(D$7,$BG$14:$BG$27,0),5)),""),"")</f>
        <v/>
      </c>
      <c r="G57" s="34" t="str">
        <f>IF($A57&lt;&gt;"",IF(INDEX(BDHK2,MATCH($A57,DiemHKII!$B$4:$B$58,0),INDEX($BG$14:$BK$27,MATCH(G$7,$BG$14:$BG$27,0),2))&lt;&gt;"",INDEX(BDHK2,MATCH($A57,DiemHKII!$B$4:$B$58,0),INDEX($BG$14:$BK$27,MATCH(G$7,$BG$14:$BG$27,0),3)),""),"")</f>
        <v/>
      </c>
      <c r="H57" s="35" t="str">
        <f>IF($A57&lt;&gt;"",IF(INDEX(BDHK2,MATCH($A57,DiemHKII!$B$4:$B$58,0),INDEX($BG$14:$BK$27,MATCH(G$7,$BG$14:$BG$27,0),2))&lt;&gt;"",INDEX(BDHK2,MATCH($A57,DiemHKII!$B$4:$B$58,0),INDEX($BG$14:$BK$27,MATCH(G$7,$BG$14:$BG$27,0),4)),""),"")</f>
        <v/>
      </c>
      <c r="I57" s="36" t="str">
        <f>IF($A57&lt;&gt;"",IF(INDEX(BDHK2,MATCH($A57,DiemHKII!$B$4:$B$58,0),INDEX($BG$14:$BK$27,MATCH(G$7,$BG$14:$BG$27,0),2))&lt;&gt;"",INDEX(BDHK2,MATCH($A57,DiemHKII!$B$4:$B$58,0),INDEX($BG$14:$BK$27,MATCH(G$7,$BG$14:$BG$27,0),5)),""),"")</f>
        <v/>
      </c>
      <c r="J57" s="34" t="str">
        <f>IF($A57&lt;&gt;"",IF(INDEX(BDHK2,MATCH($A57,DiemHKII!$B$4:$B$58,0),INDEX($BG$14:$BK$27,MATCH(J$7,$BG$14:$BG$27,0),2))&lt;&gt;"",INDEX(BDHK2,MATCH($A57,DiemHKII!$B$4:$B$58,0),INDEX($BG$14:$BK$27,MATCH(J$7,$BG$14:$BG$27,0),3)),""),"")</f>
        <v/>
      </c>
      <c r="K57" s="35" t="str">
        <f>IF($A57&lt;&gt;"",IF(INDEX(BDHK2,MATCH($A57,DiemHKII!$B$4:$B$58,0),INDEX($BG$14:$BK$27,MATCH(J$7,$BG$14:$BG$27,0),2))&lt;&gt;"",INDEX(BDHK2,MATCH($A57,DiemHKII!$B$4:$B$58,0),INDEX($BG$14:$BK$27,MATCH(J$7,$BG$14:$BG$27,0),4)),""),"")</f>
        <v/>
      </c>
      <c r="L57" s="36" t="str">
        <f>IF($A57&lt;&gt;"",IF(INDEX(BDHK2,MATCH($A57,DiemHKII!$B$4:$B$58,0),INDEX($BG$14:$BK$27,MATCH(J$7,$BG$14:$BG$27,0),2))&lt;&gt;"",INDEX(BDHK2,MATCH($A57,DiemHKII!$B$4:$B$58,0),INDEX($BG$14:$BK$27,MATCH(J$7,$BG$14:$BG$27,0),5)),""),"")</f>
        <v/>
      </c>
      <c r="M57" s="34" t="str">
        <f>IF($A57&lt;&gt;"",IF(INDEX(BDHK2,MATCH($A57,DiemHKII!$B$4:$B$58,0),INDEX($BG$14:$BK$27,MATCH(M$7,$BG$14:$BG$27,0),2))&lt;&gt;"",INDEX(BDHK2,MATCH($A57,DiemHKII!$B$4:$B$58,0),INDEX($BG$14:$BK$27,MATCH(M$7,$BG$14:$BG$27,0),3)),""),"")</f>
        <v/>
      </c>
      <c r="N57" s="35" t="str">
        <f>IF($A57&lt;&gt;"",IF(INDEX(BDHK2,MATCH($A57,DiemHKII!$B$4:$B$58,0),INDEX($BG$14:$BK$27,MATCH(M$7,$BG$14:$BG$27,0),2))&lt;&gt;"",INDEX(BDHK2,MATCH($A57,DiemHKII!$B$4:$B$58,0),INDEX($BG$14:$BK$27,MATCH(M$7,$BG$14:$BG$27,0),4)),""),"")</f>
        <v/>
      </c>
      <c r="O57" s="36" t="str">
        <f>IF($A57&lt;&gt;"",IF(INDEX(BDHK2,MATCH($A57,DiemHKII!$B$4:$B$58,0),INDEX($BG$14:$BK$27,MATCH(M$7,$BG$14:$BG$27,0),2))&lt;&gt;"",INDEX(BDHK2,MATCH($A57,DiemHKII!$B$4:$B$58,0),INDEX($BG$14:$BK$27,MATCH(M$7,$BG$14:$BG$27,0),5)),""),"")</f>
        <v/>
      </c>
      <c r="P57" s="34" t="str">
        <f>IF($A57&lt;&gt;"",IF(INDEX(BDHK2,MATCH($A57,DiemHKII!$B$4:$B$58,0),INDEX($BG$14:$BK$27,MATCH(P$7,$BG$14:$BG$27,0),2))&lt;&gt;"",INDEX(BDHK2,MATCH($A57,DiemHKII!$B$4:$B$58,0),INDEX($BG$14:$BK$27,MATCH(P$7,$BG$14:$BG$27,0),3)),""),"")</f>
        <v/>
      </c>
      <c r="Q57" s="35" t="str">
        <f>IF($A57&lt;&gt;"",IF(INDEX(BDHK2,MATCH($A57,DiemHKII!$B$4:$B$58,0),INDEX($BG$14:$BK$27,MATCH(P$7,$BG$14:$BG$27,0),2))&lt;&gt;"",INDEX(BDHK2,MATCH($A57,DiemHKII!$B$4:$B$58,0),INDEX($BG$14:$BK$27,MATCH(P$7,$BG$14:$BG$27,0),4)),""),"")</f>
        <v/>
      </c>
      <c r="R57" s="36" t="str">
        <f>IF($A57&lt;&gt;"",IF(INDEX(BDHK2,MATCH($A57,DiemHKII!$B$4:$B$58,0),INDEX($BG$14:$BK$27,MATCH(P$7,$BG$14:$BG$27,0),2))&lt;&gt;"",INDEX(BDHK2,MATCH($A57,DiemHKII!$B$4:$B$58,0),INDEX($BG$14:$BK$27,MATCH(P$7,$BG$14:$BG$27,0),5)),""),"")</f>
        <v/>
      </c>
      <c r="S57" s="34" t="str">
        <f>IF($A57&lt;&gt;"",IF(INDEX(BDHK2,MATCH($A57,DiemHKII!$B$4:$B$58,0),INDEX($BG$14:$BK$27,MATCH(S$7,$BG$14:$BG$27,0),2))&lt;&gt;"",INDEX(BDHK2,MATCH($A57,DiemHKII!$B$4:$B$58,0),INDEX($BG$14:$BK$27,MATCH(S$7,$BG$14:$BG$27,0),3)),""),"")</f>
        <v/>
      </c>
      <c r="T57" s="35" t="str">
        <f>IF($A57&lt;&gt;"",IF(INDEX(BDHK2,MATCH($A57,DiemHKII!$B$4:$B$58,0),INDEX($BG$14:$BK$27,MATCH(S$7,$BG$14:$BG$27,0),2))&lt;&gt;"",INDEX(BDHK2,MATCH($A57,DiemHKII!$B$4:$B$58,0),INDEX($BG$14:$BK$27,MATCH(S$7,$BG$14:$BG$27,0),4)),""),"")</f>
        <v/>
      </c>
      <c r="U57" s="36" t="str">
        <f>IF($A57&lt;&gt;"",IF(INDEX(BDHK2,MATCH($A57,DiemHKII!$B$4:$B$58,0),INDEX($BG$14:$BK$27,MATCH(S$7,$BG$14:$BG$27,0),2))&lt;&gt;"",INDEX(BDHK2,MATCH($A57,DiemHKII!$B$4:$B$58,0),INDEX($BG$14:$BK$27,MATCH(S$7,$BG$14:$BG$27,0),5)),""),"")</f>
        <v/>
      </c>
      <c r="V57" s="34" t="str">
        <f>IF($A57&lt;&gt;"",IF(INDEX(BDHK2,MATCH($A57,DiemHKII!$B$4:$B$58,0),INDEX($BG$14:$BK$27,MATCH(V$7,$BG$14:$BG$27,0),2))&lt;&gt;"",INDEX(BDHK2,MATCH($A57,DiemHKII!$B$4:$B$58,0),INDEX($BG$14:$BK$27,MATCH(V$7,$BG$14:$BG$27,0),3)),""),"")</f>
        <v/>
      </c>
      <c r="W57" s="35" t="str">
        <f>IF($A57&lt;&gt;"",IF(INDEX(BDHK2,MATCH($A57,DiemHKII!$B$4:$B$58,0),INDEX($BG$14:$BK$27,MATCH(V$7,$BG$14:$BG$27,0),2))&lt;&gt;"",INDEX(BDHK2,MATCH($A57,DiemHKII!$B$4:$B$58,0),INDEX($BG$14:$BK$27,MATCH(V$7,$BG$14:$BG$27,0),4)),""),"")</f>
        <v/>
      </c>
      <c r="X57" s="36" t="str">
        <f>IF($A57&lt;&gt;"",IF(INDEX(BDHK2,MATCH($A57,DiemHKII!$B$4:$B$58,0),INDEX($BG$14:$BK$27,MATCH(V$7,$BG$14:$BG$27,0),2))&lt;&gt;"",INDEX(BDHK2,MATCH($A57,DiemHKII!$B$4:$B$58,0),INDEX($BG$14:$BK$27,MATCH(V$7,$BG$14:$BG$27,0),5)),""),"")</f>
        <v/>
      </c>
      <c r="Y57" s="34" t="str">
        <f>IF($A57&lt;&gt;"",IF(INDEX(BDHK2,MATCH($A57,DiemHKII!$B$4:$B$58,0),INDEX($BG$14:$BK$27,MATCH(Y$7,$BG$14:$BG$27,0),2))&lt;&gt;"",INDEX(BDHK2,MATCH($A57,DiemHKII!$B$4:$B$58,0),INDEX($BG$14:$BK$27,MATCH(Y$7,$BG$14:$BG$27,0),3)),""),"")</f>
        <v/>
      </c>
      <c r="Z57" s="35" t="str">
        <f>IF($A57&lt;&gt;"",IF(INDEX(BDHK2,MATCH($A57,DiemHKII!$B$4:$B$58,0),INDEX($BG$14:$BK$27,MATCH(Y$7,$BG$14:$BG$27,0),2))&lt;&gt;"",INDEX(BDHK2,MATCH($A57,DiemHKII!$B$4:$B$58,0),INDEX($BG$14:$BK$27,MATCH(Y$7,$BG$14:$BG$27,0),4)),""),"")</f>
        <v/>
      </c>
      <c r="AA57" s="36" t="str">
        <f>IF($A57&lt;&gt;"",IF(INDEX(BDHK2,MATCH($A57,DiemHKII!$B$4:$B$58,0),INDEX($BG$14:$BK$27,MATCH(Y$7,$BG$14:$BG$27,0),2))&lt;&gt;"",INDEX(BDHK2,MATCH($A57,DiemHKII!$B$4:$B$58,0),INDEX($BG$14:$BK$27,MATCH(Y$7,$BG$14:$BG$27,0),5)),""),"")</f>
        <v/>
      </c>
      <c r="AB57" s="34" t="str">
        <f>IF($A57&lt;&gt;"",IF(INDEX(BDHK2,MATCH($A57,DiemHKII!$B$4:$B$58,0),INDEX($BG$14:$BK$27,MATCH(AB$7,$BG$14:$BG$27,0),2))&lt;&gt;"",INDEX(BDHK2,MATCH($A57,DiemHKII!$B$4:$B$58,0),INDEX($BG$14:$BK$27,MATCH(AB$7,$BG$14:$BG$27,0),3)),""),"")</f>
        <v/>
      </c>
      <c r="AC57" s="35" t="str">
        <f>IF($A57&lt;&gt;"",IF(INDEX(BDHK2,MATCH($A57,DiemHKII!$B$4:$B$58,0),INDEX($BG$14:$BK$27,MATCH(AB$7,$BG$14:$BG$27,0),2))&lt;&gt;"",INDEX(BDHK2,MATCH($A57,DiemHKII!$B$4:$B$58,0),INDEX($BG$14:$BK$27,MATCH(AB$7,$BG$14:$BG$27,0),4)),""),"")</f>
        <v/>
      </c>
      <c r="AD57" s="36" t="str">
        <f>IF($A57&lt;&gt;"",IF(INDEX(BDHK2,MATCH($A57,DiemHKII!$B$4:$B$58,0),INDEX($BG$14:$BK$27,MATCH(AB$7,$BG$14:$BG$27,0),2))&lt;&gt;"",INDEX(BDHK2,MATCH($A57,DiemHKII!$B$4:$B$58,0),INDEX($BG$14:$BK$27,MATCH(AB$7,$BG$14:$BG$27,0),5)),""),"")</f>
        <v/>
      </c>
      <c r="AE57" s="34" t="str">
        <f>IF($A57&lt;&gt;"",IF(INDEX(BDHK2,MATCH($A57,DiemHKII!$B$4:$B$58,0),INDEX($BG$14:$BK$27,MATCH(AE$7,$BG$14:$BG$27,0),2))&lt;&gt;"",INDEX(BDHK2,MATCH($A57,DiemHKII!$B$4:$B$58,0),INDEX($BG$14:$BK$27,MATCH(AE$7,$BG$14:$BG$27,0),3)),""),"")</f>
        <v/>
      </c>
      <c r="AF57" s="35" t="str">
        <f>IF($A57&lt;&gt;"",IF(INDEX(BDHK2,MATCH($A57,DiemHKII!$B$4:$B$58,0),INDEX($BG$14:$BK$27,MATCH(AE$7,$BG$14:$BG$27,0),2))&lt;&gt;"",INDEX(BDHK2,MATCH($A57,DiemHKII!$B$4:$B$58,0),INDEX($BG$14:$BK$27,MATCH(AE$7,$BG$14:$BG$27,0),4)),""),"")</f>
        <v/>
      </c>
      <c r="AG57" s="36" t="str">
        <f>IF($A57&lt;&gt;"",IF(INDEX(BDHK2,MATCH($A57,DiemHKII!$B$4:$B$58,0),INDEX($BG$14:$BK$27,MATCH(AE$7,$BG$14:$BG$27,0),2))&lt;&gt;"",INDEX(BDHK2,MATCH($A57,DiemHKII!$B$4:$B$58,0),INDEX($BG$14:$BK$27,MATCH(AE$7,$BG$14:$BG$27,0),5)),""),"")</f>
        <v/>
      </c>
      <c r="AH57" s="34" t="str">
        <f>IF($A57&lt;&gt;"",IF(INDEX(BDHK2,MATCH($A57,DiemHKII!$B$4:$B$58,0),INDEX($BG$14:$BK$27,MATCH(AH$7,$BG$14:$BG$27,0),2))&lt;&gt;"",INDEX(BDHK2,MATCH($A57,DiemHKII!$B$4:$B$58,0),INDEX($BG$14:$BK$27,MATCH(AH$7,$BG$14:$BG$27,0),3)),""),"")</f>
        <v/>
      </c>
      <c r="AI57" s="35" t="str">
        <f>IF($A57&lt;&gt;"",IF(INDEX(BDHK2,MATCH($A57,DiemHKII!$B$4:$B$58,0),INDEX($BG$14:$BK$27,MATCH(AH$7,$BG$14:$BG$27,0),2))&lt;&gt;"",INDEX(BDHK2,MATCH($A57,DiemHKII!$B$4:$B$58,0),INDEX($BG$14:$BK$27,MATCH(AH$7,$BG$14:$BG$27,0),4)),""),"")</f>
        <v/>
      </c>
      <c r="AJ57" s="36" t="str">
        <f>IF($A57&lt;&gt;"",IF(INDEX(BDHK2,MATCH($A57,DiemHKII!$B$4:$B$58,0),INDEX($BG$14:$BK$27,MATCH(AH$7,$BG$14:$BG$27,0),2))&lt;&gt;"",INDEX(BDHK2,MATCH($A57,DiemHKII!$B$4:$B$58,0),INDEX($BG$14:$BK$27,MATCH(AH$7,$BG$14:$BG$27,0),5)),""),"")</f>
        <v/>
      </c>
      <c r="AK57" s="37" t="str">
        <f>IF($A57&lt;&gt;"",IF(INDEX(BDHK2,MATCH($A57,DiemHKII!$B$4:$B$58,0),INDEX($BG$14:$BK$27,MATCH(AK$7,$BG$14:$BG$27,0),2))&lt;&gt;"",INDEX(BDHK2,MATCH($A57,DiemHKII!$B$4:$B$58,0),INDEX($BG$14:$BK$27,MATCH(AK$7,$BG$14:$BG$27,0),3)),""),"")</f>
        <v/>
      </c>
      <c r="AL57" s="8" t="str">
        <f>IF($A57&lt;&gt;"",IF(INDEX(BDHK2,MATCH($A57,DiemHKII!$B$4:$B$58,0),INDEX($BG$14:$BK$27,MATCH(AK$7,$BG$14:$BG$27,0),2))&lt;&gt;"",INDEX(BDHK2,MATCH($A57,DiemHKII!$B$4:$B$58,0),INDEX($BG$14:$BK$27,MATCH(AK$7,$BG$14:$BG$27,0),4)),""),"")</f>
        <v/>
      </c>
      <c r="AM57" s="38" t="str">
        <f>IF($A57&lt;&gt;"",IF(INDEX(BDHK2,MATCH($A57,DiemHKII!$B$4:$B$58,0),INDEX($BG$14:$BK$27,MATCH(AK$7,$BG$14:$BG$27,0),2))&lt;&gt;"",INDEX(BDHK2,MATCH($A57,DiemHKII!$B$4:$B$58,0),INDEX($BG$14:$BK$27,MATCH(AK$7,$BG$14:$BG$27,0),5)),""),"")</f>
        <v/>
      </c>
      <c r="AN57" s="34" t="str">
        <f>IF($A57&lt;&gt;"",IF(INDEX(BDHK2,MATCH($A57,DiemHKII!$B$4:$B$58,0),INDEX($BG$14:$BK$27,MATCH(AN$7,$BG$14:$BG$27,0),2))&lt;&gt;"",INDEX(BDHK2,MATCH($A57,DiemHKII!$B$4:$B$58,0),INDEX($BG$14:$BK$27,MATCH(AN$7,$BG$14:$BG$27,0),3)),""),"")</f>
        <v/>
      </c>
      <c r="AO57" s="35" t="str">
        <f>IF($A57&lt;&gt;"",IF(INDEX(BDHK2,MATCH($A57,DiemHKII!$B$4:$B$58,0),INDEX($BG$14:$BK$27,MATCH(AN$7,$BG$14:$BG$27,0),2))&lt;&gt;"",INDEX(BDHK2,MATCH($A57,DiemHKII!$B$4:$B$58,0),INDEX($BG$14:$BK$27,MATCH(AN$7,$BG$14:$BG$27,0),4)),""),"")</f>
        <v/>
      </c>
      <c r="AP57" s="36" t="str">
        <f>IF($A57&lt;&gt;"",IF(INDEX(BDHK2,MATCH($A57,DiemHKII!$B$4:$B$58,0),INDEX($BG$14:$BK$27,MATCH(AN$7,$BG$14:$BG$27,0),2))&lt;&gt;"",INDEX(BDHK2,MATCH($A57,DiemHKII!$B$4:$B$58,0),INDEX($BG$14:$BK$27,MATCH(AN$7,$BG$14:$BG$27,0),5)),""),"")</f>
        <v/>
      </c>
      <c r="AQ57" s="34" t="str">
        <f>IF($A57&lt;&gt;"",IF(INDEX(BDHK2,MATCH($A57,DiemHKII!$B$4:$B$58,0),INDEX($BG$14:$BK$27,MATCH(AQ$7,$BG$14:$BG$27,0),2))&lt;&gt;"",INDEX(BDHK2,MATCH($A57,DiemHKII!$B$4:$B$58,0),INDEX($BG$14:$BK$27,MATCH(AQ$7,$BG$14:$BG$27,0),3)),""),"")</f>
        <v/>
      </c>
      <c r="AR57" s="35" t="str">
        <f>IF($A57&lt;&gt;"",IF(INDEX(BDHK2,MATCH($A57,DiemHKII!$B$4:$B$58,0),INDEX($BG$14:$BK$27,MATCH(AQ$7,$BG$14:$BG$27,0),2))&lt;&gt;"",INDEX(BDHK2,MATCH($A57,DiemHKII!$B$4:$B$58,0),INDEX($BG$14:$BK$27,MATCH(AQ$7,$BG$14:$BG$27,0),4)),""),"")</f>
        <v/>
      </c>
      <c r="AS57" s="36" t="str">
        <f>IF($A57&lt;&gt;"",IF(INDEX(BDHK2,MATCH($A57,DiemHKII!$B$4:$B$58,0),INDEX($BG$14:$BK$27,MATCH(AQ$7,$BG$14:$BG$27,0),2))&lt;&gt;"",INDEX(BDHK2,MATCH($A57,DiemHKII!$B$4:$B$58,0),INDEX($BG$14:$BK$27,MATCH(AQ$7,$BG$14:$BG$27,0),5)),""),"")</f>
        <v/>
      </c>
      <c r="AT57" s="34" t="str">
        <f>IFERROR(IF($A57&gt;=1,IF(INDEX(THHKI!$V$8:$Y$62,MATCH($BL57,THHKI!$AG$8:$AG$62,0),1)&lt;&gt;"",INDEX(THHKI!$V$8:$Y$62,MATCH($BL57,THHKI!$AG$8:$AG$62,0),1),""),""),"")</f>
        <v/>
      </c>
      <c r="AU57" s="35" t="str">
        <f>IF($A57&gt;=1,IF(INDEX(THHKII!$V$8:$Y$62,MATCH($BL57,THHKII!$AG$8:$AG$62,0),1)&lt;&gt;"",INDEX(THHKII!$V$8:$Y$62,MATCH($BL57,THHKII!$AG$8:$AG$62,0),1),""),"")</f>
        <v/>
      </c>
      <c r="AV57" s="39" t="str">
        <f>IF($A57&gt;=1,IF(INDEX(THCN!$V$8:$Y$62,MATCH($BL57,THCN!$AG$8:$AG$62,0),1)&lt;&gt;"",INDEX(THCN!$V$8:$Y$62,MATCH($BL57,THCN!$AG$8:$AG$62,0),1),""),"")</f>
        <v/>
      </c>
      <c r="AW57" s="40" t="str">
        <f>IFERROR(IF($A57&gt;=1,IF(INDEX(THHKI!$V$8:$Y$62,MATCH($BL57,THHKI!$AG$8:$AG$62,0),2)&lt;&gt;"",INDEX(THHKI!$V$8:$Y$62,MATCH($BL57,THHKI!$AG$8:$AG$62,0),2),""),""),"")</f>
        <v/>
      </c>
      <c r="AX57" s="8" t="str">
        <f>IF($A57&gt;=1,IF(INDEX(THHKII!$V$8:$Y$62,MATCH($BL57,THHKII!$AG$8:$AG$62,0),2)&lt;&gt;"",INDEX(THHKII!$V$8:$Y$62,MATCH($BL57,THHKII!$AG$8:$AG$62,0),2),""),"")</f>
        <v/>
      </c>
      <c r="AY57" s="467" t="str">
        <f>IF($A57&gt;=1,IF(INDEX(THCN!$V$8:$Y$62,MATCH($BL57,THCN!$AG$8:$AG$62,0),2)&lt;&gt;"",INDEX(THCN!$V$8:$Y$62,MATCH($BL57,THCN!$AG$8:$AG$62,0),2),""),"")</f>
        <v/>
      </c>
      <c r="AZ57" s="37" t="str">
        <f>IFERROR(IF($A57&gt;=1,IF(INDEX(THHKI!$V$8:$Y$62,MATCH($BL57,THHKI!$AG$8:$AG$62,0),3)&lt;&gt;"",INDEX(THHKI!$V$8:$Y$62,MATCH($BL57,THHKI!$AG$8:$AG$62,0),3),""),""),"")</f>
        <v/>
      </c>
      <c r="BA57" s="8" t="str">
        <f>IF($A57&gt;=1,IF(INDEX(THHKII!$V$8:$Y$62,MATCH($BL57,THHKII!$AG$8:$AG$62,0),3)&lt;&gt;"",INDEX(THHKII!$V$8:$Y$62,MATCH($BL57,THHKII!$AG$8:$AG$62,0),3),""),"")</f>
        <v/>
      </c>
      <c r="BB57" s="41" t="str">
        <f>IF($A57&gt;=1,IF(INDEX(THCN!$V$8:$Y$62,MATCH($BL57,THCN!$AG$8:$AG$62,0),3)&lt;&gt;"",INDEX(THCN!$V$8:$Y$62,MATCH($BL57,THCN!$AG$8:$AG$62,0),3),""),"")</f>
        <v/>
      </c>
      <c r="BC57" s="42" t="str">
        <f>IF($A57&gt;=1,IF(INDEX(THCN!$V$8:$Y$62,MATCH($BL57,THCN!$AG$8:$AG$62,0),4)&lt;&gt;"",INDEX(THCN!$V$8:$Y$62,MATCH($BL57,THCN!$AG$8:$AG$62,0),4),""),"")</f>
        <v/>
      </c>
      <c r="BE57" s="31" t="str">
        <f>IFERROR(IF($A57&gt;=1,IF(INDEX(THHKI!$V$8:$Y$62,MATCH($BL57,THHKI!$AG$8:$AG$62,0),4)&lt;&gt;"",INDEX(THHKI!$V$8:$Y$62,MATCH($BL57,THHKI!$AG$8:$AG$62,0),4),""),""),"")</f>
        <v/>
      </c>
      <c r="BF57" s="42" t="str">
        <f>IF($A57&gt;=1,IF(INDEX(THHKII!$V$8:$Y$62,MATCH($BL57,THHKII!$AG$8:$AG$62,0),4)&lt;&gt;"",INDEX(THHKII!$V$8:$Y$62,MATCH($BL57,THHKII!$AG$8:$AG$62,0),4),""),"")</f>
        <v/>
      </c>
      <c r="BL57" s="30" t="str">
        <f>IF($A57&lt;&gt;"",INDEX(DiemHKII!$B$4:$K$58,MATCH($A57,DiemHKII!$B$4:$B$58,0),2),"")</f>
        <v/>
      </c>
    </row>
    <row r="58" spans="1:64" s="30" customFormat="1" ht="29.1" hidden="1" customHeight="1" thickBot="1">
      <c r="A58" s="43" t="str">
        <f>IF(A57&lt;MAX(DiemHKII!$B$4:$B$58),A57+1,"")</f>
        <v/>
      </c>
      <c r="B58" s="44" t="str">
        <f>IF($A58&lt;&gt;"",PROPER(INDEX(DiemHKII!$B$4:$K$58,MATCH($A58,DiemHKII!$B$4:$B$58,0),4)),"")</f>
        <v/>
      </c>
      <c r="C58" s="45" t="str">
        <f>IF($A58&lt;&gt;"",PROPER(INDEX(DiemHKII!$B$4:$K$58,MATCH($A58,DiemHKII!$B$4:$B$58,0),5)),"")</f>
        <v/>
      </c>
      <c r="D58" s="46" t="str">
        <f>IF($A58&lt;&gt;"",IF(INDEX(BDHK2,MATCH($A58,DiemHKII!$B$4:$B$58,0),INDEX($BG$14:$BK$27,MATCH(D$7,$BG$14:$BG$27,0),2))&lt;&gt;"",INDEX(BDHK2,MATCH($A58,DiemHKII!$B$4:$B$58,0),INDEX($BG$14:$BK$27,MATCH(D$7,$BG$14:$BG$27,0),3)),""),"")</f>
        <v/>
      </c>
      <c r="E58" s="47" t="str">
        <f>IF($A58&lt;&gt;"",IF(INDEX(BDHK2,MATCH($A58,DiemHKII!$B$4:$B$58,0),INDEX($BG$14:$BK$27,MATCH(D$7,$BG$14:$BG$27,0),2))&lt;&gt;"",INDEX(BDHK2,MATCH($A58,DiemHKII!$B$4:$B$58,0),INDEX($BG$14:$BK$27,MATCH(D$7,$BG$14:$BG$27,0),4)),""),"")</f>
        <v/>
      </c>
      <c r="F58" s="48" t="str">
        <f>IF($A58&lt;&gt;"",IF(INDEX(BDHK2,MATCH($A58,DiemHKII!$B$4:$B$58,0),INDEX($BG$14:$BK$27,MATCH(D$7,$BG$14:$BG$27,0),2))&lt;&gt;"",INDEX(BDHK2,MATCH($A58,DiemHKII!$B$4:$B$58,0),INDEX($BG$14:$BK$27,MATCH(D$7,$BG$14:$BG$27,0),5)),""),"")</f>
        <v/>
      </c>
      <c r="G58" s="46" t="str">
        <f>IF($A58&lt;&gt;"",IF(INDEX(BDHK2,MATCH($A58,DiemHKII!$B$4:$B$58,0),INDEX($BG$14:$BK$27,MATCH(G$7,$BG$14:$BG$27,0),2))&lt;&gt;"",INDEX(BDHK2,MATCH($A58,DiemHKII!$B$4:$B$58,0),INDEX($BG$14:$BK$27,MATCH(G$7,$BG$14:$BG$27,0),3)),""),"")</f>
        <v/>
      </c>
      <c r="H58" s="47" t="str">
        <f>IF($A58&lt;&gt;"",IF(INDEX(BDHK2,MATCH($A58,DiemHKII!$B$4:$B$58,0),INDEX($BG$14:$BK$27,MATCH(G$7,$BG$14:$BG$27,0),2))&lt;&gt;"",INDEX(BDHK2,MATCH($A58,DiemHKII!$B$4:$B$58,0),INDEX($BG$14:$BK$27,MATCH(G$7,$BG$14:$BG$27,0),4)),""),"")</f>
        <v/>
      </c>
      <c r="I58" s="48" t="str">
        <f>IF($A58&lt;&gt;"",IF(INDEX(BDHK2,MATCH($A58,DiemHKII!$B$4:$B$58,0),INDEX($BG$14:$BK$27,MATCH(G$7,$BG$14:$BG$27,0),2))&lt;&gt;"",INDEX(BDHK2,MATCH($A58,DiemHKII!$B$4:$B$58,0),INDEX($BG$14:$BK$27,MATCH(G$7,$BG$14:$BG$27,0),5)),""),"")</f>
        <v/>
      </c>
      <c r="J58" s="46" t="str">
        <f>IF($A58&lt;&gt;"",IF(INDEX(BDHK2,MATCH($A58,DiemHKII!$B$4:$B$58,0),INDEX($BG$14:$BK$27,MATCH(J$7,$BG$14:$BG$27,0),2))&lt;&gt;"",INDEX(BDHK2,MATCH($A58,DiemHKII!$B$4:$B$58,0),INDEX($BG$14:$BK$27,MATCH(J$7,$BG$14:$BG$27,0),3)),""),"")</f>
        <v/>
      </c>
      <c r="K58" s="47" t="str">
        <f>IF($A58&lt;&gt;"",IF(INDEX(BDHK2,MATCH($A58,DiemHKII!$B$4:$B$58,0),INDEX($BG$14:$BK$27,MATCH(J$7,$BG$14:$BG$27,0),2))&lt;&gt;"",INDEX(BDHK2,MATCH($A58,DiemHKII!$B$4:$B$58,0),INDEX($BG$14:$BK$27,MATCH(J$7,$BG$14:$BG$27,0),4)),""),"")</f>
        <v/>
      </c>
      <c r="L58" s="48" t="str">
        <f>IF($A58&lt;&gt;"",IF(INDEX(BDHK2,MATCH($A58,DiemHKII!$B$4:$B$58,0),INDEX($BG$14:$BK$27,MATCH(J$7,$BG$14:$BG$27,0),2))&lt;&gt;"",INDEX(BDHK2,MATCH($A58,DiemHKII!$B$4:$B$58,0),INDEX($BG$14:$BK$27,MATCH(J$7,$BG$14:$BG$27,0),5)),""),"")</f>
        <v/>
      </c>
      <c r="M58" s="46" t="str">
        <f>IF($A58&lt;&gt;"",IF(INDEX(BDHK2,MATCH($A58,DiemHKII!$B$4:$B$58,0),INDEX($BG$14:$BK$27,MATCH(M$7,$BG$14:$BG$27,0),2))&lt;&gt;"",INDEX(BDHK2,MATCH($A58,DiemHKII!$B$4:$B$58,0),INDEX($BG$14:$BK$27,MATCH(M$7,$BG$14:$BG$27,0),3)),""),"")</f>
        <v/>
      </c>
      <c r="N58" s="47" t="str">
        <f>IF($A58&lt;&gt;"",IF(INDEX(BDHK2,MATCH($A58,DiemHKII!$B$4:$B$58,0),INDEX($BG$14:$BK$27,MATCH(M$7,$BG$14:$BG$27,0),2))&lt;&gt;"",INDEX(BDHK2,MATCH($A58,DiemHKII!$B$4:$B$58,0),INDEX($BG$14:$BK$27,MATCH(M$7,$BG$14:$BG$27,0),4)),""),"")</f>
        <v/>
      </c>
      <c r="O58" s="48" t="str">
        <f>IF($A58&lt;&gt;"",IF(INDEX(BDHK2,MATCH($A58,DiemHKII!$B$4:$B$58,0),INDEX($BG$14:$BK$27,MATCH(M$7,$BG$14:$BG$27,0),2))&lt;&gt;"",INDEX(BDHK2,MATCH($A58,DiemHKII!$B$4:$B$58,0),INDEX($BG$14:$BK$27,MATCH(M$7,$BG$14:$BG$27,0),5)),""),"")</f>
        <v/>
      </c>
      <c r="P58" s="46" t="str">
        <f>IF($A58&lt;&gt;"",IF(INDEX(BDHK2,MATCH($A58,DiemHKII!$B$4:$B$58,0),INDEX($BG$14:$BK$27,MATCH(P$7,$BG$14:$BG$27,0),2))&lt;&gt;"",INDEX(BDHK2,MATCH($A58,DiemHKII!$B$4:$B$58,0),INDEX($BG$14:$BK$27,MATCH(P$7,$BG$14:$BG$27,0),3)),""),"")</f>
        <v/>
      </c>
      <c r="Q58" s="47" t="str">
        <f>IF($A58&lt;&gt;"",IF(INDEX(BDHK2,MATCH($A58,DiemHKII!$B$4:$B$58,0),INDEX($BG$14:$BK$27,MATCH(P$7,$BG$14:$BG$27,0),2))&lt;&gt;"",INDEX(BDHK2,MATCH($A58,DiemHKII!$B$4:$B$58,0),INDEX($BG$14:$BK$27,MATCH(P$7,$BG$14:$BG$27,0),4)),""),"")</f>
        <v/>
      </c>
      <c r="R58" s="48" t="str">
        <f>IF($A58&lt;&gt;"",IF(INDEX(BDHK2,MATCH($A58,DiemHKII!$B$4:$B$58,0),INDEX($BG$14:$BK$27,MATCH(P$7,$BG$14:$BG$27,0),2))&lt;&gt;"",INDEX(BDHK2,MATCH($A58,DiemHKII!$B$4:$B$58,0),INDEX($BG$14:$BK$27,MATCH(P$7,$BG$14:$BG$27,0),5)),""),"")</f>
        <v/>
      </c>
      <c r="S58" s="46" t="str">
        <f>IF($A58&lt;&gt;"",IF(INDEX(BDHK2,MATCH($A58,DiemHKII!$B$4:$B$58,0),INDEX($BG$14:$BK$27,MATCH(S$7,$BG$14:$BG$27,0),2))&lt;&gt;"",INDEX(BDHK2,MATCH($A58,DiemHKII!$B$4:$B$58,0),INDEX($BG$14:$BK$27,MATCH(S$7,$BG$14:$BG$27,0),3)),""),"")</f>
        <v/>
      </c>
      <c r="T58" s="47" t="str">
        <f>IF($A58&lt;&gt;"",IF(INDEX(BDHK2,MATCH($A58,DiemHKII!$B$4:$B$58,0),INDEX($BG$14:$BK$27,MATCH(S$7,$BG$14:$BG$27,0),2))&lt;&gt;"",INDEX(BDHK2,MATCH($A58,DiemHKII!$B$4:$B$58,0),INDEX($BG$14:$BK$27,MATCH(S$7,$BG$14:$BG$27,0),4)),""),"")</f>
        <v/>
      </c>
      <c r="U58" s="48" t="str">
        <f>IF($A58&lt;&gt;"",IF(INDEX(BDHK2,MATCH($A58,DiemHKII!$B$4:$B$58,0),INDEX($BG$14:$BK$27,MATCH(S$7,$BG$14:$BG$27,0),2))&lt;&gt;"",INDEX(BDHK2,MATCH($A58,DiemHKII!$B$4:$B$58,0),INDEX($BG$14:$BK$27,MATCH(S$7,$BG$14:$BG$27,0),5)),""),"")</f>
        <v/>
      </c>
      <c r="V58" s="46" t="str">
        <f>IF($A58&lt;&gt;"",IF(INDEX(BDHK2,MATCH($A58,DiemHKII!$B$4:$B$58,0),INDEX($BG$14:$BK$27,MATCH(V$7,$BG$14:$BG$27,0),2))&lt;&gt;"",INDEX(BDHK2,MATCH($A58,DiemHKII!$B$4:$B$58,0),INDEX($BG$14:$BK$27,MATCH(V$7,$BG$14:$BG$27,0),3)),""),"")</f>
        <v/>
      </c>
      <c r="W58" s="47" t="str">
        <f>IF($A58&lt;&gt;"",IF(INDEX(BDHK2,MATCH($A58,DiemHKII!$B$4:$B$58,0),INDEX($BG$14:$BK$27,MATCH(V$7,$BG$14:$BG$27,0),2))&lt;&gt;"",INDEX(BDHK2,MATCH($A58,DiemHKII!$B$4:$B$58,0),INDEX($BG$14:$BK$27,MATCH(V$7,$BG$14:$BG$27,0),4)),""),"")</f>
        <v/>
      </c>
      <c r="X58" s="48" t="str">
        <f>IF($A58&lt;&gt;"",IF(INDEX(BDHK2,MATCH($A58,DiemHKII!$B$4:$B$58,0),INDEX($BG$14:$BK$27,MATCH(V$7,$BG$14:$BG$27,0),2))&lt;&gt;"",INDEX(BDHK2,MATCH($A58,DiemHKII!$B$4:$B$58,0),INDEX($BG$14:$BK$27,MATCH(V$7,$BG$14:$BG$27,0),5)),""),"")</f>
        <v/>
      </c>
      <c r="Y58" s="46" t="str">
        <f>IF($A58&lt;&gt;"",IF(INDEX(BDHK2,MATCH($A58,DiemHKII!$B$4:$B$58,0),INDEX($BG$14:$BK$27,MATCH(Y$7,$BG$14:$BG$27,0),2))&lt;&gt;"",INDEX(BDHK2,MATCH($A58,DiemHKII!$B$4:$B$58,0),INDEX($BG$14:$BK$27,MATCH(Y$7,$BG$14:$BG$27,0),3)),""),"")</f>
        <v/>
      </c>
      <c r="Z58" s="47" t="str">
        <f>IF($A58&lt;&gt;"",IF(INDEX(BDHK2,MATCH($A58,DiemHKII!$B$4:$B$58,0),INDEX($BG$14:$BK$27,MATCH(Y$7,$BG$14:$BG$27,0),2))&lt;&gt;"",INDEX(BDHK2,MATCH($A58,DiemHKII!$B$4:$B$58,0),INDEX($BG$14:$BK$27,MATCH(Y$7,$BG$14:$BG$27,0),4)),""),"")</f>
        <v/>
      </c>
      <c r="AA58" s="48" t="str">
        <f>IF($A58&lt;&gt;"",IF(INDEX(BDHK2,MATCH($A58,DiemHKII!$B$4:$B$58,0),INDEX($BG$14:$BK$27,MATCH(Y$7,$BG$14:$BG$27,0),2))&lt;&gt;"",INDEX(BDHK2,MATCH($A58,DiemHKII!$B$4:$B$58,0),INDEX($BG$14:$BK$27,MATCH(Y$7,$BG$14:$BG$27,0),5)),""),"")</f>
        <v/>
      </c>
      <c r="AB58" s="46" t="str">
        <f>IF($A58&lt;&gt;"",IF(INDEX(BDHK2,MATCH($A58,DiemHKII!$B$4:$B$58,0),INDEX($BG$14:$BK$27,MATCH(AB$7,$BG$14:$BG$27,0),2))&lt;&gt;"",INDEX(BDHK2,MATCH($A58,DiemHKII!$B$4:$B$58,0),INDEX($BG$14:$BK$27,MATCH(AB$7,$BG$14:$BG$27,0),3)),""),"")</f>
        <v/>
      </c>
      <c r="AC58" s="47" t="str">
        <f>IF($A58&lt;&gt;"",IF(INDEX(BDHK2,MATCH($A58,DiemHKII!$B$4:$B$58,0),INDEX($BG$14:$BK$27,MATCH(AB$7,$BG$14:$BG$27,0),2))&lt;&gt;"",INDEX(BDHK2,MATCH($A58,DiemHKII!$B$4:$B$58,0),INDEX($BG$14:$BK$27,MATCH(AB$7,$BG$14:$BG$27,0),4)),""),"")</f>
        <v/>
      </c>
      <c r="AD58" s="48" t="str">
        <f>IF($A58&lt;&gt;"",IF(INDEX(BDHK2,MATCH($A58,DiemHKII!$B$4:$B$58,0),INDEX($BG$14:$BK$27,MATCH(AB$7,$BG$14:$BG$27,0),2))&lt;&gt;"",INDEX(BDHK2,MATCH($A58,DiemHKII!$B$4:$B$58,0),INDEX($BG$14:$BK$27,MATCH(AB$7,$BG$14:$BG$27,0),5)),""),"")</f>
        <v/>
      </c>
      <c r="AE58" s="46" t="str">
        <f>IF($A58&lt;&gt;"",IF(INDEX(BDHK2,MATCH($A58,DiemHKII!$B$4:$B$58,0),INDEX($BG$14:$BK$27,MATCH(AE$7,$BG$14:$BG$27,0),2))&lt;&gt;"",INDEX(BDHK2,MATCH($A58,DiemHKII!$B$4:$B$58,0),INDEX($BG$14:$BK$27,MATCH(AE$7,$BG$14:$BG$27,0),3)),""),"")</f>
        <v/>
      </c>
      <c r="AF58" s="47" t="str">
        <f>IF($A58&lt;&gt;"",IF(INDEX(BDHK2,MATCH($A58,DiemHKII!$B$4:$B$58,0),INDEX($BG$14:$BK$27,MATCH(AE$7,$BG$14:$BG$27,0),2))&lt;&gt;"",INDEX(BDHK2,MATCH($A58,DiemHKII!$B$4:$B$58,0),INDEX($BG$14:$BK$27,MATCH(AE$7,$BG$14:$BG$27,0),4)),""),"")</f>
        <v/>
      </c>
      <c r="AG58" s="48" t="str">
        <f>IF($A58&lt;&gt;"",IF(INDEX(BDHK2,MATCH($A58,DiemHKII!$B$4:$B$58,0),INDEX($BG$14:$BK$27,MATCH(AE$7,$BG$14:$BG$27,0),2))&lt;&gt;"",INDEX(BDHK2,MATCH($A58,DiemHKII!$B$4:$B$58,0),INDEX($BG$14:$BK$27,MATCH(AE$7,$BG$14:$BG$27,0),5)),""),"")</f>
        <v/>
      </c>
      <c r="AH58" s="46" t="str">
        <f>IF($A58&lt;&gt;"",IF(INDEX(BDHK2,MATCH($A58,DiemHKII!$B$4:$B$58,0),INDEX($BG$14:$BK$27,MATCH(AH$7,$BG$14:$BG$27,0),2))&lt;&gt;"",INDEX(BDHK2,MATCH($A58,DiemHKII!$B$4:$B$58,0),INDEX($BG$14:$BK$27,MATCH(AH$7,$BG$14:$BG$27,0),3)),""),"")</f>
        <v/>
      </c>
      <c r="AI58" s="47" t="str">
        <f>IF($A58&lt;&gt;"",IF(INDEX(BDHK2,MATCH($A58,DiemHKII!$B$4:$B$58,0),INDEX($BG$14:$BK$27,MATCH(AH$7,$BG$14:$BG$27,0),2))&lt;&gt;"",INDEX(BDHK2,MATCH($A58,DiemHKII!$B$4:$B$58,0),INDEX($BG$14:$BK$27,MATCH(AH$7,$BG$14:$BG$27,0),4)),""),"")</f>
        <v/>
      </c>
      <c r="AJ58" s="48" t="str">
        <f>IF($A58&lt;&gt;"",IF(INDEX(BDHK2,MATCH($A58,DiemHKII!$B$4:$B$58,0),INDEX($BG$14:$BK$27,MATCH(AH$7,$BG$14:$BG$27,0),2))&lt;&gt;"",INDEX(BDHK2,MATCH($A58,DiemHKII!$B$4:$B$58,0),INDEX($BG$14:$BK$27,MATCH(AH$7,$BG$14:$BG$27,0),5)),""),"")</f>
        <v/>
      </c>
      <c r="AK58" s="49" t="str">
        <f>IF($A58&lt;&gt;"",IF(INDEX(BDHK2,MATCH($A58,DiemHKII!$B$4:$B$58,0),INDEX($BG$14:$BK$27,MATCH(AK$7,$BG$14:$BG$27,0),2))&lt;&gt;"",INDEX(BDHK2,MATCH($A58,DiemHKII!$B$4:$B$58,0),INDEX($BG$14:$BK$27,MATCH(AK$7,$BG$14:$BG$27,0),3)),""),"")</f>
        <v/>
      </c>
      <c r="AL58" s="50" t="str">
        <f>IF($A58&lt;&gt;"",IF(INDEX(BDHK2,MATCH($A58,DiemHKII!$B$4:$B$58,0),INDEX($BG$14:$BK$27,MATCH(AK$7,$BG$14:$BG$27,0),2))&lt;&gt;"",INDEX(BDHK2,MATCH($A58,DiemHKII!$B$4:$B$58,0),INDEX($BG$14:$BK$27,MATCH(AK$7,$BG$14:$BG$27,0),4)),""),"")</f>
        <v/>
      </c>
      <c r="AM58" s="51" t="str">
        <f>IF($A58&lt;&gt;"",IF(INDEX(BDHK2,MATCH($A58,DiemHKII!$B$4:$B$58,0),INDEX($BG$14:$BK$27,MATCH(AK$7,$BG$14:$BG$27,0),2))&lt;&gt;"",INDEX(BDHK2,MATCH($A58,DiemHKII!$B$4:$B$58,0),INDEX($BG$14:$BK$27,MATCH(AK$7,$BG$14:$BG$27,0),5)),""),"")</f>
        <v/>
      </c>
      <c r="AN58" s="46" t="str">
        <f>IF($A58&lt;&gt;"",IF(INDEX(BDHK2,MATCH($A58,DiemHKII!$B$4:$B$58,0),INDEX($BG$14:$BK$27,MATCH(AN$7,$BG$14:$BG$27,0),2))&lt;&gt;"",INDEX(BDHK2,MATCH($A58,DiemHKII!$B$4:$B$58,0),INDEX($BG$14:$BK$27,MATCH(AN$7,$BG$14:$BG$27,0),3)),""),"")</f>
        <v/>
      </c>
      <c r="AO58" s="47" t="str">
        <f>IF($A58&lt;&gt;"",IF(INDEX(BDHK2,MATCH($A58,DiemHKII!$B$4:$B$58,0),INDEX($BG$14:$BK$27,MATCH(AN$7,$BG$14:$BG$27,0),2))&lt;&gt;"",INDEX(BDHK2,MATCH($A58,DiemHKII!$B$4:$B$58,0),INDEX($BG$14:$BK$27,MATCH(AN$7,$BG$14:$BG$27,0),4)),""),"")</f>
        <v/>
      </c>
      <c r="AP58" s="48" t="str">
        <f>IF($A58&lt;&gt;"",IF(INDEX(BDHK2,MATCH($A58,DiemHKII!$B$4:$B$58,0),INDEX($BG$14:$BK$27,MATCH(AN$7,$BG$14:$BG$27,0),2))&lt;&gt;"",INDEX(BDHK2,MATCH($A58,DiemHKII!$B$4:$B$58,0),INDEX($BG$14:$BK$27,MATCH(AN$7,$BG$14:$BG$27,0),5)),""),"")</f>
        <v/>
      </c>
      <c r="AQ58" s="46" t="str">
        <f>IF($A58&lt;&gt;"",IF(INDEX(BDHK2,MATCH($A58,DiemHKII!$B$4:$B$58,0),INDEX($BG$14:$BK$27,MATCH(AQ$7,$BG$14:$BG$27,0),2))&lt;&gt;"",INDEX(BDHK2,MATCH($A58,DiemHKII!$B$4:$B$58,0),INDEX($BG$14:$BK$27,MATCH(AQ$7,$BG$14:$BG$27,0),3)),""),"")</f>
        <v/>
      </c>
      <c r="AR58" s="47" t="str">
        <f>IF($A58&lt;&gt;"",IF(INDEX(BDHK2,MATCH($A58,DiemHKII!$B$4:$B$58,0),INDEX($BG$14:$BK$27,MATCH(AQ$7,$BG$14:$BG$27,0),2))&lt;&gt;"",INDEX(BDHK2,MATCH($A58,DiemHKII!$B$4:$B$58,0),INDEX($BG$14:$BK$27,MATCH(AQ$7,$BG$14:$BG$27,0),4)),""),"")</f>
        <v/>
      </c>
      <c r="AS58" s="48" t="str">
        <f>IF($A58&lt;&gt;"",IF(INDEX(BDHK2,MATCH($A58,DiemHKII!$B$4:$B$58,0),INDEX($BG$14:$BK$27,MATCH(AQ$7,$BG$14:$BG$27,0),2))&lt;&gt;"",INDEX(BDHK2,MATCH($A58,DiemHKII!$B$4:$B$58,0),INDEX($BG$14:$BK$27,MATCH(AQ$7,$BG$14:$BG$27,0),5)),""),"")</f>
        <v/>
      </c>
      <c r="AT58" s="46" t="str">
        <f>IFERROR(IF($A58&gt;=1,IF(INDEX(THHKI!$V$8:$Y$62,MATCH($BL58,THHKI!$AG$8:$AG$62,0),1)&lt;&gt;"",INDEX(THHKI!$V$8:$Y$62,MATCH($BL58,THHKI!$AG$8:$AG$62,0),1),""),""),"")</f>
        <v/>
      </c>
      <c r="AU58" s="47" t="str">
        <f>IF($A58&gt;=1,IF(INDEX(THHKII!$V$8:$Y$62,MATCH($BL58,THHKII!$AG$8:$AG$62,0),1)&lt;&gt;"",INDEX(THHKII!$V$8:$Y$62,MATCH($BL58,THHKII!$AG$8:$AG$62,0),1),""),"")</f>
        <v/>
      </c>
      <c r="AV58" s="52" t="str">
        <f>IF($A58&gt;=1,IF(INDEX(THCN!$V$8:$Y$62,MATCH($BL58,THCN!$AG$8:$AG$62,0),1)&lt;&gt;"",INDEX(THCN!$V$8:$Y$62,MATCH($BL58,THCN!$AG$8:$AG$62,0),1),""),"")</f>
        <v/>
      </c>
      <c r="AW58" s="53" t="str">
        <f>IFERROR(IF($A58&gt;=1,IF(INDEX(THHKI!$V$8:$Y$62,MATCH($BL58,THHKI!$AG$8:$AG$62,0),2)&lt;&gt;"",INDEX(THHKI!$V$8:$Y$62,MATCH($BL58,THHKI!$AG$8:$AG$62,0),2),""),""),"")</f>
        <v/>
      </c>
      <c r="AX58" s="50" t="str">
        <f>IF($A58&gt;=1,IF(INDEX(THHKII!$V$8:$Y$62,MATCH($BL58,THHKII!$AG$8:$AG$62,0),2)&lt;&gt;"",INDEX(THHKII!$V$8:$Y$62,MATCH($BL58,THHKII!$AG$8:$AG$62,0),2),""),"")</f>
        <v/>
      </c>
      <c r="AY58" s="54" t="str">
        <f>IF($A58&gt;=1,IF(INDEX(THCN!$V$8:$Y$62,MATCH($BL58,THCN!$AG$8:$AG$62,0),2)&lt;&gt;"",INDEX(THCN!$V$8:$Y$62,MATCH($BL58,THCN!$AG$8:$AG$62,0),2),""),"")</f>
        <v/>
      </c>
      <c r="AZ58" s="49" t="str">
        <f>IFERROR(IF($A58&gt;=1,IF(INDEX(THHKI!$V$8:$Y$62,MATCH($BL58,THHKI!$AG$8:$AG$62,0),3)&lt;&gt;"",INDEX(THHKI!$V$8:$Y$62,MATCH($BL58,THHKI!$AG$8:$AG$62,0),3),""),""),"")</f>
        <v/>
      </c>
      <c r="BA58" s="50" t="str">
        <f>IF($A58&gt;=1,IF(INDEX(THHKII!$V$8:$Y$62,MATCH($BL58,THHKII!$AG$8:$AG$62,0),3)&lt;&gt;"",INDEX(THHKII!$V$8:$Y$62,MATCH($BL58,THHKII!$AG$8:$AG$62,0),3),""),"")</f>
        <v/>
      </c>
      <c r="BB58" s="55" t="str">
        <f>IF($A58&gt;=1,IF(INDEX(THCN!$V$8:$Y$62,MATCH($BL58,THCN!$AG$8:$AG$62,0),3)&lt;&gt;"",INDEX(THCN!$V$8:$Y$62,MATCH($BL58,THCN!$AG$8:$AG$62,0),3),""),"")</f>
        <v/>
      </c>
      <c r="BC58" s="56" t="str">
        <f>IF($A58&gt;=1,IF(INDEX(THCN!$V$8:$Y$62,MATCH($BL58,THCN!$AG$8:$AG$62,0),4)&lt;&gt;"",INDEX(THCN!$V$8:$Y$62,MATCH($BL58,THCN!$AG$8:$AG$62,0),4),""),"")</f>
        <v/>
      </c>
      <c r="BE58" s="43" t="str">
        <f>IFERROR(IF($A58&gt;=1,IF(INDEX(THHKI!$V$8:$Y$62,MATCH($BL58,THHKI!$AG$8:$AG$62,0),4)&lt;&gt;"",INDEX(THHKI!$V$8:$Y$62,MATCH($BL58,THHKI!$AG$8:$AG$62,0),4),""),""),"")</f>
        <v/>
      </c>
      <c r="BF58" s="56" t="str">
        <f>IF($A58&gt;=1,IF(INDEX(THHKII!$V$8:$Y$62,MATCH($BL58,THHKII!$AG$8:$AG$62,0),4)&lt;&gt;"",INDEX(THHKII!$V$8:$Y$62,MATCH($BL58,THHKII!$AG$8:$AG$62,0),4),""),"")</f>
        <v/>
      </c>
      <c r="BL58" s="30" t="str">
        <f>IF($A58&lt;&gt;"",INDEX(DiemHKII!$B$4:$K$58,MATCH($A58,DiemHKII!$B$4:$B$58,0),2),"")</f>
        <v/>
      </c>
    </row>
    <row r="59" spans="1:64" s="30" customFormat="1" ht="29.1" hidden="1" customHeight="1">
      <c r="A59" s="16" t="str">
        <f>IF(A58&lt;MAX(DiemHKII!$B$4:$B$58),A58+1,"")</f>
        <v/>
      </c>
      <c r="B59" s="17" t="str">
        <f>IF($A59&lt;&gt;"",PROPER(INDEX(DiemHKII!$B$4:$K$58,MATCH($A59,DiemHKII!$B$4:$B$58,0),4)),"")</f>
        <v/>
      </c>
      <c r="C59" s="18" t="str">
        <f>IF($A59&lt;&gt;"",PROPER(INDEX(DiemHKII!$B$4:$K$58,MATCH($A59,DiemHKII!$B$4:$B$58,0),5)),"")</f>
        <v/>
      </c>
      <c r="D59" s="19" t="str">
        <f>IF($A59&lt;&gt;"",IF(INDEX(BDHK2,MATCH($A59,DiemHKII!$B$4:$B$58,0),INDEX($BG$14:$BK$27,MATCH(D$7,$BG$14:$BG$27,0),2))&lt;&gt;"",INDEX(BDHK2,MATCH($A59,DiemHKII!$B$4:$B$58,0),INDEX($BG$14:$BK$27,MATCH(D$7,$BG$14:$BG$27,0),3)),""),"")</f>
        <v/>
      </c>
      <c r="E59" s="20" t="str">
        <f>IF($A59&lt;&gt;"",IF(INDEX(BDHK2,MATCH($A59,DiemHKII!$B$4:$B$58,0),INDEX($BG$14:$BK$27,MATCH(D$7,$BG$14:$BG$27,0),2))&lt;&gt;"",INDEX(BDHK2,MATCH($A59,DiemHKII!$B$4:$B$58,0),INDEX($BG$14:$BK$27,MATCH(D$7,$BG$14:$BG$27,0),4)),""),"")</f>
        <v/>
      </c>
      <c r="F59" s="21" t="str">
        <f>IF($A59&lt;&gt;"",IF(INDEX(BDHK2,MATCH($A59,DiemHKII!$B$4:$B$58,0),INDEX($BG$14:$BK$27,MATCH(D$7,$BG$14:$BG$27,0),2))&lt;&gt;"",INDEX(BDHK2,MATCH($A59,DiemHKII!$B$4:$B$58,0),INDEX($BG$14:$BK$27,MATCH(D$7,$BG$14:$BG$27,0),5)),""),"")</f>
        <v/>
      </c>
      <c r="G59" s="19" t="str">
        <f>IF($A59&lt;&gt;"",IF(INDEX(BDHK2,MATCH($A59,DiemHKII!$B$4:$B$58,0),INDEX($BG$14:$BK$27,MATCH(G$7,$BG$14:$BG$27,0),2))&lt;&gt;"",INDEX(BDHK2,MATCH($A59,DiemHKII!$B$4:$B$58,0),INDEX($BG$14:$BK$27,MATCH(G$7,$BG$14:$BG$27,0),3)),""),"")</f>
        <v/>
      </c>
      <c r="H59" s="20" t="str">
        <f>IF($A59&lt;&gt;"",IF(INDEX(BDHK2,MATCH($A59,DiemHKII!$B$4:$B$58,0),INDEX($BG$14:$BK$27,MATCH(G$7,$BG$14:$BG$27,0),2))&lt;&gt;"",INDEX(BDHK2,MATCH($A59,DiemHKII!$B$4:$B$58,0),INDEX($BG$14:$BK$27,MATCH(G$7,$BG$14:$BG$27,0),4)),""),"")</f>
        <v/>
      </c>
      <c r="I59" s="21" t="str">
        <f>IF($A59&lt;&gt;"",IF(INDEX(BDHK2,MATCH($A59,DiemHKII!$B$4:$B$58,0),INDEX($BG$14:$BK$27,MATCH(G$7,$BG$14:$BG$27,0),2))&lt;&gt;"",INDEX(BDHK2,MATCH($A59,DiemHKII!$B$4:$B$58,0),INDEX($BG$14:$BK$27,MATCH(G$7,$BG$14:$BG$27,0),5)),""),"")</f>
        <v/>
      </c>
      <c r="J59" s="19" t="str">
        <f>IF($A59&lt;&gt;"",IF(INDEX(BDHK2,MATCH($A59,DiemHKII!$B$4:$B$58,0),INDEX($BG$14:$BK$27,MATCH(J$7,$BG$14:$BG$27,0),2))&lt;&gt;"",INDEX(BDHK2,MATCH($A59,DiemHKII!$B$4:$B$58,0),INDEX($BG$14:$BK$27,MATCH(J$7,$BG$14:$BG$27,0),3)),""),"")</f>
        <v/>
      </c>
      <c r="K59" s="20" t="str">
        <f>IF($A59&lt;&gt;"",IF(INDEX(BDHK2,MATCH($A59,DiemHKII!$B$4:$B$58,0),INDEX($BG$14:$BK$27,MATCH(J$7,$BG$14:$BG$27,0),2))&lt;&gt;"",INDEX(BDHK2,MATCH($A59,DiemHKII!$B$4:$B$58,0),INDEX($BG$14:$BK$27,MATCH(J$7,$BG$14:$BG$27,0),4)),""),"")</f>
        <v/>
      </c>
      <c r="L59" s="21" t="str">
        <f>IF($A59&lt;&gt;"",IF(INDEX(BDHK2,MATCH($A59,DiemHKII!$B$4:$B$58,0),INDEX($BG$14:$BK$27,MATCH(J$7,$BG$14:$BG$27,0),2))&lt;&gt;"",INDEX(BDHK2,MATCH($A59,DiemHKII!$B$4:$B$58,0),INDEX($BG$14:$BK$27,MATCH(J$7,$BG$14:$BG$27,0),5)),""),"")</f>
        <v/>
      </c>
      <c r="M59" s="19" t="str">
        <f>IF($A59&lt;&gt;"",IF(INDEX(BDHK2,MATCH($A59,DiemHKII!$B$4:$B$58,0),INDEX($BG$14:$BK$27,MATCH(M$7,$BG$14:$BG$27,0),2))&lt;&gt;"",INDEX(BDHK2,MATCH($A59,DiemHKII!$B$4:$B$58,0),INDEX($BG$14:$BK$27,MATCH(M$7,$BG$14:$BG$27,0),3)),""),"")</f>
        <v/>
      </c>
      <c r="N59" s="20" t="str">
        <f>IF($A59&lt;&gt;"",IF(INDEX(BDHK2,MATCH($A59,DiemHKII!$B$4:$B$58,0),INDEX($BG$14:$BK$27,MATCH(M$7,$BG$14:$BG$27,0),2))&lt;&gt;"",INDEX(BDHK2,MATCH($A59,DiemHKII!$B$4:$B$58,0),INDEX($BG$14:$BK$27,MATCH(M$7,$BG$14:$BG$27,0),4)),""),"")</f>
        <v/>
      </c>
      <c r="O59" s="21" t="str">
        <f>IF($A59&lt;&gt;"",IF(INDEX(BDHK2,MATCH($A59,DiemHKII!$B$4:$B$58,0),INDEX($BG$14:$BK$27,MATCH(M$7,$BG$14:$BG$27,0),2))&lt;&gt;"",INDEX(BDHK2,MATCH($A59,DiemHKII!$B$4:$B$58,0),INDEX($BG$14:$BK$27,MATCH(M$7,$BG$14:$BG$27,0),5)),""),"")</f>
        <v/>
      </c>
      <c r="P59" s="19" t="str">
        <f>IF($A59&lt;&gt;"",IF(INDEX(BDHK2,MATCH($A59,DiemHKII!$B$4:$B$58,0),INDEX($BG$14:$BK$27,MATCH(P$7,$BG$14:$BG$27,0),2))&lt;&gt;"",INDEX(BDHK2,MATCH($A59,DiemHKII!$B$4:$B$58,0),INDEX($BG$14:$BK$27,MATCH(P$7,$BG$14:$BG$27,0),3)),""),"")</f>
        <v/>
      </c>
      <c r="Q59" s="20" t="str">
        <f>IF($A59&lt;&gt;"",IF(INDEX(BDHK2,MATCH($A59,DiemHKII!$B$4:$B$58,0),INDEX($BG$14:$BK$27,MATCH(P$7,$BG$14:$BG$27,0),2))&lt;&gt;"",INDEX(BDHK2,MATCH($A59,DiemHKII!$B$4:$B$58,0),INDEX($BG$14:$BK$27,MATCH(P$7,$BG$14:$BG$27,0),4)),""),"")</f>
        <v/>
      </c>
      <c r="R59" s="21" t="str">
        <f>IF($A59&lt;&gt;"",IF(INDEX(BDHK2,MATCH($A59,DiemHKII!$B$4:$B$58,0),INDEX($BG$14:$BK$27,MATCH(P$7,$BG$14:$BG$27,0),2))&lt;&gt;"",INDEX(BDHK2,MATCH($A59,DiemHKII!$B$4:$B$58,0),INDEX($BG$14:$BK$27,MATCH(P$7,$BG$14:$BG$27,0),5)),""),"")</f>
        <v/>
      </c>
      <c r="S59" s="19" t="str">
        <f>IF($A59&lt;&gt;"",IF(INDEX(BDHK2,MATCH($A59,DiemHKII!$B$4:$B$58,0),INDEX($BG$14:$BK$27,MATCH(S$7,$BG$14:$BG$27,0),2))&lt;&gt;"",INDEX(BDHK2,MATCH($A59,DiemHKII!$B$4:$B$58,0),INDEX($BG$14:$BK$27,MATCH(S$7,$BG$14:$BG$27,0),3)),""),"")</f>
        <v/>
      </c>
      <c r="T59" s="20" t="str">
        <f>IF($A59&lt;&gt;"",IF(INDEX(BDHK2,MATCH($A59,DiemHKII!$B$4:$B$58,0),INDEX($BG$14:$BK$27,MATCH(S$7,$BG$14:$BG$27,0),2))&lt;&gt;"",INDEX(BDHK2,MATCH($A59,DiemHKII!$B$4:$B$58,0),INDEX($BG$14:$BK$27,MATCH(S$7,$BG$14:$BG$27,0),4)),""),"")</f>
        <v/>
      </c>
      <c r="U59" s="21" t="str">
        <f>IF($A59&lt;&gt;"",IF(INDEX(BDHK2,MATCH($A59,DiemHKII!$B$4:$B$58,0),INDEX($BG$14:$BK$27,MATCH(S$7,$BG$14:$BG$27,0),2))&lt;&gt;"",INDEX(BDHK2,MATCH($A59,DiemHKII!$B$4:$B$58,0),INDEX($BG$14:$BK$27,MATCH(S$7,$BG$14:$BG$27,0),5)),""),"")</f>
        <v/>
      </c>
      <c r="V59" s="19" t="str">
        <f>IF($A59&lt;&gt;"",IF(INDEX(BDHK2,MATCH($A59,DiemHKII!$B$4:$B$58,0),INDEX($BG$14:$BK$27,MATCH(V$7,$BG$14:$BG$27,0),2))&lt;&gt;"",INDEX(BDHK2,MATCH($A59,DiemHKII!$B$4:$B$58,0),INDEX($BG$14:$BK$27,MATCH(V$7,$BG$14:$BG$27,0),3)),""),"")</f>
        <v/>
      </c>
      <c r="W59" s="20" t="str">
        <f>IF($A59&lt;&gt;"",IF(INDEX(BDHK2,MATCH($A59,DiemHKII!$B$4:$B$58,0),INDEX($BG$14:$BK$27,MATCH(V$7,$BG$14:$BG$27,0),2))&lt;&gt;"",INDEX(BDHK2,MATCH($A59,DiemHKII!$B$4:$B$58,0),INDEX($BG$14:$BK$27,MATCH(V$7,$BG$14:$BG$27,0),4)),""),"")</f>
        <v/>
      </c>
      <c r="X59" s="21" t="str">
        <f>IF($A59&lt;&gt;"",IF(INDEX(BDHK2,MATCH($A59,DiemHKII!$B$4:$B$58,0),INDEX($BG$14:$BK$27,MATCH(V$7,$BG$14:$BG$27,0),2))&lt;&gt;"",INDEX(BDHK2,MATCH($A59,DiemHKII!$B$4:$B$58,0),INDEX($BG$14:$BK$27,MATCH(V$7,$BG$14:$BG$27,0),5)),""),"")</f>
        <v/>
      </c>
      <c r="Y59" s="19" t="str">
        <f>IF($A59&lt;&gt;"",IF(INDEX(BDHK2,MATCH($A59,DiemHKII!$B$4:$B$58,0),INDEX($BG$14:$BK$27,MATCH(Y$7,$BG$14:$BG$27,0),2))&lt;&gt;"",INDEX(BDHK2,MATCH($A59,DiemHKII!$B$4:$B$58,0),INDEX($BG$14:$BK$27,MATCH(Y$7,$BG$14:$BG$27,0),3)),""),"")</f>
        <v/>
      </c>
      <c r="Z59" s="20" t="str">
        <f>IF($A59&lt;&gt;"",IF(INDEX(BDHK2,MATCH($A59,DiemHKII!$B$4:$B$58,0),INDEX($BG$14:$BK$27,MATCH(Y$7,$BG$14:$BG$27,0),2))&lt;&gt;"",INDEX(BDHK2,MATCH($A59,DiemHKII!$B$4:$B$58,0),INDEX($BG$14:$BK$27,MATCH(Y$7,$BG$14:$BG$27,0),4)),""),"")</f>
        <v/>
      </c>
      <c r="AA59" s="21" t="str">
        <f>IF($A59&lt;&gt;"",IF(INDEX(BDHK2,MATCH($A59,DiemHKII!$B$4:$B$58,0),INDEX($BG$14:$BK$27,MATCH(Y$7,$BG$14:$BG$27,0),2))&lt;&gt;"",INDEX(BDHK2,MATCH($A59,DiemHKII!$B$4:$B$58,0),INDEX($BG$14:$BK$27,MATCH(Y$7,$BG$14:$BG$27,0),5)),""),"")</f>
        <v/>
      </c>
      <c r="AB59" s="19" t="str">
        <f>IF($A59&lt;&gt;"",IF(INDEX(BDHK2,MATCH($A59,DiemHKII!$B$4:$B$58,0),INDEX($BG$14:$BK$27,MATCH(AB$7,$BG$14:$BG$27,0),2))&lt;&gt;"",INDEX(BDHK2,MATCH($A59,DiemHKII!$B$4:$B$58,0),INDEX($BG$14:$BK$27,MATCH(AB$7,$BG$14:$BG$27,0),3)),""),"")</f>
        <v/>
      </c>
      <c r="AC59" s="20" t="str">
        <f>IF($A59&lt;&gt;"",IF(INDEX(BDHK2,MATCH($A59,DiemHKII!$B$4:$B$58,0),INDEX($BG$14:$BK$27,MATCH(AB$7,$BG$14:$BG$27,0),2))&lt;&gt;"",INDEX(BDHK2,MATCH($A59,DiemHKII!$B$4:$B$58,0),INDEX($BG$14:$BK$27,MATCH(AB$7,$BG$14:$BG$27,0),4)),""),"")</f>
        <v/>
      </c>
      <c r="AD59" s="21" t="str">
        <f>IF($A59&lt;&gt;"",IF(INDEX(BDHK2,MATCH($A59,DiemHKII!$B$4:$B$58,0),INDEX($BG$14:$BK$27,MATCH(AB$7,$BG$14:$BG$27,0),2))&lt;&gt;"",INDEX(BDHK2,MATCH($A59,DiemHKII!$B$4:$B$58,0),INDEX($BG$14:$BK$27,MATCH(AB$7,$BG$14:$BG$27,0),5)),""),"")</f>
        <v/>
      </c>
      <c r="AE59" s="19" t="str">
        <f>IF($A59&lt;&gt;"",IF(INDEX(BDHK2,MATCH($A59,DiemHKII!$B$4:$B$58,0),INDEX($BG$14:$BK$27,MATCH(AE$7,$BG$14:$BG$27,0),2))&lt;&gt;"",INDEX(BDHK2,MATCH($A59,DiemHKII!$B$4:$B$58,0),INDEX($BG$14:$BK$27,MATCH(AE$7,$BG$14:$BG$27,0),3)),""),"")</f>
        <v/>
      </c>
      <c r="AF59" s="20" t="str">
        <f>IF($A59&lt;&gt;"",IF(INDEX(BDHK2,MATCH($A59,DiemHKII!$B$4:$B$58,0),INDEX($BG$14:$BK$27,MATCH(AE$7,$BG$14:$BG$27,0),2))&lt;&gt;"",INDEX(BDHK2,MATCH($A59,DiemHKII!$B$4:$B$58,0),INDEX($BG$14:$BK$27,MATCH(AE$7,$BG$14:$BG$27,0),4)),""),"")</f>
        <v/>
      </c>
      <c r="AG59" s="21" t="str">
        <f>IF($A59&lt;&gt;"",IF(INDEX(BDHK2,MATCH($A59,DiemHKII!$B$4:$B$58,0),INDEX($BG$14:$BK$27,MATCH(AE$7,$BG$14:$BG$27,0),2))&lt;&gt;"",INDEX(BDHK2,MATCH($A59,DiemHKII!$B$4:$B$58,0),INDEX($BG$14:$BK$27,MATCH(AE$7,$BG$14:$BG$27,0),5)),""),"")</f>
        <v/>
      </c>
      <c r="AH59" s="19" t="str">
        <f>IF($A59&lt;&gt;"",IF(INDEX(BDHK2,MATCH($A59,DiemHKII!$B$4:$B$58,0),INDEX($BG$14:$BK$27,MATCH(AH$7,$BG$14:$BG$27,0),2))&lt;&gt;"",INDEX(BDHK2,MATCH($A59,DiemHKII!$B$4:$B$58,0),INDEX($BG$14:$BK$27,MATCH(AH$7,$BG$14:$BG$27,0),3)),""),"")</f>
        <v/>
      </c>
      <c r="AI59" s="20" t="str">
        <f>IF($A59&lt;&gt;"",IF(INDEX(BDHK2,MATCH($A59,DiemHKII!$B$4:$B$58,0),INDEX($BG$14:$BK$27,MATCH(AH$7,$BG$14:$BG$27,0),2))&lt;&gt;"",INDEX(BDHK2,MATCH($A59,DiemHKII!$B$4:$B$58,0),INDEX($BG$14:$BK$27,MATCH(AH$7,$BG$14:$BG$27,0),4)),""),"")</f>
        <v/>
      </c>
      <c r="AJ59" s="21" t="str">
        <f>IF($A59&lt;&gt;"",IF(INDEX(BDHK2,MATCH($A59,DiemHKII!$B$4:$B$58,0),INDEX($BG$14:$BK$27,MATCH(AH$7,$BG$14:$BG$27,0),2))&lt;&gt;"",INDEX(BDHK2,MATCH($A59,DiemHKII!$B$4:$B$58,0),INDEX($BG$14:$BK$27,MATCH(AH$7,$BG$14:$BG$27,0),5)),""),"")</f>
        <v/>
      </c>
      <c r="AK59" s="22" t="str">
        <f>IF($A59&lt;&gt;"",IF(INDEX(BDHK2,MATCH($A59,DiemHKII!$B$4:$B$58,0),INDEX($BG$14:$BK$27,MATCH(AK$7,$BG$14:$BG$27,0),2))&lt;&gt;"",INDEX(BDHK2,MATCH($A59,DiemHKII!$B$4:$B$58,0),INDEX($BG$14:$BK$27,MATCH(AK$7,$BG$14:$BG$27,0),3)),""),"")</f>
        <v/>
      </c>
      <c r="AL59" s="23" t="str">
        <f>IF($A59&lt;&gt;"",IF(INDEX(BDHK2,MATCH($A59,DiemHKII!$B$4:$B$58,0),INDEX($BG$14:$BK$27,MATCH(AK$7,$BG$14:$BG$27,0),2))&lt;&gt;"",INDEX(BDHK2,MATCH($A59,DiemHKII!$B$4:$B$58,0),INDEX($BG$14:$BK$27,MATCH(AK$7,$BG$14:$BG$27,0),4)),""),"")</f>
        <v/>
      </c>
      <c r="AM59" s="24" t="str">
        <f>IF($A59&lt;&gt;"",IF(INDEX(BDHK2,MATCH($A59,DiemHKII!$B$4:$B$58,0),INDEX($BG$14:$BK$27,MATCH(AK$7,$BG$14:$BG$27,0),2))&lt;&gt;"",INDEX(BDHK2,MATCH($A59,DiemHKII!$B$4:$B$58,0),INDEX($BG$14:$BK$27,MATCH(AK$7,$BG$14:$BG$27,0),5)),""),"")</f>
        <v/>
      </c>
      <c r="AN59" s="19" t="str">
        <f>IF($A59&lt;&gt;"",IF(INDEX(BDHK2,MATCH($A59,DiemHKII!$B$4:$B$58,0),INDEX($BG$14:$BK$27,MATCH(AN$7,$BG$14:$BG$27,0),2))&lt;&gt;"",INDEX(BDHK2,MATCH($A59,DiemHKII!$B$4:$B$58,0),INDEX($BG$14:$BK$27,MATCH(AN$7,$BG$14:$BG$27,0),3)),""),"")</f>
        <v/>
      </c>
      <c r="AO59" s="20" t="str">
        <f>IF($A59&lt;&gt;"",IF(INDEX(BDHK2,MATCH($A59,DiemHKII!$B$4:$B$58,0),INDEX($BG$14:$BK$27,MATCH(AN$7,$BG$14:$BG$27,0),2))&lt;&gt;"",INDEX(BDHK2,MATCH($A59,DiemHKII!$B$4:$B$58,0),INDEX($BG$14:$BK$27,MATCH(AN$7,$BG$14:$BG$27,0),4)),""),"")</f>
        <v/>
      </c>
      <c r="AP59" s="21" t="str">
        <f>IF($A59&lt;&gt;"",IF(INDEX(BDHK2,MATCH($A59,DiemHKII!$B$4:$B$58,0),INDEX($BG$14:$BK$27,MATCH(AN$7,$BG$14:$BG$27,0),2))&lt;&gt;"",INDEX(BDHK2,MATCH($A59,DiemHKII!$B$4:$B$58,0),INDEX($BG$14:$BK$27,MATCH(AN$7,$BG$14:$BG$27,0),5)),""),"")</f>
        <v/>
      </c>
      <c r="AQ59" s="19" t="str">
        <f>IF($A59&lt;&gt;"",IF(INDEX(BDHK2,MATCH($A59,DiemHKII!$B$4:$B$58,0),INDEX($BG$14:$BK$27,MATCH(AQ$7,$BG$14:$BG$27,0),2))&lt;&gt;"",INDEX(BDHK2,MATCH($A59,DiemHKII!$B$4:$B$58,0),INDEX($BG$14:$BK$27,MATCH(AQ$7,$BG$14:$BG$27,0),3)),""),"")</f>
        <v/>
      </c>
      <c r="AR59" s="20" t="str">
        <f>IF($A59&lt;&gt;"",IF(INDEX(BDHK2,MATCH($A59,DiemHKII!$B$4:$B$58,0),INDEX($BG$14:$BK$27,MATCH(AQ$7,$BG$14:$BG$27,0),2))&lt;&gt;"",INDEX(BDHK2,MATCH($A59,DiemHKII!$B$4:$B$58,0),INDEX($BG$14:$BK$27,MATCH(AQ$7,$BG$14:$BG$27,0),4)),""),"")</f>
        <v/>
      </c>
      <c r="AS59" s="21" t="str">
        <f>IF($A59&lt;&gt;"",IF(INDEX(BDHK2,MATCH($A59,DiemHKII!$B$4:$B$58,0),INDEX($BG$14:$BK$27,MATCH(AQ$7,$BG$14:$BG$27,0),2))&lt;&gt;"",INDEX(BDHK2,MATCH($A59,DiemHKII!$B$4:$B$58,0),INDEX($BG$14:$BK$27,MATCH(AQ$7,$BG$14:$BG$27,0),5)),""),"")</f>
        <v/>
      </c>
      <c r="AT59" s="19" t="str">
        <f>IFERROR(IF($A59&gt;=1,IF(INDEX(THHKI!$V$8:$Y$62,MATCH($BL59,THHKI!$AG$8:$AG$62,0),1)&lt;&gt;"",INDEX(THHKI!$V$8:$Y$62,MATCH($BL59,THHKI!$AG$8:$AG$62,0),1),""),""),"")</f>
        <v/>
      </c>
      <c r="AU59" s="20" t="str">
        <f>IF($A59&gt;=1,IF(INDEX(THHKII!$V$8:$Y$62,MATCH($BL59,THHKII!$AG$8:$AG$62,0),1)&lt;&gt;"",INDEX(THHKII!$V$8:$Y$62,MATCH($BL59,THHKII!$AG$8:$AG$62,0),1),""),"")</f>
        <v/>
      </c>
      <c r="AV59" s="25" t="str">
        <f>IF($A59&gt;=1,IF(INDEX(THCN!$V$8:$Y$62,MATCH($BL59,THCN!$AG$8:$AG$62,0),1)&lt;&gt;"",INDEX(THCN!$V$8:$Y$62,MATCH($BL59,THCN!$AG$8:$AG$62,0),1),""),"")</f>
        <v/>
      </c>
      <c r="AW59" s="26" t="str">
        <f>IFERROR(IF($A59&gt;=1,IF(INDEX(THHKI!$V$8:$Y$62,MATCH($BL59,THHKI!$AG$8:$AG$62,0),2)&lt;&gt;"",INDEX(THHKI!$V$8:$Y$62,MATCH($BL59,THHKI!$AG$8:$AG$62,0),2),""),""),"")</f>
        <v/>
      </c>
      <c r="AX59" s="23" t="str">
        <f>IF($A59&gt;=1,IF(INDEX(THHKII!$V$8:$Y$62,MATCH($BL59,THHKII!$AG$8:$AG$62,0),2)&lt;&gt;"",INDEX(THHKII!$V$8:$Y$62,MATCH($BL59,THHKII!$AG$8:$AG$62,0),2),""),"")</f>
        <v/>
      </c>
      <c r="AY59" s="27" t="str">
        <f>IF($A59&gt;=1,IF(INDEX(THCN!$V$8:$Y$62,MATCH($BL59,THCN!$AG$8:$AG$62,0),2)&lt;&gt;"",INDEX(THCN!$V$8:$Y$62,MATCH($BL59,THCN!$AG$8:$AG$62,0),2),""),"")</f>
        <v/>
      </c>
      <c r="AZ59" s="22" t="str">
        <f>IFERROR(IF($A59&gt;=1,IF(INDEX(THHKI!$V$8:$Y$62,MATCH($BL59,THHKI!$AG$8:$AG$62,0),3)&lt;&gt;"",INDEX(THHKI!$V$8:$Y$62,MATCH($BL59,THHKI!$AG$8:$AG$62,0),3),""),""),"")</f>
        <v/>
      </c>
      <c r="BA59" s="23" t="str">
        <f>IF($A59&gt;=1,IF(INDEX(THHKII!$V$8:$Y$62,MATCH($BL59,THHKII!$AG$8:$AG$62,0),3)&lt;&gt;"",INDEX(THHKII!$V$8:$Y$62,MATCH($BL59,THHKII!$AG$8:$AG$62,0),3),""),"")</f>
        <v/>
      </c>
      <c r="BB59" s="28" t="str">
        <f>IF($A59&gt;=1,IF(INDEX(THCN!$V$8:$Y$62,MATCH($BL59,THCN!$AG$8:$AG$62,0),3)&lt;&gt;"",INDEX(THCN!$V$8:$Y$62,MATCH($BL59,THCN!$AG$8:$AG$62,0),3),""),"")</f>
        <v/>
      </c>
      <c r="BC59" s="29" t="str">
        <f>IF($A59&gt;=1,IF(INDEX(THCN!$V$8:$Y$62,MATCH($BL59,THCN!$AG$8:$AG$62,0),4)&lt;&gt;"",INDEX(THCN!$V$8:$Y$62,MATCH($BL59,THCN!$AG$8:$AG$62,0),4),""),"")</f>
        <v/>
      </c>
      <c r="BE59" s="16" t="str">
        <f>IFERROR(IF($A59&gt;=1,IF(INDEX(THHKI!$V$8:$Y$62,MATCH($BL59,THHKI!$AG$8:$AG$62,0),4)&lt;&gt;"",INDEX(THHKI!$V$8:$Y$62,MATCH($BL59,THHKI!$AG$8:$AG$62,0),4),""),""),"")</f>
        <v/>
      </c>
      <c r="BF59" s="29" t="str">
        <f>IF($A59&gt;=1,IF(INDEX(THHKII!$V$8:$Y$62,MATCH($BL59,THHKII!$AG$8:$AG$62,0),4)&lt;&gt;"",INDEX(THHKII!$V$8:$Y$62,MATCH($BL59,THHKII!$AG$8:$AG$62,0),4),""),"")</f>
        <v/>
      </c>
      <c r="BL59" s="30" t="str">
        <f>IF($A59&lt;&gt;"",INDEX(DiemHKII!$B$4:$K$58,MATCH($A59,DiemHKII!$B$4:$B$58,0),2),"")</f>
        <v/>
      </c>
    </row>
    <row r="60" spans="1:64" s="30" customFormat="1" ht="29.1" hidden="1" customHeight="1">
      <c r="A60" s="31" t="str">
        <f>IF(A59&lt;MAX(DiemHKII!$B$4:$B$58),A59+1,"")</f>
        <v/>
      </c>
      <c r="B60" s="32" t="str">
        <f>IF($A60&lt;&gt;"",PROPER(INDEX(DiemHKII!$B$4:$K$58,MATCH($A60,DiemHKII!$B$4:$B$58,0),4)),"")</f>
        <v/>
      </c>
      <c r="C60" s="33" t="str">
        <f>IF($A60&lt;&gt;"",PROPER(INDEX(DiemHKII!$B$4:$K$58,MATCH($A60,DiemHKII!$B$4:$B$58,0),5)),"")</f>
        <v/>
      </c>
      <c r="D60" s="34" t="str">
        <f>IF($A60&lt;&gt;"",IF(INDEX(BDHK2,MATCH($A60,DiemHKII!$B$4:$B$58,0),INDEX($BG$14:$BK$27,MATCH(D$7,$BG$14:$BG$27,0),2))&lt;&gt;"",INDEX(BDHK2,MATCH($A60,DiemHKII!$B$4:$B$58,0),INDEX($BG$14:$BK$27,MATCH(D$7,$BG$14:$BG$27,0),3)),""),"")</f>
        <v/>
      </c>
      <c r="E60" s="35" t="str">
        <f>IF($A60&lt;&gt;"",IF(INDEX(BDHK2,MATCH($A60,DiemHKII!$B$4:$B$58,0),INDEX($BG$14:$BK$27,MATCH(D$7,$BG$14:$BG$27,0),2))&lt;&gt;"",INDEX(BDHK2,MATCH($A60,DiemHKII!$B$4:$B$58,0),INDEX($BG$14:$BK$27,MATCH(D$7,$BG$14:$BG$27,0),4)),""),"")</f>
        <v/>
      </c>
      <c r="F60" s="36" t="str">
        <f>IF($A60&lt;&gt;"",IF(INDEX(BDHK2,MATCH($A60,DiemHKII!$B$4:$B$58,0),INDEX($BG$14:$BK$27,MATCH(D$7,$BG$14:$BG$27,0),2))&lt;&gt;"",INDEX(BDHK2,MATCH($A60,DiemHKII!$B$4:$B$58,0),INDEX($BG$14:$BK$27,MATCH(D$7,$BG$14:$BG$27,0),5)),""),"")</f>
        <v/>
      </c>
      <c r="G60" s="34" t="str">
        <f>IF($A60&lt;&gt;"",IF(INDEX(BDHK2,MATCH($A60,DiemHKII!$B$4:$B$58,0),INDEX($BG$14:$BK$27,MATCH(G$7,$BG$14:$BG$27,0),2))&lt;&gt;"",INDEX(BDHK2,MATCH($A60,DiemHKII!$B$4:$B$58,0),INDEX($BG$14:$BK$27,MATCH(G$7,$BG$14:$BG$27,0),3)),""),"")</f>
        <v/>
      </c>
      <c r="H60" s="35" t="str">
        <f>IF($A60&lt;&gt;"",IF(INDEX(BDHK2,MATCH($A60,DiemHKII!$B$4:$B$58,0),INDEX($BG$14:$BK$27,MATCH(G$7,$BG$14:$BG$27,0),2))&lt;&gt;"",INDEX(BDHK2,MATCH($A60,DiemHKII!$B$4:$B$58,0),INDEX($BG$14:$BK$27,MATCH(G$7,$BG$14:$BG$27,0),4)),""),"")</f>
        <v/>
      </c>
      <c r="I60" s="36" t="str">
        <f>IF($A60&lt;&gt;"",IF(INDEX(BDHK2,MATCH($A60,DiemHKII!$B$4:$B$58,0),INDEX($BG$14:$BK$27,MATCH(G$7,$BG$14:$BG$27,0),2))&lt;&gt;"",INDEX(BDHK2,MATCH($A60,DiemHKII!$B$4:$B$58,0),INDEX($BG$14:$BK$27,MATCH(G$7,$BG$14:$BG$27,0),5)),""),"")</f>
        <v/>
      </c>
      <c r="J60" s="34" t="str">
        <f>IF($A60&lt;&gt;"",IF(INDEX(BDHK2,MATCH($A60,DiemHKII!$B$4:$B$58,0),INDEX($BG$14:$BK$27,MATCH(J$7,$BG$14:$BG$27,0),2))&lt;&gt;"",INDEX(BDHK2,MATCH($A60,DiemHKII!$B$4:$B$58,0),INDEX($BG$14:$BK$27,MATCH(J$7,$BG$14:$BG$27,0),3)),""),"")</f>
        <v/>
      </c>
      <c r="K60" s="35" t="str">
        <f>IF($A60&lt;&gt;"",IF(INDEX(BDHK2,MATCH($A60,DiemHKII!$B$4:$B$58,0),INDEX($BG$14:$BK$27,MATCH(J$7,$BG$14:$BG$27,0),2))&lt;&gt;"",INDEX(BDHK2,MATCH($A60,DiemHKII!$B$4:$B$58,0),INDEX($BG$14:$BK$27,MATCH(J$7,$BG$14:$BG$27,0),4)),""),"")</f>
        <v/>
      </c>
      <c r="L60" s="36" t="str">
        <f>IF($A60&lt;&gt;"",IF(INDEX(BDHK2,MATCH($A60,DiemHKII!$B$4:$B$58,0),INDEX($BG$14:$BK$27,MATCH(J$7,$BG$14:$BG$27,0),2))&lt;&gt;"",INDEX(BDHK2,MATCH($A60,DiemHKII!$B$4:$B$58,0),INDEX($BG$14:$BK$27,MATCH(J$7,$BG$14:$BG$27,0),5)),""),"")</f>
        <v/>
      </c>
      <c r="M60" s="34" t="str">
        <f>IF($A60&lt;&gt;"",IF(INDEX(BDHK2,MATCH($A60,DiemHKII!$B$4:$B$58,0),INDEX($BG$14:$BK$27,MATCH(M$7,$BG$14:$BG$27,0),2))&lt;&gt;"",INDEX(BDHK2,MATCH($A60,DiemHKII!$B$4:$B$58,0),INDEX($BG$14:$BK$27,MATCH(M$7,$BG$14:$BG$27,0),3)),""),"")</f>
        <v/>
      </c>
      <c r="N60" s="35" t="str">
        <f>IF($A60&lt;&gt;"",IF(INDEX(BDHK2,MATCH($A60,DiemHKII!$B$4:$B$58,0),INDEX($BG$14:$BK$27,MATCH(M$7,$BG$14:$BG$27,0),2))&lt;&gt;"",INDEX(BDHK2,MATCH($A60,DiemHKII!$B$4:$B$58,0),INDEX($BG$14:$BK$27,MATCH(M$7,$BG$14:$BG$27,0),4)),""),"")</f>
        <v/>
      </c>
      <c r="O60" s="36" t="str">
        <f>IF($A60&lt;&gt;"",IF(INDEX(BDHK2,MATCH($A60,DiemHKII!$B$4:$B$58,0),INDEX($BG$14:$BK$27,MATCH(M$7,$BG$14:$BG$27,0),2))&lt;&gt;"",INDEX(BDHK2,MATCH($A60,DiemHKII!$B$4:$B$58,0),INDEX($BG$14:$BK$27,MATCH(M$7,$BG$14:$BG$27,0),5)),""),"")</f>
        <v/>
      </c>
      <c r="P60" s="34" t="str">
        <f>IF($A60&lt;&gt;"",IF(INDEX(BDHK2,MATCH($A60,DiemHKII!$B$4:$B$58,0),INDEX($BG$14:$BK$27,MATCH(P$7,$BG$14:$BG$27,0),2))&lt;&gt;"",INDEX(BDHK2,MATCH($A60,DiemHKII!$B$4:$B$58,0),INDEX($BG$14:$BK$27,MATCH(P$7,$BG$14:$BG$27,0),3)),""),"")</f>
        <v/>
      </c>
      <c r="Q60" s="35" t="str">
        <f>IF($A60&lt;&gt;"",IF(INDEX(BDHK2,MATCH($A60,DiemHKII!$B$4:$B$58,0),INDEX($BG$14:$BK$27,MATCH(P$7,$BG$14:$BG$27,0),2))&lt;&gt;"",INDEX(BDHK2,MATCH($A60,DiemHKII!$B$4:$B$58,0),INDEX($BG$14:$BK$27,MATCH(P$7,$BG$14:$BG$27,0),4)),""),"")</f>
        <v/>
      </c>
      <c r="R60" s="36" t="str">
        <f>IF($A60&lt;&gt;"",IF(INDEX(BDHK2,MATCH($A60,DiemHKII!$B$4:$B$58,0),INDEX($BG$14:$BK$27,MATCH(P$7,$BG$14:$BG$27,0),2))&lt;&gt;"",INDEX(BDHK2,MATCH($A60,DiemHKII!$B$4:$B$58,0),INDEX($BG$14:$BK$27,MATCH(P$7,$BG$14:$BG$27,0),5)),""),"")</f>
        <v/>
      </c>
      <c r="S60" s="34" t="str">
        <f>IF($A60&lt;&gt;"",IF(INDEX(BDHK2,MATCH($A60,DiemHKII!$B$4:$B$58,0),INDEX($BG$14:$BK$27,MATCH(S$7,$BG$14:$BG$27,0),2))&lt;&gt;"",INDEX(BDHK2,MATCH($A60,DiemHKII!$B$4:$B$58,0),INDEX($BG$14:$BK$27,MATCH(S$7,$BG$14:$BG$27,0),3)),""),"")</f>
        <v/>
      </c>
      <c r="T60" s="35" t="str">
        <f>IF($A60&lt;&gt;"",IF(INDEX(BDHK2,MATCH($A60,DiemHKII!$B$4:$B$58,0),INDEX($BG$14:$BK$27,MATCH(S$7,$BG$14:$BG$27,0),2))&lt;&gt;"",INDEX(BDHK2,MATCH($A60,DiemHKII!$B$4:$B$58,0),INDEX($BG$14:$BK$27,MATCH(S$7,$BG$14:$BG$27,0),4)),""),"")</f>
        <v/>
      </c>
      <c r="U60" s="36" t="str">
        <f>IF($A60&lt;&gt;"",IF(INDEX(BDHK2,MATCH($A60,DiemHKII!$B$4:$B$58,0),INDEX($BG$14:$BK$27,MATCH(S$7,$BG$14:$BG$27,0),2))&lt;&gt;"",INDEX(BDHK2,MATCH($A60,DiemHKII!$B$4:$B$58,0),INDEX($BG$14:$BK$27,MATCH(S$7,$BG$14:$BG$27,0),5)),""),"")</f>
        <v/>
      </c>
      <c r="V60" s="34" t="str">
        <f>IF($A60&lt;&gt;"",IF(INDEX(BDHK2,MATCH($A60,DiemHKII!$B$4:$B$58,0),INDEX($BG$14:$BK$27,MATCH(V$7,$BG$14:$BG$27,0),2))&lt;&gt;"",INDEX(BDHK2,MATCH($A60,DiemHKII!$B$4:$B$58,0),INDEX($BG$14:$BK$27,MATCH(V$7,$BG$14:$BG$27,0),3)),""),"")</f>
        <v/>
      </c>
      <c r="W60" s="35" t="str">
        <f>IF($A60&lt;&gt;"",IF(INDEX(BDHK2,MATCH($A60,DiemHKII!$B$4:$B$58,0),INDEX($BG$14:$BK$27,MATCH(V$7,$BG$14:$BG$27,0),2))&lt;&gt;"",INDEX(BDHK2,MATCH($A60,DiemHKII!$B$4:$B$58,0),INDEX($BG$14:$BK$27,MATCH(V$7,$BG$14:$BG$27,0),4)),""),"")</f>
        <v/>
      </c>
      <c r="X60" s="36" t="str">
        <f>IF($A60&lt;&gt;"",IF(INDEX(BDHK2,MATCH($A60,DiemHKII!$B$4:$B$58,0),INDEX($BG$14:$BK$27,MATCH(V$7,$BG$14:$BG$27,0),2))&lt;&gt;"",INDEX(BDHK2,MATCH($A60,DiemHKII!$B$4:$B$58,0),INDEX($BG$14:$BK$27,MATCH(V$7,$BG$14:$BG$27,0),5)),""),"")</f>
        <v/>
      </c>
      <c r="Y60" s="34" t="str">
        <f>IF($A60&lt;&gt;"",IF(INDEX(BDHK2,MATCH($A60,DiemHKII!$B$4:$B$58,0),INDEX($BG$14:$BK$27,MATCH(Y$7,$BG$14:$BG$27,0),2))&lt;&gt;"",INDEX(BDHK2,MATCH($A60,DiemHKII!$B$4:$B$58,0),INDEX($BG$14:$BK$27,MATCH(Y$7,$BG$14:$BG$27,0),3)),""),"")</f>
        <v/>
      </c>
      <c r="Z60" s="35" t="str">
        <f>IF($A60&lt;&gt;"",IF(INDEX(BDHK2,MATCH($A60,DiemHKII!$B$4:$B$58,0),INDEX($BG$14:$BK$27,MATCH(Y$7,$BG$14:$BG$27,0),2))&lt;&gt;"",INDEX(BDHK2,MATCH($A60,DiemHKII!$B$4:$B$58,0),INDEX($BG$14:$BK$27,MATCH(Y$7,$BG$14:$BG$27,0),4)),""),"")</f>
        <v/>
      </c>
      <c r="AA60" s="36" t="str">
        <f>IF($A60&lt;&gt;"",IF(INDEX(BDHK2,MATCH($A60,DiemHKII!$B$4:$B$58,0),INDEX($BG$14:$BK$27,MATCH(Y$7,$BG$14:$BG$27,0),2))&lt;&gt;"",INDEX(BDHK2,MATCH($A60,DiemHKII!$B$4:$B$58,0),INDEX($BG$14:$BK$27,MATCH(Y$7,$BG$14:$BG$27,0),5)),""),"")</f>
        <v/>
      </c>
      <c r="AB60" s="34" t="str">
        <f>IF($A60&lt;&gt;"",IF(INDEX(BDHK2,MATCH($A60,DiemHKII!$B$4:$B$58,0),INDEX($BG$14:$BK$27,MATCH(AB$7,$BG$14:$BG$27,0),2))&lt;&gt;"",INDEX(BDHK2,MATCH($A60,DiemHKII!$B$4:$B$58,0),INDEX($BG$14:$BK$27,MATCH(AB$7,$BG$14:$BG$27,0),3)),""),"")</f>
        <v/>
      </c>
      <c r="AC60" s="35" t="str">
        <f>IF($A60&lt;&gt;"",IF(INDEX(BDHK2,MATCH($A60,DiemHKII!$B$4:$B$58,0),INDEX($BG$14:$BK$27,MATCH(AB$7,$BG$14:$BG$27,0),2))&lt;&gt;"",INDEX(BDHK2,MATCH($A60,DiemHKII!$B$4:$B$58,0),INDEX($BG$14:$BK$27,MATCH(AB$7,$BG$14:$BG$27,0),4)),""),"")</f>
        <v/>
      </c>
      <c r="AD60" s="36" t="str">
        <f>IF($A60&lt;&gt;"",IF(INDEX(BDHK2,MATCH($A60,DiemHKII!$B$4:$B$58,0),INDEX($BG$14:$BK$27,MATCH(AB$7,$BG$14:$BG$27,0),2))&lt;&gt;"",INDEX(BDHK2,MATCH($A60,DiemHKII!$B$4:$B$58,0),INDEX($BG$14:$BK$27,MATCH(AB$7,$BG$14:$BG$27,0),5)),""),"")</f>
        <v/>
      </c>
      <c r="AE60" s="34" t="str">
        <f>IF($A60&lt;&gt;"",IF(INDEX(BDHK2,MATCH($A60,DiemHKII!$B$4:$B$58,0),INDEX($BG$14:$BK$27,MATCH(AE$7,$BG$14:$BG$27,0),2))&lt;&gt;"",INDEX(BDHK2,MATCH($A60,DiemHKII!$B$4:$B$58,0),INDEX($BG$14:$BK$27,MATCH(AE$7,$BG$14:$BG$27,0),3)),""),"")</f>
        <v/>
      </c>
      <c r="AF60" s="35" t="str">
        <f>IF($A60&lt;&gt;"",IF(INDEX(BDHK2,MATCH($A60,DiemHKII!$B$4:$B$58,0),INDEX($BG$14:$BK$27,MATCH(AE$7,$BG$14:$BG$27,0),2))&lt;&gt;"",INDEX(BDHK2,MATCH($A60,DiemHKII!$B$4:$B$58,0),INDEX($BG$14:$BK$27,MATCH(AE$7,$BG$14:$BG$27,0),4)),""),"")</f>
        <v/>
      </c>
      <c r="AG60" s="36" t="str">
        <f>IF($A60&lt;&gt;"",IF(INDEX(BDHK2,MATCH($A60,DiemHKII!$B$4:$B$58,0),INDEX($BG$14:$BK$27,MATCH(AE$7,$BG$14:$BG$27,0),2))&lt;&gt;"",INDEX(BDHK2,MATCH($A60,DiemHKII!$B$4:$B$58,0),INDEX($BG$14:$BK$27,MATCH(AE$7,$BG$14:$BG$27,0),5)),""),"")</f>
        <v/>
      </c>
      <c r="AH60" s="34" t="str">
        <f>IF($A60&lt;&gt;"",IF(INDEX(BDHK2,MATCH($A60,DiemHKII!$B$4:$B$58,0),INDEX($BG$14:$BK$27,MATCH(AH$7,$BG$14:$BG$27,0),2))&lt;&gt;"",INDEX(BDHK2,MATCH($A60,DiemHKII!$B$4:$B$58,0),INDEX($BG$14:$BK$27,MATCH(AH$7,$BG$14:$BG$27,0),3)),""),"")</f>
        <v/>
      </c>
      <c r="AI60" s="35" t="str">
        <f>IF($A60&lt;&gt;"",IF(INDEX(BDHK2,MATCH($A60,DiemHKII!$B$4:$B$58,0),INDEX($BG$14:$BK$27,MATCH(AH$7,$BG$14:$BG$27,0),2))&lt;&gt;"",INDEX(BDHK2,MATCH($A60,DiemHKII!$B$4:$B$58,0),INDEX($BG$14:$BK$27,MATCH(AH$7,$BG$14:$BG$27,0),4)),""),"")</f>
        <v/>
      </c>
      <c r="AJ60" s="36" t="str">
        <f>IF($A60&lt;&gt;"",IF(INDEX(BDHK2,MATCH($A60,DiemHKII!$B$4:$B$58,0),INDEX($BG$14:$BK$27,MATCH(AH$7,$BG$14:$BG$27,0),2))&lt;&gt;"",INDEX(BDHK2,MATCH($A60,DiemHKII!$B$4:$B$58,0),INDEX($BG$14:$BK$27,MATCH(AH$7,$BG$14:$BG$27,0),5)),""),"")</f>
        <v/>
      </c>
      <c r="AK60" s="37" t="str">
        <f>IF($A60&lt;&gt;"",IF(INDEX(BDHK2,MATCH($A60,DiemHKII!$B$4:$B$58,0),INDEX($BG$14:$BK$27,MATCH(AK$7,$BG$14:$BG$27,0),2))&lt;&gt;"",INDEX(BDHK2,MATCH($A60,DiemHKII!$B$4:$B$58,0),INDEX($BG$14:$BK$27,MATCH(AK$7,$BG$14:$BG$27,0),3)),""),"")</f>
        <v/>
      </c>
      <c r="AL60" s="8" t="str">
        <f>IF($A60&lt;&gt;"",IF(INDEX(BDHK2,MATCH($A60,DiemHKII!$B$4:$B$58,0),INDEX($BG$14:$BK$27,MATCH(AK$7,$BG$14:$BG$27,0),2))&lt;&gt;"",INDEX(BDHK2,MATCH($A60,DiemHKII!$B$4:$B$58,0),INDEX($BG$14:$BK$27,MATCH(AK$7,$BG$14:$BG$27,0),4)),""),"")</f>
        <v/>
      </c>
      <c r="AM60" s="38" t="str">
        <f>IF($A60&lt;&gt;"",IF(INDEX(BDHK2,MATCH($A60,DiemHKII!$B$4:$B$58,0),INDEX($BG$14:$BK$27,MATCH(AK$7,$BG$14:$BG$27,0),2))&lt;&gt;"",INDEX(BDHK2,MATCH($A60,DiemHKII!$B$4:$B$58,0),INDEX($BG$14:$BK$27,MATCH(AK$7,$BG$14:$BG$27,0),5)),""),"")</f>
        <v/>
      </c>
      <c r="AN60" s="34" t="str">
        <f>IF($A60&lt;&gt;"",IF(INDEX(BDHK2,MATCH($A60,DiemHKII!$B$4:$B$58,0),INDEX($BG$14:$BK$27,MATCH(AN$7,$BG$14:$BG$27,0),2))&lt;&gt;"",INDEX(BDHK2,MATCH($A60,DiemHKII!$B$4:$B$58,0),INDEX($BG$14:$BK$27,MATCH(AN$7,$BG$14:$BG$27,0),3)),""),"")</f>
        <v/>
      </c>
      <c r="AO60" s="35" t="str">
        <f>IF($A60&lt;&gt;"",IF(INDEX(BDHK2,MATCH($A60,DiemHKII!$B$4:$B$58,0),INDEX($BG$14:$BK$27,MATCH(AN$7,$BG$14:$BG$27,0),2))&lt;&gt;"",INDEX(BDHK2,MATCH($A60,DiemHKII!$B$4:$B$58,0),INDEX($BG$14:$BK$27,MATCH(AN$7,$BG$14:$BG$27,0),4)),""),"")</f>
        <v/>
      </c>
      <c r="AP60" s="36" t="str">
        <f>IF($A60&lt;&gt;"",IF(INDEX(BDHK2,MATCH($A60,DiemHKII!$B$4:$B$58,0),INDEX($BG$14:$BK$27,MATCH(AN$7,$BG$14:$BG$27,0),2))&lt;&gt;"",INDEX(BDHK2,MATCH($A60,DiemHKII!$B$4:$B$58,0),INDEX($BG$14:$BK$27,MATCH(AN$7,$BG$14:$BG$27,0),5)),""),"")</f>
        <v/>
      </c>
      <c r="AQ60" s="34" t="str">
        <f>IF($A60&lt;&gt;"",IF(INDEX(BDHK2,MATCH($A60,DiemHKII!$B$4:$B$58,0),INDEX($BG$14:$BK$27,MATCH(AQ$7,$BG$14:$BG$27,0),2))&lt;&gt;"",INDEX(BDHK2,MATCH($A60,DiemHKII!$B$4:$B$58,0),INDEX($BG$14:$BK$27,MATCH(AQ$7,$BG$14:$BG$27,0),3)),""),"")</f>
        <v/>
      </c>
      <c r="AR60" s="35" t="str">
        <f>IF($A60&lt;&gt;"",IF(INDEX(BDHK2,MATCH($A60,DiemHKII!$B$4:$B$58,0),INDEX($BG$14:$BK$27,MATCH(AQ$7,$BG$14:$BG$27,0),2))&lt;&gt;"",INDEX(BDHK2,MATCH($A60,DiemHKII!$B$4:$B$58,0),INDEX($BG$14:$BK$27,MATCH(AQ$7,$BG$14:$BG$27,0),4)),""),"")</f>
        <v/>
      </c>
      <c r="AS60" s="36" t="str">
        <f>IF($A60&lt;&gt;"",IF(INDEX(BDHK2,MATCH($A60,DiemHKII!$B$4:$B$58,0),INDEX($BG$14:$BK$27,MATCH(AQ$7,$BG$14:$BG$27,0),2))&lt;&gt;"",INDEX(BDHK2,MATCH($A60,DiemHKII!$B$4:$B$58,0),INDEX($BG$14:$BK$27,MATCH(AQ$7,$BG$14:$BG$27,0),5)),""),"")</f>
        <v/>
      </c>
      <c r="AT60" s="34" t="str">
        <f>IFERROR(IF($A60&gt;=1,IF(INDEX(THHKI!$V$8:$Y$62,MATCH($BL60,THHKI!$AG$8:$AG$62,0),1)&lt;&gt;"",INDEX(THHKI!$V$8:$Y$62,MATCH($BL60,THHKI!$AG$8:$AG$62,0),1),""),""),"")</f>
        <v/>
      </c>
      <c r="AU60" s="35" t="str">
        <f>IF($A60&gt;=1,IF(INDEX(THHKII!$V$8:$Y$62,MATCH($BL60,THHKII!$AG$8:$AG$62,0),1)&lt;&gt;"",INDEX(THHKII!$V$8:$Y$62,MATCH($BL60,THHKII!$AG$8:$AG$62,0),1),""),"")</f>
        <v/>
      </c>
      <c r="AV60" s="39" t="str">
        <f>IF($A60&gt;=1,IF(INDEX(THCN!$V$8:$Y$62,MATCH($BL60,THCN!$AG$8:$AG$62,0),1)&lt;&gt;"",INDEX(THCN!$V$8:$Y$62,MATCH($BL60,THCN!$AG$8:$AG$62,0),1),""),"")</f>
        <v/>
      </c>
      <c r="AW60" s="40" t="str">
        <f>IFERROR(IF($A60&gt;=1,IF(INDEX(THHKI!$V$8:$Y$62,MATCH($BL60,THHKI!$AG$8:$AG$62,0),2)&lt;&gt;"",INDEX(THHKI!$V$8:$Y$62,MATCH($BL60,THHKI!$AG$8:$AG$62,0),2),""),""),"")</f>
        <v/>
      </c>
      <c r="AX60" s="8" t="str">
        <f>IF($A60&gt;=1,IF(INDEX(THHKII!$V$8:$Y$62,MATCH($BL60,THHKII!$AG$8:$AG$62,0),2)&lt;&gt;"",INDEX(THHKII!$V$8:$Y$62,MATCH($BL60,THHKII!$AG$8:$AG$62,0),2),""),"")</f>
        <v/>
      </c>
      <c r="AY60" s="467" t="str">
        <f>IF($A60&gt;=1,IF(INDEX(THCN!$V$8:$Y$62,MATCH($BL60,THCN!$AG$8:$AG$62,0),2)&lt;&gt;"",INDEX(THCN!$V$8:$Y$62,MATCH($BL60,THCN!$AG$8:$AG$62,0),2),""),"")</f>
        <v/>
      </c>
      <c r="AZ60" s="37" t="str">
        <f>IFERROR(IF($A60&gt;=1,IF(INDEX(THHKI!$V$8:$Y$62,MATCH($BL60,THHKI!$AG$8:$AG$62,0),3)&lt;&gt;"",INDEX(THHKI!$V$8:$Y$62,MATCH($BL60,THHKI!$AG$8:$AG$62,0),3),""),""),"")</f>
        <v/>
      </c>
      <c r="BA60" s="8" t="str">
        <f>IF($A60&gt;=1,IF(INDEX(THHKII!$V$8:$Y$62,MATCH($BL60,THHKII!$AG$8:$AG$62,0),3)&lt;&gt;"",INDEX(THHKII!$V$8:$Y$62,MATCH($BL60,THHKII!$AG$8:$AG$62,0),3),""),"")</f>
        <v/>
      </c>
      <c r="BB60" s="41" t="str">
        <f>IF($A60&gt;=1,IF(INDEX(THCN!$V$8:$Y$62,MATCH($BL60,THCN!$AG$8:$AG$62,0),3)&lt;&gt;"",INDEX(THCN!$V$8:$Y$62,MATCH($BL60,THCN!$AG$8:$AG$62,0),3),""),"")</f>
        <v/>
      </c>
      <c r="BC60" s="42" t="str">
        <f>IF($A60&gt;=1,IF(INDEX(THCN!$V$8:$Y$62,MATCH($BL60,THCN!$AG$8:$AG$62,0),4)&lt;&gt;"",INDEX(THCN!$V$8:$Y$62,MATCH($BL60,THCN!$AG$8:$AG$62,0),4),""),"")</f>
        <v/>
      </c>
      <c r="BE60" s="31" t="str">
        <f>IFERROR(IF($A60&gt;=1,IF(INDEX(THHKI!$V$8:$Y$62,MATCH($BL60,THHKI!$AG$8:$AG$62,0),4)&lt;&gt;"",INDEX(THHKI!$V$8:$Y$62,MATCH($BL60,THHKI!$AG$8:$AG$62,0),4),""),""),"")</f>
        <v/>
      </c>
      <c r="BF60" s="42" t="str">
        <f>IF($A60&gt;=1,IF(INDEX(THHKII!$V$8:$Y$62,MATCH($BL60,THHKII!$AG$8:$AG$62,0),4)&lt;&gt;"",INDEX(THHKII!$V$8:$Y$62,MATCH($BL60,THHKII!$AG$8:$AG$62,0),4),""),"")</f>
        <v/>
      </c>
      <c r="BL60" s="30" t="str">
        <f>IF($A60&lt;&gt;"",INDEX(DiemHKII!$B$4:$K$58,MATCH($A60,DiemHKII!$B$4:$B$58,0),2),"")</f>
        <v/>
      </c>
    </row>
    <row r="61" spans="1:64" s="30" customFormat="1" ht="29.1" hidden="1" customHeight="1">
      <c r="A61" s="31" t="str">
        <f>IF(A60&lt;MAX(DiemHKII!$B$4:$B$58),A60+1,"")</f>
        <v/>
      </c>
      <c r="B61" s="32" t="str">
        <f>IF($A61&lt;&gt;"",PROPER(INDEX(DiemHKII!$B$4:$K$58,MATCH($A61,DiemHKII!$B$4:$B$58,0),4)),"")</f>
        <v/>
      </c>
      <c r="C61" s="33" t="str">
        <f>IF($A61&lt;&gt;"",PROPER(INDEX(DiemHKII!$B$4:$K$58,MATCH($A61,DiemHKII!$B$4:$B$58,0),5)),"")</f>
        <v/>
      </c>
      <c r="D61" s="34" t="str">
        <f>IF($A61&lt;&gt;"",IF(INDEX(BDHK2,MATCH($A61,DiemHKII!$B$4:$B$58,0),INDEX($BG$14:$BK$27,MATCH(D$7,$BG$14:$BG$27,0),2))&lt;&gt;"",INDEX(BDHK2,MATCH($A61,DiemHKII!$B$4:$B$58,0),INDEX($BG$14:$BK$27,MATCH(D$7,$BG$14:$BG$27,0),3)),""),"")</f>
        <v/>
      </c>
      <c r="E61" s="35" t="str">
        <f>IF($A61&lt;&gt;"",IF(INDEX(BDHK2,MATCH($A61,DiemHKII!$B$4:$B$58,0),INDEX($BG$14:$BK$27,MATCH(D$7,$BG$14:$BG$27,0),2))&lt;&gt;"",INDEX(BDHK2,MATCH($A61,DiemHKII!$B$4:$B$58,0),INDEX($BG$14:$BK$27,MATCH(D$7,$BG$14:$BG$27,0),4)),""),"")</f>
        <v/>
      </c>
      <c r="F61" s="36" t="str">
        <f>IF($A61&lt;&gt;"",IF(INDEX(BDHK2,MATCH($A61,DiemHKII!$B$4:$B$58,0),INDEX($BG$14:$BK$27,MATCH(D$7,$BG$14:$BG$27,0),2))&lt;&gt;"",INDEX(BDHK2,MATCH($A61,DiemHKII!$B$4:$B$58,0),INDEX($BG$14:$BK$27,MATCH(D$7,$BG$14:$BG$27,0),5)),""),"")</f>
        <v/>
      </c>
      <c r="G61" s="34" t="str">
        <f>IF($A61&lt;&gt;"",IF(INDEX(BDHK2,MATCH($A61,DiemHKII!$B$4:$B$58,0),INDEX($BG$14:$BK$27,MATCH(G$7,$BG$14:$BG$27,0),2))&lt;&gt;"",INDEX(BDHK2,MATCH($A61,DiemHKII!$B$4:$B$58,0),INDEX($BG$14:$BK$27,MATCH(G$7,$BG$14:$BG$27,0),3)),""),"")</f>
        <v/>
      </c>
      <c r="H61" s="35" t="str">
        <f>IF($A61&lt;&gt;"",IF(INDEX(BDHK2,MATCH($A61,DiemHKII!$B$4:$B$58,0),INDEX($BG$14:$BK$27,MATCH(G$7,$BG$14:$BG$27,0),2))&lt;&gt;"",INDEX(BDHK2,MATCH($A61,DiemHKII!$B$4:$B$58,0),INDEX($BG$14:$BK$27,MATCH(G$7,$BG$14:$BG$27,0),4)),""),"")</f>
        <v/>
      </c>
      <c r="I61" s="36" t="str">
        <f>IF($A61&lt;&gt;"",IF(INDEX(BDHK2,MATCH($A61,DiemHKII!$B$4:$B$58,0),INDEX($BG$14:$BK$27,MATCH(G$7,$BG$14:$BG$27,0),2))&lt;&gt;"",INDEX(BDHK2,MATCH($A61,DiemHKII!$B$4:$B$58,0),INDEX($BG$14:$BK$27,MATCH(G$7,$BG$14:$BG$27,0),5)),""),"")</f>
        <v/>
      </c>
      <c r="J61" s="34" t="str">
        <f>IF($A61&lt;&gt;"",IF(INDEX(BDHK2,MATCH($A61,DiemHKII!$B$4:$B$58,0),INDEX($BG$14:$BK$27,MATCH(J$7,$BG$14:$BG$27,0),2))&lt;&gt;"",INDEX(BDHK2,MATCH($A61,DiemHKII!$B$4:$B$58,0),INDEX($BG$14:$BK$27,MATCH(J$7,$BG$14:$BG$27,0),3)),""),"")</f>
        <v/>
      </c>
      <c r="K61" s="35" t="str">
        <f>IF($A61&lt;&gt;"",IF(INDEX(BDHK2,MATCH($A61,DiemHKII!$B$4:$B$58,0),INDEX($BG$14:$BK$27,MATCH(J$7,$BG$14:$BG$27,0),2))&lt;&gt;"",INDEX(BDHK2,MATCH($A61,DiemHKII!$B$4:$B$58,0),INDEX($BG$14:$BK$27,MATCH(J$7,$BG$14:$BG$27,0),4)),""),"")</f>
        <v/>
      </c>
      <c r="L61" s="36" t="str">
        <f>IF($A61&lt;&gt;"",IF(INDEX(BDHK2,MATCH($A61,DiemHKII!$B$4:$B$58,0),INDEX($BG$14:$BK$27,MATCH(J$7,$BG$14:$BG$27,0),2))&lt;&gt;"",INDEX(BDHK2,MATCH($A61,DiemHKII!$B$4:$B$58,0),INDEX($BG$14:$BK$27,MATCH(J$7,$BG$14:$BG$27,0),5)),""),"")</f>
        <v/>
      </c>
      <c r="M61" s="34" t="str">
        <f>IF($A61&lt;&gt;"",IF(INDEX(BDHK2,MATCH($A61,DiemHKII!$B$4:$B$58,0),INDEX($BG$14:$BK$27,MATCH(M$7,$BG$14:$BG$27,0),2))&lt;&gt;"",INDEX(BDHK2,MATCH($A61,DiemHKII!$B$4:$B$58,0),INDEX($BG$14:$BK$27,MATCH(M$7,$BG$14:$BG$27,0),3)),""),"")</f>
        <v/>
      </c>
      <c r="N61" s="35" t="str">
        <f>IF($A61&lt;&gt;"",IF(INDEX(BDHK2,MATCH($A61,DiemHKII!$B$4:$B$58,0),INDEX($BG$14:$BK$27,MATCH(M$7,$BG$14:$BG$27,0),2))&lt;&gt;"",INDEX(BDHK2,MATCH($A61,DiemHKII!$B$4:$B$58,0),INDEX($BG$14:$BK$27,MATCH(M$7,$BG$14:$BG$27,0),4)),""),"")</f>
        <v/>
      </c>
      <c r="O61" s="36" t="str">
        <f>IF($A61&lt;&gt;"",IF(INDEX(BDHK2,MATCH($A61,DiemHKII!$B$4:$B$58,0),INDEX($BG$14:$BK$27,MATCH(M$7,$BG$14:$BG$27,0),2))&lt;&gt;"",INDEX(BDHK2,MATCH($A61,DiemHKII!$B$4:$B$58,0),INDEX($BG$14:$BK$27,MATCH(M$7,$BG$14:$BG$27,0),5)),""),"")</f>
        <v/>
      </c>
      <c r="P61" s="34" t="str">
        <f>IF($A61&lt;&gt;"",IF(INDEX(BDHK2,MATCH($A61,DiemHKII!$B$4:$B$58,0),INDEX($BG$14:$BK$27,MATCH(P$7,$BG$14:$BG$27,0),2))&lt;&gt;"",INDEX(BDHK2,MATCH($A61,DiemHKII!$B$4:$B$58,0),INDEX($BG$14:$BK$27,MATCH(P$7,$BG$14:$BG$27,0),3)),""),"")</f>
        <v/>
      </c>
      <c r="Q61" s="35" t="str">
        <f>IF($A61&lt;&gt;"",IF(INDEX(BDHK2,MATCH($A61,DiemHKII!$B$4:$B$58,0),INDEX($BG$14:$BK$27,MATCH(P$7,$BG$14:$BG$27,0),2))&lt;&gt;"",INDEX(BDHK2,MATCH($A61,DiemHKII!$B$4:$B$58,0),INDEX($BG$14:$BK$27,MATCH(P$7,$BG$14:$BG$27,0),4)),""),"")</f>
        <v/>
      </c>
      <c r="R61" s="36" t="str">
        <f>IF($A61&lt;&gt;"",IF(INDEX(BDHK2,MATCH($A61,DiemHKII!$B$4:$B$58,0),INDEX($BG$14:$BK$27,MATCH(P$7,$BG$14:$BG$27,0),2))&lt;&gt;"",INDEX(BDHK2,MATCH($A61,DiemHKII!$B$4:$B$58,0),INDEX($BG$14:$BK$27,MATCH(P$7,$BG$14:$BG$27,0),5)),""),"")</f>
        <v/>
      </c>
      <c r="S61" s="34" t="str">
        <f>IF($A61&lt;&gt;"",IF(INDEX(BDHK2,MATCH($A61,DiemHKII!$B$4:$B$58,0),INDEX($BG$14:$BK$27,MATCH(S$7,$BG$14:$BG$27,0),2))&lt;&gt;"",INDEX(BDHK2,MATCH($A61,DiemHKII!$B$4:$B$58,0),INDEX($BG$14:$BK$27,MATCH(S$7,$BG$14:$BG$27,0),3)),""),"")</f>
        <v/>
      </c>
      <c r="T61" s="35" t="str">
        <f>IF($A61&lt;&gt;"",IF(INDEX(BDHK2,MATCH($A61,DiemHKII!$B$4:$B$58,0),INDEX($BG$14:$BK$27,MATCH(S$7,$BG$14:$BG$27,0),2))&lt;&gt;"",INDEX(BDHK2,MATCH($A61,DiemHKII!$B$4:$B$58,0),INDEX($BG$14:$BK$27,MATCH(S$7,$BG$14:$BG$27,0),4)),""),"")</f>
        <v/>
      </c>
      <c r="U61" s="36" t="str">
        <f>IF($A61&lt;&gt;"",IF(INDEX(BDHK2,MATCH($A61,DiemHKII!$B$4:$B$58,0),INDEX($BG$14:$BK$27,MATCH(S$7,$BG$14:$BG$27,0),2))&lt;&gt;"",INDEX(BDHK2,MATCH($A61,DiemHKII!$B$4:$B$58,0),INDEX($BG$14:$BK$27,MATCH(S$7,$BG$14:$BG$27,0),5)),""),"")</f>
        <v/>
      </c>
      <c r="V61" s="34" t="str">
        <f>IF($A61&lt;&gt;"",IF(INDEX(BDHK2,MATCH($A61,DiemHKII!$B$4:$B$58,0),INDEX($BG$14:$BK$27,MATCH(V$7,$BG$14:$BG$27,0),2))&lt;&gt;"",INDEX(BDHK2,MATCH($A61,DiemHKII!$B$4:$B$58,0),INDEX($BG$14:$BK$27,MATCH(V$7,$BG$14:$BG$27,0),3)),""),"")</f>
        <v/>
      </c>
      <c r="W61" s="35" t="str">
        <f>IF($A61&lt;&gt;"",IF(INDEX(BDHK2,MATCH($A61,DiemHKII!$B$4:$B$58,0),INDEX($BG$14:$BK$27,MATCH(V$7,$BG$14:$BG$27,0),2))&lt;&gt;"",INDEX(BDHK2,MATCH($A61,DiemHKII!$B$4:$B$58,0),INDEX($BG$14:$BK$27,MATCH(V$7,$BG$14:$BG$27,0),4)),""),"")</f>
        <v/>
      </c>
      <c r="X61" s="36" t="str">
        <f>IF($A61&lt;&gt;"",IF(INDEX(BDHK2,MATCH($A61,DiemHKII!$B$4:$B$58,0),INDEX($BG$14:$BK$27,MATCH(V$7,$BG$14:$BG$27,0),2))&lt;&gt;"",INDEX(BDHK2,MATCH($A61,DiemHKII!$B$4:$B$58,0),INDEX($BG$14:$BK$27,MATCH(V$7,$BG$14:$BG$27,0),5)),""),"")</f>
        <v/>
      </c>
      <c r="Y61" s="34" t="str">
        <f>IF($A61&lt;&gt;"",IF(INDEX(BDHK2,MATCH($A61,DiemHKII!$B$4:$B$58,0),INDEX($BG$14:$BK$27,MATCH(Y$7,$BG$14:$BG$27,0),2))&lt;&gt;"",INDEX(BDHK2,MATCH($A61,DiemHKII!$B$4:$B$58,0),INDEX($BG$14:$BK$27,MATCH(Y$7,$BG$14:$BG$27,0),3)),""),"")</f>
        <v/>
      </c>
      <c r="Z61" s="35" t="str">
        <f>IF($A61&lt;&gt;"",IF(INDEX(BDHK2,MATCH($A61,DiemHKII!$B$4:$B$58,0),INDEX($BG$14:$BK$27,MATCH(Y$7,$BG$14:$BG$27,0),2))&lt;&gt;"",INDEX(BDHK2,MATCH($A61,DiemHKII!$B$4:$B$58,0),INDEX($BG$14:$BK$27,MATCH(Y$7,$BG$14:$BG$27,0),4)),""),"")</f>
        <v/>
      </c>
      <c r="AA61" s="36" t="str">
        <f>IF($A61&lt;&gt;"",IF(INDEX(BDHK2,MATCH($A61,DiemHKII!$B$4:$B$58,0),INDEX($BG$14:$BK$27,MATCH(Y$7,$BG$14:$BG$27,0),2))&lt;&gt;"",INDEX(BDHK2,MATCH($A61,DiemHKII!$B$4:$B$58,0),INDEX($BG$14:$BK$27,MATCH(Y$7,$BG$14:$BG$27,0),5)),""),"")</f>
        <v/>
      </c>
      <c r="AB61" s="34" t="str">
        <f>IF($A61&lt;&gt;"",IF(INDEX(BDHK2,MATCH($A61,DiemHKII!$B$4:$B$58,0),INDEX($BG$14:$BK$27,MATCH(AB$7,$BG$14:$BG$27,0),2))&lt;&gt;"",INDEX(BDHK2,MATCH($A61,DiemHKII!$B$4:$B$58,0),INDEX($BG$14:$BK$27,MATCH(AB$7,$BG$14:$BG$27,0),3)),""),"")</f>
        <v/>
      </c>
      <c r="AC61" s="35" t="str">
        <f>IF($A61&lt;&gt;"",IF(INDEX(BDHK2,MATCH($A61,DiemHKII!$B$4:$B$58,0),INDEX($BG$14:$BK$27,MATCH(AB$7,$BG$14:$BG$27,0),2))&lt;&gt;"",INDEX(BDHK2,MATCH($A61,DiemHKII!$B$4:$B$58,0),INDEX($BG$14:$BK$27,MATCH(AB$7,$BG$14:$BG$27,0),4)),""),"")</f>
        <v/>
      </c>
      <c r="AD61" s="36" t="str">
        <f>IF($A61&lt;&gt;"",IF(INDEX(BDHK2,MATCH($A61,DiemHKII!$B$4:$B$58,0),INDEX($BG$14:$BK$27,MATCH(AB$7,$BG$14:$BG$27,0),2))&lt;&gt;"",INDEX(BDHK2,MATCH($A61,DiemHKII!$B$4:$B$58,0),INDEX($BG$14:$BK$27,MATCH(AB$7,$BG$14:$BG$27,0),5)),""),"")</f>
        <v/>
      </c>
      <c r="AE61" s="34" t="str">
        <f>IF($A61&lt;&gt;"",IF(INDEX(BDHK2,MATCH($A61,DiemHKII!$B$4:$B$58,0),INDEX($BG$14:$BK$27,MATCH(AE$7,$BG$14:$BG$27,0),2))&lt;&gt;"",INDEX(BDHK2,MATCH($A61,DiemHKII!$B$4:$B$58,0),INDEX($BG$14:$BK$27,MATCH(AE$7,$BG$14:$BG$27,0),3)),""),"")</f>
        <v/>
      </c>
      <c r="AF61" s="35" t="str">
        <f>IF($A61&lt;&gt;"",IF(INDEX(BDHK2,MATCH($A61,DiemHKII!$B$4:$B$58,0),INDEX($BG$14:$BK$27,MATCH(AE$7,$BG$14:$BG$27,0),2))&lt;&gt;"",INDEX(BDHK2,MATCH($A61,DiemHKII!$B$4:$B$58,0),INDEX($BG$14:$BK$27,MATCH(AE$7,$BG$14:$BG$27,0),4)),""),"")</f>
        <v/>
      </c>
      <c r="AG61" s="36" t="str">
        <f>IF($A61&lt;&gt;"",IF(INDEX(BDHK2,MATCH($A61,DiemHKII!$B$4:$B$58,0),INDEX($BG$14:$BK$27,MATCH(AE$7,$BG$14:$BG$27,0),2))&lt;&gt;"",INDEX(BDHK2,MATCH($A61,DiemHKII!$B$4:$B$58,0),INDEX($BG$14:$BK$27,MATCH(AE$7,$BG$14:$BG$27,0),5)),""),"")</f>
        <v/>
      </c>
      <c r="AH61" s="34" t="str">
        <f>IF($A61&lt;&gt;"",IF(INDEX(BDHK2,MATCH($A61,DiemHKII!$B$4:$B$58,0),INDEX($BG$14:$BK$27,MATCH(AH$7,$BG$14:$BG$27,0),2))&lt;&gt;"",INDEX(BDHK2,MATCH($A61,DiemHKII!$B$4:$B$58,0),INDEX($BG$14:$BK$27,MATCH(AH$7,$BG$14:$BG$27,0),3)),""),"")</f>
        <v/>
      </c>
      <c r="AI61" s="35" t="str">
        <f>IF($A61&lt;&gt;"",IF(INDEX(BDHK2,MATCH($A61,DiemHKII!$B$4:$B$58,0),INDEX($BG$14:$BK$27,MATCH(AH$7,$BG$14:$BG$27,0),2))&lt;&gt;"",INDEX(BDHK2,MATCH($A61,DiemHKII!$B$4:$B$58,0),INDEX($BG$14:$BK$27,MATCH(AH$7,$BG$14:$BG$27,0),4)),""),"")</f>
        <v/>
      </c>
      <c r="AJ61" s="36" t="str">
        <f>IF($A61&lt;&gt;"",IF(INDEX(BDHK2,MATCH($A61,DiemHKII!$B$4:$B$58,0),INDEX($BG$14:$BK$27,MATCH(AH$7,$BG$14:$BG$27,0),2))&lt;&gt;"",INDEX(BDHK2,MATCH($A61,DiemHKII!$B$4:$B$58,0),INDEX($BG$14:$BK$27,MATCH(AH$7,$BG$14:$BG$27,0),5)),""),"")</f>
        <v/>
      </c>
      <c r="AK61" s="37" t="str">
        <f>IF($A61&lt;&gt;"",IF(INDEX(BDHK2,MATCH($A61,DiemHKII!$B$4:$B$58,0),INDEX($BG$14:$BK$27,MATCH(AK$7,$BG$14:$BG$27,0),2))&lt;&gt;"",INDEX(BDHK2,MATCH($A61,DiemHKII!$B$4:$B$58,0),INDEX($BG$14:$BK$27,MATCH(AK$7,$BG$14:$BG$27,0),3)),""),"")</f>
        <v/>
      </c>
      <c r="AL61" s="8" t="str">
        <f>IF($A61&lt;&gt;"",IF(INDEX(BDHK2,MATCH($A61,DiemHKII!$B$4:$B$58,0),INDEX($BG$14:$BK$27,MATCH(AK$7,$BG$14:$BG$27,0),2))&lt;&gt;"",INDEX(BDHK2,MATCH($A61,DiemHKII!$B$4:$B$58,0),INDEX($BG$14:$BK$27,MATCH(AK$7,$BG$14:$BG$27,0),4)),""),"")</f>
        <v/>
      </c>
      <c r="AM61" s="38" t="str">
        <f>IF($A61&lt;&gt;"",IF(INDEX(BDHK2,MATCH($A61,DiemHKII!$B$4:$B$58,0),INDEX($BG$14:$BK$27,MATCH(AK$7,$BG$14:$BG$27,0),2))&lt;&gt;"",INDEX(BDHK2,MATCH($A61,DiemHKII!$B$4:$B$58,0),INDEX($BG$14:$BK$27,MATCH(AK$7,$BG$14:$BG$27,0),5)),""),"")</f>
        <v/>
      </c>
      <c r="AN61" s="34" t="str">
        <f>IF($A61&lt;&gt;"",IF(INDEX(BDHK2,MATCH($A61,DiemHKII!$B$4:$B$58,0),INDEX($BG$14:$BK$27,MATCH(AN$7,$BG$14:$BG$27,0),2))&lt;&gt;"",INDEX(BDHK2,MATCH($A61,DiemHKII!$B$4:$B$58,0),INDEX($BG$14:$BK$27,MATCH(AN$7,$BG$14:$BG$27,0),3)),""),"")</f>
        <v/>
      </c>
      <c r="AO61" s="35" t="str">
        <f>IF($A61&lt;&gt;"",IF(INDEX(BDHK2,MATCH($A61,DiemHKII!$B$4:$B$58,0),INDEX($BG$14:$BK$27,MATCH(AN$7,$BG$14:$BG$27,0),2))&lt;&gt;"",INDEX(BDHK2,MATCH($A61,DiemHKII!$B$4:$B$58,0),INDEX($BG$14:$BK$27,MATCH(AN$7,$BG$14:$BG$27,0),4)),""),"")</f>
        <v/>
      </c>
      <c r="AP61" s="36" t="str">
        <f>IF($A61&lt;&gt;"",IF(INDEX(BDHK2,MATCH($A61,DiemHKII!$B$4:$B$58,0),INDEX($BG$14:$BK$27,MATCH(AN$7,$BG$14:$BG$27,0),2))&lt;&gt;"",INDEX(BDHK2,MATCH($A61,DiemHKII!$B$4:$B$58,0),INDEX($BG$14:$BK$27,MATCH(AN$7,$BG$14:$BG$27,0),5)),""),"")</f>
        <v/>
      </c>
      <c r="AQ61" s="34" t="str">
        <f>IF($A61&lt;&gt;"",IF(INDEX(BDHK2,MATCH($A61,DiemHKII!$B$4:$B$58,0),INDEX($BG$14:$BK$27,MATCH(AQ$7,$BG$14:$BG$27,0),2))&lt;&gt;"",INDEX(BDHK2,MATCH($A61,DiemHKII!$B$4:$B$58,0),INDEX($BG$14:$BK$27,MATCH(AQ$7,$BG$14:$BG$27,0),3)),""),"")</f>
        <v/>
      </c>
      <c r="AR61" s="35" t="str">
        <f>IF($A61&lt;&gt;"",IF(INDEX(BDHK2,MATCH($A61,DiemHKII!$B$4:$B$58,0),INDEX($BG$14:$BK$27,MATCH(AQ$7,$BG$14:$BG$27,0),2))&lt;&gt;"",INDEX(BDHK2,MATCH($A61,DiemHKII!$B$4:$B$58,0),INDEX($BG$14:$BK$27,MATCH(AQ$7,$BG$14:$BG$27,0),4)),""),"")</f>
        <v/>
      </c>
      <c r="AS61" s="36" t="str">
        <f>IF($A61&lt;&gt;"",IF(INDEX(BDHK2,MATCH($A61,DiemHKII!$B$4:$B$58,0),INDEX($BG$14:$BK$27,MATCH(AQ$7,$BG$14:$BG$27,0),2))&lt;&gt;"",INDEX(BDHK2,MATCH($A61,DiemHKII!$B$4:$B$58,0),INDEX($BG$14:$BK$27,MATCH(AQ$7,$BG$14:$BG$27,0),5)),""),"")</f>
        <v/>
      </c>
      <c r="AT61" s="34" t="str">
        <f>IFERROR(IF($A61&gt;=1,IF(INDEX(THHKI!$V$8:$Y$62,MATCH($BL61,THHKI!$AG$8:$AG$62,0),1)&lt;&gt;"",INDEX(THHKI!$V$8:$Y$62,MATCH($BL61,THHKI!$AG$8:$AG$62,0),1),""),""),"")</f>
        <v/>
      </c>
      <c r="AU61" s="35" t="str">
        <f>IF($A61&gt;=1,IF(INDEX(THHKII!$V$8:$Y$62,MATCH($BL61,THHKII!$AG$8:$AG$62,0),1)&lt;&gt;"",INDEX(THHKII!$V$8:$Y$62,MATCH($BL61,THHKII!$AG$8:$AG$62,0),1),""),"")</f>
        <v/>
      </c>
      <c r="AV61" s="39" t="str">
        <f>IF($A61&gt;=1,IF(INDEX(THCN!$V$8:$Y$62,MATCH($BL61,THCN!$AG$8:$AG$62,0),1)&lt;&gt;"",INDEX(THCN!$V$8:$Y$62,MATCH($BL61,THCN!$AG$8:$AG$62,0),1),""),"")</f>
        <v/>
      </c>
      <c r="AW61" s="40" t="str">
        <f>IFERROR(IF($A61&gt;=1,IF(INDEX(THHKI!$V$8:$Y$62,MATCH($BL61,THHKI!$AG$8:$AG$62,0),2)&lt;&gt;"",INDEX(THHKI!$V$8:$Y$62,MATCH($BL61,THHKI!$AG$8:$AG$62,0),2),""),""),"")</f>
        <v/>
      </c>
      <c r="AX61" s="8" t="str">
        <f>IF($A61&gt;=1,IF(INDEX(THHKII!$V$8:$Y$62,MATCH($BL61,THHKII!$AG$8:$AG$62,0),2)&lt;&gt;"",INDEX(THHKII!$V$8:$Y$62,MATCH($BL61,THHKII!$AG$8:$AG$62,0),2),""),"")</f>
        <v/>
      </c>
      <c r="AY61" s="467" t="str">
        <f>IF($A61&gt;=1,IF(INDEX(THCN!$V$8:$Y$62,MATCH($BL61,THCN!$AG$8:$AG$62,0),2)&lt;&gt;"",INDEX(THCN!$V$8:$Y$62,MATCH($BL61,THCN!$AG$8:$AG$62,0),2),""),"")</f>
        <v/>
      </c>
      <c r="AZ61" s="37" t="str">
        <f>IFERROR(IF($A61&gt;=1,IF(INDEX(THHKI!$V$8:$Y$62,MATCH($BL61,THHKI!$AG$8:$AG$62,0),3)&lt;&gt;"",INDEX(THHKI!$V$8:$Y$62,MATCH($BL61,THHKI!$AG$8:$AG$62,0),3),""),""),"")</f>
        <v/>
      </c>
      <c r="BA61" s="8" t="str">
        <f>IF($A61&gt;=1,IF(INDEX(THHKII!$V$8:$Y$62,MATCH($BL61,THHKII!$AG$8:$AG$62,0),3)&lt;&gt;"",INDEX(THHKII!$V$8:$Y$62,MATCH($BL61,THHKII!$AG$8:$AG$62,0),3),""),"")</f>
        <v/>
      </c>
      <c r="BB61" s="41" t="str">
        <f>IF($A61&gt;=1,IF(INDEX(THCN!$V$8:$Y$62,MATCH($BL61,THCN!$AG$8:$AG$62,0),3)&lt;&gt;"",INDEX(THCN!$V$8:$Y$62,MATCH($BL61,THCN!$AG$8:$AG$62,0),3),""),"")</f>
        <v/>
      </c>
      <c r="BC61" s="42" t="str">
        <f>IF($A61&gt;=1,IF(INDEX(THCN!$V$8:$Y$62,MATCH($BL61,THCN!$AG$8:$AG$62,0),4)&lt;&gt;"",INDEX(THCN!$V$8:$Y$62,MATCH($BL61,THCN!$AG$8:$AG$62,0),4),""),"")</f>
        <v/>
      </c>
      <c r="BE61" s="31" t="str">
        <f>IFERROR(IF($A61&gt;=1,IF(INDEX(THHKI!$V$8:$Y$62,MATCH($BL61,THHKI!$AG$8:$AG$62,0),4)&lt;&gt;"",INDEX(THHKI!$V$8:$Y$62,MATCH($BL61,THHKI!$AG$8:$AG$62,0),4),""),""),"")</f>
        <v/>
      </c>
      <c r="BF61" s="42" t="str">
        <f>IF($A61&gt;=1,IF(INDEX(THHKII!$V$8:$Y$62,MATCH($BL61,THHKII!$AG$8:$AG$62,0),4)&lt;&gt;"",INDEX(THHKII!$V$8:$Y$62,MATCH($BL61,THHKII!$AG$8:$AG$62,0),4),""),"")</f>
        <v/>
      </c>
      <c r="BL61" s="30" t="str">
        <f>IF($A61&lt;&gt;"",INDEX(DiemHKII!$B$4:$K$58,MATCH($A61,DiemHKII!$B$4:$B$58,0),2),"")</f>
        <v/>
      </c>
    </row>
    <row r="62" spans="1:64" s="30" customFormat="1" ht="29.1" hidden="1" customHeight="1">
      <c r="A62" s="31" t="str">
        <f>IF(A61&lt;MAX(DiemHKII!$B$4:$B$58),A61+1,"")</f>
        <v/>
      </c>
      <c r="B62" s="32" t="str">
        <f>IF($A62&lt;&gt;"",PROPER(INDEX(DiemHKII!$B$4:$K$58,MATCH($A62,DiemHKII!$B$4:$B$58,0),4)),"")</f>
        <v/>
      </c>
      <c r="C62" s="33" t="str">
        <f>IF($A62&lt;&gt;"",PROPER(INDEX(DiemHKII!$B$4:$K$58,MATCH($A62,DiemHKII!$B$4:$B$58,0),5)),"")</f>
        <v/>
      </c>
      <c r="D62" s="34" t="str">
        <f>IF($A62&lt;&gt;"",IF(INDEX(BDHK2,MATCH($A62,DiemHKII!$B$4:$B$58,0),INDEX($BG$14:$BK$27,MATCH(D$7,$BG$14:$BG$27,0),2))&lt;&gt;"",INDEX(BDHK2,MATCH($A62,DiemHKII!$B$4:$B$58,0),INDEX($BG$14:$BK$27,MATCH(D$7,$BG$14:$BG$27,0),3)),""),"")</f>
        <v/>
      </c>
      <c r="E62" s="35" t="str">
        <f>IF($A62&lt;&gt;"",IF(INDEX(BDHK2,MATCH($A62,DiemHKII!$B$4:$B$58,0),INDEX($BG$14:$BK$27,MATCH(D$7,$BG$14:$BG$27,0),2))&lt;&gt;"",INDEX(BDHK2,MATCH($A62,DiemHKII!$B$4:$B$58,0),INDEX($BG$14:$BK$27,MATCH(D$7,$BG$14:$BG$27,0),4)),""),"")</f>
        <v/>
      </c>
      <c r="F62" s="36" t="str">
        <f>IF($A62&lt;&gt;"",IF(INDEX(BDHK2,MATCH($A62,DiemHKII!$B$4:$B$58,0),INDEX($BG$14:$BK$27,MATCH(D$7,$BG$14:$BG$27,0),2))&lt;&gt;"",INDEX(BDHK2,MATCH($A62,DiemHKII!$B$4:$B$58,0),INDEX($BG$14:$BK$27,MATCH(D$7,$BG$14:$BG$27,0),5)),""),"")</f>
        <v/>
      </c>
      <c r="G62" s="34" t="str">
        <f>IF($A62&lt;&gt;"",IF(INDEX(BDHK2,MATCH($A62,DiemHKII!$B$4:$B$58,0),INDEX($BG$14:$BK$27,MATCH(G$7,$BG$14:$BG$27,0),2))&lt;&gt;"",INDEX(BDHK2,MATCH($A62,DiemHKII!$B$4:$B$58,0),INDEX($BG$14:$BK$27,MATCH(G$7,$BG$14:$BG$27,0),3)),""),"")</f>
        <v/>
      </c>
      <c r="H62" s="35" t="str">
        <f>IF($A62&lt;&gt;"",IF(INDEX(BDHK2,MATCH($A62,DiemHKII!$B$4:$B$58,0),INDEX($BG$14:$BK$27,MATCH(G$7,$BG$14:$BG$27,0),2))&lt;&gt;"",INDEX(BDHK2,MATCH($A62,DiemHKII!$B$4:$B$58,0),INDEX($BG$14:$BK$27,MATCH(G$7,$BG$14:$BG$27,0),4)),""),"")</f>
        <v/>
      </c>
      <c r="I62" s="36" t="str">
        <f>IF($A62&lt;&gt;"",IF(INDEX(BDHK2,MATCH($A62,DiemHKII!$B$4:$B$58,0),INDEX($BG$14:$BK$27,MATCH(G$7,$BG$14:$BG$27,0),2))&lt;&gt;"",INDEX(BDHK2,MATCH($A62,DiemHKII!$B$4:$B$58,0),INDEX($BG$14:$BK$27,MATCH(G$7,$BG$14:$BG$27,0),5)),""),"")</f>
        <v/>
      </c>
      <c r="J62" s="34" t="str">
        <f>IF($A62&lt;&gt;"",IF(INDEX(BDHK2,MATCH($A62,DiemHKII!$B$4:$B$58,0),INDEX($BG$14:$BK$27,MATCH(J$7,$BG$14:$BG$27,0),2))&lt;&gt;"",INDEX(BDHK2,MATCH($A62,DiemHKII!$B$4:$B$58,0),INDEX($BG$14:$BK$27,MATCH(J$7,$BG$14:$BG$27,0),3)),""),"")</f>
        <v/>
      </c>
      <c r="K62" s="35" t="str">
        <f>IF($A62&lt;&gt;"",IF(INDEX(BDHK2,MATCH($A62,DiemHKII!$B$4:$B$58,0),INDEX($BG$14:$BK$27,MATCH(J$7,$BG$14:$BG$27,0),2))&lt;&gt;"",INDEX(BDHK2,MATCH($A62,DiemHKII!$B$4:$B$58,0),INDEX($BG$14:$BK$27,MATCH(J$7,$BG$14:$BG$27,0),4)),""),"")</f>
        <v/>
      </c>
      <c r="L62" s="36" t="str">
        <f>IF($A62&lt;&gt;"",IF(INDEX(BDHK2,MATCH($A62,DiemHKII!$B$4:$B$58,0),INDEX($BG$14:$BK$27,MATCH(J$7,$BG$14:$BG$27,0),2))&lt;&gt;"",INDEX(BDHK2,MATCH($A62,DiemHKII!$B$4:$B$58,0),INDEX($BG$14:$BK$27,MATCH(J$7,$BG$14:$BG$27,0),5)),""),"")</f>
        <v/>
      </c>
      <c r="M62" s="34" t="str">
        <f>IF($A62&lt;&gt;"",IF(INDEX(BDHK2,MATCH($A62,DiemHKII!$B$4:$B$58,0),INDEX($BG$14:$BK$27,MATCH(M$7,$BG$14:$BG$27,0),2))&lt;&gt;"",INDEX(BDHK2,MATCH($A62,DiemHKII!$B$4:$B$58,0),INDEX($BG$14:$BK$27,MATCH(M$7,$BG$14:$BG$27,0),3)),""),"")</f>
        <v/>
      </c>
      <c r="N62" s="35" t="str">
        <f>IF($A62&lt;&gt;"",IF(INDEX(BDHK2,MATCH($A62,DiemHKII!$B$4:$B$58,0),INDEX($BG$14:$BK$27,MATCH(M$7,$BG$14:$BG$27,0),2))&lt;&gt;"",INDEX(BDHK2,MATCH($A62,DiemHKII!$B$4:$B$58,0),INDEX($BG$14:$BK$27,MATCH(M$7,$BG$14:$BG$27,0),4)),""),"")</f>
        <v/>
      </c>
      <c r="O62" s="36" t="str">
        <f>IF($A62&lt;&gt;"",IF(INDEX(BDHK2,MATCH($A62,DiemHKII!$B$4:$B$58,0),INDEX($BG$14:$BK$27,MATCH(M$7,$BG$14:$BG$27,0),2))&lt;&gt;"",INDEX(BDHK2,MATCH($A62,DiemHKII!$B$4:$B$58,0),INDEX($BG$14:$BK$27,MATCH(M$7,$BG$14:$BG$27,0),5)),""),"")</f>
        <v/>
      </c>
      <c r="P62" s="34" t="str">
        <f>IF($A62&lt;&gt;"",IF(INDEX(BDHK2,MATCH($A62,DiemHKII!$B$4:$B$58,0),INDEX($BG$14:$BK$27,MATCH(P$7,$BG$14:$BG$27,0),2))&lt;&gt;"",INDEX(BDHK2,MATCH($A62,DiemHKII!$B$4:$B$58,0),INDEX($BG$14:$BK$27,MATCH(P$7,$BG$14:$BG$27,0),3)),""),"")</f>
        <v/>
      </c>
      <c r="Q62" s="35" t="str">
        <f>IF($A62&lt;&gt;"",IF(INDEX(BDHK2,MATCH($A62,DiemHKII!$B$4:$B$58,0),INDEX($BG$14:$BK$27,MATCH(P$7,$BG$14:$BG$27,0),2))&lt;&gt;"",INDEX(BDHK2,MATCH($A62,DiemHKII!$B$4:$B$58,0),INDEX($BG$14:$BK$27,MATCH(P$7,$BG$14:$BG$27,0),4)),""),"")</f>
        <v/>
      </c>
      <c r="R62" s="36" t="str">
        <f>IF($A62&lt;&gt;"",IF(INDEX(BDHK2,MATCH($A62,DiemHKII!$B$4:$B$58,0),INDEX($BG$14:$BK$27,MATCH(P$7,$BG$14:$BG$27,0),2))&lt;&gt;"",INDEX(BDHK2,MATCH($A62,DiemHKII!$B$4:$B$58,0),INDEX($BG$14:$BK$27,MATCH(P$7,$BG$14:$BG$27,0),5)),""),"")</f>
        <v/>
      </c>
      <c r="S62" s="34" t="str">
        <f>IF($A62&lt;&gt;"",IF(INDEX(BDHK2,MATCH($A62,DiemHKII!$B$4:$B$58,0),INDEX($BG$14:$BK$27,MATCH(S$7,$BG$14:$BG$27,0),2))&lt;&gt;"",INDEX(BDHK2,MATCH($A62,DiemHKII!$B$4:$B$58,0),INDEX($BG$14:$BK$27,MATCH(S$7,$BG$14:$BG$27,0),3)),""),"")</f>
        <v/>
      </c>
      <c r="T62" s="35" t="str">
        <f>IF($A62&lt;&gt;"",IF(INDEX(BDHK2,MATCH($A62,DiemHKII!$B$4:$B$58,0),INDEX($BG$14:$BK$27,MATCH(S$7,$BG$14:$BG$27,0),2))&lt;&gt;"",INDEX(BDHK2,MATCH($A62,DiemHKII!$B$4:$B$58,0),INDEX($BG$14:$BK$27,MATCH(S$7,$BG$14:$BG$27,0),4)),""),"")</f>
        <v/>
      </c>
      <c r="U62" s="36" t="str">
        <f>IF($A62&lt;&gt;"",IF(INDEX(BDHK2,MATCH($A62,DiemHKII!$B$4:$B$58,0),INDEX($BG$14:$BK$27,MATCH(S$7,$BG$14:$BG$27,0),2))&lt;&gt;"",INDEX(BDHK2,MATCH($A62,DiemHKII!$B$4:$B$58,0),INDEX($BG$14:$BK$27,MATCH(S$7,$BG$14:$BG$27,0),5)),""),"")</f>
        <v/>
      </c>
      <c r="V62" s="34" t="str">
        <f>IF($A62&lt;&gt;"",IF(INDEX(BDHK2,MATCH($A62,DiemHKII!$B$4:$B$58,0),INDEX($BG$14:$BK$27,MATCH(V$7,$BG$14:$BG$27,0),2))&lt;&gt;"",INDEX(BDHK2,MATCH($A62,DiemHKII!$B$4:$B$58,0),INDEX($BG$14:$BK$27,MATCH(V$7,$BG$14:$BG$27,0),3)),""),"")</f>
        <v/>
      </c>
      <c r="W62" s="35" t="str">
        <f>IF($A62&lt;&gt;"",IF(INDEX(BDHK2,MATCH($A62,DiemHKII!$B$4:$B$58,0),INDEX($BG$14:$BK$27,MATCH(V$7,$BG$14:$BG$27,0),2))&lt;&gt;"",INDEX(BDHK2,MATCH($A62,DiemHKII!$B$4:$B$58,0),INDEX($BG$14:$BK$27,MATCH(V$7,$BG$14:$BG$27,0),4)),""),"")</f>
        <v/>
      </c>
      <c r="X62" s="36" t="str">
        <f>IF($A62&lt;&gt;"",IF(INDEX(BDHK2,MATCH($A62,DiemHKII!$B$4:$B$58,0),INDEX($BG$14:$BK$27,MATCH(V$7,$BG$14:$BG$27,0),2))&lt;&gt;"",INDEX(BDHK2,MATCH($A62,DiemHKII!$B$4:$B$58,0),INDEX($BG$14:$BK$27,MATCH(V$7,$BG$14:$BG$27,0),5)),""),"")</f>
        <v/>
      </c>
      <c r="Y62" s="34" t="str">
        <f>IF($A62&lt;&gt;"",IF(INDEX(BDHK2,MATCH($A62,DiemHKII!$B$4:$B$58,0),INDEX($BG$14:$BK$27,MATCH(Y$7,$BG$14:$BG$27,0),2))&lt;&gt;"",INDEX(BDHK2,MATCH($A62,DiemHKII!$B$4:$B$58,0),INDEX($BG$14:$BK$27,MATCH(Y$7,$BG$14:$BG$27,0),3)),""),"")</f>
        <v/>
      </c>
      <c r="Z62" s="35" t="str">
        <f>IF($A62&lt;&gt;"",IF(INDEX(BDHK2,MATCH($A62,DiemHKII!$B$4:$B$58,0),INDEX($BG$14:$BK$27,MATCH(Y$7,$BG$14:$BG$27,0),2))&lt;&gt;"",INDEX(BDHK2,MATCH($A62,DiemHKII!$B$4:$B$58,0),INDEX($BG$14:$BK$27,MATCH(Y$7,$BG$14:$BG$27,0),4)),""),"")</f>
        <v/>
      </c>
      <c r="AA62" s="36" t="str">
        <f>IF($A62&lt;&gt;"",IF(INDEX(BDHK2,MATCH($A62,DiemHKII!$B$4:$B$58,0),INDEX($BG$14:$BK$27,MATCH(Y$7,$BG$14:$BG$27,0),2))&lt;&gt;"",INDEX(BDHK2,MATCH($A62,DiemHKII!$B$4:$B$58,0),INDEX($BG$14:$BK$27,MATCH(Y$7,$BG$14:$BG$27,0),5)),""),"")</f>
        <v/>
      </c>
      <c r="AB62" s="34" t="str">
        <f>IF($A62&lt;&gt;"",IF(INDEX(BDHK2,MATCH($A62,DiemHKII!$B$4:$B$58,0),INDEX($BG$14:$BK$27,MATCH(AB$7,$BG$14:$BG$27,0),2))&lt;&gt;"",INDEX(BDHK2,MATCH($A62,DiemHKII!$B$4:$B$58,0),INDEX($BG$14:$BK$27,MATCH(AB$7,$BG$14:$BG$27,0),3)),""),"")</f>
        <v/>
      </c>
      <c r="AC62" s="35" t="str">
        <f>IF($A62&lt;&gt;"",IF(INDEX(BDHK2,MATCH($A62,DiemHKII!$B$4:$B$58,0),INDEX($BG$14:$BK$27,MATCH(AB$7,$BG$14:$BG$27,0),2))&lt;&gt;"",INDEX(BDHK2,MATCH($A62,DiemHKII!$B$4:$B$58,0),INDEX($BG$14:$BK$27,MATCH(AB$7,$BG$14:$BG$27,0),4)),""),"")</f>
        <v/>
      </c>
      <c r="AD62" s="36" t="str">
        <f>IF($A62&lt;&gt;"",IF(INDEX(BDHK2,MATCH($A62,DiemHKII!$B$4:$B$58,0),INDEX($BG$14:$BK$27,MATCH(AB$7,$BG$14:$BG$27,0),2))&lt;&gt;"",INDEX(BDHK2,MATCH($A62,DiemHKII!$B$4:$B$58,0),INDEX($BG$14:$BK$27,MATCH(AB$7,$BG$14:$BG$27,0),5)),""),"")</f>
        <v/>
      </c>
      <c r="AE62" s="34" t="str">
        <f>IF($A62&lt;&gt;"",IF(INDEX(BDHK2,MATCH($A62,DiemHKII!$B$4:$B$58,0),INDEX($BG$14:$BK$27,MATCH(AE$7,$BG$14:$BG$27,0),2))&lt;&gt;"",INDEX(BDHK2,MATCH($A62,DiemHKII!$B$4:$B$58,0),INDEX($BG$14:$BK$27,MATCH(AE$7,$BG$14:$BG$27,0),3)),""),"")</f>
        <v/>
      </c>
      <c r="AF62" s="35" t="str">
        <f>IF($A62&lt;&gt;"",IF(INDEX(BDHK2,MATCH($A62,DiemHKII!$B$4:$B$58,0),INDEX($BG$14:$BK$27,MATCH(AE$7,$BG$14:$BG$27,0),2))&lt;&gt;"",INDEX(BDHK2,MATCH($A62,DiemHKII!$B$4:$B$58,0),INDEX($BG$14:$BK$27,MATCH(AE$7,$BG$14:$BG$27,0),4)),""),"")</f>
        <v/>
      </c>
      <c r="AG62" s="36" t="str">
        <f>IF($A62&lt;&gt;"",IF(INDEX(BDHK2,MATCH($A62,DiemHKII!$B$4:$B$58,0),INDEX($BG$14:$BK$27,MATCH(AE$7,$BG$14:$BG$27,0),2))&lt;&gt;"",INDEX(BDHK2,MATCH($A62,DiemHKII!$B$4:$B$58,0),INDEX($BG$14:$BK$27,MATCH(AE$7,$BG$14:$BG$27,0),5)),""),"")</f>
        <v/>
      </c>
      <c r="AH62" s="34" t="str">
        <f>IF($A62&lt;&gt;"",IF(INDEX(BDHK2,MATCH($A62,DiemHKII!$B$4:$B$58,0),INDEX($BG$14:$BK$27,MATCH(AH$7,$BG$14:$BG$27,0),2))&lt;&gt;"",INDEX(BDHK2,MATCH($A62,DiemHKII!$B$4:$B$58,0),INDEX($BG$14:$BK$27,MATCH(AH$7,$BG$14:$BG$27,0),3)),""),"")</f>
        <v/>
      </c>
      <c r="AI62" s="35" t="str">
        <f>IF($A62&lt;&gt;"",IF(INDEX(BDHK2,MATCH($A62,DiemHKII!$B$4:$B$58,0),INDEX($BG$14:$BK$27,MATCH(AH$7,$BG$14:$BG$27,0),2))&lt;&gt;"",INDEX(BDHK2,MATCH($A62,DiemHKII!$B$4:$B$58,0),INDEX($BG$14:$BK$27,MATCH(AH$7,$BG$14:$BG$27,0),4)),""),"")</f>
        <v/>
      </c>
      <c r="AJ62" s="36" t="str">
        <f>IF($A62&lt;&gt;"",IF(INDEX(BDHK2,MATCH($A62,DiemHKII!$B$4:$B$58,0),INDEX($BG$14:$BK$27,MATCH(AH$7,$BG$14:$BG$27,0),2))&lt;&gt;"",INDEX(BDHK2,MATCH($A62,DiemHKII!$B$4:$B$58,0),INDEX($BG$14:$BK$27,MATCH(AH$7,$BG$14:$BG$27,0),5)),""),"")</f>
        <v/>
      </c>
      <c r="AK62" s="37" t="str">
        <f>IF($A62&lt;&gt;"",IF(INDEX(BDHK2,MATCH($A62,DiemHKII!$B$4:$B$58,0),INDEX($BG$14:$BK$27,MATCH(AK$7,$BG$14:$BG$27,0),2))&lt;&gt;"",INDEX(BDHK2,MATCH($A62,DiemHKII!$B$4:$B$58,0),INDEX($BG$14:$BK$27,MATCH(AK$7,$BG$14:$BG$27,0),3)),""),"")</f>
        <v/>
      </c>
      <c r="AL62" s="8" t="str">
        <f>IF($A62&lt;&gt;"",IF(INDEX(BDHK2,MATCH($A62,DiemHKII!$B$4:$B$58,0),INDEX($BG$14:$BK$27,MATCH(AK$7,$BG$14:$BG$27,0),2))&lt;&gt;"",INDEX(BDHK2,MATCH($A62,DiemHKII!$B$4:$B$58,0),INDEX($BG$14:$BK$27,MATCH(AK$7,$BG$14:$BG$27,0),4)),""),"")</f>
        <v/>
      </c>
      <c r="AM62" s="38" t="str">
        <f>IF($A62&lt;&gt;"",IF(INDEX(BDHK2,MATCH($A62,DiemHKII!$B$4:$B$58,0),INDEX($BG$14:$BK$27,MATCH(AK$7,$BG$14:$BG$27,0),2))&lt;&gt;"",INDEX(BDHK2,MATCH($A62,DiemHKII!$B$4:$B$58,0),INDEX($BG$14:$BK$27,MATCH(AK$7,$BG$14:$BG$27,0),5)),""),"")</f>
        <v/>
      </c>
      <c r="AN62" s="34" t="str">
        <f>IF($A62&lt;&gt;"",IF(INDEX(BDHK2,MATCH($A62,DiemHKII!$B$4:$B$58,0),INDEX($BG$14:$BK$27,MATCH(AN$7,$BG$14:$BG$27,0),2))&lt;&gt;"",INDEX(BDHK2,MATCH($A62,DiemHKII!$B$4:$B$58,0),INDEX($BG$14:$BK$27,MATCH(AN$7,$BG$14:$BG$27,0),3)),""),"")</f>
        <v/>
      </c>
      <c r="AO62" s="35" t="str">
        <f>IF($A62&lt;&gt;"",IF(INDEX(BDHK2,MATCH($A62,DiemHKII!$B$4:$B$58,0),INDEX($BG$14:$BK$27,MATCH(AN$7,$BG$14:$BG$27,0),2))&lt;&gt;"",INDEX(BDHK2,MATCH($A62,DiemHKII!$B$4:$B$58,0),INDEX($BG$14:$BK$27,MATCH(AN$7,$BG$14:$BG$27,0),4)),""),"")</f>
        <v/>
      </c>
      <c r="AP62" s="36" t="str">
        <f>IF($A62&lt;&gt;"",IF(INDEX(BDHK2,MATCH($A62,DiemHKII!$B$4:$B$58,0),INDEX($BG$14:$BK$27,MATCH(AN$7,$BG$14:$BG$27,0),2))&lt;&gt;"",INDEX(BDHK2,MATCH($A62,DiemHKII!$B$4:$B$58,0),INDEX($BG$14:$BK$27,MATCH(AN$7,$BG$14:$BG$27,0),5)),""),"")</f>
        <v/>
      </c>
      <c r="AQ62" s="34" t="str">
        <f>IF($A62&lt;&gt;"",IF(INDEX(BDHK2,MATCH($A62,DiemHKII!$B$4:$B$58,0),INDEX($BG$14:$BK$27,MATCH(AQ$7,$BG$14:$BG$27,0),2))&lt;&gt;"",INDEX(BDHK2,MATCH($A62,DiemHKII!$B$4:$B$58,0),INDEX($BG$14:$BK$27,MATCH(AQ$7,$BG$14:$BG$27,0),3)),""),"")</f>
        <v/>
      </c>
      <c r="AR62" s="35" t="str">
        <f>IF($A62&lt;&gt;"",IF(INDEX(BDHK2,MATCH($A62,DiemHKII!$B$4:$B$58,0),INDEX($BG$14:$BK$27,MATCH(AQ$7,$BG$14:$BG$27,0),2))&lt;&gt;"",INDEX(BDHK2,MATCH($A62,DiemHKII!$B$4:$B$58,0),INDEX($BG$14:$BK$27,MATCH(AQ$7,$BG$14:$BG$27,0),4)),""),"")</f>
        <v/>
      </c>
      <c r="AS62" s="36" t="str">
        <f>IF($A62&lt;&gt;"",IF(INDEX(BDHK2,MATCH($A62,DiemHKII!$B$4:$B$58,0),INDEX($BG$14:$BK$27,MATCH(AQ$7,$BG$14:$BG$27,0),2))&lt;&gt;"",INDEX(BDHK2,MATCH($A62,DiemHKII!$B$4:$B$58,0),INDEX($BG$14:$BK$27,MATCH(AQ$7,$BG$14:$BG$27,0),5)),""),"")</f>
        <v/>
      </c>
      <c r="AT62" s="34" t="str">
        <f>IFERROR(IF($A62&gt;=1,IF(INDEX(THHKI!$V$8:$Y$62,MATCH($BL62,THHKI!$AG$8:$AG$62,0),1)&lt;&gt;"",INDEX(THHKI!$V$8:$Y$62,MATCH($BL62,THHKI!$AG$8:$AG$62,0),1),""),""),"")</f>
        <v/>
      </c>
      <c r="AU62" s="35" t="str">
        <f>IF($A62&gt;=1,IF(INDEX(THHKII!$V$8:$Y$62,MATCH($BL62,THHKII!$AG$8:$AG$62,0),1)&lt;&gt;"",INDEX(THHKII!$V$8:$Y$62,MATCH($BL62,THHKII!$AG$8:$AG$62,0),1),""),"")</f>
        <v/>
      </c>
      <c r="AV62" s="39" t="str">
        <f>IF($A62&gt;=1,IF(INDEX(THCN!$V$8:$Y$62,MATCH($BL62,THCN!$AG$8:$AG$62,0),1)&lt;&gt;"",INDEX(THCN!$V$8:$Y$62,MATCH($BL62,THCN!$AG$8:$AG$62,0),1),""),"")</f>
        <v/>
      </c>
      <c r="AW62" s="40" t="str">
        <f>IFERROR(IF($A62&gt;=1,IF(INDEX(THHKI!$V$8:$Y$62,MATCH($BL62,THHKI!$AG$8:$AG$62,0),2)&lt;&gt;"",INDEX(THHKI!$V$8:$Y$62,MATCH($BL62,THHKI!$AG$8:$AG$62,0),2),""),""),"")</f>
        <v/>
      </c>
      <c r="AX62" s="8" t="str">
        <f>IF($A62&gt;=1,IF(INDEX(THHKII!$V$8:$Y$62,MATCH($BL62,THHKII!$AG$8:$AG$62,0),2)&lt;&gt;"",INDEX(THHKII!$V$8:$Y$62,MATCH($BL62,THHKII!$AG$8:$AG$62,0),2),""),"")</f>
        <v/>
      </c>
      <c r="AY62" s="467" t="str">
        <f>IF($A62&gt;=1,IF(INDEX(THCN!$V$8:$Y$62,MATCH($BL62,THCN!$AG$8:$AG$62,0),2)&lt;&gt;"",INDEX(THCN!$V$8:$Y$62,MATCH($BL62,THCN!$AG$8:$AG$62,0),2),""),"")</f>
        <v/>
      </c>
      <c r="AZ62" s="37" t="str">
        <f>IFERROR(IF($A62&gt;=1,IF(INDEX(THHKI!$V$8:$Y$62,MATCH($BL62,THHKI!$AG$8:$AG$62,0),3)&lt;&gt;"",INDEX(THHKI!$V$8:$Y$62,MATCH($BL62,THHKI!$AG$8:$AG$62,0),3),""),""),"")</f>
        <v/>
      </c>
      <c r="BA62" s="8" t="str">
        <f>IF($A62&gt;=1,IF(INDEX(THHKII!$V$8:$Y$62,MATCH($BL62,THHKII!$AG$8:$AG$62,0),3)&lt;&gt;"",INDEX(THHKII!$V$8:$Y$62,MATCH($BL62,THHKII!$AG$8:$AG$62,0),3),""),"")</f>
        <v/>
      </c>
      <c r="BB62" s="41" t="str">
        <f>IF($A62&gt;=1,IF(INDEX(THCN!$V$8:$Y$62,MATCH($BL62,THCN!$AG$8:$AG$62,0),3)&lt;&gt;"",INDEX(THCN!$V$8:$Y$62,MATCH($BL62,THCN!$AG$8:$AG$62,0),3),""),"")</f>
        <v/>
      </c>
      <c r="BC62" s="42" t="str">
        <f>IF($A62&gt;=1,IF(INDEX(THCN!$V$8:$Y$62,MATCH($BL62,THCN!$AG$8:$AG$62,0),4)&lt;&gt;"",INDEX(THCN!$V$8:$Y$62,MATCH($BL62,THCN!$AG$8:$AG$62,0),4),""),"")</f>
        <v/>
      </c>
      <c r="BE62" s="31" t="str">
        <f>IFERROR(IF($A62&gt;=1,IF(INDEX(THHKI!$V$8:$Y$62,MATCH($BL62,THHKI!$AG$8:$AG$62,0),4)&lt;&gt;"",INDEX(THHKI!$V$8:$Y$62,MATCH($BL62,THHKI!$AG$8:$AG$62,0),4),""),""),"")</f>
        <v/>
      </c>
      <c r="BF62" s="42" t="str">
        <f>IF($A62&gt;=1,IF(INDEX(THHKII!$V$8:$Y$62,MATCH($BL62,THHKII!$AG$8:$AG$62,0),4)&lt;&gt;"",INDEX(THHKII!$V$8:$Y$62,MATCH($BL62,THHKII!$AG$8:$AG$62,0),4),""),"")</f>
        <v/>
      </c>
      <c r="BL62" s="30" t="str">
        <f>IF($A62&lt;&gt;"",INDEX(DiemHKII!$B$4:$K$58,MATCH($A62,DiemHKII!$B$4:$B$58,0),2),"")</f>
        <v/>
      </c>
    </row>
    <row r="63" spans="1:64" s="30" customFormat="1" ht="29.1" hidden="1" customHeight="1" thickBot="1">
      <c r="A63" s="43" t="str">
        <f>IF(A62&lt;MAX(DiemHKII!$B$4:$B$58),A62+1,"")</f>
        <v/>
      </c>
      <c r="B63" s="44" t="str">
        <f>IF($A63&lt;&gt;"",PROPER(INDEX(DiemHKII!$B$4:$K$58,MATCH($A63,DiemHKII!$B$4:$B$58,0),4)),"")</f>
        <v/>
      </c>
      <c r="C63" s="45" t="str">
        <f>IF($A63&lt;&gt;"",PROPER(INDEX(DiemHKII!$B$4:$K$58,MATCH($A63,DiemHKII!$B$4:$B$58,0),5)),"")</f>
        <v/>
      </c>
      <c r="D63" s="46" t="str">
        <f>IF($A63&lt;&gt;"",IF(INDEX(BDHK2,MATCH($A63,DiemHKII!$B$4:$B$58,0),INDEX($BG$14:$BK$27,MATCH(D$7,$BG$14:$BG$27,0),2))&lt;&gt;"",INDEX(BDHK2,MATCH($A63,DiemHKII!$B$4:$B$58,0),INDEX($BG$14:$BK$27,MATCH(D$7,$BG$14:$BG$27,0),3)),""),"")</f>
        <v/>
      </c>
      <c r="E63" s="47" t="str">
        <f>IF($A63&lt;&gt;"",IF(INDEX(BDHK2,MATCH($A63,DiemHKII!$B$4:$B$58,0),INDEX($BG$14:$BK$27,MATCH(D$7,$BG$14:$BG$27,0),2))&lt;&gt;"",INDEX(BDHK2,MATCH($A63,DiemHKII!$B$4:$B$58,0),INDEX($BG$14:$BK$27,MATCH(D$7,$BG$14:$BG$27,0),4)),""),"")</f>
        <v/>
      </c>
      <c r="F63" s="48" t="str">
        <f>IF($A63&lt;&gt;"",IF(INDEX(BDHK2,MATCH($A63,DiemHKII!$B$4:$B$58,0),INDEX($BG$14:$BK$27,MATCH(D$7,$BG$14:$BG$27,0),2))&lt;&gt;"",INDEX(BDHK2,MATCH($A63,DiemHKII!$B$4:$B$58,0),INDEX($BG$14:$BK$27,MATCH(D$7,$BG$14:$BG$27,0),5)),""),"")</f>
        <v/>
      </c>
      <c r="G63" s="46" t="str">
        <f>IF($A63&lt;&gt;"",IF(INDEX(BDHK2,MATCH($A63,DiemHKII!$B$4:$B$58,0),INDEX($BG$14:$BK$27,MATCH(G$7,$BG$14:$BG$27,0),2))&lt;&gt;"",INDEX(BDHK2,MATCH($A63,DiemHKII!$B$4:$B$58,0),INDEX($BG$14:$BK$27,MATCH(G$7,$BG$14:$BG$27,0),3)),""),"")</f>
        <v/>
      </c>
      <c r="H63" s="47" t="str">
        <f>IF($A63&lt;&gt;"",IF(INDEX(BDHK2,MATCH($A63,DiemHKII!$B$4:$B$58,0),INDEX($BG$14:$BK$27,MATCH(G$7,$BG$14:$BG$27,0),2))&lt;&gt;"",INDEX(BDHK2,MATCH($A63,DiemHKII!$B$4:$B$58,0),INDEX($BG$14:$BK$27,MATCH(G$7,$BG$14:$BG$27,0),4)),""),"")</f>
        <v/>
      </c>
      <c r="I63" s="48" t="str">
        <f>IF($A63&lt;&gt;"",IF(INDEX(BDHK2,MATCH($A63,DiemHKII!$B$4:$B$58,0),INDEX($BG$14:$BK$27,MATCH(G$7,$BG$14:$BG$27,0),2))&lt;&gt;"",INDEX(BDHK2,MATCH($A63,DiemHKII!$B$4:$B$58,0),INDEX($BG$14:$BK$27,MATCH(G$7,$BG$14:$BG$27,0),5)),""),"")</f>
        <v/>
      </c>
      <c r="J63" s="46" t="str">
        <f>IF($A63&lt;&gt;"",IF(INDEX(BDHK2,MATCH($A63,DiemHKII!$B$4:$B$58,0),INDEX($BG$14:$BK$27,MATCH(J$7,$BG$14:$BG$27,0),2))&lt;&gt;"",INDEX(BDHK2,MATCH($A63,DiemHKII!$B$4:$B$58,0),INDEX($BG$14:$BK$27,MATCH(J$7,$BG$14:$BG$27,0),3)),""),"")</f>
        <v/>
      </c>
      <c r="K63" s="47" t="str">
        <f>IF($A63&lt;&gt;"",IF(INDEX(BDHK2,MATCH($A63,DiemHKII!$B$4:$B$58,0),INDEX($BG$14:$BK$27,MATCH(J$7,$BG$14:$BG$27,0),2))&lt;&gt;"",INDEX(BDHK2,MATCH($A63,DiemHKII!$B$4:$B$58,0),INDEX($BG$14:$BK$27,MATCH(J$7,$BG$14:$BG$27,0),4)),""),"")</f>
        <v/>
      </c>
      <c r="L63" s="48" t="str">
        <f>IF($A63&lt;&gt;"",IF(INDEX(BDHK2,MATCH($A63,DiemHKII!$B$4:$B$58,0),INDEX($BG$14:$BK$27,MATCH(J$7,$BG$14:$BG$27,0),2))&lt;&gt;"",INDEX(BDHK2,MATCH($A63,DiemHKII!$B$4:$B$58,0),INDEX($BG$14:$BK$27,MATCH(J$7,$BG$14:$BG$27,0),5)),""),"")</f>
        <v/>
      </c>
      <c r="M63" s="46" t="str">
        <f>IF($A63&lt;&gt;"",IF(INDEX(BDHK2,MATCH($A63,DiemHKII!$B$4:$B$58,0),INDEX($BG$14:$BK$27,MATCH(M$7,$BG$14:$BG$27,0),2))&lt;&gt;"",INDEX(BDHK2,MATCH($A63,DiemHKII!$B$4:$B$58,0),INDEX($BG$14:$BK$27,MATCH(M$7,$BG$14:$BG$27,0),3)),""),"")</f>
        <v/>
      </c>
      <c r="N63" s="47" t="str">
        <f>IF($A63&lt;&gt;"",IF(INDEX(BDHK2,MATCH($A63,DiemHKII!$B$4:$B$58,0),INDEX($BG$14:$BK$27,MATCH(M$7,$BG$14:$BG$27,0),2))&lt;&gt;"",INDEX(BDHK2,MATCH($A63,DiemHKII!$B$4:$B$58,0),INDEX($BG$14:$BK$27,MATCH(M$7,$BG$14:$BG$27,0),4)),""),"")</f>
        <v/>
      </c>
      <c r="O63" s="48" t="str">
        <f>IF($A63&lt;&gt;"",IF(INDEX(BDHK2,MATCH($A63,DiemHKII!$B$4:$B$58,0),INDEX($BG$14:$BK$27,MATCH(M$7,$BG$14:$BG$27,0),2))&lt;&gt;"",INDEX(BDHK2,MATCH($A63,DiemHKII!$B$4:$B$58,0),INDEX($BG$14:$BK$27,MATCH(M$7,$BG$14:$BG$27,0),5)),""),"")</f>
        <v/>
      </c>
      <c r="P63" s="46" t="str">
        <f>IF($A63&lt;&gt;"",IF(INDEX(BDHK2,MATCH($A63,DiemHKII!$B$4:$B$58,0),INDEX($BG$14:$BK$27,MATCH(P$7,$BG$14:$BG$27,0),2))&lt;&gt;"",INDEX(BDHK2,MATCH($A63,DiemHKII!$B$4:$B$58,0),INDEX($BG$14:$BK$27,MATCH(P$7,$BG$14:$BG$27,0),3)),""),"")</f>
        <v/>
      </c>
      <c r="Q63" s="47" t="str">
        <f>IF($A63&lt;&gt;"",IF(INDEX(BDHK2,MATCH($A63,DiemHKII!$B$4:$B$58,0),INDEX($BG$14:$BK$27,MATCH(P$7,$BG$14:$BG$27,0),2))&lt;&gt;"",INDEX(BDHK2,MATCH($A63,DiemHKII!$B$4:$B$58,0),INDEX($BG$14:$BK$27,MATCH(P$7,$BG$14:$BG$27,0),4)),""),"")</f>
        <v/>
      </c>
      <c r="R63" s="48" t="str">
        <f>IF($A63&lt;&gt;"",IF(INDEX(BDHK2,MATCH($A63,DiemHKII!$B$4:$B$58,0),INDEX($BG$14:$BK$27,MATCH(P$7,$BG$14:$BG$27,0),2))&lt;&gt;"",INDEX(BDHK2,MATCH($A63,DiemHKII!$B$4:$B$58,0),INDEX($BG$14:$BK$27,MATCH(P$7,$BG$14:$BG$27,0),5)),""),"")</f>
        <v/>
      </c>
      <c r="S63" s="46" t="str">
        <f>IF($A63&lt;&gt;"",IF(INDEX(BDHK2,MATCH($A63,DiemHKII!$B$4:$B$58,0),INDEX($BG$14:$BK$27,MATCH(S$7,$BG$14:$BG$27,0),2))&lt;&gt;"",INDEX(BDHK2,MATCH($A63,DiemHKII!$B$4:$B$58,0),INDEX($BG$14:$BK$27,MATCH(S$7,$BG$14:$BG$27,0),3)),""),"")</f>
        <v/>
      </c>
      <c r="T63" s="47" t="str">
        <f>IF($A63&lt;&gt;"",IF(INDEX(BDHK2,MATCH($A63,DiemHKII!$B$4:$B$58,0),INDEX($BG$14:$BK$27,MATCH(S$7,$BG$14:$BG$27,0),2))&lt;&gt;"",INDEX(BDHK2,MATCH($A63,DiemHKII!$B$4:$B$58,0),INDEX($BG$14:$BK$27,MATCH(S$7,$BG$14:$BG$27,0),4)),""),"")</f>
        <v/>
      </c>
      <c r="U63" s="48" t="str">
        <f>IF($A63&lt;&gt;"",IF(INDEX(BDHK2,MATCH($A63,DiemHKII!$B$4:$B$58,0),INDEX($BG$14:$BK$27,MATCH(S$7,$BG$14:$BG$27,0),2))&lt;&gt;"",INDEX(BDHK2,MATCH($A63,DiemHKII!$B$4:$B$58,0),INDEX($BG$14:$BK$27,MATCH(S$7,$BG$14:$BG$27,0),5)),""),"")</f>
        <v/>
      </c>
      <c r="V63" s="46" t="str">
        <f>IF($A63&lt;&gt;"",IF(INDEX(BDHK2,MATCH($A63,DiemHKII!$B$4:$B$58,0),INDEX($BG$14:$BK$27,MATCH(V$7,$BG$14:$BG$27,0),2))&lt;&gt;"",INDEX(BDHK2,MATCH($A63,DiemHKII!$B$4:$B$58,0),INDEX($BG$14:$BK$27,MATCH(V$7,$BG$14:$BG$27,0),3)),""),"")</f>
        <v/>
      </c>
      <c r="W63" s="47" t="str">
        <f>IF($A63&lt;&gt;"",IF(INDEX(BDHK2,MATCH($A63,DiemHKII!$B$4:$B$58,0),INDEX($BG$14:$BK$27,MATCH(V$7,$BG$14:$BG$27,0),2))&lt;&gt;"",INDEX(BDHK2,MATCH($A63,DiemHKII!$B$4:$B$58,0),INDEX($BG$14:$BK$27,MATCH(V$7,$BG$14:$BG$27,0),4)),""),"")</f>
        <v/>
      </c>
      <c r="X63" s="48" t="str">
        <f>IF($A63&lt;&gt;"",IF(INDEX(BDHK2,MATCH($A63,DiemHKII!$B$4:$B$58,0),INDEX($BG$14:$BK$27,MATCH(V$7,$BG$14:$BG$27,0),2))&lt;&gt;"",INDEX(BDHK2,MATCH($A63,DiemHKII!$B$4:$B$58,0),INDEX($BG$14:$BK$27,MATCH(V$7,$BG$14:$BG$27,0),5)),""),"")</f>
        <v/>
      </c>
      <c r="Y63" s="46" t="str">
        <f>IF($A63&lt;&gt;"",IF(INDEX(BDHK2,MATCH($A63,DiemHKII!$B$4:$B$58,0),INDEX($BG$14:$BK$27,MATCH(Y$7,$BG$14:$BG$27,0),2))&lt;&gt;"",INDEX(BDHK2,MATCH($A63,DiemHKII!$B$4:$B$58,0),INDEX($BG$14:$BK$27,MATCH(Y$7,$BG$14:$BG$27,0),3)),""),"")</f>
        <v/>
      </c>
      <c r="Z63" s="47" t="str">
        <f>IF($A63&lt;&gt;"",IF(INDEX(BDHK2,MATCH($A63,DiemHKII!$B$4:$B$58,0),INDEX($BG$14:$BK$27,MATCH(Y$7,$BG$14:$BG$27,0),2))&lt;&gt;"",INDEX(BDHK2,MATCH($A63,DiemHKII!$B$4:$B$58,0),INDEX($BG$14:$BK$27,MATCH(Y$7,$BG$14:$BG$27,0),4)),""),"")</f>
        <v/>
      </c>
      <c r="AA63" s="48" t="str">
        <f>IF($A63&lt;&gt;"",IF(INDEX(BDHK2,MATCH($A63,DiemHKII!$B$4:$B$58,0),INDEX($BG$14:$BK$27,MATCH(Y$7,$BG$14:$BG$27,0),2))&lt;&gt;"",INDEX(BDHK2,MATCH($A63,DiemHKII!$B$4:$B$58,0),INDEX($BG$14:$BK$27,MATCH(Y$7,$BG$14:$BG$27,0),5)),""),"")</f>
        <v/>
      </c>
      <c r="AB63" s="46" t="str">
        <f>IF($A63&lt;&gt;"",IF(INDEX(BDHK2,MATCH($A63,DiemHKII!$B$4:$B$58,0),INDEX($BG$14:$BK$27,MATCH(AB$7,$BG$14:$BG$27,0),2))&lt;&gt;"",INDEX(BDHK2,MATCH($A63,DiemHKII!$B$4:$B$58,0),INDEX($BG$14:$BK$27,MATCH(AB$7,$BG$14:$BG$27,0),3)),""),"")</f>
        <v/>
      </c>
      <c r="AC63" s="47" t="str">
        <f>IF($A63&lt;&gt;"",IF(INDEX(BDHK2,MATCH($A63,DiemHKII!$B$4:$B$58,0),INDEX($BG$14:$BK$27,MATCH(AB$7,$BG$14:$BG$27,0),2))&lt;&gt;"",INDEX(BDHK2,MATCH($A63,DiemHKII!$B$4:$B$58,0),INDEX($BG$14:$BK$27,MATCH(AB$7,$BG$14:$BG$27,0),4)),""),"")</f>
        <v/>
      </c>
      <c r="AD63" s="48" t="str">
        <f>IF($A63&lt;&gt;"",IF(INDEX(BDHK2,MATCH($A63,DiemHKII!$B$4:$B$58,0),INDEX($BG$14:$BK$27,MATCH(AB$7,$BG$14:$BG$27,0),2))&lt;&gt;"",INDEX(BDHK2,MATCH($A63,DiemHKII!$B$4:$B$58,0),INDEX($BG$14:$BK$27,MATCH(AB$7,$BG$14:$BG$27,0),5)),""),"")</f>
        <v/>
      </c>
      <c r="AE63" s="46" t="str">
        <f>IF($A63&lt;&gt;"",IF(INDEX(BDHK2,MATCH($A63,DiemHKII!$B$4:$B$58,0),INDEX($BG$14:$BK$27,MATCH(AE$7,$BG$14:$BG$27,0),2))&lt;&gt;"",INDEX(BDHK2,MATCH($A63,DiemHKII!$B$4:$B$58,0),INDEX($BG$14:$BK$27,MATCH(AE$7,$BG$14:$BG$27,0),3)),""),"")</f>
        <v/>
      </c>
      <c r="AF63" s="47" t="str">
        <f>IF($A63&lt;&gt;"",IF(INDEX(BDHK2,MATCH($A63,DiemHKII!$B$4:$B$58,0),INDEX($BG$14:$BK$27,MATCH(AE$7,$BG$14:$BG$27,0),2))&lt;&gt;"",INDEX(BDHK2,MATCH($A63,DiemHKII!$B$4:$B$58,0),INDEX($BG$14:$BK$27,MATCH(AE$7,$BG$14:$BG$27,0),4)),""),"")</f>
        <v/>
      </c>
      <c r="AG63" s="48" t="str">
        <f>IF($A63&lt;&gt;"",IF(INDEX(BDHK2,MATCH($A63,DiemHKII!$B$4:$B$58,0),INDEX($BG$14:$BK$27,MATCH(AE$7,$BG$14:$BG$27,0),2))&lt;&gt;"",INDEX(BDHK2,MATCH($A63,DiemHKII!$B$4:$B$58,0),INDEX($BG$14:$BK$27,MATCH(AE$7,$BG$14:$BG$27,0),5)),""),"")</f>
        <v/>
      </c>
      <c r="AH63" s="46" t="str">
        <f>IF($A63&lt;&gt;"",IF(INDEX(BDHK2,MATCH($A63,DiemHKII!$B$4:$B$58,0),INDEX($BG$14:$BK$27,MATCH(AH$7,$BG$14:$BG$27,0),2))&lt;&gt;"",INDEX(BDHK2,MATCH($A63,DiemHKII!$B$4:$B$58,0),INDEX($BG$14:$BK$27,MATCH(AH$7,$BG$14:$BG$27,0),3)),""),"")</f>
        <v/>
      </c>
      <c r="AI63" s="47" t="str">
        <f>IF($A63&lt;&gt;"",IF(INDEX(BDHK2,MATCH($A63,DiemHKII!$B$4:$B$58,0),INDEX($BG$14:$BK$27,MATCH(AH$7,$BG$14:$BG$27,0),2))&lt;&gt;"",INDEX(BDHK2,MATCH($A63,DiemHKII!$B$4:$B$58,0),INDEX($BG$14:$BK$27,MATCH(AH$7,$BG$14:$BG$27,0),4)),""),"")</f>
        <v/>
      </c>
      <c r="AJ63" s="48" t="str">
        <f>IF($A63&lt;&gt;"",IF(INDEX(BDHK2,MATCH($A63,DiemHKII!$B$4:$B$58,0),INDEX($BG$14:$BK$27,MATCH(AH$7,$BG$14:$BG$27,0),2))&lt;&gt;"",INDEX(BDHK2,MATCH($A63,DiemHKII!$B$4:$B$58,0),INDEX($BG$14:$BK$27,MATCH(AH$7,$BG$14:$BG$27,0),5)),""),"")</f>
        <v/>
      </c>
      <c r="AK63" s="49" t="str">
        <f>IF($A63&lt;&gt;"",IF(INDEX(BDHK2,MATCH($A63,DiemHKII!$B$4:$B$58,0),INDEX($BG$14:$BK$27,MATCH(AK$7,$BG$14:$BG$27,0),2))&lt;&gt;"",INDEX(BDHK2,MATCH($A63,DiemHKII!$B$4:$B$58,0),INDEX($BG$14:$BK$27,MATCH(AK$7,$BG$14:$BG$27,0),3)),""),"")</f>
        <v/>
      </c>
      <c r="AL63" s="50" t="str">
        <f>IF($A63&lt;&gt;"",IF(INDEX(BDHK2,MATCH($A63,DiemHKII!$B$4:$B$58,0),INDEX($BG$14:$BK$27,MATCH(AK$7,$BG$14:$BG$27,0),2))&lt;&gt;"",INDEX(BDHK2,MATCH($A63,DiemHKII!$B$4:$B$58,0),INDEX($BG$14:$BK$27,MATCH(AK$7,$BG$14:$BG$27,0),4)),""),"")</f>
        <v/>
      </c>
      <c r="AM63" s="51" t="str">
        <f>IF($A63&lt;&gt;"",IF(INDEX(BDHK2,MATCH($A63,DiemHKII!$B$4:$B$58,0),INDEX($BG$14:$BK$27,MATCH(AK$7,$BG$14:$BG$27,0),2))&lt;&gt;"",INDEX(BDHK2,MATCH($A63,DiemHKII!$B$4:$B$58,0),INDEX($BG$14:$BK$27,MATCH(AK$7,$BG$14:$BG$27,0),5)),""),"")</f>
        <v/>
      </c>
      <c r="AN63" s="46" t="str">
        <f>IF($A63&lt;&gt;"",IF(INDEX(BDHK2,MATCH($A63,DiemHKII!$B$4:$B$58,0),INDEX($BG$14:$BK$27,MATCH(AN$7,$BG$14:$BG$27,0),2))&lt;&gt;"",INDEX(BDHK2,MATCH($A63,DiemHKII!$B$4:$B$58,0),INDEX($BG$14:$BK$27,MATCH(AN$7,$BG$14:$BG$27,0),3)),""),"")</f>
        <v/>
      </c>
      <c r="AO63" s="47" t="str">
        <f>IF($A63&lt;&gt;"",IF(INDEX(BDHK2,MATCH($A63,DiemHKII!$B$4:$B$58,0),INDEX($BG$14:$BK$27,MATCH(AN$7,$BG$14:$BG$27,0),2))&lt;&gt;"",INDEX(BDHK2,MATCH($A63,DiemHKII!$B$4:$B$58,0),INDEX($BG$14:$BK$27,MATCH(AN$7,$BG$14:$BG$27,0),4)),""),"")</f>
        <v/>
      </c>
      <c r="AP63" s="48" t="str">
        <f>IF($A63&lt;&gt;"",IF(INDEX(BDHK2,MATCH($A63,DiemHKII!$B$4:$B$58,0),INDEX($BG$14:$BK$27,MATCH(AN$7,$BG$14:$BG$27,0),2))&lt;&gt;"",INDEX(BDHK2,MATCH($A63,DiemHKII!$B$4:$B$58,0),INDEX($BG$14:$BK$27,MATCH(AN$7,$BG$14:$BG$27,0),5)),""),"")</f>
        <v/>
      </c>
      <c r="AQ63" s="46" t="str">
        <f>IF($A63&lt;&gt;"",IF(INDEX(BDHK2,MATCH($A63,DiemHKII!$B$4:$B$58,0),INDEX($BG$14:$BK$27,MATCH(AQ$7,$BG$14:$BG$27,0),2))&lt;&gt;"",INDEX(BDHK2,MATCH($A63,DiemHKII!$B$4:$B$58,0),INDEX($BG$14:$BK$27,MATCH(AQ$7,$BG$14:$BG$27,0),3)),""),"")</f>
        <v/>
      </c>
      <c r="AR63" s="47" t="str">
        <f>IF($A63&lt;&gt;"",IF(INDEX(BDHK2,MATCH($A63,DiemHKII!$B$4:$B$58,0),INDEX($BG$14:$BK$27,MATCH(AQ$7,$BG$14:$BG$27,0),2))&lt;&gt;"",INDEX(BDHK2,MATCH($A63,DiemHKII!$B$4:$B$58,0),INDEX($BG$14:$BK$27,MATCH(AQ$7,$BG$14:$BG$27,0),4)),""),"")</f>
        <v/>
      </c>
      <c r="AS63" s="48" t="str">
        <f>IF($A63&lt;&gt;"",IF(INDEX(BDHK2,MATCH($A63,DiemHKII!$B$4:$B$58,0),INDEX($BG$14:$BK$27,MATCH(AQ$7,$BG$14:$BG$27,0),2))&lt;&gt;"",INDEX(BDHK2,MATCH($A63,DiemHKII!$B$4:$B$58,0),INDEX($BG$14:$BK$27,MATCH(AQ$7,$BG$14:$BG$27,0),5)),""),"")</f>
        <v/>
      </c>
      <c r="AT63" s="46" t="str">
        <f>IFERROR(IF($A63&gt;=1,IF(INDEX(THHKI!$V$8:$Y$62,MATCH($BL63,THHKI!$AG$8:$AG$62,0),1)&lt;&gt;"",INDEX(THHKI!$V$8:$Y$62,MATCH($BL63,THHKI!$AG$8:$AG$62,0),1),""),""),"")</f>
        <v/>
      </c>
      <c r="AU63" s="47" t="str">
        <f>IF($A63&gt;=1,IF(INDEX(THHKII!$V$8:$Y$62,MATCH($BL63,THHKII!$AG$8:$AG$62,0),1)&lt;&gt;"",INDEX(THHKII!$V$8:$Y$62,MATCH($BL63,THHKII!$AG$8:$AG$62,0),1),""),"")</f>
        <v/>
      </c>
      <c r="AV63" s="52" t="str">
        <f>IF($A63&gt;=1,IF(INDEX(THCN!$V$8:$Y$62,MATCH($BL63,THCN!$AG$8:$AG$62,0),1)&lt;&gt;"",INDEX(THCN!$V$8:$Y$62,MATCH($BL63,THCN!$AG$8:$AG$62,0),1),""),"")</f>
        <v/>
      </c>
      <c r="AW63" s="53" t="str">
        <f>IFERROR(IF($A63&gt;=1,IF(INDEX(THHKI!$V$8:$Y$62,MATCH($BL63,THHKI!$AG$8:$AG$62,0),2)&lt;&gt;"",INDEX(THHKI!$V$8:$Y$62,MATCH($BL63,THHKI!$AG$8:$AG$62,0),2),""),""),"")</f>
        <v/>
      </c>
      <c r="AX63" s="50" t="str">
        <f>IF($A63&gt;=1,IF(INDEX(THHKII!$V$8:$Y$62,MATCH($BL63,THHKII!$AG$8:$AG$62,0),2)&lt;&gt;"",INDEX(THHKII!$V$8:$Y$62,MATCH($BL63,THHKII!$AG$8:$AG$62,0),2),""),"")</f>
        <v/>
      </c>
      <c r="AY63" s="54" t="str">
        <f>IF($A63&gt;=1,IF(INDEX(THCN!$V$8:$Y$62,MATCH($BL63,THCN!$AG$8:$AG$62,0),2)&lt;&gt;"",INDEX(THCN!$V$8:$Y$62,MATCH($BL63,THCN!$AG$8:$AG$62,0),2),""),"")</f>
        <v/>
      </c>
      <c r="AZ63" s="49" t="str">
        <f>IFERROR(IF($A63&gt;=1,IF(INDEX(THHKI!$V$8:$Y$62,MATCH($BL63,THHKI!$AG$8:$AG$62,0),3)&lt;&gt;"",INDEX(THHKI!$V$8:$Y$62,MATCH($BL63,THHKI!$AG$8:$AG$62,0),3),""),""),"")</f>
        <v/>
      </c>
      <c r="BA63" s="50" t="str">
        <f>IF($A63&gt;=1,IF(INDEX(THHKII!$V$8:$Y$62,MATCH($BL63,THHKII!$AG$8:$AG$62,0),3)&lt;&gt;"",INDEX(THHKII!$V$8:$Y$62,MATCH($BL63,THHKII!$AG$8:$AG$62,0),3),""),"")</f>
        <v/>
      </c>
      <c r="BB63" s="55" t="str">
        <f>IF($A63&gt;=1,IF(INDEX(THCN!$V$8:$Y$62,MATCH($BL63,THCN!$AG$8:$AG$62,0),3)&lt;&gt;"",INDEX(THCN!$V$8:$Y$62,MATCH($BL63,THCN!$AG$8:$AG$62,0),3),""),"")</f>
        <v/>
      </c>
      <c r="BC63" s="56" t="str">
        <f>IF($A63&gt;=1,IF(INDEX(THCN!$V$8:$Y$62,MATCH($BL63,THCN!$AG$8:$AG$62,0),4)&lt;&gt;"",INDEX(THCN!$V$8:$Y$62,MATCH($BL63,THCN!$AG$8:$AG$62,0),4),""),"")</f>
        <v/>
      </c>
      <c r="BE63" s="43" t="str">
        <f>IFERROR(IF($A63&gt;=1,IF(INDEX(THHKI!$V$8:$Y$62,MATCH($BL63,THHKI!$AG$8:$AG$62,0),4)&lt;&gt;"",INDEX(THHKI!$V$8:$Y$62,MATCH($BL63,THHKI!$AG$8:$AG$62,0),4),""),""),"")</f>
        <v/>
      </c>
      <c r="BF63" s="56" t="str">
        <f>IF($A63&gt;=1,IF(INDEX(THHKII!$V$8:$Y$62,MATCH($BL63,THHKII!$AG$8:$AG$62,0),4)&lt;&gt;"",INDEX(THHKII!$V$8:$Y$62,MATCH($BL63,THHKII!$AG$8:$AG$62,0),4),""),"")</f>
        <v/>
      </c>
      <c r="BL63" s="30" t="str">
        <f>IF($A63&lt;&gt;"",INDEX(DiemHKII!$B$4:$K$58,MATCH($A63,DiemHKII!$B$4:$B$58,0),2),"")</f>
        <v/>
      </c>
    </row>
    <row r="64" spans="1:64" ht="12.75" customHeight="1"/>
    <row r="65" spans="4:58" ht="15.75" customHeight="1">
      <c r="AH65" s="1060" t="s">
        <v>248</v>
      </c>
      <c r="AI65" s="1060"/>
      <c r="AJ65" s="1060"/>
      <c r="AK65" s="1060"/>
      <c r="AL65" s="1060"/>
      <c r="AM65" s="1060"/>
      <c r="AN65" s="1060"/>
      <c r="AO65" s="1060"/>
      <c r="AP65" s="1060"/>
      <c r="AQ65" s="1060"/>
      <c r="AR65" s="1060"/>
      <c r="AS65" s="1060"/>
      <c r="AT65" s="1060"/>
      <c r="AU65" s="1060"/>
      <c r="AV65" s="1060"/>
    </row>
    <row r="66" spans="4:58" ht="14.25" customHeight="1">
      <c r="AH66" s="1012" t="s">
        <v>70</v>
      </c>
      <c r="AI66" s="1012"/>
      <c r="AJ66" s="1012"/>
      <c r="AK66" s="1012"/>
      <c r="AL66" s="1012"/>
      <c r="AM66" s="1012"/>
      <c r="AN66" s="1012"/>
      <c r="AO66" s="1012"/>
      <c r="AP66" s="1012"/>
      <c r="AQ66" s="1012"/>
      <c r="AR66" s="1012"/>
      <c r="AS66" s="1012"/>
      <c r="AT66" s="1012"/>
      <c r="AU66" s="1012"/>
      <c r="AV66" s="1012"/>
    </row>
    <row r="67" spans="4:58" ht="12" customHeight="1"/>
    <row r="68" spans="4:58" ht="12" customHeight="1"/>
    <row r="69" spans="4:58" ht="12" customHeight="1"/>
    <row r="70" spans="4:58">
      <c r="D70" s="473">
        <v>4</v>
      </c>
      <c r="E70" s="15">
        <v>5</v>
      </c>
      <c r="F70" s="474">
        <v>6</v>
      </c>
      <c r="G70" s="473">
        <v>7</v>
      </c>
      <c r="H70" s="15">
        <v>8</v>
      </c>
      <c r="I70" s="474">
        <v>9</v>
      </c>
      <c r="J70" s="473">
        <v>10</v>
      </c>
      <c r="K70" s="15">
        <v>11</v>
      </c>
      <c r="L70" s="474">
        <v>12</v>
      </c>
      <c r="M70" s="473">
        <v>13</v>
      </c>
      <c r="N70" s="15">
        <v>14</v>
      </c>
      <c r="O70" s="474">
        <v>15</v>
      </c>
      <c r="P70" s="473">
        <v>16</v>
      </c>
      <c r="Q70" s="15">
        <v>17</v>
      </c>
      <c r="R70" s="474">
        <v>18</v>
      </c>
      <c r="S70" s="473">
        <v>19</v>
      </c>
      <c r="T70" s="15">
        <v>20</v>
      </c>
      <c r="U70" s="474">
        <v>21</v>
      </c>
      <c r="V70" s="473">
        <v>22</v>
      </c>
      <c r="W70" s="15">
        <v>23</v>
      </c>
      <c r="X70" s="474">
        <v>24</v>
      </c>
      <c r="Y70" s="473">
        <v>25</v>
      </c>
      <c r="Z70" s="15">
        <v>26</v>
      </c>
      <c r="AA70" s="474">
        <v>27</v>
      </c>
      <c r="AB70" s="473">
        <v>28</v>
      </c>
      <c r="AC70" s="15">
        <v>29</v>
      </c>
      <c r="AD70" s="474">
        <v>30</v>
      </c>
      <c r="AE70" s="473">
        <v>31</v>
      </c>
      <c r="AF70" s="15">
        <v>32</v>
      </c>
      <c r="AG70" s="474">
        <v>33</v>
      </c>
      <c r="AH70" s="473">
        <v>34</v>
      </c>
      <c r="AI70" s="15">
        <v>35</v>
      </c>
      <c r="AJ70" s="474">
        <v>36</v>
      </c>
      <c r="AK70" s="473">
        <v>37</v>
      </c>
      <c r="AL70" s="15">
        <v>38</v>
      </c>
      <c r="AM70" s="474">
        <v>39</v>
      </c>
      <c r="AN70" s="473">
        <v>40</v>
      </c>
      <c r="AO70" s="15">
        <v>41</v>
      </c>
      <c r="AP70" s="474">
        <v>42</v>
      </c>
      <c r="AQ70" s="473">
        <v>43</v>
      </c>
      <c r="AR70" s="15">
        <v>44</v>
      </c>
      <c r="AS70" s="474">
        <v>45</v>
      </c>
      <c r="AT70" s="473">
        <v>46</v>
      </c>
      <c r="AU70" s="15">
        <v>47</v>
      </c>
      <c r="AV70" s="474">
        <v>48</v>
      </c>
      <c r="AW70" s="473">
        <v>49</v>
      </c>
      <c r="AX70" s="15">
        <v>50</v>
      </c>
      <c r="AY70" s="474">
        <v>51</v>
      </c>
      <c r="AZ70" s="473">
        <v>52</v>
      </c>
      <c r="BA70" s="15">
        <v>53</v>
      </c>
      <c r="BB70" s="474">
        <v>54</v>
      </c>
      <c r="BC70" s="473">
        <v>55</v>
      </c>
      <c r="BD70" s="15">
        <v>56</v>
      </c>
      <c r="BE70" s="474">
        <v>57</v>
      </c>
      <c r="BF70" s="473">
        <v>58</v>
      </c>
    </row>
  </sheetData>
  <sheetProtection algorithmName="SHA-512" hashValue="NFFWpBzNtlmWBpvCGaQXnPrWFilLAtPfc99JEEcMLloAE3/XkHo6pCwDjcW5Cw8zzXPP9VkEuu2m1mf4WKMotw==" saltValue="CR+TTv5Ea2ZcjVSa+57xKg==" spinCount="100000" sheet="1" formatCells="0" formatColumns="0" formatRows="0"/>
  <mergeCells count="29">
    <mergeCell ref="S7:U7"/>
    <mergeCell ref="A1:G1"/>
    <mergeCell ref="A2:G2"/>
    <mergeCell ref="H2:AS4"/>
    <mergeCell ref="A3:G3"/>
    <mergeCell ref="A6:A8"/>
    <mergeCell ref="B6:C8"/>
    <mergeCell ref="D6:AS6"/>
    <mergeCell ref="V7:X7"/>
    <mergeCell ref="Y7:AA7"/>
    <mergeCell ref="AB7:AD7"/>
    <mergeCell ref="D7:F7"/>
    <mergeCell ref="G7:I7"/>
    <mergeCell ref="J7:L7"/>
    <mergeCell ref="M7:O7"/>
    <mergeCell ref="P7:R7"/>
    <mergeCell ref="BE6:BE8"/>
    <mergeCell ref="BF6:BF8"/>
    <mergeCell ref="AH66:AV66"/>
    <mergeCell ref="AE7:AG7"/>
    <mergeCell ref="AH7:AJ7"/>
    <mergeCell ref="AK7:AM7"/>
    <mergeCell ref="AN7:AP7"/>
    <mergeCell ref="AQ7:AS7"/>
    <mergeCell ref="AH65:AV65"/>
    <mergeCell ref="AT6:AV7"/>
    <mergeCell ref="AW6:AY7"/>
    <mergeCell ref="AZ6:BB7"/>
    <mergeCell ref="BC6:BC8"/>
  </mergeCells>
  <conditionalFormatting sqref="AV9:AV63">
    <cfRule type="cellIs" dxfId="420" priority="2" operator="between">
      <formula>8</formula>
      <formula>10</formula>
    </cfRule>
  </conditionalFormatting>
  <pageMargins left="0.17" right="0" top="0.25" bottom="0" header="0" footer="0"/>
  <pageSetup paperSize="9" scale="42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Nhapdiemhk2">
                <anchor moveWithCells="1" sizeWithCells="1">
                  <from>
                    <xdr:col>57</xdr:col>
                    <xdr:colOff>373380</xdr:colOff>
                    <xdr:row>62</xdr:row>
                    <xdr:rowOff>76200</xdr:rowOff>
                  </from>
                  <to>
                    <xdr:col>60</xdr:col>
                    <xdr:colOff>83820</xdr:colOff>
                    <xdr:row>63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Nhapdiemhk2">
                <anchor moveWithCells="1" sizeWithCells="1">
                  <from>
                    <xdr:col>48</xdr:col>
                    <xdr:colOff>175260</xdr:colOff>
                    <xdr:row>1</xdr:row>
                    <xdr:rowOff>76200</xdr:rowOff>
                  </from>
                  <to>
                    <xdr:col>52</xdr:col>
                    <xdr:colOff>60960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0" tint="-0.34998626667073579"/>
  </sheetPr>
  <dimension ref="A1:AE49"/>
  <sheetViews>
    <sheetView workbookViewId="0">
      <selection activeCell="AF44" sqref="AF44"/>
    </sheetView>
  </sheetViews>
  <sheetFormatPr defaultRowHeight="15.6"/>
  <cols>
    <col min="1" max="1" width="8.5546875" style="508" customWidth="1"/>
    <col min="2" max="2" width="10" style="508" customWidth="1"/>
    <col min="3" max="12" width="4.33203125" style="508" customWidth="1"/>
    <col min="13" max="13" width="6.88671875" style="508" customWidth="1"/>
    <col min="14" max="14" width="6.6640625" style="508" customWidth="1"/>
    <col min="15" max="15" width="8.5546875" style="508" customWidth="1"/>
    <col min="16" max="19" width="5.33203125" style="508" customWidth="1"/>
    <col min="20" max="20" width="1.6640625" style="508" customWidth="1"/>
    <col min="21" max="21" width="9.109375" style="508"/>
    <col min="22" max="22" width="13" style="508" hidden="1" customWidth="1"/>
    <col min="23" max="31" width="5.44140625" style="509" hidden="1" customWidth="1"/>
    <col min="32" max="260" width="9.109375" style="508"/>
    <col min="261" max="261" width="9.109375" style="508" customWidth="1"/>
    <col min="262" max="262" width="10" style="508" customWidth="1"/>
    <col min="263" max="272" width="4.44140625" style="508" customWidth="1"/>
    <col min="273" max="273" width="8.44140625" style="508" customWidth="1"/>
    <col min="274" max="275" width="8.6640625" style="508" customWidth="1"/>
    <col min="276" max="279" width="5.33203125" style="508" customWidth="1"/>
    <col min="280" max="516" width="9.109375" style="508"/>
    <col min="517" max="517" width="9.109375" style="508" customWidth="1"/>
    <col min="518" max="518" width="10" style="508" customWidth="1"/>
    <col min="519" max="528" width="4.44140625" style="508" customWidth="1"/>
    <col min="529" max="529" width="8.44140625" style="508" customWidth="1"/>
    <col min="530" max="531" width="8.6640625" style="508" customWidth="1"/>
    <col min="532" max="535" width="5.33203125" style="508" customWidth="1"/>
    <col min="536" max="772" width="9.109375" style="508"/>
    <col min="773" max="773" width="9.109375" style="508" customWidth="1"/>
    <col min="774" max="774" width="10" style="508" customWidth="1"/>
    <col min="775" max="784" width="4.44140625" style="508" customWidth="1"/>
    <col min="785" max="785" width="8.44140625" style="508" customWidth="1"/>
    <col min="786" max="787" width="8.6640625" style="508" customWidth="1"/>
    <col min="788" max="791" width="5.33203125" style="508" customWidth="1"/>
    <col min="792" max="1028" width="9.109375" style="508"/>
    <col min="1029" max="1029" width="9.109375" style="508" customWidth="1"/>
    <col min="1030" max="1030" width="10" style="508" customWidth="1"/>
    <col min="1031" max="1040" width="4.44140625" style="508" customWidth="1"/>
    <col min="1041" max="1041" width="8.44140625" style="508" customWidth="1"/>
    <col min="1042" max="1043" width="8.6640625" style="508" customWidth="1"/>
    <col min="1044" max="1047" width="5.33203125" style="508" customWidth="1"/>
    <col min="1048" max="1284" width="9.109375" style="508"/>
    <col min="1285" max="1285" width="9.109375" style="508" customWidth="1"/>
    <col min="1286" max="1286" width="10" style="508" customWidth="1"/>
    <col min="1287" max="1296" width="4.44140625" style="508" customWidth="1"/>
    <col min="1297" max="1297" width="8.44140625" style="508" customWidth="1"/>
    <col min="1298" max="1299" width="8.6640625" style="508" customWidth="1"/>
    <col min="1300" max="1303" width="5.33203125" style="508" customWidth="1"/>
    <col min="1304" max="1540" width="9.109375" style="508"/>
    <col min="1541" max="1541" width="9.109375" style="508" customWidth="1"/>
    <col min="1542" max="1542" width="10" style="508" customWidth="1"/>
    <col min="1543" max="1552" width="4.44140625" style="508" customWidth="1"/>
    <col min="1553" max="1553" width="8.44140625" style="508" customWidth="1"/>
    <col min="1554" max="1555" width="8.6640625" style="508" customWidth="1"/>
    <col min="1556" max="1559" width="5.33203125" style="508" customWidth="1"/>
    <col min="1560" max="1796" width="9.109375" style="508"/>
    <col min="1797" max="1797" width="9.109375" style="508" customWidth="1"/>
    <col min="1798" max="1798" width="10" style="508" customWidth="1"/>
    <col min="1799" max="1808" width="4.44140625" style="508" customWidth="1"/>
    <col min="1809" max="1809" width="8.44140625" style="508" customWidth="1"/>
    <col min="1810" max="1811" width="8.6640625" style="508" customWidth="1"/>
    <col min="1812" max="1815" width="5.33203125" style="508" customWidth="1"/>
    <col min="1816" max="2052" width="9.109375" style="508"/>
    <col min="2053" max="2053" width="9.109375" style="508" customWidth="1"/>
    <col min="2054" max="2054" width="10" style="508" customWidth="1"/>
    <col min="2055" max="2064" width="4.44140625" style="508" customWidth="1"/>
    <col min="2065" max="2065" width="8.44140625" style="508" customWidth="1"/>
    <col min="2066" max="2067" width="8.6640625" style="508" customWidth="1"/>
    <col min="2068" max="2071" width="5.33203125" style="508" customWidth="1"/>
    <col min="2072" max="2308" width="9.109375" style="508"/>
    <col min="2309" max="2309" width="9.109375" style="508" customWidth="1"/>
    <col min="2310" max="2310" width="10" style="508" customWidth="1"/>
    <col min="2311" max="2320" width="4.44140625" style="508" customWidth="1"/>
    <col min="2321" max="2321" width="8.44140625" style="508" customWidth="1"/>
    <col min="2322" max="2323" width="8.6640625" style="508" customWidth="1"/>
    <col min="2324" max="2327" width="5.33203125" style="508" customWidth="1"/>
    <col min="2328" max="2564" width="9.109375" style="508"/>
    <col min="2565" max="2565" width="9.109375" style="508" customWidth="1"/>
    <col min="2566" max="2566" width="10" style="508" customWidth="1"/>
    <col min="2567" max="2576" width="4.44140625" style="508" customWidth="1"/>
    <col min="2577" max="2577" width="8.44140625" style="508" customWidth="1"/>
    <col min="2578" max="2579" width="8.6640625" style="508" customWidth="1"/>
    <col min="2580" max="2583" width="5.33203125" style="508" customWidth="1"/>
    <col min="2584" max="2820" width="9.109375" style="508"/>
    <col min="2821" max="2821" width="9.109375" style="508" customWidth="1"/>
    <col min="2822" max="2822" width="10" style="508" customWidth="1"/>
    <col min="2823" max="2832" width="4.44140625" style="508" customWidth="1"/>
    <col min="2833" max="2833" width="8.44140625" style="508" customWidth="1"/>
    <col min="2834" max="2835" width="8.6640625" style="508" customWidth="1"/>
    <col min="2836" max="2839" width="5.33203125" style="508" customWidth="1"/>
    <col min="2840" max="3076" width="9.109375" style="508"/>
    <col min="3077" max="3077" width="9.109375" style="508" customWidth="1"/>
    <col min="3078" max="3078" width="10" style="508" customWidth="1"/>
    <col min="3079" max="3088" width="4.44140625" style="508" customWidth="1"/>
    <col min="3089" max="3089" width="8.44140625" style="508" customWidth="1"/>
    <col min="3090" max="3091" width="8.6640625" style="508" customWidth="1"/>
    <col min="3092" max="3095" width="5.33203125" style="508" customWidth="1"/>
    <col min="3096" max="3332" width="9.109375" style="508"/>
    <col min="3333" max="3333" width="9.109375" style="508" customWidth="1"/>
    <col min="3334" max="3334" width="10" style="508" customWidth="1"/>
    <col min="3335" max="3344" width="4.44140625" style="508" customWidth="1"/>
    <col min="3345" max="3345" width="8.44140625" style="508" customWidth="1"/>
    <col min="3346" max="3347" width="8.6640625" style="508" customWidth="1"/>
    <col min="3348" max="3351" width="5.33203125" style="508" customWidth="1"/>
    <col min="3352" max="3588" width="9.109375" style="508"/>
    <col min="3589" max="3589" width="9.109375" style="508" customWidth="1"/>
    <col min="3590" max="3590" width="10" style="508" customWidth="1"/>
    <col min="3591" max="3600" width="4.44140625" style="508" customWidth="1"/>
    <col min="3601" max="3601" width="8.44140625" style="508" customWidth="1"/>
    <col min="3602" max="3603" width="8.6640625" style="508" customWidth="1"/>
    <col min="3604" max="3607" width="5.33203125" style="508" customWidth="1"/>
    <col min="3608" max="3844" width="9.109375" style="508"/>
    <col min="3845" max="3845" width="9.109375" style="508" customWidth="1"/>
    <col min="3846" max="3846" width="10" style="508" customWidth="1"/>
    <col min="3847" max="3856" width="4.44140625" style="508" customWidth="1"/>
    <col min="3857" max="3857" width="8.44140625" style="508" customWidth="1"/>
    <col min="3858" max="3859" width="8.6640625" style="508" customWidth="1"/>
    <col min="3860" max="3863" width="5.33203125" style="508" customWidth="1"/>
    <col min="3864" max="4100" width="9.109375" style="508"/>
    <col min="4101" max="4101" width="9.109375" style="508" customWidth="1"/>
    <col min="4102" max="4102" width="10" style="508" customWidth="1"/>
    <col min="4103" max="4112" width="4.44140625" style="508" customWidth="1"/>
    <col min="4113" max="4113" width="8.44140625" style="508" customWidth="1"/>
    <col min="4114" max="4115" width="8.6640625" style="508" customWidth="1"/>
    <col min="4116" max="4119" width="5.33203125" style="508" customWidth="1"/>
    <col min="4120" max="4356" width="9.109375" style="508"/>
    <col min="4357" max="4357" width="9.109375" style="508" customWidth="1"/>
    <col min="4358" max="4358" width="10" style="508" customWidth="1"/>
    <col min="4359" max="4368" width="4.44140625" style="508" customWidth="1"/>
    <col min="4369" max="4369" width="8.44140625" style="508" customWidth="1"/>
    <col min="4370" max="4371" width="8.6640625" style="508" customWidth="1"/>
    <col min="4372" max="4375" width="5.33203125" style="508" customWidth="1"/>
    <col min="4376" max="4612" width="9.109375" style="508"/>
    <col min="4613" max="4613" width="9.109375" style="508" customWidth="1"/>
    <col min="4614" max="4614" width="10" style="508" customWidth="1"/>
    <col min="4615" max="4624" width="4.44140625" style="508" customWidth="1"/>
    <col min="4625" max="4625" width="8.44140625" style="508" customWidth="1"/>
    <col min="4626" max="4627" width="8.6640625" style="508" customWidth="1"/>
    <col min="4628" max="4631" width="5.33203125" style="508" customWidth="1"/>
    <col min="4632" max="4868" width="9.109375" style="508"/>
    <col min="4869" max="4869" width="9.109375" style="508" customWidth="1"/>
    <col min="4870" max="4870" width="10" style="508" customWidth="1"/>
    <col min="4871" max="4880" width="4.44140625" style="508" customWidth="1"/>
    <col min="4881" max="4881" width="8.44140625" style="508" customWidth="1"/>
    <col min="4882" max="4883" width="8.6640625" style="508" customWidth="1"/>
    <col min="4884" max="4887" width="5.33203125" style="508" customWidth="1"/>
    <col min="4888" max="5124" width="9.109375" style="508"/>
    <col min="5125" max="5125" width="9.109375" style="508" customWidth="1"/>
    <col min="5126" max="5126" width="10" style="508" customWidth="1"/>
    <col min="5127" max="5136" width="4.44140625" style="508" customWidth="1"/>
    <col min="5137" max="5137" width="8.44140625" style="508" customWidth="1"/>
    <col min="5138" max="5139" width="8.6640625" style="508" customWidth="1"/>
    <col min="5140" max="5143" width="5.33203125" style="508" customWidth="1"/>
    <col min="5144" max="5380" width="9.109375" style="508"/>
    <col min="5381" max="5381" width="9.109375" style="508" customWidth="1"/>
    <col min="5382" max="5382" width="10" style="508" customWidth="1"/>
    <col min="5383" max="5392" width="4.44140625" style="508" customWidth="1"/>
    <col min="5393" max="5393" width="8.44140625" style="508" customWidth="1"/>
    <col min="5394" max="5395" width="8.6640625" style="508" customWidth="1"/>
    <col min="5396" max="5399" width="5.33203125" style="508" customWidth="1"/>
    <col min="5400" max="5636" width="9.109375" style="508"/>
    <col min="5637" max="5637" width="9.109375" style="508" customWidth="1"/>
    <col min="5638" max="5638" width="10" style="508" customWidth="1"/>
    <col min="5639" max="5648" width="4.44140625" style="508" customWidth="1"/>
    <col min="5649" max="5649" width="8.44140625" style="508" customWidth="1"/>
    <col min="5650" max="5651" width="8.6640625" style="508" customWidth="1"/>
    <col min="5652" max="5655" width="5.33203125" style="508" customWidth="1"/>
    <col min="5656" max="5892" width="9.109375" style="508"/>
    <col min="5893" max="5893" width="9.109375" style="508" customWidth="1"/>
    <col min="5894" max="5894" width="10" style="508" customWidth="1"/>
    <col min="5895" max="5904" width="4.44140625" style="508" customWidth="1"/>
    <col min="5905" max="5905" width="8.44140625" style="508" customWidth="1"/>
    <col min="5906" max="5907" width="8.6640625" style="508" customWidth="1"/>
    <col min="5908" max="5911" width="5.33203125" style="508" customWidth="1"/>
    <col min="5912" max="6148" width="9.109375" style="508"/>
    <col min="6149" max="6149" width="9.109375" style="508" customWidth="1"/>
    <col min="6150" max="6150" width="10" style="508" customWidth="1"/>
    <col min="6151" max="6160" width="4.44140625" style="508" customWidth="1"/>
    <col min="6161" max="6161" width="8.44140625" style="508" customWidth="1"/>
    <col min="6162" max="6163" width="8.6640625" style="508" customWidth="1"/>
    <col min="6164" max="6167" width="5.33203125" style="508" customWidth="1"/>
    <col min="6168" max="6404" width="9.109375" style="508"/>
    <col min="6405" max="6405" width="9.109375" style="508" customWidth="1"/>
    <col min="6406" max="6406" width="10" style="508" customWidth="1"/>
    <col min="6407" max="6416" width="4.44140625" style="508" customWidth="1"/>
    <col min="6417" max="6417" width="8.44140625" style="508" customWidth="1"/>
    <col min="6418" max="6419" width="8.6640625" style="508" customWidth="1"/>
    <col min="6420" max="6423" width="5.33203125" style="508" customWidth="1"/>
    <col min="6424" max="6660" width="9.109375" style="508"/>
    <col min="6661" max="6661" width="9.109375" style="508" customWidth="1"/>
    <col min="6662" max="6662" width="10" style="508" customWidth="1"/>
    <col min="6663" max="6672" width="4.44140625" style="508" customWidth="1"/>
    <col min="6673" max="6673" width="8.44140625" style="508" customWidth="1"/>
    <col min="6674" max="6675" width="8.6640625" style="508" customWidth="1"/>
    <col min="6676" max="6679" width="5.33203125" style="508" customWidth="1"/>
    <col min="6680" max="6916" width="9.109375" style="508"/>
    <col min="6917" max="6917" width="9.109375" style="508" customWidth="1"/>
    <col min="6918" max="6918" width="10" style="508" customWidth="1"/>
    <col min="6919" max="6928" width="4.44140625" style="508" customWidth="1"/>
    <col min="6929" max="6929" width="8.44140625" style="508" customWidth="1"/>
    <col min="6930" max="6931" width="8.6640625" style="508" customWidth="1"/>
    <col min="6932" max="6935" width="5.33203125" style="508" customWidth="1"/>
    <col min="6936" max="7172" width="9.109375" style="508"/>
    <col min="7173" max="7173" width="9.109375" style="508" customWidth="1"/>
    <col min="7174" max="7174" width="10" style="508" customWidth="1"/>
    <col min="7175" max="7184" width="4.44140625" style="508" customWidth="1"/>
    <col min="7185" max="7185" width="8.44140625" style="508" customWidth="1"/>
    <col min="7186" max="7187" width="8.6640625" style="508" customWidth="1"/>
    <col min="7188" max="7191" width="5.33203125" style="508" customWidth="1"/>
    <col min="7192" max="7428" width="9.109375" style="508"/>
    <col min="7429" max="7429" width="9.109375" style="508" customWidth="1"/>
    <col min="7430" max="7430" width="10" style="508" customWidth="1"/>
    <col min="7431" max="7440" width="4.44140625" style="508" customWidth="1"/>
    <col min="7441" max="7441" width="8.44140625" style="508" customWidth="1"/>
    <col min="7442" max="7443" width="8.6640625" style="508" customWidth="1"/>
    <col min="7444" max="7447" width="5.33203125" style="508" customWidth="1"/>
    <col min="7448" max="7684" width="9.109375" style="508"/>
    <col min="7685" max="7685" width="9.109375" style="508" customWidth="1"/>
    <col min="7686" max="7686" width="10" style="508" customWidth="1"/>
    <col min="7687" max="7696" width="4.44140625" style="508" customWidth="1"/>
    <col min="7697" max="7697" width="8.44140625" style="508" customWidth="1"/>
    <col min="7698" max="7699" width="8.6640625" style="508" customWidth="1"/>
    <col min="7700" max="7703" width="5.33203125" style="508" customWidth="1"/>
    <col min="7704" max="7940" width="9.109375" style="508"/>
    <col min="7941" max="7941" width="9.109375" style="508" customWidth="1"/>
    <col min="7942" max="7942" width="10" style="508" customWidth="1"/>
    <col min="7943" max="7952" width="4.44140625" style="508" customWidth="1"/>
    <col min="7953" max="7953" width="8.44140625" style="508" customWidth="1"/>
    <col min="7954" max="7955" width="8.6640625" style="508" customWidth="1"/>
    <col min="7956" max="7959" width="5.33203125" style="508" customWidth="1"/>
    <col min="7960" max="8196" width="9.109375" style="508"/>
    <col min="8197" max="8197" width="9.109375" style="508" customWidth="1"/>
    <col min="8198" max="8198" width="10" style="508" customWidth="1"/>
    <col min="8199" max="8208" width="4.44140625" style="508" customWidth="1"/>
    <col min="8209" max="8209" width="8.44140625" style="508" customWidth="1"/>
    <col min="8210" max="8211" width="8.6640625" style="508" customWidth="1"/>
    <col min="8212" max="8215" width="5.33203125" style="508" customWidth="1"/>
    <col min="8216" max="8452" width="9.109375" style="508"/>
    <col min="8453" max="8453" width="9.109375" style="508" customWidth="1"/>
    <col min="8454" max="8454" width="10" style="508" customWidth="1"/>
    <col min="8455" max="8464" width="4.44140625" style="508" customWidth="1"/>
    <col min="8465" max="8465" width="8.44140625" style="508" customWidth="1"/>
    <col min="8466" max="8467" width="8.6640625" style="508" customWidth="1"/>
    <col min="8468" max="8471" width="5.33203125" style="508" customWidth="1"/>
    <col min="8472" max="8708" width="9.109375" style="508"/>
    <col min="8709" max="8709" width="9.109375" style="508" customWidth="1"/>
    <col min="8710" max="8710" width="10" style="508" customWidth="1"/>
    <col min="8711" max="8720" width="4.44140625" style="508" customWidth="1"/>
    <col min="8721" max="8721" width="8.44140625" style="508" customWidth="1"/>
    <col min="8722" max="8723" width="8.6640625" style="508" customWidth="1"/>
    <col min="8724" max="8727" width="5.33203125" style="508" customWidth="1"/>
    <col min="8728" max="8964" width="9.109375" style="508"/>
    <col min="8965" max="8965" width="9.109375" style="508" customWidth="1"/>
    <col min="8966" max="8966" width="10" style="508" customWidth="1"/>
    <col min="8967" max="8976" width="4.44140625" style="508" customWidth="1"/>
    <col min="8977" max="8977" width="8.44140625" style="508" customWidth="1"/>
    <col min="8978" max="8979" width="8.6640625" style="508" customWidth="1"/>
    <col min="8980" max="8983" width="5.33203125" style="508" customWidth="1"/>
    <col min="8984" max="9220" width="9.109375" style="508"/>
    <col min="9221" max="9221" width="9.109375" style="508" customWidth="1"/>
    <col min="9222" max="9222" width="10" style="508" customWidth="1"/>
    <col min="9223" max="9232" width="4.44140625" style="508" customWidth="1"/>
    <col min="9233" max="9233" width="8.44140625" style="508" customWidth="1"/>
    <col min="9234" max="9235" width="8.6640625" style="508" customWidth="1"/>
    <col min="9236" max="9239" width="5.33203125" style="508" customWidth="1"/>
    <col min="9240" max="9476" width="9.109375" style="508"/>
    <col min="9477" max="9477" width="9.109375" style="508" customWidth="1"/>
    <col min="9478" max="9478" width="10" style="508" customWidth="1"/>
    <col min="9479" max="9488" width="4.44140625" style="508" customWidth="1"/>
    <col min="9489" max="9489" width="8.44140625" style="508" customWidth="1"/>
    <col min="9490" max="9491" width="8.6640625" style="508" customWidth="1"/>
    <col min="9492" max="9495" width="5.33203125" style="508" customWidth="1"/>
    <col min="9496" max="9732" width="9.109375" style="508"/>
    <col min="9733" max="9733" width="9.109375" style="508" customWidth="1"/>
    <col min="9734" max="9734" width="10" style="508" customWidth="1"/>
    <col min="9735" max="9744" width="4.44140625" style="508" customWidth="1"/>
    <col min="9745" max="9745" width="8.44140625" style="508" customWidth="1"/>
    <col min="9746" max="9747" width="8.6640625" style="508" customWidth="1"/>
    <col min="9748" max="9751" width="5.33203125" style="508" customWidth="1"/>
    <col min="9752" max="9988" width="9.109375" style="508"/>
    <col min="9989" max="9989" width="9.109375" style="508" customWidth="1"/>
    <col min="9990" max="9990" width="10" style="508" customWidth="1"/>
    <col min="9991" max="10000" width="4.44140625" style="508" customWidth="1"/>
    <col min="10001" max="10001" width="8.44140625" style="508" customWidth="1"/>
    <col min="10002" max="10003" width="8.6640625" style="508" customWidth="1"/>
    <col min="10004" max="10007" width="5.33203125" style="508" customWidth="1"/>
    <col min="10008" max="10244" width="9.109375" style="508"/>
    <col min="10245" max="10245" width="9.109375" style="508" customWidth="1"/>
    <col min="10246" max="10246" width="10" style="508" customWidth="1"/>
    <col min="10247" max="10256" width="4.44140625" style="508" customWidth="1"/>
    <col min="10257" max="10257" width="8.44140625" style="508" customWidth="1"/>
    <col min="10258" max="10259" width="8.6640625" style="508" customWidth="1"/>
    <col min="10260" max="10263" width="5.33203125" style="508" customWidth="1"/>
    <col min="10264" max="10500" width="9.109375" style="508"/>
    <col min="10501" max="10501" width="9.109375" style="508" customWidth="1"/>
    <col min="10502" max="10502" width="10" style="508" customWidth="1"/>
    <col min="10503" max="10512" width="4.44140625" style="508" customWidth="1"/>
    <col min="10513" max="10513" width="8.44140625" style="508" customWidth="1"/>
    <col min="10514" max="10515" width="8.6640625" style="508" customWidth="1"/>
    <col min="10516" max="10519" width="5.33203125" style="508" customWidth="1"/>
    <col min="10520" max="10756" width="9.109375" style="508"/>
    <col min="10757" max="10757" width="9.109375" style="508" customWidth="1"/>
    <col min="10758" max="10758" width="10" style="508" customWidth="1"/>
    <col min="10759" max="10768" width="4.44140625" style="508" customWidth="1"/>
    <col min="10769" max="10769" width="8.44140625" style="508" customWidth="1"/>
    <col min="10770" max="10771" width="8.6640625" style="508" customWidth="1"/>
    <col min="10772" max="10775" width="5.33203125" style="508" customWidth="1"/>
    <col min="10776" max="11012" width="9.109375" style="508"/>
    <col min="11013" max="11013" width="9.109375" style="508" customWidth="1"/>
    <col min="11014" max="11014" width="10" style="508" customWidth="1"/>
    <col min="11015" max="11024" width="4.44140625" style="508" customWidth="1"/>
    <col min="11025" max="11025" width="8.44140625" style="508" customWidth="1"/>
    <col min="11026" max="11027" width="8.6640625" style="508" customWidth="1"/>
    <col min="11028" max="11031" width="5.33203125" style="508" customWidth="1"/>
    <col min="11032" max="11268" width="9.109375" style="508"/>
    <col min="11269" max="11269" width="9.109375" style="508" customWidth="1"/>
    <col min="11270" max="11270" width="10" style="508" customWidth="1"/>
    <col min="11271" max="11280" width="4.44140625" style="508" customWidth="1"/>
    <col min="11281" max="11281" width="8.44140625" style="508" customWidth="1"/>
    <col min="11282" max="11283" width="8.6640625" style="508" customWidth="1"/>
    <col min="11284" max="11287" width="5.33203125" style="508" customWidth="1"/>
    <col min="11288" max="11524" width="9.109375" style="508"/>
    <col min="11525" max="11525" width="9.109375" style="508" customWidth="1"/>
    <col min="11526" max="11526" width="10" style="508" customWidth="1"/>
    <col min="11527" max="11536" width="4.44140625" style="508" customWidth="1"/>
    <col min="11537" max="11537" width="8.44140625" style="508" customWidth="1"/>
    <col min="11538" max="11539" width="8.6640625" style="508" customWidth="1"/>
    <col min="11540" max="11543" width="5.33203125" style="508" customWidth="1"/>
    <col min="11544" max="11780" width="9.109375" style="508"/>
    <col min="11781" max="11781" width="9.109375" style="508" customWidth="1"/>
    <col min="11782" max="11782" width="10" style="508" customWidth="1"/>
    <col min="11783" max="11792" width="4.44140625" style="508" customWidth="1"/>
    <col min="11793" max="11793" width="8.44140625" style="508" customWidth="1"/>
    <col min="11794" max="11795" width="8.6640625" style="508" customWidth="1"/>
    <col min="11796" max="11799" width="5.33203125" style="508" customWidth="1"/>
    <col min="11800" max="12036" width="9.109375" style="508"/>
    <col min="12037" max="12037" width="9.109375" style="508" customWidth="1"/>
    <col min="12038" max="12038" width="10" style="508" customWidth="1"/>
    <col min="12039" max="12048" width="4.44140625" style="508" customWidth="1"/>
    <col min="12049" max="12049" width="8.44140625" style="508" customWidth="1"/>
    <col min="12050" max="12051" width="8.6640625" style="508" customWidth="1"/>
    <col min="12052" max="12055" width="5.33203125" style="508" customWidth="1"/>
    <col min="12056" max="12292" width="9.109375" style="508"/>
    <col min="12293" max="12293" width="9.109375" style="508" customWidth="1"/>
    <col min="12294" max="12294" width="10" style="508" customWidth="1"/>
    <col min="12295" max="12304" width="4.44140625" style="508" customWidth="1"/>
    <col min="12305" max="12305" width="8.44140625" style="508" customWidth="1"/>
    <col min="12306" max="12307" width="8.6640625" style="508" customWidth="1"/>
    <col min="12308" max="12311" width="5.33203125" style="508" customWidth="1"/>
    <col min="12312" max="12548" width="9.109375" style="508"/>
    <col min="12549" max="12549" width="9.109375" style="508" customWidth="1"/>
    <col min="12550" max="12550" width="10" style="508" customWidth="1"/>
    <col min="12551" max="12560" width="4.44140625" style="508" customWidth="1"/>
    <col min="12561" max="12561" width="8.44140625" style="508" customWidth="1"/>
    <col min="12562" max="12563" width="8.6640625" style="508" customWidth="1"/>
    <col min="12564" max="12567" width="5.33203125" style="508" customWidth="1"/>
    <col min="12568" max="12804" width="9.109375" style="508"/>
    <col min="12805" max="12805" width="9.109375" style="508" customWidth="1"/>
    <col min="12806" max="12806" width="10" style="508" customWidth="1"/>
    <col min="12807" max="12816" width="4.44140625" style="508" customWidth="1"/>
    <col min="12817" max="12817" width="8.44140625" style="508" customWidth="1"/>
    <col min="12818" max="12819" width="8.6640625" style="508" customWidth="1"/>
    <col min="12820" max="12823" width="5.33203125" style="508" customWidth="1"/>
    <col min="12824" max="13060" width="9.109375" style="508"/>
    <col min="13061" max="13061" width="9.109375" style="508" customWidth="1"/>
    <col min="13062" max="13062" width="10" style="508" customWidth="1"/>
    <col min="13063" max="13072" width="4.44140625" style="508" customWidth="1"/>
    <col min="13073" max="13073" width="8.44140625" style="508" customWidth="1"/>
    <col min="13074" max="13075" width="8.6640625" style="508" customWidth="1"/>
    <col min="13076" max="13079" width="5.33203125" style="508" customWidth="1"/>
    <col min="13080" max="13316" width="9.109375" style="508"/>
    <col min="13317" max="13317" width="9.109375" style="508" customWidth="1"/>
    <col min="13318" max="13318" width="10" style="508" customWidth="1"/>
    <col min="13319" max="13328" width="4.44140625" style="508" customWidth="1"/>
    <col min="13329" max="13329" width="8.44140625" style="508" customWidth="1"/>
    <col min="13330" max="13331" width="8.6640625" style="508" customWidth="1"/>
    <col min="13332" max="13335" width="5.33203125" style="508" customWidth="1"/>
    <col min="13336" max="13572" width="9.109375" style="508"/>
    <col min="13573" max="13573" width="9.109375" style="508" customWidth="1"/>
    <col min="13574" max="13574" width="10" style="508" customWidth="1"/>
    <col min="13575" max="13584" width="4.44140625" style="508" customWidth="1"/>
    <col min="13585" max="13585" width="8.44140625" style="508" customWidth="1"/>
    <col min="13586" max="13587" width="8.6640625" style="508" customWidth="1"/>
    <col min="13588" max="13591" width="5.33203125" style="508" customWidth="1"/>
    <col min="13592" max="13828" width="9.109375" style="508"/>
    <col min="13829" max="13829" width="9.109375" style="508" customWidth="1"/>
    <col min="13830" max="13830" width="10" style="508" customWidth="1"/>
    <col min="13831" max="13840" width="4.44140625" style="508" customWidth="1"/>
    <col min="13841" max="13841" width="8.44140625" style="508" customWidth="1"/>
    <col min="13842" max="13843" width="8.6640625" style="508" customWidth="1"/>
    <col min="13844" max="13847" width="5.33203125" style="508" customWidth="1"/>
    <col min="13848" max="14084" width="9.109375" style="508"/>
    <col min="14085" max="14085" width="9.109375" style="508" customWidth="1"/>
    <col min="14086" max="14086" width="10" style="508" customWidth="1"/>
    <col min="14087" max="14096" width="4.44140625" style="508" customWidth="1"/>
    <col min="14097" max="14097" width="8.44140625" style="508" customWidth="1"/>
    <col min="14098" max="14099" width="8.6640625" style="508" customWidth="1"/>
    <col min="14100" max="14103" width="5.33203125" style="508" customWidth="1"/>
    <col min="14104" max="14340" width="9.109375" style="508"/>
    <col min="14341" max="14341" width="9.109375" style="508" customWidth="1"/>
    <col min="14342" max="14342" width="10" style="508" customWidth="1"/>
    <col min="14343" max="14352" width="4.44140625" style="508" customWidth="1"/>
    <col min="14353" max="14353" width="8.44140625" style="508" customWidth="1"/>
    <col min="14354" max="14355" width="8.6640625" style="508" customWidth="1"/>
    <col min="14356" max="14359" width="5.33203125" style="508" customWidth="1"/>
    <col min="14360" max="14596" width="9.109375" style="508"/>
    <col min="14597" max="14597" width="9.109375" style="508" customWidth="1"/>
    <col min="14598" max="14598" width="10" style="508" customWidth="1"/>
    <col min="14599" max="14608" width="4.44140625" style="508" customWidth="1"/>
    <col min="14609" max="14609" width="8.44140625" style="508" customWidth="1"/>
    <col min="14610" max="14611" width="8.6640625" style="508" customWidth="1"/>
    <col min="14612" max="14615" width="5.33203125" style="508" customWidth="1"/>
    <col min="14616" max="14852" width="9.109375" style="508"/>
    <col min="14853" max="14853" width="9.109375" style="508" customWidth="1"/>
    <col min="14854" max="14854" width="10" style="508" customWidth="1"/>
    <col min="14855" max="14864" width="4.44140625" style="508" customWidth="1"/>
    <col min="14865" max="14865" width="8.44140625" style="508" customWidth="1"/>
    <col min="14866" max="14867" width="8.6640625" style="508" customWidth="1"/>
    <col min="14868" max="14871" width="5.33203125" style="508" customWidth="1"/>
    <col min="14872" max="15108" width="9.109375" style="508"/>
    <col min="15109" max="15109" width="9.109375" style="508" customWidth="1"/>
    <col min="15110" max="15110" width="10" style="508" customWidth="1"/>
    <col min="15111" max="15120" width="4.44140625" style="508" customWidth="1"/>
    <col min="15121" max="15121" width="8.44140625" style="508" customWidth="1"/>
    <col min="15122" max="15123" width="8.6640625" style="508" customWidth="1"/>
    <col min="15124" max="15127" width="5.33203125" style="508" customWidth="1"/>
    <col min="15128" max="15364" width="9.109375" style="508"/>
    <col min="15365" max="15365" width="9.109375" style="508" customWidth="1"/>
    <col min="15366" max="15366" width="10" style="508" customWidth="1"/>
    <col min="15367" max="15376" width="4.44140625" style="508" customWidth="1"/>
    <col min="15377" max="15377" width="8.44140625" style="508" customWidth="1"/>
    <col min="15378" max="15379" width="8.6640625" style="508" customWidth="1"/>
    <col min="15380" max="15383" width="5.33203125" style="508" customWidth="1"/>
    <col min="15384" max="15620" width="9.109375" style="508"/>
    <col min="15621" max="15621" width="9.109375" style="508" customWidth="1"/>
    <col min="15622" max="15622" width="10" style="508" customWidth="1"/>
    <col min="15623" max="15632" width="4.44140625" style="508" customWidth="1"/>
    <col min="15633" max="15633" width="8.44140625" style="508" customWidth="1"/>
    <col min="15634" max="15635" width="8.6640625" style="508" customWidth="1"/>
    <col min="15636" max="15639" width="5.33203125" style="508" customWidth="1"/>
    <col min="15640" max="15876" width="9.109375" style="508"/>
    <col min="15877" max="15877" width="9.109375" style="508" customWidth="1"/>
    <col min="15878" max="15878" width="10" style="508" customWidth="1"/>
    <col min="15879" max="15888" width="4.44140625" style="508" customWidth="1"/>
    <col min="15889" max="15889" width="8.44140625" style="508" customWidth="1"/>
    <col min="15890" max="15891" width="8.6640625" style="508" customWidth="1"/>
    <col min="15892" max="15895" width="5.33203125" style="508" customWidth="1"/>
    <col min="15896" max="16132" width="9.109375" style="508"/>
    <col min="16133" max="16133" width="9.109375" style="508" customWidth="1"/>
    <col min="16134" max="16134" width="10" style="508" customWidth="1"/>
    <col min="16135" max="16144" width="4.44140625" style="508" customWidth="1"/>
    <col min="16145" max="16145" width="8.44140625" style="508" customWidth="1"/>
    <col min="16146" max="16147" width="8.6640625" style="508" customWidth="1"/>
    <col min="16148" max="16151" width="5.33203125" style="508" customWidth="1"/>
    <col min="16152" max="16384" width="9.109375" style="508"/>
  </cols>
  <sheetData>
    <row r="1" spans="1:31" s="501" customFormat="1" ht="26.25" customHeight="1">
      <c r="A1" s="1108" t="str">
        <f>IF('Huong dan'!E3&lt;&gt;"","SỞ GIÁO DỤC VÀ ĐÀO TẠO "&amp;UPPER('Huong dan'!E3),"")</f>
        <v>SỞ GIÁO DỤC VÀ ĐÀO TẠO TP. HỒ CHÍ MINH</v>
      </c>
      <c r="B1" s="1108"/>
      <c r="C1" s="1108"/>
      <c r="D1" s="1108"/>
      <c r="E1" s="1108"/>
      <c r="F1" s="1108"/>
      <c r="G1" s="1108"/>
      <c r="H1" s="1108"/>
      <c r="I1" s="1108"/>
      <c r="J1" s="1108"/>
      <c r="K1" s="500"/>
      <c r="W1" s="502"/>
      <c r="X1" s="502"/>
      <c r="Y1" s="502"/>
      <c r="Z1" s="502"/>
      <c r="AA1" s="502"/>
      <c r="AB1" s="502"/>
      <c r="AC1" s="502"/>
      <c r="AD1" s="502"/>
      <c r="AE1" s="502"/>
    </row>
    <row r="2" spans="1:31" s="504" customFormat="1" ht="20.25" customHeight="1">
      <c r="A2" s="1109" t="str">
        <f>IF('Huong dan'!E4&lt;&gt;"","TRƯỜNG "&amp;UPPER('Huong dan'!E4),"")</f>
        <v>TRƯỜNG THCS VÀ THPT NGUYỄN KHUYẾN</v>
      </c>
      <c r="B2" s="1109"/>
      <c r="C2" s="1109"/>
      <c r="D2" s="1109"/>
      <c r="E2" s="1109"/>
      <c r="F2" s="1109"/>
      <c r="G2" s="1109"/>
      <c r="H2" s="1109"/>
      <c r="I2" s="1109"/>
      <c r="J2" s="1109"/>
      <c r="K2" s="503"/>
      <c r="W2" s="505"/>
      <c r="X2" s="505"/>
      <c r="Y2" s="505"/>
      <c r="Z2" s="505"/>
      <c r="AA2" s="505"/>
      <c r="AB2" s="505"/>
      <c r="AC2" s="505"/>
      <c r="AD2" s="505"/>
      <c r="AE2" s="505"/>
    </row>
    <row r="3" spans="1:31" s="506" customFormat="1" ht="18" customHeight="1">
      <c r="A3" s="1113" t="str">
        <f>IF('Huong dan'!C3&lt;&gt;"","Lớp "&amp;UPPER('Huong dan'!C3),"")</f>
        <v>Lớp 12A1</v>
      </c>
      <c r="B3" s="1113"/>
      <c r="C3" s="1113"/>
      <c r="D3" s="1113"/>
      <c r="E3" s="1113"/>
      <c r="F3" s="1113"/>
      <c r="G3" s="1113"/>
      <c r="H3" s="1113"/>
      <c r="I3" s="1113"/>
      <c r="J3" s="1113"/>
      <c r="W3" s="507"/>
      <c r="X3" s="507"/>
      <c r="Y3" s="507"/>
      <c r="Z3" s="507"/>
      <c r="AA3" s="507"/>
      <c r="AB3" s="507"/>
      <c r="AC3" s="507"/>
      <c r="AD3" s="507"/>
      <c r="AE3" s="507"/>
    </row>
    <row r="4" spans="1:31" ht="30.75" customHeight="1">
      <c r="A4" s="1110" t="str">
        <f>"BÁO CÁO XẾP LOẠI HAI MẶT NĂM HỌC "&amp;'Huong dan'!C5</f>
        <v>BÁO CÁO XẾP LOẠI HAI MẶT NĂM HỌC 2021 - 2022</v>
      </c>
      <c r="B4" s="1110"/>
      <c r="C4" s="1110"/>
      <c r="D4" s="1110"/>
      <c r="E4" s="1110"/>
      <c r="F4" s="1110"/>
      <c r="G4" s="1110"/>
      <c r="H4" s="1110"/>
      <c r="I4" s="1110"/>
      <c r="J4" s="1110"/>
      <c r="K4" s="1110"/>
      <c r="L4" s="1110"/>
      <c r="M4" s="1110"/>
      <c r="N4" s="1110"/>
      <c r="O4" s="1110"/>
      <c r="P4" s="1110"/>
      <c r="Q4" s="1110"/>
      <c r="R4" s="1110"/>
      <c r="S4" s="1110"/>
    </row>
    <row r="5" spans="1:31" ht="10.5" customHeight="1">
      <c r="A5" s="510"/>
      <c r="B5" s="510"/>
      <c r="C5" s="510"/>
      <c r="D5" s="510"/>
      <c r="E5" s="510"/>
      <c r="F5" s="510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</row>
    <row r="6" spans="1:31" s="506" customFormat="1" ht="20.25" customHeight="1">
      <c r="A6" s="506" t="s">
        <v>186</v>
      </c>
      <c r="W6" s="507"/>
      <c r="X6" s="507"/>
      <c r="Y6" s="507"/>
      <c r="Z6" s="507"/>
      <c r="AA6" s="507"/>
      <c r="AB6" s="507"/>
      <c r="AC6" s="507"/>
      <c r="AD6" s="507"/>
      <c r="AE6" s="507"/>
    </row>
    <row r="7" spans="1:31" s="506" customFormat="1" ht="18" customHeight="1">
      <c r="A7" s="1089" t="s">
        <v>7</v>
      </c>
      <c r="B7" s="1111" t="s">
        <v>124</v>
      </c>
      <c r="C7" s="1093" t="s">
        <v>125</v>
      </c>
      <c r="D7" s="1112"/>
      <c r="E7" s="1112"/>
      <c r="F7" s="1112"/>
      <c r="G7" s="1112"/>
      <c r="H7" s="1112"/>
      <c r="I7" s="1112"/>
      <c r="J7" s="1112"/>
      <c r="K7" s="1112"/>
      <c r="L7" s="1094"/>
      <c r="M7" s="1089" t="s">
        <v>37</v>
      </c>
      <c r="N7" s="1089"/>
      <c r="O7" s="1089"/>
      <c r="P7" s="1089"/>
      <c r="Q7" s="1089"/>
      <c r="R7" s="1099" t="s">
        <v>126</v>
      </c>
      <c r="S7" s="1100"/>
      <c r="W7" s="507"/>
      <c r="X7" s="507"/>
      <c r="Y7" s="507"/>
      <c r="Z7" s="507"/>
      <c r="AA7" s="507"/>
      <c r="AB7" s="507"/>
      <c r="AC7" s="507"/>
      <c r="AD7" s="507"/>
      <c r="AE7" s="507"/>
    </row>
    <row r="8" spans="1:31" s="506" customFormat="1" ht="17.25" customHeight="1">
      <c r="A8" s="1089"/>
      <c r="B8" s="1089"/>
      <c r="C8" s="1103" t="s">
        <v>11</v>
      </c>
      <c r="D8" s="1104"/>
      <c r="E8" s="1103" t="s">
        <v>12</v>
      </c>
      <c r="F8" s="1104"/>
      <c r="G8" s="1103" t="s">
        <v>127</v>
      </c>
      <c r="H8" s="1104"/>
      <c r="I8" s="1103" t="s">
        <v>14</v>
      </c>
      <c r="J8" s="1104"/>
      <c r="K8" s="1103" t="s">
        <v>15</v>
      </c>
      <c r="L8" s="1104"/>
      <c r="M8" s="511" t="s">
        <v>38</v>
      </c>
      <c r="N8" s="511" t="s">
        <v>12</v>
      </c>
      <c r="O8" s="511" t="s">
        <v>127</v>
      </c>
      <c r="P8" s="1103" t="s">
        <v>14</v>
      </c>
      <c r="Q8" s="1104"/>
      <c r="R8" s="1101"/>
      <c r="S8" s="1102"/>
      <c r="W8" s="507"/>
      <c r="X8" s="507"/>
      <c r="Y8" s="507"/>
      <c r="Z8" s="507"/>
      <c r="AA8" s="507"/>
      <c r="AB8" s="507"/>
      <c r="AC8" s="507"/>
      <c r="AD8" s="507"/>
      <c r="AE8" s="507"/>
    </row>
    <row r="9" spans="1:31" ht="15" customHeight="1">
      <c r="A9" s="1105" t="str">
        <f>IF('Huong dan'!C3&lt;&gt;"",UPPER('Huong dan'!C3),"")</f>
        <v>12A1</v>
      </c>
      <c r="B9" s="512">
        <f>COUNTIF(DiemHKII!$D$4:$D$58,"?*")</f>
        <v>36</v>
      </c>
      <c r="C9" s="1107">
        <f>IF(THHKII!K74&lt;&gt;"",THHKII!K74,"")</f>
        <v>0</v>
      </c>
      <c r="D9" s="1086"/>
      <c r="E9" s="1107">
        <f>IF(THHKII!L74&lt;&gt;"",THHKII!L74,"")</f>
        <v>0</v>
      </c>
      <c r="F9" s="1086"/>
      <c r="G9" s="1107">
        <f>IF(THHKII!M74&lt;&gt;"",THHKII!M74,"")</f>
        <v>0</v>
      </c>
      <c r="H9" s="1086"/>
      <c r="I9" s="1107">
        <f>IF(THHKII!N74&lt;&gt;"",THHKII!N74,"")</f>
        <v>0</v>
      </c>
      <c r="J9" s="1086"/>
      <c r="K9" s="1107">
        <f>IF(THHKII!O74&lt;&gt;"",THHKII!O74,"")</f>
        <v>0</v>
      </c>
      <c r="L9" s="1086"/>
      <c r="M9" s="512">
        <f>IF(THHKII!U74&lt;&gt;"",THHKII!U74,"")</f>
        <v>0</v>
      </c>
      <c r="N9" s="513">
        <f>IF(THHKII!V74&lt;&gt;"",THHKII!V74,"")</f>
        <v>0</v>
      </c>
      <c r="O9" s="514">
        <f>IF(THHKII!W74&lt;&gt;"",THHKII!W74,"")</f>
        <v>0</v>
      </c>
      <c r="P9" s="1085">
        <f>IF(THHKII!X74&lt;&gt;"",THHKII!X74,"")</f>
        <v>0</v>
      </c>
      <c r="Q9" s="1086"/>
      <c r="R9" s="1085" t="s">
        <v>99</v>
      </c>
      <c r="S9" s="1086"/>
    </row>
    <row r="10" spans="1:31" ht="15" customHeight="1">
      <c r="A10" s="1106"/>
      <c r="B10" s="512">
        <f>COUNTIF(DiemHKII!$D$4:$D$58,"?*")</f>
        <v>36</v>
      </c>
      <c r="C10" s="1085">
        <f>IF(THCN!K74&lt;&gt;"",THCN!K74,"")</f>
        <v>0</v>
      </c>
      <c r="D10" s="1086"/>
      <c r="E10" s="1085">
        <f>IF(THCN!L74&lt;&gt;"",THCN!L74,"")</f>
        <v>0</v>
      </c>
      <c r="F10" s="1086"/>
      <c r="G10" s="1085">
        <f>IF(THCN!M74&lt;&gt;"",THCN!M74,"")</f>
        <v>0</v>
      </c>
      <c r="H10" s="1086"/>
      <c r="I10" s="1085">
        <f>IF(THCN!N74&lt;&gt;"",THCN!N74,"")</f>
        <v>0</v>
      </c>
      <c r="J10" s="1086"/>
      <c r="K10" s="1085">
        <f>IF(THCN!O74&lt;&gt;"",THCN!O74,"")</f>
        <v>0</v>
      </c>
      <c r="L10" s="1086"/>
      <c r="M10" s="512">
        <f>IF(THCN!U74&lt;&gt;"",THCN!U74,"")</f>
        <v>0</v>
      </c>
      <c r="N10" s="515">
        <f>IF(THCN!V74&lt;&gt;"",THCN!V74,"")</f>
        <v>0</v>
      </c>
      <c r="O10" s="512">
        <f>IF(THCN!W74&lt;&gt;"",THCN!W74,"")</f>
        <v>0</v>
      </c>
      <c r="P10" s="1085">
        <f>IF(THCN!X74&lt;&gt;"",THCN!X74,"")</f>
        <v>0</v>
      </c>
      <c r="Q10" s="1086"/>
      <c r="R10" s="1085" t="s">
        <v>98</v>
      </c>
      <c r="S10" s="1086"/>
    </row>
    <row r="11" spans="1:31" ht="10.5" customHeight="1">
      <c r="A11" s="509"/>
      <c r="C11" s="509"/>
      <c r="D11" s="509"/>
      <c r="E11" s="509"/>
      <c r="F11" s="509"/>
      <c r="G11" s="509"/>
      <c r="H11" s="509"/>
      <c r="I11" s="509"/>
      <c r="J11" s="509"/>
      <c r="K11" s="509"/>
      <c r="L11" s="509"/>
      <c r="P11" s="509"/>
      <c r="Q11" s="509"/>
      <c r="R11" s="509"/>
      <c r="S11" s="509"/>
    </row>
    <row r="12" spans="1:31" s="506" customFormat="1" ht="21.75" customHeight="1">
      <c r="A12" s="506" t="s">
        <v>183</v>
      </c>
      <c r="W12" s="507"/>
      <c r="X12" s="507"/>
      <c r="Y12" s="507"/>
      <c r="Z12" s="507"/>
      <c r="AA12" s="507"/>
      <c r="AB12" s="507"/>
      <c r="AC12" s="507"/>
      <c r="AD12" s="507"/>
      <c r="AE12" s="507"/>
    </row>
    <row r="13" spans="1:31" ht="30" customHeight="1">
      <c r="A13" s="1095" t="s">
        <v>124</v>
      </c>
      <c r="B13" s="1097" t="s">
        <v>59</v>
      </c>
      <c r="C13" s="1093" t="s">
        <v>11</v>
      </c>
      <c r="D13" s="1094"/>
      <c r="E13" s="1093" t="s">
        <v>12</v>
      </c>
      <c r="F13" s="1094"/>
      <c r="G13" s="1093" t="s">
        <v>127</v>
      </c>
      <c r="H13" s="1094"/>
      <c r="I13" s="1093" t="s">
        <v>14</v>
      </c>
      <c r="J13" s="1094"/>
      <c r="K13" s="1093" t="s">
        <v>15</v>
      </c>
      <c r="L13" s="1094"/>
      <c r="N13" s="1099" t="s">
        <v>59</v>
      </c>
      <c r="O13" s="1100"/>
      <c r="P13" s="1090" t="s">
        <v>134</v>
      </c>
      <c r="Q13" s="1091"/>
      <c r="R13" s="1090" t="s">
        <v>135</v>
      </c>
      <c r="S13" s="1091"/>
      <c r="W13" s="516" t="s">
        <v>11</v>
      </c>
      <c r="X13" s="516"/>
      <c r="Y13" s="516" t="s">
        <v>12</v>
      </c>
      <c r="Z13" s="516"/>
      <c r="AA13" s="516" t="s">
        <v>8</v>
      </c>
      <c r="AB13" s="516"/>
      <c r="AC13" s="517" t="s">
        <v>14</v>
      </c>
      <c r="AD13" s="517"/>
      <c r="AE13" s="518" t="s">
        <v>15</v>
      </c>
    </row>
    <row r="14" spans="1:31" s="521" customFormat="1" ht="19.5" customHeight="1">
      <c r="A14" s="1096"/>
      <c r="B14" s="1098"/>
      <c r="C14" s="519" t="s">
        <v>184</v>
      </c>
      <c r="D14" s="520" t="s">
        <v>104</v>
      </c>
      <c r="E14" s="519" t="s">
        <v>184</v>
      </c>
      <c r="F14" s="520" t="s">
        <v>104</v>
      </c>
      <c r="G14" s="519" t="s">
        <v>184</v>
      </c>
      <c r="H14" s="520" t="s">
        <v>104</v>
      </c>
      <c r="I14" s="519" t="s">
        <v>184</v>
      </c>
      <c r="J14" s="520" t="s">
        <v>104</v>
      </c>
      <c r="K14" s="519" t="s">
        <v>184</v>
      </c>
      <c r="L14" s="520" t="s">
        <v>104</v>
      </c>
      <c r="N14" s="1101"/>
      <c r="O14" s="1102"/>
      <c r="P14" s="522" t="s">
        <v>184</v>
      </c>
      <c r="Q14" s="522" t="s">
        <v>104</v>
      </c>
      <c r="R14" s="522" t="s">
        <v>184</v>
      </c>
      <c r="S14" s="522" t="s">
        <v>104</v>
      </c>
      <c r="V14" s="523">
        <v>1</v>
      </c>
      <c r="W14" s="523">
        <v>2</v>
      </c>
      <c r="X14" s="523">
        <v>3</v>
      </c>
      <c r="Y14" s="523">
        <v>4</v>
      </c>
      <c r="Z14" s="523">
        <v>5</v>
      </c>
      <c r="AA14" s="523">
        <v>6</v>
      </c>
      <c r="AB14" s="523">
        <v>7</v>
      </c>
      <c r="AC14" s="523">
        <v>8</v>
      </c>
      <c r="AD14" s="523">
        <v>9</v>
      </c>
      <c r="AE14" s="523">
        <v>10</v>
      </c>
    </row>
    <row r="15" spans="1:31" ht="15" customHeight="1">
      <c r="A15" s="514"/>
      <c r="B15" s="524" t="s">
        <v>26</v>
      </c>
      <c r="C15" s="525">
        <f>IF(INDEX(DiemHKII!$B$68:$EG$87,9,INDEX($V$15:$AE$27,MATCH('M2-CN'!$B15,$V$15:$V$27,0),W$14))&lt;&gt;"",INDEX(DiemHKII!$B$68:$EG$87,9,INDEX($V$15:$AE$27,MATCH('M2-CN'!$B15,$V$15:$V$27,0),W$14)),"")</f>
        <v>0</v>
      </c>
      <c r="D15" s="526">
        <f>IF(INDEX(DiemHKII!$B$68:$EG$87,16,INDEX($V$15:$AE$27,MATCH('M2-CN'!$B15,$V$15:$V$27,0),W$14))&lt;&gt;"",INDEX(DiemHKII!$B$68:$EG$87,16,INDEX($V$15:$AE$27,MATCH('M2-CN'!$B15,$V$15:$V$27,0),W$14)),"")</f>
        <v>0</v>
      </c>
      <c r="E15" s="512">
        <f>IF(INDEX(DiemHKII!$B$68:$EG$87,9,INDEX($V$15:$AE$27,MATCH('M2-CN'!$B15,$V$15:$V$27,0),Y$14))&lt;&gt;"",INDEX(DiemHKII!$B$68:$EG$87,9,INDEX($V$15:$AE$27,MATCH('M2-CN'!$B15,$V$15:$V$27,0),Y$14)),"")</f>
        <v>0</v>
      </c>
      <c r="F15" s="526">
        <f>IF(INDEX(DiemHKII!$B$68:$EG$87,16,INDEX($V$15:$AE$27,MATCH('M2-CN'!$B15,$V$15:$V$27,0),Y$14))&lt;&gt;"",INDEX(DiemHKII!$B$68:$EG$87,16,INDEX($V$15:$AE$27,MATCH('M2-CN'!$B15,$V$15:$V$27,0),Y$14)),"")</f>
        <v>0</v>
      </c>
      <c r="G15" s="512">
        <f>IF(INDEX(DiemHKII!$B$68:$EG$87,9,INDEX($V$15:$AE$27,MATCH('M2-CN'!$B15,$V$15:$V$27,0),AA$14))&lt;&gt;"",INDEX(DiemHKII!$B$68:$EG$87,9,INDEX($V$15:$AE$27,MATCH('M2-CN'!$B15,$V$15:$V$27,0),AA$14)),"")</f>
        <v>0</v>
      </c>
      <c r="H15" s="526">
        <f>IF(INDEX(DiemHKII!$B$68:$EG$87,16,INDEX($V$15:$AE$27,MATCH('M2-CN'!$B15,$V$15:$V$27,0),AA$14))&lt;&gt;"",INDEX(DiemHKII!$B$68:$EG$87,16,INDEX($V$15:$AE$27,MATCH('M2-CN'!$B15,$V$15:$V$27,0),AA$14)),"")</f>
        <v>0</v>
      </c>
      <c r="I15" s="512">
        <f>IF(INDEX(DiemHKII!$B$68:$EG$87,9,INDEX($V$15:$AE$27,MATCH('M2-CN'!$B15,$V$15:$V$27,0),AC$14))&lt;&gt;"",INDEX(DiemHKII!$B$68:$EG$87,9,INDEX($V$15:$AE$27,MATCH('M2-CN'!$B15,$V$15:$V$27,0),AC$14)),"")</f>
        <v>0</v>
      </c>
      <c r="J15" s="526">
        <f>IF(INDEX(DiemHKII!$B$68:$EG$87,16,INDEX($V$15:$AE$27,MATCH('M2-CN'!$B15,$V$15:$V$27,0),AC$14))&lt;&gt;"",INDEX(DiemHKII!$B$68:$EG$87,16,INDEX($V$15:$AE$27,MATCH('M2-CN'!$B15,$V$15:$V$27,0),AC$14)),"")</f>
        <v>0</v>
      </c>
      <c r="K15" s="512">
        <f>IF(INDEX(DiemHKII!$B$68:$EG$87,9,INDEX($V$15:$AE$27,MATCH('M2-CN'!$B15,$V$15:$V$27,0),AE$14))&lt;&gt;"",INDEX(DiemHKII!$B$68:$EG$87,9,INDEX($V$15:$AE$27,MATCH('M2-CN'!$B15,$V$15:$V$27,0),AE$14)),"")</f>
        <v>0</v>
      </c>
      <c r="L15" s="526">
        <f>IF(INDEX(DiemHKII!$B$68:$EG$87,16,INDEX($V$15:$AE$27,MATCH('M2-CN'!$B15,$V$15:$V$27,0),AE$14))&lt;&gt;"",INDEX(DiemHKII!$B$68:$EG$87,16,INDEX($V$15:$AE$27,MATCH('M2-CN'!$B15,$V$15:$V$27,0),AE$14)),"")</f>
        <v>0</v>
      </c>
      <c r="M15" s="508" t="str">
        <f>IF(SUM(C15:L15)/2&lt;&gt;$A$20,"Xem lại","")</f>
        <v>Xem lại</v>
      </c>
      <c r="N15" s="1092" t="s">
        <v>35</v>
      </c>
      <c r="O15" s="1092"/>
      <c r="P15" s="512">
        <f>IF(DiemHKII!DL69&lt;&gt;"",DiemHKII!DL69,"")</f>
        <v>36</v>
      </c>
      <c r="Q15" s="526">
        <f>IF(DiemHKII!DL69&lt;&gt;"",DiemHKII!DL69,"")</f>
        <v>36</v>
      </c>
      <c r="R15" s="512">
        <f>IF(DiemHKII!DM69&lt;&gt;"",DiemHKII!DM69,"")</f>
        <v>0</v>
      </c>
      <c r="S15" s="526">
        <f>IF(DiemHKII!DM69&lt;&gt;"",DiemHKII!DM69,"")</f>
        <v>0</v>
      </c>
      <c r="V15" s="508" t="s">
        <v>26</v>
      </c>
      <c r="W15" s="509">
        <v>13</v>
      </c>
      <c r="Y15" s="509">
        <v>14</v>
      </c>
      <c r="AA15" s="509">
        <v>15</v>
      </c>
      <c r="AC15" s="509">
        <v>16</v>
      </c>
      <c r="AE15" s="509">
        <v>17</v>
      </c>
    </row>
    <row r="16" spans="1:31" ht="15" customHeight="1">
      <c r="A16" s="527"/>
      <c r="B16" s="524" t="s">
        <v>27</v>
      </c>
      <c r="C16" s="512">
        <f>IF(INDEX(DiemHKII!$B$68:$EG$87,9,INDEX($V$15:$AE$27,MATCH('M2-CN'!$B16,$V$15:$V$27,0),W$14))&lt;&gt;"",INDEX(DiemHKII!$B$68:$EG$87,9,INDEX($V$15:$AE$27,MATCH('M2-CN'!$B16,$V$15:$V$27,0),W$14)),"")</f>
        <v>0</v>
      </c>
      <c r="D16" s="526">
        <f>IF(INDEX(DiemHKII!$B$68:$EG$87,16,INDEX($V$15:$AE$27,MATCH('M2-CN'!$B16,$V$15:$V$27,0),W$14))&lt;&gt;"",INDEX(DiemHKII!$B$68:$EG$87,16,INDEX($V$15:$AE$27,MATCH('M2-CN'!$B16,$V$15:$V$27,0),W$14)),"")</f>
        <v>0</v>
      </c>
      <c r="E16" s="512">
        <f>IF(INDEX(DiemHKII!$B$68:$EG$87,9,INDEX($V$15:$AE$27,MATCH('M2-CN'!$B16,$V$15:$V$27,0),Y$14))&lt;&gt;"",INDEX(DiemHKII!$B$68:$EG$87,9,INDEX($V$15:$AE$27,MATCH('M2-CN'!$B16,$V$15:$V$27,0),Y$14)),"")</f>
        <v>0</v>
      </c>
      <c r="F16" s="526">
        <f>IF(INDEX(DiemHKII!$B$68:$EG$87,16,INDEX($V$15:$AE$27,MATCH('M2-CN'!$B16,$V$15:$V$27,0),Y$14))&lt;&gt;"",INDEX(DiemHKII!$B$68:$EG$87,16,INDEX($V$15:$AE$27,MATCH('M2-CN'!$B16,$V$15:$V$27,0),Y$14)),"")</f>
        <v>0</v>
      </c>
      <c r="G16" s="512">
        <f>IF(INDEX(DiemHKII!$B$68:$EG$87,9,INDEX($V$15:$AE$27,MATCH('M2-CN'!$B16,$V$15:$V$27,0),AA$14))&lt;&gt;"",INDEX(DiemHKII!$B$68:$EG$87,9,INDEX($V$15:$AE$27,MATCH('M2-CN'!$B16,$V$15:$V$27,0),AA$14)),"")</f>
        <v>0</v>
      </c>
      <c r="H16" s="526">
        <f>IF(INDEX(DiemHKII!$B$68:$EG$87,16,INDEX($V$15:$AE$27,MATCH('M2-CN'!$B16,$V$15:$V$27,0),AA$14))&lt;&gt;"",INDEX(DiemHKII!$B$68:$EG$87,16,INDEX($V$15:$AE$27,MATCH('M2-CN'!$B16,$V$15:$V$27,0),AA$14)),"")</f>
        <v>0</v>
      </c>
      <c r="I16" s="512">
        <f>IF(INDEX(DiemHKII!$B$68:$EG$87,9,INDEX($V$15:$AE$27,MATCH('M2-CN'!$B16,$V$15:$V$27,0),AC$14))&lt;&gt;"",INDEX(DiemHKII!$B$68:$EG$87,9,INDEX($V$15:$AE$27,MATCH('M2-CN'!$B16,$V$15:$V$27,0),AC$14)),"")</f>
        <v>0</v>
      </c>
      <c r="J16" s="526">
        <f>IF(INDEX(DiemHKII!$B$68:$EG$87,16,INDEX($V$15:$AE$27,MATCH('M2-CN'!$B16,$V$15:$V$27,0),AC$14))&lt;&gt;"",INDEX(DiemHKII!$B$68:$EG$87,16,INDEX($V$15:$AE$27,MATCH('M2-CN'!$B16,$V$15:$V$27,0),AC$14)),"")</f>
        <v>0</v>
      </c>
      <c r="K16" s="512">
        <f>IF(INDEX(DiemHKII!$B$68:$EG$87,9,INDEX($V$15:$AE$27,MATCH('M2-CN'!$B16,$V$15:$V$27,0),AE$14))&lt;&gt;"",INDEX(DiemHKII!$B$68:$EG$87,9,INDEX($V$15:$AE$27,MATCH('M2-CN'!$B16,$V$15:$V$27,0),AE$14)),"")</f>
        <v>0</v>
      </c>
      <c r="L16" s="526">
        <f>IF(INDEX(DiemHKII!$B$68:$EG$87,16,INDEX($V$15:$AE$27,MATCH('M2-CN'!$B16,$V$15:$V$27,0),AE$14))&lt;&gt;"",INDEX(DiemHKII!$B$68:$EG$87,16,INDEX($V$15:$AE$27,MATCH('M2-CN'!$B16,$V$15:$V$27,0),AE$14)),"")</f>
        <v>0</v>
      </c>
      <c r="M16" s="508" t="str">
        <f t="shared" ref="M16:M26" si="0">IF(SUM(C16:L16)/2&lt;&gt;$A$20,"Xem lại","")</f>
        <v>Xem lại</v>
      </c>
      <c r="V16" s="508" t="s">
        <v>27</v>
      </c>
      <c r="W16" s="509">
        <v>22</v>
      </c>
      <c r="Y16" s="509">
        <v>23</v>
      </c>
      <c r="AA16" s="509">
        <v>24</v>
      </c>
      <c r="AC16" s="509">
        <v>25</v>
      </c>
      <c r="AE16" s="509">
        <v>26</v>
      </c>
    </row>
    <row r="17" spans="1:31" ht="15" customHeight="1">
      <c r="A17" s="527"/>
      <c r="B17" s="524" t="s">
        <v>28</v>
      </c>
      <c r="C17" s="512">
        <f>IF(INDEX(DiemHKII!$B$68:$EG$87,9,INDEX($V$15:$AE$27,MATCH('M2-CN'!$B17,$V$15:$V$27,0),W$14))&lt;&gt;"",INDEX(DiemHKII!$B$68:$EG$87,9,INDEX($V$15:$AE$27,MATCH('M2-CN'!$B17,$V$15:$V$27,0),W$14)),"")</f>
        <v>0</v>
      </c>
      <c r="D17" s="526">
        <f>IF(INDEX(DiemHKII!$B$68:$EG$87,16,INDEX($V$15:$AE$27,MATCH('M2-CN'!$B17,$V$15:$V$27,0),W$14))&lt;&gt;"",INDEX(DiemHKII!$B$68:$EG$87,16,INDEX($V$15:$AE$27,MATCH('M2-CN'!$B17,$V$15:$V$27,0),W$14)),"")</f>
        <v>0</v>
      </c>
      <c r="E17" s="512">
        <f>IF(INDEX(DiemHKII!$B$68:$EG$87,9,INDEX($V$15:$AE$27,MATCH('M2-CN'!$B17,$V$15:$V$27,0),Y$14))&lt;&gt;"",INDEX(DiemHKII!$B$68:$EG$87,9,INDEX($V$15:$AE$27,MATCH('M2-CN'!$B17,$V$15:$V$27,0),Y$14)),"")</f>
        <v>0</v>
      </c>
      <c r="F17" s="526">
        <f>IF(INDEX(DiemHKII!$B$68:$EG$87,16,INDEX($V$15:$AE$27,MATCH('M2-CN'!$B17,$V$15:$V$27,0),Y$14))&lt;&gt;"",INDEX(DiemHKII!$B$68:$EG$87,16,INDEX($V$15:$AE$27,MATCH('M2-CN'!$B17,$V$15:$V$27,0),Y$14)),"")</f>
        <v>0</v>
      </c>
      <c r="G17" s="512">
        <f>IF(INDEX(DiemHKII!$B$68:$EG$87,9,INDEX($V$15:$AE$27,MATCH('M2-CN'!$B17,$V$15:$V$27,0),AA$14))&lt;&gt;"",INDEX(DiemHKII!$B$68:$EG$87,9,INDEX($V$15:$AE$27,MATCH('M2-CN'!$B17,$V$15:$V$27,0),AA$14)),"")</f>
        <v>0</v>
      </c>
      <c r="H17" s="526">
        <f>IF(INDEX(DiemHKII!$B$68:$EG$87,16,INDEX($V$15:$AE$27,MATCH('M2-CN'!$B17,$V$15:$V$27,0),AA$14))&lt;&gt;"",INDEX(DiemHKII!$B$68:$EG$87,16,INDEX($V$15:$AE$27,MATCH('M2-CN'!$B17,$V$15:$V$27,0),AA$14)),"")</f>
        <v>0</v>
      </c>
      <c r="I17" s="512">
        <f>IF(INDEX(DiemHKII!$B$68:$EG$87,9,INDEX($V$15:$AE$27,MATCH('M2-CN'!$B17,$V$15:$V$27,0),AC$14))&lt;&gt;"",INDEX(DiemHKII!$B$68:$EG$87,9,INDEX($V$15:$AE$27,MATCH('M2-CN'!$B17,$V$15:$V$27,0),AC$14)),"")</f>
        <v>0</v>
      </c>
      <c r="J17" s="526">
        <f>IF(INDEX(DiemHKII!$B$68:$EG$87,16,INDEX($V$15:$AE$27,MATCH('M2-CN'!$B17,$V$15:$V$27,0),AC$14))&lt;&gt;"",INDEX(DiemHKII!$B$68:$EG$87,16,INDEX($V$15:$AE$27,MATCH('M2-CN'!$B17,$V$15:$V$27,0),AC$14)),"")</f>
        <v>0</v>
      </c>
      <c r="K17" s="512">
        <f>IF(INDEX(DiemHKII!$B$68:$EG$87,9,INDEX($V$15:$AE$27,MATCH('M2-CN'!$B17,$V$15:$V$27,0),AE$14))&lt;&gt;"",INDEX(DiemHKII!$B$68:$EG$87,9,INDEX($V$15:$AE$27,MATCH('M2-CN'!$B17,$V$15:$V$27,0),AE$14)),"")</f>
        <v>0</v>
      </c>
      <c r="L17" s="526">
        <f>IF(INDEX(DiemHKII!$B$68:$EG$87,16,INDEX($V$15:$AE$27,MATCH('M2-CN'!$B17,$V$15:$V$27,0),AE$14))&lt;&gt;"",INDEX(DiemHKII!$B$68:$EG$87,16,INDEX($V$15:$AE$27,MATCH('M2-CN'!$B17,$V$15:$V$27,0),AE$14)),"")</f>
        <v>0</v>
      </c>
      <c r="M17" s="508" t="str">
        <f t="shared" si="0"/>
        <v>Xem lại</v>
      </c>
      <c r="V17" s="508" t="s">
        <v>28</v>
      </c>
      <c r="W17" s="509">
        <v>31</v>
      </c>
      <c r="Y17" s="509">
        <v>32</v>
      </c>
      <c r="AA17" s="509">
        <v>33</v>
      </c>
      <c r="AC17" s="509">
        <v>34</v>
      </c>
      <c r="AE17" s="509">
        <v>35</v>
      </c>
    </row>
    <row r="18" spans="1:31" ht="15" customHeight="1">
      <c r="A18" s="527"/>
      <c r="B18" s="524" t="s">
        <v>29</v>
      </c>
      <c r="C18" s="512">
        <f>IF(INDEX(DiemHKII!$B$68:$EG$87,9,INDEX($V$15:$AE$27,MATCH('M2-CN'!$B18,$V$15:$V$27,0),W$14))&lt;&gt;"",INDEX(DiemHKII!$B$68:$EG$87,9,INDEX($V$15:$AE$27,MATCH('M2-CN'!$B18,$V$15:$V$27,0),W$14)),"")</f>
        <v>0</v>
      </c>
      <c r="D18" s="526">
        <f>IF(INDEX(DiemHKII!$B$68:$EG$87,16,INDEX($V$15:$AE$27,MATCH('M2-CN'!$B18,$V$15:$V$27,0),W$14))&lt;&gt;"",INDEX(DiemHKII!$B$68:$EG$87,16,INDEX($V$15:$AE$27,MATCH('M2-CN'!$B18,$V$15:$V$27,0),W$14)),"")</f>
        <v>0</v>
      </c>
      <c r="E18" s="512">
        <f>IF(INDEX(DiemHKII!$B$68:$EG$87,9,INDEX($V$15:$AE$27,MATCH('M2-CN'!$B18,$V$15:$V$27,0),Y$14))&lt;&gt;"",INDEX(DiemHKII!$B$68:$EG$87,9,INDEX($V$15:$AE$27,MATCH('M2-CN'!$B18,$V$15:$V$27,0),Y$14)),"")</f>
        <v>0</v>
      </c>
      <c r="F18" s="526">
        <f>IF(INDEX(DiemHKII!$B$68:$EG$87,16,INDEX($V$15:$AE$27,MATCH('M2-CN'!$B18,$V$15:$V$27,0),Y$14))&lt;&gt;"",INDEX(DiemHKII!$B$68:$EG$87,16,INDEX($V$15:$AE$27,MATCH('M2-CN'!$B18,$V$15:$V$27,0),Y$14)),"")</f>
        <v>0</v>
      </c>
      <c r="G18" s="512">
        <f>IF(INDEX(DiemHKII!$B$68:$EG$87,9,INDEX($V$15:$AE$27,MATCH('M2-CN'!$B18,$V$15:$V$27,0),AA$14))&lt;&gt;"",INDEX(DiemHKII!$B$68:$EG$87,9,INDEX($V$15:$AE$27,MATCH('M2-CN'!$B18,$V$15:$V$27,0),AA$14)),"")</f>
        <v>0</v>
      </c>
      <c r="H18" s="526">
        <f>IF(INDEX(DiemHKII!$B$68:$EG$87,16,INDEX($V$15:$AE$27,MATCH('M2-CN'!$B18,$V$15:$V$27,0),AA$14))&lt;&gt;"",INDEX(DiemHKII!$B$68:$EG$87,16,INDEX($V$15:$AE$27,MATCH('M2-CN'!$B18,$V$15:$V$27,0),AA$14)),"")</f>
        <v>0</v>
      </c>
      <c r="I18" s="512">
        <f>IF(INDEX(DiemHKII!$B$68:$EG$87,9,INDEX($V$15:$AE$27,MATCH('M2-CN'!$B18,$V$15:$V$27,0),AC$14))&lt;&gt;"",INDEX(DiemHKII!$B$68:$EG$87,9,INDEX($V$15:$AE$27,MATCH('M2-CN'!$B18,$V$15:$V$27,0),AC$14)),"")</f>
        <v>0</v>
      </c>
      <c r="J18" s="526">
        <f>IF(INDEX(DiemHKII!$B$68:$EG$87,16,INDEX($V$15:$AE$27,MATCH('M2-CN'!$B18,$V$15:$V$27,0),AC$14))&lt;&gt;"",INDEX(DiemHKII!$B$68:$EG$87,16,INDEX($V$15:$AE$27,MATCH('M2-CN'!$B18,$V$15:$V$27,0),AC$14)),"")</f>
        <v>0</v>
      </c>
      <c r="K18" s="512">
        <f>IF(INDEX(DiemHKII!$B$68:$EG$87,9,INDEX($V$15:$AE$27,MATCH('M2-CN'!$B18,$V$15:$V$27,0),AE$14))&lt;&gt;"",INDEX(DiemHKII!$B$68:$EG$87,9,INDEX($V$15:$AE$27,MATCH('M2-CN'!$B18,$V$15:$V$27,0),AE$14)),"")</f>
        <v>0</v>
      </c>
      <c r="L18" s="526">
        <f>IF(INDEX(DiemHKII!$B$68:$EG$87,16,INDEX($V$15:$AE$27,MATCH('M2-CN'!$B18,$V$15:$V$27,0),AE$14))&lt;&gt;"",INDEX(DiemHKII!$B$68:$EG$87,16,INDEX($V$15:$AE$27,MATCH('M2-CN'!$B18,$V$15:$V$27,0),AE$14)),"")</f>
        <v>0</v>
      </c>
      <c r="M18" s="508" t="str">
        <f t="shared" si="0"/>
        <v>Xem lại</v>
      </c>
      <c r="V18" s="508" t="s">
        <v>29</v>
      </c>
      <c r="W18" s="509">
        <v>40</v>
      </c>
      <c r="Y18" s="509">
        <v>41</v>
      </c>
      <c r="AA18" s="509">
        <v>42</v>
      </c>
      <c r="AC18" s="509">
        <v>43</v>
      </c>
      <c r="AE18" s="509">
        <v>44</v>
      </c>
    </row>
    <row r="19" spans="1:31" ht="15" customHeight="1">
      <c r="A19" s="527"/>
      <c r="B19" s="524" t="s">
        <v>120</v>
      </c>
      <c r="C19" s="512">
        <f>IF(INDEX(DiemHKII!$B$68:$EG$87,9,INDEX($V$15:$AE$27,MATCH('M2-CN'!$B19,$V$15:$V$27,0),W$14))&lt;&gt;"",INDEX(DiemHKII!$B$68:$EG$87,9,INDEX($V$15:$AE$27,MATCH('M2-CN'!$B19,$V$15:$V$27,0),W$14)),"")</f>
        <v>0</v>
      </c>
      <c r="D19" s="526">
        <f>IF(INDEX(DiemHKII!$B$68:$EG$87,16,INDEX($V$15:$AE$27,MATCH('M2-CN'!$B19,$V$15:$V$27,0),W$14))&lt;&gt;"",INDEX(DiemHKII!$B$68:$EG$87,16,INDEX($V$15:$AE$27,MATCH('M2-CN'!$B19,$V$15:$V$27,0),W$14)),"")</f>
        <v>0</v>
      </c>
      <c r="E19" s="512">
        <f>IF(INDEX(DiemHKII!$B$68:$EG$87,9,INDEX($V$15:$AE$27,MATCH('M2-CN'!$B19,$V$15:$V$27,0),Y$14))&lt;&gt;"",INDEX(DiemHKII!$B$68:$EG$87,9,INDEX($V$15:$AE$27,MATCH('M2-CN'!$B19,$V$15:$V$27,0),Y$14)),"")</f>
        <v>0</v>
      </c>
      <c r="F19" s="526">
        <f>IF(INDEX(DiemHKII!$B$68:$EG$87,16,INDEX($V$15:$AE$27,MATCH('M2-CN'!$B19,$V$15:$V$27,0),Y$14))&lt;&gt;"",INDEX(DiemHKII!$B$68:$EG$87,16,INDEX($V$15:$AE$27,MATCH('M2-CN'!$B19,$V$15:$V$27,0),Y$14)),"")</f>
        <v>0</v>
      </c>
      <c r="G19" s="512">
        <f>IF(INDEX(DiemHKII!$B$68:$EG$87,9,INDEX($V$15:$AE$27,MATCH('M2-CN'!$B19,$V$15:$V$27,0),AA$14))&lt;&gt;"",INDEX(DiemHKII!$B$68:$EG$87,9,INDEX($V$15:$AE$27,MATCH('M2-CN'!$B19,$V$15:$V$27,0),AA$14)),"")</f>
        <v>0</v>
      </c>
      <c r="H19" s="526">
        <f>IF(INDEX(DiemHKII!$B$68:$EG$87,16,INDEX($V$15:$AE$27,MATCH('M2-CN'!$B19,$V$15:$V$27,0),AA$14))&lt;&gt;"",INDEX(DiemHKII!$B$68:$EG$87,16,INDEX($V$15:$AE$27,MATCH('M2-CN'!$B19,$V$15:$V$27,0),AA$14)),"")</f>
        <v>0</v>
      </c>
      <c r="I19" s="512">
        <f>IF(INDEX(DiemHKII!$B$68:$EG$87,9,INDEX($V$15:$AE$27,MATCH('M2-CN'!$B19,$V$15:$V$27,0),AC$14))&lt;&gt;"",INDEX(DiemHKII!$B$68:$EG$87,9,INDEX($V$15:$AE$27,MATCH('M2-CN'!$B19,$V$15:$V$27,0),AC$14)),"")</f>
        <v>0</v>
      </c>
      <c r="J19" s="526">
        <f>IF(INDEX(DiemHKII!$B$68:$EG$87,16,INDEX($V$15:$AE$27,MATCH('M2-CN'!$B19,$V$15:$V$27,0),AC$14))&lt;&gt;"",INDEX(DiemHKII!$B$68:$EG$87,16,INDEX($V$15:$AE$27,MATCH('M2-CN'!$B19,$V$15:$V$27,0),AC$14)),"")</f>
        <v>0</v>
      </c>
      <c r="K19" s="512">
        <f>IF(INDEX(DiemHKII!$B$68:$EG$87,9,INDEX($V$15:$AE$27,MATCH('M2-CN'!$B19,$V$15:$V$27,0),AE$14))&lt;&gt;"",INDEX(DiemHKII!$B$68:$EG$87,9,INDEX($V$15:$AE$27,MATCH('M2-CN'!$B19,$V$15:$V$27,0),AE$14)),"")</f>
        <v>0</v>
      </c>
      <c r="L19" s="526">
        <f>IF(INDEX(DiemHKII!$B$68:$EG$87,16,INDEX($V$15:$AE$27,MATCH('M2-CN'!$B19,$V$15:$V$27,0),AE$14))&lt;&gt;"",INDEX(DiemHKII!$B$68:$EG$87,16,INDEX($V$15:$AE$27,MATCH('M2-CN'!$B19,$V$15:$V$27,0),AE$14)),"")</f>
        <v>0</v>
      </c>
      <c r="M19" s="508" t="str">
        <f t="shared" si="0"/>
        <v>Xem lại</v>
      </c>
      <c r="V19" s="508" t="s">
        <v>120</v>
      </c>
      <c r="W19" s="509">
        <v>49</v>
      </c>
      <c r="Y19" s="509">
        <v>50</v>
      </c>
      <c r="AA19" s="509">
        <v>51</v>
      </c>
      <c r="AC19" s="509">
        <v>52</v>
      </c>
      <c r="AE19" s="509">
        <v>53</v>
      </c>
    </row>
    <row r="20" spans="1:31" ht="15" customHeight="1">
      <c r="A20" s="527">
        <f>B9</f>
        <v>36</v>
      </c>
      <c r="B20" s="524" t="s">
        <v>30</v>
      </c>
      <c r="C20" s="512">
        <f>IF(INDEX(DiemHKII!$B$68:$EG$87,9,INDEX($V$15:$AE$27,MATCH('M2-CN'!$B20,$V$15:$V$27,0),W$14))&lt;&gt;"",INDEX(DiemHKII!$B$68:$EG$87,9,INDEX($V$15:$AE$27,MATCH('M2-CN'!$B20,$V$15:$V$27,0),W$14)),"")</f>
        <v>0</v>
      </c>
      <c r="D20" s="526">
        <f>IF(INDEX(DiemHKII!$B$68:$EG$87,16,INDEX($V$15:$AE$27,MATCH('M2-CN'!$B20,$V$15:$V$27,0),W$14))&lt;&gt;"",INDEX(DiemHKII!$B$68:$EG$87,16,INDEX($V$15:$AE$27,MATCH('M2-CN'!$B20,$V$15:$V$27,0),W$14)),"")</f>
        <v>0</v>
      </c>
      <c r="E20" s="512">
        <f>IF(INDEX(DiemHKII!$B$68:$EG$87,9,INDEX($V$15:$AE$27,MATCH('M2-CN'!$B20,$V$15:$V$27,0),Y$14))&lt;&gt;"",INDEX(DiemHKII!$B$68:$EG$87,9,INDEX($V$15:$AE$27,MATCH('M2-CN'!$B20,$V$15:$V$27,0),Y$14)),"")</f>
        <v>0</v>
      </c>
      <c r="F20" s="526">
        <f>IF(INDEX(DiemHKII!$B$68:$EG$87,16,INDEX($V$15:$AE$27,MATCH('M2-CN'!$B20,$V$15:$V$27,0),Y$14))&lt;&gt;"",INDEX(DiemHKII!$B$68:$EG$87,16,INDEX($V$15:$AE$27,MATCH('M2-CN'!$B20,$V$15:$V$27,0),Y$14)),"")</f>
        <v>0</v>
      </c>
      <c r="G20" s="512">
        <f>IF(INDEX(DiemHKII!$B$68:$EG$87,9,INDEX($V$15:$AE$27,MATCH('M2-CN'!$B20,$V$15:$V$27,0),AA$14))&lt;&gt;"",INDEX(DiemHKII!$B$68:$EG$87,9,INDEX($V$15:$AE$27,MATCH('M2-CN'!$B20,$V$15:$V$27,0),AA$14)),"")</f>
        <v>0</v>
      </c>
      <c r="H20" s="526">
        <f>IF(INDEX(DiemHKII!$B$68:$EG$87,16,INDEX($V$15:$AE$27,MATCH('M2-CN'!$B20,$V$15:$V$27,0),AA$14))&lt;&gt;"",INDEX(DiemHKII!$B$68:$EG$87,16,INDEX($V$15:$AE$27,MATCH('M2-CN'!$B20,$V$15:$V$27,0),AA$14)),"")</f>
        <v>0</v>
      </c>
      <c r="I20" s="512">
        <f>IF(INDEX(DiemHKII!$B$68:$EG$87,9,INDEX($V$15:$AE$27,MATCH('M2-CN'!$B20,$V$15:$V$27,0),AC$14))&lt;&gt;"",INDEX(DiemHKII!$B$68:$EG$87,9,INDEX($V$15:$AE$27,MATCH('M2-CN'!$B20,$V$15:$V$27,0),AC$14)),"")</f>
        <v>0</v>
      </c>
      <c r="J20" s="526">
        <f>IF(INDEX(DiemHKII!$B$68:$EG$87,16,INDEX($V$15:$AE$27,MATCH('M2-CN'!$B20,$V$15:$V$27,0),AC$14))&lt;&gt;"",INDEX(DiemHKII!$B$68:$EG$87,16,INDEX($V$15:$AE$27,MATCH('M2-CN'!$B20,$V$15:$V$27,0),AC$14)),"")</f>
        <v>0</v>
      </c>
      <c r="K20" s="512">
        <f>IF(INDEX(DiemHKII!$B$68:$EG$87,9,INDEX($V$15:$AE$27,MATCH('M2-CN'!$B20,$V$15:$V$27,0),AE$14))&lt;&gt;"",INDEX(DiemHKII!$B$68:$EG$87,9,INDEX($V$15:$AE$27,MATCH('M2-CN'!$B20,$V$15:$V$27,0),AE$14)),"")</f>
        <v>0</v>
      </c>
      <c r="L20" s="526">
        <f>IF(INDEX(DiemHKII!$B$68:$EG$87,16,INDEX($V$15:$AE$27,MATCH('M2-CN'!$B20,$V$15:$V$27,0),AE$14))&lt;&gt;"",INDEX(DiemHKII!$B$68:$EG$87,16,INDEX($V$15:$AE$27,MATCH('M2-CN'!$B20,$V$15:$V$27,0),AE$14)),"")</f>
        <v>0</v>
      </c>
      <c r="M20" s="508" t="str">
        <f t="shared" si="0"/>
        <v>Xem lại</v>
      </c>
      <c r="V20" s="508" t="s">
        <v>30</v>
      </c>
      <c r="W20" s="509">
        <v>58</v>
      </c>
      <c r="Y20" s="509">
        <v>59</v>
      </c>
      <c r="AA20" s="509">
        <v>60</v>
      </c>
      <c r="AC20" s="509">
        <v>61</v>
      </c>
      <c r="AE20" s="509">
        <v>62</v>
      </c>
    </row>
    <row r="21" spans="1:31" ht="15" customHeight="1">
      <c r="A21" s="527"/>
      <c r="B21" s="524" t="s">
        <v>31</v>
      </c>
      <c r="C21" s="512">
        <f>IF(INDEX(DiemHKII!$B$68:$EG$87,9,INDEX($V$15:$AE$27,MATCH('M2-CN'!$B21,$V$15:$V$27,0),W$14))&lt;&gt;"",INDEX(DiemHKII!$B$68:$EG$87,9,INDEX($V$15:$AE$27,MATCH('M2-CN'!$B21,$V$15:$V$27,0),W$14)),"")</f>
        <v>0</v>
      </c>
      <c r="D21" s="526">
        <f>IF(INDEX(DiemHKII!$B$68:$EG$87,16,INDEX($V$15:$AE$27,MATCH('M2-CN'!$B21,$V$15:$V$27,0),W$14))&lt;&gt;"",INDEX(DiemHKII!$B$68:$EG$87,16,INDEX($V$15:$AE$27,MATCH('M2-CN'!$B21,$V$15:$V$27,0),W$14)),"")</f>
        <v>0</v>
      </c>
      <c r="E21" s="512">
        <f>IF(INDEX(DiemHKII!$B$68:$EG$87,9,INDEX($V$15:$AE$27,MATCH('M2-CN'!$B21,$V$15:$V$27,0),Y$14))&lt;&gt;"",INDEX(DiemHKII!$B$68:$EG$87,9,INDEX($V$15:$AE$27,MATCH('M2-CN'!$B21,$V$15:$V$27,0),Y$14)),"")</f>
        <v>0</v>
      </c>
      <c r="F21" s="526">
        <f>IF(INDEX(DiemHKII!$B$68:$EG$87,16,INDEX($V$15:$AE$27,MATCH('M2-CN'!$B21,$V$15:$V$27,0),Y$14))&lt;&gt;"",INDEX(DiemHKII!$B$68:$EG$87,16,INDEX($V$15:$AE$27,MATCH('M2-CN'!$B21,$V$15:$V$27,0),Y$14)),"")</f>
        <v>0</v>
      </c>
      <c r="G21" s="512">
        <f>IF(INDEX(DiemHKII!$B$68:$EG$87,9,INDEX($V$15:$AE$27,MATCH('M2-CN'!$B21,$V$15:$V$27,0),AA$14))&lt;&gt;"",INDEX(DiemHKII!$B$68:$EG$87,9,INDEX($V$15:$AE$27,MATCH('M2-CN'!$B21,$V$15:$V$27,0),AA$14)),"")</f>
        <v>0</v>
      </c>
      <c r="H21" s="526">
        <f>IF(INDEX(DiemHKII!$B$68:$EG$87,16,INDEX($V$15:$AE$27,MATCH('M2-CN'!$B21,$V$15:$V$27,0),AA$14))&lt;&gt;"",INDEX(DiemHKII!$B$68:$EG$87,16,INDEX($V$15:$AE$27,MATCH('M2-CN'!$B21,$V$15:$V$27,0),AA$14)),"")</f>
        <v>0</v>
      </c>
      <c r="I21" s="512">
        <f>IF(INDEX(DiemHKII!$B$68:$EG$87,9,INDEX($V$15:$AE$27,MATCH('M2-CN'!$B21,$V$15:$V$27,0),AC$14))&lt;&gt;"",INDEX(DiemHKII!$B$68:$EG$87,9,INDEX($V$15:$AE$27,MATCH('M2-CN'!$B21,$V$15:$V$27,0),AC$14)),"")</f>
        <v>0</v>
      </c>
      <c r="J21" s="526">
        <f>IF(INDEX(DiemHKII!$B$68:$EG$87,16,INDEX($V$15:$AE$27,MATCH('M2-CN'!$B21,$V$15:$V$27,0),AC$14))&lt;&gt;"",INDEX(DiemHKII!$B$68:$EG$87,16,INDEX($V$15:$AE$27,MATCH('M2-CN'!$B21,$V$15:$V$27,0),AC$14)),"")</f>
        <v>0</v>
      </c>
      <c r="K21" s="512">
        <f>IF(INDEX(DiemHKII!$B$68:$EG$87,9,INDEX($V$15:$AE$27,MATCH('M2-CN'!$B21,$V$15:$V$27,0),AE$14))&lt;&gt;"",INDEX(DiemHKII!$B$68:$EG$87,9,INDEX($V$15:$AE$27,MATCH('M2-CN'!$B21,$V$15:$V$27,0),AE$14)),"")</f>
        <v>0</v>
      </c>
      <c r="L21" s="526">
        <f>IF(INDEX(DiemHKII!$B$68:$EG$87,16,INDEX($V$15:$AE$27,MATCH('M2-CN'!$B21,$V$15:$V$27,0),AE$14))&lt;&gt;"",INDEX(DiemHKII!$B$68:$EG$87,16,INDEX($V$15:$AE$27,MATCH('M2-CN'!$B21,$V$15:$V$27,0),AE$14)),"")</f>
        <v>0</v>
      </c>
      <c r="M21" s="508" t="str">
        <f t="shared" si="0"/>
        <v>Xem lại</v>
      </c>
      <c r="V21" s="508" t="s">
        <v>31</v>
      </c>
      <c r="W21" s="509">
        <v>67</v>
      </c>
      <c r="Y21" s="509">
        <v>68</v>
      </c>
      <c r="AA21" s="509">
        <v>69</v>
      </c>
      <c r="AC21" s="509">
        <v>70</v>
      </c>
      <c r="AE21" s="509">
        <v>71</v>
      </c>
    </row>
    <row r="22" spans="1:31" ht="15" customHeight="1">
      <c r="A22" s="527"/>
      <c r="B22" s="524" t="s">
        <v>32</v>
      </c>
      <c r="C22" s="512">
        <f>IF(INDEX(DiemHKII!$B$68:$EG$87,9,INDEX($V$15:$AE$27,MATCH('M2-CN'!$B22,$V$15:$V$27,0),W$14))&lt;&gt;"",INDEX(DiemHKII!$B$68:$EG$87,9,INDEX($V$15:$AE$27,MATCH('M2-CN'!$B22,$V$15:$V$27,0),W$14)),"")</f>
        <v>0</v>
      </c>
      <c r="D22" s="526">
        <f>IF(INDEX(DiemHKII!$B$68:$EG$87,16,INDEX($V$15:$AE$27,MATCH('M2-CN'!$B22,$V$15:$V$27,0),W$14))&lt;&gt;"",INDEX(DiemHKII!$B$68:$EG$87,16,INDEX($V$15:$AE$27,MATCH('M2-CN'!$B22,$V$15:$V$27,0),W$14)),"")</f>
        <v>0</v>
      </c>
      <c r="E22" s="512">
        <f>IF(INDEX(DiemHKII!$B$68:$EG$87,9,INDEX($V$15:$AE$27,MATCH('M2-CN'!$B22,$V$15:$V$27,0),Y$14))&lt;&gt;"",INDEX(DiemHKII!$B$68:$EG$87,9,INDEX($V$15:$AE$27,MATCH('M2-CN'!$B22,$V$15:$V$27,0),Y$14)),"")</f>
        <v>0</v>
      </c>
      <c r="F22" s="526">
        <f>IF(INDEX(DiemHKII!$B$68:$EG$87,16,INDEX($V$15:$AE$27,MATCH('M2-CN'!$B22,$V$15:$V$27,0),Y$14))&lt;&gt;"",INDEX(DiemHKII!$B$68:$EG$87,16,INDEX($V$15:$AE$27,MATCH('M2-CN'!$B22,$V$15:$V$27,0),Y$14)),"")</f>
        <v>0</v>
      </c>
      <c r="G22" s="512">
        <f>IF(INDEX(DiemHKII!$B$68:$EG$87,9,INDEX($V$15:$AE$27,MATCH('M2-CN'!$B22,$V$15:$V$27,0),AA$14))&lt;&gt;"",INDEX(DiemHKII!$B$68:$EG$87,9,INDEX($V$15:$AE$27,MATCH('M2-CN'!$B22,$V$15:$V$27,0),AA$14)),"")</f>
        <v>0</v>
      </c>
      <c r="H22" s="526">
        <f>IF(INDEX(DiemHKII!$B$68:$EG$87,16,INDEX($V$15:$AE$27,MATCH('M2-CN'!$B22,$V$15:$V$27,0),AA$14))&lt;&gt;"",INDEX(DiemHKII!$B$68:$EG$87,16,INDEX($V$15:$AE$27,MATCH('M2-CN'!$B22,$V$15:$V$27,0),AA$14)),"")</f>
        <v>0</v>
      </c>
      <c r="I22" s="512">
        <f>IF(INDEX(DiemHKII!$B$68:$EG$87,9,INDEX($V$15:$AE$27,MATCH('M2-CN'!$B22,$V$15:$V$27,0),AC$14))&lt;&gt;"",INDEX(DiemHKII!$B$68:$EG$87,9,INDEX($V$15:$AE$27,MATCH('M2-CN'!$B22,$V$15:$V$27,0),AC$14)),"")</f>
        <v>0</v>
      </c>
      <c r="J22" s="526">
        <f>IF(INDEX(DiemHKII!$B$68:$EG$87,16,INDEX($V$15:$AE$27,MATCH('M2-CN'!$B22,$V$15:$V$27,0),AC$14))&lt;&gt;"",INDEX(DiemHKII!$B$68:$EG$87,16,INDEX($V$15:$AE$27,MATCH('M2-CN'!$B22,$V$15:$V$27,0),AC$14)),"")</f>
        <v>0</v>
      </c>
      <c r="K22" s="512">
        <f>IF(INDEX(DiemHKII!$B$68:$EG$87,9,INDEX($V$15:$AE$27,MATCH('M2-CN'!$B22,$V$15:$V$27,0),AE$14))&lt;&gt;"",INDEX(DiemHKII!$B$68:$EG$87,9,INDEX($V$15:$AE$27,MATCH('M2-CN'!$B22,$V$15:$V$27,0),AE$14)),"")</f>
        <v>0</v>
      </c>
      <c r="L22" s="526">
        <f>IF(INDEX(DiemHKII!$B$68:$EG$87,16,INDEX($V$15:$AE$27,MATCH('M2-CN'!$B22,$V$15:$V$27,0),AE$14))&lt;&gt;"",INDEX(DiemHKII!$B$68:$EG$87,16,INDEX($V$15:$AE$27,MATCH('M2-CN'!$B22,$V$15:$V$27,0),AE$14)),"")</f>
        <v>0</v>
      </c>
      <c r="M22" s="508" t="str">
        <f t="shared" si="0"/>
        <v>Xem lại</v>
      </c>
      <c r="V22" s="508" t="s">
        <v>32</v>
      </c>
      <c r="W22" s="509">
        <v>76</v>
      </c>
      <c r="Y22" s="509">
        <v>77</v>
      </c>
      <c r="AA22" s="509">
        <v>78</v>
      </c>
      <c r="AC22" s="509">
        <v>79</v>
      </c>
      <c r="AE22" s="509">
        <v>80</v>
      </c>
    </row>
    <row r="23" spans="1:31" ht="15" customHeight="1">
      <c r="A23" s="527"/>
      <c r="B23" s="524" t="s">
        <v>33</v>
      </c>
      <c r="C23" s="512">
        <f>IF(INDEX(DiemHKII!$B$68:$EG$87,9,INDEX($V$15:$AE$27,MATCH('M2-CN'!$B23,$V$15:$V$27,0),W$14))&lt;&gt;"",INDEX(DiemHKII!$B$68:$EG$87,9,INDEX($V$15:$AE$27,MATCH('M2-CN'!$B23,$V$15:$V$27,0),W$14)),"")</f>
        <v>0</v>
      </c>
      <c r="D23" s="526">
        <f>IF(INDEX(DiemHKII!$B$68:$EG$87,16,INDEX($V$15:$AE$27,MATCH('M2-CN'!$B23,$V$15:$V$27,0),W$14))&lt;&gt;"",INDEX(DiemHKII!$B$68:$EG$87,16,INDEX($V$15:$AE$27,MATCH('M2-CN'!$B23,$V$15:$V$27,0),W$14)),"")</f>
        <v>0</v>
      </c>
      <c r="E23" s="512">
        <f>IF(INDEX(DiemHKII!$B$68:$EG$87,9,INDEX($V$15:$AE$27,MATCH('M2-CN'!$B23,$V$15:$V$27,0),Y$14))&lt;&gt;"",INDEX(DiemHKII!$B$68:$EG$87,9,INDEX($V$15:$AE$27,MATCH('M2-CN'!$B23,$V$15:$V$27,0),Y$14)),"")</f>
        <v>0</v>
      </c>
      <c r="F23" s="526">
        <f>IF(INDEX(DiemHKII!$B$68:$EG$87,16,INDEX($V$15:$AE$27,MATCH('M2-CN'!$B23,$V$15:$V$27,0),Y$14))&lt;&gt;"",INDEX(DiemHKII!$B$68:$EG$87,16,INDEX($V$15:$AE$27,MATCH('M2-CN'!$B23,$V$15:$V$27,0),Y$14)),"")</f>
        <v>0</v>
      </c>
      <c r="G23" s="512">
        <f>IF(INDEX(DiemHKII!$B$68:$EG$87,9,INDEX($V$15:$AE$27,MATCH('M2-CN'!$B23,$V$15:$V$27,0),AA$14))&lt;&gt;"",INDEX(DiemHKII!$B$68:$EG$87,9,INDEX($V$15:$AE$27,MATCH('M2-CN'!$B23,$V$15:$V$27,0),AA$14)),"")</f>
        <v>0</v>
      </c>
      <c r="H23" s="526">
        <f>IF(INDEX(DiemHKII!$B$68:$EG$87,16,INDEX($V$15:$AE$27,MATCH('M2-CN'!$B23,$V$15:$V$27,0),AA$14))&lt;&gt;"",INDEX(DiemHKII!$B$68:$EG$87,16,INDEX($V$15:$AE$27,MATCH('M2-CN'!$B23,$V$15:$V$27,0),AA$14)),"")</f>
        <v>0</v>
      </c>
      <c r="I23" s="512">
        <f>IF(INDEX(DiemHKII!$B$68:$EG$87,9,INDEX($V$15:$AE$27,MATCH('M2-CN'!$B23,$V$15:$V$27,0),AC$14))&lt;&gt;"",INDEX(DiemHKII!$B$68:$EG$87,9,INDEX($V$15:$AE$27,MATCH('M2-CN'!$B23,$V$15:$V$27,0),AC$14)),"")</f>
        <v>0</v>
      </c>
      <c r="J23" s="526">
        <f>IF(INDEX(DiemHKII!$B$68:$EG$87,16,INDEX($V$15:$AE$27,MATCH('M2-CN'!$B23,$V$15:$V$27,0),AC$14))&lt;&gt;"",INDEX(DiemHKII!$B$68:$EG$87,16,INDEX($V$15:$AE$27,MATCH('M2-CN'!$B23,$V$15:$V$27,0),AC$14)),"")</f>
        <v>0</v>
      </c>
      <c r="K23" s="512">
        <f>IF(INDEX(DiemHKII!$B$68:$EG$87,9,INDEX($V$15:$AE$27,MATCH('M2-CN'!$B23,$V$15:$V$27,0),AE$14))&lt;&gt;"",INDEX(DiemHKII!$B$68:$EG$87,9,INDEX($V$15:$AE$27,MATCH('M2-CN'!$B23,$V$15:$V$27,0),AE$14)),"")</f>
        <v>0</v>
      </c>
      <c r="L23" s="526">
        <f>IF(INDEX(DiemHKII!$B$68:$EG$87,16,INDEX($V$15:$AE$27,MATCH('M2-CN'!$B23,$V$15:$V$27,0),AE$14))&lt;&gt;"",INDEX(DiemHKII!$B$68:$EG$87,16,INDEX($V$15:$AE$27,MATCH('M2-CN'!$B23,$V$15:$V$27,0),AE$14)),"")</f>
        <v>0</v>
      </c>
      <c r="M23" s="508" t="str">
        <f t="shared" si="0"/>
        <v>Xem lại</v>
      </c>
      <c r="V23" s="508" t="s">
        <v>33</v>
      </c>
      <c r="W23" s="509">
        <v>85</v>
      </c>
      <c r="Y23" s="509">
        <v>86</v>
      </c>
      <c r="AA23" s="509">
        <v>87</v>
      </c>
      <c r="AC23" s="509">
        <v>88</v>
      </c>
      <c r="AE23" s="509">
        <v>89</v>
      </c>
    </row>
    <row r="24" spans="1:31" ht="15" customHeight="1">
      <c r="A24" s="527"/>
      <c r="B24" s="524" t="s">
        <v>60</v>
      </c>
      <c r="C24" s="512">
        <f>IF(INDEX(DiemHKII!$B$68:$EG$87,9,INDEX($V$15:$AE$27,MATCH('M2-CN'!$B24,$V$15:$V$27,0),W$14))&lt;&gt;"",INDEX(DiemHKII!$B$68:$EG$87,9,INDEX($V$15:$AE$27,MATCH('M2-CN'!$B24,$V$15:$V$27,0),W$14)),"")</f>
        <v>0</v>
      </c>
      <c r="D24" s="526">
        <f>IF(INDEX(DiemHKII!$B$68:$EG$87,16,INDEX($V$15:$AE$27,MATCH('M2-CN'!$B24,$V$15:$V$27,0),W$14))&lt;&gt;"",INDEX(DiemHKII!$B$68:$EG$87,16,INDEX($V$15:$AE$27,MATCH('M2-CN'!$B24,$V$15:$V$27,0),W$14)),"")</f>
        <v>0</v>
      </c>
      <c r="E24" s="512">
        <f>IF(INDEX(DiemHKII!$B$68:$EG$87,9,INDEX($V$15:$AE$27,MATCH('M2-CN'!$B24,$V$15:$V$27,0),Y$14))&lt;&gt;"",INDEX(DiemHKII!$B$68:$EG$87,9,INDEX($V$15:$AE$27,MATCH('M2-CN'!$B24,$V$15:$V$27,0),Y$14)),"")</f>
        <v>0</v>
      </c>
      <c r="F24" s="526">
        <f>IF(INDEX(DiemHKII!$B$68:$EG$87,16,INDEX($V$15:$AE$27,MATCH('M2-CN'!$B24,$V$15:$V$27,0),Y$14))&lt;&gt;"",INDEX(DiemHKII!$B$68:$EG$87,16,INDEX($V$15:$AE$27,MATCH('M2-CN'!$B24,$V$15:$V$27,0),Y$14)),"")</f>
        <v>0</v>
      </c>
      <c r="G24" s="512">
        <f>IF(INDEX(DiemHKII!$B$68:$EG$87,9,INDEX($V$15:$AE$27,MATCH('M2-CN'!$B24,$V$15:$V$27,0),AA$14))&lt;&gt;"",INDEX(DiemHKII!$B$68:$EG$87,9,INDEX($V$15:$AE$27,MATCH('M2-CN'!$B24,$V$15:$V$27,0),AA$14)),"")</f>
        <v>0</v>
      </c>
      <c r="H24" s="526">
        <f>IF(INDEX(DiemHKII!$B$68:$EG$87,16,INDEX($V$15:$AE$27,MATCH('M2-CN'!$B24,$V$15:$V$27,0),AA$14))&lt;&gt;"",INDEX(DiemHKII!$B$68:$EG$87,16,INDEX($V$15:$AE$27,MATCH('M2-CN'!$B24,$V$15:$V$27,0),AA$14)),"")</f>
        <v>0</v>
      </c>
      <c r="I24" s="512">
        <f>IF(INDEX(DiemHKII!$B$68:$EG$87,9,INDEX($V$15:$AE$27,MATCH('M2-CN'!$B24,$V$15:$V$27,0),AC$14))&lt;&gt;"",INDEX(DiemHKII!$B$68:$EG$87,9,INDEX($V$15:$AE$27,MATCH('M2-CN'!$B24,$V$15:$V$27,0),AC$14)),"")</f>
        <v>0</v>
      </c>
      <c r="J24" s="526">
        <f>IF(INDEX(DiemHKII!$B$68:$EG$87,16,INDEX($V$15:$AE$27,MATCH('M2-CN'!$B24,$V$15:$V$27,0),AC$14))&lt;&gt;"",INDEX(DiemHKII!$B$68:$EG$87,16,INDEX($V$15:$AE$27,MATCH('M2-CN'!$B24,$V$15:$V$27,0),AC$14)),"")</f>
        <v>0</v>
      </c>
      <c r="K24" s="512">
        <f>IF(INDEX(DiemHKII!$B$68:$EG$87,9,INDEX($V$15:$AE$27,MATCH('M2-CN'!$B24,$V$15:$V$27,0),AE$14))&lt;&gt;"",INDEX(DiemHKII!$B$68:$EG$87,9,INDEX($V$15:$AE$27,MATCH('M2-CN'!$B24,$V$15:$V$27,0),AE$14)),"")</f>
        <v>0</v>
      </c>
      <c r="L24" s="526">
        <f>IF(INDEX(DiemHKII!$B$68:$EG$87,16,INDEX($V$15:$AE$27,MATCH('M2-CN'!$B24,$V$15:$V$27,0),AE$14))&lt;&gt;"",INDEX(DiemHKII!$B$68:$EG$87,16,INDEX($V$15:$AE$27,MATCH('M2-CN'!$B24,$V$15:$V$27,0),AE$14)),"")</f>
        <v>0</v>
      </c>
      <c r="M24" s="508" t="str">
        <f t="shared" si="0"/>
        <v>Xem lại</v>
      </c>
      <c r="V24" s="508" t="s">
        <v>60</v>
      </c>
      <c r="W24" s="509">
        <v>94</v>
      </c>
      <c r="Y24" s="509">
        <v>95</v>
      </c>
      <c r="AA24" s="509">
        <v>96</v>
      </c>
      <c r="AC24" s="509">
        <v>97</v>
      </c>
      <c r="AE24" s="509">
        <v>98</v>
      </c>
    </row>
    <row r="25" spans="1:31" ht="15" customHeight="1">
      <c r="A25" s="527"/>
      <c r="B25" s="524" t="s">
        <v>34</v>
      </c>
      <c r="C25" s="512">
        <f>IF(INDEX(DiemHKII!$B$68:$EG$87,9,INDEX($V$15:$AE$27,MATCH('M2-CN'!$B25,$V$15:$V$27,0),W$14))&lt;&gt;"",INDEX(DiemHKII!$B$68:$EG$87,9,INDEX($V$15:$AE$27,MATCH('M2-CN'!$B25,$V$15:$V$27,0),W$14)),"")</f>
        <v>0</v>
      </c>
      <c r="D25" s="526">
        <f>IF(INDEX(DiemHKII!$B$68:$EG$87,16,INDEX($V$15:$AE$27,MATCH('M2-CN'!$B25,$V$15:$V$27,0),W$14))&lt;&gt;"",INDEX(DiemHKII!$B$68:$EG$87,16,INDEX($V$15:$AE$27,MATCH('M2-CN'!$B25,$V$15:$V$27,0),W$14)),"")</f>
        <v>0</v>
      </c>
      <c r="E25" s="512">
        <f>IF(INDEX(DiemHKII!$B$68:$EG$87,9,INDEX($V$15:$AE$27,MATCH('M2-CN'!$B25,$V$15:$V$27,0),Y$14))&lt;&gt;"",INDEX(DiemHKII!$B$68:$EG$87,9,INDEX($V$15:$AE$27,MATCH('M2-CN'!$B25,$V$15:$V$27,0),Y$14)),"")</f>
        <v>0</v>
      </c>
      <c r="F25" s="526">
        <f>IF(INDEX(DiemHKII!$B$68:$EG$87,16,INDEX($V$15:$AE$27,MATCH('M2-CN'!$B25,$V$15:$V$27,0),Y$14))&lt;&gt;"",INDEX(DiemHKII!$B$68:$EG$87,16,INDEX($V$15:$AE$27,MATCH('M2-CN'!$B25,$V$15:$V$27,0),Y$14)),"")</f>
        <v>0</v>
      </c>
      <c r="G25" s="512">
        <f>IF(INDEX(DiemHKII!$B$68:$EG$87,9,INDEX($V$15:$AE$27,MATCH('M2-CN'!$B25,$V$15:$V$27,0),AA$14))&lt;&gt;"",INDEX(DiemHKII!$B$68:$EG$87,9,INDEX($V$15:$AE$27,MATCH('M2-CN'!$B25,$V$15:$V$27,0),AA$14)),"")</f>
        <v>0</v>
      </c>
      <c r="H25" s="526">
        <f>IF(INDEX(DiemHKII!$B$68:$EG$87,16,INDEX($V$15:$AE$27,MATCH('M2-CN'!$B25,$V$15:$V$27,0),AA$14))&lt;&gt;"",INDEX(DiemHKII!$B$68:$EG$87,16,INDEX($V$15:$AE$27,MATCH('M2-CN'!$B25,$V$15:$V$27,0),AA$14)),"")</f>
        <v>0</v>
      </c>
      <c r="I25" s="512">
        <f>IF(INDEX(DiemHKII!$B$68:$EG$87,9,INDEX($V$15:$AE$27,MATCH('M2-CN'!$B25,$V$15:$V$27,0),AC$14))&lt;&gt;"",INDEX(DiemHKII!$B$68:$EG$87,9,INDEX($V$15:$AE$27,MATCH('M2-CN'!$B25,$V$15:$V$27,0),AC$14)),"")</f>
        <v>0</v>
      </c>
      <c r="J25" s="526">
        <f>IF(INDEX(DiemHKII!$B$68:$EG$87,16,INDEX($V$15:$AE$27,MATCH('M2-CN'!$B25,$V$15:$V$27,0),AC$14))&lt;&gt;"",INDEX(DiemHKII!$B$68:$EG$87,16,INDEX($V$15:$AE$27,MATCH('M2-CN'!$B25,$V$15:$V$27,0),AC$14)),"")</f>
        <v>0</v>
      </c>
      <c r="K25" s="512">
        <f>IF(INDEX(DiemHKII!$B$68:$EG$87,9,INDEX($V$15:$AE$27,MATCH('M2-CN'!$B25,$V$15:$V$27,0),AE$14))&lt;&gt;"",INDEX(DiemHKII!$B$68:$EG$87,9,INDEX($V$15:$AE$27,MATCH('M2-CN'!$B25,$V$15:$V$27,0),AE$14)),"")</f>
        <v>0</v>
      </c>
      <c r="L25" s="526">
        <f>IF(INDEX(DiemHKII!$B$68:$EG$87,16,INDEX($V$15:$AE$27,MATCH('M2-CN'!$B25,$V$15:$V$27,0),AE$14))&lt;&gt;"",INDEX(DiemHKII!$B$68:$EG$87,16,INDEX($V$15:$AE$27,MATCH('M2-CN'!$B25,$V$15:$V$27,0),AE$14)),"")</f>
        <v>0</v>
      </c>
      <c r="M25" s="508" t="str">
        <f t="shared" si="0"/>
        <v>Xem lại</v>
      </c>
      <c r="V25" s="508" t="s">
        <v>34</v>
      </c>
      <c r="W25" s="509">
        <v>103</v>
      </c>
      <c r="Y25" s="509">
        <v>104</v>
      </c>
      <c r="AA25" s="509">
        <v>105</v>
      </c>
      <c r="AC25" s="509">
        <v>106</v>
      </c>
      <c r="AE25" s="509">
        <v>107</v>
      </c>
    </row>
    <row r="26" spans="1:31" ht="15" customHeight="1">
      <c r="A26" s="527"/>
      <c r="B26" s="524" t="s">
        <v>121</v>
      </c>
      <c r="C26" s="512">
        <f>IF(INDEX(DiemHKII!$B$68:$EG$87,9,INDEX($V$15:$AE$27,MATCH('M2-CN'!$B26,$V$15:$V$27,0),W$14))&lt;&gt;"",INDEX(DiemHKII!$B$68:$EG$87,9,INDEX($V$15:$AE$27,MATCH('M2-CN'!$B26,$V$15:$V$27,0),W$14)),"")</f>
        <v>0</v>
      </c>
      <c r="D26" s="526">
        <f>IF(INDEX(DiemHKII!$B$68:$EG$87,16,INDEX($V$15:$AE$27,MATCH('M2-CN'!$B26,$V$15:$V$27,0),W$14))&lt;&gt;"",INDEX(DiemHKII!$B$68:$EG$87,16,INDEX($V$15:$AE$27,MATCH('M2-CN'!$B26,$V$15:$V$27,0),W$14)),"")</f>
        <v>0</v>
      </c>
      <c r="E26" s="512">
        <f>IF(INDEX(DiemHKII!$B$68:$EG$87,9,INDEX($V$15:$AE$27,MATCH('M2-CN'!$B26,$V$15:$V$27,0),Y$14))&lt;&gt;"",INDEX(DiemHKII!$B$68:$EG$87,9,INDEX($V$15:$AE$27,MATCH('M2-CN'!$B26,$V$15:$V$27,0),Y$14)),"")</f>
        <v>0</v>
      </c>
      <c r="F26" s="526">
        <f>IF(INDEX(DiemHKII!$B$68:$EG$87,16,INDEX($V$15:$AE$27,MATCH('M2-CN'!$B26,$V$15:$V$27,0),Y$14))&lt;&gt;"",INDEX(DiemHKII!$B$68:$EG$87,16,INDEX($V$15:$AE$27,MATCH('M2-CN'!$B26,$V$15:$V$27,0),Y$14)),"")</f>
        <v>0</v>
      </c>
      <c r="G26" s="512">
        <f>IF(INDEX(DiemHKII!$B$68:$EG$87,9,INDEX($V$15:$AE$27,MATCH('M2-CN'!$B26,$V$15:$V$27,0),AA$14))&lt;&gt;"",INDEX(DiemHKII!$B$68:$EG$87,9,INDEX($V$15:$AE$27,MATCH('M2-CN'!$B26,$V$15:$V$27,0),AA$14)),"")</f>
        <v>0</v>
      </c>
      <c r="H26" s="526">
        <f>IF(INDEX(DiemHKII!$B$68:$EG$87,16,INDEX($V$15:$AE$27,MATCH('M2-CN'!$B26,$V$15:$V$27,0),AA$14))&lt;&gt;"",INDEX(DiemHKII!$B$68:$EG$87,16,INDEX($V$15:$AE$27,MATCH('M2-CN'!$B26,$V$15:$V$27,0),AA$14)),"")</f>
        <v>0</v>
      </c>
      <c r="I26" s="512">
        <f>IF(INDEX(DiemHKII!$B$68:$EG$87,9,INDEX($V$15:$AE$27,MATCH('M2-CN'!$B26,$V$15:$V$27,0),AC$14))&lt;&gt;"",INDEX(DiemHKII!$B$68:$EG$87,9,INDEX($V$15:$AE$27,MATCH('M2-CN'!$B26,$V$15:$V$27,0),AC$14)),"")</f>
        <v>0</v>
      </c>
      <c r="J26" s="526">
        <f>IF(INDEX(DiemHKII!$B$68:$EG$87,16,INDEX($V$15:$AE$27,MATCH('M2-CN'!$B26,$V$15:$V$27,0),AC$14))&lt;&gt;"",INDEX(DiemHKII!$B$68:$EG$87,16,INDEX($V$15:$AE$27,MATCH('M2-CN'!$B26,$V$15:$V$27,0),AC$14)),"")</f>
        <v>0</v>
      </c>
      <c r="K26" s="512">
        <f>IF(INDEX(DiemHKII!$B$68:$EG$87,9,INDEX($V$15:$AE$27,MATCH('M2-CN'!$B26,$V$15:$V$27,0),AE$14))&lt;&gt;"",INDEX(DiemHKII!$B$68:$EG$87,9,INDEX($V$15:$AE$27,MATCH('M2-CN'!$B26,$V$15:$V$27,0),AE$14)),"")</f>
        <v>0</v>
      </c>
      <c r="L26" s="526">
        <f>IF(INDEX(DiemHKII!$B$68:$EG$87,16,INDEX($V$15:$AE$27,MATCH('M2-CN'!$B26,$V$15:$V$27,0),AE$14))&lt;&gt;"",INDEX(DiemHKII!$B$68:$EG$87,16,INDEX($V$15:$AE$27,MATCH('M2-CN'!$B26,$V$15:$V$27,0),AE$14)),"")</f>
        <v>0</v>
      </c>
      <c r="M26" s="508" t="str">
        <f t="shared" si="0"/>
        <v>Xem lại</v>
      </c>
      <c r="V26" s="508" t="s">
        <v>121</v>
      </c>
      <c r="W26" s="509">
        <v>121</v>
      </c>
      <c r="Y26" s="509">
        <v>122</v>
      </c>
      <c r="AA26" s="509">
        <v>123</v>
      </c>
      <c r="AC26" s="509">
        <v>124</v>
      </c>
      <c r="AE26" s="509">
        <v>125</v>
      </c>
    </row>
    <row r="27" spans="1:31" ht="15" customHeight="1">
      <c r="A27" s="528"/>
      <c r="B27" s="524" t="s">
        <v>122</v>
      </c>
      <c r="C27" s="512">
        <f>IF(INDEX(DiemHKII!$B$68:$EG$87,9,INDEX($V$15:$AE$27,MATCH('M2-CN'!$B27,$V$15:$V$27,0),W$14))&lt;&gt;"",INDEX(DiemHKII!$B$68:$EG$87,9,INDEX($V$15:$AE$27,MATCH('M2-CN'!$B27,$V$15:$V$27,0),W$14)),"")</f>
        <v>0</v>
      </c>
      <c r="D27" s="526">
        <f>IF(INDEX(DiemHKII!$B$68:$EG$87,16,INDEX($V$15:$AE$27,MATCH('M2-CN'!$B27,$V$15:$V$27,0),W$14))&lt;&gt;"",INDEX(DiemHKII!$B$68:$EG$87,16,INDEX($V$15:$AE$27,MATCH('M2-CN'!$B27,$V$15:$V$27,0),W$14)),"")</f>
        <v>0</v>
      </c>
      <c r="E27" s="512">
        <f>IF(INDEX(DiemHKII!$B$68:$EG$87,9,INDEX($V$15:$AE$27,MATCH('M2-CN'!$B27,$V$15:$V$27,0),Y$14))&lt;&gt;"",INDEX(DiemHKII!$B$68:$EG$87,9,INDEX($V$15:$AE$27,MATCH('M2-CN'!$B27,$V$15:$V$27,0),Y$14)),"")</f>
        <v>0</v>
      </c>
      <c r="F27" s="526">
        <f>IF(INDEX(DiemHKII!$B$68:$EG$87,16,INDEX($V$15:$AE$27,MATCH('M2-CN'!$B27,$V$15:$V$27,0),Y$14))&lt;&gt;"",INDEX(DiemHKII!$B$68:$EG$87,16,INDEX($V$15:$AE$27,MATCH('M2-CN'!$B27,$V$15:$V$27,0),Y$14)),"")</f>
        <v>0</v>
      </c>
      <c r="G27" s="512">
        <f>IF(INDEX(DiemHKII!$B$68:$EG$87,9,INDEX($V$15:$AE$27,MATCH('M2-CN'!$B27,$V$15:$V$27,0),AA$14))&lt;&gt;"",INDEX(DiemHKII!$B$68:$EG$87,9,INDEX($V$15:$AE$27,MATCH('M2-CN'!$B27,$V$15:$V$27,0),AA$14)),"")</f>
        <v>0</v>
      </c>
      <c r="H27" s="526">
        <f>IF(INDEX(DiemHKII!$B$68:$EG$87,16,INDEX($V$15:$AE$27,MATCH('M2-CN'!$B27,$V$15:$V$27,0),AA$14))&lt;&gt;"",INDEX(DiemHKII!$B$68:$EG$87,16,INDEX($V$15:$AE$27,MATCH('M2-CN'!$B27,$V$15:$V$27,0),AA$14)),"")</f>
        <v>0</v>
      </c>
      <c r="I27" s="512">
        <f>IF(INDEX(DiemHKII!$B$68:$EG$87,9,INDEX($V$15:$AE$27,MATCH('M2-CN'!$B27,$V$15:$V$27,0),AC$14))&lt;&gt;"",INDEX(DiemHKII!$B$68:$EG$87,9,INDEX($V$15:$AE$27,MATCH('M2-CN'!$B27,$V$15:$V$27,0),AC$14)),"")</f>
        <v>0</v>
      </c>
      <c r="J27" s="526">
        <f>IF(INDEX(DiemHKII!$B$68:$EG$87,16,INDEX($V$15:$AE$27,MATCH('M2-CN'!$B27,$V$15:$V$27,0),AC$14))&lt;&gt;"",INDEX(DiemHKII!$B$68:$EG$87,16,INDEX($V$15:$AE$27,MATCH('M2-CN'!$B27,$V$15:$V$27,0),AC$14)),"")</f>
        <v>0</v>
      </c>
      <c r="K27" s="512">
        <f>IF(INDEX(DiemHKII!$B$68:$EG$87,9,INDEX($V$15:$AE$27,MATCH('M2-CN'!$B27,$V$15:$V$27,0),AE$14))&lt;&gt;"",INDEX(DiemHKII!$B$68:$EG$87,9,INDEX($V$15:$AE$27,MATCH('M2-CN'!$B27,$V$15:$V$27,0),AE$14)),"")</f>
        <v>0</v>
      </c>
      <c r="L27" s="526">
        <f>IF(INDEX(DiemHKII!$B$68:$EG$87,16,INDEX($V$15:$AE$27,MATCH('M2-CN'!$B27,$V$15:$V$27,0),AE$14))&lt;&gt;"",INDEX(DiemHKII!$B$68:$EG$87,16,INDEX($V$15:$AE$27,MATCH('M2-CN'!$B27,$V$15:$V$27,0),AE$14)),"")</f>
        <v>0</v>
      </c>
      <c r="V27" s="508" t="s">
        <v>122</v>
      </c>
      <c r="W27" s="509">
        <v>130</v>
      </c>
      <c r="Y27" s="509">
        <v>131</v>
      </c>
      <c r="AA27" s="509">
        <v>132</v>
      </c>
      <c r="AC27" s="509">
        <v>133</v>
      </c>
      <c r="AE27" s="509">
        <v>134</v>
      </c>
    </row>
    <row r="28" spans="1:31" ht="10.5" customHeight="1">
      <c r="C28" s="509"/>
      <c r="D28" s="509"/>
      <c r="E28" s="509"/>
      <c r="F28" s="509"/>
      <c r="G28" s="509"/>
      <c r="H28" s="509"/>
      <c r="I28" s="509"/>
      <c r="J28" s="509"/>
      <c r="K28" s="509"/>
      <c r="L28" s="509"/>
    </row>
    <row r="29" spans="1:31" s="506" customFormat="1" ht="24" customHeight="1">
      <c r="A29" s="506" t="s">
        <v>185</v>
      </c>
      <c r="W29" s="507"/>
      <c r="X29" s="507"/>
      <c r="Y29" s="507"/>
      <c r="Z29" s="507"/>
      <c r="AA29" s="507"/>
      <c r="AB29" s="507"/>
      <c r="AC29" s="507"/>
      <c r="AD29" s="507"/>
      <c r="AE29" s="507"/>
    </row>
    <row r="30" spans="1:31" ht="31.5" customHeight="1">
      <c r="A30" s="529" t="s">
        <v>124</v>
      </c>
      <c r="B30" s="530" t="s">
        <v>59</v>
      </c>
      <c r="C30" s="1093" t="s">
        <v>11</v>
      </c>
      <c r="D30" s="1094"/>
      <c r="E30" s="1093" t="s">
        <v>12</v>
      </c>
      <c r="F30" s="1094"/>
      <c r="G30" s="1093" t="s">
        <v>127</v>
      </c>
      <c r="H30" s="1094"/>
      <c r="I30" s="1093" t="s">
        <v>14</v>
      </c>
      <c r="J30" s="1094"/>
      <c r="K30" s="1093" t="s">
        <v>15</v>
      </c>
      <c r="L30" s="1094"/>
      <c r="N30" s="1089" t="s">
        <v>59</v>
      </c>
      <c r="O30" s="1089"/>
      <c r="P30" s="1090" t="s">
        <v>134</v>
      </c>
      <c r="Q30" s="1091"/>
      <c r="R30" s="1090" t="s">
        <v>135</v>
      </c>
      <c r="S30" s="1091"/>
    </row>
    <row r="31" spans="1:31" ht="15" customHeight="1">
      <c r="A31" s="514"/>
      <c r="B31" s="524" t="s">
        <v>26</v>
      </c>
      <c r="C31" s="1085">
        <f>IF(INDEX(DiemHKII!$B$68:$EG$87,2,INDEX($V$15:$AE$27,MATCH('M2-CN'!$B15,$V$15:$V$27,0),W$14))&lt;&gt;"",INDEX(DiemHKII!$B$68:$EG$87,2,INDEX($V$15:$AE$27,MATCH('M2-CN'!$B15,$V$15:$V$27,0),W$14)),"")</f>
        <v>0</v>
      </c>
      <c r="D31" s="1086"/>
      <c r="E31" s="1085">
        <f>IF(INDEX(DiemHKII!$B$68:$EG$87,2,INDEX($V$15:$AE$27,MATCH('M2-CN'!$B15,$V$15:$V$27,0),Y$14))&lt;&gt;"",INDEX(DiemHKII!$B$68:$EG$87,2,INDEX($V$15:$AE$27,MATCH('M2-CN'!$B15,$V$15:$V$27,0),Y$14)),"")</f>
        <v>0</v>
      </c>
      <c r="F31" s="1086"/>
      <c r="G31" s="1085">
        <f>IF(INDEX(DiemHKII!$B$68:$EG$87,2,INDEX($V$15:$AE$27,MATCH('M2-CN'!$B15,$V$15:$V$27,0),AA$14))&lt;&gt;"",INDEX(DiemHKII!$B$68:$EG$87,2,INDEX($V$15:$AE$27,MATCH('M2-CN'!$B15,$V$15:$V$27,0),AA$14)),"")</f>
        <v>0</v>
      </c>
      <c r="H31" s="1086"/>
      <c r="I31" s="1085">
        <f>IF(INDEX(DiemHKII!$B$68:$EG$87,2,INDEX($V$15:$AE$27,MATCH('M2-CN'!$B15,$V$15:$V$27,0),AC$14))&lt;&gt;"",INDEX(DiemHKII!$B$68:$EG$87,2,INDEX($V$15:$AE$27,MATCH('M2-CN'!$B15,$V$15:$V$27,0),AC$14)),"")</f>
        <v>0</v>
      </c>
      <c r="J31" s="1086"/>
      <c r="K31" s="1085">
        <f>IF(INDEX(DiemHKII!$B$68:$EG$87,2,INDEX($V$15:$AE$27,MATCH('M2-CN'!$B15,$V$15:$V$27,0),AE$14))&lt;&gt;"",INDEX(DiemHKII!$B$68:$EG$87,2,INDEX($V$15:$AE$27,MATCH('M2-CN'!$B15,$V$15:$V$27,0),AE$14)),"")</f>
        <v>0</v>
      </c>
      <c r="L31" s="1086"/>
      <c r="M31" s="508" t="str">
        <f>IF(SUM(C31:L31)&lt;&gt;$A$36,"Xem lại","")</f>
        <v>Xem lại</v>
      </c>
      <c r="N31" s="1092" t="s">
        <v>35</v>
      </c>
      <c r="O31" s="1092"/>
      <c r="P31" s="1085">
        <f>IF(DiemHKII!DI69&lt;&gt;"",DiemHKII!DI69,"")</f>
        <v>0</v>
      </c>
      <c r="Q31" s="1086"/>
      <c r="R31" s="1085">
        <f>IF(DiemHKII!DJ69&lt;&gt;"",DiemHKII!DJ69,"")</f>
        <v>0</v>
      </c>
      <c r="S31" s="1086"/>
    </row>
    <row r="32" spans="1:31" ht="15" customHeight="1">
      <c r="A32" s="527"/>
      <c r="B32" s="524" t="s">
        <v>27</v>
      </c>
      <c r="C32" s="1085">
        <f>IF(INDEX(DiemHKII!$B$68:$EG$87,2,INDEX($V$15:$AE$27,MATCH('M2-CN'!$B16,$V$15:$V$27,0),W$14))&lt;&gt;"",INDEX(DiemHKII!$B$68:$EG$87,2,INDEX($V$15:$AE$27,MATCH('M2-CN'!$B16,$V$15:$V$27,0),W$14)),"")</f>
        <v>0</v>
      </c>
      <c r="D32" s="1086"/>
      <c r="E32" s="1085">
        <f>IF(INDEX(DiemHKII!$B$68:$EG$87,2,INDEX($V$15:$AE$27,MATCH('M2-CN'!$B16,$V$15:$V$27,0),Y$14))&lt;&gt;"",INDEX(DiemHKII!$B$68:$EG$87,2,INDEX($V$15:$AE$27,MATCH('M2-CN'!$B16,$V$15:$V$27,0),Y$14)),"")</f>
        <v>0</v>
      </c>
      <c r="F32" s="1086"/>
      <c r="G32" s="1085">
        <f>IF(INDEX(DiemHKII!$B$68:$EG$87,2,INDEX($V$15:$AE$27,MATCH('M2-CN'!$B16,$V$15:$V$27,0),AA$14))&lt;&gt;"",INDEX(DiemHKII!$B$68:$EG$87,2,INDEX($V$15:$AE$27,MATCH('M2-CN'!$B16,$V$15:$V$27,0),AA$14)),"")</f>
        <v>0</v>
      </c>
      <c r="H32" s="1086"/>
      <c r="I32" s="1085">
        <f>IF(INDEX(DiemHKII!$B$68:$EG$87,2,INDEX($V$15:$AE$27,MATCH('M2-CN'!$B16,$V$15:$V$27,0),AC$14))&lt;&gt;"",INDEX(DiemHKII!$B$68:$EG$87,2,INDEX($V$15:$AE$27,MATCH('M2-CN'!$B16,$V$15:$V$27,0),AC$14)),"")</f>
        <v>0</v>
      </c>
      <c r="J32" s="1086"/>
      <c r="K32" s="1085">
        <f>IF(INDEX(DiemHKII!$B$68:$EG$87,2,INDEX($V$15:$AE$27,MATCH('M2-CN'!$B16,$V$15:$V$27,0),AE$14))&lt;&gt;"",INDEX(DiemHKII!$B$68:$EG$87,2,INDEX($V$15:$AE$27,MATCH('M2-CN'!$B16,$V$15:$V$27,0),AE$14)),"")</f>
        <v>0</v>
      </c>
      <c r="L32" s="1086"/>
      <c r="M32" s="508" t="str">
        <f t="shared" ref="M32:M42" si="1">IF(SUM(C32:L32)&lt;&gt;$A$36,"Xem lại","")</f>
        <v>Xem lại</v>
      </c>
    </row>
    <row r="33" spans="1:19" ht="15" customHeight="1">
      <c r="A33" s="527"/>
      <c r="B33" s="524" t="s">
        <v>28</v>
      </c>
      <c r="C33" s="1085">
        <f>IF(INDEX(DiemHKII!$B$68:$EG$87,2,INDEX($V$15:$AE$27,MATCH('M2-CN'!$B17,$V$15:$V$27,0),W$14))&lt;&gt;"",INDEX(DiemHKII!$B$68:$EG$87,2,INDEX($V$15:$AE$27,MATCH('M2-CN'!$B17,$V$15:$V$27,0),W$14)),"")</f>
        <v>0</v>
      </c>
      <c r="D33" s="1086"/>
      <c r="E33" s="1085">
        <f>IF(INDEX(DiemHKII!$B$68:$EG$87,2,INDEX($V$15:$AE$27,MATCH('M2-CN'!$B17,$V$15:$V$27,0),Y$14))&lt;&gt;"",INDEX(DiemHKII!$B$68:$EG$87,2,INDEX($V$15:$AE$27,MATCH('M2-CN'!$B17,$V$15:$V$27,0),Y$14)),"")</f>
        <v>0</v>
      </c>
      <c r="F33" s="1086"/>
      <c r="G33" s="1085">
        <f>IF(INDEX(DiemHKII!$B$68:$EG$87,2,INDEX($V$15:$AE$27,MATCH('M2-CN'!$B17,$V$15:$V$27,0),AA$14))&lt;&gt;"",INDEX(DiemHKII!$B$68:$EG$87,2,INDEX($V$15:$AE$27,MATCH('M2-CN'!$B17,$V$15:$V$27,0),AA$14)),"")</f>
        <v>0</v>
      </c>
      <c r="H33" s="1086"/>
      <c r="I33" s="1085">
        <f>IF(INDEX(DiemHKII!$B$68:$EG$87,2,INDEX($V$15:$AE$27,MATCH('M2-CN'!$B17,$V$15:$V$27,0),AC$14))&lt;&gt;"",INDEX(DiemHKII!$B$68:$EG$87,2,INDEX($V$15:$AE$27,MATCH('M2-CN'!$B17,$V$15:$V$27,0),AC$14)),"")</f>
        <v>0</v>
      </c>
      <c r="J33" s="1086"/>
      <c r="K33" s="1085">
        <f>IF(INDEX(DiemHKII!$B$68:$EG$87,2,INDEX($V$15:$AE$27,MATCH('M2-CN'!$B17,$V$15:$V$27,0),AE$14))&lt;&gt;"",INDEX(DiemHKII!$B$68:$EG$87,2,INDEX($V$15:$AE$27,MATCH('M2-CN'!$B17,$V$15:$V$27,0),AE$14)),"")</f>
        <v>0</v>
      </c>
      <c r="L33" s="1086"/>
      <c r="M33" s="508" t="str">
        <f t="shared" si="1"/>
        <v>Xem lại</v>
      </c>
    </row>
    <row r="34" spans="1:19" ht="15" customHeight="1">
      <c r="A34" s="527"/>
      <c r="B34" s="524" t="s">
        <v>29</v>
      </c>
      <c r="C34" s="1085">
        <f>IF(INDEX(DiemHKII!$B$68:$EG$87,2,INDEX($V$15:$AE$27,MATCH('M2-CN'!$B18,$V$15:$V$27,0),W$14))&lt;&gt;"",INDEX(DiemHKII!$B$68:$EG$87,2,INDEX($V$15:$AE$27,MATCH('M2-CN'!$B18,$V$15:$V$27,0),W$14)),"")</f>
        <v>0</v>
      </c>
      <c r="D34" s="1086"/>
      <c r="E34" s="1085">
        <f>IF(INDEX(DiemHKII!$B$68:$EG$87,2,INDEX($V$15:$AE$27,MATCH('M2-CN'!$B18,$V$15:$V$27,0),Y$14))&lt;&gt;"",INDEX(DiemHKII!$B$68:$EG$87,2,INDEX($V$15:$AE$27,MATCH('M2-CN'!$B18,$V$15:$V$27,0),Y$14)),"")</f>
        <v>0</v>
      </c>
      <c r="F34" s="1086"/>
      <c r="G34" s="1085">
        <f>IF(INDEX(DiemHKII!$B$68:$EG$87,2,INDEX($V$15:$AE$27,MATCH('M2-CN'!$B18,$V$15:$V$27,0),AA$14))&lt;&gt;"",INDEX(DiemHKII!$B$68:$EG$87,2,INDEX($V$15:$AE$27,MATCH('M2-CN'!$B18,$V$15:$V$27,0),AA$14)),"")</f>
        <v>0</v>
      </c>
      <c r="H34" s="1086"/>
      <c r="I34" s="1085">
        <f>IF(INDEX(DiemHKII!$B$68:$EG$87,2,INDEX($V$15:$AE$27,MATCH('M2-CN'!$B18,$V$15:$V$27,0),AC$14))&lt;&gt;"",INDEX(DiemHKII!$B$68:$EG$87,2,INDEX($V$15:$AE$27,MATCH('M2-CN'!$B18,$V$15:$V$27,0),AC$14)),"")</f>
        <v>0</v>
      </c>
      <c r="J34" s="1086"/>
      <c r="K34" s="1085">
        <f>IF(INDEX(DiemHKII!$B$68:$EG$87,2,INDEX($V$15:$AE$27,MATCH('M2-CN'!$B18,$V$15:$V$27,0),AE$14))&lt;&gt;"",INDEX(DiemHKII!$B$68:$EG$87,2,INDEX($V$15:$AE$27,MATCH('M2-CN'!$B18,$V$15:$V$27,0),AE$14)),"")</f>
        <v>0</v>
      </c>
      <c r="L34" s="1086"/>
      <c r="M34" s="508" t="str">
        <f t="shared" si="1"/>
        <v>Xem lại</v>
      </c>
    </row>
    <row r="35" spans="1:19" ht="15" customHeight="1">
      <c r="A35" s="527"/>
      <c r="B35" s="524" t="s">
        <v>120</v>
      </c>
      <c r="C35" s="1085">
        <f>IF(INDEX(DiemHKII!$B$68:$EG$87,2,INDEX($V$15:$AE$27,MATCH('M2-CN'!$B19,$V$15:$V$27,0),W$14))&lt;&gt;"",INDEX(DiemHKII!$B$68:$EG$87,2,INDEX($V$15:$AE$27,MATCH('M2-CN'!$B19,$V$15:$V$27,0),W$14)),"")</f>
        <v>0</v>
      </c>
      <c r="D35" s="1086"/>
      <c r="E35" s="1085">
        <f>IF(INDEX(DiemHKII!$B$68:$EG$87,2,INDEX($V$15:$AE$27,MATCH('M2-CN'!$B19,$V$15:$V$27,0),Y$14))&lt;&gt;"",INDEX(DiemHKII!$B$68:$EG$87,2,INDEX($V$15:$AE$27,MATCH('M2-CN'!$B19,$V$15:$V$27,0),Y$14)),"")</f>
        <v>0</v>
      </c>
      <c r="F35" s="1086"/>
      <c r="G35" s="1085">
        <f>IF(INDEX(DiemHKII!$B$68:$EG$87,2,INDEX($V$15:$AE$27,MATCH('M2-CN'!$B19,$V$15:$V$27,0),AA$14))&lt;&gt;"",INDEX(DiemHKII!$B$68:$EG$87,2,INDEX($V$15:$AE$27,MATCH('M2-CN'!$B19,$V$15:$V$27,0),AA$14)),"")</f>
        <v>0</v>
      </c>
      <c r="H35" s="1086"/>
      <c r="I35" s="1085">
        <f>IF(INDEX(DiemHKII!$B$68:$EG$87,2,INDEX($V$15:$AE$27,MATCH('M2-CN'!$B19,$V$15:$V$27,0),AC$14))&lt;&gt;"",INDEX(DiemHKII!$B$68:$EG$87,2,INDEX($V$15:$AE$27,MATCH('M2-CN'!$B19,$V$15:$V$27,0),AC$14)),"")</f>
        <v>0</v>
      </c>
      <c r="J35" s="1086"/>
      <c r="K35" s="1085">
        <f>IF(INDEX(DiemHKII!$B$68:$EG$87,2,INDEX($V$15:$AE$27,MATCH('M2-CN'!$B19,$V$15:$V$27,0),AE$14))&lt;&gt;"",INDEX(DiemHKII!$B$68:$EG$87,2,INDEX($V$15:$AE$27,MATCH('M2-CN'!$B19,$V$15:$V$27,0),AE$14)),"")</f>
        <v>0</v>
      </c>
      <c r="L35" s="1086"/>
      <c r="M35" s="508" t="str">
        <f t="shared" si="1"/>
        <v>Xem lại</v>
      </c>
    </row>
    <row r="36" spans="1:19" ht="15" customHeight="1">
      <c r="A36" s="527">
        <f>B9</f>
        <v>36</v>
      </c>
      <c r="B36" s="524" t="s">
        <v>30</v>
      </c>
      <c r="C36" s="1085">
        <f>IF(INDEX(DiemHKII!$B$68:$EG$87,2,INDEX($V$15:$AE$27,MATCH('M2-CN'!$B20,$V$15:$V$27,0),W$14))&lt;&gt;"",INDEX(DiemHKII!$B$68:$EG$87,2,INDEX($V$15:$AE$27,MATCH('M2-CN'!$B20,$V$15:$V$27,0),W$14)),"")</f>
        <v>0</v>
      </c>
      <c r="D36" s="1086"/>
      <c r="E36" s="1085">
        <f>IF(INDEX(DiemHKII!$B$68:$EG$87,2,INDEX($V$15:$AE$27,MATCH('M2-CN'!$B20,$V$15:$V$27,0),Y$14))&lt;&gt;"",INDEX(DiemHKII!$B$68:$EG$87,2,INDEX($V$15:$AE$27,MATCH('M2-CN'!$B20,$V$15:$V$27,0),Y$14)),"")</f>
        <v>0</v>
      </c>
      <c r="F36" s="1086"/>
      <c r="G36" s="1085">
        <f>IF(INDEX(DiemHKII!$B$68:$EG$87,2,INDEX($V$15:$AE$27,MATCH('M2-CN'!$B20,$V$15:$V$27,0),AA$14))&lt;&gt;"",INDEX(DiemHKII!$B$68:$EG$87,2,INDEX($V$15:$AE$27,MATCH('M2-CN'!$B20,$V$15:$V$27,0),AA$14)),"")</f>
        <v>0</v>
      </c>
      <c r="H36" s="1086"/>
      <c r="I36" s="1085">
        <f>IF(INDEX(DiemHKII!$B$68:$EG$87,2,INDEX($V$15:$AE$27,MATCH('M2-CN'!$B20,$V$15:$V$27,0),AC$14))&lt;&gt;"",INDEX(DiemHKII!$B$68:$EG$87,2,INDEX($V$15:$AE$27,MATCH('M2-CN'!$B20,$V$15:$V$27,0),AC$14)),"")</f>
        <v>0</v>
      </c>
      <c r="J36" s="1086"/>
      <c r="K36" s="1085">
        <f>IF(INDEX(DiemHKII!$B$68:$EG$87,2,INDEX($V$15:$AE$27,MATCH('M2-CN'!$B20,$V$15:$V$27,0),AE$14))&lt;&gt;"",INDEX(DiemHKII!$B$68:$EG$87,2,INDEX($V$15:$AE$27,MATCH('M2-CN'!$B20,$V$15:$V$27,0),AE$14)),"")</f>
        <v>0</v>
      </c>
      <c r="L36" s="1086"/>
      <c r="M36" s="508" t="str">
        <f t="shared" si="1"/>
        <v>Xem lại</v>
      </c>
    </row>
    <row r="37" spans="1:19" ht="15" customHeight="1">
      <c r="A37" s="527"/>
      <c r="B37" s="524" t="s">
        <v>31</v>
      </c>
      <c r="C37" s="1085">
        <f>IF(INDEX(DiemHKII!$B$68:$EG$87,2,INDEX($V$15:$AE$27,MATCH('M2-CN'!$B21,$V$15:$V$27,0),W$14))&lt;&gt;"",INDEX(DiemHKII!$B$68:$EG$87,2,INDEX($V$15:$AE$27,MATCH('M2-CN'!$B21,$V$15:$V$27,0),W$14)),"")</f>
        <v>0</v>
      </c>
      <c r="D37" s="1086"/>
      <c r="E37" s="1085">
        <f>IF(INDEX(DiemHKII!$B$68:$EG$87,2,INDEX($V$15:$AE$27,MATCH('M2-CN'!$B21,$V$15:$V$27,0),Y$14))&lt;&gt;"",INDEX(DiemHKII!$B$68:$EG$87,2,INDEX($V$15:$AE$27,MATCH('M2-CN'!$B21,$V$15:$V$27,0),Y$14)),"")</f>
        <v>0</v>
      </c>
      <c r="F37" s="1086"/>
      <c r="G37" s="1085">
        <f>IF(INDEX(DiemHKII!$B$68:$EG$87,2,INDEX($V$15:$AE$27,MATCH('M2-CN'!$B21,$V$15:$V$27,0),AA$14))&lt;&gt;"",INDEX(DiemHKII!$B$68:$EG$87,2,INDEX($V$15:$AE$27,MATCH('M2-CN'!$B21,$V$15:$V$27,0),AA$14)),"")</f>
        <v>0</v>
      </c>
      <c r="H37" s="1086"/>
      <c r="I37" s="1085">
        <f>IF(INDEX(DiemHKII!$B$68:$EG$87,2,INDEX($V$15:$AE$27,MATCH('M2-CN'!$B21,$V$15:$V$27,0),AC$14))&lt;&gt;"",INDEX(DiemHKII!$B$68:$EG$87,2,INDEX($V$15:$AE$27,MATCH('M2-CN'!$B21,$V$15:$V$27,0),AC$14)),"")</f>
        <v>0</v>
      </c>
      <c r="J37" s="1086"/>
      <c r="K37" s="1085">
        <f>IF(INDEX(DiemHKII!$B$68:$EG$87,2,INDEX($V$15:$AE$27,MATCH('M2-CN'!$B21,$V$15:$V$27,0),AE$14))&lt;&gt;"",INDEX(DiemHKII!$B$68:$EG$87,2,INDEX($V$15:$AE$27,MATCH('M2-CN'!$B21,$V$15:$V$27,0),AE$14)),"")</f>
        <v>0</v>
      </c>
      <c r="L37" s="1086"/>
      <c r="M37" s="508" t="str">
        <f t="shared" si="1"/>
        <v>Xem lại</v>
      </c>
    </row>
    <row r="38" spans="1:19" ht="15" customHeight="1">
      <c r="A38" s="527"/>
      <c r="B38" s="524" t="s">
        <v>32</v>
      </c>
      <c r="C38" s="1085">
        <f>IF(INDEX(DiemHKII!$B$68:$EG$87,2,INDEX($V$15:$AE$27,MATCH('M2-CN'!$B22,$V$15:$V$27,0),W$14))&lt;&gt;"",INDEX(DiemHKII!$B$68:$EG$87,2,INDEX($V$15:$AE$27,MATCH('M2-CN'!$B22,$V$15:$V$27,0),W$14)),"")</f>
        <v>0</v>
      </c>
      <c r="D38" s="1086"/>
      <c r="E38" s="1085">
        <f>IF(INDEX(DiemHKII!$B$68:$EG$87,2,INDEX($V$15:$AE$27,MATCH('M2-CN'!$B22,$V$15:$V$27,0),Y$14))&lt;&gt;"",INDEX(DiemHKII!$B$68:$EG$87,2,INDEX($V$15:$AE$27,MATCH('M2-CN'!$B22,$V$15:$V$27,0),Y$14)),"")</f>
        <v>0</v>
      </c>
      <c r="F38" s="1086"/>
      <c r="G38" s="1085">
        <f>IF(INDEX(DiemHKII!$B$68:$EG$87,2,INDEX($V$15:$AE$27,MATCH('M2-CN'!$B22,$V$15:$V$27,0),AA$14))&lt;&gt;"",INDEX(DiemHKII!$B$68:$EG$87,2,INDEX($V$15:$AE$27,MATCH('M2-CN'!$B22,$V$15:$V$27,0),AA$14)),"")</f>
        <v>0</v>
      </c>
      <c r="H38" s="1086"/>
      <c r="I38" s="1085">
        <f>IF(INDEX(DiemHKII!$B$68:$EG$87,2,INDEX($V$15:$AE$27,MATCH('M2-CN'!$B22,$V$15:$V$27,0),AC$14))&lt;&gt;"",INDEX(DiemHKII!$B$68:$EG$87,2,INDEX($V$15:$AE$27,MATCH('M2-CN'!$B22,$V$15:$V$27,0),AC$14)),"")</f>
        <v>0</v>
      </c>
      <c r="J38" s="1086"/>
      <c r="K38" s="1085">
        <f>IF(INDEX(DiemHKII!$B$68:$EG$87,2,INDEX($V$15:$AE$27,MATCH('M2-CN'!$B22,$V$15:$V$27,0),AE$14))&lt;&gt;"",INDEX(DiemHKII!$B$68:$EG$87,2,INDEX($V$15:$AE$27,MATCH('M2-CN'!$B22,$V$15:$V$27,0),AE$14)),"")</f>
        <v>0</v>
      </c>
      <c r="L38" s="1086"/>
      <c r="M38" s="508" t="str">
        <f t="shared" si="1"/>
        <v>Xem lại</v>
      </c>
    </row>
    <row r="39" spans="1:19" ht="15" customHeight="1">
      <c r="A39" s="527"/>
      <c r="B39" s="524" t="s">
        <v>33</v>
      </c>
      <c r="C39" s="1085">
        <f>IF(INDEX(DiemHKII!$B$68:$EG$87,2,INDEX($V$15:$AE$27,MATCH('M2-CN'!$B23,$V$15:$V$27,0),W$14))&lt;&gt;"",INDEX(DiemHKII!$B$68:$EG$87,2,INDEX($V$15:$AE$27,MATCH('M2-CN'!$B23,$V$15:$V$27,0),W$14)),"")</f>
        <v>0</v>
      </c>
      <c r="D39" s="1086"/>
      <c r="E39" s="1085">
        <f>IF(INDEX(DiemHKII!$B$68:$EG$87,2,INDEX($V$15:$AE$27,MATCH('M2-CN'!$B23,$V$15:$V$27,0),Y$14))&lt;&gt;"",INDEX(DiemHKII!$B$68:$EG$87,2,INDEX($V$15:$AE$27,MATCH('M2-CN'!$B23,$V$15:$V$27,0),Y$14)),"")</f>
        <v>0</v>
      </c>
      <c r="F39" s="1086"/>
      <c r="G39" s="1085">
        <f>IF(INDEX(DiemHKII!$B$68:$EG$87,2,INDEX($V$15:$AE$27,MATCH('M2-CN'!$B23,$V$15:$V$27,0),AA$14))&lt;&gt;"",INDEX(DiemHKII!$B$68:$EG$87,2,INDEX($V$15:$AE$27,MATCH('M2-CN'!$B23,$V$15:$V$27,0),AA$14)),"")</f>
        <v>0</v>
      </c>
      <c r="H39" s="1086"/>
      <c r="I39" s="1085">
        <f>IF(INDEX(DiemHKII!$B$68:$EG$87,2,INDEX($V$15:$AE$27,MATCH('M2-CN'!$B23,$V$15:$V$27,0),AC$14))&lt;&gt;"",INDEX(DiemHKII!$B$68:$EG$87,2,INDEX($V$15:$AE$27,MATCH('M2-CN'!$B23,$V$15:$V$27,0),AC$14)),"")</f>
        <v>0</v>
      </c>
      <c r="J39" s="1086"/>
      <c r="K39" s="1085">
        <f>IF(INDEX(DiemHKII!$B$68:$EG$87,2,INDEX($V$15:$AE$27,MATCH('M2-CN'!$B23,$V$15:$V$27,0),AE$14))&lt;&gt;"",INDEX(DiemHKII!$B$68:$EG$87,2,INDEX($V$15:$AE$27,MATCH('M2-CN'!$B23,$V$15:$V$27,0),AE$14)),"")</f>
        <v>0</v>
      </c>
      <c r="L39" s="1086"/>
      <c r="M39" s="508" t="str">
        <f t="shared" si="1"/>
        <v>Xem lại</v>
      </c>
    </row>
    <row r="40" spans="1:19" ht="15" customHeight="1">
      <c r="A40" s="527"/>
      <c r="B40" s="524" t="s">
        <v>60</v>
      </c>
      <c r="C40" s="1085">
        <f>IF(INDEX(DiemHKII!$B$68:$EG$87,2,INDEX($V$15:$AE$27,MATCH('M2-CN'!$B24,$V$15:$V$27,0),W$14))&lt;&gt;"",INDEX(DiemHKII!$B$68:$EG$87,2,INDEX($V$15:$AE$27,MATCH('M2-CN'!$B24,$V$15:$V$27,0),W$14)),"")</f>
        <v>0</v>
      </c>
      <c r="D40" s="1086"/>
      <c r="E40" s="1085">
        <f>IF(INDEX(DiemHKII!$B$68:$EG$87,2,INDEX($V$15:$AE$27,MATCH('M2-CN'!$B24,$V$15:$V$27,0),Y$14))&lt;&gt;"",INDEX(DiemHKII!$B$68:$EG$87,2,INDEX($V$15:$AE$27,MATCH('M2-CN'!$B24,$V$15:$V$27,0),Y$14)),"")</f>
        <v>0</v>
      </c>
      <c r="F40" s="1086"/>
      <c r="G40" s="1085">
        <f>IF(INDEX(DiemHKII!$B$68:$EG$87,2,INDEX($V$15:$AE$27,MATCH('M2-CN'!$B24,$V$15:$V$27,0),AA$14))&lt;&gt;"",INDEX(DiemHKII!$B$68:$EG$87,2,INDEX($V$15:$AE$27,MATCH('M2-CN'!$B24,$V$15:$V$27,0),AA$14)),"")</f>
        <v>0</v>
      </c>
      <c r="H40" s="1086"/>
      <c r="I40" s="1085">
        <f>IF(INDEX(DiemHKII!$B$68:$EG$87,2,INDEX($V$15:$AE$27,MATCH('M2-CN'!$B24,$V$15:$V$27,0),AC$14))&lt;&gt;"",INDEX(DiemHKII!$B$68:$EG$87,2,INDEX($V$15:$AE$27,MATCH('M2-CN'!$B24,$V$15:$V$27,0),AC$14)),"")</f>
        <v>0</v>
      </c>
      <c r="J40" s="1086"/>
      <c r="K40" s="1085">
        <f>IF(INDEX(DiemHKII!$B$68:$EG$87,2,INDEX($V$15:$AE$27,MATCH('M2-CN'!$B24,$V$15:$V$27,0),AE$14))&lt;&gt;"",INDEX(DiemHKII!$B$68:$EG$87,2,INDEX($V$15:$AE$27,MATCH('M2-CN'!$B24,$V$15:$V$27,0),AE$14)),"")</f>
        <v>0</v>
      </c>
      <c r="L40" s="1086"/>
      <c r="M40" s="508" t="str">
        <f t="shared" si="1"/>
        <v>Xem lại</v>
      </c>
    </row>
    <row r="41" spans="1:19" ht="15" customHeight="1">
      <c r="A41" s="527"/>
      <c r="B41" s="524" t="s">
        <v>34</v>
      </c>
      <c r="C41" s="1085">
        <f>IF(INDEX(DiemHKII!$B$68:$EG$87,2,INDEX($V$15:$AE$27,MATCH('M2-CN'!$B25,$V$15:$V$27,0),W$14))&lt;&gt;"",INDEX(DiemHKII!$B$68:$EG$87,2,INDEX($V$15:$AE$27,MATCH('M2-CN'!$B25,$V$15:$V$27,0),W$14)),"")</f>
        <v>0</v>
      </c>
      <c r="D41" s="1086"/>
      <c r="E41" s="1085">
        <f>IF(INDEX(DiemHKII!$B$68:$EG$87,2,INDEX($V$15:$AE$27,MATCH('M2-CN'!$B25,$V$15:$V$27,0),Y$14))&lt;&gt;"",INDEX(DiemHKII!$B$68:$EG$87,2,INDEX($V$15:$AE$27,MATCH('M2-CN'!$B25,$V$15:$V$27,0),Y$14)),"")</f>
        <v>0</v>
      </c>
      <c r="F41" s="1086"/>
      <c r="G41" s="1085">
        <f>IF(INDEX(DiemHKII!$B$68:$EG$87,2,INDEX($V$15:$AE$27,MATCH('M2-CN'!$B25,$V$15:$V$27,0),AA$14))&lt;&gt;"",INDEX(DiemHKII!$B$68:$EG$87,2,INDEX($V$15:$AE$27,MATCH('M2-CN'!$B25,$V$15:$V$27,0),AA$14)),"")</f>
        <v>0</v>
      </c>
      <c r="H41" s="1086"/>
      <c r="I41" s="1085">
        <f>IF(INDEX(DiemHKII!$B$68:$EG$87,2,INDEX($V$15:$AE$27,MATCH('M2-CN'!$B25,$V$15:$V$27,0),AC$14))&lt;&gt;"",INDEX(DiemHKII!$B$68:$EG$87,2,INDEX($V$15:$AE$27,MATCH('M2-CN'!$B25,$V$15:$V$27,0),AC$14)),"")</f>
        <v>0</v>
      </c>
      <c r="J41" s="1086"/>
      <c r="K41" s="1085">
        <f>IF(INDEX(DiemHKII!$B$68:$EG$87,2,INDEX($V$15:$AE$27,MATCH('M2-CN'!$B25,$V$15:$V$27,0),AE$14))&lt;&gt;"",INDEX(DiemHKII!$B$68:$EG$87,2,INDEX($V$15:$AE$27,MATCH('M2-CN'!$B25,$V$15:$V$27,0),AE$14)),"")</f>
        <v>0</v>
      </c>
      <c r="L41" s="1086"/>
      <c r="M41" s="508" t="str">
        <f t="shared" si="1"/>
        <v>Xem lại</v>
      </c>
    </row>
    <row r="42" spans="1:19" ht="15" customHeight="1">
      <c r="A42" s="527"/>
      <c r="B42" s="524" t="s">
        <v>136</v>
      </c>
      <c r="C42" s="1085">
        <f>IF(INDEX(DiemHKII!$B$68:$EG$87,2,INDEX($V$15:$AE$27,MATCH('M2-CN'!$B26,$V$15:$V$27,0),W$14))&lt;&gt;"",INDEX(DiemHKII!$B$68:$EG$87,2,INDEX($V$15:$AE$27,MATCH('M2-CN'!$B26,$V$15:$V$27,0),W$14)),"")</f>
        <v>0</v>
      </c>
      <c r="D42" s="1086"/>
      <c r="E42" s="1085">
        <f>IF(INDEX(DiemHKII!$B$68:$EG$87,2,INDEX($V$15:$AE$27,MATCH('M2-CN'!$B26,$V$15:$V$27,0),Y$14))&lt;&gt;"",INDEX(DiemHKII!$B$68:$EG$87,2,INDEX($V$15:$AE$27,MATCH('M2-CN'!$B26,$V$15:$V$27,0),Y$14)),"")</f>
        <v>0</v>
      </c>
      <c r="F42" s="1086"/>
      <c r="G42" s="1085">
        <f>IF(INDEX(DiemHKII!$B$68:$EG$87,2,INDEX($V$15:$AE$27,MATCH('M2-CN'!$B26,$V$15:$V$27,0),AA$14))&lt;&gt;"",INDEX(DiemHKII!$B$68:$EG$87,2,INDEX($V$15:$AE$27,MATCH('M2-CN'!$B26,$V$15:$V$27,0),AA$14)),"")</f>
        <v>0</v>
      </c>
      <c r="H42" s="1086"/>
      <c r="I42" s="1085">
        <f>IF(INDEX(DiemHKII!$B$68:$EG$87,2,INDEX($V$15:$AE$27,MATCH('M2-CN'!$B26,$V$15:$V$27,0),AC$14))&lt;&gt;"",INDEX(DiemHKII!$B$68:$EG$87,2,INDEX($V$15:$AE$27,MATCH('M2-CN'!$B26,$V$15:$V$27,0),AC$14)),"")</f>
        <v>0</v>
      </c>
      <c r="J42" s="1086"/>
      <c r="K42" s="1085">
        <f>IF(INDEX(DiemHKII!$B$68:$EG$87,2,INDEX($V$15:$AE$27,MATCH('M2-CN'!$B26,$V$15:$V$27,0),AE$14))&lt;&gt;"",INDEX(DiemHKII!$B$68:$EG$87,2,INDEX($V$15:$AE$27,MATCH('M2-CN'!$B26,$V$15:$V$27,0),AE$14)),"")</f>
        <v>0</v>
      </c>
      <c r="L42" s="1086"/>
      <c r="M42" s="508" t="str">
        <f t="shared" si="1"/>
        <v>Xem lại</v>
      </c>
    </row>
    <row r="43" spans="1:19" ht="15" customHeight="1">
      <c r="A43" s="528"/>
      <c r="B43" s="524" t="s">
        <v>122</v>
      </c>
      <c r="C43" s="1085">
        <f>IF(INDEX(DiemHKII!$B$68:$EG$87,2,INDEX($V$15:$AE$27,MATCH('M2-CN'!$B27,$V$15:$V$27,0),W$14))&lt;&gt;"",INDEX(DiemHKII!$B$68:$EG$87,2,INDEX($V$15:$AE$27,MATCH('M2-CN'!$B27,$V$15:$V$27,0),W$14)),"")</f>
        <v>0</v>
      </c>
      <c r="D43" s="1086"/>
      <c r="E43" s="1085">
        <f>IF(INDEX(DiemHKII!$B$68:$EG$87,2,INDEX($V$15:$AE$27,MATCH('M2-CN'!$B27,$V$15:$V$27,0),Y$14))&lt;&gt;"",INDEX(DiemHKII!$B$68:$EG$87,2,INDEX($V$15:$AE$27,MATCH('M2-CN'!$B27,$V$15:$V$27,0),Y$14)),"")</f>
        <v>0</v>
      </c>
      <c r="F43" s="1086"/>
      <c r="G43" s="1085">
        <f>IF(INDEX(DiemHKII!$B$68:$EG$87,2,INDEX($V$15:$AE$27,MATCH('M2-CN'!$B27,$V$15:$V$27,0),AA$14))&lt;&gt;"",INDEX(DiemHKII!$B$68:$EG$87,2,INDEX($V$15:$AE$27,MATCH('M2-CN'!$B27,$V$15:$V$27,0),AA$14)),"")</f>
        <v>0</v>
      </c>
      <c r="H43" s="1086"/>
      <c r="I43" s="1085">
        <f>IF(INDEX(DiemHKII!$B$68:$EG$87,2,INDEX($V$15:$AE$27,MATCH('M2-CN'!$B27,$V$15:$V$27,0),AC$14))&lt;&gt;"",INDEX(DiemHKII!$B$68:$EG$87,2,INDEX($V$15:$AE$27,MATCH('M2-CN'!$B27,$V$15:$V$27,0),AC$14)),"")</f>
        <v>0</v>
      </c>
      <c r="J43" s="1086"/>
      <c r="K43" s="1085">
        <f>IF(INDEX(DiemHKII!$B$68:$EG$87,2,INDEX($V$15:$AE$27,MATCH('M2-CN'!$B27,$V$15:$V$27,0),AE$14))&lt;&gt;"",INDEX(DiemHKII!$B$68:$EG$87,2,INDEX($V$15:$AE$27,MATCH('M2-CN'!$B27,$V$15:$V$27,0),AE$14)),"")</f>
        <v>0</v>
      </c>
      <c r="L43" s="1086"/>
    </row>
    <row r="44" spans="1:19" ht="24" customHeight="1">
      <c r="L44" s="1084" t="s">
        <v>262</v>
      </c>
      <c r="M44" s="1084"/>
      <c r="N44" s="1084"/>
      <c r="O44" s="1084"/>
      <c r="P44" s="1084"/>
      <c r="Q44" s="1084"/>
      <c r="R44" s="1084"/>
      <c r="S44" s="1084"/>
    </row>
    <row r="45" spans="1:19" ht="20.25" customHeight="1">
      <c r="M45" s="1087" t="s">
        <v>138</v>
      </c>
      <c r="N45" s="1087"/>
      <c r="O45" s="1087"/>
      <c r="P45" s="1087"/>
      <c r="Q45" s="1087"/>
      <c r="R45" s="1087"/>
      <c r="S45" s="1087"/>
    </row>
    <row r="46" spans="1:19">
      <c r="M46" s="1088"/>
      <c r="N46" s="1088"/>
      <c r="O46" s="1088"/>
      <c r="P46" s="1088"/>
      <c r="Q46" s="1088"/>
      <c r="R46" s="1088"/>
      <c r="S46" s="1088"/>
    </row>
    <row r="47" spans="1:19" ht="19.5" customHeight="1"/>
    <row r="48" spans="1:19" ht="22.5" customHeight="1"/>
    <row r="49" ht="19.5" customHeight="1"/>
  </sheetData>
  <sheetProtection algorithmName="SHA-512" hashValue="uaDOGuRepi4WojTag2ppDQAKzgqtErsFhu7QqlziTNB1YTzCyg0o0i1S6H4e85V27wCWigzhmTYgbNLOixOGoQ==" saltValue="LjAqT4/8RFLlSvYm2yvGdg==" spinCount="100000" sheet="1" objects="1" scenarios="1"/>
  <mergeCells count="120">
    <mergeCell ref="P8:Q8"/>
    <mergeCell ref="C9:D9"/>
    <mergeCell ref="E9:F9"/>
    <mergeCell ref="G9:H9"/>
    <mergeCell ref="I9:J9"/>
    <mergeCell ref="K9:L9"/>
    <mergeCell ref="A1:J1"/>
    <mergeCell ref="A2:J2"/>
    <mergeCell ref="A4:S4"/>
    <mergeCell ref="A7:A8"/>
    <mergeCell ref="B7:B8"/>
    <mergeCell ref="C7:L7"/>
    <mergeCell ref="M7:Q7"/>
    <mergeCell ref="R7:S8"/>
    <mergeCell ref="C8:D8"/>
    <mergeCell ref="A3:J3"/>
    <mergeCell ref="A13:A14"/>
    <mergeCell ref="B13:B14"/>
    <mergeCell ref="C13:D13"/>
    <mergeCell ref="E13:F13"/>
    <mergeCell ref="G13:H13"/>
    <mergeCell ref="I13:J13"/>
    <mergeCell ref="K13:L13"/>
    <mergeCell ref="N13:O14"/>
    <mergeCell ref="E8:F8"/>
    <mergeCell ref="G8:H8"/>
    <mergeCell ref="I8:J8"/>
    <mergeCell ref="K8:L8"/>
    <mergeCell ref="A9:A10"/>
    <mergeCell ref="P13:Q13"/>
    <mergeCell ref="R13:S13"/>
    <mergeCell ref="N15:O15"/>
    <mergeCell ref="C30:D30"/>
    <mergeCell ref="E30:F30"/>
    <mergeCell ref="G30:H30"/>
    <mergeCell ref="I30:J30"/>
    <mergeCell ref="K30:L30"/>
    <mergeCell ref="P9:Q9"/>
    <mergeCell ref="R9:S9"/>
    <mergeCell ref="R31:S31"/>
    <mergeCell ref="C32:D32"/>
    <mergeCell ref="E32:F32"/>
    <mergeCell ref="G32:H32"/>
    <mergeCell ref="I32:J32"/>
    <mergeCell ref="K32:L32"/>
    <mergeCell ref="N30:O30"/>
    <mergeCell ref="P30:Q30"/>
    <mergeCell ref="R30:S30"/>
    <mergeCell ref="C31:D31"/>
    <mergeCell ref="E31:F31"/>
    <mergeCell ref="G31:H31"/>
    <mergeCell ref="I31:J31"/>
    <mergeCell ref="K31:L31"/>
    <mergeCell ref="N31:O31"/>
    <mergeCell ref="P31:Q31"/>
    <mergeCell ref="C34:D34"/>
    <mergeCell ref="E34:F34"/>
    <mergeCell ref="G34:H34"/>
    <mergeCell ref="I34:J34"/>
    <mergeCell ref="K34:L34"/>
    <mergeCell ref="C33:D33"/>
    <mergeCell ref="E33:F33"/>
    <mergeCell ref="G33:H33"/>
    <mergeCell ref="I33:J33"/>
    <mergeCell ref="K33:L33"/>
    <mergeCell ref="C35:D35"/>
    <mergeCell ref="E35:F35"/>
    <mergeCell ref="G35:H35"/>
    <mergeCell ref="I35:J35"/>
    <mergeCell ref="K35:L35"/>
    <mergeCell ref="C36:D36"/>
    <mergeCell ref="E36:F36"/>
    <mergeCell ref="G36:H36"/>
    <mergeCell ref="I36:J36"/>
    <mergeCell ref="K36:L36"/>
    <mergeCell ref="C37:D37"/>
    <mergeCell ref="E37:F37"/>
    <mergeCell ref="G37:H37"/>
    <mergeCell ref="I37:J37"/>
    <mergeCell ref="K37:L37"/>
    <mergeCell ref="C38:D38"/>
    <mergeCell ref="E38:F38"/>
    <mergeCell ref="G38:H38"/>
    <mergeCell ref="I38:J38"/>
    <mergeCell ref="K38:L38"/>
    <mergeCell ref="I41:J41"/>
    <mergeCell ref="K41:L41"/>
    <mergeCell ref="C39:D39"/>
    <mergeCell ref="E39:F39"/>
    <mergeCell ref="G39:H39"/>
    <mergeCell ref="I39:J39"/>
    <mergeCell ref="K39:L39"/>
    <mergeCell ref="C40:D40"/>
    <mergeCell ref="E40:F40"/>
    <mergeCell ref="G40:H40"/>
    <mergeCell ref="I40:J40"/>
    <mergeCell ref="L44:S44"/>
    <mergeCell ref="C43:D43"/>
    <mergeCell ref="E43:F43"/>
    <mergeCell ref="G43:H43"/>
    <mergeCell ref="I43:J43"/>
    <mergeCell ref="K43:L43"/>
    <mergeCell ref="M45:S45"/>
    <mergeCell ref="M46:S46"/>
    <mergeCell ref="C10:D10"/>
    <mergeCell ref="E10:F10"/>
    <mergeCell ref="G10:H10"/>
    <mergeCell ref="I10:J10"/>
    <mergeCell ref="K10:L10"/>
    <mergeCell ref="P10:Q10"/>
    <mergeCell ref="R10:S10"/>
    <mergeCell ref="C42:D42"/>
    <mergeCell ref="E42:F42"/>
    <mergeCell ref="G42:H42"/>
    <mergeCell ref="I42:J42"/>
    <mergeCell ref="K42:L42"/>
    <mergeCell ref="K40:L40"/>
    <mergeCell ref="C41:D41"/>
    <mergeCell ref="E41:F41"/>
    <mergeCell ref="G41:H41"/>
  </mergeCells>
  <pageMargins left="0.5" right="0.25" top="0" bottom="0" header="0.3" footer="0.3"/>
  <pageSetup scale="90" orientation="portrait" blackAndWhite="1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 tint="-0.34998626667073579"/>
    <pageSetUpPr fitToPage="1"/>
  </sheetPr>
  <dimension ref="A1:AH64"/>
  <sheetViews>
    <sheetView zoomScaleNormal="100" workbookViewId="0">
      <selection activeCell="O23" sqref="O23"/>
    </sheetView>
  </sheetViews>
  <sheetFormatPr defaultColWidth="9.109375" defaultRowHeight="13.8"/>
  <cols>
    <col min="1" max="1" width="6.5546875" style="478" customWidth="1"/>
    <col min="2" max="2" width="13.6640625" style="478" customWidth="1"/>
    <col min="3" max="12" width="7.6640625" style="478" customWidth="1"/>
    <col min="13" max="13" width="8" style="478" customWidth="1"/>
    <col min="14" max="14" width="7.5546875" style="478" customWidth="1"/>
    <col min="15" max="15" width="30.44140625" style="478" customWidth="1"/>
    <col min="16" max="16" width="9.109375" style="478" hidden="1" customWidth="1"/>
    <col min="17" max="25" width="5.109375" style="478" hidden="1" customWidth="1"/>
    <col min="26" max="28" width="9.109375" style="478" hidden="1" customWidth="1"/>
    <col min="29" max="29" width="22.5546875" style="478" hidden="1" customWidth="1"/>
    <col min="30" max="30" width="29.5546875" style="478" hidden="1" customWidth="1"/>
    <col min="31" max="31" width="5.33203125" style="479" customWidth="1"/>
    <col min="32" max="34" width="18.33203125" style="479" customWidth="1"/>
    <col min="35" max="16384" width="9.109375" style="478"/>
  </cols>
  <sheetData>
    <row r="1" spans="1:31" ht="12" customHeight="1"/>
    <row r="2" spans="1:31" ht="20.25" customHeight="1">
      <c r="A2" s="1043" t="str">
        <f>IF('Huong dan'!E3&lt;&gt;"","SỞ GIÁO DỤC VÀ ĐÀO TẠO "&amp;UPPER('Huong dan'!E3),"")</f>
        <v>SỞ GIÁO DỤC VÀ ĐÀO TẠO TP. HỒ CHÍ MINH</v>
      </c>
      <c r="B2" s="1043"/>
      <c r="C2" s="1043"/>
      <c r="D2" s="1043"/>
      <c r="E2" s="1043"/>
      <c r="F2" s="1043"/>
      <c r="G2" s="922" t="s">
        <v>19</v>
      </c>
      <c r="H2" s="922"/>
      <c r="I2" s="922"/>
      <c r="J2" s="922"/>
      <c r="K2" s="922"/>
      <c r="L2" s="922"/>
      <c r="M2" s="922"/>
    </row>
    <row r="3" spans="1:31" ht="18" customHeight="1">
      <c r="A3" s="993" t="str">
        <f>IF('Huong dan'!E4&lt;&gt;"","TRƯỜNG "&amp;UPPER('Huong dan'!E4),"")</f>
        <v>TRƯỜNG THCS VÀ THPT NGUYỄN KHUYẾN</v>
      </c>
      <c r="B3" s="993"/>
      <c r="C3" s="993"/>
      <c r="D3" s="993"/>
      <c r="E3" s="993"/>
      <c r="F3" s="993"/>
      <c r="G3" s="993" t="s">
        <v>179</v>
      </c>
      <c r="H3" s="993"/>
      <c r="I3" s="993"/>
      <c r="J3" s="993"/>
      <c r="K3" s="993"/>
      <c r="L3" s="993"/>
      <c r="M3" s="993"/>
      <c r="O3" s="480" t="s">
        <v>78</v>
      </c>
      <c r="AE3" s="1124" t="s">
        <v>95</v>
      </c>
    </row>
    <row r="4" spans="1:31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1"/>
      <c r="M4" s="1"/>
      <c r="O4" s="332" t="s">
        <v>379</v>
      </c>
      <c r="AE4" s="1125"/>
    </row>
    <row r="5" spans="1:31" ht="24.75" customHeight="1">
      <c r="A5" s="994" t="str">
        <f>"PHIẾU BÁO ĐIỂM HỌC KỲ II - NĂM HỌC "&amp;'Huong dan'!C5</f>
        <v>PHIẾU BÁO ĐIỂM HỌC KỲ II - NĂM HỌC 2021 - 2022</v>
      </c>
      <c r="B5" s="994"/>
      <c r="C5" s="994"/>
      <c r="D5" s="994"/>
      <c r="E5" s="994"/>
      <c r="F5" s="994"/>
      <c r="G5" s="994"/>
      <c r="H5" s="994"/>
      <c r="I5" s="994"/>
      <c r="J5" s="994"/>
      <c r="K5" s="994"/>
      <c r="L5" s="994"/>
      <c r="M5" s="994"/>
    </row>
    <row r="6" spans="1:31" ht="16.5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O6" s="481"/>
    </row>
    <row r="7" spans="1:31" ht="21" customHeight="1">
      <c r="A7" s="4"/>
      <c r="B7" s="6" t="s">
        <v>75</v>
      </c>
      <c r="C7" s="5"/>
      <c r="D7" s="1127" t="str">
        <f>IFERROR(IF($P$7&lt;&gt;"",INDEX($AB$10:$AD$64,MATCH($O$4,$AD$10:$AD$64,0),2),""),"")</f>
        <v/>
      </c>
      <c r="E7" s="1127"/>
      <c r="F7" s="1127"/>
      <c r="G7" s="1127"/>
      <c r="H7" s="1127"/>
      <c r="I7" s="1127"/>
      <c r="J7" s="6" t="s">
        <v>65</v>
      </c>
      <c r="K7" s="466" t="str">
        <f>IF('Huong dan'!C3&lt;&gt;"",UPPER('Huong dan'!C3),"")</f>
        <v>12A1</v>
      </c>
      <c r="L7" s="248"/>
      <c r="M7" s="248"/>
      <c r="O7" s="481"/>
      <c r="P7" s="482" t="e">
        <f>IF(O4&lt;&gt;"",INDEX($AB$10:$AD$64,MATCH($O$4,$AD$10:$AD$64,0),1),"")</f>
        <v>#N/A</v>
      </c>
    </row>
    <row r="8" spans="1:31" ht="10.5" customHeight="1">
      <c r="A8" s="4"/>
      <c r="B8" s="5"/>
      <c r="C8" s="248"/>
      <c r="D8" s="248"/>
      <c r="E8" s="248"/>
      <c r="F8" s="248"/>
      <c r="G8" s="248"/>
      <c r="H8" s="248"/>
      <c r="I8" s="248"/>
      <c r="J8" s="248"/>
      <c r="K8" s="248"/>
      <c r="L8" s="248"/>
      <c r="M8" s="248"/>
      <c r="Q8" s="1120" t="s">
        <v>225</v>
      </c>
      <c r="R8" s="1120"/>
      <c r="S8" s="1120"/>
      <c r="T8" s="1120"/>
      <c r="U8" s="483" t="s">
        <v>3</v>
      </c>
      <c r="V8" s="483" t="s">
        <v>223</v>
      </c>
      <c r="W8" s="484" t="s">
        <v>8</v>
      </c>
      <c r="X8" s="484" t="s">
        <v>8</v>
      </c>
      <c r="Y8" s="485" t="s">
        <v>8</v>
      </c>
    </row>
    <row r="9" spans="1:31" ht="20.25" customHeight="1">
      <c r="A9" s="990" t="s">
        <v>0</v>
      </c>
      <c r="B9" s="990" t="s">
        <v>72</v>
      </c>
      <c r="C9" s="928" t="s">
        <v>225</v>
      </c>
      <c r="D9" s="928"/>
      <c r="E9" s="928"/>
      <c r="F9" s="928"/>
      <c r="G9" s="456" t="s">
        <v>3</v>
      </c>
      <c r="H9" s="456" t="s">
        <v>3</v>
      </c>
      <c r="I9" s="455" t="s">
        <v>8</v>
      </c>
      <c r="J9" s="456" t="s">
        <v>8</v>
      </c>
      <c r="K9" s="456" t="s">
        <v>8</v>
      </c>
      <c r="L9" s="1002" t="s">
        <v>74</v>
      </c>
      <c r="M9" s="1002" t="s">
        <v>126</v>
      </c>
      <c r="O9" s="480" t="s">
        <v>79</v>
      </c>
      <c r="Q9" s="486">
        <v>1</v>
      </c>
      <c r="R9" s="486">
        <v>2</v>
      </c>
      <c r="S9" s="486">
        <v>3</v>
      </c>
      <c r="T9" s="486">
        <v>4</v>
      </c>
      <c r="U9" s="487" t="s">
        <v>230</v>
      </c>
      <c r="V9" s="487" t="s">
        <v>97</v>
      </c>
      <c r="W9" s="488" t="s">
        <v>4</v>
      </c>
      <c r="X9" s="488" t="s">
        <v>97</v>
      </c>
      <c r="Y9" s="489" t="s">
        <v>98</v>
      </c>
      <c r="AE9" s="1124" t="s">
        <v>95</v>
      </c>
    </row>
    <row r="10" spans="1:31" ht="20.25" customHeight="1">
      <c r="A10" s="991"/>
      <c r="B10" s="1126"/>
      <c r="C10" s="574">
        <v>1</v>
      </c>
      <c r="D10" s="575">
        <v>2</v>
      </c>
      <c r="E10" s="575">
        <v>3</v>
      </c>
      <c r="F10" s="576">
        <v>4</v>
      </c>
      <c r="G10" s="445" t="s">
        <v>230</v>
      </c>
      <c r="H10" s="382" t="s">
        <v>278</v>
      </c>
      <c r="I10" s="445" t="s">
        <v>4</v>
      </c>
      <c r="J10" s="457" t="s">
        <v>97</v>
      </c>
      <c r="K10" s="457" t="s">
        <v>104</v>
      </c>
      <c r="L10" s="1121"/>
      <c r="M10" s="1121"/>
      <c r="O10" s="334" t="s">
        <v>154</v>
      </c>
      <c r="Q10" s="478">
        <v>2</v>
      </c>
      <c r="R10" s="478">
        <v>3</v>
      </c>
      <c r="S10" s="478">
        <v>4</v>
      </c>
      <c r="T10" s="478">
        <v>5</v>
      </c>
      <c r="U10" s="478">
        <v>6</v>
      </c>
      <c r="V10" s="478">
        <v>7</v>
      </c>
      <c r="W10" s="478">
        <v>8</v>
      </c>
      <c r="X10" s="478">
        <v>9</v>
      </c>
      <c r="Y10" s="478">
        <v>10</v>
      </c>
      <c r="AB10" s="490">
        <f>DiemHKII!B4</f>
        <v>1</v>
      </c>
      <c r="AC10" s="490" t="str">
        <f>DiemHKII!E4&amp;" "&amp;DiemHKII!F4</f>
        <v>Phạm Huỳnh Hiệp An</v>
      </c>
      <c r="AD10" s="478" t="str">
        <f>"STT "&amp;AB10&amp;". "&amp;AC10</f>
        <v>STT 1. Phạm Huỳnh Hiệp An</v>
      </c>
      <c r="AE10" s="1125"/>
    </row>
    <row r="11" spans="1:31" ht="20.25" customHeight="1">
      <c r="A11" s="358">
        <v>1</v>
      </c>
      <c r="B11" s="389" t="s">
        <v>26</v>
      </c>
      <c r="C11" s="713" t="str">
        <f>IFERROR(IF($P$7&lt;&gt;"",IF(INDEX(BDHK2,MATCH($P$7,DiemHKII!$B$4:$B$58,0),INDEX($P$11:$Y$25,MATCH($B11,$P$11:$P$25,0),Q$10))&lt;&gt;"",INDEX(BDHK2,MATCH($P$7,DiemHKII!$B$4:$B$58,0),INDEX($P$11:$Y$25,MATCH($B11,$P$11:$P$25,0),Q$10)),""),""),"")</f>
        <v/>
      </c>
      <c r="D11" s="714" t="str">
        <f>IFERROR(IF($P$7&lt;&gt;"",IF(INDEX(BDHK2,MATCH($P$7,DiemHKII!$B$4:$B$58,0),INDEX($P$11:$Y$25,MATCH($B11,$P$11:$P$25,0),R$10))&lt;&gt;"",INDEX(BDHK2,MATCH($P$7,DiemHKII!$B$4:$B$58,0),INDEX($P$11:$Y$25,MATCH($B11,$P$11:$P$25,0),R$10)),""),""),"")</f>
        <v/>
      </c>
      <c r="E11" s="714" t="str">
        <f>IFERROR(IF($P$7&lt;&gt;"",IF(INDEX(BDHK2,MATCH($P$7,DiemHKII!$B$4:$B$58,0),INDEX($P$11:$Y$25,MATCH($B11,$P$11:$P$25,0),S$10))&lt;&gt;"",INDEX(BDHK2,MATCH($P$7,DiemHKII!$B$4:$B$58,0),INDEX($P$11:$Y$25,MATCH($B11,$P$11:$P$25,0),S$10)),""),""),"")</f>
        <v/>
      </c>
      <c r="F11" s="715" t="str">
        <f>IFERROR(IF($P$7&lt;&gt;"",IF(INDEX(BDHK2,MATCH($P$7,DiemHKII!$B$4:$B$58,0),INDEX($P$11:$Y$25,MATCH($B11,$P$11:$P$25,0),T$10))&lt;&gt;"",INDEX(BDHK2,MATCH($P$7,DiemHKII!$B$4:$B$58,0),INDEX($P$11:$Y$25,MATCH($B11,$P$11:$P$25,0),T$10)),""),""),"")</f>
        <v/>
      </c>
      <c r="G11" s="716" t="str">
        <f>IFERROR(IF($P$7&lt;&gt;"",IF(INDEX(BDHK2,MATCH($P$7,DiemHKII!$B$4:$B$58,0),INDEX($P$11:$Y$25,MATCH($B11,$P$11:$P$25,0),U$10))&lt;&gt;"",INDEX(BDHK2,MATCH($P$7,DiemHKII!$B$4:$B$58,0),INDEX($P$11:$Y$25,MATCH($B11,$P$11:$P$25,0),U$10)),""),""),"")</f>
        <v/>
      </c>
      <c r="H11" s="717" t="str">
        <f>IFERROR(IF($P$7&lt;&gt;"",IF(INDEX(BDHK2,MATCH($P$7,DiemHKII!$B$4:$B$58,0),INDEX($P$11:$Y$25,MATCH($B11,$P$11:$P$25,0),V$10))&lt;&gt;"",INDEX(BDHK2,MATCH($P$7,DiemHKII!$B$4:$B$58,0),INDEX($P$11:$Y$25,MATCH($B11,$P$11:$P$25,0),V$10)),""),""),"")</f>
        <v/>
      </c>
      <c r="I11" s="718" t="str">
        <f>IFERROR(IF($P$7&lt;&gt;"",IF(INDEX(BDHK2,MATCH($P$7,DiemHKII!$B$4:$B$58,0),INDEX($P$11:$Y$25,MATCH($B11,$P$11:$P$25,0),W$10))&lt;&gt;"",INDEX(BDHK2,MATCH($P$7,DiemHKII!$B$4:$B$58,0),INDEX($P$11:$Y$25,MATCH($B11,$P$11:$P$25,0),W$10)),""),""),"")</f>
        <v/>
      </c>
      <c r="J11" s="717" t="str">
        <f>IFERROR(IF($P$7&lt;&gt;"",IF(INDEX(BDHK2,MATCH($P$7,DiemHKII!$B$4:$B$58,0),INDEX($P$11:$Y$25,MATCH($B11,$P$11:$P$25,0),X$10))&lt;&gt;"",INDEX(BDHK2,MATCH($P$7,DiemHKII!$B$4:$B$58,0),INDEX($P$11:$Y$25,MATCH($B11,$P$11:$P$25,0),X$10)),""),""),"")</f>
        <v/>
      </c>
      <c r="K11" s="719" t="str">
        <f>IFERROR(IF($P$7&lt;&gt;"",IF(INDEX(BDHK2,MATCH($P$7,DiemHKII!$B$4:$B$58,0),INDEX($P$11:$Y$25,MATCH($B11,$P$11:$P$25,0),Y$10))&lt;&gt;"",INDEX(BDHK2,MATCH($P$7,DiemHKII!$B$4:$B$58,0),INDEX($P$11:$Y$25,MATCH($B11,$P$11:$P$25,0),Y$10)),""),""),"")</f>
        <v/>
      </c>
      <c r="L11" s="720">
        <f>COUNT(C11:K11)</f>
        <v>0</v>
      </c>
      <c r="M11" s="721"/>
      <c r="P11" s="478" t="s">
        <v>26</v>
      </c>
      <c r="Q11" s="478">
        <v>11</v>
      </c>
      <c r="R11" s="478">
        <v>12</v>
      </c>
      <c r="S11" s="478">
        <v>13</v>
      </c>
      <c r="T11" s="478">
        <v>14</v>
      </c>
      <c r="U11" s="478">
        <v>15</v>
      </c>
      <c r="V11" s="478">
        <v>16</v>
      </c>
      <c r="W11" s="478">
        <v>17</v>
      </c>
      <c r="X11" s="478">
        <v>18</v>
      </c>
      <c r="Y11" s="478">
        <v>19</v>
      </c>
      <c r="AB11" s="490">
        <f>DiemHKII!B5</f>
        <v>2</v>
      </c>
      <c r="AC11" s="490" t="str">
        <f>DiemHKII!E5&amp;" "&amp;DiemHKII!F5</f>
        <v>Chử Ngọc Anh</v>
      </c>
      <c r="AD11" s="478" t="str">
        <f t="shared" ref="AD11:AD64" si="0">"STT "&amp;AB11&amp;". "&amp;AC11</f>
        <v>STT 2. Chử Ngọc Anh</v>
      </c>
    </row>
    <row r="12" spans="1:31" ht="20.25" customHeight="1">
      <c r="A12" s="359">
        <v>2</v>
      </c>
      <c r="B12" s="390" t="s">
        <v>27</v>
      </c>
      <c r="C12" s="722" t="str">
        <f>IFERROR(IF($P$7&lt;&gt;"",IF(INDEX(BDHK2,MATCH($P$7,DiemHKII!$B$4:$B$58,0),INDEX($P$11:$Y$25,MATCH($B12,$P$11:$P$25,0),Q$10))&lt;&gt;"",INDEX(BDHK2,MATCH($P$7,DiemHKII!$B$4:$B$58,0),INDEX($P$11:$Y$25,MATCH($B12,$P$11:$P$25,0),Q$10)),""),""),"")</f>
        <v/>
      </c>
      <c r="D12" s="723" t="str">
        <f>IFERROR(IF($P$7&lt;&gt;"",IF(INDEX(BDHK2,MATCH($P$7,DiemHKII!$B$4:$B$58,0),INDEX($P$11:$Y$25,MATCH($B12,$P$11:$P$25,0),R$10))&lt;&gt;"",INDEX(BDHK2,MATCH($P$7,DiemHKII!$B$4:$B$58,0),INDEX($P$11:$Y$25,MATCH($B12,$P$11:$P$25,0),R$10)),""),""),"")</f>
        <v/>
      </c>
      <c r="E12" s="723" t="str">
        <f>IFERROR(IF($P$7&lt;&gt;"",IF(INDEX(BDHK2,MATCH($P$7,DiemHKII!$B$4:$B$58,0),INDEX($P$11:$Y$25,MATCH($B12,$P$11:$P$25,0),S$10))&lt;&gt;"",INDEX(BDHK2,MATCH($P$7,DiemHKII!$B$4:$B$58,0),INDEX($P$11:$Y$25,MATCH($B12,$P$11:$P$25,0),S$10)),""),""),"")</f>
        <v/>
      </c>
      <c r="F12" s="724" t="str">
        <f>IFERROR(IF($P$7&lt;&gt;"",IF(INDEX(BDHK2,MATCH($P$7,DiemHKII!$B$4:$B$58,0),INDEX($P$11:$Y$25,MATCH($B12,$P$11:$P$25,0),T$10))&lt;&gt;"",INDEX(BDHK2,MATCH($P$7,DiemHKII!$B$4:$B$58,0),INDEX($P$11:$Y$25,MATCH($B12,$P$11:$P$25,0),T$10)),""),""),"")</f>
        <v/>
      </c>
      <c r="G12" s="725" t="str">
        <f>IFERROR(IF($P$7&lt;&gt;"",IF(INDEX(BDHK2,MATCH($P$7,DiemHKII!$B$4:$B$58,0),INDEX($P$11:$Y$25,MATCH($B12,$P$11:$P$25,0),U$10))&lt;&gt;"",INDEX(BDHK2,MATCH($P$7,DiemHKII!$B$4:$B$58,0),INDEX($P$11:$Y$25,MATCH($B12,$P$11:$P$25,0),U$10)),""),""),"")</f>
        <v/>
      </c>
      <c r="H12" s="726" t="str">
        <f>IFERROR(IF($P$7&lt;&gt;"",IF(INDEX(BDHK2,MATCH($P$7,DiemHKII!$B$4:$B$58,0),INDEX($P$11:$Y$25,MATCH($B12,$P$11:$P$25,0),V$10))&lt;&gt;"",INDEX(BDHK2,MATCH($P$7,DiemHKII!$B$4:$B$58,0),INDEX($P$11:$Y$25,MATCH($B12,$P$11:$P$25,0),V$10)),""),""),"")</f>
        <v/>
      </c>
      <c r="I12" s="727" t="str">
        <f>IFERROR(IF($P$7&lt;&gt;"",IF(INDEX(BDHK2,MATCH($P$7,DiemHKII!$B$4:$B$58,0),INDEX($P$11:$Y$25,MATCH($B12,$P$11:$P$25,0),W$10))&lt;&gt;"",INDEX(BDHK2,MATCH($P$7,DiemHKII!$B$4:$B$58,0),INDEX($P$11:$Y$25,MATCH($B12,$P$11:$P$25,0),W$10)),""),""),"")</f>
        <v/>
      </c>
      <c r="J12" s="726" t="str">
        <f>IFERROR(IF($P$7&lt;&gt;"",IF(INDEX(BDHK2,MATCH($P$7,DiemHKII!$B$4:$B$58,0),INDEX($P$11:$Y$25,MATCH($B12,$P$11:$P$25,0),X$10))&lt;&gt;"",INDEX(BDHK2,MATCH($P$7,DiemHKII!$B$4:$B$58,0),INDEX($P$11:$Y$25,MATCH($B12,$P$11:$P$25,0),X$10)),""),""),"")</f>
        <v/>
      </c>
      <c r="K12" s="728" t="str">
        <f>IFERROR(IF($P$7&lt;&gt;"",IF(INDEX(BDHK2,MATCH($P$7,DiemHKII!$B$4:$B$58,0),INDEX($P$11:$Y$25,MATCH($B12,$P$11:$P$25,0),Y$10))&lt;&gt;"",INDEX(BDHK2,MATCH($P$7,DiemHKII!$B$4:$B$58,0),INDEX($P$11:$Y$25,MATCH($B12,$P$11:$P$25,0),Y$10)),""),""),"")</f>
        <v/>
      </c>
      <c r="L12" s="729">
        <f t="shared" ref="L12:L21" si="1">COUNT(C12:K12)</f>
        <v>0</v>
      </c>
      <c r="M12" s="730"/>
      <c r="P12" s="478" t="s">
        <v>27</v>
      </c>
      <c r="Q12" s="478">
        <v>20</v>
      </c>
      <c r="R12" s="478">
        <v>21</v>
      </c>
      <c r="S12" s="478">
        <v>22</v>
      </c>
      <c r="T12" s="478">
        <v>23</v>
      </c>
      <c r="U12" s="478">
        <v>24</v>
      </c>
      <c r="V12" s="478">
        <v>25</v>
      </c>
      <c r="W12" s="478">
        <v>26</v>
      </c>
      <c r="X12" s="478">
        <v>27</v>
      </c>
      <c r="Y12" s="478">
        <v>28</v>
      </c>
      <c r="AB12" s="490">
        <f>DiemHKII!B6</f>
        <v>3</v>
      </c>
      <c r="AC12" s="490" t="str">
        <f>DiemHKII!E6&amp;" "&amp;DiemHKII!F6</f>
        <v>Lê Tuấn Anh</v>
      </c>
      <c r="AD12" s="478" t="str">
        <f t="shared" si="0"/>
        <v>STT 3. Lê Tuấn Anh</v>
      </c>
    </row>
    <row r="13" spans="1:31" ht="20.25" customHeight="1">
      <c r="A13" s="359">
        <v>3</v>
      </c>
      <c r="B13" s="390" t="s">
        <v>28</v>
      </c>
      <c r="C13" s="722" t="str">
        <f>IFERROR(IF($P$7&lt;&gt;"",IF(INDEX(BDHK2,MATCH($P$7,DiemHKII!$B$4:$B$58,0),INDEX($P$11:$Y$25,MATCH($B13,$P$11:$P$25,0),Q$10))&lt;&gt;"",INDEX(BDHK2,MATCH($P$7,DiemHKII!$B$4:$B$58,0),INDEX($P$11:$Y$25,MATCH($B13,$P$11:$P$25,0),Q$10)),""),""),"")</f>
        <v/>
      </c>
      <c r="D13" s="723" t="str">
        <f>IFERROR(IF($P$7&lt;&gt;"",IF(INDEX(BDHK2,MATCH($P$7,DiemHKII!$B$4:$B$58,0),INDEX($P$11:$Y$25,MATCH($B13,$P$11:$P$25,0),R$10))&lt;&gt;"",INDEX(BDHK2,MATCH($P$7,DiemHKII!$B$4:$B$58,0),INDEX($P$11:$Y$25,MATCH($B13,$P$11:$P$25,0),R$10)),""),""),"")</f>
        <v/>
      </c>
      <c r="E13" s="723" t="str">
        <f>IFERROR(IF($P$7&lt;&gt;"",IF(INDEX(BDHK2,MATCH($P$7,DiemHKII!$B$4:$B$58,0),INDEX($P$11:$Y$25,MATCH($B13,$P$11:$P$25,0),S$10))&lt;&gt;"",INDEX(BDHK2,MATCH($P$7,DiemHKII!$B$4:$B$58,0),INDEX($P$11:$Y$25,MATCH($B13,$P$11:$P$25,0),S$10)),""),""),"")</f>
        <v/>
      </c>
      <c r="F13" s="724" t="str">
        <f>IFERROR(IF($P$7&lt;&gt;"",IF(INDEX(BDHK2,MATCH($P$7,DiemHKII!$B$4:$B$58,0),INDEX($P$11:$Y$25,MATCH($B13,$P$11:$P$25,0),T$10))&lt;&gt;"",INDEX(BDHK2,MATCH($P$7,DiemHKII!$B$4:$B$58,0),INDEX($P$11:$Y$25,MATCH($B13,$P$11:$P$25,0),T$10)),""),""),"")</f>
        <v/>
      </c>
      <c r="G13" s="725" t="str">
        <f>IFERROR(IF($P$7&lt;&gt;"",IF(INDEX(BDHK2,MATCH($P$7,DiemHKII!$B$4:$B$58,0),INDEX($P$11:$Y$25,MATCH($B13,$P$11:$P$25,0),U$10))&lt;&gt;"",INDEX(BDHK2,MATCH($P$7,DiemHKII!$B$4:$B$58,0),INDEX($P$11:$Y$25,MATCH($B13,$P$11:$P$25,0),U$10)),""),""),"")</f>
        <v/>
      </c>
      <c r="H13" s="726" t="str">
        <f>IFERROR(IF($P$7&lt;&gt;"",IF(INDEX(BDHK2,MATCH($P$7,DiemHKII!$B$4:$B$58,0),INDEX($P$11:$Y$25,MATCH($B13,$P$11:$P$25,0),V$10))&lt;&gt;"",INDEX(BDHK2,MATCH($P$7,DiemHKII!$B$4:$B$58,0),INDEX($P$11:$Y$25,MATCH($B13,$P$11:$P$25,0),V$10)),""),""),"")</f>
        <v/>
      </c>
      <c r="I13" s="727" t="str">
        <f>IFERROR(IF($P$7&lt;&gt;"",IF(INDEX(BDHK2,MATCH($P$7,DiemHKII!$B$4:$B$58,0),INDEX($P$11:$Y$25,MATCH($B13,$P$11:$P$25,0),W$10))&lt;&gt;"",INDEX(BDHK2,MATCH($P$7,DiemHKII!$B$4:$B$58,0),INDEX($P$11:$Y$25,MATCH($B13,$P$11:$P$25,0),W$10)),""),""),"")</f>
        <v/>
      </c>
      <c r="J13" s="726" t="str">
        <f>IFERROR(IF($P$7&lt;&gt;"",IF(INDEX(BDHK2,MATCH($P$7,DiemHKII!$B$4:$B$58,0),INDEX($P$11:$Y$25,MATCH($B13,$P$11:$P$25,0),X$10))&lt;&gt;"",INDEX(BDHK2,MATCH($P$7,DiemHKII!$B$4:$B$58,0),INDEX($P$11:$Y$25,MATCH($B13,$P$11:$P$25,0),X$10)),""),""),"")</f>
        <v/>
      </c>
      <c r="K13" s="728" t="str">
        <f>IFERROR(IF($P$7&lt;&gt;"",IF(INDEX(BDHK2,MATCH($P$7,DiemHKII!$B$4:$B$58,0),INDEX($P$11:$Y$25,MATCH($B13,$P$11:$P$25,0),Y$10))&lt;&gt;"",INDEX(BDHK2,MATCH($P$7,DiemHKII!$B$4:$B$58,0),INDEX($P$11:$Y$25,MATCH($B13,$P$11:$P$25,0),Y$10)),""),""),"")</f>
        <v/>
      </c>
      <c r="L13" s="729">
        <f t="shared" si="1"/>
        <v>0</v>
      </c>
      <c r="M13" s="730"/>
      <c r="O13" s="491" t="s">
        <v>101</v>
      </c>
      <c r="P13" s="478" t="s">
        <v>28</v>
      </c>
      <c r="Q13" s="478">
        <v>29</v>
      </c>
      <c r="R13" s="478">
        <v>30</v>
      </c>
      <c r="S13" s="478">
        <v>31</v>
      </c>
      <c r="T13" s="478">
        <v>32</v>
      </c>
      <c r="U13" s="478">
        <v>33</v>
      </c>
      <c r="V13" s="478">
        <v>34</v>
      </c>
      <c r="W13" s="478">
        <v>35</v>
      </c>
      <c r="X13" s="478">
        <v>36</v>
      </c>
      <c r="Y13" s="478">
        <v>37</v>
      </c>
      <c r="AB13" s="490">
        <f>DiemHKII!B7</f>
        <v>4</v>
      </c>
      <c r="AC13" s="490" t="str">
        <f>DiemHKII!E7&amp;" "&amp;DiemHKII!F7</f>
        <v>Nguyễn Quách Mai Anh</v>
      </c>
      <c r="AD13" s="478" t="str">
        <f t="shared" si="0"/>
        <v>STT 4. Nguyễn Quách Mai Anh</v>
      </c>
    </row>
    <row r="14" spans="1:31" ht="20.25" customHeight="1">
      <c r="A14" s="359">
        <v>4</v>
      </c>
      <c r="B14" s="390" t="s">
        <v>29</v>
      </c>
      <c r="C14" s="722" t="str">
        <f>IFERROR(IF($P$7&lt;&gt;"",IF(INDEX(BDHK2,MATCH($P$7,DiemHKII!$B$4:$B$58,0),INDEX($P$11:$Y$25,MATCH($B14,$P$11:$P$25,0),Q$10))&lt;&gt;"",INDEX(BDHK2,MATCH($P$7,DiemHKII!$B$4:$B$58,0),INDEX($P$11:$Y$25,MATCH($B14,$P$11:$P$25,0),Q$10)),""),""),"")</f>
        <v/>
      </c>
      <c r="D14" s="723" t="str">
        <f>IFERROR(IF($P$7&lt;&gt;"",IF(INDEX(BDHK2,MATCH($P$7,DiemHKII!$B$4:$B$58,0),INDEX($P$11:$Y$25,MATCH($B14,$P$11:$P$25,0),R$10))&lt;&gt;"",INDEX(BDHK2,MATCH($P$7,DiemHKII!$B$4:$B$58,0),INDEX($P$11:$Y$25,MATCH($B14,$P$11:$P$25,0),R$10)),""),""),"")</f>
        <v/>
      </c>
      <c r="E14" s="723" t="str">
        <f>IFERROR(IF($P$7&lt;&gt;"",IF(INDEX(BDHK2,MATCH($P$7,DiemHKII!$B$4:$B$58,0),INDEX($P$11:$Y$25,MATCH($B14,$P$11:$P$25,0),S$10))&lt;&gt;"",INDEX(BDHK2,MATCH($P$7,DiemHKII!$B$4:$B$58,0),INDEX($P$11:$Y$25,MATCH($B14,$P$11:$P$25,0),S$10)),""),""),"")</f>
        <v/>
      </c>
      <c r="F14" s="724" t="str">
        <f>IFERROR(IF($P$7&lt;&gt;"",IF(INDEX(BDHK2,MATCH($P$7,DiemHKII!$B$4:$B$58,0),INDEX($P$11:$Y$25,MATCH($B14,$P$11:$P$25,0),T$10))&lt;&gt;"",INDEX(BDHK2,MATCH($P$7,DiemHKII!$B$4:$B$58,0),INDEX($P$11:$Y$25,MATCH($B14,$P$11:$P$25,0),T$10)),""),""),"")</f>
        <v/>
      </c>
      <c r="G14" s="725" t="str">
        <f>IFERROR(IF($P$7&lt;&gt;"",IF(INDEX(BDHK2,MATCH($P$7,DiemHKII!$B$4:$B$58,0),INDEX($P$11:$Y$25,MATCH($B14,$P$11:$P$25,0),U$10))&lt;&gt;"",INDEX(BDHK2,MATCH($P$7,DiemHKII!$B$4:$B$58,0),INDEX($P$11:$Y$25,MATCH($B14,$P$11:$P$25,0),U$10)),""),""),"")</f>
        <v/>
      </c>
      <c r="H14" s="726" t="str">
        <f>IFERROR(IF($P$7&lt;&gt;"",IF(INDEX(BDHK2,MATCH($P$7,DiemHKII!$B$4:$B$58,0),INDEX($P$11:$Y$25,MATCH($B14,$P$11:$P$25,0),V$10))&lt;&gt;"",INDEX(BDHK2,MATCH($P$7,DiemHKII!$B$4:$B$58,0),INDEX($P$11:$Y$25,MATCH($B14,$P$11:$P$25,0),V$10)),""),""),"")</f>
        <v/>
      </c>
      <c r="I14" s="727" t="str">
        <f>IFERROR(IF($P$7&lt;&gt;"",IF(INDEX(BDHK2,MATCH($P$7,DiemHKII!$B$4:$B$58,0),INDEX($P$11:$Y$25,MATCH($B14,$P$11:$P$25,0),W$10))&lt;&gt;"",INDEX(BDHK2,MATCH($P$7,DiemHKII!$B$4:$B$58,0),INDEX($P$11:$Y$25,MATCH($B14,$P$11:$P$25,0),W$10)),""),""),"")</f>
        <v/>
      </c>
      <c r="J14" s="726" t="str">
        <f>IFERROR(IF($P$7&lt;&gt;"",IF(INDEX(BDHK2,MATCH($P$7,DiemHKII!$B$4:$B$58,0),INDEX($P$11:$Y$25,MATCH($B14,$P$11:$P$25,0),X$10))&lt;&gt;"",INDEX(BDHK2,MATCH($P$7,DiemHKII!$B$4:$B$58,0),INDEX($P$11:$Y$25,MATCH($B14,$P$11:$P$25,0),X$10)),""),""),"")</f>
        <v/>
      </c>
      <c r="K14" s="728" t="str">
        <f>IFERROR(IF($P$7&lt;&gt;"",IF(INDEX(BDHK2,MATCH($P$7,DiemHKII!$B$4:$B$58,0),INDEX($P$11:$Y$25,MATCH($B14,$P$11:$P$25,0),Y$10))&lt;&gt;"",INDEX(BDHK2,MATCH($P$7,DiemHKII!$B$4:$B$58,0),INDEX($P$11:$Y$25,MATCH($B14,$P$11:$P$25,0),Y$10)),""),""),"")</f>
        <v/>
      </c>
      <c r="L14" s="729">
        <f t="shared" si="1"/>
        <v>0</v>
      </c>
      <c r="M14" s="730"/>
      <c r="O14" s="492" t="s">
        <v>102</v>
      </c>
      <c r="P14" s="478" t="s">
        <v>29</v>
      </c>
      <c r="Q14" s="478">
        <v>38</v>
      </c>
      <c r="R14" s="478">
        <v>39</v>
      </c>
      <c r="S14" s="478">
        <v>40</v>
      </c>
      <c r="T14" s="478">
        <v>41</v>
      </c>
      <c r="U14" s="478">
        <v>42</v>
      </c>
      <c r="V14" s="478">
        <v>43</v>
      </c>
      <c r="W14" s="478">
        <v>44</v>
      </c>
      <c r="X14" s="478">
        <v>45</v>
      </c>
      <c r="Y14" s="478">
        <v>46</v>
      </c>
      <c r="AB14" s="490">
        <f>DiemHKII!B8</f>
        <v>5</v>
      </c>
      <c r="AC14" s="490" t="str">
        <f>DiemHKII!E8&amp;" "&amp;DiemHKII!F8</f>
        <v>Vũ Song Anh</v>
      </c>
      <c r="AD14" s="478" t="str">
        <f t="shared" si="0"/>
        <v>STT 5. Vũ Song Anh</v>
      </c>
    </row>
    <row r="15" spans="1:31" ht="20.25" customHeight="1">
      <c r="A15" s="359">
        <v>5</v>
      </c>
      <c r="B15" s="390" t="s">
        <v>120</v>
      </c>
      <c r="C15" s="722" t="str">
        <f>IFERROR(IF($P$7&lt;&gt;"",IF(INDEX(BDHK2,MATCH($P$7,DiemHKII!$B$4:$B$58,0),INDEX($P$11:$Y$25,MATCH($B15,$P$11:$P$25,0),Q$10))&lt;&gt;"",INDEX(BDHK2,MATCH($P$7,DiemHKII!$B$4:$B$58,0),INDEX($P$11:$Y$25,MATCH($B15,$P$11:$P$25,0),Q$10)),""),""),"")</f>
        <v/>
      </c>
      <c r="D15" s="723" t="str">
        <f>IFERROR(IF($P$7&lt;&gt;"",IF(INDEX(BDHK2,MATCH($P$7,DiemHKII!$B$4:$B$58,0),INDEX($P$11:$Y$25,MATCH($B15,$P$11:$P$25,0),R$10))&lt;&gt;"",INDEX(BDHK2,MATCH($P$7,DiemHKII!$B$4:$B$58,0),INDEX($P$11:$Y$25,MATCH($B15,$P$11:$P$25,0),R$10)),""),""),"")</f>
        <v/>
      </c>
      <c r="E15" s="723" t="str">
        <f>IFERROR(IF($P$7&lt;&gt;"",IF(INDEX(BDHK2,MATCH($P$7,DiemHKII!$B$4:$B$58,0),INDEX($P$11:$Y$25,MATCH($B15,$P$11:$P$25,0),S$10))&lt;&gt;"",INDEX(BDHK2,MATCH($P$7,DiemHKII!$B$4:$B$58,0),INDEX($P$11:$Y$25,MATCH($B15,$P$11:$P$25,0),S$10)),""),""),"")</f>
        <v/>
      </c>
      <c r="F15" s="724" t="str">
        <f>IFERROR(IF($P$7&lt;&gt;"",IF(INDEX(BDHK2,MATCH($P$7,DiemHKII!$B$4:$B$58,0),INDEX($P$11:$Y$25,MATCH($B15,$P$11:$P$25,0),T$10))&lt;&gt;"",INDEX(BDHK2,MATCH($P$7,DiemHKII!$B$4:$B$58,0),INDEX($P$11:$Y$25,MATCH($B15,$P$11:$P$25,0),T$10)),""),""),"")</f>
        <v/>
      </c>
      <c r="G15" s="725" t="str">
        <f>IFERROR(IF($P$7&lt;&gt;"",IF(INDEX(BDHK2,MATCH($P$7,DiemHKII!$B$4:$B$58,0),INDEX($P$11:$Y$25,MATCH($B15,$P$11:$P$25,0),U$10))&lt;&gt;"",INDEX(BDHK2,MATCH($P$7,DiemHKII!$B$4:$B$58,0),INDEX($P$11:$Y$25,MATCH($B15,$P$11:$P$25,0),U$10)),""),""),"")</f>
        <v/>
      </c>
      <c r="H15" s="726" t="str">
        <f>IFERROR(IF($P$7&lt;&gt;"",IF(INDEX(BDHK2,MATCH($P$7,DiemHKII!$B$4:$B$58,0),INDEX($P$11:$Y$25,MATCH($B15,$P$11:$P$25,0),V$10))&lt;&gt;"",INDEX(BDHK2,MATCH($P$7,DiemHKII!$B$4:$B$58,0),INDEX($P$11:$Y$25,MATCH($B15,$P$11:$P$25,0),V$10)),""),""),"")</f>
        <v/>
      </c>
      <c r="I15" s="727" t="str">
        <f>IFERROR(IF($P$7&lt;&gt;"",IF(INDEX(BDHK2,MATCH($P$7,DiemHKII!$B$4:$B$58,0),INDEX($P$11:$Y$25,MATCH($B15,$P$11:$P$25,0),W$10))&lt;&gt;"",INDEX(BDHK2,MATCH($P$7,DiemHKII!$B$4:$B$58,0),INDEX($P$11:$Y$25,MATCH($B15,$P$11:$P$25,0),W$10)),""),""),"")</f>
        <v/>
      </c>
      <c r="J15" s="726" t="str">
        <f>IFERROR(IF($P$7&lt;&gt;"",IF(INDEX(BDHK2,MATCH($P$7,DiemHKII!$B$4:$B$58,0),INDEX($P$11:$Y$25,MATCH($B15,$P$11:$P$25,0),X$10))&lt;&gt;"",INDEX(BDHK2,MATCH($P$7,DiemHKII!$B$4:$B$58,0),INDEX($P$11:$Y$25,MATCH($B15,$P$11:$P$25,0),X$10)),""),""),"")</f>
        <v/>
      </c>
      <c r="K15" s="728" t="str">
        <f>IFERROR(IF($P$7&lt;&gt;"",IF(INDEX(BDHK2,MATCH($P$7,DiemHKII!$B$4:$B$58,0),INDEX($P$11:$Y$25,MATCH($B15,$P$11:$P$25,0),Y$10))&lt;&gt;"",INDEX(BDHK2,MATCH($P$7,DiemHKII!$B$4:$B$58,0),INDEX($P$11:$Y$25,MATCH($B15,$P$11:$P$25,0),Y$10)),""),""),"")</f>
        <v/>
      </c>
      <c r="L15" s="729">
        <f t="shared" si="1"/>
        <v>0</v>
      </c>
      <c r="M15" s="730"/>
      <c r="O15" s="493" t="s">
        <v>103</v>
      </c>
      <c r="P15" s="478" t="s">
        <v>120</v>
      </c>
      <c r="Q15" s="478">
        <v>47</v>
      </c>
      <c r="R15" s="478">
        <v>48</v>
      </c>
      <c r="S15" s="478">
        <v>49</v>
      </c>
      <c r="T15" s="478">
        <v>50</v>
      </c>
      <c r="U15" s="478">
        <v>51</v>
      </c>
      <c r="V15" s="478">
        <v>52</v>
      </c>
      <c r="W15" s="478">
        <v>53</v>
      </c>
      <c r="X15" s="478">
        <v>54</v>
      </c>
      <c r="Y15" s="478">
        <v>55</v>
      </c>
      <c r="AB15" s="490">
        <f>DiemHKII!B9</f>
        <v>6</v>
      </c>
      <c r="AC15" s="490" t="str">
        <f>DiemHKII!E9&amp;" "&amp;DiemHKII!F9</f>
        <v>Phan Gia Bảo</v>
      </c>
      <c r="AD15" s="478" t="str">
        <f t="shared" si="0"/>
        <v>STT 6. Phan Gia Bảo</v>
      </c>
    </row>
    <row r="16" spans="1:31" ht="20.25" customHeight="1">
      <c r="A16" s="359">
        <v>6</v>
      </c>
      <c r="B16" s="390" t="s">
        <v>30</v>
      </c>
      <c r="C16" s="722" t="str">
        <f>IFERROR(IF($P$7&lt;&gt;"",IF(INDEX(BDHK2,MATCH($P$7,DiemHKII!$B$4:$B$58,0),INDEX($P$11:$Y$25,MATCH($B16,$P$11:$P$25,0),Q$10))&lt;&gt;"",INDEX(BDHK2,MATCH($P$7,DiemHKII!$B$4:$B$58,0),INDEX($P$11:$Y$25,MATCH($B16,$P$11:$P$25,0),Q$10)),""),""),"")</f>
        <v/>
      </c>
      <c r="D16" s="723" t="str">
        <f>IFERROR(IF($P$7&lt;&gt;"",IF(INDEX(BDHK2,MATCH($P$7,DiemHKII!$B$4:$B$58,0),INDEX($P$11:$Y$25,MATCH($B16,$P$11:$P$25,0),R$10))&lt;&gt;"",INDEX(BDHK2,MATCH($P$7,DiemHKII!$B$4:$B$58,0),INDEX($P$11:$Y$25,MATCH($B16,$P$11:$P$25,0),R$10)),""),""),"")</f>
        <v/>
      </c>
      <c r="E16" s="723" t="str">
        <f>IFERROR(IF($P$7&lt;&gt;"",IF(INDEX(BDHK2,MATCH($P$7,DiemHKII!$B$4:$B$58,0),INDEX($P$11:$Y$25,MATCH($B16,$P$11:$P$25,0),S$10))&lt;&gt;"",INDEX(BDHK2,MATCH($P$7,DiemHKII!$B$4:$B$58,0),INDEX($P$11:$Y$25,MATCH($B16,$P$11:$P$25,0),S$10)),""),""),"")</f>
        <v/>
      </c>
      <c r="F16" s="724" t="str">
        <f>IFERROR(IF($P$7&lt;&gt;"",IF(INDEX(BDHK2,MATCH($P$7,DiemHKII!$B$4:$B$58,0),INDEX($P$11:$Y$25,MATCH($B16,$P$11:$P$25,0),T$10))&lt;&gt;"",INDEX(BDHK2,MATCH($P$7,DiemHKII!$B$4:$B$58,0),INDEX($P$11:$Y$25,MATCH($B16,$P$11:$P$25,0),T$10)),""),""),"")</f>
        <v/>
      </c>
      <c r="G16" s="725" t="str">
        <f>IFERROR(IF($P$7&lt;&gt;"",IF(INDEX(BDHK2,MATCH($P$7,DiemHKII!$B$4:$B$58,0),INDEX($P$11:$Y$25,MATCH($B16,$P$11:$P$25,0),U$10))&lt;&gt;"",INDEX(BDHK2,MATCH($P$7,DiemHKII!$B$4:$B$58,0),INDEX($P$11:$Y$25,MATCH($B16,$P$11:$P$25,0),U$10)),""),""),"")</f>
        <v/>
      </c>
      <c r="H16" s="726" t="str">
        <f>IFERROR(IF($P$7&lt;&gt;"",IF(INDEX(BDHK2,MATCH($P$7,DiemHKII!$B$4:$B$58,0),INDEX($P$11:$Y$25,MATCH($B16,$P$11:$P$25,0),V$10))&lt;&gt;"",INDEX(BDHK2,MATCH($P$7,DiemHKII!$B$4:$B$58,0),INDEX($P$11:$Y$25,MATCH($B16,$P$11:$P$25,0),V$10)),""),""),"")</f>
        <v/>
      </c>
      <c r="I16" s="727" t="str">
        <f>IFERROR(IF($P$7&lt;&gt;"",IF(INDEX(BDHK2,MATCH($P$7,DiemHKII!$B$4:$B$58,0),INDEX($P$11:$Y$25,MATCH($B16,$P$11:$P$25,0),W$10))&lt;&gt;"",INDEX(BDHK2,MATCH($P$7,DiemHKII!$B$4:$B$58,0),INDEX($P$11:$Y$25,MATCH($B16,$P$11:$P$25,0),W$10)),""),""),"")</f>
        <v/>
      </c>
      <c r="J16" s="726" t="str">
        <f>IFERROR(IF($P$7&lt;&gt;"",IF(INDEX(BDHK2,MATCH($P$7,DiemHKII!$B$4:$B$58,0),INDEX($P$11:$Y$25,MATCH($B16,$P$11:$P$25,0),X$10))&lt;&gt;"",INDEX(BDHK2,MATCH($P$7,DiemHKII!$B$4:$B$58,0),INDEX($P$11:$Y$25,MATCH($B16,$P$11:$P$25,0),X$10)),""),""),"")</f>
        <v/>
      </c>
      <c r="K16" s="728" t="str">
        <f>IFERROR(IF($P$7&lt;&gt;"",IF(INDEX(BDHK2,MATCH($P$7,DiemHKII!$B$4:$B$58,0),INDEX($P$11:$Y$25,MATCH($B16,$P$11:$P$25,0),Y$10))&lt;&gt;"",INDEX(BDHK2,MATCH($P$7,DiemHKII!$B$4:$B$58,0),INDEX($P$11:$Y$25,MATCH($B16,$P$11:$P$25,0),Y$10)),""),""),"")</f>
        <v/>
      </c>
      <c r="L16" s="729">
        <f t="shared" si="1"/>
        <v>0</v>
      </c>
      <c r="M16" s="730"/>
      <c r="P16" s="478" t="s">
        <v>30</v>
      </c>
      <c r="Q16" s="478">
        <v>56</v>
      </c>
      <c r="R16" s="478">
        <v>57</v>
      </c>
      <c r="S16" s="478">
        <v>58</v>
      </c>
      <c r="T16" s="478">
        <v>59</v>
      </c>
      <c r="U16" s="478">
        <v>60</v>
      </c>
      <c r="V16" s="478">
        <v>61</v>
      </c>
      <c r="W16" s="478">
        <v>62</v>
      </c>
      <c r="X16" s="478">
        <v>63</v>
      </c>
      <c r="Y16" s="478">
        <v>64</v>
      </c>
      <c r="AB16" s="490">
        <f>DiemHKII!B10</f>
        <v>7</v>
      </c>
      <c r="AC16" s="490" t="str">
        <f>DiemHKII!E10&amp;" "&amp;DiemHKII!F10</f>
        <v>Nguyễn Phúc Bình</v>
      </c>
      <c r="AD16" s="478" t="str">
        <f t="shared" si="0"/>
        <v>STT 7. Nguyễn Phúc Bình</v>
      </c>
    </row>
    <row r="17" spans="1:30" ht="20.25" customHeight="1">
      <c r="A17" s="359">
        <v>7</v>
      </c>
      <c r="B17" s="390" t="s">
        <v>31</v>
      </c>
      <c r="C17" s="722" t="str">
        <f>IFERROR(IF($P$7&lt;&gt;"",IF(INDEX(BDHK2,MATCH($P$7,DiemHKII!$B$4:$B$58,0),INDEX($P$11:$Y$25,MATCH($B17,$P$11:$P$25,0),Q$10))&lt;&gt;"",INDEX(BDHK2,MATCH($P$7,DiemHKII!$B$4:$B$58,0),INDEX($P$11:$Y$25,MATCH($B17,$P$11:$P$25,0),Q$10)),""),""),"")</f>
        <v/>
      </c>
      <c r="D17" s="723" t="str">
        <f>IFERROR(IF($P$7&lt;&gt;"",IF(INDEX(BDHK2,MATCH($P$7,DiemHKII!$B$4:$B$58,0),INDEX($P$11:$Y$25,MATCH($B17,$P$11:$P$25,0),R$10))&lt;&gt;"",INDEX(BDHK2,MATCH($P$7,DiemHKII!$B$4:$B$58,0),INDEX($P$11:$Y$25,MATCH($B17,$P$11:$P$25,0),R$10)),""),""),"")</f>
        <v/>
      </c>
      <c r="E17" s="723" t="str">
        <f>IFERROR(IF($P$7&lt;&gt;"",IF(INDEX(BDHK2,MATCH($P$7,DiemHKII!$B$4:$B$58,0),INDEX($P$11:$Y$25,MATCH($B17,$P$11:$P$25,0),S$10))&lt;&gt;"",INDEX(BDHK2,MATCH($P$7,DiemHKII!$B$4:$B$58,0),INDEX($P$11:$Y$25,MATCH($B17,$P$11:$P$25,0),S$10)),""),""),"")</f>
        <v/>
      </c>
      <c r="F17" s="724" t="str">
        <f>IFERROR(IF($P$7&lt;&gt;"",IF(INDEX(BDHK2,MATCH($P$7,DiemHKII!$B$4:$B$58,0),INDEX($P$11:$Y$25,MATCH($B17,$P$11:$P$25,0),T$10))&lt;&gt;"",INDEX(BDHK2,MATCH($P$7,DiemHKII!$B$4:$B$58,0),INDEX($P$11:$Y$25,MATCH($B17,$P$11:$P$25,0),T$10)),""),""),"")</f>
        <v/>
      </c>
      <c r="G17" s="725" t="str">
        <f>IFERROR(IF($P$7&lt;&gt;"",IF(INDEX(BDHK2,MATCH($P$7,DiemHKII!$B$4:$B$58,0),INDEX($P$11:$Y$25,MATCH($B17,$P$11:$P$25,0),U$10))&lt;&gt;"",INDEX(BDHK2,MATCH($P$7,DiemHKII!$B$4:$B$58,0),INDEX($P$11:$Y$25,MATCH($B17,$P$11:$P$25,0),U$10)),""),""),"")</f>
        <v/>
      </c>
      <c r="H17" s="726" t="str">
        <f>IFERROR(IF($P$7&lt;&gt;"",IF(INDEX(BDHK2,MATCH($P$7,DiemHKII!$B$4:$B$58,0),INDEX($P$11:$Y$25,MATCH($B17,$P$11:$P$25,0),V$10))&lt;&gt;"",INDEX(BDHK2,MATCH($P$7,DiemHKII!$B$4:$B$58,0),INDEX($P$11:$Y$25,MATCH($B17,$P$11:$P$25,0),V$10)),""),""),"")</f>
        <v/>
      </c>
      <c r="I17" s="727" t="str">
        <f>IFERROR(IF($P$7&lt;&gt;"",IF(INDEX(BDHK2,MATCH($P$7,DiemHKII!$B$4:$B$58,0),INDEX($P$11:$Y$25,MATCH($B17,$P$11:$P$25,0),W$10))&lt;&gt;"",INDEX(BDHK2,MATCH($P$7,DiemHKII!$B$4:$B$58,0),INDEX($P$11:$Y$25,MATCH($B17,$P$11:$P$25,0),W$10)),""),""),"")</f>
        <v/>
      </c>
      <c r="J17" s="726" t="str">
        <f>IFERROR(IF($P$7&lt;&gt;"",IF(INDEX(BDHK2,MATCH($P$7,DiemHKII!$B$4:$B$58,0),INDEX($P$11:$Y$25,MATCH($B17,$P$11:$P$25,0),X$10))&lt;&gt;"",INDEX(BDHK2,MATCH($P$7,DiemHKII!$B$4:$B$58,0),INDEX($P$11:$Y$25,MATCH($B17,$P$11:$P$25,0),X$10)),""),""),"")</f>
        <v/>
      </c>
      <c r="K17" s="728" t="str">
        <f>IFERROR(IF($P$7&lt;&gt;"",IF(INDEX(BDHK2,MATCH($P$7,DiemHKII!$B$4:$B$58,0),INDEX($P$11:$Y$25,MATCH($B17,$P$11:$P$25,0),Y$10))&lt;&gt;"",INDEX(BDHK2,MATCH($P$7,DiemHKII!$B$4:$B$58,0),INDEX($P$11:$Y$25,MATCH($B17,$P$11:$P$25,0),Y$10)),""),""),"")</f>
        <v/>
      </c>
      <c r="L17" s="729">
        <f t="shared" si="1"/>
        <v>0</v>
      </c>
      <c r="M17" s="730"/>
      <c r="O17" s="494" t="s">
        <v>173</v>
      </c>
      <c r="P17" s="478" t="s">
        <v>31</v>
      </c>
      <c r="Q17" s="478">
        <v>65</v>
      </c>
      <c r="R17" s="478">
        <v>66</v>
      </c>
      <c r="S17" s="478">
        <v>67</v>
      </c>
      <c r="T17" s="478">
        <v>68</v>
      </c>
      <c r="U17" s="478">
        <v>69</v>
      </c>
      <c r="V17" s="478">
        <v>70</v>
      </c>
      <c r="W17" s="478">
        <v>71</v>
      </c>
      <c r="X17" s="478">
        <v>72</v>
      </c>
      <c r="Y17" s="478">
        <v>73</v>
      </c>
      <c r="AB17" s="490">
        <f>DiemHKII!B11</f>
        <v>8</v>
      </c>
      <c r="AC17" s="490" t="str">
        <f>DiemHKII!E11&amp;" "&amp;DiemHKII!F11</f>
        <v>Trần Lê Cường</v>
      </c>
      <c r="AD17" s="478" t="str">
        <f t="shared" si="0"/>
        <v>STT 8. Trần Lê Cường</v>
      </c>
    </row>
    <row r="18" spans="1:30" ht="20.25" customHeight="1">
      <c r="A18" s="359">
        <v>8</v>
      </c>
      <c r="B18" s="390" t="s">
        <v>32</v>
      </c>
      <c r="C18" s="722" t="str">
        <f>IFERROR(IF($P$7&lt;&gt;"",IF(INDEX(BDHK2,MATCH($P$7,DiemHKII!$B$4:$B$58,0),INDEX($P$11:$Y$25,MATCH($B18,$P$11:$P$25,0),Q$10))&lt;&gt;"",INDEX(BDHK2,MATCH($P$7,DiemHKII!$B$4:$B$58,0),INDEX($P$11:$Y$25,MATCH($B18,$P$11:$P$25,0),Q$10)),""),""),"")</f>
        <v/>
      </c>
      <c r="D18" s="723" t="str">
        <f>IFERROR(IF($P$7&lt;&gt;"",IF(INDEX(BDHK2,MATCH($P$7,DiemHKII!$B$4:$B$58,0),INDEX($P$11:$Y$25,MATCH($B18,$P$11:$P$25,0),R$10))&lt;&gt;"",INDEX(BDHK2,MATCH($P$7,DiemHKII!$B$4:$B$58,0),INDEX($P$11:$Y$25,MATCH($B18,$P$11:$P$25,0),R$10)),""),""),"")</f>
        <v/>
      </c>
      <c r="E18" s="723" t="str">
        <f>IFERROR(IF($P$7&lt;&gt;"",IF(INDEX(BDHK2,MATCH($P$7,DiemHKII!$B$4:$B$58,0),INDEX($P$11:$Y$25,MATCH($B18,$P$11:$P$25,0),S$10))&lt;&gt;"",INDEX(BDHK2,MATCH($P$7,DiemHKII!$B$4:$B$58,0),INDEX($P$11:$Y$25,MATCH($B18,$P$11:$P$25,0),S$10)),""),""),"")</f>
        <v/>
      </c>
      <c r="F18" s="724" t="str">
        <f>IFERROR(IF($P$7&lt;&gt;"",IF(INDEX(BDHK2,MATCH($P$7,DiemHKII!$B$4:$B$58,0),INDEX($P$11:$Y$25,MATCH($B18,$P$11:$P$25,0),T$10))&lt;&gt;"",INDEX(BDHK2,MATCH($P$7,DiemHKII!$B$4:$B$58,0),INDEX($P$11:$Y$25,MATCH($B18,$P$11:$P$25,0),T$10)),""),""),"")</f>
        <v/>
      </c>
      <c r="G18" s="725" t="str">
        <f>IFERROR(IF($P$7&lt;&gt;"",IF(INDEX(BDHK2,MATCH($P$7,DiemHKII!$B$4:$B$58,0),INDEX($P$11:$Y$25,MATCH($B18,$P$11:$P$25,0),U$10))&lt;&gt;"",INDEX(BDHK2,MATCH($P$7,DiemHKII!$B$4:$B$58,0),INDEX($P$11:$Y$25,MATCH($B18,$P$11:$P$25,0),U$10)),""),""),"")</f>
        <v/>
      </c>
      <c r="H18" s="726" t="str">
        <f>IFERROR(IF($P$7&lt;&gt;"",IF(INDEX(BDHK2,MATCH($P$7,DiemHKII!$B$4:$B$58,0),INDEX($P$11:$Y$25,MATCH($B18,$P$11:$P$25,0),V$10))&lt;&gt;"",INDEX(BDHK2,MATCH($P$7,DiemHKII!$B$4:$B$58,0),INDEX($P$11:$Y$25,MATCH($B18,$P$11:$P$25,0),V$10)),""),""),"")</f>
        <v/>
      </c>
      <c r="I18" s="727" t="str">
        <f>IFERROR(IF($P$7&lt;&gt;"",IF(INDEX(BDHK2,MATCH($P$7,DiemHKII!$B$4:$B$58,0),INDEX($P$11:$Y$25,MATCH($B18,$P$11:$P$25,0),W$10))&lt;&gt;"",INDEX(BDHK2,MATCH($P$7,DiemHKII!$B$4:$B$58,0),INDEX($P$11:$Y$25,MATCH($B18,$P$11:$P$25,0),W$10)),""),""),"")</f>
        <v/>
      </c>
      <c r="J18" s="726" t="str">
        <f>IFERROR(IF($P$7&lt;&gt;"",IF(INDEX(BDHK2,MATCH($P$7,DiemHKII!$B$4:$B$58,0),INDEX($P$11:$Y$25,MATCH($B18,$P$11:$P$25,0),X$10))&lt;&gt;"",INDEX(BDHK2,MATCH($P$7,DiemHKII!$B$4:$B$58,0),INDEX($P$11:$Y$25,MATCH($B18,$P$11:$P$25,0),X$10)),""),""),"")</f>
        <v/>
      </c>
      <c r="K18" s="728" t="str">
        <f>IFERROR(IF($P$7&lt;&gt;"",IF(INDEX(BDHK2,MATCH($P$7,DiemHKII!$B$4:$B$58,0),INDEX($P$11:$Y$25,MATCH($B18,$P$11:$P$25,0),Y$10))&lt;&gt;"",INDEX(BDHK2,MATCH($P$7,DiemHKII!$B$4:$B$58,0),INDEX($P$11:$Y$25,MATCH($B18,$P$11:$P$25,0),Y$10)),""),""),"")</f>
        <v/>
      </c>
      <c r="L18" s="729">
        <f t="shared" si="1"/>
        <v>0</v>
      </c>
      <c r="M18" s="730"/>
      <c r="O18" s="495" t="s">
        <v>174</v>
      </c>
      <c r="P18" s="478" t="s">
        <v>32</v>
      </c>
      <c r="Q18" s="478">
        <v>74</v>
      </c>
      <c r="R18" s="478">
        <v>75</v>
      </c>
      <c r="S18" s="478">
        <v>76</v>
      </c>
      <c r="T18" s="478">
        <v>77</v>
      </c>
      <c r="U18" s="478">
        <v>78</v>
      </c>
      <c r="V18" s="478">
        <v>79</v>
      </c>
      <c r="W18" s="478">
        <v>80</v>
      </c>
      <c r="X18" s="478">
        <v>81</v>
      </c>
      <c r="Y18" s="478">
        <v>82</v>
      </c>
      <c r="AB18" s="490">
        <f>DiemHKII!B12</f>
        <v>9</v>
      </c>
      <c r="AC18" s="490" t="str">
        <f>DiemHKII!E12&amp;" "&amp;DiemHKII!F12</f>
        <v>Nguyễn Thanh Duyên</v>
      </c>
      <c r="AD18" s="478" t="str">
        <f t="shared" si="0"/>
        <v>STT 9. Nguyễn Thanh Duyên</v>
      </c>
    </row>
    <row r="19" spans="1:30" ht="20.25" customHeight="1">
      <c r="A19" s="359">
        <v>9</v>
      </c>
      <c r="B19" s="390" t="s">
        <v>33</v>
      </c>
      <c r="C19" s="722" t="str">
        <f>IFERROR(IF($P$7&lt;&gt;"",IF(INDEX(BDHK2,MATCH($P$7,DiemHKII!$B$4:$B$58,0),INDEX($P$11:$Y$25,MATCH($B19,$P$11:$P$25,0),Q$10))&lt;&gt;"",INDEX(BDHK2,MATCH($P$7,DiemHKII!$B$4:$B$58,0),INDEX($P$11:$Y$25,MATCH($B19,$P$11:$P$25,0),Q$10)),""),""),"")</f>
        <v/>
      </c>
      <c r="D19" s="723" t="str">
        <f>IFERROR(IF($P$7&lt;&gt;"",IF(INDEX(BDHK2,MATCH($P$7,DiemHKII!$B$4:$B$58,0),INDEX($P$11:$Y$25,MATCH($B19,$P$11:$P$25,0),R$10))&lt;&gt;"",INDEX(BDHK2,MATCH($P$7,DiemHKII!$B$4:$B$58,0),INDEX($P$11:$Y$25,MATCH($B19,$P$11:$P$25,0),R$10)),""),""),"")</f>
        <v/>
      </c>
      <c r="E19" s="723" t="str">
        <f>IFERROR(IF($P$7&lt;&gt;"",IF(INDEX(BDHK2,MATCH($P$7,DiemHKII!$B$4:$B$58,0),INDEX($P$11:$Y$25,MATCH($B19,$P$11:$P$25,0),S$10))&lt;&gt;"",INDEX(BDHK2,MATCH($P$7,DiemHKII!$B$4:$B$58,0),INDEX($P$11:$Y$25,MATCH($B19,$P$11:$P$25,0),S$10)),""),""),"")</f>
        <v/>
      </c>
      <c r="F19" s="724" t="str">
        <f>IFERROR(IF($P$7&lt;&gt;"",IF(INDEX(BDHK2,MATCH($P$7,DiemHKII!$B$4:$B$58,0),INDEX($P$11:$Y$25,MATCH($B19,$P$11:$P$25,0),T$10))&lt;&gt;"",INDEX(BDHK2,MATCH($P$7,DiemHKII!$B$4:$B$58,0),INDEX($P$11:$Y$25,MATCH($B19,$P$11:$P$25,0),T$10)),""),""),"")</f>
        <v/>
      </c>
      <c r="G19" s="725" t="str">
        <f>IFERROR(IF($P$7&lt;&gt;"",IF(INDEX(BDHK2,MATCH($P$7,DiemHKII!$B$4:$B$58,0),INDEX($P$11:$Y$25,MATCH($B19,$P$11:$P$25,0),U$10))&lt;&gt;"",INDEX(BDHK2,MATCH($P$7,DiemHKII!$B$4:$B$58,0),INDEX($P$11:$Y$25,MATCH($B19,$P$11:$P$25,0),U$10)),""),""),"")</f>
        <v/>
      </c>
      <c r="H19" s="726" t="str">
        <f>IFERROR(IF($P$7&lt;&gt;"",IF(INDEX(BDHK2,MATCH($P$7,DiemHKII!$B$4:$B$58,0),INDEX($P$11:$Y$25,MATCH($B19,$P$11:$P$25,0),V$10))&lt;&gt;"",INDEX(BDHK2,MATCH($P$7,DiemHKII!$B$4:$B$58,0),INDEX($P$11:$Y$25,MATCH($B19,$P$11:$P$25,0),V$10)),""),""),"")</f>
        <v/>
      </c>
      <c r="I19" s="727" t="str">
        <f>IFERROR(IF($P$7&lt;&gt;"",IF(INDEX(BDHK2,MATCH($P$7,DiemHKII!$B$4:$B$58,0),INDEX($P$11:$Y$25,MATCH($B19,$P$11:$P$25,0),W$10))&lt;&gt;"",INDEX(BDHK2,MATCH($P$7,DiemHKII!$B$4:$B$58,0),INDEX($P$11:$Y$25,MATCH($B19,$P$11:$P$25,0),W$10)),""),""),"")</f>
        <v/>
      </c>
      <c r="J19" s="726" t="str">
        <f>IFERROR(IF($P$7&lt;&gt;"",IF(INDEX(BDHK2,MATCH($P$7,DiemHKII!$B$4:$B$58,0),INDEX($P$11:$Y$25,MATCH($B19,$P$11:$P$25,0),X$10))&lt;&gt;"",INDEX(BDHK2,MATCH($P$7,DiemHKII!$B$4:$B$58,0),INDEX($P$11:$Y$25,MATCH($B19,$P$11:$P$25,0),X$10)),""),""),"")</f>
        <v/>
      </c>
      <c r="K19" s="728" t="str">
        <f>IFERROR(IF($P$7&lt;&gt;"",IF(INDEX(BDHK2,MATCH($P$7,DiemHKII!$B$4:$B$58,0),INDEX($P$11:$Y$25,MATCH($B19,$P$11:$P$25,0),Y$10))&lt;&gt;"",INDEX(BDHK2,MATCH($P$7,DiemHKII!$B$4:$B$58,0),INDEX($P$11:$Y$25,MATCH($B19,$P$11:$P$25,0),Y$10)),""),""),"")</f>
        <v/>
      </c>
      <c r="L19" s="729">
        <f t="shared" si="1"/>
        <v>0</v>
      </c>
      <c r="M19" s="730"/>
      <c r="O19" s="333"/>
      <c r="P19" s="478" t="s">
        <v>33</v>
      </c>
      <c r="Q19" s="478">
        <v>83</v>
      </c>
      <c r="R19" s="478">
        <v>84</v>
      </c>
      <c r="S19" s="478">
        <v>85</v>
      </c>
      <c r="T19" s="478">
        <v>86</v>
      </c>
      <c r="U19" s="478">
        <v>87</v>
      </c>
      <c r="V19" s="478">
        <v>88</v>
      </c>
      <c r="W19" s="478">
        <v>89</v>
      </c>
      <c r="X19" s="478">
        <v>90</v>
      </c>
      <c r="Y19" s="478">
        <v>91</v>
      </c>
      <c r="AB19" s="490">
        <f>DiemHKII!B13</f>
        <v>10</v>
      </c>
      <c r="AC19" s="490" t="str">
        <f>DiemHKII!E13&amp;" "&amp;DiemHKII!F13</f>
        <v>Trương Đắc Điền</v>
      </c>
      <c r="AD19" s="478" t="str">
        <f t="shared" si="0"/>
        <v>STT 10. Trương Đắc Điền</v>
      </c>
    </row>
    <row r="20" spans="1:30" ht="20.25" customHeight="1">
      <c r="A20" s="359">
        <v>10</v>
      </c>
      <c r="B20" s="390" t="s">
        <v>60</v>
      </c>
      <c r="C20" s="722" t="str">
        <f>IFERROR(IF($P$7&lt;&gt;"",IF(INDEX(BDHK2,MATCH($P$7,DiemHKII!$B$4:$B$58,0),INDEX($P$11:$Y$25,MATCH($B20,$P$11:$P$25,0),Q$10))&lt;&gt;"",INDEX(BDHK2,MATCH($P$7,DiemHKII!$B$4:$B$58,0),INDEX($P$11:$Y$25,MATCH($B20,$P$11:$P$25,0),Q$10)),""),""),"")</f>
        <v/>
      </c>
      <c r="D20" s="723" t="str">
        <f>IFERROR(IF($P$7&lt;&gt;"",IF(INDEX(BDHK2,MATCH($P$7,DiemHKII!$B$4:$B$58,0),INDEX($P$11:$Y$25,MATCH($B20,$P$11:$P$25,0),R$10))&lt;&gt;"",INDEX(BDHK2,MATCH($P$7,DiemHKII!$B$4:$B$58,0),INDEX($P$11:$Y$25,MATCH($B20,$P$11:$P$25,0),R$10)),""),""),"")</f>
        <v/>
      </c>
      <c r="E20" s="723" t="str">
        <f>IFERROR(IF($P$7&lt;&gt;"",IF(INDEX(BDHK2,MATCH($P$7,DiemHKII!$B$4:$B$58,0),INDEX($P$11:$Y$25,MATCH($B20,$P$11:$P$25,0),S$10))&lt;&gt;"",INDEX(BDHK2,MATCH($P$7,DiemHKII!$B$4:$B$58,0),INDEX($P$11:$Y$25,MATCH($B20,$P$11:$P$25,0),S$10)),""),""),"")</f>
        <v/>
      </c>
      <c r="F20" s="724" t="str">
        <f>IFERROR(IF($P$7&lt;&gt;"",IF(INDEX(BDHK2,MATCH($P$7,DiemHKII!$B$4:$B$58,0),INDEX($P$11:$Y$25,MATCH($B20,$P$11:$P$25,0),T$10))&lt;&gt;"",INDEX(BDHK2,MATCH($P$7,DiemHKII!$B$4:$B$58,0),INDEX($P$11:$Y$25,MATCH($B20,$P$11:$P$25,0),T$10)),""),""),"")</f>
        <v/>
      </c>
      <c r="G20" s="725" t="str">
        <f>IFERROR(IF($P$7&lt;&gt;"",IF(INDEX(BDHK2,MATCH($P$7,DiemHKII!$B$4:$B$58,0),INDEX($P$11:$Y$25,MATCH($B20,$P$11:$P$25,0),U$10))&lt;&gt;"",INDEX(BDHK2,MATCH($P$7,DiemHKII!$B$4:$B$58,0),INDEX($P$11:$Y$25,MATCH($B20,$P$11:$P$25,0),U$10)),""),""),"")</f>
        <v/>
      </c>
      <c r="H20" s="726" t="str">
        <f>IFERROR(IF($P$7&lt;&gt;"",IF(INDEX(BDHK2,MATCH($P$7,DiemHKII!$B$4:$B$58,0),INDEX($P$11:$Y$25,MATCH($B20,$P$11:$P$25,0),V$10))&lt;&gt;"",INDEX(BDHK2,MATCH($P$7,DiemHKII!$B$4:$B$58,0),INDEX($P$11:$Y$25,MATCH($B20,$P$11:$P$25,0),V$10)),""),""),"")</f>
        <v/>
      </c>
      <c r="I20" s="727" t="str">
        <f>IFERROR(IF($P$7&lt;&gt;"",IF(INDEX(BDHK2,MATCH($P$7,DiemHKII!$B$4:$B$58,0),INDEX($P$11:$Y$25,MATCH($B20,$P$11:$P$25,0),W$10))&lt;&gt;"",INDEX(BDHK2,MATCH($P$7,DiemHKII!$B$4:$B$58,0),INDEX($P$11:$Y$25,MATCH($B20,$P$11:$P$25,0),W$10)),""),""),"")</f>
        <v/>
      </c>
      <c r="J20" s="726" t="str">
        <f>IFERROR(IF($P$7&lt;&gt;"",IF(INDEX(BDHK2,MATCH($P$7,DiemHKII!$B$4:$B$58,0),INDEX($P$11:$Y$25,MATCH($B20,$P$11:$P$25,0),X$10))&lt;&gt;"",INDEX(BDHK2,MATCH($P$7,DiemHKII!$B$4:$B$58,0),INDEX($P$11:$Y$25,MATCH($B20,$P$11:$P$25,0),X$10)),""),""),"")</f>
        <v/>
      </c>
      <c r="K20" s="728" t="str">
        <f>IFERROR(IF($P$7&lt;&gt;"",IF(INDEX(BDHK2,MATCH($P$7,DiemHKII!$B$4:$B$58,0),INDEX($P$11:$Y$25,MATCH($B20,$P$11:$P$25,0),Y$10))&lt;&gt;"",INDEX(BDHK2,MATCH($P$7,DiemHKII!$B$4:$B$58,0),INDEX($P$11:$Y$25,MATCH($B20,$P$11:$P$25,0),Y$10)),""),""),"")</f>
        <v/>
      </c>
      <c r="L20" s="729">
        <f t="shared" si="1"/>
        <v>0</v>
      </c>
      <c r="M20" s="730"/>
      <c r="P20" s="478" t="s">
        <v>60</v>
      </c>
      <c r="Q20" s="478">
        <v>92</v>
      </c>
      <c r="R20" s="478">
        <v>93</v>
      </c>
      <c r="S20" s="478">
        <v>94</v>
      </c>
      <c r="T20" s="478">
        <v>95</v>
      </c>
      <c r="U20" s="478">
        <v>96</v>
      </c>
      <c r="V20" s="478">
        <v>97</v>
      </c>
      <c r="W20" s="478">
        <v>98</v>
      </c>
      <c r="X20" s="478">
        <v>99</v>
      </c>
      <c r="Y20" s="478">
        <v>100</v>
      </c>
      <c r="AB20" s="490">
        <f>DiemHKII!B14</f>
        <v>11</v>
      </c>
      <c r="AC20" s="490" t="str">
        <f>DiemHKII!E14&amp;" "&amp;DiemHKII!F14</f>
        <v>Hồ Ngọc Hải</v>
      </c>
      <c r="AD20" s="478" t="str">
        <f t="shared" si="0"/>
        <v>STT 11. Hồ Ngọc Hải</v>
      </c>
    </row>
    <row r="21" spans="1:30" ht="20.25" customHeight="1">
      <c r="A21" s="359">
        <v>11</v>
      </c>
      <c r="B21" s="390" t="s">
        <v>34</v>
      </c>
      <c r="C21" s="722" t="str">
        <f>IFERROR(IF($P$7&lt;&gt;"",IF(INDEX(BDHK2,MATCH($P$7,DiemHKII!$B$4:$B$58,0),INDEX($P$11:$Y$25,MATCH($B21,$P$11:$P$25,0),Q$10))&lt;&gt;"",INDEX(BDHK2,MATCH($P$7,DiemHKII!$B$4:$B$58,0),INDEX($P$11:$Y$25,MATCH($B21,$P$11:$P$25,0),Q$10)),""),""),"")</f>
        <v/>
      </c>
      <c r="D21" s="723" t="str">
        <f>IFERROR(IF($P$7&lt;&gt;"",IF(INDEX(BDHK2,MATCH($P$7,DiemHKII!$B$4:$B$58,0),INDEX($P$11:$Y$25,MATCH($B21,$P$11:$P$25,0),R$10))&lt;&gt;"",INDEX(BDHK2,MATCH($P$7,DiemHKII!$B$4:$B$58,0),INDEX($P$11:$Y$25,MATCH($B21,$P$11:$P$25,0),R$10)),""),""),"")</f>
        <v/>
      </c>
      <c r="E21" s="723" t="str">
        <f>IFERROR(IF($P$7&lt;&gt;"",IF(INDEX(BDHK2,MATCH($P$7,DiemHKII!$B$4:$B$58,0),INDEX($P$11:$Y$25,MATCH($B21,$P$11:$P$25,0),S$10))&lt;&gt;"",INDEX(BDHK2,MATCH($P$7,DiemHKII!$B$4:$B$58,0),INDEX($P$11:$Y$25,MATCH($B21,$P$11:$P$25,0),S$10)),""),""),"")</f>
        <v/>
      </c>
      <c r="F21" s="724" t="str">
        <f>IFERROR(IF($P$7&lt;&gt;"",IF(INDEX(BDHK2,MATCH($P$7,DiemHKII!$B$4:$B$58,0),INDEX($P$11:$Y$25,MATCH($B21,$P$11:$P$25,0),T$10))&lt;&gt;"",INDEX(BDHK2,MATCH($P$7,DiemHKII!$B$4:$B$58,0),INDEX($P$11:$Y$25,MATCH($B21,$P$11:$P$25,0),T$10)),""),""),"")</f>
        <v/>
      </c>
      <c r="G21" s="725" t="str">
        <f>IFERROR(IF($P$7&lt;&gt;"",IF(INDEX(BDHK2,MATCH($P$7,DiemHKII!$B$4:$B$58,0),INDEX($P$11:$Y$25,MATCH($B21,$P$11:$P$25,0),U$10))&lt;&gt;"",INDEX(BDHK2,MATCH($P$7,DiemHKII!$B$4:$B$58,0),INDEX($P$11:$Y$25,MATCH($B21,$P$11:$P$25,0),U$10)),""),""),"")</f>
        <v/>
      </c>
      <c r="H21" s="726" t="str">
        <f>IFERROR(IF($P$7&lt;&gt;"",IF(INDEX(BDHK2,MATCH($P$7,DiemHKII!$B$4:$B$58,0),INDEX($P$11:$Y$25,MATCH($B21,$P$11:$P$25,0),V$10))&lt;&gt;"",INDEX(BDHK2,MATCH($P$7,DiemHKII!$B$4:$B$58,0),INDEX($P$11:$Y$25,MATCH($B21,$P$11:$P$25,0),V$10)),""),""),"")</f>
        <v/>
      </c>
      <c r="I21" s="727" t="str">
        <f>IFERROR(IF($P$7&lt;&gt;"",IF(INDEX(BDHK2,MATCH($P$7,DiemHKII!$B$4:$B$58,0),INDEX($P$11:$Y$25,MATCH($B21,$P$11:$P$25,0),W$10))&lt;&gt;"",INDEX(BDHK2,MATCH($P$7,DiemHKII!$B$4:$B$58,0),INDEX($P$11:$Y$25,MATCH($B21,$P$11:$P$25,0),W$10)),""),""),"")</f>
        <v/>
      </c>
      <c r="J21" s="726" t="str">
        <f>IFERROR(IF($P$7&lt;&gt;"",IF(INDEX(BDHK2,MATCH($P$7,DiemHKII!$B$4:$B$58,0),INDEX($P$11:$Y$25,MATCH($B21,$P$11:$P$25,0),X$10))&lt;&gt;"",INDEX(BDHK2,MATCH($P$7,DiemHKII!$B$4:$B$58,0),INDEX($P$11:$Y$25,MATCH($B21,$P$11:$P$25,0),X$10)),""),""),"")</f>
        <v/>
      </c>
      <c r="K21" s="728" t="str">
        <f>IFERROR(IF($P$7&lt;&gt;"",IF(INDEX(BDHK2,MATCH($P$7,DiemHKII!$B$4:$B$58,0),INDEX($P$11:$Y$25,MATCH($B21,$P$11:$P$25,0),Y$10))&lt;&gt;"",INDEX(BDHK2,MATCH($P$7,DiemHKII!$B$4:$B$58,0),INDEX($P$11:$Y$25,MATCH($B21,$P$11:$P$25,0),Y$10)),""),""),"")</f>
        <v/>
      </c>
      <c r="L21" s="729">
        <f t="shared" si="1"/>
        <v>0</v>
      </c>
      <c r="M21" s="730"/>
      <c r="P21" s="478" t="s">
        <v>34</v>
      </c>
      <c r="Q21" s="478">
        <v>101</v>
      </c>
      <c r="R21" s="478">
        <v>102</v>
      </c>
      <c r="S21" s="478">
        <v>103</v>
      </c>
      <c r="T21" s="478">
        <v>104</v>
      </c>
      <c r="U21" s="478">
        <v>105</v>
      </c>
      <c r="V21" s="478">
        <v>106</v>
      </c>
      <c r="W21" s="478">
        <v>107</v>
      </c>
      <c r="X21" s="478">
        <v>108</v>
      </c>
      <c r="Y21" s="478">
        <v>109</v>
      </c>
      <c r="AB21" s="490">
        <f>DiemHKII!B15</f>
        <v>12</v>
      </c>
      <c r="AC21" s="490" t="str">
        <f>DiemHKII!E15&amp;" "&amp;DiemHKII!F15</f>
        <v>Hồ Sơn Hậu</v>
      </c>
      <c r="AD21" s="478" t="str">
        <f t="shared" si="0"/>
        <v>STT 12. Hồ Sơn Hậu</v>
      </c>
    </row>
    <row r="22" spans="1:30" ht="20.25" customHeight="1">
      <c r="A22" s="359">
        <v>12</v>
      </c>
      <c r="B22" s="390" t="s">
        <v>35</v>
      </c>
      <c r="C22" s="722" t="str">
        <f>IFERROR(IF($P$7&lt;&gt;"",IF(INDEX(BDHK2,MATCH($P$7,DiemHKII!$B$4:$B$58,0),INDEX($P$11:$Y$25,MATCH($B22,$P$11:$P$25,0),Q$10))&lt;&gt;"",INDEX(BDHK2,MATCH($P$7,DiemHKII!$B$4:$B$58,0),INDEX($P$11:$Y$25,MATCH($B22,$P$11:$P$25,0),Q$10)),""),""),"")</f>
        <v/>
      </c>
      <c r="D22" s="723" t="str">
        <f>IFERROR(IF($P$7&lt;&gt;"",IF(INDEX(BDHK2,MATCH($P$7,DiemHKII!$B$4:$B$58,0),INDEX($P$11:$Y$25,MATCH($B22,$P$11:$P$25,0),R$10))&lt;&gt;"",INDEX(BDHK2,MATCH($P$7,DiemHKII!$B$4:$B$58,0),INDEX($P$11:$Y$25,MATCH($B22,$P$11:$P$25,0),R$10)),""),""),"")</f>
        <v/>
      </c>
      <c r="E22" s="723" t="str">
        <f>IFERROR(IF($P$7&lt;&gt;"",IF(INDEX(BDHK2,MATCH($P$7,DiemHKII!$B$4:$B$58,0),INDEX($P$11:$Y$25,MATCH($B22,$P$11:$P$25,0),S$10))&lt;&gt;"",INDEX(BDHK2,MATCH($P$7,DiemHKII!$B$4:$B$58,0),INDEX($P$11:$Y$25,MATCH($B22,$P$11:$P$25,0),S$10)),""),""),"")</f>
        <v/>
      </c>
      <c r="F22" s="724" t="str">
        <f>IFERROR(IF($P$7&lt;&gt;"",IF(INDEX(BDHK2,MATCH($P$7,DiemHKII!$B$4:$B$58,0),INDEX($P$11:$Y$25,MATCH($B22,$P$11:$P$25,0),T$10))&lt;&gt;"",INDEX(BDHK2,MATCH($P$7,DiemHKII!$B$4:$B$58,0),INDEX($P$11:$Y$25,MATCH($B22,$P$11:$P$25,0),T$10)),""),""),"")</f>
        <v/>
      </c>
      <c r="G22" s="725" t="str">
        <f>IFERROR(IF($P$7&lt;&gt;"",IF(INDEX(BDHK2,MATCH($P$7,DiemHKII!$B$4:$B$58,0),INDEX($P$11:$Y$25,MATCH($B22,$P$11:$P$25,0),U$10))&lt;&gt;"",INDEX(BDHK2,MATCH($P$7,DiemHKII!$B$4:$B$58,0),INDEX($P$11:$Y$25,MATCH($B22,$P$11:$P$25,0),U$10)),""),""),"")</f>
        <v/>
      </c>
      <c r="H22" s="726" t="str">
        <f>IFERROR(IF($P$7&lt;&gt;"",IF(INDEX(BDHK2,MATCH($P$7,DiemHKII!$B$4:$B$58,0),INDEX($P$11:$Y$25,MATCH($B22,$P$11:$P$25,0),V$10))&lt;&gt;"",INDEX(BDHK2,MATCH($P$7,DiemHKII!$B$4:$B$58,0),INDEX($P$11:$Y$25,MATCH($B22,$P$11:$P$25,0),V$10)),""),""),"")</f>
        <v/>
      </c>
      <c r="I22" s="727" t="str">
        <f>IFERROR(IF($P$7&lt;&gt;"",IF(INDEX(BDHK2,MATCH($P$7,DiemHKII!$B$4:$B$58,0),INDEX($P$11:$Y$25,MATCH($B22,$P$11:$P$25,0),W$10))&lt;&gt;"",INDEX(BDHK2,MATCH($P$7,DiemHKII!$B$4:$B$58,0),INDEX($P$11:$Y$25,MATCH($B22,$P$11:$P$25,0),W$10)),""),""),"")</f>
        <v/>
      </c>
      <c r="J22" s="726" t="str">
        <f>IFERROR(IF($P$7&lt;&gt;"",IF(INDEX(BDHK2,MATCH($P$7,DiemHKII!$B$4:$B$58,0),INDEX($P$11:$Y$25,MATCH($B22,$P$11:$P$25,0),X$10))&lt;&gt;"",INDEX(BDHK2,MATCH($P$7,DiemHKII!$B$4:$B$58,0),INDEX($P$11:$Y$25,MATCH($B22,$P$11:$P$25,0),X$10)),""),""),"")</f>
        <v/>
      </c>
      <c r="K22" s="728" t="str">
        <f>IFERROR(IF($P$7&lt;&gt;"",IF(INDEX(BDHK2,MATCH($P$7,DiemHKII!$B$4:$B$58,0),INDEX($P$11:$Y$25,MATCH($B22,$P$11:$P$25,0),Y$10))&lt;&gt;"",INDEX(BDHK2,MATCH($P$7,DiemHKII!$B$4:$B$58,0),INDEX($P$11:$Y$25,MATCH($B22,$P$11:$P$25,0),Y$10)),""),""),"")</f>
        <v/>
      </c>
      <c r="L22" s="729">
        <f>COUNTIF(C22:K22,"?*")</f>
        <v>0</v>
      </c>
      <c r="M22" s="730"/>
      <c r="P22" s="478" t="s">
        <v>35</v>
      </c>
      <c r="Q22" s="478">
        <v>110</v>
      </c>
      <c r="R22" s="478">
        <v>111</v>
      </c>
      <c r="S22" s="478">
        <v>112</v>
      </c>
      <c r="T22" s="478">
        <v>113</v>
      </c>
      <c r="U22" s="478">
        <v>114</v>
      </c>
      <c r="V22" s="478">
        <v>115</v>
      </c>
      <c r="W22" s="478">
        <v>116</v>
      </c>
      <c r="X22" s="478">
        <v>117</v>
      </c>
      <c r="Y22" s="478">
        <v>118</v>
      </c>
      <c r="AB22" s="490">
        <f>DiemHKII!B16</f>
        <v>13</v>
      </c>
      <c r="AC22" s="490" t="str">
        <f>DiemHKII!E16&amp;" "&amp;DiemHKII!F16</f>
        <v>Nguyễn Thị Thu  Hiền</v>
      </c>
      <c r="AD22" s="478" t="str">
        <f t="shared" si="0"/>
        <v>STT 13. Nguyễn Thị Thu  Hiền</v>
      </c>
    </row>
    <row r="23" spans="1:30" ht="20.25" customHeight="1">
      <c r="A23" s="359">
        <v>13</v>
      </c>
      <c r="B23" s="390" t="s">
        <v>121</v>
      </c>
      <c r="C23" s="722" t="str">
        <f>IFERROR(IF($P$7&lt;&gt;"",IF(INDEX(BDHK2,MATCH($P$7,DiemHKII!$B$4:$B$58,0),INDEX($P$11:$Y$25,MATCH($B23,$P$11:$P$25,0),Q$10))&lt;&gt;"",INDEX(BDHK2,MATCH($P$7,DiemHKII!$B$4:$B$58,0),INDEX($P$11:$Y$25,MATCH($B23,$P$11:$P$25,0),Q$10)),""),""),"")</f>
        <v/>
      </c>
      <c r="D23" s="723" t="str">
        <f>IFERROR(IF($P$7&lt;&gt;"",IF(INDEX(BDHK2,MATCH($P$7,DiemHKII!$B$4:$B$58,0),INDEX($P$11:$Y$25,MATCH($B23,$P$11:$P$25,0),R$10))&lt;&gt;"",INDEX(BDHK2,MATCH($P$7,DiemHKII!$B$4:$B$58,0),INDEX($P$11:$Y$25,MATCH($B23,$P$11:$P$25,0),R$10)),""),""),"")</f>
        <v/>
      </c>
      <c r="E23" s="723" t="str">
        <f>IFERROR(IF($P$7&lt;&gt;"",IF(INDEX(BDHK2,MATCH($P$7,DiemHKII!$B$4:$B$58,0),INDEX($P$11:$Y$25,MATCH($B23,$P$11:$P$25,0),S$10))&lt;&gt;"",INDEX(BDHK2,MATCH($P$7,DiemHKII!$B$4:$B$58,0),INDEX($P$11:$Y$25,MATCH($B23,$P$11:$P$25,0),S$10)),""),""),"")</f>
        <v/>
      </c>
      <c r="F23" s="724" t="str">
        <f>IFERROR(IF($P$7&lt;&gt;"",IF(INDEX(BDHK2,MATCH($P$7,DiemHKII!$B$4:$B$58,0),INDEX($P$11:$Y$25,MATCH($B23,$P$11:$P$25,0),T$10))&lt;&gt;"",INDEX(BDHK2,MATCH($P$7,DiemHKII!$B$4:$B$58,0),INDEX($P$11:$Y$25,MATCH($B23,$P$11:$P$25,0),T$10)),""),""),"")</f>
        <v/>
      </c>
      <c r="G23" s="725" t="str">
        <f>IFERROR(IF($P$7&lt;&gt;"",IF(INDEX(BDHK2,MATCH($P$7,DiemHKII!$B$4:$B$58,0),INDEX($P$11:$Y$25,MATCH($B23,$P$11:$P$25,0),U$10))&lt;&gt;"",INDEX(BDHK2,MATCH($P$7,DiemHKII!$B$4:$B$58,0),INDEX($P$11:$Y$25,MATCH($B23,$P$11:$P$25,0),U$10)),""),""),"")</f>
        <v/>
      </c>
      <c r="H23" s="726" t="str">
        <f>IFERROR(IF($P$7&lt;&gt;"",IF(INDEX(BDHK2,MATCH($P$7,DiemHKII!$B$4:$B$58,0),INDEX($P$11:$Y$25,MATCH($B23,$P$11:$P$25,0),V$10))&lt;&gt;"",INDEX(BDHK2,MATCH($P$7,DiemHKII!$B$4:$B$58,0),INDEX($P$11:$Y$25,MATCH($B23,$P$11:$P$25,0),V$10)),""),""),"")</f>
        <v/>
      </c>
      <c r="I23" s="727" t="str">
        <f>IFERROR(IF($P$7&lt;&gt;"",IF(INDEX(BDHK2,MATCH($P$7,DiemHKII!$B$4:$B$58,0),INDEX($P$11:$Y$25,MATCH($B23,$P$11:$P$25,0),W$10))&lt;&gt;"",INDEX(BDHK2,MATCH($P$7,DiemHKII!$B$4:$B$58,0),INDEX($P$11:$Y$25,MATCH($B23,$P$11:$P$25,0),W$10)),""),""),"")</f>
        <v/>
      </c>
      <c r="J23" s="726" t="str">
        <f>IFERROR(IF($P$7&lt;&gt;"",IF(INDEX(BDHK2,MATCH($P$7,DiemHKII!$B$4:$B$58,0),INDEX($P$11:$Y$25,MATCH($B23,$P$11:$P$25,0),X$10))&lt;&gt;"",INDEX(BDHK2,MATCH($P$7,DiemHKII!$B$4:$B$58,0),INDEX($P$11:$Y$25,MATCH($B23,$P$11:$P$25,0),X$10)),""),""),"")</f>
        <v/>
      </c>
      <c r="K23" s="728" t="str">
        <f>IFERROR(IF($P$7&lt;&gt;"",IF(INDEX(BDHK2,MATCH($P$7,DiemHKII!$B$4:$B$58,0),INDEX($P$11:$Y$25,MATCH($B23,$P$11:$P$25,0),Y$10))&lt;&gt;"",INDEX(BDHK2,MATCH($P$7,DiemHKII!$B$4:$B$58,0),INDEX($P$11:$Y$25,MATCH($B23,$P$11:$P$25,0),Y$10)),""),""),"")</f>
        <v/>
      </c>
      <c r="L23" s="729">
        <f t="shared" ref="L23:L24" si="2">COUNT(C23:K23)</f>
        <v>0</v>
      </c>
      <c r="M23" s="730"/>
      <c r="P23" s="478" t="s">
        <v>121</v>
      </c>
      <c r="Q23" s="478">
        <v>119</v>
      </c>
      <c r="R23" s="478">
        <v>120</v>
      </c>
      <c r="S23" s="478">
        <v>121</v>
      </c>
      <c r="T23" s="478">
        <v>122</v>
      </c>
      <c r="U23" s="478">
        <v>123</v>
      </c>
      <c r="V23" s="478">
        <v>124</v>
      </c>
      <c r="W23" s="478">
        <v>125</v>
      </c>
      <c r="X23" s="478">
        <v>126</v>
      </c>
      <c r="Y23" s="478">
        <v>127</v>
      </c>
      <c r="AB23" s="490">
        <f>DiemHKII!B17</f>
        <v>14</v>
      </c>
      <c r="AC23" s="490" t="str">
        <f>DiemHKII!E17&amp;" "&amp;DiemHKII!F17</f>
        <v>Lê Phan Ngọc Hiếu</v>
      </c>
      <c r="AD23" s="478" t="str">
        <f t="shared" si="0"/>
        <v>STT 14. Lê Phan Ngọc Hiếu</v>
      </c>
    </row>
    <row r="24" spans="1:30" ht="20.25" customHeight="1">
      <c r="A24" s="360">
        <v>14</v>
      </c>
      <c r="B24" s="391" t="s">
        <v>122</v>
      </c>
      <c r="C24" s="731" t="str">
        <f>IFERROR(IF($P$7&lt;&gt;"",IF(INDEX(BDHK2,MATCH($P$7,DiemHKII!$B$4:$B$58,0),INDEX($P$11:$Y$25,MATCH($B24,$P$11:$P$25,0),Q$10))&lt;&gt;"",INDEX(BDHK2,MATCH($P$7,DiemHKII!$B$4:$B$58,0),INDEX($P$11:$Y$25,MATCH($B24,$P$11:$P$25,0),Q$10)),""),""),"")</f>
        <v/>
      </c>
      <c r="D24" s="732" t="str">
        <f>IFERROR(IF($P$7&lt;&gt;"",IF(INDEX(BDHK2,MATCH($P$7,DiemHKII!$B$4:$B$58,0),INDEX($P$11:$Y$25,MATCH($B24,$P$11:$P$25,0),R$10))&lt;&gt;"",INDEX(BDHK2,MATCH($P$7,DiemHKII!$B$4:$B$58,0),INDEX($P$11:$Y$25,MATCH($B24,$P$11:$P$25,0),R$10)),""),""),"")</f>
        <v/>
      </c>
      <c r="E24" s="732" t="str">
        <f>IFERROR(IF($P$7&lt;&gt;"",IF(INDEX(BDHK2,MATCH($P$7,DiemHKII!$B$4:$B$58,0),INDEX($P$11:$Y$25,MATCH($B24,$P$11:$P$25,0),S$10))&lt;&gt;"",INDEX(BDHK2,MATCH($P$7,DiemHKII!$B$4:$B$58,0),INDEX($P$11:$Y$25,MATCH($B24,$P$11:$P$25,0),S$10)),""),""),"")</f>
        <v/>
      </c>
      <c r="F24" s="733" t="str">
        <f>IFERROR(IF($P$7&lt;&gt;"",IF(INDEX(BDHK2,MATCH($P$7,DiemHKII!$B$4:$B$58,0),INDEX($P$11:$Y$25,MATCH($B24,$P$11:$P$25,0),T$10))&lt;&gt;"",INDEX(BDHK2,MATCH($P$7,DiemHKII!$B$4:$B$58,0),INDEX($P$11:$Y$25,MATCH($B24,$P$11:$P$25,0),T$10)),""),""),"")</f>
        <v/>
      </c>
      <c r="G24" s="734" t="str">
        <f>IFERROR(IF($P$7&lt;&gt;"",IF(INDEX(BDHK2,MATCH($P$7,DiemHKII!$B$4:$B$58,0),INDEX($P$11:$Y$25,MATCH($B24,$P$11:$P$25,0),U$10))&lt;&gt;"",INDEX(BDHK2,MATCH($P$7,DiemHKII!$B$4:$B$58,0),INDEX($P$11:$Y$25,MATCH($B24,$P$11:$P$25,0),U$10)),""),""),"")</f>
        <v/>
      </c>
      <c r="H24" s="735" t="str">
        <f>IFERROR(IF($P$7&lt;&gt;"",IF(INDEX(BDHK2,MATCH($P$7,DiemHKII!$B$4:$B$58,0),INDEX($P$11:$Y$25,MATCH($B24,$P$11:$P$25,0),V$10))&lt;&gt;"",INDEX(BDHK2,MATCH($P$7,DiemHKII!$B$4:$B$58,0),INDEX($P$11:$Y$25,MATCH($B24,$P$11:$P$25,0),V$10)),""),""),"")</f>
        <v/>
      </c>
      <c r="I24" s="736" t="str">
        <f>IFERROR(IF($P$7&lt;&gt;"",IF(INDEX(BDHK2,MATCH($P$7,DiemHKII!$B$4:$B$58,0),INDEX($P$11:$Y$25,MATCH($B24,$P$11:$P$25,0),W$10))&lt;&gt;"",INDEX(BDHK2,MATCH($P$7,DiemHKII!$B$4:$B$58,0),INDEX($P$11:$Y$25,MATCH($B24,$P$11:$P$25,0),W$10)),""),""),"")</f>
        <v/>
      </c>
      <c r="J24" s="735" t="str">
        <f>IFERROR(IF($P$7&lt;&gt;"",IF(INDEX(BDHK2,MATCH($P$7,DiemHKII!$B$4:$B$58,0),INDEX($P$11:$Y$25,MATCH($B24,$P$11:$P$25,0),X$10))&lt;&gt;"",INDEX(BDHK2,MATCH($P$7,DiemHKII!$B$4:$B$58,0),INDEX($P$11:$Y$25,MATCH($B24,$P$11:$P$25,0),X$10)),""),""),"")</f>
        <v/>
      </c>
      <c r="K24" s="737" t="str">
        <f>IFERROR(IF($P$7&lt;&gt;"",IF(INDEX(BDHK2,MATCH($P$7,DiemHKII!$B$4:$B$58,0),INDEX($P$11:$Y$25,MATCH($B24,$P$11:$P$25,0),Y$10))&lt;&gt;"",INDEX(BDHK2,MATCH($P$7,DiemHKII!$B$4:$B$58,0),INDEX($P$11:$Y$25,MATCH($B24,$P$11:$P$25,0),Y$10)),""),""),"")</f>
        <v/>
      </c>
      <c r="L24" s="738">
        <f t="shared" si="2"/>
        <v>0</v>
      </c>
      <c r="M24" s="739"/>
      <c r="P24" s="478" t="s">
        <v>122</v>
      </c>
      <c r="Q24" s="478">
        <v>128</v>
      </c>
      <c r="R24" s="478">
        <v>129</v>
      </c>
      <c r="S24" s="478">
        <v>130</v>
      </c>
      <c r="T24" s="478">
        <v>131</v>
      </c>
      <c r="U24" s="478">
        <v>132</v>
      </c>
      <c r="V24" s="478">
        <v>133</v>
      </c>
      <c r="W24" s="478">
        <v>134</v>
      </c>
      <c r="X24" s="478">
        <v>135</v>
      </c>
      <c r="Y24" s="478">
        <v>136</v>
      </c>
      <c r="AB24" s="490">
        <f>DiemHKII!B18</f>
        <v>15</v>
      </c>
      <c r="AC24" s="490" t="str">
        <f>DiemHKII!E18&amp;" "&amp;DiemHKII!F18</f>
        <v>Trần Hoàng Hưng</v>
      </c>
      <c r="AD24" s="478" t="str">
        <f t="shared" si="0"/>
        <v>STT 15. Trần Hoàng Hưng</v>
      </c>
    </row>
    <row r="25" spans="1:30" ht="20.25" customHeight="1">
      <c r="A25" s="8"/>
      <c r="B25" s="467"/>
      <c r="C25" s="1000"/>
      <c r="D25" s="1005"/>
      <c r="E25" s="1005"/>
      <c r="F25" s="1001"/>
      <c r="G25" s="1000" t="s">
        <v>269</v>
      </c>
      <c r="H25" s="1001"/>
      <c r="I25" s="467" t="str">
        <f>IFERROR(IF($P$7&lt;&gt;"",IF(INDEX('TH CANAM'!$A$9:$BF$63,MATCH(InPD2!$P$7,'TH CANAM'!$A$9:$A$63,0),46)&lt;&gt;"",INDEX('TH CANAM'!$A$9:$BF$63,MATCH(InPD2!$P$7,'TH CANAM'!$A$9:$A$63,0),46),""),""),"")</f>
        <v/>
      </c>
      <c r="J25" s="467" t="str">
        <f>IFERROR(IF($P$7&lt;&gt;"",IF(INDEX('TH CANAM'!$A$9:$BF$63,MATCH(InPD2!$P$7,'TH CANAM'!$A$9:$A$63,0),47)&lt;&gt;"",INDEX('TH CANAM'!$A$9:$BF$63,MATCH(InPD2!$P$7,'TH CANAM'!$A$9:$A$63,0),47),""),""),"")</f>
        <v/>
      </c>
      <c r="K25" s="467" t="str">
        <f>IFERROR(IF($P$7&lt;&gt;"",IF(INDEX('TH CANAM'!$A$9:$BF$63,MATCH(InPD2!$P$7,'TH CANAM'!$A$9:$A$63,0),48)&lt;&gt;"",INDEX('TH CANAM'!$A$9:$BF$63,MATCH(InPD2!$P$7,'TH CANAM'!$A$9:$A$63,0),48),""),""),"")</f>
        <v/>
      </c>
      <c r="L25" s="740">
        <f>COUNT(I25:K25)</f>
        <v>0</v>
      </c>
      <c r="M25" s="741"/>
      <c r="P25" s="478" t="s">
        <v>247</v>
      </c>
      <c r="Q25" s="496">
        <v>137</v>
      </c>
      <c r="R25" s="497">
        <v>138</v>
      </c>
      <c r="S25" s="496">
        <v>139</v>
      </c>
      <c r="T25" s="498">
        <v>140</v>
      </c>
      <c r="U25" s="498"/>
      <c r="V25" s="498"/>
      <c r="W25" s="498"/>
      <c r="X25" s="497"/>
      <c r="Y25" s="496"/>
      <c r="AB25" s="490">
        <f>DiemHKII!B19</f>
        <v>16</v>
      </c>
      <c r="AC25" s="490" t="str">
        <f>DiemHKII!E19&amp;" "&amp;DiemHKII!F19</f>
        <v>Trần Đăng Khải</v>
      </c>
      <c r="AD25" s="478" t="str">
        <f t="shared" si="0"/>
        <v>STT 16. Trần Đăng Khải</v>
      </c>
    </row>
    <row r="26" spans="1:30" ht="20.25" customHeight="1">
      <c r="A26" s="1"/>
      <c r="B26" s="1"/>
      <c r="C26" s="1"/>
      <c r="D26" s="1"/>
      <c r="E26" s="1"/>
      <c r="F26" s="1"/>
      <c r="G26" s="1"/>
      <c r="H26" s="1"/>
      <c r="I26" s="941" t="s">
        <v>271</v>
      </c>
      <c r="J26" s="941"/>
      <c r="K26" s="941"/>
      <c r="L26" s="742">
        <f>SUM(L11:L25)</f>
        <v>0</v>
      </c>
      <c r="M26" s="248"/>
      <c r="AB26" s="490">
        <f>DiemHKII!B20</f>
        <v>17</v>
      </c>
      <c r="AC26" s="490" t="str">
        <f>DiemHKII!E20&amp;" "&amp;DiemHKII!F20</f>
        <v>Nguyễn Huỳnh Phúc Khang</v>
      </c>
      <c r="AD26" s="478" t="str">
        <f t="shared" si="0"/>
        <v>STT 17. Nguyễn Huỳnh Phúc Khang</v>
      </c>
    </row>
    <row r="27" spans="1:30" ht="20.25" customHeight="1">
      <c r="A27" s="8">
        <v>15</v>
      </c>
      <c r="B27" s="1119" t="s">
        <v>177</v>
      </c>
      <c r="C27" s="1119"/>
      <c r="D27" s="1119" t="str">
        <f>IFERROR(IF($P$7&lt;&gt;"",IF(INDEX('TH CANAM'!$A$9:$BF$63,MATCH(InPD2!$P$7,'TH CANAM'!$A$9:$A$63,0),51)="Tb","Trung bình",INDEX('TH CANAM'!$A$9:$BF$63,MATCH(InPD2!$P$7,'TH CANAM'!$A$9:$A$63,0),51))),"")</f>
        <v/>
      </c>
      <c r="E27" s="1119"/>
      <c r="F27" s="6"/>
      <c r="G27" s="6" t="s">
        <v>94</v>
      </c>
      <c r="H27" s="248"/>
      <c r="I27" s="1"/>
      <c r="J27" s="1"/>
      <c r="K27" s="248"/>
      <c r="L27" s="1"/>
      <c r="M27" s="1"/>
      <c r="AB27" s="490">
        <f>DiemHKII!B21</f>
        <v>18</v>
      </c>
      <c r="AC27" s="490" t="str">
        <f>DiemHKII!E21&amp;" "&amp;DiemHKII!F21</f>
        <v>Nguyễn Đăng Khoa</v>
      </c>
      <c r="AD27" s="478" t="str">
        <f t="shared" si="0"/>
        <v>STT 18. Nguyễn Đăng Khoa</v>
      </c>
    </row>
    <row r="28" spans="1:30" ht="20.25" customHeight="1">
      <c r="A28" s="8">
        <v>16</v>
      </c>
      <c r="B28" s="1122" t="s">
        <v>178</v>
      </c>
      <c r="C28" s="1123"/>
      <c r="D28" s="1119" t="str">
        <f>IFERROR(IF($P$7&lt;&gt;"",IF(INDEX('TH CANAM'!$A$9:$BF$63,MATCH(InPD2!$P$7,'TH CANAM'!$A$9:$A$63,0),54)&lt;&gt;"",INDEX('TH CANAM'!$A$9:$BF$63,MATCH(InPD2!$P$7,'TH CANAM'!$A$9:$A$63,0),54),""),""),"")</f>
        <v/>
      </c>
      <c r="E28" s="1119"/>
      <c r="F28" s="6"/>
      <c r="G28" s="7" t="str">
        <f>IFERROR(IF($P$7&lt;&gt;"",IF(INDEX(BDHK2,MATCH($P$7,DiemHKII!$B$4:$B$58,0),137)&lt;&gt;"","- "&amp;INDEX(BDHK2,MATCH($P$7,DiemHKI!$B$4:$B$58,0),137),""),""),"")</f>
        <v/>
      </c>
      <c r="H28" s="248"/>
      <c r="I28" s="6"/>
      <c r="J28" s="6"/>
      <c r="K28" s="248"/>
      <c r="L28" s="1"/>
      <c r="M28" s="1"/>
      <c r="O28" s="499" t="s">
        <v>83</v>
      </c>
      <c r="AB28" s="490">
        <f>DiemHKII!B22</f>
        <v>19</v>
      </c>
      <c r="AC28" s="490" t="str">
        <f>DiemHKII!E22&amp;" "&amp;DiemHKII!F22</f>
        <v>Lê Tiến Khôi</v>
      </c>
      <c r="AD28" s="478" t="str">
        <f t="shared" si="0"/>
        <v>STT 19. Lê Tiến Khôi</v>
      </c>
    </row>
    <row r="29" spans="1:30" ht="20.25" customHeight="1">
      <c r="A29" s="8">
        <v>17</v>
      </c>
      <c r="B29" s="1114" t="s">
        <v>91</v>
      </c>
      <c r="C29" s="1115"/>
      <c r="D29" s="1118" t="s">
        <v>270</v>
      </c>
      <c r="E29" s="1118"/>
      <c r="F29" s="6"/>
      <c r="G29" s="7" t="str">
        <f>IFERROR(IF($P$7&lt;&gt;"",IF(INDEX(BDHK2,MATCH($P$7,DiemHKII!$B$4:$B$58,0),138)&lt;&gt;"","- "&amp;INDEX(BDHK2,MATCH($P$7,DiemHKI!$B$4:$B$58,0),138),""),""),"")</f>
        <v/>
      </c>
      <c r="H29" s="248"/>
      <c r="I29" s="6"/>
      <c r="J29" s="6"/>
      <c r="K29" s="248"/>
      <c r="L29" s="1"/>
      <c r="M29" s="1"/>
      <c r="O29" s="499" t="s">
        <v>84</v>
      </c>
      <c r="AB29" s="490">
        <f>DiemHKII!B23</f>
        <v>20</v>
      </c>
      <c r="AC29" s="490" t="str">
        <f>DiemHKII!E23&amp;" "&amp;DiemHKII!F23</f>
        <v>Nguyễn Phúc Lâm</v>
      </c>
      <c r="AD29" s="478" t="str">
        <f t="shared" si="0"/>
        <v>STT 20. Nguyễn Phúc Lâm</v>
      </c>
    </row>
    <row r="30" spans="1:30" ht="20.25" customHeight="1">
      <c r="A30" s="8">
        <v>18</v>
      </c>
      <c r="B30" s="1114" t="s">
        <v>92</v>
      </c>
      <c r="C30" s="1115"/>
      <c r="D30" s="1118" t="s">
        <v>270</v>
      </c>
      <c r="E30" s="1118"/>
      <c r="F30" s="7"/>
      <c r="G30" s="7" t="str">
        <f>IFERROR(IF($P$7&lt;&gt;"",IF(INDEX(BDHK2,MATCH($P$7,DiemHKII!$B$4:$B$58,0),139)&lt;&gt;"","- "&amp;INDEX(BDHK2,MATCH($P$7,DiemHKI!$B$4:$B$58,0),139),""),""),"")</f>
        <v/>
      </c>
      <c r="H30" s="248"/>
      <c r="I30" s="7"/>
      <c r="J30" s="7"/>
      <c r="K30" s="248"/>
      <c r="L30" s="1"/>
      <c r="M30" s="1"/>
      <c r="O30" s="499" t="s">
        <v>85</v>
      </c>
      <c r="AB30" s="490">
        <f>DiemHKII!B24</f>
        <v>21</v>
      </c>
      <c r="AC30" s="490" t="str">
        <f>DiemHKII!E24&amp;" "&amp;DiemHKII!F24</f>
        <v>Phạm Tấn Lộc</v>
      </c>
      <c r="AD30" s="478" t="str">
        <f t="shared" si="0"/>
        <v>STT 21. Phạm Tấn Lộc</v>
      </c>
    </row>
    <row r="31" spans="1:30" ht="20.25" customHeight="1">
      <c r="A31" s="8">
        <v>19</v>
      </c>
      <c r="B31" s="1116" t="s">
        <v>93</v>
      </c>
      <c r="C31" s="1117"/>
      <c r="D31" s="1118" t="s">
        <v>270</v>
      </c>
      <c r="E31" s="1118"/>
      <c r="F31" s="7"/>
      <c r="G31" s="7" t="str">
        <f>IFERROR(IF($P$7&lt;&gt;"",IF(INDEX(BDHK2,MATCH($P$7,DiemHKII!$B$4:$B$58,0),140)&lt;&gt;"","- "&amp;INDEX(BDHK2,MATCH($P$7,DiemHKI!$B$4:$B$58,0),140),""),""),"")</f>
        <v/>
      </c>
      <c r="H31" s="248"/>
      <c r="I31" s="7"/>
      <c r="J31" s="1"/>
      <c r="K31" s="1"/>
      <c r="L31" s="1"/>
      <c r="M31" s="1"/>
      <c r="O31" s="499" t="s">
        <v>187</v>
      </c>
      <c r="AB31" s="490">
        <f>DiemHKII!B25</f>
        <v>22</v>
      </c>
      <c r="AC31" s="490" t="str">
        <f>DiemHKII!E25&amp;" "&amp;DiemHKII!F25</f>
        <v>Phạm Thị Khả  My</v>
      </c>
      <c r="AD31" s="478" t="str">
        <f t="shared" si="0"/>
        <v>STT 22. Phạm Thị Khả  My</v>
      </c>
    </row>
    <row r="32" spans="1:30" ht="29.25" customHeight="1">
      <c r="A32" s="743"/>
      <c r="B32" s="7"/>
      <c r="C32" s="7"/>
      <c r="D32" s="7"/>
      <c r="E32" s="7"/>
      <c r="F32" s="7"/>
      <c r="G32" s="996" t="str">
        <f ca="1">'Huong dan'!E3&amp;IF(O19="",", ngày " &amp;IF(DAY(NOW())&lt;10,"0"&amp;DAY(NOW()),DAY(NOW()))&amp;"  tháng "&amp;IF(MONTH(NOW())&lt;3,"0"&amp;MONTH(NOW()),MONTH(NOW()))&amp;" năm "&amp;YEAR(NOW()),", ngày "&amp;IF(DAY(O19)&lt;10,"0"&amp;DAY(O19),DAY(O19))&amp;" tháng "&amp;IF(MONTH(O19)&lt;3,"0"&amp;MONTH(O19),MONTH(O19))&amp;" năm "&amp;YEAR(O19))</f>
        <v>TP. Hồ Chí Minh, ngày 08  tháng 10 năm 2022</v>
      </c>
      <c r="H32" s="996"/>
      <c r="I32" s="996"/>
      <c r="J32" s="996"/>
      <c r="K32" s="996"/>
      <c r="L32" s="996"/>
      <c r="M32" s="1"/>
      <c r="O32" s="490"/>
      <c r="AB32" s="490">
        <f>DiemHKII!B26</f>
        <v>23</v>
      </c>
      <c r="AC32" s="490" t="str">
        <f>DiemHKII!E26&amp;" "&amp;DiemHKII!F26</f>
        <v>Lê Na</v>
      </c>
      <c r="AD32" s="478" t="str">
        <f t="shared" si="0"/>
        <v>STT 23. Lê Na</v>
      </c>
    </row>
    <row r="33" spans="1:30" ht="16.5" customHeight="1">
      <c r="A33" s="1"/>
      <c r="B33" s="957" t="str">
        <f>IF(G33="Hiệu trưởng","Giáo viên Quản nhiệm","")</f>
        <v>Giáo viên Quản nhiệm</v>
      </c>
      <c r="C33" s="957"/>
      <c r="D33" s="957"/>
      <c r="E33" s="2"/>
      <c r="F33" s="2"/>
      <c r="G33" s="993" t="str">
        <f>IF(O10="","Vui lòng chọn người ký, Ô Y10",O10)</f>
        <v>Hiệu trưởng</v>
      </c>
      <c r="H33" s="993"/>
      <c r="I33" s="993"/>
      <c r="J33" s="993"/>
      <c r="K33" s="993"/>
      <c r="L33" s="993"/>
      <c r="M33" s="1"/>
      <c r="AB33" s="490">
        <f>DiemHKII!B27</f>
        <v>24</v>
      </c>
      <c r="AC33" s="490" t="str">
        <f>DiemHKII!E27&amp;" "&amp;DiemHKII!F27</f>
        <v>Quách Tống Minh Nhật</v>
      </c>
      <c r="AD33" s="478" t="str">
        <f t="shared" si="0"/>
        <v>STT 24. Quách Tống Minh Nhật</v>
      </c>
    </row>
    <row r="34" spans="1:30">
      <c r="A34" s="1"/>
      <c r="B34" s="1"/>
      <c r="C34" s="248"/>
      <c r="D34" s="1"/>
      <c r="E34" s="1"/>
      <c r="F34" s="1"/>
      <c r="G34" s="1"/>
      <c r="H34" s="1"/>
      <c r="I34" s="1"/>
      <c r="J34" s="1"/>
      <c r="K34" s="1"/>
      <c r="L34" s="248"/>
      <c r="M34" s="248"/>
      <c r="AB34" s="490">
        <f>DiemHKII!B28</f>
        <v>25</v>
      </c>
      <c r="AC34" s="490" t="str">
        <f>DiemHKII!E28&amp;" "&amp;DiemHKII!F28</f>
        <v>Nguyễn Thục Nhi</v>
      </c>
      <c r="AD34" s="478" t="str">
        <f t="shared" si="0"/>
        <v>STT 25. Nguyễn Thục Nhi</v>
      </c>
    </row>
    <row r="35" spans="1:30">
      <c r="A35" s="1"/>
      <c r="B35" s="1"/>
      <c r="C35" s="248"/>
      <c r="D35" s="1"/>
      <c r="E35" s="1"/>
      <c r="F35" s="1"/>
      <c r="G35" s="1"/>
      <c r="H35" s="1"/>
      <c r="I35" s="1"/>
      <c r="J35" s="1"/>
      <c r="K35" s="1"/>
      <c r="L35" s="248"/>
      <c r="M35" s="248"/>
      <c r="AB35" s="490">
        <f>DiemHKII!B29</f>
        <v>26</v>
      </c>
      <c r="AC35" s="490" t="str">
        <f>DiemHKII!E29&amp;" "&amp;DiemHKII!F29</f>
        <v>Trần Thị Hải Như</v>
      </c>
      <c r="AD35" s="478" t="str">
        <f t="shared" si="0"/>
        <v>STT 26. Trần Thị Hải Như</v>
      </c>
    </row>
    <row r="36" spans="1:30">
      <c r="A36" s="1"/>
      <c r="B36" s="1"/>
      <c r="C36" s="248"/>
      <c r="D36" s="1"/>
      <c r="E36" s="1"/>
      <c r="F36" s="1"/>
      <c r="G36" s="1"/>
      <c r="H36" s="1"/>
      <c r="I36" s="1"/>
      <c r="J36" s="1"/>
      <c r="K36" s="1"/>
      <c r="L36" s="248"/>
      <c r="M36" s="248"/>
      <c r="AB36" s="490">
        <f>DiemHKII!B30</f>
        <v>27</v>
      </c>
      <c r="AC36" s="490" t="str">
        <f>DiemHKII!E30&amp;" "&amp;DiemHKII!F30</f>
        <v>Nguyễn Bá Nhật Quang</v>
      </c>
      <c r="AD36" s="478" t="str">
        <f t="shared" si="0"/>
        <v>STT 27. Nguyễn Bá Nhật Quang</v>
      </c>
    </row>
    <row r="37" spans="1:30">
      <c r="A37" s="248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AB37" s="490">
        <f>DiemHKII!B31</f>
        <v>28</v>
      </c>
      <c r="AC37" s="490" t="str">
        <f>DiemHKII!E31&amp;" "&amp;DiemHKII!F31</f>
        <v>Phan Trương Kiến Quốc</v>
      </c>
      <c r="AD37" s="478" t="str">
        <f t="shared" si="0"/>
        <v>STT 28. Phan Trương Kiến Quốc</v>
      </c>
    </row>
    <row r="38" spans="1:30">
      <c r="A38" s="248"/>
      <c r="B38" s="931" t="str">
        <f>IF(B33="Giáo Viên Quản nhiệm",PROPER('Huong dan'!C4),"")</f>
        <v/>
      </c>
      <c r="C38" s="931"/>
      <c r="D38" s="931"/>
      <c r="E38" s="357"/>
      <c r="F38" s="357"/>
      <c r="G38" s="922" t="str">
        <f>IFERROR(IF(G33="Giáo Viên Quản nhiệm",PROPER('Huong dan'!C4),IF(G33="Hiệu trưởng",PROPER('Huong dan'!E5),"")),"")</f>
        <v/>
      </c>
      <c r="H38" s="922"/>
      <c r="I38" s="922"/>
      <c r="J38" s="922"/>
      <c r="K38" s="922"/>
      <c r="L38" s="922"/>
      <c r="M38" s="248"/>
      <c r="AB38" s="490">
        <f>DiemHKII!B32</f>
        <v>29</v>
      </c>
      <c r="AC38" s="490" t="str">
        <f>DiemHKII!E32&amp;" "&amp;DiemHKII!F32</f>
        <v>Trần Thị Như Quỳnh</v>
      </c>
      <c r="AD38" s="478" t="str">
        <f t="shared" si="0"/>
        <v>STT 29. Trần Thị Như Quỳnh</v>
      </c>
    </row>
    <row r="39" spans="1:30">
      <c r="A39" s="248"/>
      <c r="B39" s="248"/>
      <c r="C39" s="248"/>
      <c r="D39" s="248"/>
      <c r="E39" s="248"/>
      <c r="F39" s="248"/>
      <c r="G39" s="248"/>
      <c r="H39" s="248"/>
      <c r="I39" s="248"/>
      <c r="J39" s="248"/>
      <c r="K39" s="248"/>
      <c r="L39" s="248"/>
      <c r="M39" s="248"/>
      <c r="AB39" s="490">
        <f>DiemHKII!B33</f>
        <v>30</v>
      </c>
      <c r="AC39" s="490" t="str">
        <f>DiemHKII!E33&amp;" "&amp;DiemHKII!F33</f>
        <v>Nguyễn Thái Sơn</v>
      </c>
      <c r="AD39" s="478" t="str">
        <f t="shared" si="0"/>
        <v>STT 30. Nguyễn Thái Sơn</v>
      </c>
    </row>
    <row r="40" spans="1:30">
      <c r="A40" s="248"/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AB40" s="490">
        <f>DiemHKII!B34</f>
        <v>31</v>
      </c>
      <c r="AC40" s="490" t="str">
        <f>DiemHKII!E34&amp;" "&amp;DiemHKII!F34</f>
        <v>Đặng Hoàng Tân</v>
      </c>
      <c r="AD40" s="478" t="str">
        <f t="shared" si="0"/>
        <v>STT 31. Đặng Hoàng Tân</v>
      </c>
    </row>
    <row r="41" spans="1:30">
      <c r="A41" s="248"/>
      <c r="B41" s="248"/>
      <c r="C41" s="248"/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AB41" s="490">
        <f>DiemHKII!B35</f>
        <v>32</v>
      </c>
      <c r="AC41" s="490" t="str">
        <f>DiemHKII!E35&amp;" "&amp;DiemHKII!F35</f>
        <v>Hồ Quang Thành</v>
      </c>
      <c r="AD41" s="478" t="str">
        <f t="shared" si="0"/>
        <v>STT 32. Hồ Quang Thành</v>
      </c>
    </row>
    <row r="42" spans="1:30">
      <c r="AB42" s="490">
        <f>DiemHKII!B36</f>
        <v>33</v>
      </c>
      <c r="AC42" s="490" t="str">
        <f>DiemHKII!E36&amp;" "&amp;DiemHKII!F36</f>
        <v>Trần Thịnh Thịnh</v>
      </c>
      <c r="AD42" s="478" t="str">
        <f t="shared" si="0"/>
        <v>STT 33. Trần Thịnh Thịnh</v>
      </c>
    </row>
    <row r="43" spans="1:30">
      <c r="AB43" s="490">
        <f>DiemHKII!B37</f>
        <v>34</v>
      </c>
      <c r="AC43" s="490" t="str">
        <f>DiemHKII!E37&amp;" "&amp;DiemHKII!F37</f>
        <v>Trần Kim Bảo Trân</v>
      </c>
      <c r="AD43" s="478" t="str">
        <f t="shared" si="0"/>
        <v>STT 34. Trần Kim Bảo Trân</v>
      </c>
    </row>
    <row r="44" spans="1:30">
      <c r="AB44" s="490">
        <f>DiemHKII!B38</f>
        <v>35</v>
      </c>
      <c r="AC44" s="490" t="str">
        <f>DiemHKII!E38&amp;" "&amp;DiemHKII!F38</f>
        <v>Phạm Đức Trung</v>
      </c>
      <c r="AD44" s="478" t="str">
        <f t="shared" si="0"/>
        <v>STT 35. Phạm Đức Trung</v>
      </c>
    </row>
    <row r="45" spans="1:30">
      <c r="AB45" s="490">
        <f>DiemHKII!B39</f>
        <v>36</v>
      </c>
      <c r="AC45" s="490" t="str">
        <f>DiemHKII!E39&amp;" "&amp;DiemHKII!F39</f>
        <v>Võ Thủy Vân</v>
      </c>
      <c r="AD45" s="478" t="str">
        <f t="shared" si="0"/>
        <v>STT 36. Võ Thủy Vân</v>
      </c>
    </row>
    <row r="46" spans="1:30">
      <c r="AB46" s="490" t="str">
        <f>DiemHKII!B40</f>
        <v/>
      </c>
      <c r="AC46" s="490" t="str">
        <f>DiemHKII!E40&amp;" "&amp;DiemHKII!F40</f>
        <v xml:space="preserve"> </v>
      </c>
      <c r="AD46" s="478" t="str">
        <f t="shared" si="0"/>
        <v xml:space="preserve">STT .  </v>
      </c>
    </row>
    <row r="47" spans="1:30">
      <c r="AB47" s="490" t="str">
        <f>DiemHKII!B41</f>
        <v/>
      </c>
      <c r="AC47" s="490" t="str">
        <f>DiemHKII!E41&amp;" "&amp;DiemHKII!F41</f>
        <v xml:space="preserve"> </v>
      </c>
      <c r="AD47" s="478" t="str">
        <f t="shared" si="0"/>
        <v xml:space="preserve">STT .  </v>
      </c>
    </row>
    <row r="48" spans="1:30">
      <c r="AB48" s="490" t="str">
        <f>DiemHKII!B42</f>
        <v/>
      </c>
      <c r="AC48" s="490" t="str">
        <f>DiemHKII!E42&amp;" "&amp;DiemHKII!F42</f>
        <v xml:space="preserve"> </v>
      </c>
      <c r="AD48" s="478" t="str">
        <f t="shared" si="0"/>
        <v xml:space="preserve">STT .  </v>
      </c>
    </row>
    <row r="49" spans="28:30">
      <c r="AB49" s="490" t="str">
        <f>DiemHKII!B43</f>
        <v/>
      </c>
      <c r="AC49" s="490" t="str">
        <f>DiemHKII!E43&amp;" "&amp;DiemHKII!F43</f>
        <v xml:space="preserve"> </v>
      </c>
      <c r="AD49" s="478" t="str">
        <f t="shared" si="0"/>
        <v xml:space="preserve">STT .  </v>
      </c>
    </row>
    <row r="50" spans="28:30">
      <c r="AB50" s="490" t="str">
        <f>DiemHKII!B44</f>
        <v/>
      </c>
      <c r="AC50" s="490" t="str">
        <f>DiemHKII!E44&amp;" "&amp;DiemHKII!F44</f>
        <v xml:space="preserve"> </v>
      </c>
      <c r="AD50" s="478" t="str">
        <f t="shared" si="0"/>
        <v xml:space="preserve">STT .  </v>
      </c>
    </row>
    <row r="51" spans="28:30">
      <c r="AB51" s="490" t="str">
        <f>DiemHKII!B45</f>
        <v/>
      </c>
      <c r="AC51" s="490" t="str">
        <f>DiemHKII!E45&amp;" "&amp;DiemHKII!F45</f>
        <v xml:space="preserve"> </v>
      </c>
      <c r="AD51" s="478" t="str">
        <f t="shared" si="0"/>
        <v xml:space="preserve">STT .  </v>
      </c>
    </row>
    <row r="52" spans="28:30">
      <c r="AB52" s="490" t="str">
        <f>DiemHKII!B46</f>
        <v/>
      </c>
      <c r="AC52" s="490" t="str">
        <f>DiemHKII!E46&amp;" "&amp;DiemHKII!F46</f>
        <v xml:space="preserve"> </v>
      </c>
      <c r="AD52" s="478" t="str">
        <f t="shared" si="0"/>
        <v xml:space="preserve">STT .  </v>
      </c>
    </row>
    <row r="53" spans="28:30">
      <c r="AB53" s="490" t="str">
        <f>DiemHKII!B47</f>
        <v/>
      </c>
      <c r="AC53" s="490" t="str">
        <f>DiemHKII!E47&amp;" "&amp;DiemHKII!F47</f>
        <v xml:space="preserve"> </v>
      </c>
      <c r="AD53" s="478" t="str">
        <f t="shared" si="0"/>
        <v xml:space="preserve">STT .  </v>
      </c>
    </row>
    <row r="54" spans="28:30">
      <c r="AB54" s="490" t="str">
        <f>DiemHKII!B48</f>
        <v/>
      </c>
      <c r="AC54" s="490" t="str">
        <f>DiemHKII!E48&amp;" "&amp;DiemHKII!F48</f>
        <v xml:space="preserve"> </v>
      </c>
      <c r="AD54" s="478" t="str">
        <f t="shared" si="0"/>
        <v xml:space="preserve">STT .  </v>
      </c>
    </row>
    <row r="55" spans="28:30">
      <c r="AB55" s="490" t="str">
        <f>DiemHKII!B49</f>
        <v/>
      </c>
      <c r="AC55" s="490" t="str">
        <f>DiemHKII!E49&amp;" "&amp;DiemHKII!F49</f>
        <v xml:space="preserve"> </v>
      </c>
      <c r="AD55" s="478" t="str">
        <f t="shared" si="0"/>
        <v xml:space="preserve">STT .  </v>
      </c>
    </row>
    <row r="56" spans="28:30">
      <c r="AB56" s="490" t="str">
        <f>DiemHKII!B50</f>
        <v/>
      </c>
      <c r="AC56" s="490" t="str">
        <f>DiemHKII!E50&amp;" "&amp;DiemHKII!F50</f>
        <v xml:space="preserve"> </v>
      </c>
      <c r="AD56" s="478" t="str">
        <f t="shared" si="0"/>
        <v xml:space="preserve">STT .  </v>
      </c>
    </row>
    <row r="57" spans="28:30">
      <c r="AB57" s="490" t="str">
        <f>DiemHKII!B51</f>
        <v/>
      </c>
      <c r="AC57" s="490" t="str">
        <f>DiemHKII!E51&amp;" "&amp;DiemHKII!F51</f>
        <v xml:space="preserve"> </v>
      </c>
      <c r="AD57" s="478" t="str">
        <f t="shared" si="0"/>
        <v xml:space="preserve">STT .  </v>
      </c>
    </row>
    <row r="58" spans="28:30">
      <c r="AB58" s="490" t="str">
        <f>DiemHKII!B52</f>
        <v/>
      </c>
      <c r="AC58" s="490" t="str">
        <f>DiemHKII!E52&amp;" "&amp;DiemHKII!F52</f>
        <v xml:space="preserve"> </v>
      </c>
      <c r="AD58" s="478" t="str">
        <f t="shared" si="0"/>
        <v xml:space="preserve">STT .  </v>
      </c>
    </row>
    <row r="59" spans="28:30">
      <c r="AB59" s="490" t="str">
        <f>DiemHKII!B53</f>
        <v/>
      </c>
      <c r="AC59" s="490" t="str">
        <f>DiemHKII!E53&amp;" "&amp;DiemHKII!F53</f>
        <v xml:space="preserve"> </v>
      </c>
      <c r="AD59" s="478" t="str">
        <f t="shared" si="0"/>
        <v xml:space="preserve">STT .  </v>
      </c>
    </row>
    <row r="60" spans="28:30">
      <c r="AB60" s="490" t="str">
        <f>DiemHKII!B54</f>
        <v/>
      </c>
      <c r="AC60" s="490" t="str">
        <f>DiemHKII!E54&amp;" "&amp;DiemHKII!F54</f>
        <v xml:space="preserve"> </v>
      </c>
      <c r="AD60" s="478" t="str">
        <f t="shared" si="0"/>
        <v xml:space="preserve">STT .  </v>
      </c>
    </row>
    <row r="61" spans="28:30">
      <c r="AB61" s="490" t="str">
        <f>DiemHKII!B55</f>
        <v/>
      </c>
      <c r="AC61" s="490" t="str">
        <f>DiemHKII!E55&amp;" "&amp;DiemHKII!F55</f>
        <v xml:space="preserve"> </v>
      </c>
      <c r="AD61" s="478" t="str">
        <f t="shared" si="0"/>
        <v xml:space="preserve">STT .  </v>
      </c>
    </row>
    <row r="62" spans="28:30">
      <c r="AB62" s="490" t="str">
        <f>DiemHKII!B56</f>
        <v/>
      </c>
      <c r="AC62" s="490" t="str">
        <f>DiemHKII!E56&amp;" "&amp;DiemHKII!F56</f>
        <v xml:space="preserve"> </v>
      </c>
      <c r="AD62" s="478" t="str">
        <f t="shared" si="0"/>
        <v xml:space="preserve">STT .  </v>
      </c>
    </row>
    <row r="63" spans="28:30">
      <c r="AB63" s="490" t="str">
        <f>DiemHKII!B57</f>
        <v/>
      </c>
      <c r="AC63" s="490" t="str">
        <f>DiemHKII!E57&amp;" "&amp;DiemHKII!F57</f>
        <v xml:space="preserve"> </v>
      </c>
      <c r="AD63" s="478" t="str">
        <f t="shared" si="0"/>
        <v xml:space="preserve">STT .  </v>
      </c>
    </row>
    <row r="64" spans="28:30">
      <c r="AB64" s="490" t="str">
        <f>DiemHKII!B58</f>
        <v/>
      </c>
      <c r="AC64" s="490" t="str">
        <f>DiemHKII!E58&amp;" "&amp;DiemHKII!F58</f>
        <v xml:space="preserve"> </v>
      </c>
      <c r="AD64" s="478" t="str">
        <f t="shared" si="0"/>
        <v xml:space="preserve">STT .  </v>
      </c>
    </row>
  </sheetData>
  <sheetProtection algorithmName="SHA-512" hashValue="t5iJsmRBSTeNo4Mkxbs4DgNIyO+nybVk1OgjFVp4WSNoJLixNgRl4i7RLbOsWpms9rB6dzMgxJlD330bTHPDkw==" saltValue="K5OvOYz/LjYk58BYF+/09Q==" spinCount="100000" sheet="1" objects="1" scenarios="1"/>
  <mergeCells count="32">
    <mergeCell ref="AE9:AE10"/>
    <mergeCell ref="L9:L10"/>
    <mergeCell ref="AE3:AE4"/>
    <mergeCell ref="B9:B10"/>
    <mergeCell ref="D7:I7"/>
    <mergeCell ref="A5:M5"/>
    <mergeCell ref="A2:F2"/>
    <mergeCell ref="A3:F3"/>
    <mergeCell ref="G2:M2"/>
    <mergeCell ref="G3:M3"/>
    <mergeCell ref="G25:H25"/>
    <mergeCell ref="C25:F25"/>
    <mergeCell ref="A9:A10"/>
    <mergeCell ref="C9:F9"/>
    <mergeCell ref="D27:E27"/>
    <mergeCell ref="D28:E28"/>
    <mergeCell ref="Q8:T8"/>
    <mergeCell ref="M9:M10"/>
    <mergeCell ref="B28:C28"/>
    <mergeCell ref="B27:C27"/>
    <mergeCell ref="I26:K26"/>
    <mergeCell ref="B33:D33"/>
    <mergeCell ref="B38:D38"/>
    <mergeCell ref="G32:L32"/>
    <mergeCell ref="G33:L33"/>
    <mergeCell ref="G38:L38"/>
    <mergeCell ref="B29:C29"/>
    <mergeCell ref="B31:C31"/>
    <mergeCell ref="B30:C30"/>
    <mergeCell ref="D29:E29"/>
    <mergeCell ref="D30:E30"/>
    <mergeCell ref="D31:E31"/>
  </mergeCells>
  <dataValidations count="2">
    <dataValidation type="list" allowBlank="1" showInputMessage="1" showErrorMessage="1" sqref="O10">
      <formula1>"Giáo viên Quản nhiệm, Hiệu trưởng"</formula1>
    </dataValidation>
    <dataValidation type="list" allowBlank="1" showInputMessage="1" showErrorMessage="1" sqref="O4">
      <formula1>$AD$10:$AD$64</formula1>
    </dataValidation>
  </dataValidations>
  <pageMargins left="0.35" right="0.25" top="0.25" bottom="0.25" header="0" footer="0"/>
  <pageSetup scale="95" orientation="portrait" blackAndWhite="1" r:id="rId1"/>
  <ignoredErrors>
    <ignoredError sqref="L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Ghinhanxethk22">
                <anchor moveWithCells="1" sizeWithCells="1">
                  <from>
                    <xdr:col>14</xdr:col>
                    <xdr:colOff>297180</xdr:colOff>
                    <xdr:row>31</xdr:row>
                    <xdr:rowOff>22860</xdr:rowOff>
                  </from>
                  <to>
                    <xdr:col>14</xdr:col>
                    <xdr:colOff>1722120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Nhapdiemhk2">
                <anchor moveWithCells="1" sizeWithCells="1">
                  <from>
                    <xdr:col>14</xdr:col>
                    <xdr:colOff>289560</xdr:colOff>
                    <xdr:row>5</xdr:row>
                    <xdr:rowOff>68580</xdr:rowOff>
                  </from>
                  <to>
                    <xdr:col>14</xdr:col>
                    <xdr:colOff>1699260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0" tint="-0.34998626667073579"/>
    <pageSetUpPr fitToPage="1"/>
  </sheetPr>
  <dimension ref="A1:M2479"/>
  <sheetViews>
    <sheetView workbookViewId="0">
      <pane ySplit="1" topLeftCell="A32" activePane="bottomLeft" state="frozen"/>
      <selection pane="bottomLeft" activeCell="C63" sqref="C63"/>
    </sheetView>
  </sheetViews>
  <sheetFormatPr defaultColWidth="9.109375" defaultRowHeight="15.6"/>
  <cols>
    <col min="1" max="1" width="10.44140625" style="57" customWidth="1"/>
    <col min="2" max="2" width="19.5546875" style="57" customWidth="1"/>
    <col min="3" max="3" width="16.6640625" style="57" customWidth="1"/>
    <col min="4" max="5" width="16.33203125" style="57" customWidth="1"/>
    <col min="6" max="6" width="16.6640625" style="57" customWidth="1"/>
    <col min="7" max="7" width="2" style="57" customWidth="1"/>
    <col min="8" max="8" width="26" style="57" customWidth="1"/>
    <col min="9" max="9" width="4.109375" style="57" customWidth="1"/>
    <col min="10" max="10" width="12.6640625" style="57" hidden="1" customWidth="1"/>
    <col min="11" max="13" width="7.109375" style="57" hidden="1" customWidth="1"/>
    <col min="14" max="16384" width="9.109375" style="57"/>
  </cols>
  <sheetData>
    <row r="1" spans="1:13" ht="25.5" customHeight="1"/>
    <row r="2" spans="1:13" s="60" customFormat="1" ht="22.5" customHeight="1">
      <c r="A2" s="1128" t="str">
        <f>IF('Huong dan'!$E$3&lt;&gt;"","SỞ GIÁO DỤC VÀ ĐÀO TẠO "&amp;UPPER('Huong dan'!$E$3),"")</f>
        <v>SỞ GIÁO DỤC VÀ ĐÀO TẠO TP. HỒ CHÍ MINH</v>
      </c>
      <c r="B2" s="1128"/>
      <c r="C2" s="1128"/>
      <c r="D2" s="1129" t="s">
        <v>19</v>
      </c>
      <c r="E2" s="1129"/>
      <c r="F2" s="1129"/>
    </row>
    <row r="3" spans="1:13" ht="17.25" customHeight="1">
      <c r="A3" s="992" t="str">
        <f>IF('Huong dan'!$E$4&lt;&gt;"","TRƯỜNG "&amp;UPPER('Huong dan'!$E$4),"")</f>
        <v>TRƯỜNG THCS VÀ THPT NGUYỄN KHUYẾN</v>
      </c>
      <c r="B3" s="992"/>
      <c r="C3" s="992"/>
      <c r="D3" s="1130" t="s">
        <v>179</v>
      </c>
      <c r="E3" s="1130"/>
      <c r="F3" s="1130"/>
    </row>
    <row r="4" spans="1:13" ht="12" customHeight="1">
      <c r="A4" s="69"/>
      <c r="B4" s="69"/>
      <c r="C4" s="30"/>
      <c r="D4" s="30"/>
      <c r="E4" s="30"/>
      <c r="F4" s="30"/>
    </row>
    <row r="5" spans="1:13" ht="18" customHeight="1">
      <c r="A5" s="69"/>
      <c r="B5" s="69"/>
      <c r="C5" s="30"/>
      <c r="D5" s="30"/>
      <c r="E5" s="30"/>
      <c r="F5" s="30"/>
    </row>
    <row r="6" spans="1:13" ht="29.25" customHeight="1">
      <c r="A6" s="1013" t="str">
        <f>"PHIẾU ĐIỂM NĂM HỌC "&amp;'Huong dan'!$C$5</f>
        <v>PHIẾU ĐIỂM NĂM HỌC 2021 - 2022</v>
      </c>
      <c r="B6" s="1013"/>
      <c r="C6" s="1013"/>
      <c r="D6" s="1013"/>
      <c r="E6" s="1013"/>
      <c r="F6" s="1013"/>
      <c r="H6" s="335" t="s">
        <v>79</v>
      </c>
    </row>
    <row r="7" spans="1:13" ht="12.75" customHeight="1">
      <c r="A7" s="70"/>
      <c r="B7" s="66"/>
      <c r="C7" s="66"/>
      <c r="D7" s="66"/>
      <c r="E7" s="66"/>
      <c r="F7" s="66"/>
      <c r="H7" s="337" t="s">
        <v>154</v>
      </c>
    </row>
    <row r="8" spans="1:13" ht="20.25" customHeight="1">
      <c r="A8" s="1131" t="s">
        <v>212</v>
      </c>
      <c r="B8" s="1131"/>
      <c r="C8" s="77" t="str">
        <f>IF(F46="","",INDEX(DiemHKII!$E$4:$E$58,MATCH(F46,DiemHKII!$B$4:$B$58,0),1)&amp;" "&amp;INDEX(DiemHKII!$F$4:$F$58,MATCH(F46,DiemHKII!$B$4:$B$58,0),1))</f>
        <v>Phạm Huỳnh Hiệp An</v>
      </c>
      <c r="D8" s="77"/>
      <c r="E8" s="77"/>
      <c r="F8" s="71" t="str">
        <f>IF('Huong dan'!$C$3="","","Lớp: "&amp;'Huong dan'!$C$3)</f>
        <v>Lớp: 12A1</v>
      </c>
    </row>
    <row r="9" spans="1:13" ht="24" customHeight="1">
      <c r="A9" s="1131" t="s">
        <v>213</v>
      </c>
      <c r="B9" s="1131"/>
      <c r="C9" s="77" t="str">
        <f>IF(F46="","",INDEX(DiemHKII!$G$4:$G$58,MATCH(F46,DiemHKII!$B$4:$B$58,0),1))</f>
        <v>16/10/2004</v>
      </c>
      <c r="D9" s="77"/>
      <c r="E9" s="1133" t="str">
        <f>IF(F46="","","Nơi sinh: "&amp;INDEX(DiemHKII!$H$4:$H$58,MATCH(F46,DiemHKII!$B$4:$B$58,0),1))</f>
        <v xml:space="preserve">Nơi sinh: </v>
      </c>
      <c r="F9" s="1133"/>
      <c r="H9" s="326" t="s">
        <v>173</v>
      </c>
    </row>
    <row r="10" spans="1:13" ht="15" customHeight="1">
      <c r="A10" s="62"/>
      <c r="B10" s="62"/>
      <c r="C10" s="62"/>
      <c r="D10" s="62"/>
      <c r="E10" s="62"/>
      <c r="F10" s="63"/>
      <c r="H10" s="336" t="s">
        <v>174</v>
      </c>
    </row>
    <row r="11" spans="1:13" ht="21" customHeight="1">
      <c r="A11" s="1134" t="s">
        <v>0</v>
      </c>
      <c r="B11" s="1134" t="s">
        <v>72</v>
      </c>
      <c r="C11" s="1134" t="s">
        <v>216</v>
      </c>
      <c r="D11" s="1134"/>
      <c r="E11" s="1134"/>
      <c r="F11" s="1134" t="s">
        <v>148</v>
      </c>
      <c r="H11" s="333"/>
      <c r="K11" s="57" t="s">
        <v>73</v>
      </c>
      <c r="L11" s="57" t="s">
        <v>176</v>
      </c>
      <c r="M11" s="57" t="s">
        <v>104</v>
      </c>
    </row>
    <row r="12" spans="1:13" ht="21" customHeight="1">
      <c r="A12" s="1134"/>
      <c r="B12" s="1134"/>
      <c r="C12" s="476" t="s">
        <v>188</v>
      </c>
      <c r="D12" s="476" t="s">
        <v>189</v>
      </c>
      <c r="E12" s="476" t="s">
        <v>190</v>
      </c>
      <c r="F12" s="1134"/>
      <c r="K12" s="57">
        <v>2</v>
      </c>
      <c r="L12" s="57">
        <v>3</v>
      </c>
      <c r="M12" s="57">
        <v>4</v>
      </c>
    </row>
    <row r="13" spans="1:13" ht="21" customHeight="1">
      <c r="A13" s="72" t="s">
        <v>191</v>
      </c>
      <c r="B13" s="73" t="s">
        <v>26</v>
      </c>
      <c r="C13" s="74" t="str">
        <f>INDEX('TH CANAM'!$A$9:$BF$63,MATCH(PDNam!$F46,'TH CANAM'!$A$9:$A$63,0),INDEX($J$13:$M$30,MATCH($B13,$J$13:$J$30,0),K$12))</f>
        <v/>
      </c>
      <c r="D13" s="74" t="str">
        <f>INDEX('TH CANAM'!$A$9:$BF$63,MATCH(PDNam!$F46,'TH CANAM'!$A$9:$A$63,0),INDEX($J$13:$M$30,MATCH($B13,$J$13:$J$30,0),L$12))</f>
        <v/>
      </c>
      <c r="E13" s="74" t="str">
        <f>INDEX('TH CANAM'!$A$9:$BF$63,MATCH(PDNam!$F46,'TH CANAM'!$A$9:$A$63,0),INDEX($J$13:$M$30,MATCH($B13,$J$13:$J$30,0),M$12))</f>
        <v/>
      </c>
      <c r="F13" s="73"/>
      <c r="H13" s="90"/>
      <c r="I13" s="64"/>
      <c r="J13" s="64" t="s">
        <v>26</v>
      </c>
      <c r="K13" s="57">
        <v>4</v>
      </c>
      <c r="L13" s="57">
        <v>5</v>
      </c>
      <c r="M13" s="57">
        <v>6</v>
      </c>
    </row>
    <row r="14" spans="1:13" ht="21" customHeight="1">
      <c r="A14" s="72" t="s">
        <v>192</v>
      </c>
      <c r="B14" s="73" t="s">
        <v>27</v>
      </c>
      <c r="C14" s="74" t="str">
        <f>INDEX('TH CANAM'!$A$9:$BF$63,MATCH(PDNam!$F46,'TH CANAM'!$A$9:$A$63,0),INDEX($J$13:$M$30,MATCH($B14,$J$13:$J$30,0),K$12))</f>
        <v/>
      </c>
      <c r="D14" s="74" t="str">
        <f>INDEX('TH CANAM'!$A$9:$BF$63,MATCH(PDNam!$F46,'TH CANAM'!$A$9:$A$63,0),INDEX($J$13:$M$30,MATCH($B14,$J$13:$J$30,0),L$12))</f>
        <v/>
      </c>
      <c r="E14" s="74" t="str">
        <f>INDEX('TH CANAM'!$A$9:$BF$63,MATCH(PDNam!$F46,'TH CANAM'!$A$9:$A$63,0),INDEX($J$13:$M$30,MATCH($B14,$J$13:$J$30,0),M$12))</f>
        <v/>
      </c>
      <c r="F14" s="73"/>
      <c r="H14" s="90"/>
      <c r="I14" s="64"/>
      <c r="J14" s="64" t="s">
        <v>27</v>
      </c>
      <c r="K14" s="57">
        <f>M13+1</f>
        <v>7</v>
      </c>
      <c r="L14" s="57">
        <f>K14+1</f>
        <v>8</v>
      </c>
      <c r="M14" s="57">
        <f>L14+1</f>
        <v>9</v>
      </c>
    </row>
    <row r="15" spans="1:13" ht="21" customHeight="1">
      <c r="A15" s="72" t="s">
        <v>193</v>
      </c>
      <c r="B15" s="73" t="s">
        <v>28</v>
      </c>
      <c r="C15" s="74" t="str">
        <f>INDEX('TH CANAM'!$A$9:$BF$63,MATCH(PDNam!$F46,'TH CANAM'!$A$9:$A$63,0),INDEX($J$13:$M$30,MATCH($B15,$J$13:$J$30,0),K$12))</f>
        <v/>
      </c>
      <c r="D15" s="74" t="str">
        <f>INDEX('TH CANAM'!$A$9:$BF$63,MATCH(PDNam!$F46,'TH CANAM'!$A$9:$A$63,0),INDEX($J$13:$M$30,MATCH($B15,$J$13:$J$30,0),L$12))</f>
        <v/>
      </c>
      <c r="E15" s="74" t="str">
        <f>INDEX('TH CANAM'!$A$9:$BF$63,MATCH(PDNam!$F46,'TH CANAM'!$A$9:$A$63,0),INDEX($J$13:$M$30,MATCH($B15,$J$13:$J$30,0),M$12))</f>
        <v/>
      </c>
      <c r="F15" s="73"/>
      <c r="I15" s="64"/>
      <c r="J15" s="64" t="s">
        <v>28</v>
      </c>
      <c r="K15" s="57">
        <f t="shared" ref="K15:K26" si="0">M14+1</f>
        <v>10</v>
      </c>
      <c r="L15" s="57">
        <f t="shared" ref="L15:M15" si="1">K15+1</f>
        <v>11</v>
      </c>
      <c r="M15" s="57">
        <f t="shared" si="1"/>
        <v>12</v>
      </c>
    </row>
    <row r="16" spans="1:13" ht="21" customHeight="1">
      <c r="A16" s="72" t="s">
        <v>194</v>
      </c>
      <c r="B16" s="73" t="s">
        <v>29</v>
      </c>
      <c r="C16" s="74" t="str">
        <f>INDEX('TH CANAM'!$A$9:$BF$63,MATCH(PDNam!$F46,'TH CANAM'!$A$9:$A$63,0),INDEX($J$13:$M$30,MATCH($B16,$J$13:$J$30,0),K$12))</f>
        <v/>
      </c>
      <c r="D16" s="74" t="str">
        <f>INDEX('TH CANAM'!$A$9:$BF$63,MATCH(PDNam!$F46,'TH CANAM'!$A$9:$A$63,0),INDEX($J$13:$M$30,MATCH($B16,$J$13:$J$30,0),L$12))</f>
        <v/>
      </c>
      <c r="E16" s="74" t="str">
        <f>INDEX('TH CANAM'!$A$9:$BF$63,MATCH(PDNam!$F46,'TH CANAM'!$A$9:$A$63,0),INDEX($J$13:$M$30,MATCH($B16,$J$13:$J$30,0),M$12))</f>
        <v/>
      </c>
      <c r="F16" s="73"/>
      <c r="I16" s="64"/>
      <c r="J16" s="64" t="s">
        <v>29</v>
      </c>
      <c r="K16" s="57">
        <f t="shared" si="0"/>
        <v>13</v>
      </c>
      <c r="L16" s="57">
        <f t="shared" ref="L16:M16" si="2">K16+1</f>
        <v>14</v>
      </c>
      <c r="M16" s="57">
        <f t="shared" si="2"/>
        <v>15</v>
      </c>
    </row>
    <row r="17" spans="1:13" ht="21" customHeight="1">
      <c r="A17" s="72" t="s">
        <v>195</v>
      </c>
      <c r="B17" s="73" t="s">
        <v>120</v>
      </c>
      <c r="C17" s="74" t="str">
        <f>INDEX('TH CANAM'!$A$9:$BF$63,MATCH(PDNam!$F46,'TH CANAM'!$A$9:$A$63,0),INDEX($J$13:$M$30,MATCH($B17,$J$13:$J$30,0),K$12))</f>
        <v/>
      </c>
      <c r="D17" s="74" t="str">
        <f>INDEX('TH CANAM'!$A$9:$BF$63,MATCH(PDNam!$F46,'TH CANAM'!$A$9:$A$63,0),INDEX($J$13:$M$30,MATCH($B17,$J$13:$J$30,0),L$12))</f>
        <v/>
      </c>
      <c r="E17" s="74" t="str">
        <f>INDEX('TH CANAM'!$A$9:$BF$63,MATCH(PDNam!$F46,'TH CANAM'!$A$9:$A$63,0),INDEX($J$13:$M$30,MATCH($B17,$J$13:$J$30,0),M$12))</f>
        <v/>
      </c>
      <c r="F17" s="73"/>
      <c r="I17" s="64"/>
      <c r="J17" s="64" t="s">
        <v>120</v>
      </c>
      <c r="K17" s="57">
        <f t="shared" si="0"/>
        <v>16</v>
      </c>
      <c r="L17" s="57">
        <f t="shared" ref="L17:M17" si="3">K17+1</f>
        <v>17</v>
      </c>
      <c r="M17" s="57">
        <f t="shared" si="3"/>
        <v>18</v>
      </c>
    </row>
    <row r="18" spans="1:13" ht="21" customHeight="1">
      <c r="A18" s="72" t="s">
        <v>196</v>
      </c>
      <c r="B18" s="73" t="s">
        <v>30</v>
      </c>
      <c r="C18" s="74" t="str">
        <f>INDEX('TH CANAM'!$A$9:$BF$63,MATCH(PDNam!$F46,'TH CANAM'!$A$9:$A$63,0),INDEX($J$13:$M$30,MATCH($B18,$J$13:$J$30,0),K$12))</f>
        <v/>
      </c>
      <c r="D18" s="74" t="str">
        <f>INDEX('TH CANAM'!$A$9:$BF$63,MATCH(PDNam!$F46,'TH CANAM'!$A$9:$A$63,0),INDEX($J$13:$M$30,MATCH($B18,$J$13:$J$30,0),L$12))</f>
        <v/>
      </c>
      <c r="E18" s="74" t="str">
        <f>INDEX('TH CANAM'!$A$9:$BF$63,MATCH(PDNam!$F46,'TH CANAM'!$A$9:$A$63,0),INDEX($J$13:$M$30,MATCH($B18,$J$13:$J$30,0),M$12))</f>
        <v/>
      </c>
      <c r="F18" s="73"/>
      <c r="I18" s="64"/>
      <c r="J18" s="64" t="s">
        <v>30</v>
      </c>
      <c r="K18" s="57">
        <f t="shared" si="0"/>
        <v>19</v>
      </c>
      <c r="L18" s="57">
        <f t="shared" ref="L18:M18" si="4">K18+1</f>
        <v>20</v>
      </c>
      <c r="M18" s="57">
        <f t="shared" si="4"/>
        <v>21</v>
      </c>
    </row>
    <row r="19" spans="1:13" ht="21" customHeight="1">
      <c r="A19" s="72" t="s">
        <v>197</v>
      </c>
      <c r="B19" s="73" t="s">
        <v>31</v>
      </c>
      <c r="C19" s="74" t="str">
        <f>INDEX('TH CANAM'!$A$9:$BF$63,MATCH(PDNam!$F46,'TH CANAM'!$A$9:$A$63,0),INDEX($J$13:$M$30,MATCH($B19,$J$13:$J$30,0),K$12))</f>
        <v/>
      </c>
      <c r="D19" s="74" t="str">
        <f>INDEX('TH CANAM'!$A$9:$BF$63,MATCH(PDNam!$F46,'TH CANAM'!$A$9:$A$63,0),INDEX($J$13:$M$30,MATCH($B19,$J$13:$J$30,0),L$12))</f>
        <v/>
      </c>
      <c r="E19" s="74" t="str">
        <f>INDEX('TH CANAM'!$A$9:$BF$63,MATCH(PDNam!$F46,'TH CANAM'!$A$9:$A$63,0),INDEX($J$13:$M$30,MATCH($B19,$J$13:$J$30,0),M$12))</f>
        <v/>
      </c>
      <c r="F19" s="73"/>
      <c r="I19" s="64"/>
      <c r="J19" s="64" t="s">
        <v>31</v>
      </c>
      <c r="K19" s="57">
        <f t="shared" si="0"/>
        <v>22</v>
      </c>
      <c r="L19" s="57">
        <f t="shared" ref="L19:M19" si="5">K19+1</f>
        <v>23</v>
      </c>
      <c r="M19" s="57">
        <f t="shared" si="5"/>
        <v>24</v>
      </c>
    </row>
    <row r="20" spans="1:13" ht="21" customHeight="1">
      <c r="A20" s="72" t="s">
        <v>198</v>
      </c>
      <c r="B20" s="73" t="s">
        <v>32</v>
      </c>
      <c r="C20" s="74" t="str">
        <f>INDEX('TH CANAM'!$A$9:$BF$63,MATCH(PDNam!$F46,'TH CANAM'!$A$9:$A$63,0),INDEX($J$13:$M$30,MATCH($B20,$J$13:$J$30,0),K$12))</f>
        <v/>
      </c>
      <c r="D20" s="74" t="str">
        <f>INDEX('TH CANAM'!$A$9:$BF$63,MATCH(PDNam!$F46,'TH CANAM'!$A$9:$A$63,0),INDEX($J$13:$M$30,MATCH($B20,$J$13:$J$30,0),L$12))</f>
        <v/>
      </c>
      <c r="E20" s="74" t="str">
        <f>INDEX('TH CANAM'!$A$9:$BF$63,MATCH(PDNam!$F46,'TH CANAM'!$A$9:$A$63,0),INDEX($J$13:$M$30,MATCH($B20,$J$13:$J$30,0),M$12))</f>
        <v/>
      </c>
      <c r="F20" s="73"/>
      <c r="I20" s="64"/>
      <c r="J20" s="64" t="s">
        <v>32</v>
      </c>
      <c r="K20" s="57">
        <f t="shared" si="0"/>
        <v>25</v>
      </c>
      <c r="L20" s="57">
        <f t="shared" ref="L20:M20" si="6">K20+1</f>
        <v>26</v>
      </c>
      <c r="M20" s="57">
        <f t="shared" si="6"/>
        <v>27</v>
      </c>
    </row>
    <row r="21" spans="1:13" ht="21" customHeight="1">
      <c r="A21" s="72" t="s">
        <v>199</v>
      </c>
      <c r="B21" s="73" t="s">
        <v>33</v>
      </c>
      <c r="C21" s="74" t="str">
        <f>INDEX('TH CANAM'!$A$9:$BF$63,MATCH(PDNam!$F46,'TH CANAM'!$A$9:$A$63,0),INDEX($J$13:$M$30,MATCH($B21,$J$13:$J$30,0),K$12))</f>
        <v/>
      </c>
      <c r="D21" s="74" t="str">
        <f>INDEX('TH CANAM'!$A$9:$BF$63,MATCH(PDNam!$F46,'TH CANAM'!$A$9:$A$63,0),INDEX($J$13:$M$30,MATCH($B21,$J$13:$J$30,0),L$12))</f>
        <v/>
      </c>
      <c r="E21" s="74" t="str">
        <f>INDEX('TH CANAM'!$A$9:$BF$63,MATCH(PDNam!$F46,'TH CANAM'!$A$9:$A$63,0),INDEX($J$13:$M$30,MATCH($B21,$J$13:$J$30,0),M$12))</f>
        <v/>
      </c>
      <c r="F21" s="73"/>
      <c r="I21" s="64"/>
      <c r="J21" s="64" t="s">
        <v>33</v>
      </c>
      <c r="K21" s="57">
        <f t="shared" si="0"/>
        <v>28</v>
      </c>
      <c r="L21" s="57">
        <f t="shared" ref="L21:M21" si="7">K21+1</f>
        <v>29</v>
      </c>
      <c r="M21" s="57">
        <f t="shared" si="7"/>
        <v>30</v>
      </c>
    </row>
    <row r="22" spans="1:13" ht="21" customHeight="1">
      <c r="A22" s="72" t="s">
        <v>200</v>
      </c>
      <c r="B22" s="73" t="s">
        <v>60</v>
      </c>
      <c r="C22" s="74" t="str">
        <f>INDEX('TH CANAM'!$A$9:$BF$63,MATCH(PDNam!$F46,'TH CANAM'!$A$9:$A$63,0),INDEX($J$13:$M$30,MATCH($B22,$J$13:$J$30,0),K$12))</f>
        <v/>
      </c>
      <c r="D22" s="74" t="str">
        <f>INDEX('TH CANAM'!$A$9:$BF$63,MATCH(PDNam!$F46,'TH CANAM'!$A$9:$A$63,0),INDEX($J$13:$M$30,MATCH($B22,$J$13:$J$30,0),L$12))</f>
        <v/>
      </c>
      <c r="E22" s="74" t="str">
        <f>INDEX('TH CANAM'!$A$9:$BF$63,MATCH(PDNam!$F46,'TH CANAM'!$A$9:$A$63,0),INDEX($J$13:$M$30,MATCH($B22,$J$13:$J$30,0),M$12))</f>
        <v/>
      </c>
      <c r="F22" s="73"/>
      <c r="I22" s="64"/>
      <c r="J22" s="64" t="s">
        <v>60</v>
      </c>
      <c r="K22" s="57">
        <f t="shared" si="0"/>
        <v>31</v>
      </c>
      <c r="L22" s="57">
        <f t="shared" ref="L22:M22" si="8">K22+1</f>
        <v>32</v>
      </c>
      <c r="M22" s="57">
        <f t="shared" si="8"/>
        <v>33</v>
      </c>
    </row>
    <row r="23" spans="1:13" ht="21" customHeight="1">
      <c r="A23" s="72" t="s">
        <v>201</v>
      </c>
      <c r="B23" s="73" t="s">
        <v>34</v>
      </c>
      <c r="C23" s="74" t="str">
        <f>INDEX('TH CANAM'!$A$9:$BF$63,MATCH(PDNam!$F46,'TH CANAM'!$A$9:$A$63,0),INDEX($J$13:$M$30,MATCH($B23,$J$13:$J$30,0),K$12))</f>
        <v/>
      </c>
      <c r="D23" s="74" t="str">
        <f>INDEX('TH CANAM'!$A$9:$BF$63,MATCH(PDNam!$F46,'TH CANAM'!$A$9:$A$63,0),INDEX($J$13:$M$30,MATCH($B23,$J$13:$J$30,0),L$12))</f>
        <v/>
      </c>
      <c r="E23" s="74" t="str">
        <f>INDEX('TH CANAM'!$A$9:$BF$63,MATCH(PDNam!$F46,'TH CANAM'!$A$9:$A$63,0),INDEX($J$13:$M$30,MATCH($B23,$J$13:$J$30,0),M$12))</f>
        <v/>
      </c>
      <c r="F23" s="73"/>
      <c r="I23" s="64"/>
      <c r="J23" s="64" t="s">
        <v>34</v>
      </c>
      <c r="K23" s="57">
        <f t="shared" si="0"/>
        <v>34</v>
      </c>
      <c r="L23" s="57">
        <f t="shared" ref="L23:M23" si="9">K23+1</f>
        <v>35</v>
      </c>
      <c r="M23" s="57">
        <f t="shared" si="9"/>
        <v>36</v>
      </c>
    </row>
    <row r="24" spans="1:13" ht="21" customHeight="1">
      <c r="A24" s="72" t="s">
        <v>202</v>
      </c>
      <c r="B24" s="73" t="s">
        <v>35</v>
      </c>
      <c r="C24" s="74" t="str">
        <f>INDEX('TH CANAM'!$A$9:$BF$63,MATCH(PDNam!$F46,'TH CANAM'!$A$9:$A$63,0),INDEX($J$13:$M$30,MATCH($B24,$J$13:$J$30,0),K$12))</f>
        <v/>
      </c>
      <c r="D24" s="74" t="str">
        <f>INDEX('TH CANAM'!$A$9:$BF$63,MATCH(PDNam!$F46,'TH CANAM'!$A$9:$A$63,0),INDEX($J$13:$M$30,MATCH($B24,$J$13:$J$30,0),L$12))</f>
        <v/>
      </c>
      <c r="E24" s="74" t="str">
        <f>INDEX('TH CANAM'!$A$9:$BF$63,MATCH(PDNam!$F46,'TH CANAM'!$A$9:$A$63,0),INDEX($J$13:$M$30,MATCH($B24,$J$13:$J$30,0),M$12))</f>
        <v/>
      </c>
      <c r="F24" s="73"/>
      <c r="I24" s="64"/>
      <c r="J24" s="64" t="s">
        <v>35</v>
      </c>
      <c r="K24" s="57">
        <f t="shared" si="0"/>
        <v>37</v>
      </c>
      <c r="L24" s="57">
        <f t="shared" ref="L24:M24" si="10">K24+1</f>
        <v>38</v>
      </c>
      <c r="M24" s="57">
        <f t="shared" si="10"/>
        <v>39</v>
      </c>
    </row>
    <row r="25" spans="1:13" ht="21" customHeight="1">
      <c r="A25" s="72" t="s">
        <v>203</v>
      </c>
      <c r="B25" s="73" t="s">
        <v>121</v>
      </c>
      <c r="C25" s="74" t="str">
        <f>INDEX('TH CANAM'!$A$9:$BF$63,MATCH(PDNam!$F46,'TH CANAM'!$A$9:$A$63,0),INDEX($J$13:$M$30,MATCH($B25,$J$13:$J$30,0),K$12))</f>
        <v/>
      </c>
      <c r="D25" s="74" t="str">
        <f>INDEX('TH CANAM'!$A$9:$BF$63,MATCH(PDNam!$F46,'TH CANAM'!$A$9:$A$63,0),INDEX($J$13:$M$30,MATCH($B25,$J$13:$J$30,0),L$12))</f>
        <v/>
      </c>
      <c r="E25" s="74" t="str">
        <f>INDEX('TH CANAM'!$A$9:$BF$63,MATCH(PDNam!$F46,'TH CANAM'!$A$9:$A$63,0),INDEX($J$13:$M$30,MATCH($B25,$J$13:$J$30,0),M$12))</f>
        <v/>
      </c>
      <c r="F25" s="73"/>
      <c r="I25" s="64"/>
      <c r="J25" s="64" t="s">
        <v>121</v>
      </c>
      <c r="K25" s="57">
        <f t="shared" si="0"/>
        <v>40</v>
      </c>
      <c r="L25" s="57">
        <f t="shared" ref="L25:M25" si="11">K25+1</f>
        <v>41</v>
      </c>
      <c r="M25" s="57">
        <f t="shared" si="11"/>
        <v>42</v>
      </c>
    </row>
    <row r="26" spans="1:13" ht="21" customHeight="1">
      <c r="A26" s="72" t="s">
        <v>204</v>
      </c>
      <c r="B26" s="73" t="s">
        <v>122</v>
      </c>
      <c r="C26" s="74" t="str">
        <f>INDEX('TH CANAM'!$A$9:$BF$63,MATCH(PDNam!$F46,'TH CANAM'!$A$9:$A$63,0),INDEX($J$13:$M$30,MATCH($B26,$J$13:$J$30,0),K$12))</f>
        <v/>
      </c>
      <c r="D26" s="74" t="str">
        <f>INDEX('TH CANAM'!$A$9:$BF$63,MATCH(PDNam!$F46,'TH CANAM'!$A$9:$A$63,0),INDEX($J$13:$M$30,MATCH($B26,$J$13:$J$30,0),L$12))</f>
        <v/>
      </c>
      <c r="E26" s="74" t="str">
        <f>INDEX('TH CANAM'!$A$9:$BF$63,MATCH(PDNam!$F46,'TH CANAM'!$A$9:$A$63,0),INDEX($J$13:$M$30,MATCH($B26,$J$13:$J$30,0),M$12))</f>
        <v/>
      </c>
      <c r="F26" s="73"/>
      <c r="I26" s="64"/>
      <c r="J26" s="64" t="s">
        <v>122</v>
      </c>
      <c r="K26" s="57">
        <f t="shared" si="0"/>
        <v>43</v>
      </c>
      <c r="L26" s="57">
        <f t="shared" ref="L26:M26" si="12">K26+1</f>
        <v>44</v>
      </c>
      <c r="M26" s="57">
        <f t="shared" si="12"/>
        <v>45</v>
      </c>
    </row>
    <row r="27" spans="1:13" ht="21" customHeight="1">
      <c r="A27" s="72" t="s">
        <v>208</v>
      </c>
      <c r="B27" s="73" t="s">
        <v>205</v>
      </c>
      <c r="C27" s="78">
        <f>INDEX('TH CANAM'!$A$9:$BF$63,MATCH(PDNam!$F46,'TH CANAM'!$A$9:$A$63,0),46)</f>
        <v>9.3000000000000007</v>
      </c>
      <c r="D27" s="78" t="str">
        <f>INDEX('TH CANAM'!$A$9:$BF$63,MATCH(PDNam!$F46,'TH CANAM'!$A$9:$A$63,0),47)</f>
        <v/>
      </c>
      <c r="E27" s="78" t="str">
        <f>INDEX('TH CANAM'!$A$9:$BF$63,MATCH(PDNam!$F46,'TH CANAM'!$A$9:$A$63,0),48)</f>
        <v/>
      </c>
      <c r="F27" s="73"/>
      <c r="I27" s="64"/>
      <c r="J27" s="64" t="s">
        <v>272</v>
      </c>
      <c r="K27" s="57">
        <v>46</v>
      </c>
      <c r="L27" s="57">
        <v>47</v>
      </c>
      <c r="M27" s="57">
        <v>48</v>
      </c>
    </row>
    <row r="28" spans="1:13" ht="21" customHeight="1">
      <c r="A28" s="72" t="s">
        <v>209</v>
      </c>
      <c r="B28" s="72" t="s">
        <v>206</v>
      </c>
      <c r="C28" s="78" t="str">
        <f>IF(INDEX('TH CANAM'!$A$9:$BF$63,MATCH(PDNam!$F46,'TH CANAM'!$A$9:$A$63,0),49)="Tb","Trung bình",INDEX('TH CANAM'!$A$9:$BF$63,MATCH(PDNam!$F46,'TH CANAM'!$A$9:$A$63,0),49))</f>
        <v>Giỏi</v>
      </c>
      <c r="D28" s="78" t="str">
        <f>IF(INDEX('TH CANAM'!$A$9:$BF$63,MATCH(PDNam!$F46,'TH CANAM'!$A$9:$A$63,0),50)="Tb","Trung bình",INDEX('TH CANAM'!$A$9:$BF$63,MATCH(PDNam!$F46,'TH CANAM'!$A$9:$A$63,0),50))</f>
        <v/>
      </c>
      <c r="E28" s="78" t="str">
        <f>IF(INDEX('TH CANAM'!$A$9:$BF$63,MATCH(PDNam!$F46,'TH CANAM'!$A$9:$A$63,0),51)="Tb","Trung bình",INDEX('TH CANAM'!$A$9:$BF$63,MATCH(PDNam!$F46,'TH CANAM'!$A$9:$A$63,0),51))</f>
        <v/>
      </c>
      <c r="F28" s="73"/>
      <c r="J28" s="57" t="s">
        <v>273</v>
      </c>
      <c r="K28" s="57">
        <v>49</v>
      </c>
      <c r="L28" s="57">
        <v>50</v>
      </c>
      <c r="M28" s="57">
        <v>51</v>
      </c>
    </row>
    <row r="29" spans="1:13" ht="21" customHeight="1">
      <c r="A29" s="72" t="s">
        <v>210</v>
      </c>
      <c r="B29" s="72" t="s">
        <v>207</v>
      </c>
      <c r="C29" s="78" t="str">
        <f>INDEX('TH CANAM'!$A$9:$BF$63,MATCH(PDNam!$F46,'TH CANAM'!$A$9:$A$63,0),52)</f>
        <v>Tốt</v>
      </c>
      <c r="D29" s="78" t="str">
        <f>INDEX('TH CANAM'!$A$9:$BF$63,MATCH(PDNam!$F46,'TH CANAM'!$A$9:$A$63,0),53)</f>
        <v/>
      </c>
      <c r="E29" s="78" t="str">
        <f>INDEX('TH CANAM'!$A$9:$BF$63,MATCH(PDNam!$F46,'TH CANAM'!$A$9:$A$63,0),54)</f>
        <v/>
      </c>
      <c r="F29" s="73"/>
      <c r="J29" s="57" t="s">
        <v>274</v>
      </c>
      <c r="K29" s="57">
        <v>52</v>
      </c>
      <c r="L29" s="57">
        <v>53</v>
      </c>
      <c r="M29" s="57">
        <v>54</v>
      </c>
    </row>
    <row r="30" spans="1:13" ht="21" customHeight="1">
      <c r="A30" s="72" t="s">
        <v>211</v>
      </c>
      <c r="B30" s="72" t="s">
        <v>25</v>
      </c>
      <c r="C30" s="78" t="str">
        <f>IF(INDEX('TH CANAM'!$A$9:$BF$63,MATCH(PDNam!$F46,'TH CANAM'!$A$9:$A$63,0),57)&lt;&gt;"",INDEX('TH CANAM'!$A$9:$BF$63,MATCH(PDNam!$F46,'TH CANAM'!$A$9:$A$63,0),57),"/")</f>
        <v>HSG</v>
      </c>
      <c r="D30" s="78" t="str">
        <f>IF(INDEX('TH CANAM'!$A$9:$BF$63,MATCH(PDNam!$F46,'TH CANAM'!$A$9:$A$63,0),58)&lt;&gt;"",INDEX('TH CANAM'!$A$9:$BF$63,MATCH(PDNam!$F46,'TH CANAM'!$A$9:$A$63,0),58),"/")</f>
        <v>/</v>
      </c>
      <c r="E30" s="78" t="str">
        <f>IF(INDEX('TH CANAM'!$A$9:$BF$63,MATCH(PDNam!$F46,'TH CANAM'!$A$9:$A$63,0),55)&lt;&gt;"",INDEX('TH CANAM'!$A$9:$BF$63,MATCH(PDNam!$F46,'TH CANAM'!$A$9:$A$63,0),55),"/")</f>
        <v>/</v>
      </c>
      <c r="F30" s="73"/>
      <c r="J30" s="57" t="s">
        <v>275</v>
      </c>
      <c r="K30" s="57">
        <v>57</v>
      </c>
      <c r="L30" s="57">
        <v>58</v>
      </c>
      <c r="M30" s="57">
        <v>55</v>
      </c>
    </row>
    <row r="31" spans="1:13" s="60" customFormat="1" ht="9" customHeight="1">
      <c r="A31" s="67"/>
      <c r="B31" s="67"/>
      <c r="C31" s="1132"/>
      <c r="D31" s="1132"/>
      <c r="E31" s="67"/>
      <c r="F31" s="67"/>
    </row>
    <row r="32" spans="1:13" s="60" customFormat="1" ht="18.75" customHeight="1">
      <c r="A32" s="58" t="s">
        <v>219</v>
      </c>
      <c r="B32" s="57"/>
      <c r="C32" s="57"/>
      <c r="D32" s="57"/>
      <c r="E32" s="57"/>
      <c r="F32" s="475"/>
    </row>
    <row r="33" spans="1:10" s="60" customFormat="1" ht="18.75" customHeight="1">
      <c r="A33" s="59" t="str">
        <f>IF(F46&lt;&gt;"",IF(INDEX(BDHK2,MATCH(F46,DiemHKII!$B$4:$B$58,0),137)&lt;&gt;""," - "&amp;INDEX(BDHK2,MATCH(F46,DiemHKII!$B$4:$B$58,0),137),""),"")</f>
        <v/>
      </c>
      <c r="B33" s="57"/>
      <c r="C33" s="57"/>
      <c r="D33" s="57"/>
      <c r="E33" s="57"/>
      <c r="F33" s="475"/>
    </row>
    <row r="34" spans="1:10" s="60" customFormat="1" ht="18.75" customHeight="1">
      <c r="A34" s="59" t="str">
        <f>IF(F46&lt;&gt;"",IF(INDEX(BDHK2,MATCH(F46,DiemHKII!$B$4:$B$58,0),138)&lt;&gt;""," - "&amp;INDEX(BDHK2,MATCH(F46,DiemHKII!$B$4:$B$58,0),138),""),"")</f>
        <v/>
      </c>
      <c r="B34" s="57"/>
      <c r="C34" s="57"/>
      <c r="D34" s="57"/>
      <c r="E34" s="57"/>
      <c r="F34" s="475"/>
    </row>
    <row r="35" spans="1:10" s="60" customFormat="1" ht="18.75" customHeight="1">
      <c r="A35" s="59" t="str">
        <f>IF(F46&lt;&gt;"",IF(INDEX(BDHK2,MATCH(F46,DiemHKII!$B$4:$B$58,0),139)&lt;&gt;""," - "&amp;INDEX(BDHK2,MATCH(F46,DiemHKII!$B$4:$B$58,0),139),""),"")</f>
        <v/>
      </c>
      <c r="B35" s="57"/>
      <c r="C35" s="57"/>
      <c r="D35" s="57"/>
      <c r="E35" s="57"/>
      <c r="F35" s="475"/>
    </row>
    <row r="36" spans="1:10" s="60" customFormat="1" ht="18.75" customHeight="1">
      <c r="A36" s="59" t="str">
        <f>IF(F46&lt;&gt;"",IF(INDEX(BDHK2,MATCH(F46,DiemHKII!$B$4:$B$58,0),140)&lt;&gt;""," - "&amp;INDEX(BDHK2,MATCH(F46,DiemHKII!$B$4:$B$58,0),140),""),"")</f>
        <v/>
      </c>
      <c r="B36" s="57"/>
      <c r="C36" s="57"/>
      <c r="D36" s="57"/>
      <c r="E36" s="57"/>
      <c r="F36" s="67"/>
    </row>
    <row r="37" spans="1:10" ht="6" customHeight="1">
      <c r="A37" s="68"/>
      <c r="B37" s="68"/>
      <c r="C37" s="68"/>
      <c r="D37" s="68"/>
      <c r="E37" s="68"/>
      <c r="F37" s="68"/>
    </row>
    <row r="38" spans="1:10">
      <c r="A38" s="68"/>
      <c r="B38" s="68"/>
      <c r="C3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38" s="1060"/>
      <c r="E38" s="1060"/>
      <c r="F38" s="1060"/>
    </row>
    <row r="39" spans="1:10" ht="20.25" customHeight="1">
      <c r="A39" s="1012" t="str">
        <f>IF($D$39="Hiệu trưởng","Giáo viên Quản nhiệm","")</f>
        <v>Giáo viên Quản nhiệm</v>
      </c>
      <c r="B39" s="1012"/>
      <c r="C39" s="61"/>
      <c r="D39" s="1012" t="str">
        <f>IF($H$7="","",$H$7)</f>
        <v>Hiệu trưởng</v>
      </c>
      <c r="E39" s="1012"/>
      <c r="F39" s="61"/>
    </row>
    <row r="40" spans="1:10">
      <c r="A40" s="68"/>
      <c r="B40" s="68"/>
      <c r="C40" s="68"/>
      <c r="D40" s="68"/>
      <c r="E40" s="68"/>
      <c r="F40" s="68"/>
    </row>
    <row r="41" spans="1:10">
      <c r="A41" s="68"/>
      <c r="B41" s="68"/>
      <c r="C41" s="68"/>
      <c r="D41" s="68"/>
      <c r="E41" s="68"/>
      <c r="F41" s="68"/>
    </row>
    <row r="42" spans="1:10" ht="16.8">
      <c r="A42" s="68"/>
      <c r="B42" s="68"/>
      <c r="C42" s="64"/>
      <c r="D42" s="64"/>
      <c r="E42" s="64"/>
      <c r="F42" s="64"/>
      <c r="G42" s="65"/>
      <c r="H42" s="65"/>
      <c r="I42" s="65"/>
      <c r="J42" s="65"/>
    </row>
    <row r="44" spans="1:10">
      <c r="A44" s="1012" t="str">
        <f>IF($A$39="","",PROPER('Huong dan'!$C$4))</f>
        <v/>
      </c>
      <c r="B44" s="1012"/>
      <c r="D44" s="1130" t="str">
        <f>IFERROR(IF($D$39="Giáo Viên Quản nhiệm",PROPER('Huong dan'!$C$4),IF($D$39="Hiệu trưởng",PROPER('Huong dan'!$E$5),"")),"")</f>
        <v/>
      </c>
      <c r="E44" s="1130"/>
    </row>
    <row r="45" spans="1:10" ht="7.5" customHeight="1"/>
    <row r="46" spans="1:10" ht="11.25" customHeight="1">
      <c r="A46" s="75"/>
      <c r="B46" s="75"/>
      <c r="C46" s="75"/>
      <c r="D46" s="75"/>
      <c r="E46" s="75"/>
      <c r="F46" s="76">
        <f>IF(MIN(DiemHKII!$B$4:$B$58)&lt;=0,"",MIN(DiemHKII!$B$4:$B$58))</f>
        <v>1</v>
      </c>
    </row>
    <row r="47" spans="1:10" s="60" customFormat="1" ht="22.5" customHeight="1">
      <c r="A47" s="1128" t="str">
        <f>IF('Huong dan'!$E$3&lt;&gt;"","SỞ GIÁO DỤC VÀ ĐÀO TẠO "&amp;UPPER('Huong dan'!$E$3),"")</f>
        <v>SỞ GIÁO DỤC VÀ ĐÀO TẠO TP. HỒ CHÍ MINH</v>
      </c>
      <c r="B47" s="1128"/>
      <c r="C47" s="1128"/>
      <c r="D47" s="1129" t="s">
        <v>19</v>
      </c>
      <c r="E47" s="1129"/>
      <c r="F47" s="1129"/>
    </row>
    <row r="48" spans="1:10" ht="17.25" customHeight="1">
      <c r="A48" s="992" t="str">
        <f>IF('Huong dan'!$E$4&lt;&gt;"","TRƯỜNG "&amp;UPPER('Huong dan'!$E$4),"")</f>
        <v>TRƯỜNG THCS VÀ THPT NGUYỄN KHUYẾN</v>
      </c>
      <c r="B48" s="992"/>
      <c r="C48" s="992"/>
      <c r="D48" s="1130" t="s">
        <v>179</v>
      </c>
      <c r="E48" s="1130"/>
      <c r="F48" s="1130"/>
    </row>
    <row r="49" spans="1:10" ht="12" customHeight="1">
      <c r="A49" s="69"/>
      <c r="B49" s="69"/>
      <c r="C49" s="30"/>
      <c r="D49" s="30"/>
      <c r="E49" s="30"/>
      <c r="F49" s="30"/>
    </row>
    <row r="50" spans="1:10" ht="18" customHeight="1">
      <c r="A50" s="69"/>
      <c r="B50" s="69"/>
      <c r="C50" s="30"/>
      <c r="D50" s="30"/>
      <c r="E50" s="30"/>
      <c r="F50" s="30"/>
    </row>
    <row r="51" spans="1:10" ht="29.25" customHeight="1">
      <c r="A51" s="1013" t="str">
        <f>"PHIẾU ĐIỂM NĂM HỌC "&amp;'Huong dan'!$C$5</f>
        <v>PHIẾU ĐIỂM NĂM HỌC 2021 - 2022</v>
      </c>
      <c r="B51" s="1013"/>
      <c r="C51" s="1013"/>
      <c r="D51" s="1013"/>
      <c r="E51" s="1013"/>
      <c r="F51" s="1013"/>
    </row>
    <row r="52" spans="1:10" ht="12.75" customHeight="1">
      <c r="A52" s="70"/>
      <c r="B52" s="66"/>
      <c r="C52" s="66"/>
      <c r="D52" s="66"/>
      <c r="E52" s="66"/>
      <c r="F52" s="66"/>
    </row>
    <row r="53" spans="1:10" ht="20.25" customHeight="1">
      <c r="A53" s="1131" t="s">
        <v>212</v>
      </c>
      <c r="B53" s="1131"/>
      <c r="C53" s="77" t="str">
        <f>IF(F91="","",INDEX(DiemHKII!$E$4:$E$58,MATCH(F91,DiemHKII!$B$4:$B$58,0),1)&amp;" "&amp;INDEX(DiemHKII!$F$4:$F$58,MATCH(F91,DiemHKII!$B$4:$B$58,0),1))</f>
        <v>Chử Ngọc Anh</v>
      </c>
      <c r="D53" s="77"/>
      <c r="E53" s="77"/>
      <c r="F53" s="71" t="str">
        <f>IF('Huong dan'!$C$3="","","Lớp: "&amp;'Huong dan'!$C$3)</f>
        <v>Lớp: 12A1</v>
      </c>
    </row>
    <row r="54" spans="1:10" ht="24" customHeight="1">
      <c r="A54" s="1131" t="s">
        <v>213</v>
      </c>
      <c r="B54" s="1131"/>
      <c r="C54" s="77" t="str">
        <f>IF(F91="","",INDEX(DiemHKII!$G$4:$G$58,MATCH(F91,DiemHKII!$B$4:$B$58,0),1))</f>
        <v>14/04/2004</v>
      </c>
      <c r="D54" s="77"/>
      <c r="E54" s="1133" t="str">
        <f>IF(F91="","","Nơi sinh: "&amp;INDEX(DiemHKII!$H$4:$H$58,MATCH(F91,DiemHKII!$B$4:$B$58,0),1))</f>
        <v xml:space="preserve">Nơi sinh: </v>
      </c>
      <c r="F54" s="1133"/>
    </row>
    <row r="55" spans="1:10" ht="15" customHeight="1">
      <c r="A55" s="62"/>
      <c r="B55" s="62"/>
      <c r="C55" s="62"/>
      <c r="D55" s="62"/>
      <c r="E55" s="62"/>
      <c r="F55" s="63"/>
    </row>
    <row r="56" spans="1:10" ht="21" customHeight="1">
      <c r="A56" s="1134" t="s">
        <v>0</v>
      </c>
      <c r="B56" s="1134" t="s">
        <v>72</v>
      </c>
      <c r="C56" s="1134" t="s">
        <v>216</v>
      </c>
      <c r="D56" s="1134"/>
      <c r="E56" s="1134"/>
      <c r="F56" s="1134" t="s">
        <v>148</v>
      </c>
    </row>
    <row r="57" spans="1:10" ht="21" customHeight="1">
      <c r="A57" s="1134"/>
      <c r="B57" s="1134"/>
      <c r="C57" s="476" t="s">
        <v>188</v>
      </c>
      <c r="D57" s="476" t="s">
        <v>189</v>
      </c>
      <c r="E57" s="476" t="s">
        <v>190</v>
      </c>
      <c r="F57" s="1134"/>
    </row>
    <row r="58" spans="1:10" ht="21" customHeight="1">
      <c r="A58" s="72" t="s">
        <v>191</v>
      </c>
      <c r="B58" s="73" t="s">
        <v>26</v>
      </c>
      <c r="C58" s="74" t="str">
        <f>INDEX('TH CANAM'!$A$9:$BF$63,MATCH(PDNam!$F91,'TH CANAM'!$A$9:$A$63,0),INDEX($J$13:$M$30,MATCH($B58,$J$13:$J$30,0),K$12))</f>
        <v/>
      </c>
      <c r="D58" s="74" t="str">
        <f>INDEX('TH CANAM'!$A$9:$BF$63,MATCH(PDNam!$F91,'TH CANAM'!$A$9:$A$63,0),INDEX($J$13:$M$30,MATCH($B58,$J$13:$J$30,0),L$12))</f>
        <v/>
      </c>
      <c r="E58" s="74" t="str">
        <f>INDEX('TH CANAM'!$A$9:$BF$63,MATCH(PDNam!$F91,'TH CANAM'!$A$9:$A$63,0),INDEX($J$13:$M$30,MATCH($B58,$J$13:$J$30,0),M$12))</f>
        <v/>
      </c>
      <c r="F58" s="73"/>
      <c r="I58" s="64"/>
      <c r="J58" s="64"/>
    </row>
    <row r="59" spans="1:10" ht="21" customHeight="1">
      <c r="A59" s="72" t="s">
        <v>192</v>
      </c>
      <c r="B59" s="73" t="s">
        <v>27</v>
      </c>
      <c r="C59" s="74" t="str">
        <f>INDEX('TH CANAM'!$A$9:$BF$63,MATCH(PDNam!$F91,'TH CANAM'!$A$9:$A$63,0),INDEX($J$13:$M$30,MATCH($B59,$J$13:$J$30,0),K$12))</f>
        <v/>
      </c>
      <c r="D59" s="74" t="str">
        <f>INDEX('TH CANAM'!$A$9:$BF$63,MATCH(PDNam!$F91,'TH CANAM'!$A$9:$A$63,0),INDEX($J$13:$M$30,MATCH($B59,$J$13:$J$30,0),L$12))</f>
        <v/>
      </c>
      <c r="E59" s="74" t="str">
        <f>INDEX('TH CANAM'!$A$9:$BF$63,MATCH(PDNam!$F91,'TH CANAM'!$A$9:$A$63,0),INDEX($J$13:$M$30,MATCH($B59,$J$13:$J$30,0),M$12))</f>
        <v/>
      </c>
      <c r="F59" s="73"/>
      <c r="I59" s="64"/>
      <c r="J59" s="64"/>
    </row>
    <row r="60" spans="1:10" ht="21" customHeight="1">
      <c r="A60" s="72" t="s">
        <v>193</v>
      </c>
      <c r="B60" s="73" t="s">
        <v>28</v>
      </c>
      <c r="C60" s="74" t="str">
        <f>INDEX('TH CANAM'!$A$9:$BF$63,MATCH(PDNam!$F91,'TH CANAM'!$A$9:$A$63,0),INDEX($J$13:$M$30,MATCH($B60,$J$13:$J$30,0),K$12))</f>
        <v/>
      </c>
      <c r="D60" s="74" t="str">
        <f>INDEX('TH CANAM'!$A$9:$BF$63,MATCH(PDNam!$F91,'TH CANAM'!$A$9:$A$63,0),INDEX($J$13:$M$30,MATCH($B60,$J$13:$J$30,0),L$12))</f>
        <v/>
      </c>
      <c r="E60" s="74" t="str">
        <f>INDEX('TH CANAM'!$A$9:$BF$63,MATCH(PDNam!$F91,'TH CANAM'!$A$9:$A$63,0),INDEX($J$13:$M$30,MATCH($B60,$J$13:$J$30,0),M$12))</f>
        <v/>
      </c>
      <c r="F60" s="73"/>
      <c r="I60" s="64"/>
      <c r="J60" s="64"/>
    </row>
    <row r="61" spans="1:10" ht="21" customHeight="1">
      <c r="A61" s="72" t="s">
        <v>194</v>
      </c>
      <c r="B61" s="73" t="s">
        <v>29</v>
      </c>
      <c r="C61" s="74" t="str">
        <f>INDEX('TH CANAM'!$A$9:$BF$63,MATCH(PDNam!$F91,'TH CANAM'!$A$9:$A$63,0),INDEX($J$13:$M$30,MATCH($B61,$J$13:$J$30,0),K$12))</f>
        <v/>
      </c>
      <c r="D61" s="74" t="str">
        <f>INDEX('TH CANAM'!$A$9:$BF$63,MATCH(PDNam!$F91,'TH CANAM'!$A$9:$A$63,0),INDEX($J$13:$M$30,MATCH($B61,$J$13:$J$30,0),L$12))</f>
        <v/>
      </c>
      <c r="E61" s="74" t="str">
        <f>INDEX('TH CANAM'!$A$9:$BF$63,MATCH(PDNam!$F91,'TH CANAM'!$A$9:$A$63,0),INDEX($J$13:$M$30,MATCH($B61,$J$13:$J$30,0),M$12))</f>
        <v/>
      </c>
      <c r="F61" s="73"/>
      <c r="I61" s="64"/>
      <c r="J61" s="64"/>
    </row>
    <row r="62" spans="1:10" ht="21" customHeight="1">
      <c r="A62" s="72" t="s">
        <v>195</v>
      </c>
      <c r="B62" s="73" t="s">
        <v>120</v>
      </c>
      <c r="C62" s="74" t="str">
        <f>INDEX('TH CANAM'!$A$9:$BF$63,MATCH(PDNam!$F91,'TH CANAM'!$A$9:$A$63,0),INDEX($J$13:$M$30,MATCH($B62,$J$13:$J$30,0),K$12))</f>
        <v/>
      </c>
      <c r="D62" s="74" t="str">
        <f>INDEX('TH CANAM'!$A$9:$BF$63,MATCH(PDNam!$F91,'TH CANAM'!$A$9:$A$63,0),INDEX($J$13:$M$30,MATCH($B62,$J$13:$J$30,0),L$12))</f>
        <v/>
      </c>
      <c r="E62" s="74" t="str">
        <f>INDEX('TH CANAM'!$A$9:$BF$63,MATCH(PDNam!$F91,'TH CANAM'!$A$9:$A$63,0),INDEX($J$13:$M$30,MATCH($B62,$J$13:$J$30,0),M$12))</f>
        <v/>
      </c>
      <c r="F62" s="73"/>
      <c r="I62" s="64"/>
      <c r="J62" s="64"/>
    </row>
    <row r="63" spans="1:10" ht="21" customHeight="1">
      <c r="A63" s="72" t="s">
        <v>196</v>
      </c>
      <c r="B63" s="73" t="s">
        <v>30</v>
      </c>
      <c r="C63" s="74" t="str">
        <f>INDEX('TH CANAM'!$A$9:$BF$63,MATCH(PDNam!$F91,'TH CANAM'!$A$9:$A$63,0),INDEX($J$13:$M$30,MATCH($B63,$J$13:$J$30,0),K$12))</f>
        <v/>
      </c>
      <c r="D63" s="74" t="str">
        <f>INDEX('TH CANAM'!$A$9:$BF$63,MATCH(PDNam!$F91,'TH CANAM'!$A$9:$A$63,0),INDEX($J$13:$M$30,MATCH($B63,$J$13:$J$30,0),L$12))</f>
        <v/>
      </c>
      <c r="E63" s="74" t="str">
        <f>INDEX('TH CANAM'!$A$9:$BF$63,MATCH(PDNam!$F91,'TH CANAM'!$A$9:$A$63,0),INDEX($J$13:$M$30,MATCH($B63,$J$13:$J$30,0),M$12))</f>
        <v/>
      </c>
      <c r="F63" s="73"/>
      <c r="I63" s="64"/>
      <c r="J63" s="64"/>
    </row>
    <row r="64" spans="1:10" ht="21" customHeight="1">
      <c r="A64" s="72" t="s">
        <v>197</v>
      </c>
      <c r="B64" s="73" t="s">
        <v>31</v>
      </c>
      <c r="C64" s="74" t="str">
        <f>INDEX('TH CANAM'!$A$9:$BF$63,MATCH(PDNam!$F91,'TH CANAM'!$A$9:$A$63,0),INDEX($J$13:$M$30,MATCH($B64,$J$13:$J$30,0),K$12))</f>
        <v/>
      </c>
      <c r="D64" s="74" t="str">
        <f>INDEX('TH CANAM'!$A$9:$BF$63,MATCH(PDNam!$F91,'TH CANAM'!$A$9:$A$63,0),INDEX($J$13:$M$30,MATCH($B64,$J$13:$J$30,0),L$12))</f>
        <v/>
      </c>
      <c r="E64" s="74" t="str">
        <f>INDEX('TH CANAM'!$A$9:$BF$63,MATCH(PDNam!$F91,'TH CANAM'!$A$9:$A$63,0),INDEX($J$13:$M$30,MATCH($B64,$J$13:$J$30,0),M$12))</f>
        <v/>
      </c>
      <c r="F64" s="73"/>
      <c r="I64" s="64"/>
      <c r="J64" s="64"/>
    </row>
    <row r="65" spans="1:10" ht="21" customHeight="1">
      <c r="A65" s="72" t="s">
        <v>198</v>
      </c>
      <c r="B65" s="73" t="s">
        <v>32</v>
      </c>
      <c r="C65" s="74" t="str">
        <f>INDEX('TH CANAM'!$A$9:$BF$63,MATCH(PDNam!$F91,'TH CANAM'!$A$9:$A$63,0),INDEX($J$13:$M$30,MATCH($B65,$J$13:$J$30,0),K$12))</f>
        <v/>
      </c>
      <c r="D65" s="74" t="str">
        <f>INDEX('TH CANAM'!$A$9:$BF$63,MATCH(PDNam!$F91,'TH CANAM'!$A$9:$A$63,0),INDEX($J$13:$M$30,MATCH($B65,$J$13:$J$30,0),L$12))</f>
        <v/>
      </c>
      <c r="E65" s="74" t="str">
        <f>INDEX('TH CANAM'!$A$9:$BF$63,MATCH(PDNam!$F91,'TH CANAM'!$A$9:$A$63,0),INDEX($J$13:$M$30,MATCH($B65,$J$13:$J$30,0),M$12))</f>
        <v/>
      </c>
      <c r="F65" s="73"/>
      <c r="I65" s="64"/>
      <c r="J65" s="64"/>
    </row>
    <row r="66" spans="1:10" ht="21" customHeight="1">
      <c r="A66" s="72" t="s">
        <v>199</v>
      </c>
      <c r="B66" s="73" t="s">
        <v>33</v>
      </c>
      <c r="C66" s="74" t="str">
        <f>INDEX('TH CANAM'!$A$9:$BF$63,MATCH(PDNam!$F91,'TH CANAM'!$A$9:$A$63,0),INDEX($J$13:$M$30,MATCH($B66,$J$13:$J$30,0),K$12))</f>
        <v/>
      </c>
      <c r="D66" s="74" t="str">
        <f>INDEX('TH CANAM'!$A$9:$BF$63,MATCH(PDNam!$F91,'TH CANAM'!$A$9:$A$63,0),INDEX($J$13:$M$30,MATCH($B66,$J$13:$J$30,0),L$12))</f>
        <v/>
      </c>
      <c r="E66" s="74" t="str">
        <f>INDEX('TH CANAM'!$A$9:$BF$63,MATCH(PDNam!$F91,'TH CANAM'!$A$9:$A$63,0),INDEX($J$13:$M$30,MATCH($B66,$J$13:$J$30,0),M$12))</f>
        <v/>
      </c>
      <c r="F66" s="73"/>
      <c r="I66" s="64"/>
      <c r="J66" s="64"/>
    </row>
    <row r="67" spans="1:10" ht="21" customHeight="1">
      <c r="A67" s="72" t="s">
        <v>200</v>
      </c>
      <c r="B67" s="73" t="s">
        <v>60</v>
      </c>
      <c r="C67" s="74" t="str">
        <f>INDEX('TH CANAM'!$A$9:$BF$63,MATCH(PDNam!$F91,'TH CANAM'!$A$9:$A$63,0),INDEX($J$13:$M$30,MATCH($B67,$J$13:$J$30,0),K$12))</f>
        <v/>
      </c>
      <c r="D67" s="74" t="str">
        <f>INDEX('TH CANAM'!$A$9:$BF$63,MATCH(PDNam!$F91,'TH CANAM'!$A$9:$A$63,0),INDEX($J$13:$M$30,MATCH($B67,$J$13:$J$30,0),L$12))</f>
        <v/>
      </c>
      <c r="E67" s="74" t="str">
        <f>INDEX('TH CANAM'!$A$9:$BF$63,MATCH(PDNam!$F91,'TH CANAM'!$A$9:$A$63,0),INDEX($J$13:$M$30,MATCH($B67,$J$13:$J$30,0),M$12))</f>
        <v/>
      </c>
      <c r="F67" s="73"/>
      <c r="I67" s="64"/>
      <c r="J67" s="64"/>
    </row>
    <row r="68" spans="1:10" ht="21" customHeight="1">
      <c r="A68" s="72" t="s">
        <v>201</v>
      </c>
      <c r="B68" s="73" t="s">
        <v>34</v>
      </c>
      <c r="C68" s="74" t="str">
        <f>INDEX('TH CANAM'!$A$9:$BF$63,MATCH(PDNam!$F91,'TH CANAM'!$A$9:$A$63,0),INDEX($J$13:$M$30,MATCH($B68,$J$13:$J$30,0),K$12))</f>
        <v/>
      </c>
      <c r="D68" s="74" t="str">
        <f>INDEX('TH CANAM'!$A$9:$BF$63,MATCH(PDNam!$F91,'TH CANAM'!$A$9:$A$63,0),INDEX($J$13:$M$30,MATCH($B68,$J$13:$J$30,0),L$12))</f>
        <v/>
      </c>
      <c r="E68" s="74" t="str">
        <f>INDEX('TH CANAM'!$A$9:$BF$63,MATCH(PDNam!$F91,'TH CANAM'!$A$9:$A$63,0),INDEX($J$13:$M$30,MATCH($B68,$J$13:$J$30,0),M$12))</f>
        <v/>
      </c>
      <c r="F68" s="73"/>
      <c r="I68" s="64"/>
      <c r="J68" s="64"/>
    </row>
    <row r="69" spans="1:10" ht="21" customHeight="1">
      <c r="A69" s="72" t="s">
        <v>202</v>
      </c>
      <c r="B69" s="73" t="s">
        <v>35</v>
      </c>
      <c r="C69" s="74" t="str">
        <f>INDEX('TH CANAM'!$A$9:$BF$63,MATCH(PDNam!$F91,'TH CANAM'!$A$9:$A$63,0),INDEX($J$13:$M$30,MATCH($B69,$J$13:$J$30,0),K$12))</f>
        <v/>
      </c>
      <c r="D69" s="74" t="str">
        <f>INDEX('TH CANAM'!$A$9:$BF$63,MATCH(PDNam!$F91,'TH CANAM'!$A$9:$A$63,0),INDEX($J$13:$M$30,MATCH($B69,$J$13:$J$30,0),L$12))</f>
        <v/>
      </c>
      <c r="E69" s="74" t="str">
        <f>INDEX('TH CANAM'!$A$9:$BF$63,MATCH(PDNam!$F91,'TH CANAM'!$A$9:$A$63,0),INDEX($J$13:$M$30,MATCH($B69,$J$13:$J$30,0),M$12))</f>
        <v/>
      </c>
      <c r="F69" s="73"/>
      <c r="I69" s="64"/>
      <c r="J69" s="64"/>
    </row>
    <row r="70" spans="1:10" ht="21" customHeight="1">
      <c r="A70" s="72" t="s">
        <v>203</v>
      </c>
      <c r="B70" s="73" t="s">
        <v>121</v>
      </c>
      <c r="C70" s="74" t="str">
        <f>INDEX('TH CANAM'!$A$9:$BF$63,MATCH(PDNam!$F91,'TH CANAM'!$A$9:$A$63,0),INDEX($J$13:$M$30,MATCH($B70,$J$13:$J$30,0),K$12))</f>
        <v/>
      </c>
      <c r="D70" s="74" t="str">
        <f>INDEX('TH CANAM'!$A$9:$BF$63,MATCH(PDNam!$F91,'TH CANAM'!$A$9:$A$63,0),INDEX($J$13:$M$30,MATCH($B70,$J$13:$J$30,0),L$12))</f>
        <v/>
      </c>
      <c r="E70" s="74" t="str">
        <f>INDEX('TH CANAM'!$A$9:$BF$63,MATCH(PDNam!$F91,'TH CANAM'!$A$9:$A$63,0),INDEX($J$13:$M$30,MATCH($B70,$J$13:$J$30,0),M$12))</f>
        <v/>
      </c>
      <c r="F70" s="73"/>
      <c r="I70" s="64"/>
      <c r="J70" s="64"/>
    </row>
    <row r="71" spans="1:10" ht="21" customHeight="1">
      <c r="A71" s="72" t="s">
        <v>204</v>
      </c>
      <c r="B71" s="73" t="s">
        <v>122</v>
      </c>
      <c r="C71" s="74" t="str">
        <f>INDEX('TH CANAM'!$A$9:$BF$63,MATCH(PDNam!$F91,'TH CANAM'!$A$9:$A$63,0),INDEX($J$13:$M$30,MATCH($B71,$J$13:$J$30,0),K$12))</f>
        <v/>
      </c>
      <c r="D71" s="74" t="str">
        <f>INDEX('TH CANAM'!$A$9:$BF$63,MATCH(PDNam!$F91,'TH CANAM'!$A$9:$A$63,0),INDEX($J$13:$M$30,MATCH($B71,$J$13:$J$30,0),L$12))</f>
        <v/>
      </c>
      <c r="E71" s="74" t="str">
        <f>INDEX('TH CANAM'!$A$9:$BF$63,MATCH(PDNam!$F91,'TH CANAM'!$A$9:$A$63,0),INDEX($J$13:$M$30,MATCH($B71,$J$13:$J$30,0),M$12))</f>
        <v/>
      </c>
      <c r="F71" s="73"/>
      <c r="I71" s="64"/>
      <c r="J71" s="64"/>
    </row>
    <row r="72" spans="1:10" ht="21" customHeight="1">
      <c r="A72" s="72" t="s">
        <v>208</v>
      </c>
      <c r="B72" s="73" t="s">
        <v>205</v>
      </c>
      <c r="C72" s="78">
        <f>INDEX('TH CANAM'!$A$9:$BF$63,MATCH(PDNam!$F91,'TH CANAM'!$A$9:$A$63,0),46)</f>
        <v>9.5</v>
      </c>
      <c r="D72" s="78" t="str">
        <f>INDEX('TH CANAM'!$A$9:$BF$63,MATCH(PDNam!$F91,'TH CANAM'!$A$9:$A$63,0),47)</f>
        <v/>
      </c>
      <c r="E72" s="78" t="str">
        <f>INDEX('TH CANAM'!$A$9:$BF$63,MATCH(PDNam!$F91,'TH CANAM'!$A$9:$A$63,0),48)</f>
        <v/>
      </c>
      <c r="F72" s="73"/>
      <c r="I72" s="64"/>
      <c r="J72" s="64"/>
    </row>
    <row r="73" spans="1:10" ht="21" customHeight="1">
      <c r="A73" s="72" t="s">
        <v>209</v>
      </c>
      <c r="B73" s="72" t="s">
        <v>206</v>
      </c>
      <c r="C73" s="74" t="str">
        <f>IF(INDEX('TH CANAM'!$A$9:$BF$63,MATCH(PDNam!$F91,'TH CANAM'!$A$9:$A$63,0),49)="Tb","Trung bình",INDEX('TH CANAM'!$A$9:$BF$63,MATCH(PDNam!$F91,'TH CANAM'!$A$9:$A$63,0),49))</f>
        <v>Giỏi</v>
      </c>
      <c r="D73" s="74" t="str">
        <f>IF(INDEX('TH CANAM'!$A$9:$BF$63,MATCH(PDNam!$F91,'TH CANAM'!$A$9:$A$63,0),50)="Tb","Trung bình",INDEX('TH CANAM'!$A$9:$BF$63,MATCH(PDNam!$F91,'TH CANAM'!$A$9:$A$63,0),50))</f>
        <v/>
      </c>
      <c r="E73" s="74" t="str">
        <f>IF(INDEX('TH CANAM'!$A$9:$BF$63,MATCH(PDNam!$F91,'TH CANAM'!$A$9:$A$63,0),51)="Tb","Trung bình",INDEX('TH CANAM'!$A$9:$BF$63,MATCH(PDNam!$F91,'TH CANAM'!$A$9:$A$63,0),51))</f>
        <v/>
      </c>
      <c r="F73" s="73"/>
    </row>
    <row r="74" spans="1:10" ht="21" customHeight="1">
      <c r="A74" s="72" t="s">
        <v>210</v>
      </c>
      <c r="B74" s="72" t="s">
        <v>207</v>
      </c>
      <c r="C74" s="74" t="str">
        <f>INDEX('TH CANAM'!$A$9:$BF$63,MATCH(PDNam!$F91,'TH CANAM'!$A$9:$A$63,0),52)</f>
        <v>Tốt</v>
      </c>
      <c r="D74" s="74" t="str">
        <f>INDEX('TH CANAM'!$A$9:$BF$63,MATCH(PDNam!$F91,'TH CANAM'!$A$9:$A$63,0),53)</f>
        <v/>
      </c>
      <c r="E74" s="74" t="str">
        <f>INDEX('TH CANAM'!$A$9:$BF$63,MATCH(PDNam!$F91,'TH CANAM'!$A$9:$A$63,0),54)</f>
        <v/>
      </c>
      <c r="F74" s="73"/>
    </row>
    <row r="75" spans="1:10" ht="21" customHeight="1">
      <c r="A75" s="72" t="s">
        <v>211</v>
      </c>
      <c r="B75" s="72" t="s">
        <v>25</v>
      </c>
      <c r="C75" s="74" t="str">
        <f>IF(INDEX('TH CANAM'!$A$9:$BF$63,MATCH(PDNam!$F91,'TH CANAM'!$A$9:$A$63,0),57)&lt;&gt;"",INDEX('TH CANAM'!$A$9:$BF$63,MATCH(PDNam!$F91,'TH CANAM'!$A$9:$A$63,0),57),"/")</f>
        <v>HSG</v>
      </c>
      <c r="D75" s="74" t="str">
        <f>IF(INDEX('TH CANAM'!$A$9:$BF$63,MATCH(PDNam!$F91,'TH CANAM'!$A$9:$A$63,0),58)&lt;&gt;"",INDEX('TH CANAM'!$A$9:$BF$63,MATCH(PDNam!$F91,'TH CANAM'!$A$9:$A$63,0),58),"/")</f>
        <v>/</v>
      </c>
      <c r="E75" s="74" t="str">
        <f>IF(INDEX('TH CANAM'!$A$9:$BF$63,MATCH(PDNam!$F91,'TH CANAM'!$A$9:$A$63,0),55)&lt;&gt;"",INDEX('TH CANAM'!$A$9:$BF$63,MATCH(PDNam!$F91,'TH CANAM'!$A$9:$A$63,0),55),"/")</f>
        <v>/</v>
      </c>
      <c r="F75" s="73"/>
    </row>
    <row r="76" spans="1:10" s="60" customFormat="1" ht="9" customHeight="1">
      <c r="A76" s="67"/>
      <c r="B76" s="67"/>
      <c r="C76" s="1132"/>
      <c r="D76" s="1132"/>
      <c r="E76" s="67"/>
      <c r="F76" s="67"/>
    </row>
    <row r="77" spans="1:10" s="60" customFormat="1" ht="18.75" customHeight="1">
      <c r="A77" s="58" t="s">
        <v>219</v>
      </c>
      <c r="B77" s="57"/>
      <c r="C77" s="57"/>
      <c r="D77" s="57"/>
      <c r="E77" s="57"/>
      <c r="F77" s="475"/>
    </row>
    <row r="78" spans="1:10" s="60" customFormat="1" ht="18.75" customHeight="1">
      <c r="A78" s="59" t="str">
        <f>IF(F91&lt;&gt;"",IF(INDEX(BDHK2,MATCH(F91,DiemHKII!$B$4:$B$58,0),137)&lt;&gt;""," - "&amp;INDEX(BDHK2,MATCH(F91,DiemHKII!$B$4:$B$58,0),137),""),"")</f>
        <v/>
      </c>
      <c r="B78" s="57"/>
      <c r="C78" s="57"/>
      <c r="D78" s="57"/>
      <c r="E78" s="57"/>
      <c r="F78" s="475"/>
    </row>
    <row r="79" spans="1:10" s="60" customFormat="1" ht="18.75" customHeight="1">
      <c r="A79" s="59" t="str">
        <f>IF(F91&lt;&gt;"",IF(INDEX(BDHK2,MATCH(F91,DiemHKII!$B$4:$B$58,0),138)&lt;&gt;""," - "&amp;INDEX(BDHK2,MATCH(F91,DiemHKII!$B$4:$B$58,0),138),""),"")</f>
        <v/>
      </c>
      <c r="B79" s="57"/>
      <c r="C79" s="57"/>
      <c r="D79" s="57"/>
      <c r="E79" s="57"/>
      <c r="F79" s="475"/>
    </row>
    <row r="80" spans="1:10" s="60" customFormat="1" ht="18.75" customHeight="1">
      <c r="A80" s="59" t="str">
        <f>IF(F91&lt;&gt;"",IF(INDEX(BDHK2,MATCH(F91,DiemHKII!$B$4:$B$58,0),139)&lt;&gt;""," - "&amp;INDEX(BDHK2,MATCH(F91,DiemHKII!$B$4:$B$58,0),139),""),"")</f>
        <v/>
      </c>
      <c r="B80" s="57"/>
      <c r="C80" s="57"/>
      <c r="D80" s="57"/>
      <c r="E80" s="57"/>
      <c r="F80" s="475"/>
    </row>
    <row r="81" spans="1:10" s="60" customFormat="1" ht="18.75" customHeight="1">
      <c r="A81" s="59" t="str">
        <f>IF(F91&lt;&gt;"",IF(INDEX(BDHK2,MATCH(F91,DiemHKII!$B$4:$B$58,0),140)&lt;&gt;""," - "&amp;INDEX(BDHK2,MATCH(F91,DiemHKII!$B$4:$B$58,0),140),""),"")</f>
        <v/>
      </c>
      <c r="B81" s="57"/>
      <c r="C81" s="57"/>
      <c r="D81" s="57"/>
      <c r="E81" s="57"/>
      <c r="F81" s="67"/>
    </row>
    <row r="82" spans="1:10" ht="6" customHeight="1">
      <c r="A82" s="68"/>
      <c r="B82" s="68"/>
      <c r="C82" s="68"/>
      <c r="D82" s="68"/>
      <c r="E82" s="68"/>
      <c r="F82" s="68"/>
    </row>
    <row r="83" spans="1:10">
      <c r="A83" s="68"/>
      <c r="B83" s="68"/>
      <c r="C8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83" s="1060"/>
      <c r="E83" s="1060"/>
      <c r="F83" s="1060"/>
    </row>
    <row r="84" spans="1:10" ht="20.25" customHeight="1">
      <c r="A84" s="1012" t="str">
        <f>IF($D$39="Hiệu trưởng","Giáo viên Quản nhiệm","")</f>
        <v>Giáo viên Quản nhiệm</v>
      </c>
      <c r="B84" s="1012"/>
      <c r="C84" s="61"/>
      <c r="D84" s="1012" t="str">
        <f>IF($H$7="","",$H$7)</f>
        <v>Hiệu trưởng</v>
      </c>
      <c r="E84" s="1012"/>
      <c r="F84" s="61"/>
    </row>
    <row r="85" spans="1:10">
      <c r="A85" s="68"/>
      <c r="B85" s="68"/>
      <c r="C85" s="68"/>
      <c r="D85" s="68"/>
      <c r="E85" s="68"/>
      <c r="F85" s="68"/>
    </row>
    <row r="86" spans="1:10">
      <c r="A86" s="68"/>
      <c r="B86" s="68"/>
      <c r="C86" s="68"/>
      <c r="D86" s="68"/>
      <c r="E86" s="68"/>
      <c r="F86" s="68"/>
    </row>
    <row r="87" spans="1:10" ht="16.8">
      <c r="A87" s="68"/>
      <c r="B87" s="68"/>
      <c r="C87" s="64"/>
      <c r="D87" s="64"/>
      <c r="E87" s="64"/>
      <c r="F87" s="64"/>
      <c r="G87" s="65"/>
      <c r="H87" s="65"/>
      <c r="I87" s="65"/>
      <c r="J87" s="65"/>
    </row>
    <row r="89" spans="1:10">
      <c r="A89" s="1012" t="str">
        <f>IF($A$39="","",PROPER('Huong dan'!$C$4))</f>
        <v/>
      </c>
      <c r="B89" s="1012"/>
      <c r="D89" s="1130" t="str">
        <f>IFERROR(IF($D$39="Giáo Viên Quản nhiệm",PROPER('Huong dan'!$C$4),IF($D$39="Hiệu trưởng",PROPER('Huong dan'!$E$5),"")),"")</f>
        <v/>
      </c>
      <c r="E89" s="1130"/>
    </row>
    <row r="90" spans="1:10" ht="7.5" customHeight="1"/>
    <row r="91" spans="1:10" ht="11.25" customHeight="1">
      <c r="A91" s="75"/>
      <c r="B91" s="75"/>
      <c r="C91" s="75"/>
      <c r="D91" s="75"/>
      <c r="E91" s="75"/>
      <c r="F91" s="76">
        <f>IF(F46="","",IF(F46&lt;MAX(DiemHKII!$B$4:$B$58),F46+1,""))</f>
        <v>2</v>
      </c>
    </row>
    <row r="92" spans="1:10" s="60" customFormat="1" ht="22.5" customHeight="1">
      <c r="A92" s="1128" t="str">
        <f>IF('Huong dan'!$E$3&lt;&gt;"","SỞ GIÁO DỤC VÀ ĐÀO TẠO "&amp;UPPER('Huong dan'!$E$3),"")</f>
        <v>SỞ GIÁO DỤC VÀ ĐÀO TẠO TP. HỒ CHÍ MINH</v>
      </c>
      <c r="B92" s="1128"/>
      <c r="C92" s="1128"/>
      <c r="D92" s="1129" t="s">
        <v>19</v>
      </c>
      <c r="E92" s="1129"/>
      <c r="F92" s="1129"/>
    </row>
    <row r="93" spans="1:10" ht="17.25" customHeight="1">
      <c r="A93" s="992" t="str">
        <f>IF('Huong dan'!$E$4&lt;&gt;"","TRƯỜNG "&amp;UPPER('Huong dan'!$E$4),"")</f>
        <v>TRƯỜNG THCS VÀ THPT NGUYỄN KHUYẾN</v>
      </c>
      <c r="B93" s="992"/>
      <c r="C93" s="992"/>
      <c r="D93" s="1130" t="s">
        <v>179</v>
      </c>
      <c r="E93" s="1130"/>
      <c r="F93" s="1130"/>
    </row>
    <row r="94" spans="1:10" ht="12" customHeight="1">
      <c r="A94" s="69"/>
      <c r="B94" s="69"/>
      <c r="C94" s="30"/>
      <c r="D94" s="30"/>
      <c r="E94" s="30"/>
      <c r="F94" s="30"/>
    </row>
    <row r="95" spans="1:10" ht="18" customHeight="1">
      <c r="A95" s="69"/>
      <c r="B95" s="69"/>
      <c r="C95" s="30"/>
      <c r="D95" s="30"/>
      <c r="E95" s="30"/>
      <c r="F95" s="30"/>
    </row>
    <row r="96" spans="1:10" ht="29.25" customHeight="1">
      <c r="A96" s="1013" t="str">
        <f>"PHIẾU ĐIỂM NĂM HỌC "&amp;'Huong dan'!$C$5</f>
        <v>PHIẾU ĐIỂM NĂM HỌC 2021 - 2022</v>
      </c>
      <c r="B96" s="1013"/>
      <c r="C96" s="1013"/>
      <c r="D96" s="1013"/>
      <c r="E96" s="1013"/>
      <c r="F96" s="1013"/>
    </row>
    <row r="97" spans="1:10" ht="12.75" customHeight="1">
      <c r="A97" s="70"/>
      <c r="B97" s="66"/>
      <c r="C97" s="66"/>
      <c r="D97" s="66"/>
      <c r="E97" s="66"/>
      <c r="F97" s="66"/>
    </row>
    <row r="98" spans="1:10" ht="20.25" customHeight="1">
      <c r="A98" s="1131" t="s">
        <v>212</v>
      </c>
      <c r="B98" s="1131"/>
      <c r="C98" s="77" t="str">
        <f>IF(F136="","",INDEX(DiemHKII!$E$4:$E$58,MATCH(F136,DiemHKII!$B$4:$B$58,0),1)&amp;" "&amp;INDEX(DiemHKII!$F$4:$F$58,MATCH(F136,DiemHKII!$B$4:$B$58,0),1))</f>
        <v>Lê Tuấn Anh</v>
      </c>
      <c r="D98" s="77"/>
      <c r="E98" s="77"/>
      <c r="F98" s="71" t="str">
        <f>IF('Huong dan'!$C$3="","","Lớp: "&amp;'Huong dan'!$C$3)</f>
        <v>Lớp: 12A1</v>
      </c>
    </row>
    <row r="99" spans="1:10" ht="24" customHeight="1">
      <c r="A99" s="1131" t="s">
        <v>213</v>
      </c>
      <c r="B99" s="1131"/>
      <c r="C99" s="77" t="str">
        <f>IF(F136="","",INDEX(DiemHKII!$G$4:$G$58,MATCH(F136,DiemHKII!$B$4:$B$58,0),1))</f>
        <v>20/10/2004</v>
      </c>
      <c r="D99" s="77"/>
      <c r="E99" s="1133" t="str">
        <f>IF(F136="","","Nơi sinh: "&amp;INDEX(DiemHKII!$H$4:$H$58,MATCH(F136,DiemHKII!$B$4:$B$58,0),1))</f>
        <v xml:space="preserve">Nơi sinh: </v>
      </c>
      <c r="F99" s="1133"/>
    </row>
    <row r="100" spans="1:10" ht="15" customHeight="1">
      <c r="A100" s="62"/>
      <c r="B100" s="62"/>
      <c r="C100" s="62"/>
      <c r="D100" s="62"/>
      <c r="E100" s="62"/>
      <c r="F100" s="63"/>
    </row>
    <row r="101" spans="1:10" ht="21" customHeight="1">
      <c r="A101" s="1134" t="s">
        <v>0</v>
      </c>
      <c r="B101" s="1134" t="s">
        <v>72</v>
      </c>
      <c r="C101" s="1134" t="s">
        <v>216</v>
      </c>
      <c r="D101" s="1134"/>
      <c r="E101" s="1134"/>
      <c r="F101" s="1134" t="s">
        <v>148</v>
      </c>
    </row>
    <row r="102" spans="1:10" ht="21" customHeight="1">
      <c r="A102" s="1134"/>
      <c r="B102" s="1134"/>
      <c r="C102" s="476" t="s">
        <v>188</v>
      </c>
      <c r="D102" s="476" t="s">
        <v>189</v>
      </c>
      <c r="E102" s="476" t="s">
        <v>190</v>
      </c>
      <c r="F102" s="1134"/>
    </row>
    <row r="103" spans="1:10" ht="21" customHeight="1">
      <c r="A103" s="72" t="s">
        <v>191</v>
      </c>
      <c r="B103" s="73" t="s">
        <v>26</v>
      </c>
      <c r="C103" s="74" t="str">
        <f>INDEX('TH CANAM'!$A$9:$BF$63,MATCH(PDNam!$F136,'TH CANAM'!$A$9:$A$63,0),INDEX($J$13:$M$30,MATCH($B103,$J$13:$J$30,0),K$12))</f>
        <v/>
      </c>
      <c r="D103" s="74" t="str">
        <f>INDEX('TH CANAM'!$A$9:$BF$63,MATCH(PDNam!$F136,'TH CANAM'!$A$9:$A$63,0),INDEX($J$13:$M$30,MATCH($B103,$J$13:$J$30,0),L$12))</f>
        <v/>
      </c>
      <c r="E103" s="74" t="str">
        <f>INDEX('TH CANAM'!$A$9:$BF$63,MATCH(PDNam!$F136,'TH CANAM'!$A$9:$A$63,0),INDEX($J$13:$M$30,MATCH($B103,$J$13:$J$30,0),M$12))</f>
        <v/>
      </c>
      <c r="F103" s="73"/>
      <c r="I103" s="64"/>
      <c r="J103" s="64"/>
    </row>
    <row r="104" spans="1:10" ht="21" customHeight="1">
      <c r="A104" s="72" t="s">
        <v>192</v>
      </c>
      <c r="B104" s="73" t="s">
        <v>27</v>
      </c>
      <c r="C104" s="74" t="str">
        <f>INDEX('TH CANAM'!$A$9:$BF$63,MATCH(PDNam!$F136,'TH CANAM'!$A$9:$A$63,0),INDEX($J$13:$M$30,MATCH($B104,$J$13:$J$30,0),K$12))</f>
        <v/>
      </c>
      <c r="D104" s="74" t="str">
        <f>INDEX('TH CANAM'!$A$9:$BF$63,MATCH(PDNam!$F136,'TH CANAM'!$A$9:$A$63,0),INDEX($J$13:$M$30,MATCH($B104,$J$13:$J$30,0),L$12))</f>
        <v/>
      </c>
      <c r="E104" s="74" t="str">
        <f>INDEX('TH CANAM'!$A$9:$BF$63,MATCH(PDNam!$F136,'TH CANAM'!$A$9:$A$63,0),INDEX($J$13:$M$30,MATCH($B104,$J$13:$J$30,0),M$12))</f>
        <v/>
      </c>
      <c r="F104" s="73"/>
      <c r="I104" s="64"/>
      <c r="J104" s="64"/>
    </row>
    <row r="105" spans="1:10" ht="21" customHeight="1">
      <c r="A105" s="72" t="s">
        <v>193</v>
      </c>
      <c r="B105" s="73" t="s">
        <v>28</v>
      </c>
      <c r="C105" s="74" t="str">
        <f>INDEX('TH CANAM'!$A$9:$BF$63,MATCH(PDNam!$F136,'TH CANAM'!$A$9:$A$63,0),INDEX($J$13:$M$30,MATCH($B105,$J$13:$J$30,0),K$12))</f>
        <v/>
      </c>
      <c r="D105" s="74" t="str">
        <f>INDEX('TH CANAM'!$A$9:$BF$63,MATCH(PDNam!$F136,'TH CANAM'!$A$9:$A$63,0),INDEX($J$13:$M$30,MATCH($B105,$J$13:$J$30,0),L$12))</f>
        <v/>
      </c>
      <c r="E105" s="74" t="str">
        <f>INDEX('TH CANAM'!$A$9:$BF$63,MATCH(PDNam!$F136,'TH CANAM'!$A$9:$A$63,0),INDEX($J$13:$M$30,MATCH($B105,$J$13:$J$30,0),M$12))</f>
        <v/>
      </c>
      <c r="F105" s="73"/>
      <c r="I105" s="64"/>
      <c r="J105" s="64"/>
    </row>
    <row r="106" spans="1:10" ht="21" customHeight="1">
      <c r="A106" s="72" t="s">
        <v>194</v>
      </c>
      <c r="B106" s="73" t="s">
        <v>29</v>
      </c>
      <c r="C106" s="74" t="str">
        <f>INDEX('TH CANAM'!$A$9:$BF$63,MATCH(PDNam!$F136,'TH CANAM'!$A$9:$A$63,0),INDEX($J$13:$M$30,MATCH($B106,$J$13:$J$30,0),K$12))</f>
        <v/>
      </c>
      <c r="D106" s="74" t="str">
        <f>INDEX('TH CANAM'!$A$9:$BF$63,MATCH(PDNam!$F136,'TH CANAM'!$A$9:$A$63,0),INDEX($J$13:$M$30,MATCH($B106,$J$13:$J$30,0),L$12))</f>
        <v/>
      </c>
      <c r="E106" s="74" t="str">
        <f>INDEX('TH CANAM'!$A$9:$BF$63,MATCH(PDNam!$F136,'TH CANAM'!$A$9:$A$63,0),INDEX($J$13:$M$30,MATCH($B106,$J$13:$J$30,0),M$12))</f>
        <v/>
      </c>
      <c r="F106" s="73"/>
      <c r="I106" s="64"/>
      <c r="J106" s="64"/>
    </row>
    <row r="107" spans="1:10" ht="21" customHeight="1">
      <c r="A107" s="72" t="s">
        <v>195</v>
      </c>
      <c r="B107" s="73" t="s">
        <v>120</v>
      </c>
      <c r="C107" s="74" t="str">
        <f>INDEX('TH CANAM'!$A$9:$BF$63,MATCH(PDNam!$F136,'TH CANAM'!$A$9:$A$63,0),INDEX($J$13:$M$30,MATCH($B107,$J$13:$J$30,0),K$12))</f>
        <v/>
      </c>
      <c r="D107" s="74" t="str">
        <f>INDEX('TH CANAM'!$A$9:$BF$63,MATCH(PDNam!$F136,'TH CANAM'!$A$9:$A$63,0),INDEX($J$13:$M$30,MATCH($B107,$J$13:$J$30,0),L$12))</f>
        <v/>
      </c>
      <c r="E107" s="74" t="str">
        <f>INDEX('TH CANAM'!$A$9:$BF$63,MATCH(PDNam!$F136,'TH CANAM'!$A$9:$A$63,0),INDEX($J$13:$M$30,MATCH($B107,$J$13:$J$30,0),M$12))</f>
        <v/>
      </c>
      <c r="F107" s="73"/>
      <c r="I107" s="64"/>
      <c r="J107" s="64"/>
    </row>
    <row r="108" spans="1:10" ht="21" customHeight="1">
      <c r="A108" s="72" t="s">
        <v>196</v>
      </c>
      <c r="B108" s="73" t="s">
        <v>30</v>
      </c>
      <c r="C108" s="74" t="str">
        <f>INDEX('TH CANAM'!$A$9:$BF$63,MATCH(PDNam!$F136,'TH CANAM'!$A$9:$A$63,0),INDEX($J$13:$M$30,MATCH($B108,$J$13:$J$30,0),K$12))</f>
        <v/>
      </c>
      <c r="D108" s="74" t="str">
        <f>INDEX('TH CANAM'!$A$9:$BF$63,MATCH(PDNam!$F136,'TH CANAM'!$A$9:$A$63,0),INDEX($J$13:$M$30,MATCH($B108,$J$13:$J$30,0),L$12))</f>
        <v/>
      </c>
      <c r="E108" s="74" t="str">
        <f>INDEX('TH CANAM'!$A$9:$BF$63,MATCH(PDNam!$F136,'TH CANAM'!$A$9:$A$63,0),INDEX($J$13:$M$30,MATCH($B108,$J$13:$J$30,0),M$12))</f>
        <v/>
      </c>
      <c r="F108" s="73"/>
      <c r="I108" s="64"/>
      <c r="J108" s="64"/>
    </row>
    <row r="109" spans="1:10" ht="21" customHeight="1">
      <c r="A109" s="72" t="s">
        <v>197</v>
      </c>
      <c r="B109" s="73" t="s">
        <v>31</v>
      </c>
      <c r="C109" s="74" t="str">
        <f>INDEX('TH CANAM'!$A$9:$BF$63,MATCH(PDNam!$F136,'TH CANAM'!$A$9:$A$63,0),INDEX($J$13:$M$30,MATCH($B109,$J$13:$J$30,0),K$12))</f>
        <v/>
      </c>
      <c r="D109" s="74" t="str">
        <f>INDEX('TH CANAM'!$A$9:$BF$63,MATCH(PDNam!$F136,'TH CANAM'!$A$9:$A$63,0),INDEX($J$13:$M$30,MATCH($B109,$J$13:$J$30,0),L$12))</f>
        <v/>
      </c>
      <c r="E109" s="74" t="str">
        <f>INDEX('TH CANAM'!$A$9:$BF$63,MATCH(PDNam!$F136,'TH CANAM'!$A$9:$A$63,0),INDEX($J$13:$M$30,MATCH($B109,$J$13:$J$30,0),M$12))</f>
        <v/>
      </c>
      <c r="F109" s="73"/>
      <c r="I109" s="64"/>
      <c r="J109" s="64"/>
    </row>
    <row r="110" spans="1:10" ht="21" customHeight="1">
      <c r="A110" s="72" t="s">
        <v>198</v>
      </c>
      <c r="B110" s="73" t="s">
        <v>32</v>
      </c>
      <c r="C110" s="74" t="str">
        <f>INDEX('TH CANAM'!$A$9:$BF$63,MATCH(PDNam!$F136,'TH CANAM'!$A$9:$A$63,0),INDEX($J$13:$M$30,MATCH($B110,$J$13:$J$30,0),K$12))</f>
        <v/>
      </c>
      <c r="D110" s="74" t="str">
        <f>INDEX('TH CANAM'!$A$9:$BF$63,MATCH(PDNam!$F136,'TH CANAM'!$A$9:$A$63,0),INDEX($J$13:$M$30,MATCH($B110,$J$13:$J$30,0),L$12))</f>
        <v/>
      </c>
      <c r="E110" s="74" t="str">
        <f>INDEX('TH CANAM'!$A$9:$BF$63,MATCH(PDNam!$F136,'TH CANAM'!$A$9:$A$63,0),INDEX($J$13:$M$30,MATCH($B110,$J$13:$J$30,0),M$12))</f>
        <v/>
      </c>
      <c r="F110" s="73"/>
      <c r="I110" s="64"/>
      <c r="J110" s="64"/>
    </row>
    <row r="111" spans="1:10" ht="21" customHeight="1">
      <c r="A111" s="72" t="s">
        <v>199</v>
      </c>
      <c r="B111" s="73" t="s">
        <v>33</v>
      </c>
      <c r="C111" s="74" t="str">
        <f>INDEX('TH CANAM'!$A$9:$BF$63,MATCH(PDNam!$F136,'TH CANAM'!$A$9:$A$63,0),INDEX($J$13:$M$30,MATCH($B111,$J$13:$J$30,0),K$12))</f>
        <v/>
      </c>
      <c r="D111" s="74" t="str">
        <f>INDEX('TH CANAM'!$A$9:$BF$63,MATCH(PDNam!$F136,'TH CANAM'!$A$9:$A$63,0),INDEX($J$13:$M$30,MATCH($B111,$J$13:$J$30,0),L$12))</f>
        <v/>
      </c>
      <c r="E111" s="74" t="str">
        <f>INDEX('TH CANAM'!$A$9:$BF$63,MATCH(PDNam!$F136,'TH CANAM'!$A$9:$A$63,0),INDEX($J$13:$M$30,MATCH($B111,$J$13:$J$30,0),M$12))</f>
        <v/>
      </c>
      <c r="F111" s="73"/>
      <c r="I111" s="64"/>
      <c r="J111" s="64"/>
    </row>
    <row r="112" spans="1:10" ht="21" customHeight="1">
      <c r="A112" s="72" t="s">
        <v>200</v>
      </c>
      <c r="B112" s="73" t="s">
        <v>60</v>
      </c>
      <c r="C112" s="74" t="str">
        <f>INDEX('TH CANAM'!$A$9:$BF$63,MATCH(PDNam!$F136,'TH CANAM'!$A$9:$A$63,0),INDEX($J$13:$M$30,MATCH($B112,$J$13:$J$30,0),K$12))</f>
        <v/>
      </c>
      <c r="D112" s="74" t="str">
        <f>INDEX('TH CANAM'!$A$9:$BF$63,MATCH(PDNam!$F136,'TH CANAM'!$A$9:$A$63,0),INDEX($J$13:$M$30,MATCH($B112,$J$13:$J$30,0),L$12))</f>
        <v/>
      </c>
      <c r="E112" s="74" t="str">
        <f>INDEX('TH CANAM'!$A$9:$BF$63,MATCH(PDNam!$F136,'TH CANAM'!$A$9:$A$63,0),INDEX($J$13:$M$30,MATCH($B112,$J$13:$J$30,0),M$12))</f>
        <v/>
      </c>
      <c r="F112" s="73"/>
      <c r="I112" s="64"/>
      <c r="J112" s="64"/>
    </row>
    <row r="113" spans="1:10" ht="21" customHeight="1">
      <c r="A113" s="72" t="s">
        <v>201</v>
      </c>
      <c r="B113" s="73" t="s">
        <v>34</v>
      </c>
      <c r="C113" s="74" t="str">
        <f>INDEX('TH CANAM'!$A$9:$BF$63,MATCH(PDNam!$F136,'TH CANAM'!$A$9:$A$63,0),INDEX($J$13:$M$30,MATCH($B113,$J$13:$J$30,0),K$12))</f>
        <v/>
      </c>
      <c r="D113" s="74" t="str">
        <f>INDEX('TH CANAM'!$A$9:$BF$63,MATCH(PDNam!$F136,'TH CANAM'!$A$9:$A$63,0),INDEX($J$13:$M$30,MATCH($B113,$J$13:$J$30,0),L$12))</f>
        <v/>
      </c>
      <c r="E113" s="74" t="str">
        <f>INDEX('TH CANAM'!$A$9:$BF$63,MATCH(PDNam!$F136,'TH CANAM'!$A$9:$A$63,0),INDEX($J$13:$M$30,MATCH($B113,$J$13:$J$30,0),M$12))</f>
        <v/>
      </c>
      <c r="F113" s="73"/>
      <c r="I113" s="64"/>
      <c r="J113" s="64"/>
    </row>
    <row r="114" spans="1:10" ht="21" customHeight="1">
      <c r="A114" s="72" t="s">
        <v>202</v>
      </c>
      <c r="B114" s="73" t="s">
        <v>35</v>
      </c>
      <c r="C114" s="74" t="str">
        <f>INDEX('TH CANAM'!$A$9:$BF$63,MATCH(PDNam!$F136,'TH CANAM'!$A$9:$A$63,0),INDEX($J$13:$M$30,MATCH($B114,$J$13:$J$30,0),K$12))</f>
        <v/>
      </c>
      <c r="D114" s="74" t="str">
        <f>INDEX('TH CANAM'!$A$9:$BF$63,MATCH(PDNam!$F136,'TH CANAM'!$A$9:$A$63,0),INDEX($J$13:$M$30,MATCH($B114,$J$13:$J$30,0),L$12))</f>
        <v/>
      </c>
      <c r="E114" s="74" t="str">
        <f>INDEX('TH CANAM'!$A$9:$BF$63,MATCH(PDNam!$F136,'TH CANAM'!$A$9:$A$63,0),INDEX($J$13:$M$30,MATCH($B114,$J$13:$J$30,0),M$12))</f>
        <v/>
      </c>
      <c r="F114" s="73"/>
      <c r="I114" s="64"/>
      <c r="J114" s="64"/>
    </row>
    <row r="115" spans="1:10" ht="21" customHeight="1">
      <c r="A115" s="72" t="s">
        <v>203</v>
      </c>
      <c r="B115" s="73" t="s">
        <v>121</v>
      </c>
      <c r="C115" s="74" t="str">
        <f>INDEX('TH CANAM'!$A$9:$BF$63,MATCH(PDNam!$F136,'TH CANAM'!$A$9:$A$63,0),INDEX($J$13:$M$30,MATCH($B115,$J$13:$J$30,0),K$12))</f>
        <v/>
      </c>
      <c r="D115" s="74" t="str">
        <f>INDEX('TH CANAM'!$A$9:$BF$63,MATCH(PDNam!$F136,'TH CANAM'!$A$9:$A$63,0),INDEX($J$13:$M$30,MATCH($B115,$J$13:$J$30,0),L$12))</f>
        <v/>
      </c>
      <c r="E115" s="74" t="str">
        <f>INDEX('TH CANAM'!$A$9:$BF$63,MATCH(PDNam!$F136,'TH CANAM'!$A$9:$A$63,0),INDEX($J$13:$M$30,MATCH($B115,$J$13:$J$30,0),M$12))</f>
        <v/>
      </c>
      <c r="F115" s="73"/>
      <c r="I115" s="64"/>
      <c r="J115" s="64"/>
    </row>
    <row r="116" spans="1:10" ht="21" customHeight="1">
      <c r="A116" s="72" t="s">
        <v>204</v>
      </c>
      <c r="B116" s="73" t="s">
        <v>122</v>
      </c>
      <c r="C116" s="74" t="str">
        <f>INDEX('TH CANAM'!$A$9:$BF$63,MATCH(PDNam!$F136,'TH CANAM'!$A$9:$A$63,0),INDEX($J$13:$M$30,MATCH($B116,$J$13:$J$30,0),K$12))</f>
        <v/>
      </c>
      <c r="D116" s="74" t="str">
        <f>INDEX('TH CANAM'!$A$9:$BF$63,MATCH(PDNam!$F136,'TH CANAM'!$A$9:$A$63,0),INDEX($J$13:$M$30,MATCH($B116,$J$13:$J$30,0),L$12))</f>
        <v/>
      </c>
      <c r="E116" s="74" t="str">
        <f>INDEX('TH CANAM'!$A$9:$BF$63,MATCH(PDNam!$F136,'TH CANAM'!$A$9:$A$63,0),INDEX($J$13:$M$30,MATCH($B116,$J$13:$J$30,0),M$12))</f>
        <v/>
      </c>
      <c r="F116" s="73"/>
      <c r="I116" s="64"/>
      <c r="J116" s="64"/>
    </row>
    <row r="117" spans="1:10" ht="21" customHeight="1">
      <c r="A117" s="72" t="s">
        <v>208</v>
      </c>
      <c r="B117" s="73" t="s">
        <v>205</v>
      </c>
      <c r="C117" s="78">
        <f>INDEX('TH CANAM'!$A$9:$BF$63,MATCH(PDNam!$F136,'TH CANAM'!$A$9:$A$63,0),46)</f>
        <v>9.1</v>
      </c>
      <c r="D117" s="78" t="str">
        <f>INDEX('TH CANAM'!$A$9:$BF$63,MATCH(PDNam!$F136,'TH CANAM'!$A$9:$A$63,0),47)</f>
        <v/>
      </c>
      <c r="E117" s="78" t="str">
        <f>INDEX('TH CANAM'!$A$9:$BF$63,MATCH(PDNam!$F136,'TH CANAM'!$A$9:$A$63,0),48)</f>
        <v/>
      </c>
      <c r="F117" s="73"/>
      <c r="I117" s="64"/>
      <c r="J117" s="64"/>
    </row>
    <row r="118" spans="1:10" ht="21" customHeight="1">
      <c r="A118" s="72" t="s">
        <v>209</v>
      </c>
      <c r="B118" s="72" t="s">
        <v>206</v>
      </c>
      <c r="C118" s="74" t="str">
        <f>IF(INDEX('TH CANAM'!$A$9:$BF$63,MATCH(PDNam!$F136,'TH CANAM'!$A$9:$A$63,0),49)="Tb","Trung bình",INDEX('TH CANAM'!$A$9:$BF$63,MATCH(PDNam!$F136,'TH CANAM'!$A$9:$A$63,0),49))</f>
        <v>Giỏi</v>
      </c>
      <c r="D118" s="74" t="str">
        <f>IF(INDEX('TH CANAM'!$A$9:$BF$63,MATCH(PDNam!$F136,'TH CANAM'!$A$9:$A$63,0),50)="Tb","Trung bình",INDEX('TH CANAM'!$A$9:$BF$63,MATCH(PDNam!$F136,'TH CANAM'!$A$9:$A$63,0),50))</f>
        <v/>
      </c>
      <c r="E118" s="74" t="str">
        <f>IF(INDEX('TH CANAM'!$A$9:$BF$63,MATCH(PDNam!$F136,'TH CANAM'!$A$9:$A$63,0),51)="Tb","Trung bình",INDEX('TH CANAM'!$A$9:$BF$63,MATCH(PDNam!$F136,'TH CANAM'!$A$9:$A$63,0),51))</f>
        <v/>
      </c>
      <c r="F118" s="73"/>
    </row>
    <row r="119" spans="1:10" ht="21" customHeight="1">
      <c r="A119" s="72" t="s">
        <v>210</v>
      </c>
      <c r="B119" s="72" t="s">
        <v>207</v>
      </c>
      <c r="C119" s="74" t="str">
        <f>INDEX('TH CANAM'!$A$9:$BF$63,MATCH(PDNam!$F136,'TH CANAM'!$A$9:$A$63,0),52)</f>
        <v>Tốt</v>
      </c>
      <c r="D119" s="74" t="str">
        <f>INDEX('TH CANAM'!$A$9:$BF$63,MATCH(PDNam!$F136,'TH CANAM'!$A$9:$A$63,0),53)</f>
        <v/>
      </c>
      <c r="E119" s="74" t="str">
        <f>INDEX('TH CANAM'!$A$9:$BF$63,MATCH(PDNam!$F136,'TH CANAM'!$A$9:$A$63,0),54)</f>
        <v/>
      </c>
      <c r="F119" s="73"/>
    </row>
    <row r="120" spans="1:10" ht="21" customHeight="1">
      <c r="A120" s="72" t="s">
        <v>211</v>
      </c>
      <c r="B120" s="72" t="s">
        <v>25</v>
      </c>
      <c r="C120" s="74" t="str">
        <f>IF(INDEX('TH CANAM'!$A$9:$BF$63,MATCH(PDNam!$F136,'TH CANAM'!$A$9:$A$63,0),57)&lt;&gt;"",INDEX('TH CANAM'!$A$9:$BF$63,MATCH(PDNam!$F136,'TH CANAM'!$A$9:$A$63,0),57),"/")</f>
        <v>HSG</v>
      </c>
      <c r="D120" s="74" t="str">
        <f>IF(INDEX('TH CANAM'!$A$9:$BF$63,MATCH(PDNam!$F136,'TH CANAM'!$A$9:$A$63,0),58)&lt;&gt;"",INDEX('TH CANAM'!$A$9:$BF$63,MATCH(PDNam!$F136,'TH CANAM'!$A$9:$A$63,0),58),"/")</f>
        <v>/</v>
      </c>
      <c r="E120" s="74" t="str">
        <f>IF(INDEX('TH CANAM'!$A$9:$BF$63,MATCH(PDNam!$F136,'TH CANAM'!$A$9:$A$63,0),55)&lt;&gt;"",INDEX('TH CANAM'!$A$9:$BF$63,MATCH(PDNam!$F136,'TH CANAM'!$A$9:$A$63,0),55),"/")</f>
        <v>/</v>
      </c>
      <c r="F120" s="73"/>
    </row>
    <row r="121" spans="1:10" s="60" customFormat="1" ht="9" customHeight="1">
      <c r="A121" s="67"/>
      <c r="B121" s="67"/>
      <c r="C121" s="1132"/>
      <c r="D121" s="1132"/>
      <c r="E121" s="67"/>
      <c r="F121" s="67"/>
    </row>
    <row r="122" spans="1:10" s="60" customFormat="1" ht="18.75" customHeight="1">
      <c r="A122" s="58" t="s">
        <v>219</v>
      </c>
      <c r="B122" s="57"/>
      <c r="C122" s="57"/>
      <c r="D122" s="57"/>
      <c r="E122" s="57"/>
      <c r="F122" s="475"/>
    </row>
    <row r="123" spans="1:10" s="60" customFormat="1" ht="18.75" customHeight="1">
      <c r="A123" s="59" t="str">
        <f>IF(F136&lt;&gt;"",IF(INDEX(BDHK2,MATCH(F136,DiemHKII!$B$4:$B$58,0),137)&lt;&gt;""," - "&amp;INDEX(BDHK2,MATCH(F136,DiemHKII!$B$4:$B$58,0),137),""),"")</f>
        <v/>
      </c>
      <c r="B123" s="57"/>
      <c r="C123" s="57"/>
      <c r="D123" s="57"/>
      <c r="E123" s="57"/>
      <c r="F123" s="475"/>
    </row>
    <row r="124" spans="1:10" s="60" customFormat="1" ht="18.75" customHeight="1">
      <c r="A124" s="59" t="str">
        <f>IF(F136&lt;&gt;"",IF(INDEX(BDHK2,MATCH(F136,DiemHKII!$B$4:$B$58,0),138)&lt;&gt;""," - "&amp;INDEX(BDHK2,MATCH(F136,DiemHKII!$B$4:$B$58,0),138),""),"")</f>
        <v/>
      </c>
      <c r="B124" s="57"/>
      <c r="C124" s="57"/>
      <c r="D124" s="57"/>
      <c r="E124" s="57"/>
      <c r="F124" s="475"/>
    </row>
    <row r="125" spans="1:10" s="60" customFormat="1" ht="18.75" customHeight="1">
      <c r="A125" s="59" t="str">
        <f>IF(F136&lt;&gt;"",IF(INDEX(BDHK2,MATCH(F136,DiemHKII!$B$4:$B$58,0),139)&lt;&gt;""," - "&amp;INDEX(BDHK2,MATCH(F136,DiemHKII!$B$4:$B$58,0),139),""),"")</f>
        <v/>
      </c>
      <c r="B125" s="57"/>
      <c r="C125" s="57"/>
      <c r="D125" s="57"/>
      <c r="E125" s="57"/>
      <c r="F125" s="475"/>
    </row>
    <row r="126" spans="1:10" s="60" customFormat="1" ht="18.75" customHeight="1">
      <c r="A126" s="59" t="str">
        <f>IF(F136&lt;&gt;"",IF(INDEX(BDHK2,MATCH(F136,DiemHKII!$B$4:$B$58,0),140)&lt;&gt;""," - "&amp;INDEX(BDHK2,MATCH(F136,DiemHKII!$B$4:$B$58,0),140),""),"")</f>
        <v/>
      </c>
      <c r="B126" s="57"/>
      <c r="C126" s="57"/>
      <c r="D126" s="57"/>
      <c r="E126" s="57"/>
      <c r="F126" s="67"/>
    </row>
    <row r="127" spans="1:10" ht="6" customHeight="1">
      <c r="A127" s="68"/>
      <c r="B127" s="68"/>
      <c r="C127" s="68"/>
      <c r="D127" s="68"/>
      <c r="E127" s="68"/>
      <c r="F127" s="68"/>
    </row>
    <row r="128" spans="1:10">
      <c r="A128" s="68"/>
      <c r="B128" s="68"/>
      <c r="C12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28" s="1060"/>
      <c r="E128" s="1060"/>
      <c r="F128" s="1060"/>
    </row>
    <row r="129" spans="1:10" ht="20.25" customHeight="1">
      <c r="A129" s="1012" t="str">
        <f>IF($D$39="Hiệu trưởng","Giáo viên Quản nhiệm","")</f>
        <v>Giáo viên Quản nhiệm</v>
      </c>
      <c r="B129" s="1012"/>
      <c r="C129" s="61"/>
      <c r="D129" s="1012" t="str">
        <f>IF($H$7="","",$H$7)</f>
        <v>Hiệu trưởng</v>
      </c>
      <c r="E129" s="1012"/>
      <c r="F129" s="61"/>
    </row>
    <row r="130" spans="1:10">
      <c r="A130" s="68"/>
      <c r="B130" s="68"/>
      <c r="C130" s="68"/>
      <c r="D130" s="68"/>
      <c r="E130" s="68"/>
      <c r="F130" s="68"/>
    </row>
    <row r="131" spans="1:10">
      <c r="A131" s="68"/>
      <c r="B131" s="68"/>
      <c r="C131" s="68"/>
      <c r="D131" s="68"/>
      <c r="E131" s="68"/>
      <c r="F131" s="68"/>
    </row>
    <row r="132" spans="1:10" ht="16.8">
      <c r="A132" s="68"/>
      <c r="B132" s="68"/>
      <c r="C132" s="64"/>
      <c r="D132" s="64"/>
      <c r="E132" s="64"/>
      <c r="F132" s="64"/>
      <c r="G132" s="65"/>
      <c r="H132" s="65"/>
      <c r="I132" s="65"/>
      <c r="J132" s="65"/>
    </row>
    <row r="134" spans="1:10">
      <c r="A134" s="1012" t="str">
        <f>IF($A$39="","",PROPER('Huong dan'!$C$4))</f>
        <v/>
      </c>
      <c r="B134" s="1012"/>
      <c r="D134" s="1130" t="str">
        <f>IFERROR(IF($D$39="Giáo Viên Quản nhiệm",PROPER('Huong dan'!$C$4),IF($D$39="Hiệu trưởng",PROPER('Huong dan'!$E$5),"")),"")</f>
        <v/>
      </c>
      <c r="E134" s="1130"/>
    </row>
    <row r="135" spans="1:10" ht="7.5" customHeight="1"/>
    <row r="136" spans="1:10" ht="11.25" customHeight="1">
      <c r="A136" s="75"/>
      <c r="B136" s="75"/>
      <c r="C136" s="75"/>
      <c r="D136" s="75"/>
      <c r="E136" s="75"/>
      <c r="F136" s="76">
        <f>IF(F91="","",IF(F91&lt;MAX(DiemHKII!$B$4:$B$58),F91+1,""))</f>
        <v>3</v>
      </c>
    </row>
    <row r="137" spans="1:10" s="60" customFormat="1" ht="22.5" customHeight="1">
      <c r="A137" s="1128" t="str">
        <f>IF('Huong dan'!$E$3&lt;&gt;"","SỞ GIÁO DỤC VÀ ĐÀO TẠO "&amp;UPPER('Huong dan'!$E$3),"")</f>
        <v>SỞ GIÁO DỤC VÀ ĐÀO TẠO TP. HỒ CHÍ MINH</v>
      </c>
      <c r="B137" s="1128"/>
      <c r="C137" s="1128"/>
      <c r="D137" s="1129" t="s">
        <v>19</v>
      </c>
      <c r="E137" s="1129"/>
      <c r="F137" s="1129"/>
    </row>
    <row r="138" spans="1:10" ht="17.25" customHeight="1">
      <c r="A138" s="992" t="str">
        <f>IF('Huong dan'!$E$4&lt;&gt;"","TRƯỜNG "&amp;UPPER('Huong dan'!$E$4),"")</f>
        <v>TRƯỜNG THCS VÀ THPT NGUYỄN KHUYẾN</v>
      </c>
      <c r="B138" s="992"/>
      <c r="C138" s="992"/>
      <c r="D138" s="1130" t="s">
        <v>179</v>
      </c>
      <c r="E138" s="1130"/>
      <c r="F138" s="1130"/>
    </row>
    <row r="139" spans="1:10" ht="12" customHeight="1">
      <c r="A139" s="69"/>
      <c r="B139" s="69"/>
      <c r="C139" s="30"/>
      <c r="D139" s="30"/>
      <c r="E139" s="30"/>
      <c r="F139" s="30"/>
    </row>
    <row r="140" spans="1:10" ht="18" customHeight="1">
      <c r="A140" s="69"/>
      <c r="B140" s="69"/>
      <c r="C140" s="30"/>
      <c r="D140" s="30"/>
      <c r="E140" s="30"/>
      <c r="F140" s="30"/>
    </row>
    <row r="141" spans="1:10" ht="29.25" customHeight="1">
      <c r="A141" s="1013" t="str">
        <f>"PHIẾU ĐIỂM NĂM HỌC "&amp;'Huong dan'!$C$5</f>
        <v>PHIẾU ĐIỂM NĂM HỌC 2021 - 2022</v>
      </c>
      <c r="B141" s="1013"/>
      <c r="C141" s="1013"/>
      <c r="D141" s="1013"/>
      <c r="E141" s="1013"/>
      <c r="F141" s="1013"/>
    </row>
    <row r="142" spans="1:10" ht="12.75" customHeight="1">
      <c r="A142" s="70"/>
      <c r="B142" s="66"/>
      <c r="C142" s="66"/>
      <c r="D142" s="66"/>
      <c r="E142" s="66"/>
      <c r="F142" s="66"/>
    </row>
    <row r="143" spans="1:10" ht="20.25" customHeight="1">
      <c r="A143" s="1131" t="s">
        <v>212</v>
      </c>
      <c r="B143" s="1131"/>
      <c r="C143" s="77" t="str">
        <f>IF(F181="","",INDEX(DiemHKII!$E$4:$E$58,MATCH(F181,DiemHKII!$B$4:$B$58,0),1)&amp;" "&amp;INDEX(DiemHKII!$F$4:$F$58,MATCH(F181,DiemHKII!$B$4:$B$58,0),1))</f>
        <v>Nguyễn Quách Mai Anh</v>
      </c>
      <c r="D143" s="77"/>
      <c r="E143" s="77"/>
      <c r="F143" s="71" t="str">
        <f>IF('Huong dan'!$C$3="","","Lớp: "&amp;'Huong dan'!$C$3)</f>
        <v>Lớp: 12A1</v>
      </c>
    </row>
    <row r="144" spans="1:10" ht="24" customHeight="1">
      <c r="A144" s="1131" t="s">
        <v>213</v>
      </c>
      <c r="B144" s="1131"/>
      <c r="C144" s="77" t="str">
        <f>IF(F181="","",INDEX(DiemHKII!$G$4:$G$58,MATCH(F181,DiemHKII!$B$4:$B$58,0),1))</f>
        <v>12/05/2004</v>
      </c>
      <c r="D144" s="77"/>
      <c r="E144" s="1133" t="str">
        <f>IF(F181="","","Nơi sinh: "&amp;INDEX(DiemHKII!$H$4:$H$58,MATCH(F181,DiemHKII!$B$4:$B$58,0),1))</f>
        <v xml:space="preserve">Nơi sinh: </v>
      </c>
      <c r="F144" s="1133"/>
    </row>
    <row r="145" spans="1:10" ht="15" customHeight="1">
      <c r="A145" s="62"/>
      <c r="B145" s="62"/>
      <c r="C145" s="62"/>
      <c r="D145" s="62"/>
      <c r="E145" s="62"/>
      <c r="F145" s="63"/>
    </row>
    <row r="146" spans="1:10" ht="21" customHeight="1">
      <c r="A146" s="1134" t="s">
        <v>0</v>
      </c>
      <c r="B146" s="1134" t="s">
        <v>72</v>
      </c>
      <c r="C146" s="1134" t="s">
        <v>216</v>
      </c>
      <c r="D146" s="1134"/>
      <c r="E146" s="1134"/>
      <c r="F146" s="1134" t="s">
        <v>148</v>
      </c>
    </row>
    <row r="147" spans="1:10" ht="21" customHeight="1">
      <c r="A147" s="1134"/>
      <c r="B147" s="1134"/>
      <c r="C147" s="476" t="s">
        <v>188</v>
      </c>
      <c r="D147" s="476" t="s">
        <v>189</v>
      </c>
      <c r="E147" s="476" t="s">
        <v>190</v>
      </c>
      <c r="F147" s="1134"/>
    </row>
    <row r="148" spans="1:10" ht="21" customHeight="1">
      <c r="A148" s="72" t="s">
        <v>191</v>
      </c>
      <c r="B148" s="73" t="s">
        <v>26</v>
      </c>
      <c r="C148" s="74" t="str">
        <f>INDEX('TH CANAM'!$A$9:$BF$63,MATCH(PDNam!$F181,'TH CANAM'!$A$9:$A$63,0),INDEX($J$13:$M$30,MATCH($B148,$J$13:$J$30,0),K$12))</f>
        <v/>
      </c>
      <c r="D148" s="74" t="str">
        <f>INDEX('TH CANAM'!$A$9:$BF$63,MATCH(PDNam!$F181,'TH CANAM'!$A$9:$A$63,0),INDEX($J$13:$M$30,MATCH($B148,$J$13:$J$30,0),L$12))</f>
        <v/>
      </c>
      <c r="E148" s="74" t="str">
        <f>INDEX('TH CANAM'!$A$9:$BF$63,MATCH(PDNam!$F181,'TH CANAM'!$A$9:$A$63,0),INDEX($J$13:$M$30,MATCH($B148,$J$13:$J$30,0),M$12))</f>
        <v/>
      </c>
      <c r="F148" s="73"/>
      <c r="I148" s="64"/>
      <c r="J148" s="64"/>
    </row>
    <row r="149" spans="1:10" ht="21" customHeight="1">
      <c r="A149" s="72" t="s">
        <v>192</v>
      </c>
      <c r="B149" s="73" t="s">
        <v>27</v>
      </c>
      <c r="C149" s="74" t="str">
        <f>INDEX('TH CANAM'!$A$9:$BF$63,MATCH(PDNam!$F181,'TH CANAM'!$A$9:$A$63,0),INDEX($J$13:$M$30,MATCH($B149,$J$13:$J$30,0),K$12))</f>
        <v/>
      </c>
      <c r="D149" s="74" t="str">
        <f>INDEX('TH CANAM'!$A$9:$BF$63,MATCH(PDNam!$F181,'TH CANAM'!$A$9:$A$63,0),INDEX($J$13:$M$30,MATCH($B149,$J$13:$J$30,0),L$12))</f>
        <v/>
      </c>
      <c r="E149" s="74" t="str">
        <f>INDEX('TH CANAM'!$A$9:$BF$63,MATCH(PDNam!$F181,'TH CANAM'!$A$9:$A$63,0),INDEX($J$13:$M$30,MATCH($B149,$J$13:$J$30,0),M$12))</f>
        <v/>
      </c>
      <c r="F149" s="73"/>
      <c r="I149" s="64"/>
      <c r="J149" s="64"/>
    </row>
    <row r="150" spans="1:10" ht="21" customHeight="1">
      <c r="A150" s="72" t="s">
        <v>193</v>
      </c>
      <c r="B150" s="73" t="s">
        <v>28</v>
      </c>
      <c r="C150" s="74" t="str">
        <f>INDEX('TH CANAM'!$A$9:$BF$63,MATCH(PDNam!$F181,'TH CANAM'!$A$9:$A$63,0),INDEX($J$13:$M$30,MATCH($B150,$J$13:$J$30,0),K$12))</f>
        <v/>
      </c>
      <c r="D150" s="74" t="str">
        <f>INDEX('TH CANAM'!$A$9:$BF$63,MATCH(PDNam!$F181,'TH CANAM'!$A$9:$A$63,0),INDEX($J$13:$M$30,MATCH($B150,$J$13:$J$30,0),L$12))</f>
        <v/>
      </c>
      <c r="E150" s="74" t="str">
        <f>INDEX('TH CANAM'!$A$9:$BF$63,MATCH(PDNam!$F181,'TH CANAM'!$A$9:$A$63,0),INDEX($J$13:$M$30,MATCH($B150,$J$13:$J$30,0),M$12))</f>
        <v/>
      </c>
      <c r="F150" s="73"/>
      <c r="I150" s="64"/>
      <c r="J150" s="64"/>
    </row>
    <row r="151" spans="1:10" ht="21" customHeight="1">
      <c r="A151" s="72" t="s">
        <v>194</v>
      </c>
      <c r="B151" s="73" t="s">
        <v>29</v>
      </c>
      <c r="C151" s="74" t="str">
        <f>INDEX('TH CANAM'!$A$9:$BF$63,MATCH(PDNam!$F181,'TH CANAM'!$A$9:$A$63,0),INDEX($J$13:$M$30,MATCH($B151,$J$13:$J$30,0),K$12))</f>
        <v/>
      </c>
      <c r="D151" s="74" t="str">
        <f>INDEX('TH CANAM'!$A$9:$BF$63,MATCH(PDNam!$F181,'TH CANAM'!$A$9:$A$63,0),INDEX($J$13:$M$30,MATCH($B151,$J$13:$J$30,0),L$12))</f>
        <v/>
      </c>
      <c r="E151" s="74" t="str">
        <f>INDEX('TH CANAM'!$A$9:$BF$63,MATCH(PDNam!$F181,'TH CANAM'!$A$9:$A$63,0),INDEX($J$13:$M$30,MATCH($B151,$J$13:$J$30,0),M$12))</f>
        <v/>
      </c>
      <c r="F151" s="73"/>
      <c r="I151" s="64"/>
      <c r="J151" s="64"/>
    </row>
    <row r="152" spans="1:10" ht="21" customHeight="1">
      <c r="A152" s="72" t="s">
        <v>195</v>
      </c>
      <c r="B152" s="73" t="s">
        <v>120</v>
      </c>
      <c r="C152" s="74" t="str">
        <f>INDEX('TH CANAM'!$A$9:$BF$63,MATCH(PDNam!$F181,'TH CANAM'!$A$9:$A$63,0),INDEX($J$13:$M$30,MATCH($B152,$J$13:$J$30,0),K$12))</f>
        <v/>
      </c>
      <c r="D152" s="74" t="str">
        <f>INDEX('TH CANAM'!$A$9:$BF$63,MATCH(PDNam!$F181,'TH CANAM'!$A$9:$A$63,0),INDEX($J$13:$M$30,MATCH($B152,$J$13:$J$30,0),L$12))</f>
        <v/>
      </c>
      <c r="E152" s="74" t="str">
        <f>INDEX('TH CANAM'!$A$9:$BF$63,MATCH(PDNam!$F181,'TH CANAM'!$A$9:$A$63,0),INDEX($J$13:$M$30,MATCH($B152,$J$13:$J$30,0),M$12))</f>
        <v/>
      </c>
      <c r="F152" s="73"/>
      <c r="I152" s="64"/>
      <c r="J152" s="64"/>
    </row>
    <row r="153" spans="1:10" ht="21" customHeight="1">
      <c r="A153" s="72" t="s">
        <v>196</v>
      </c>
      <c r="B153" s="73" t="s">
        <v>30</v>
      </c>
      <c r="C153" s="74" t="str">
        <f>INDEX('TH CANAM'!$A$9:$BF$63,MATCH(PDNam!$F181,'TH CANAM'!$A$9:$A$63,0),INDEX($J$13:$M$30,MATCH($B153,$J$13:$J$30,0),K$12))</f>
        <v/>
      </c>
      <c r="D153" s="74" t="str">
        <f>INDEX('TH CANAM'!$A$9:$BF$63,MATCH(PDNam!$F181,'TH CANAM'!$A$9:$A$63,0),INDEX($J$13:$M$30,MATCH($B153,$J$13:$J$30,0),L$12))</f>
        <v/>
      </c>
      <c r="E153" s="74" t="str">
        <f>INDEX('TH CANAM'!$A$9:$BF$63,MATCH(PDNam!$F181,'TH CANAM'!$A$9:$A$63,0),INDEX($J$13:$M$30,MATCH($B153,$J$13:$J$30,0),M$12))</f>
        <v/>
      </c>
      <c r="F153" s="73"/>
      <c r="I153" s="64"/>
      <c r="J153" s="64"/>
    </row>
    <row r="154" spans="1:10" ht="21" customHeight="1">
      <c r="A154" s="72" t="s">
        <v>197</v>
      </c>
      <c r="B154" s="73" t="s">
        <v>31</v>
      </c>
      <c r="C154" s="74" t="str">
        <f>INDEX('TH CANAM'!$A$9:$BF$63,MATCH(PDNam!$F181,'TH CANAM'!$A$9:$A$63,0),INDEX($J$13:$M$30,MATCH($B154,$J$13:$J$30,0),K$12))</f>
        <v/>
      </c>
      <c r="D154" s="74" t="str">
        <f>INDEX('TH CANAM'!$A$9:$BF$63,MATCH(PDNam!$F181,'TH CANAM'!$A$9:$A$63,0),INDEX($J$13:$M$30,MATCH($B154,$J$13:$J$30,0),L$12))</f>
        <v/>
      </c>
      <c r="E154" s="74" t="str">
        <f>INDEX('TH CANAM'!$A$9:$BF$63,MATCH(PDNam!$F181,'TH CANAM'!$A$9:$A$63,0),INDEX($J$13:$M$30,MATCH($B154,$J$13:$J$30,0),M$12))</f>
        <v/>
      </c>
      <c r="F154" s="73"/>
      <c r="I154" s="64"/>
      <c r="J154" s="64"/>
    </row>
    <row r="155" spans="1:10" ht="21" customHeight="1">
      <c r="A155" s="72" t="s">
        <v>198</v>
      </c>
      <c r="B155" s="73" t="s">
        <v>32</v>
      </c>
      <c r="C155" s="74" t="str">
        <f>INDEX('TH CANAM'!$A$9:$BF$63,MATCH(PDNam!$F181,'TH CANAM'!$A$9:$A$63,0),INDEX($J$13:$M$30,MATCH($B155,$J$13:$J$30,0),K$12))</f>
        <v/>
      </c>
      <c r="D155" s="74" t="str">
        <f>INDEX('TH CANAM'!$A$9:$BF$63,MATCH(PDNam!$F181,'TH CANAM'!$A$9:$A$63,0),INDEX($J$13:$M$30,MATCH($B155,$J$13:$J$30,0),L$12))</f>
        <v/>
      </c>
      <c r="E155" s="74" t="str">
        <f>INDEX('TH CANAM'!$A$9:$BF$63,MATCH(PDNam!$F181,'TH CANAM'!$A$9:$A$63,0),INDEX($J$13:$M$30,MATCH($B155,$J$13:$J$30,0),M$12))</f>
        <v/>
      </c>
      <c r="F155" s="73"/>
      <c r="I155" s="64"/>
      <c r="J155" s="64"/>
    </row>
    <row r="156" spans="1:10" ht="21" customHeight="1">
      <c r="A156" s="72" t="s">
        <v>199</v>
      </c>
      <c r="B156" s="73" t="s">
        <v>33</v>
      </c>
      <c r="C156" s="74" t="str">
        <f>INDEX('TH CANAM'!$A$9:$BF$63,MATCH(PDNam!$F181,'TH CANAM'!$A$9:$A$63,0),INDEX($J$13:$M$30,MATCH($B156,$J$13:$J$30,0),K$12))</f>
        <v/>
      </c>
      <c r="D156" s="74" t="str">
        <f>INDEX('TH CANAM'!$A$9:$BF$63,MATCH(PDNam!$F181,'TH CANAM'!$A$9:$A$63,0),INDEX($J$13:$M$30,MATCH($B156,$J$13:$J$30,0),L$12))</f>
        <v/>
      </c>
      <c r="E156" s="74" t="str">
        <f>INDEX('TH CANAM'!$A$9:$BF$63,MATCH(PDNam!$F181,'TH CANAM'!$A$9:$A$63,0),INDEX($J$13:$M$30,MATCH($B156,$J$13:$J$30,0),M$12))</f>
        <v/>
      </c>
      <c r="F156" s="73"/>
      <c r="I156" s="64"/>
      <c r="J156" s="64"/>
    </row>
    <row r="157" spans="1:10" ht="21" customHeight="1">
      <c r="A157" s="72" t="s">
        <v>200</v>
      </c>
      <c r="B157" s="73" t="s">
        <v>60</v>
      </c>
      <c r="C157" s="74" t="str">
        <f>INDEX('TH CANAM'!$A$9:$BF$63,MATCH(PDNam!$F181,'TH CANAM'!$A$9:$A$63,0),INDEX($J$13:$M$30,MATCH($B157,$J$13:$J$30,0),K$12))</f>
        <v/>
      </c>
      <c r="D157" s="74" t="str">
        <f>INDEX('TH CANAM'!$A$9:$BF$63,MATCH(PDNam!$F181,'TH CANAM'!$A$9:$A$63,0),INDEX($J$13:$M$30,MATCH($B157,$J$13:$J$30,0),L$12))</f>
        <v/>
      </c>
      <c r="E157" s="74" t="str">
        <f>INDEX('TH CANAM'!$A$9:$BF$63,MATCH(PDNam!$F181,'TH CANAM'!$A$9:$A$63,0),INDEX($J$13:$M$30,MATCH($B157,$J$13:$J$30,0),M$12))</f>
        <v/>
      </c>
      <c r="F157" s="73"/>
      <c r="I157" s="64"/>
      <c r="J157" s="64"/>
    </row>
    <row r="158" spans="1:10" ht="21" customHeight="1">
      <c r="A158" s="72" t="s">
        <v>201</v>
      </c>
      <c r="B158" s="73" t="s">
        <v>34</v>
      </c>
      <c r="C158" s="74" t="str">
        <f>INDEX('TH CANAM'!$A$9:$BF$63,MATCH(PDNam!$F181,'TH CANAM'!$A$9:$A$63,0),INDEX($J$13:$M$30,MATCH($B158,$J$13:$J$30,0),K$12))</f>
        <v/>
      </c>
      <c r="D158" s="74" t="str">
        <f>INDEX('TH CANAM'!$A$9:$BF$63,MATCH(PDNam!$F181,'TH CANAM'!$A$9:$A$63,0),INDEX($J$13:$M$30,MATCH($B158,$J$13:$J$30,0),L$12))</f>
        <v/>
      </c>
      <c r="E158" s="74" t="str">
        <f>INDEX('TH CANAM'!$A$9:$BF$63,MATCH(PDNam!$F181,'TH CANAM'!$A$9:$A$63,0),INDEX($J$13:$M$30,MATCH($B158,$J$13:$J$30,0),M$12))</f>
        <v/>
      </c>
      <c r="F158" s="73"/>
      <c r="I158" s="64"/>
      <c r="J158" s="64"/>
    </row>
    <row r="159" spans="1:10" ht="21" customHeight="1">
      <c r="A159" s="72" t="s">
        <v>202</v>
      </c>
      <c r="B159" s="73" t="s">
        <v>35</v>
      </c>
      <c r="C159" s="74" t="str">
        <f>INDEX('TH CANAM'!$A$9:$BF$63,MATCH(PDNam!$F181,'TH CANAM'!$A$9:$A$63,0),INDEX($J$13:$M$30,MATCH($B159,$J$13:$J$30,0),K$12))</f>
        <v/>
      </c>
      <c r="D159" s="74" t="str">
        <f>INDEX('TH CANAM'!$A$9:$BF$63,MATCH(PDNam!$F181,'TH CANAM'!$A$9:$A$63,0),INDEX($J$13:$M$30,MATCH($B159,$J$13:$J$30,0),L$12))</f>
        <v/>
      </c>
      <c r="E159" s="74" t="str">
        <f>INDEX('TH CANAM'!$A$9:$BF$63,MATCH(PDNam!$F181,'TH CANAM'!$A$9:$A$63,0),INDEX($J$13:$M$30,MATCH($B159,$J$13:$J$30,0),M$12))</f>
        <v/>
      </c>
      <c r="F159" s="73"/>
      <c r="I159" s="64"/>
      <c r="J159" s="64"/>
    </row>
    <row r="160" spans="1:10" ht="21" customHeight="1">
      <c r="A160" s="72" t="s">
        <v>203</v>
      </c>
      <c r="B160" s="73" t="s">
        <v>121</v>
      </c>
      <c r="C160" s="74" t="str">
        <f>INDEX('TH CANAM'!$A$9:$BF$63,MATCH(PDNam!$F181,'TH CANAM'!$A$9:$A$63,0),INDEX($J$13:$M$30,MATCH($B160,$J$13:$J$30,0),K$12))</f>
        <v/>
      </c>
      <c r="D160" s="74" t="str">
        <f>INDEX('TH CANAM'!$A$9:$BF$63,MATCH(PDNam!$F181,'TH CANAM'!$A$9:$A$63,0),INDEX($J$13:$M$30,MATCH($B160,$J$13:$J$30,0),L$12))</f>
        <v/>
      </c>
      <c r="E160" s="74" t="str">
        <f>INDEX('TH CANAM'!$A$9:$BF$63,MATCH(PDNam!$F181,'TH CANAM'!$A$9:$A$63,0),INDEX($J$13:$M$30,MATCH($B160,$J$13:$J$30,0),M$12))</f>
        <v/>
      </c>
      <c r="F160" s="73"/>
      <c r="I160" s="64"/>
      <c r="J160" s="64"/>
    </row>
    <row r="161" spans="1:10" ht="21" customHeight="1">
      <c r="A161" s="72" t="s">
        <v>204</v>
      </c>
      <c r="B161" s="73" t="s">
        <v>122</v>
      </c>
      <c r="C161" s="74" t="str">
        <f>INDEX('TH CANAM'!$A$9:$BF$63,MATCH(PDNam!$F181,'TH CANAM'!$A$9:$A$63,0),INDEX($J$13:$M$30,MATCH($B161,$J$13:$J$30,0),K$12))</f>
        <v/>
      </c>
      <c r="D161" s="74" t="str">
        <f>INDEX('TH CANAM'!$A$9:$BF$63,MATCH(PDNam!$F181,'TH CANAM'!$A$9:$A$63,0),INDEX($J$13:$M$30,MATCH($B161,$J$13:$J$30,0),L$12))</f>
        <v/>
      </c>
      <c r="E161" s="74" t="str">
        <f>INDEX('TH CANAM'!$A$9:$BF$63,MATCH(PDNam!$F181,'TH CANAM'!$A$9:$A$63,0),INDEX($J$13:$M$30,MATCH($B161,$J$13:$J$30,0),M$12))</f>
        <v/>
      </c>
      <c r="F161" s="73"/>
      <c r="I161" s="64"/>
      <c r="J161" s="64"/>
    </row>
    <row r="162" spans="1:10" ht="21" customHeight="1">
      <c r="A162" s="72" t="s">
        <v>208</v>
      </c>
      <c r="B162" s="73" t="s">
        <v>205</v>
      </c>
      <c r="C162" s="78">
        <f>INDEX('TH CANAM'!$A$9:$BF$63,MATCH(PDNam!$F181,'TH CANAM'!$A$9:$A$63,0),46)</f>
        <v>9.4</v>
      </c>
      <c r="D162" s="78" t="str">
        <f>INDEX('TH CANAM'!$A$9:$BF$63,MATCH(PDNam!$F181,'TH CANAM'!$A$9:$A$63,0),47)</f>
        <v/>
      </c>
      <c r="E162" s="78" t="str">
        <f>INDEX('TH CANAM'!$A$9:$BF$63,MATCH(PDNam!$F181,'TH CANAM'!$A$9:$A$63,0),48)</f>
        <v/>
      </c>
      <c r="F162" s="73"/>
      <c r="I162" s="64"/>
      <c r="J162" s="64"/>
    </row>
    <row r="163" spans="1:10" ht="21" customHeight="1">
      <c r="A163" s="72" t="s">
        <v>209</v>
      </c>
      <c r="B163" s="72" t="s">
        <v>206</v>
      </c>
      <c r="C163" s="74" t="str">
        <f>IF(INDEX('TH CANAM'!$A$9:$BF$63,MATCH(PDNam!$F181,'TH CANAM'!$A$9:$A$63,0),49)="Tb","Trung bình",INDEX('TH CANAM'!$A$9:$BF$63,MATCH(PDNam!$F181,'TH CANAM'!$A$9:$A$63,0),49))</f>
        <v>Giỏi</v>
      </c>
      <c r="D163" s="74" t="str">
        <f>IF(INDEX('TH CANAM'!$A$9:$BF$63,MATCH(PDNam!$F181,'TH CANAM'!$A$9:$A$63,0),50)="Tb","Trung bình",INDEX('TH CANAM'!$A$9:$BF$63,MATCH(PDNam!$F181,'TH CANAM'!$A$9:$A$63,0),50))</f>
        <v/>
      </c>
      <c r="E163" s="74" t="str">
        <f>IF(INDEX('TH CANAM'!$A$9:$BF$63,MATCH(PDNam!$F181,'TH CANAM'!$A$9:$A$63,0),51)="Tb","Trung bình",INDEX('TH CANAM'!$A$9:$BF$63,MATCH(PDNam!$F181,'TH CANAM'!$A$9:$A$63,0),51))</f>
        <v/>
      </c>
      <c r="F163" s="73"/>
    </row>
    <row r="164" spans="1:10" ht="21" customHeight="1">
      <c r="A164" s="72" t="s">
        <v>210</v>
      </c>
      <c r="B164" s="72" t="s">
        <v>207</v>
      </c>
      <c r="C164" s="74" t="str">
        <f>INDEX('TH CANAM'!$A$9:$BF$63,MATCH(PDNam!$F181,'TH CANAM'!$A$9:$A$63,0),52)</f>
        <v>Tốt</v>
      </c>
      <c r="D164" s="74" t="str">
        <f>INDEX('TH CANAM'!$A$9:$BF$63,MATCH(PDNam!$F181,'TH CANAM'!$A$9:$A$63,0),53)</f>
        <v/>
      </c>
      <c r="E164" s="74" t="str">
        <f>INDEX('TH CANAM'!$A$9:$BF$63,MATCH(PDNam!$F181,'TH CANAM'!$A$9:$A$63,0),54)</f>
        <v/>
      </c>
      <c r="F164" s="73"/>
    </row>
    <row r="165" spans="1:10" ht="21" customHeight="1">
      <c r="A165" s="72" t="s">
        <v>211</v>
      </c>
      <c r="B165" s="72" t="s">
        <v>25</v>
      </c>
      <c r="C165" s="74" t="str">
        <f>IF(INDEX('TH CANAM'!$A$9:$BF$63,MATCH(PDNam!$F181,'TH CANAM'!$A$9:$A$63,0),57)&lt;&gt;"",INDEX('TH CANAM'!$A$9:$BF$63,MATCH(PDNam!$F181,'TH CANAM'!$A$9:$A$63,0),57),"/")</f>
        <v>HSG</v>
      </c>
      <c r="D165" s="74" t="str">
        <f>IF(INDEX('TH CANAM'!$A$9:$BF$63,MATCH(PDNam!$F181,'TH CANAM'!$A$9:$A$63,0),58)&lt;&gt;"",INDEX('TH CANAM'!$A$9:$BF$63,MATCH(PDNam!$F181,'TH CANAM'!$A$9:$A$63,0),58),"/")</f>
        <v>/</v>
      </c>
      <c r="E165" s="74" t="str">
        <f>IF(INDEX('TH CANAM'!$A$9:$BF$63,MATCH(PDNam!$F181,'TH CANAM'!$A$9:$A$63,0),55)&lt;&gt;"",INDEX('TH CANAM'!$A$9:$BF$63,MATCH(PDNam!$F181,'TH CANAM'!$A$9:$A$63,0),55),"/")</f>
        <v>/</v>
      </c>
      <c r="F165" s="73"/>
    </row>
    <row r="166" spans="1:10" s="60" customFormat="1" ht="9" customHeight="1">
      <c r="A166" s="67"/>
      <c r="B166" s="67"/>
      <c r="C166" s="1132"/>
      <c r="D166" s="1132"/>
      <c r="E166" s="67"/>
      <c r="F166" s="67"/>
    </row>
    <row r="167" spans="1:10" s="60" customFormat="1" ht="18.75" customHeight="1">
      <c r="A167" s="58" t="s">
        <v>219</v>
      </c>
      <c r="B167" s="57"/>
      <c r="C167" s="57"/>
      <c r="D167" s="57"/>
      <c r="E167" s="57"/>
      <c r="F167" s="475"/>
    </row>
    <row r="168" spans="1:10" s="60" customFormat="1" ht="18.75" customHeight="1">
      <c r="A168" s="59" t="str">
        <f>IF(F181&lt;&gt;"",IF(INDEX(BDHK2,MATCH(F181,DiemHKII!$B$4:$B$58,0),137)&lt;&gt;""," - "&amp;INDEX(BDHK2,MATCH(F181,DiemHKII!$B$4:$B$58,0),137),""),"")</f>
        <v/>
      </c>
      <c r="B168" s="57"/>
      <c r="C168" s="57"/>
      <c r="D168" s="57"/>
      <c r="E168" s="57"/>
      <c r="F168" s="475"/>
    </row>
    <row r="169" spans="1:10" s="60" customFormat="1" ht="18.75" customHeight="1">
      <c r="A169" s="59" t="str">
        <f>IF(F181&lt;&gt;"",IF(INDEX(BDHK2,MATCH(F181,DiemHKII!$B$4:$B$58,0),138)&lt;&gt;""," - "&amp;INDEX(BDHK2,MATCH(F181,DiemHKII!$B$4:$B$58,0),138),""),"")</f>
        <v/>
      </c>
      <c r="B169" s="57"/>
      <c r="C169" s="57"/>
      <c r="D169" s="57"/>
      <c r="E169" s="57"/>
      <c r="F169" s="475"/>
    </row>
    <row r="170" spans="1:10" s="60" customFormat="1" ht="18.75" customHeight="1">
      <c r="A170" s="59" t="str">
        <f>IF(F181&lt;&gt;"",IF(INDEX(BDHK2,MATCH(F181,DiemHKII!$B$4:$B$58,0),139)&lt;&gt;""," - "&amp;INDEX(BDHK2,MATCH(F181,DiemHKII!$B$4:$B$58,0),139),""),"")</f>
        <v/>
      </c>
      <c r="B170" s="57"/>
      <c r="C170" s="57"/>
      <c r="D170" s="57"/>
      <c r="E170" s="57"/>
      <c r="F170" s="475"/>
    </row>
    <row r="171" spans="1:10" s="60" customFormat="1" ht="18.75" customHeight="1">
      <c r="A171" s="59" t="str">
        <f>IF(F181&lt;&gt;"",IF(INDEX(BDHK2,MATCH(F181,DiemHKII!$B$4:$B$58,0),140)&lt;&gt;""," - "&amp;INDEX(BDHK2,MATCH(F181,DiemHKII!$B$4:$B$58,0),140),""),"")</f>
        <v/>
      </c>
      <c r="B171" s="57"/>
      <c r="C171" s="57"/>
      <c r="D171" s="57"/>
      <c r="E171" s="57"/>
      <c r="F171" s="67"/>
    </row>
    <row r="172" spans="1:10" ht="6" customHeight="1">
      <c r="A172" s="68"/>
      <c r="B172" s="68"/>
      <c r="C172" s="68"/>
      <c r="D172" s="68"/>
      <c r="E172" s="68"/>
      <c r="F172" s="68"/>
    </row>
    <row r="173" spans="1:10">
      <c r="A173" s="68"/>
      <c r="B173" s="68"/>
      <c r="C17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73" s="1060"/>
      <c r="E173" s="1060"/>
      <c r="F173" s="1060"/>
    </row>
    <row r="174" spans="1:10" ht="20.25" customHeight="1">
      <c r="A174" s="1012" t="str">
        <f>IF($D$39="Hiệu trưởng","Giáo viên Quản nhiệm","")</f>
        <v>Giáo viên Quản nhiệm</v>
      </c>
      <c r="B174" s="1012"/>
      <c r="C174" s="61"/>
      <c r="D174" s="1012" t="str">
        <f>IF($H$7="","",$H$7)</f>
        <v>Hiệu trưởng</v>
      </c>
      <c r="E174" s="1012"/>
      <c r="F174" s="61"/>
    </row>
    <row r="175" spans="1:10">
      <c r="A175" s="68"/>
      <c r="B175" s="68"/>
      <c r="C175" s="68"/>
      <c r="D175" s="68"/>
      <c r="E175" s="68"/>
      <c r="F175" s="68"/>
    </row>
    <row r="176" spans="1:10">
      <c r="A176" s="68"/>
      <c r="B176" s="68"/>
      <c r="C176" s="68"/>
      <c r="D176" s="68"/>
      <c r="E176" s="68"/>
      <c r="F176" s="68"/>
    </row>
    <row r="177" spans="1:10" ht="16.8">
      <c r="A177" s="68"/>
      <c r="B177" s="68"/>
      <c r="C177" s="64"/>
      <c r="D177" s="64"/>
      <c r="E177" s="64"/>
      <c r="F177" s="64"/>
      <c r="G177" s="65"/>
      <c r="H177" s="65"/>
      <c r="I177" s="65"/>
      <c r="J177" s="65"/>
    </row>
    <row r="179" spans="1:10">
      <c r="A179" s="1012" t="str">
        <f>IF($A$39="","",PROPER('Huong dan'!$C$4))</f>
        <v/>
      </c>
      <c r="B179" s="1012"/>
      <c r="D179" s="1130" t="str">
        <f>IFERROR(IF($D$39="Giáo Viên Quản nhiệm",PROPER('Huong dan'!$C$4),IF($D$39="Hiệu trưởng",PROPER('Huong dan'!$E$5),"")),"")</f>
        <v/>
      </c>
      <c r="E179" s="1130"/>
    </row>
    <row r="180" spans="1:10" ht="7.5" customHeight="1"/>
    <row r="181" spans="1:10" ht="11.25" customHeight="1">
      <c r="A181" s="75"/>
      <c r="B181" s="75"/>
      <c r="C181" s="75"/>
      <c r="D181" s="75"/>
      <c r="E181" s="75"/>
      <c r="F181" s="76">
        <f>IF(F136="","",IF(F136&lt;MAX(DiemHKII!$B$4:$B$58),F136+1,""))</f>
        <v>4</v>
      </c>
    </row>
    <row r="182" spans="1:10" s="60" customFormat="1" ht="22.5" customHeight="1">
      <c r="A182" s="1128" t="str">
        <f>IF('Huong dan'!$E$3&lt;&gt;"","SỞ GIÁO DỤC VÀ ĐÀO TẠO "&amp;UPPER('Huong dan'!$E$3),"")</f>
        <v>SỞ GIÁO DỤC VÀ ĐÀO TẠO TP. HỒ CHÍ MINH</v>
      </c>
      <c r="B182" s="1128"/>
      <c r="C182" s="1128"/>
      <c r="D182" s="1129" t="s">
        <v>19</v>
      </c>
      <c r="E182" s="1129"/>
      <c r="F182" s="1129"/>
    </row>
    <row r="183" spans="1:10" ht="17.25" customHeight="1">
      <c r="A183" s="992" t="str">
        <f>IF('Huong dan'!$E$4&lt;&gt;"","TRƯỜNG "&amp;UPPER('Huong dan'!$E$4),"")</f>
        <v>TRƯỜNG THCS VÀ THPT NGUYỄN KHUYẾN</v>
      </c>
      <c r="B183" s="992"/>
      <c r="C183" s="992"/>
      <c r="D183" s="1130" t="s">
        <v>179</v>
      </c>
      <c r="E183" s="1130"/>
      <c r="F183" s="1130"/>
    </row>
    <row r="184" spans="1:10" ht="12" customHeight="1">
      <c r="A184" s="69"/>
      <c r="B184" s="69"/>
      <c r="C184" s="30"/>
      <c r="D184" s="30"/>
      <c r="E184" s="30"/>
      <c r="F184" s="30"/>
    </row>
    <row r="185" spans="1:10" ht="18" customHeight="1">
      <c r="A185" s="69"/>
      <c r="B185" s="69"/>
      <c r="C185" s="30"/>
      <c r="D185" s="30"/>
      <c r="E185" s="30"/>
      <c r="F185" s="30"/>
    </row>
    <row r="186" spans="1:10" ht="29.25" customHeight="1">
      <c r="A186" s="1013" t="str">
        <f>"PHIẾU ĐIỂM NĂM HỌC "&amp;'Huong dan'!$C$5</f>
        <v>PHIẾU ĐIỂM NĂM HỌC 2021 - 2022</v>
      </c>
      <c r="B186" s="1013"/>
      <c r="C186" s="1013"/>
      <c r="D186" s="1013"/>
      <c r="E186" s="1013"/>
      <c r="F186" s="1013"/>
    </row>
    <row r="187" spans="1:10" ht="12.75" customHeight="1">
      <c r="A187" s="70"/>
      <c r="B187" s="66"/>
      <c r="C187" s="66"/>
      <c r="D187" s="66"/>
      <c r="E187" s="66"/>
      <c r="F187" s="66"/>
    </row>
    <row r="188" spans="1:10" ht="20.25" customHeight="1">
      <c r="A188" s="1131" t="s">
        <v>212</v>
      </c>
      <c r="B188" s="1131"/>
      <c r="C188" s="77" t="str">
        <f>IF(F226="","",INDEX(DiemHKII!$E$4:$E$58,MATCH(F226,DiemHKII!$B$4:$B$58,0),1)&amp;" "&amp;INDEX(DiemHKII!$F$4:$F$58,MATCH(F226,DiemHKII!$B$4:$B$58,0),1))</f>
        <v>Vũ Song Anh</v>
      </c>
      <c r="D188" s="77"/>
      <c r="E188" s="77"/>
      <c r="F188" s="71" t="str">
        <f>IF('Huong dan'!$C$3="","","Lớp: "&amp;'Huong dan'!$C$3)</f>
        <v>Lớp: 12A1</v>
      </c>
    </row>
    <row r="189" spans="1:10" ht="24" customHeight="1">
      <c r="A189" s="1131" t="s">
        <v>213</v>
      </c>
      <c r="B189" s="1131"/>
      <c r="C189" s="77" t="str">
        <f>IF(F226="","",INDEX(DiemHKII!$G$4:$G$58,MATCH(F226,DiemHKII!$B$4:$B$58,0),1))</f>
        <v>20/04/2004</v>
      </c>
      <c r="D189" s="77"/>
      <c r="E189" s="1133" t="str">
        <f>IF(F226="","","Nơi sinh: "&amp;INDEX(DiemHKII!$H$4:$H$58,MATCH(F226,DiemHKII!$B$4:$B$58,0),1))</f>
        <v xml:space="preserve">Nơi sinh: </v>
      </c>
      <c r="F189" s="1133"/>
    </row>
    <row r="190" spans="1:10" ht="15" customHeight="1">
      <c r="A190" s="62"/>
      <c r="B190" s="62"/>
      <c r="C190" s="62"/>
      <c r="D190" s="62"/>
      <c r="E190" s="62"/>
      <c r="F190" s="63"/>
    </row>
    <row r="191" spans="1:10" ht="21" customHeight="1">
      <c r="A191" s="1134" t="s">
        <v>0</v>
      </c>
      <c r="B191" s="1134" t="s">
        <v>72</v>
      </c>
      <c r="C191" s="1134" t="s">
        <v>216</v>
      </c>
      <c r="D191" s="1134"/>
      <c r="E191" s="1134"/>
      <c r="F191" s="1134" t="s">
        <v>148</v>
      </c>
    </row>
    <row r="192" spans="1:10" ht="21" customHeight="1">
      <c r="A192" s="1134"/>
      <c r="B192" s="1134"/>
      <c r="C192" s="476" t="s">
        <v>188</v>
      </c>
      <c r="D192" s="476" t="s">
        <v>189</v>
      </c>
      <c r="E192" s="476" t="s">
        <v>190</v>
      </c>
      <c r="F192" s="1134"/>
    </row>
    <row r="193" spans="1:10" ht="21" customHeight="1">
      <c r="A193" s="72" t="s">
        <v>191</v>
      </c>
      <c r="B193" s="73" t="s">
        <v>26</v>
      </c>
      <c r="C193" s="74" t="str">
        <f>INDEX('TH CANAM'!$A$9:$BF$63,MATCH(PDNam!$F226,'TH CANAM'!$A$9:$A$63,0),INDEX($J$13:$M$30,MATCH($B193,$J$13:$J$30,0),K$12))</f>
        <v/>
      </c>
      <c r="D193" s="74" t="str">
        <f>INDEX('TH CANAM'!$A$9:$BF$63,MATCH(PDNam!$F226,'TH CANAM'!$A$9:$A$63,0),INDEX($J$13:$M$30,MATCH($B193,$J$13:$J$30,0),L$12))</f>
        <v/>
      </c>
      <c r="E193" s="74" t="str">
        <f>INDEX('TH CANAM'!$A$9:$BF$63,MATCH(PDNam!$F226,'TH CANAM'!$A$9:$A$63,0),INDEX($J$13:$M$30,MATCH($B193,$J$13:$J$30,0),M$12))</f>
        <v/>
      </c>
      <c r="F193" s="73"/>
      <c r="I193" s="64"/>
      <c r="J193" s="64"/>
    </row>
    <row r="194" spans="1:10" ht="21" customHeight="1">
      <c r="A194" s="72" t="s">
        <v>192</v>
      </c>
      <c r="B194" s="73" t="s">
        <v>27</v>
      </c>
      <c r="C194" s="74" t="str">
        <f>INDEX('TH CANAM'!$A$9:$BF$63,MATCH(PDNam!$F226,'TH CANAM'!$A$9:$A$63,0),INDEX($J$13:$M$30,MATCH($B194,$J$13:$J$30,0),K$12))</f>
        <v/>
      </c>
      <c r="D194" s="74" t="str">
        <f>INDEX('TH CANAM'!$A$9:$BF$63,MATCH(PDNam!$F226,'TH CANAM'!$A$9:$A$63,0),INDEX($J$13:$M$30,MATCH($B194,$J$13:$J$30,0),L$12))</f>
        <v/>
      </c>
      <c r="E194" s="74" t="str">
        <f>INDEX('TH CANAM'!$A$9:$BF$63,MATCH(PDNam!$F226,'TH CANAM'!$A$9:$A$63,0),INDEX($J$13:$M$30,MATCH($B194,$J$13:$J$30,0),M$12))</f>
        <v/>
      </c>
      <c r="F194" s="73"/>
      <c r="I194" s="64"/>
      <c r="J194" s="64"/>
    </row>
    <row r="195" spans="1:10" ht="21" customHeight="1">
      <c r="A195" s="72" t="s">
        <v>193</v>
      </c>
      <c r="B195" s="73" t="s">
        <v>28</v>
      </c>
      <c r="C195" s="74" t="str">
        <f>INDEX('TH CANAM'!$A$9:$BF$63,MATCH(PDNam!$F226,'TH CANAM'!$A$9:$A$63,0),INDEX($J$13:$M$30,MATCH($B195,$J$13:$J$30,0),K$12))</f>
        <v/>
      </c>
      <c r="D195" s="74" t="str">
        <f>INDEX('TH CANAM'!$A$9:$BF$63,MATCH(PDNam!$F226,'TH CANAM'!$A$9:$A$63,0),INDEX($J$13:$M$30,MATCH($B195,$J$13:$J$30,0),L$12))</f>
        <v/>
      </c>
      <c r="E195" s="74" t="str">
        <f>INDEX('TH CANAM'!$A$9:$BF$63,MATCH(PDNam!$F226,'TH CANAM'!$A$9:$A$63,0),INDEX($J$13:$M$30,MATCH($B195,$J$13:$J$30,0),M$12))</f>
        <v/>
      </c>
      <c r="F195" s="73"/>
      <c r="I195" s="64"/>
      <c r="J195" s="64"/>
    </row>
    <row r="196" spans="1:10" ht="21" customHeight="1">
      <c r="A196" s="72" t="s">
        <v>194</v>
      </c>
      <c r="B196" s="73" t="s">
        <v>29</v>
      </c>
      <c r="C196" s="74" t="str">
        <f>INDEX('TH CANAM'!$A$9:$BF$63,MATCH(PDNam!$F226,'TH CANAM'!$A$9:$A$63,0),INDEX($J$13:$M$30,MATCH($B196,$J$13:$J$30,0),K$12))</f>
        <v/>
      </c>
      <c r="D196" s="74" t="str">
        <f>INDEX('TH CANAM'!$A$9:$BF$63,MATCH(PDNam!$F226,'TH CANAM'!$A$9:$A$63,0),INDEX($J$13:$M$30,MATCH($B196,$J$13:$J$30,0),L$12))</f>
        <v/>
      </c>
      <c r="E196" s="74" t="str">
        <f>INDEX('TH CANAM'!$A$9:$BF$63,MATCH(PDNam!$F226,'TH CANAM'!$A$9:$A$63,0),INDEX($J$13:$M$30,MATCH($B196,$J$13:$J$30,0),M$12))</f>
        <v/>
      </c>
      <c r="F196" s="73"/>
      <c r="I196" s="64"/>
      <c r="J196" s="64"/>
    </row>
    <row r="197" spans="1:10" ht="21" customHeight="1">
      <c r="A197" s="72" t="s">
        <v>195</v>
      </c>
      <c r="B197" s="73" t="s">
        <v>120</v>
      </c>
      <c r="C197" s="74" t="str">
        <f>INDEX('TH CANAM'!$A$9:$BF$63,MATCH(PDNam!$F226,'TH CANAM'!$A$9:$A$63,0),INDEX($J$13:$M$30,MATCH($B197,$J$13:$J$30,0),K$12))</f>
        <v/>
      </c>
      <c r="D197" s="74" t="str">
        <f>INDEX('TH CANAM'!$A$9:$BF$63,MATCH(PDNam!$F226,'TH CANAM'!$A$9:$A$63,0),INDEX($J$13:$M$30,MATCH($B197,$J$13:$J$30,0),L$12))</f>
        <v/>
      </c>
      <c r="E197" s="74" t="str">
        <f>INDEX('TH CANAM'!$A$9:$BF$63,MATCH(PDNam!$F226,'TH CANAM'!$A$9:$A$63,0),INDEX($J$13:$M$30,MATCH($B197,$J$13:$J$30,0),M$12))</f>
        <v/>
      </c>
      <c r="F197" s="73"/>
      <c r="I197" s="64"/>
      <c r="J197" s="64"/>
    </row>
    <row r="198" spans="1:10" ht="21" customHeight="1">
      <c r="A198" s="72" t="s">
        <v>196</v>
      </c>
      <c r="B198" s="73" t="s">
        <v>30</v>
      </c>
      <c r="C198" s="74" t="str">
        <f>INDEX('TH CANAM'!$A$9:$BF$63,MATCH(PDNam!$F226,'TH CANAM'!$A$9:$A$63,0),INDEX($J$13:$M$30,MATCH($B198,$J$13:$J$30,0),K$12))</f>
        <v/>
      </c>
      <c r="D198" s="74" t="str">
        <f>INDEX('TH CANAM'!$A$9:$BF$63,MATCH(PDNam!$F226,'TH CANAM'!$A$9:$A$63,0),INDEX($J$13:$M$30,MATCH($B198,$J$13:$J$30,0),L$12))</f>
        <v/>
      </c>
      <c r="E198" s="74" t="str">
        <f>INDEX('TH CANAM'!$A$9:$BF$63,MATCH(PDNam!$F226,'TH CANAM'!$A$9:$A$63,0),INDEX($J$13:$M$30,MATCH($B198,$J$13:$J$30,0),M$12))</f>
        <v/>
      </c>
      <c r="F198" s="73"/>
      <c r="I198" s="64"/>
      <c r="J198" s="64"/>
    </row>
    <row r="199" spans="1:10" ht="21" customHeight="1">
      <c r="A199" s="72" t="s">
        <v>197</v>
      </c>
      <c r="B199" s="73" t="s">
        <v>31</v>
      </c>
      <c r="C199" s="74" t="str">
        <f>INDEX('TH CANAM'!$A$9:$BF$63,MATCH(PDNam!$F226,'TH CANAM'!$A$9:$A$63,0),INDEX($J$13:$M$30,MATCH($B199,$J$13:$J$30,0),K$12))</f>
        <v/>
      </c>
      <c r="D199" s="74" t="str">
        <f>INDEX('TH CANAM'!$A$9:$BF$63,MATCH(PDNam!$F226,'TH CANAM'!$A$9:$A$63,0),INDEX($J$13:$M$30,MATCH($B199,$J$13:$J$30,0),L$12))</f>
        <v/>
      </c>
      <c r="E199" s="74" t="str">
        <f>INDEX('TH CANAM'!$A$9:$BF$63,MATCH(PDNam!$F226,'TH CANAM'!$A$9:$A$63,0),INDEX($J$13:$M$30,MATCH($B199,$J$13:$J$30,0),M$12))</f>
        <v/>
      </c>
      <c r="F199" s="73"/>
      <c r="I199" s="64"/>
      <c r="J199" s="64"/>
    </row>
    <row r="200" spans="1:10" ht="21" customHeight="1">
      <c r="A200" s="72" t="s">
        <v>198</v>
      </c>
      <c r="B200" s="73" t="s">
        <v>32</v>
      </c>
      <c r="C200" s="74" t="str">
        <f>INDEX('TH CANAM'!$A$9:$BF$63,MATCH(PDNam!$F226,'TH CANAM'!$A$9:$A$63,0),INDEX($J$13:$M$30,MATCH($B200,$J$13:$J$30,0),K$12))</f>
        <v/>
      </c>
      <c r="D200" s="74" t="str">
        <f>INDEX('TH CANAM'!$A$9:$BF$63,MATCH(PDNam!$F226,'TH CANAM'!$A$9:$A$63,0),INDEX($J$13:$M$30,MATCH($B200,$J$13:$J$30,0),L$12))</f>
        <v/>
      </c>
      <c r="E200" s="74" t="str">
        <f>INDEX('TH CANAM'!$A$9:$BF$63,MATCH(PDNam!$F226,'TH CANAM'!$A$9:$A$63,0),INDEX($J$13:$M$30,MATCH($B200,$J$13:$J$30,0),M$12))</f>
        <v/>
      </c>
      <c r="F200" s="73"/>
      <c r="I200" s="64"/>
      <c r="J200" s="64"/>
    </row>
    <row r="201" spans="1:10" ht="21" customHeight="1">
      <c r="A201" s="72" t="s">
        <v>199</v>
      </c>
      <c r="B201" s="73" t="s">
        <v>33</v>
      </c>
      <c r="C201" s="74" t="str">
        <f>INDEX('TH CANAM'!$A$9:$BF$63,MATCH(PDNam!$F226,'TH CANAM'!$A$9:$A$63,0),INDEX($J$13:$M$30,MATCH($B201,$J$13:$J$30,0),K$12))</f>
        <v/>
      </c>
      <c r="D201" s="74" t="str">
        <f>INDEX('TH CANAM'!$A$9:$BF$63,MATCH(PDNam!$F226,'TH CANAM'!$A$9:$A$63,0),INDEX($J$13:$M$30,MATCH($B201,$J$13:$J$30,0),L$12))</f>
        <v/>
      </c>
      <c r="E201" s="74" t="str">
        <f>INDEX('TH CANAM'!$A$9:$BF$63,MATCH(PDNam!$F226,'TH CANAM'!$A$9:$A$63,0),INDEX($J$13:$M$30,MATCH($B201,$J$13:$J$30,0),M$12))</f>
        <v/>
      </c>
      <c r="F201" s="73"/>
      <c r="I201" s="64"/>
      <c r="J201" s="64"/>
    </row>
    <row r="202" spans="1:10" ht="21" customHeight="1">
      <c r="A202" s="72" t="s">
        <v>200</v>
      </c>
      <c r="B202" s="73" t="s">
        <v>60</v>
      </c>
      <c r="C202" s="74" t="str">
        <f>INDEX('TH CANAM'!$A$9:$BF$63,MATCH(PDNam!$F226,'TH CANAM'!$A$9:$A$63,0),INDEX($J$13:$M$30,MATCH($B202,$J$13:$J$30,0),K$12))</f>
        <v/>
      </c>
      <c r="D202" s="74" t="str">
        <f>INDEX('TH CANAM'!$A$9:$BF$63,MATCH(PDNam!$F226,'TH CANAM'!$A$9:$A$63,0),INDEX($J$13:$M$30,MATCH($B202,$J$13:$J$30,0),L$12))</f>
        <v/>
      </c>
      <c r="E202" s="74" t="str">
        <f>INDEX('TH CANAM'!$A$9:$BF$63,MATCH(PDNam!$F226,'TH CANAM'!$A$9:$A$63,0),INDEX($J$13:$M$30,MATCH($B202,$J$13:$J$30,0),M$12))</f>
        <v/>
      </c>
      <c r="F202" s="73"/>
      <c r="I202" s="64"/>
      <c r="J202" s="64"/>
    </row>
    <row r="203" spans="1:10" ht="21" customHeight="1">
      <c r="A203" s="72" t="s">
        <v>201</v>
      </c>
      <c r="B203" s="73" t="s">
        <v>34</v>
      </c>
      <c r="C203" s="74" t="str">
        <f>INDEX('TH CANAM'!$A$9:$BF$63,MATCH(PDNam!$F226,'TH CANAM'!$A$9:$A$63,0),INDEX($J$13:$M$30,MATCH($B203,$J$13:$J$30,0),K$12))</f>
        <v/>
      </c>
      <c r="D203" s="74" t="str">
        <f>INDEX('TH CANAM'!$A$9:$BF$63,MATCH(PDNam!$F226,'TH CANAM'!$A$9:$A$63,0),INDEX($J$13:$M$30,MATCH($B203,$J$13:$J$30,0),L$12))</f>
        <v/>
      </c>
      <c r="E203" s="74" t="str">
        <f>INDEX('TH CANAM'!$A$9:$BF$63,MATCH(PDNam!$F226,'TH CANAM'!$A$9:$A$63,0),INDEX($J$13:$M$30,MATCH($B203,$J$13:$J$30,0),M$12))</f>
        <v/>
      </c>
      <c r="F203" s="73"/>
      <c r="I203" s="64"/>
      <c r="J203" s="64"/>
    </row>
    <row r="204" spans="1:10" ht="21" customHeight="1">
      <c r="A204" s="72" t="s">
        <v>202</v>
      </c>
      <c r="B204" s="73" t="s">
        <v>35</v>
      </c>
      <c r="C204" s="74" t="str">
        <f>INDEX('TH CANAM'!$A$9:$BF$63,MATCH(PDNam!$F226,'TH CANAM'!$A$9:$A$63,0),INDEX($J$13:$M$30,MATCH($B204,$J$13:$J$30,0),K$12))</f>
        <v/>
      </c>
      <c r="D204" s="74" t="str">
        <f>INDEX('TH CANAM'!$A$9:$BF$63,MATCH(PDNam!$F226,'TH CANAM'!$A$9:$A$63,0),INDEX($J$13:$M$30,MATCH($B204,$J$13:$J$30,0),L$12))</f>
        <v/>
      </c>
      <c r="E204" s="74" t="str">
        <f>INDEX('TH CANAM'!$A$9:$BF$63,MATCH(PDNam!$F226,'TH CANAM'!$A$9:$A$63,0),INDEX($J$13:$M$30,MATCH($B204,$J$13:$J$30,0),M$12))</f>
        <v/>
      </c>
      <c r="F204" s="73"/>
      <c r="I204" s="64"/>
      <c r="J204" s="64"/>
    </row>
    <row r="205" spans="1:10" ht="21" customHeight="1">
      <c r="A205" s="72" t="s">
        <v>203</v>
      </c>
      <c r="B205" s="73" t="s">
        <v>121</v>
      </c>
      <c r="C205" s="74" t="str">
        <f>INDEX('TH CANAM'!$A$9:$BF$63,MATCH(PDNam!$F226,'TH CANAM'!$A$9:$A$63,0),INDEX($J$13:$M$30,MATCH($B205,$J$13:$J$30,0),K$12))</f>
        <v/>
      </c>
      <c r="D205" s="74" t="str">
        <f>INDEX('TH CANAM'!$A$9:$BF$63,MATCH(PDNam!$F226,'TH CANAM'!$A$9:$A$63,0),INDEX($J$13:$M$30,MATCH($B205,$J$13:$J$30,0),L$12))</f>
        <v/>
      </c>
      <c r="E205" s="74" t="str">
        <f>INDEX('TH CANAM'!$A$9:$BF$63,MATCH(PDNam!$F226,'TH CANAM'!$A$9:$A$63,0),INDEX($J$13:$M$30,MATCH($B205,$J$13:$J$30,0),M$12))</f>
        <v/>
      </c>
      <c r="F205" s="73"/>
      <c r="I205" s="64"/>
      <c r="J205" s="64"/>
    </row>
    <row r="206" spans="1:10" ht="21" customHeight="1">
      <c r="A206" s="72" t="s">
        <v>204</v>
      </c>
      <c r="B206" s="73" t="s">
        <v>122</v>
      </c>
      <c r="C206" s="74" t="str">
        <f>INDEX('TH CANAM'!$A$9:$BF$63,MATCH(PDNam!$F226,'TH CANAM'!$A$9:$A$63,0),INDEX($J$13:$M$30,MATCH($B206,$J$13:$J$30,0),K$12))</f>
        <v/>
      </c>
      <c r="D206" s="74" t="str">
        <f>INDEX('TH CANAM'!$A$9:$BF$63,MATCH(PDNam!$F226,'TH CANAM'!$A$9:$A$63,0),INDEX($J$13:$M$30,MATCH($B206,$J$13:$J$30,0),L$12))</f>
        <v/>
      </c>
      <c r="E206" s="74" t="str">
        <f>INDEX('TH CANAM'!$A$9:$BF$63,MATCH(PDNam!$F226,'TH CANAM'!$A$9:$A$63,0),INDEX($J$13:$M$30,MATCH($B206,$J$13:$J$30,0),M$12))</f>
        <v/>
      </c>
      <c r="F206" s="73"/>
      <c r="I206" s="64"/>
      <c r="J206" s="64"/>
    </row>
    <row r="207" spans="1:10" ht="21" customHeight="1">
      <c r="A207" s="72" t="s">
        <v>208</v>
      </c>
      <c r="B207" s="73" t="s">
        <v>205</v>
      </c>
      <c r="C207" s="78">
        <f>INDEX('TH CANAM'!$A$9:$BF$63,MATCH(PDNam!$F226,'TH CANAM'!$A$9:$A$63,0),46)</f>
        <v>9.3000000000000007</v>
      </c>
      <c r="D207" s="78" t="str">
        <f>INDEX('TH CANAM'!$A$9:$BF$63,MATCH(PDNam!$F226,'TH CANAM'!$A$9:$A$63,0),47)</f>
        <v/>
      </c>
      <c r="E207" s="78" t="str">
        <f>INDEX('TH CANAM'!$A$9:$BF$63,MATCH(PDNam!$F226,'TH CANAM'!$A$9:$A$63,0),48)</f>
        <v/>
      </c>
      <c r="F207" s="73"/>
      <c r="I207" s="64"/>
      <c r="J207" s="64"/>
    </row>
    <row r="208" spans="1:10" ht="21" customHeight="1">
      <c r="A208" s="72" t="s">
        <v>209</v>
      </c>
      <c r="B208" s="72" t="s">
        <v>206</v>
      </c>
      <c r="C208" s="74" t="str">
        <f>IF(INDEX('TH CANAM'!$A$9:$BF$63,MATCH(PDNam!$F226,'TH CANAM'!$A$9:$A$63,0),49)="Tb","Trung bình",INDEX('TH CANAM'!$A$9:$BF$63,MATCH(PDNam!$F226,'TH CANAM'!$A$9:$A$63,0),49))</f>
        <v>Giỏi</v>
      </c>
      <c r="D208" s="74" t="str">
        <f>IF(INDEX('TH CANAM'!$A$9:$BF$63,MATCH(PDNam!$F226,'TH CANAM'!$A$9:$A$63,0),50)="Tb","Trung bình",INDEX('TH CANAM'!$A$9:$BF$63,MATCH(PDNam!$F226,'TH CANAM'!$A$9:$A$63,0),50))</f>
        <v/>
      </c>
      <c r="E208" s="74" t="str">
        <f>IF(INDEX('TH CANAM'!$A$9:$BF$63,MATCH(PDNam!$F226,'TH CANAM'!$A$9:$A$63,0),51)="Tb","Trung bình",INDEX('TH CANAM'!$A$9:$BF$63,MATCH(PDNam!$F226,'TH CANAM'!$A$9:$A$63,0),51))</f>
        <v/>
      </c>
      <c r="F208" s="73"/>
    </row>
    <row r="209" spans="1:10" ht="21" customHeight="1">
      <c r="A209" s="72" t="s">
        <v>210</v>
      </c>
      <c r="B209" s="72" t="s">
        <v>207</v>
      </c>
      <c r="C209" s="74" t="str">
        <f>INDEX('TH CANAM'!$A$9:$BF$63,MATCH(PDNam!$F226,'TH CANAM'!$A$9:$A$63,0),52)</f>
        <v>Tốt</v>
      </c>
      <c r="D209" s="74" t="str">
        <f>INDEX('TH CANAM'!$A$9:$BF$63,MATCH(PDNam!$F226,'TH CANAM'!$A$9:$A$63,0),53)</f>
        <v/>
      </c>
      <c r="E209" s="74" t="str">
        <f>INDEX('TH CANAM'!$A$9:$BF$63,MATCH(PDNam!$F226,'TH CANAM'!$A$9:$A$63,0),54)</f>
        <v/>
      </c>
      <c r="F209" s="73"/>
    </row>
    <row r="210" spans="1:10" ht="21" customHeight="1">
      <c r="A210" s="72" t="s">
        <v>211</v>
      </c>
      <c r="B210" s="72" t="s">
        <v>25</v>
      </c>
      <c r="C210" s="74" t="str">
        <f>IF(INDEX('TH CANAM'!$A$9:$BF$63,MATCH(PDNam!$F226,'TH CANAM'!$A$9:$A$63,0),57)&lt;&gt;"",INDEX('TH CANAM'!$A$9:$BF$63,MATCH(PDNam!$F226,'TH CANAM'!$A$9:$A$63,0),57),"/")</f>
        <v>HSG</v>
      </c>
      <c r="D210" s="74" t="str">
        <f>IF(INDEX('TH CANAM'!$A$9:$BF$63,MATCH(PDNam!$F226,'TH CANAM'!$A$9:$A$63,0),58)&lt;&gt;"",INDEX('TH CANAM'!$A$9:$BF$63,MATCH(PDNam!$F226,'TH CANAM'!$A$9:$A$63,0),58),"/")</f>
        <v>/</v>
      </c>
      <c r="E210" s="74" t="str">
        <f>IF(INDEX('TH CANAM'!$A$9:$BF$63,MATCH(PDNam!$F226,'TH CANAM'!$A$9:$A$63,0),55)&lt;&gt;"",INDEX('TH CANAM'!$A$9:$BF$63,MATCH(PDNam!$F226,'TH CANAM'!$A$9:$A$63,0),55),"/")</f>
        <v>/</v>
      </c>
      <c r="F210" s="73"/>
    </row>
    <row r="211" spans="1:10" s="60" customFormat="1" ht="9" customHeight="1">
      <c r="A211" s="67"/>
      <c r="B211" s="67"/>
      <c r="C211" s="1132"/>
      <c r="D211" s="1132"/>
      <c r="E211" s="67"/>
      <c r="F211" s="67"/>
    </row>
    <row r="212" spans="1:10" s="60" customFormat="1" ht="18.75" customHeight="1">
      <c r="A212" s="58" t="s">
        <v>219</v>
      </c>
      <c r="B212" s="57"/>
      <c r="C212" s="57"/>
      <c r="D212" s="57"/>
      <c r="E212" s="57"/>
      <c r="F212" s="475"/>
    </row>
    <row r="213" spans="1:10" s="60" customFormat="1" ht="18.75" customHeight="1">
      <c r="A213" s="59" t="str">
        <f>IF(F226&lt;&gt;"",IF(INDEX(BDHK2,MATCH(F226,DiemHKII!$B$4:$B$58,0),137)&lt;&gt;""," - "&amp;INDEX(BDHK2,MATCH(F226,DiemHKII!$B$4:$B$58,0),137),""),"")</f>
        <v/>
      </c>
      <c r="B213" s="57"/>
      <c r="C213" s="57"/>
      <c r="D213" s="57"/>
      <c r="E213" s="57"/>
      <c r="F213" s="475"/>
    </row>
    <row r="214" spans="1:10" s="60" customFormat="1" ht="18.75" customHeight="1">
      <c r="A214" s="59" t="str">
        <f>IF(F226&lt;&gt;"",IF(INDEX(BDHK2,MATCH(F226,DiemHKII!$B$4:$B$58,0),138)&lt;&gt;""," - "&amp;INDEX(BDHK2,MATCH(F226,DiemHKII!$B$4:$B$58,0),138),""),"")</f>
        <v/>
      </c>
      <c r="B214" s="57"/>
      <c r="C214" s="57"/>
      <c r="D214" s="57"/>
      <c r="E214" s="57"/>
      <c r="F214" s="475"/>
    </row>
    <row r="215" spans="1:10" s="60" customFormat="1" ht="18.75" customHeight="1">
      <c r="A215" s="59" t="str">
        <f>IF(F226&lt;&gt;"",IF(INDEX(BDHK2,MATCH(F226,DiemHKII!$B$4:$B$58,0),139)&lt;&gt;""," - "&amp;INDEX(BDHK2,MATCH(F226,DiemHKII!$B$4:$B$58,0),139),""),"")</f>
        <v/>
      </c>
      <c r="B215" s="57"/>
      <c r="C215" s="57"/>
      <c r="D215" s="57"/>
      <c r="E215" s="57"/>
      <c r="F215" s="475"/>
    </row>
    <row r="216" spans="1:10" s="60" customFormat="1" ht="18.75" customHeight="1">
      <c r="A216" s="59" t="str">
        <f>IF(F226&lt;&gt;"",IF(INDEX(BDHK2,MATCH(F226,DiemHKII!$B$4:$B$58,0),140)&lt;&gt;""," - "&amp;INDEX(BDHK2,MATCH(F226,DiemHKII!$B$4:$B$58,0),140),""),"")</f>
        <v/>
      </c>
      <c r="B216" s="57"/>
      <c r="C216" s="57"/>
      <c r="D216" s="57"/>
      <c r="E216" s="57"/>
      <c r="F216" s="67"/>
    </row>
    <row r="217" spans="1:10" ht="6" customHeight="1">
      <c r="A217" s="68"/>
      <c r="B217" s="68"/>
      <c r="C217" s="68"/>
      <c r="D217" s="68"/>
      <c r="E217" s="68"/>
      <c r="F217" s="68"/>
    </row>
    <row r="218" spans="1:10">
      <c r="A218" s="68"/>
      <c r="B218" s="68"/>
      <c r="C21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18" s="1060"/>
      <c r="E218" s="1060"/>
      <c r="F218" s="1060"/>
    </row>
    <row r="219" spans="1:10" ht="20.25" customHeight="1">
      <c r="A219" s="1012" t="str">
        <f>IF($D$39="Hiệu trưởng","Giáo viên Quản nhiệm","")</f>
        <v>Giáo viên Quản nhiệm</v>
      </c>
      <c r="B219" s="1012"/>
      <c r="C219" s="61"/>
      <c r="D219" s="1012" t="str">
        <f>IF($H$7="","",$H$7)</f>
        <v>Hiệu trưởng</v>
      </c>
      <c r="E219" s="1012"/>
      <c r="F219" s="61"/>
    </row>
    <row r="220" spans="1:10">
      <c r="A220" s="68"/>
      <c r="B220" s="68"/>
      <c r="C220" s="68"/>
      <c r="D220" s="68"/>
      <c r="E220" s="68"/>
      <c r="F220" s="68"/>
    </row>
    <row r="221" spans="1:10">
      <c r="A221" s="68"/>
      <c r="B221" s="68"/>
      <c r="C221" s="68"/>
      <c r="D221" s="68"/>
      <c r="E221" s="68"/>
      <c r="F221" s="68"/>
    </row>
    <row r="222" spans="1:10" ht="16.8">
      <c r="A222" s="68"/>
      <c r="B222" s="68"/>
      <c r="C222" s="64"/>
      <c r="D222" s="64"/>
      <c r="E222" s="64"/>
      <c r="F222" s="64"/>
      <c r="G222" s="65"/>
      <c r="H222" s="65"/>
      <c r="I222" s="65"/>
      <c r="J222" s="65"/>
    </row>
    <row r="224" spans="1:10">
      <c r="A224" s="1012" t="str">
        <f>IF($A$39="","",PROPER('Huong dan'!$C$4))</f>
        <v/>
      </c>
      <c r="B224" s="1012"/>
      <c r="D224" s="1130" t="str">
        <f>IFERROR(IF($D$39="Giáo Viên Quản nhiệm",PROPER('Huong dan'!$C$4),IF($D$39="Hiệu trưởng",PROPER('Huong dan'!$E$5),"")),"")</f>
        <v/>
      </c>
      <c r="E224" s="1130"/>
    </row>
    <row r="225" spans="1:10" ht="7.5" customHeight="1"/>
    <row r="226" spans="1:10" ht="11.25" customHeight="1">
      <c r="A226" s="75"/>
      <c r="B226" s="75"/>
      <c r="C226" s="75"/>
      <c r="D226" s="75"/>
      <c r="E226" s="75"/>
      <c r="F226" s="76">
        <f>IF(F181="","",IF(F181&lt;MAX(DiemHKII!$B$4:$B$58),F181+1,""))</f>
        <v>5</v>
      </c>
    </row>
    <row r="227" spans="1:10" s="60" customFormat="1" ht="22.5" customHeight="1">
      <c r="A227" s="1128" t="str">
        <f>IF('Huong dan'!$E$3&lt;&gt;"","SỞ GIÁO DỤC VÀ ĐÀO TẠO "&amp;UPPER('Huong dan'!$E$3),"")</f>
        <v>SỞ GIÁO DỤC VÀ ĐÀO TẠO TP. HỒ CHÍ MINH</v>
      </c>
      <c r="B227" s="1128"/>
      <c r="C227" s="1128"/>
      <c r="D227" s="1129" t="s">
        <v>19</v>
      </c>
      <c r="E227" s="1129"/>
      <c r="F227" s="1129"/>
    </row>
    <row r="228" spans="1:10" ht="17.25" customHeight="1">
      <c r="A228" s="992" t="str">
        <f>IF('Huong dan'!$E$4&lt;&gt;"","TRƯỜNG "&amp;UPPER('Huong dan'!$E$4),"")</f>
        <v>TRƯỜNG THCS VÀ THPT NGUYỄN KHUYẾN</v>
      </c>
      <c r="B228" s="992"/>
      <c r="C228" s="992"/>
      <c r="D228" s="1130" t="s">
        <v>179</v>
      </c>
      <c r="E228" s="1130"/>
      <c r="F228" s="1130"/>
    </row>
    <row r="229" spans="1:10" ht="12" customHeight="1">
      <c r="A229" s="69"/>
      <c r="B229" s="69"/>
      <c r="C229" s="30"/>
      <c r="D229" s="30"/>
      <c r="E229" s="30"/>
      <c r="F229" s="30"/>
    </row>
    <row r="230" spans="1:10" ht="18" customHeight="1">
      <c r="A230" s="69"/>
      <c r="B230" s="69"/>
      <c r="C230" s="30"/>
      <c r="D230" s="30"/>
      <c r="E230" s="30"/>
      <c r="F230" s="30"/>
    </row>
    <row r="231" spans="1:10" ht="29.25" customHeight="1">
      <c r="A231" s="1013" t="str">
        <f>"PHIẾU ĐIỂM NĂM HỌC "&amp;'Huong dan'!$C$5</f>
        <v>PHIẾU ĐIỂM NĂM HỌC 2021 - 2022</v>
      </c>
      <c r="B231" s="1013"/>
      <c r="C231" s="1013"/>
      <c r="D231" s="1013"/>
      <c r="E231" s="1013"/>
      <c r="F231" s="1013"/>
    </row>
    <row r="232" spans="1:10" ht="12.75" customHeight="1">
      <c r="A232" s="70"/>
      <c r="B232" s="66"/>
      <c r="C232" s="66"/>
      <c r="D232" s="66"/>
      <c r="E232" s="66"/>
      <c r="F232" s="66"/>
    </row>
    <row r="233" spans="1:10" ht="20.25" customHeight="1">
      <c r="A233" s="1131" t="s">
        <v>212</v>
      </c>
      <c r="B233" s="1131"/>
      <c r="C233" s="77" t="str">
        <f>IF(F271="","",INDEX(DiemHKII!$E$4:$E$58,MATCH(F271,DiemHKII!$B$4:$B$58,0),1)&amp;" "&amp;INDEX(DiemHKII!$F$4:$F$58,MATCH(F271,DiemHKII!$B$4:$B$58,0),1))</f>
        <v>Phan Gia Bảo</v>
      </c>
      <c r="D233" s="77"/>
      <c r="E233" s="77"/>
      <c r="F233" s="71" t="str">
        <f>IF('Huong dan'!$C$3="","","Lớp: "&amp;'Huong dan'!$C$3)</f>
        <v>Lớp: 12A1</v>
      </c>
    </row>
    <row r="234" spans="1:10" ht="24" customHeight="1">
      <c r="A234" s="1131" t="s">
        <v>213</v>
      </c>
      <c r="B234" s="1131"/>
      <c r="C234" s="77" t="str">
        <f>IF(F271="","",INDEX(DiemHKII!$G$4:$G$58,MATCH(F271,DiemHKII!$B$4:$B$58,0),1))</f>
        <v>27/10/2004</v>
      </c>
      <c r="D234" s="77"/>
      <c r="E234" s="1133" t="str">
        <f>IF(F271="","","Nơi sinh: "&amp;INDEX(DiemHKII!$H$4:$H$58,MATCH(F271,DiemHKII!$B$4:$B$58,0),1))</f>
        <v xml:space="preserve">Nơi sinh: </v>
      </c>
      <c r="F234" s="1133"/>
    </row>
    <row r="235" spans="1:10" ht="15" customHeight="1">
      <c r="A235" s="62"/>
      <c r="B235" s="62"/>
      <c r="C235" s="62"/>
      <c r="D235" s="62"/>
      <c r="E235" s="62"/>
      <c r="F235" s="63"/>
    </row>
    <row r="236" spans="1:10" ht="21" customHeight="1">
      <c r="A236" s="1134" t="s">
        <v>0</v>
      </c>
      <c r="B236" s="1134" t="s">
        <v>72</v>
      </c>
      <c r="C236" s="1134" t="s">
        <v>216</v>
      </c>
      <c r="D236" s="1134"/>
      <c r="E236" s="1134"/>
      <c r="F236" s="1134" t="s">
        <v>148</v>
      </c>
    </row>
    <row r="237" spans="1:10" ht="21" customHeight="1">
      <c r="A237" s="1134"/>
      <c r="B237" s="1134"/>
      <c r="C237" s="476" t="s">
        <v>188</v>
      </c>
      <c r="D237" s="476" t="s">
        <v>189</v>
      </c>
      <c r="E237" s="476" t="s">
        <v>190</v>
      </c>
      <c r="F237" s="1134"/>
    </row>
    <row r="238" spans="1:10" ht="21" customHeight="1">
      <c r="A238" s="72" t="s">
        <v>191</v>
      </c>
      <c r="B238" s="73" t="s">
        <v>26</v>
      </c>
      <c r="C238" s="74" t="str">
        <f>INDEX('TH CANAM'!$A$9:$BF$63,MATCH(PDNam!$F271,'TH CANAM'!$A$9:$A$63,0),INDEX($J$13:$M$30,MATCH($B238,$J$13:$J$30,0),K$12))</f>
        <v/>
      </c>
      <c r="D238" s="74" t="str">
        <f>INDEX('TH CANAM'!$A$9:$BF$63,MATCH(PDNam!$F271,'TH CANAM'!$A$9:$A$63,0),INDEX($J$13:$M$30,MATCH($B238,$J$13:$J$30,0),L$12))</f>
        <v/>
      </c>
      <c r="E238" s="74" t="str">
        <f>INDEX('TH CANAM'!$A$9:$BF$63,MATCH(PDNam!$F271,'TH CANAM'!$A$9:$A$63,0),INDEX($J$13:$M$30,MATCH($B238,$J$13:$J$30,0),M$12))</f>
        <v/>
      </c>
      <c r="F238" s="73"/>
      <c r="I238" s="64"/>
      <c r="J238" s="64"/>
    </row>
    <row r="239" spans="1:10" ht="21" customHeight="1">
      <c r="A239" s="72" t="s">
        <v>192</v>
      </c>
      <c r="B239" s="73" t="s">
        <v>27</v>
      </c>
      <c r="C239" s="74" t="str">
        <f>INDEX('TH CANAM'!$A$9:$BF$63,MATCH(PDNam!$F271,'TH CANAM'!$A$9:$A$63,0),INDEX($J$13:$M$30,MATCH($B239,$J$13:$J$30,0),K$12))</f>
        <v/>
      </c>
      <c r="D239" s="74" t="str">
        <f>INDEX('TH CANAM'!$A$9:$BF$63,MATCH(PDNam!$F271,'TH CANAM'!$A$9:$A$63,0),INDEX($J$13:$M$30,MATCH($B239,$J$13:$J$30,0),L$12))</f>
        <v/>
      </c>
      <c r="E239" s="74" t="str">
        <f>INDEX('TH CANAM'!$A$9:$BF$63,MATCH(PDNam!$F271,'TH CANAM'!$A$9:$A$63,0),INDEX($J$13:$M$30,MATCH($B239,$J$13:$J$30,0),M$12))</f>
        <v/>
      </c>
      <c r="F239" s="73"/>
      <c r="I239" s="64"/>
      <c r="J239" s="64"/>
    </row>
    <row r="240" spans="1:10" ht="21" customHeight="1">
      <c r="A240" s="72" t="s">
        <v>193</v>
      </c>
      <c r="B240" s="73" t="s">
        <v>28</v>
      </c>
      <c r="C240" s="74" t="str">
        <f>INDEX('TH CANAM'!$A$9:$BF$63,MATCH(PDNam!$F271,'TH CANAM'!$A$9:$A$63,0),INDEX($J$13:$M$30,MATCH($B240,$J$13:$J$30,0),K$12))</f>
        <v/>
      </c>
      <c r="D240" s="74" t="str">
        <f>INDEX('TH CANAM'!$A$9:$BF$63,MATCH(PDNam!$F271,'TH CANAM'!$A$9:$A$63,0),INDEX($J$13:$M$30,MATCH($B240,$J$13:$J$30,0),L$12))</f>
        <v/>
      </c>
      <c r="E240" s="74" t="str">
        <f>INDEX('TH CANAM'!$A$9:$BF$63,MATCH(PDNam!$F271,'TH CANAM'!$A$9:$A$63,0),INDEX($J$13:$M$30,MATCH($B240,$J$13:$J$30,0),M$12))</f>
        <v/>
      </c>
      <c r="F240" s="73"/>
      <c r="I240" s="64"/>
      <c r="J240" s="64"/>
    </row>
    <row r="241" spans="1:10" ht="21" customHeight="1">
      <c r="A241" s="72" t="s">
        <v>194</v>
      </c>
      <c r="B241" s="73" t="s">
        <v>29</v>
      </c>
      <c r="C241" s="74" t="str">
        <f>INDEX('TH CANAM'!$A$9:$BF$63,MATCH(PDNam!$F271,'TH CANAM'!$A$9:$A$63,0),INDEX($J$13:$M$30,MATCH($B241,$J$13:$J$30,0),K$12))</f>
        <v/>
      </c>
      <c r="D241" s="74" t="str">
        <f>INDEX('TH CANAM'!$A$9:$BF$63,MATCH(PDNam!$F271,'TH CANAM'!$A$9:$A$63,0),INDEX($J$13:$M$30,MATCH($B241,$J$13:$J$30,0),L$12))</f>
        <v/>
      </c>
      <c r="E241" s="74" t="str">
        <f>INDEX('TH CANAM'!$A$9:$BF$63,MATCH(PDNam!$F271,'TH CANAM'!$A$9:$A$63,0),INDEX($J$13:$M$30,MATCH($B241,$J$13:$J$30,0),M$12))</f>
        <v/>
      </c>
      <c r="F241" s="73"/>
      <c r="I241" s="64"/>
      <c r="J241" s="64"/>
    </row>
    <row r="242" spans="1:10" ht="21" customHeight="1">
      <c r="A242" s="72" t="s">
        <v>195</v>
      </c>
      <c r="B242" s="73" t="s">
        <v>120</v>
      </c>
      <c r="C242" s="74" t="str">
        <f>INDEX('TH CANAM'!$A$9:$BF$63,MATCH(PDNam!$F271,'TH CANAM'!$A$9:$A$63,0),INDEX($J$13:$M$30,MATCH($B242,$J$13:$J$30,0),K$12))</f>
        <v/>
      </c>
      <c r="D242" s="74" t="str">
        <f>INDEX('TH CANAM'!$A$9:$BF$63,MATCH(PDNam!$F271,'TH CANAM'!$A$9:$A$63,0),INDEX($J$13:$M$30,MATCH($B242,$J$13:$J$30,0),L$12))</f>
        <v/>
      </c>
      <c r="E242" s="74" t="str">
        <f>INDEX('TH CANAM'!$A$9:$BF$63,MATCH(PDNam!$F271,'TH CANAM'!$A$9:$A$63,0),INDEX($J$13:$M$30,MATCH($B242,$J$13:$J$30,0),M$12))</f>
        <v/>
      </c>
      <c r="F242" s="73"/>
      <c r="I242" s="64"/>
      <c r="J242" s="64"/>
    </row>
    <row r="243" spans="1:10" ht="21" customHeight="1">
      <c r="A243" s="72" t="s">
        <v>196</v>
      </c>
      <c r="B243" s="73" t="s">
        <v>30</v>
      </c>
      <c r="C243" s="74" t="str">
        <f>INDEX('TH CANAM'!$A$9:$BF$63,MATCH(PDNam!$F271,'TH CANAM'!$A$9:$A$63,0),INDEX($J$13:$M$30,MATCH($B243,$J$13:$J$30,0),K$12))</f>
        <v/>
      </c>
      <c r="D243" s="74" t="str">
        <f>INDEX('TH CANAM'!$A$9:$BF$63,MATCH(PDNam!$F271,'TH CANAM'!$A$9:$A$63,0),INDEX($J$13:$M$30,MATCH($B243,$J$13:$J$30,0),L$12))</f>
        <v/>
      </c>
      <c r="E243" s="74" t="str">
        <f>INDEX('TH CANAM'!$A$9:$BF$63,MATCH(PDNam!$F271,'TH CANAM'!$A$9:$A$63,0),INDEX($J$13:$M$30,MATCH($B243,$J$13:$J$30,0),M$12))</f>
        <v/>
      </c>
      <c r="F243" s="73"/>
      <c r="I243" s="64"/>
      <c r="J243" s="64"/>
    </row>
    <row r="244" spans="1:10" ht="21" customHeight="1">
      <c r="A244" s="72" t="s">
        <v>197</v>
      </c>
      <c r="B244" s="73" t="s">
        <v>31</v>
      </c>
      <c r="C244" s="74" t="str">
        <f>INDEX('TH CANAM'!$A$9:$BF$63,MATCH(PDNam!$F271,'TH CANAM'!$A$9:$A$63,0),INDEX($J$13:$M$30,MATCH($B244,$J$13:$J$30,0),K$12))</f>
        <v/>
      </c>
      <c r="D244" s="74" t="str">
        <f>INDEX('TH CANAM'!$A$9:$BF$63,MATCH(PDNam!$F271,'TH CANAM'!$A$9:$A$63,0),INDEX($J$13:$M$30,MATCH($B244,$J$13:$J$30,0),L$12))</f>
        <v/>
      </c>
      <c r="E244" s="74" t="str">
        <f>INDEX('TH CANAM'!$A$9:$BF$63,MATCH(PDNam!$F271,'TH CANAM'!$A$9:$A$63,0),INDEX($J$13:$M$30,MATCH($B244,$J$13:$J$30,0),M$12))</f>
        <v/>
      </c>
      <c r="F244" s="73"/>
      <c r="I244" s="64"/>
      <c r="J244" s="64"/>
    </row>
    <row r="245" spans="1:10" ht="21" customHeight="1">
      <c r="A245" s="72" t="s">
        <v>198</v>
      </c>
      <c r="B245" s="73" t="s">
        <v>32</v>
      </c>
      <c r="C245" s="74" t="str">
        <f>INDEX('TH CANAM'!$A$9:$BF$63,MATCH(PDNam!$F271,'TH CANAM'!$A$9:$A$63,0),INDEX($J$13:$M$30,MATCH($B245,$J$13:$J$30,0),K$12))</f>
        <v/>
      </c>
      <c r="D245" s="74" t="str">
        <f>INDEX('TH CANAM'!$A$9:$BF$63,MATCH(PDNam!$F271,'TH CANAM'!$A$9:$A$63,0),INDEX($J$13:$M$30,MATCH($B245,$J$13:$J$30,0),L$12))</f>
        <v/>
      </c>
      <c r="E245" s="74" t="str">
        <f>INDEX('TH CANAM'!$A$9:$BF$63,MATCH(PDNam!$F271,'TH CANAM'!$A$9:$A$63,0),INDEX($J$13:$M$30,MATCH($B245,$J$13:$J$30,0),M$12))</f>
        <v/>
      </c>
      <c r="F245" s="73"/>
      <c r="I245" s="64"/>
      <c r="J245" s="64"/>
    </row>
    <row r="246" spans="1:10" ht="21" customHeight="1">
      <c r="A246" s="72" t="s">
        <v>199</v>
      </c>
      <c r="B246" s="73" t="s">
        <v>33</v>
      </c>
      <c r="C246" s="74" t="str">
        <f>INDEX('TH CANAM'!$A$9:$BF$63,MATCH(PDNam!$F271,'TH CANAM'!$A$9:$A$63,0),INDEX($J$13:$M$30,MATCH($B246,$J$13:$J$30,0),K$12))</f>
        <v/>
      </c>
      <c r="D246" s="74" t="str">
        <f>INDEX('TH CANAM'!$A$9:$BF$63,MATCH(PDNam!$F271,'TH CANAM'!$A$9:$A$63,0),INDEX($J$13:$M$30,MATCH($B246,$J$13:$J$30,0),L$12))</f>
        <v/>
      </c>
      <c r="E246" s="74" t="str">
        <f>INDEX('TH CANAM'!$A$9:$BF$63,MATCH(PDNam!$F271,'TH CANAM'!$A$9:$A$63,0),INDEX($J$13:$M$30,MATCH($B246,$J$13:$J$30,0),M$12))</f>
        <v/>
      </c>
      <c r="F246" s="73"/>
      <c r="I246" s="64"/>
      <c r="J246" s="64"/>
    </row>
    <row r="247" spans="1:10" ht="21" customHeight="1">
      <c r="A247" s="72" t="s">
        <v>200</v>
      </c>
      <c r="B247" s="73" t="s">
        <v>60</v>
      </c>
      <c r="C247" s="74" t="str">
        <f>INDEX('TH CANAM'!$A$9:$BF$63,MATCH(PDNam!$F271,'TH CANAM'!$A$9:$A$63,0),INDEX($J$13:$M$30,MATCH($B247,$J$13:$J$30,0),K$12))</f>
        <v/>
      </c>
      <c r="D247" s="74" t="str">
        <f>INDEX('TH CANAM'!$A$9:$BF$63,MATCH(PDNam!$F271,'TH CANAM'!$A$9:$A$63,0),INDEX($J$13:$M$30,MATCH($B247,$J$13:$J$30,0),L$12))</f>
        <v/>
      </c>
      <c r="E247" s="74" t="str">
        <f>INDEX('TH CANAM'!$A$9:$BF$63,MATCH(PDNam!$F271,'TH CANAM'!$A$9:$A$63,0),INDEX($J$13:$M$30,MATCH($B247,$J$13:$J$30,0),M$12))</f>
        <v/>
      </c>
      <c r="F247" s="73"/>
      <c r="I247" s="64"/>
      <c r="J247" s="64"/>
    </row>
    <row r="248" spans="1:10" ht="21" customHeight="1">
      <c r="A248" s="72" t="s">
        <v>201</v>
      </c>
      <c r="B248" s="73" t="s">
        <v>34</v>
      </c>
      <c r="C248" s="74" t="str">
        <f>INDEX('TH CANAM'!$A$9:$BF$63,MATCH(PDNam!$F271,'TH CANAM'!$A$9:$A$63,0),INDEX($J$13:$M$30,MATCH($B248,$J$13:$J$30,0),K$12))</f>
        <v/>
      </c>
      <c r="D248" s="74" t="str">
        <f>INDEX('TH CANAM'!$A$9:$BF$63,MATCH(PDNam!$F271,'TH CANAM'!$A$9:$A$63,0),INDEX($J$13:$M$30,MATCH($B248,$J$13:$J$30,0),L$12))</f>
        <v/>
      </c>
      <c r="E248" s="74" t="str">
        <f>INDEX('TH CANAM'!$A$9:$BF$63,MATCH(PDNam!$F271,'TH CANAM'!$A$9:$A$63,0),INDEX($J$13:$M$30,MATCH($B248,$J$13:$J$30,0),M$12))</f>
        <v/>
      </c>
      <c r="F248" s="73"/>
      <c r="I248" s="64"/>
      <c r="J248" s="64"/>
    </row>
    <row r="249" spans="1:10" ht="21" customHeight="1">
      <c r="A249" s="72" t="s">
        <v>202</v>
      </c>
      <c r="B249" s="73" t="s">
        <v>35</v>
      </c>
      <c r="C249" s="74" t="str">
        <f>INDEX('TH CANAM'!$A$9:$BF$63,MATCH(PDNam!$F271,'TH CANAM'!$A$9:$A$63,0),INDEX($J$13:$M$30,MATCH($B249,$J$13:$J$30,0),K$12))</f>
        <v/>
      </c>
      <c r="D249" s="74" t="str">
        <f>INDEX('TH CANAM'!$A$9:$BF$63,MATCH(PDNam!$F271,'TH CANAM'!$A$9:$A$63,0),INDEX($J$13:$M$30,MATCH($B249,$J$13:$J$30,0),L$12))</f>
        <v/>
      </c>
      <c r="E249" s="74" t="str">
        <f>INDEX('TH CANAM'!$A$9:$BF$63,MATCH(PDNam!$F271,'TH CANAM'!$A$9:$A$63,0),INDEX($J$13:$M$30,MATCH($B249,$J$13:$J$30,0),M$12))</f>
        <v/>
      </c>
      <c r="F249" s="73"/>
      <c r="I249" s="64"/>
      <c r="J249" s="64"/>
    </row>
    <row r="250" spans="1:10" ht="21" customHeight="1">
      <c r="A250" s="72" t="s">
        <v>203</v>
      </c>
      <c r="B250" s="73" t="s">
        <v>121</v>
      </c>
      <c r="C250" s="74" t="str">
        <f>INDEX('TH CANAM'!$A$9:$BF$63,MATCH(PDNam!$F271,'TH CANAM'!$A$9:$A$63,0),INDEX($J$13:$M$30,MATCH($B250,$J$13:$J$30,0),K$12))</f>
        <v/>
      </c>
      <c r="D250" s="74" t="str">
        <f>INDEX('TH CANAM'!$A$9:$BF$63,MATCH(PDNam!$F271,'TH CANAM'!$A$9:$A$63,0),INDEX($J$13:$M$30,MATCH($B250,$J$13:$J$30,0),L$12))</f>
        <v/>
      </c>
      <c r="E250" s="74" t="str">
        <f>INDEX('TH CANAM'!$A$9:$BF$63,MATCH(PDNam!$F271,'TH CANAM'!$A$9:$A$63,0),INDEX($J$13:$M$30,MATCH($B250,$J$13:$J$30,0),M$12))</f>
        <v/>
      </c>
      <c r="F250" s="73"/>
      <c r="I250" s="64"/>
      <c r="J250" s="64"/>
    </row>
    <row r="251" spans="1:10" ht="21" customHeight="1">
      <c r="A251" s="72" t="s">
        <v>204</v>
      </c>
      <c r="B251" s="73" t="s">
        <v>122</v>
      </c>
      <c r="C251" s="74" t="str">
        <f>INDEX('TH CANAM'!$A$9:$BF$63,MATCH(PDNam!$F271,'TH CANAM'!$A$9:$A$63,0),INDEX($J$13:$M$30,MATCH($B251,$J$13:$J$30,0),K$12))</f>
        <v/>
      </c>
      <c r="D251" s="74" t="str">
        <f>INDEX('TH CANAM'!$A$9:$BF$63,MATCH(PDNam!$F271,'TH CANAM'!$A$9:$A$63,0),INDEX($J$13:$M$30,MATCH($B251,$J$13:$J$30,0),L$12))</f>
        <v/>
      </c>
      <c r="E251" s="74" t="str">
        <f>INDEX('TH CANAM'!$A$9:$BF$63,MATCH(PDNam!$F271,'TH CANAM'!$A$9:$A$63,0),INDEX($J$13:$M$30,MATCH($B251,$J$13:$J$30,0),M$12))</f>
        <v/>
      </c>
      <c r="F251" s="73"/>
      <c r="I251" s="64"/>
      <c r="J251" s="64"/>
    </row>
    <row r="252" spans="1:10" ht="21" customHeight="1">
      <c r="A252" s="72" t="s">
        <v>208</v>
      </c>
      <c r="B252" s="73" t="s">
        <v>205</v>
      </c>
      <c r="C252" s="78">
        <f>INDEX('TH CANAM'!$A$9:$BF$63,MATCH(PDNam!$F271,'TH CANAM'!$A$9:$A$63,0),46)</f>
        <v>9.4</v>
      </c>
      <c r="D252" s="78" t="str">
        <f>INDEX('TH CANAM'!$A$9:$BF$63,MATCH(PDNam!$F271,'TH CANAM'!$A$9:$A$63,0),47)</f>
        <v/>
      </c>
      <c r="E252" s="78" t="str">
        <f>INDEX('TH CANAM'!$A$9:$BF$63,MATCH(PDNam!$F271,'TH CANAM'!$A$9:$A$63,0),48)</f>
        <v/>
      </c>
      <c r="F252" s="73"/>
      <c r="I252" s="64"/>
      <c r="J252" s="64"/>
    </row>
    <row r="253" spans="1:10" ht="21" customHeight="1">
      <c r="A253" s="72" t="s">
        <v>209</v>
      </c>
      <c r="B253" s="72" t="s">
        <v>206</v>
      </c>
      <c r="C253" s="74" t="str">
        <f>IF(INDEX('TH CANAM'!$A$9:$BF$63,MATCH(PDNam!$F271,'TH CANAM'!$A$9:$A$63,0),49)="Tb","Trung bình",INDEX('TH CANAM'!$A$9:$BF$63,MATCH(PDNam!$F271,'TH CANAM'!$A$9:$A$63,0),49))</f>
        <v>Giỏi</v>
      </c>
      <c r="D253" s="74" t="str">
        <f>IF(INDEX('TH CANAM'!$A$9:$BF$63,MATCH(PDNam!$F271,'TH CANAM'!$A$9:$A$63,0),50)="Tb","Trung bình",INDEX('TH CANAM'!$A$9:$BF$63,MATCH(PDNam!$F271,'TH CANAM'!$A$9:$A$63,0),50))</f>
        <v/>
      </c>
      <c r="E253" s="74" t="str">
        <f>IF(INDEX('TH CANAM'!$A$9:$BF$63,MATCH(PDNam!$F271,'TH CANAM'!$A$9:$A$63,0),51)="Tb","Trung bình",INDEX('TH CANAM'!$A$9:$BF$63,MATCH(PDNam!$F271,'TH CANAM'!$A$9:$A$63,0),51))</f>
        <v/>
      </c>
      <c r="F253" s="73"/>
    </row>
    <row r="254" spans="1:10" ht="21" customHeight="1">
      <c r="A254" s="72" t="s">
        <v>210</v>
      </c>
      <c r="B254" s="72" t="s">
        <v>207</v>
      </c>
      <c r="C254" s="74" t="str">
        <f>INDEX('TH CANAM'!$A$9:$BF$63,MATCH(PDNam!$F271,'TH CANAM'!$A$9:$A$63,0),52)</f>
        <v>Tốt</v>
      </c>
      <c r="D254" s="74" t="str">
        <f>INDEX('TH CANAM'!$A$9:$BF$63,MATCH(PDNam!$F271,'TH CANAM'!$A$9:$A$63,0),53)</f>
        <v/>
      </c>
      <c r="E254" s="74" t="str">
        <f>INDEX('TH CANAM'!$A$9:$BF$63,MATCH(PDNam!$F271,'TH CANAM'!$A$9:$A$63,0),54)</f>
        <v/>
      </c>
      <c r="F254" s="73"/>
    </row>
    <row r="255" spans="1:10" ht="21" customHeight="1">
      <c r="A255" s="72" t="s">
        <v>211</v>
      </c>
      <c r="B255" s="72" t="s">
        <v>25</v>
      </c>
      <c r="C255" s="74" t="str">
        <f>IF(INDEX('TH CANAM'!$A$9:$BF$63,MATCH(PDNam!$F271,'TH CANAM'!$A$9:$A$63,0),57)&lt;&gt;"",INDEX('TH CANAM'!$A$9:$BF$63,MATCH(PDNam!$F271,'TH CANAM'!$A$9:$A$63,0),57),"/")</f>
        <v>HSG</v>
      </c>
      <c r="D255" s="74" t="str">
        <f>IF(INDEX('TH CANAM'!$A$9:$BF$63,MATCH(PDNam!$F271,'TH CANAM'!$A$9:$A$63,0),58)&lt;&gt;"",INDEX('TH CANAM'!$A$9:$BF$63,MATCH(PDNam!$F271,'TH CANAM'!$A$9:$A$63,0),58),"/")</f>
        <v>/</v>
      </c>
      <c r="E255" s="74" t="str">
        <f>IF(INDEX('TH CANAM'!$A$9:$BF$63,MATCH(PDNam!$F271,'TH CANAM'!$A$9:$A$63,0),55)&lt;&gt;"",INDEX('TH CANAM'!$A$9:$BF$63,MATCH(PDNam!$F271,'TH CANAM'!$A$9:$A$63,0),55),"/")</f>
        <v>/</v>
      </c>
      <c r="F255" s="73"/>
    </row>
    <row r="256" spans="1:10" s="60" customFormat="1" ht="9" customHeight="1">
      <c r="A256" s="67"/>
      <c r="B256" s="67"/>
      <c r="C256" s="1132"/>
      <c r="D256" s="1132"/>
      <c r="E256" s="67"/>
      <c r="F256" s="67"/>
    </row>
    <row r="257" spans="1:10" s="60" customFormat="1" ht="18.75" customHeight="1">
      <c r="A257" s="58" t="s">
        <v>219</v>
      </c>
      <c r="B257" s="57"/>
      <c r="C257" s="57"/>
      <c r="D257" s="57"/>
      <c r="E257" s="57"/>
      <c r="F257" s="475"/>
    </row>
    <row r="258" spans="1:10" s="60" customFormat="1" ht="18.75" customHeight="1">
      <c r="A258" s="59" t="str">
        <f>IF(F271&lt;&gt;"",IF(INDEX(BDHK2,MATCH(F271,DiemHKII!$B$4:$B$58,0),137)&lt;&gt;""," - "&amp;INDEX(BDHK2,MATCH(F271,DiemHKII!$B$4:$B$58,0),137),""),"")</f>
        <v/>
      </c>
      <c r="B258" s="57"/>
      <c r="C258" s="57"/>
      <c r="D258" s="57"/>
      <c r="E258" s="57"/>
      <c r="F258" s="475"/>
    </row>
    <row r="259" spans="1:10" s="60" customFormat="1" ht="18.75" customHeight="1">
      <c r="A259" s="59" t="str">
        <f>IF(F271&lt;&gt;"",IF(INDEX(BDHK2,MATCH(F271,DiemHKII!$B$4:$B$58,0),138)&lt;&gt;""," - "&amp;INDEX(BDHK2,MATCH(F271,DiemHKII!$B$4:$B$58,0),138),""),"")</f>
        <v/>
      </c>
      <c r="B259" s="57"/>
      <c r="C259" s="57"/>
      <c r="D259" s="57"/>
      <c r="E259" s="57"/>
      <c r="F259" s="475"/>
    </row>
    <row r="260" spans="1:10" s="60" customFormat="1" ht="18.75" customHeight="1">
      <c r="A260" s="59" t="str">
        <f>IF(F271&lt;&gt;"",IF(INDEX(BDHK2,MATCH(F271,DiemHKII!$B$4:$B$58,0),139)&lt;&gt;""," - "&amp;INDEX(BDHK2,MATCH(F271,DiemHKII!$B$4:$B$58,0),139),""),"")</f>
        <v/>
      </c>
      <c r="B260" s="57"/>
      <c r="C260" s="57"/>
      <c r="D260" s="57"/>
      <c r="E260" s="57"/>
      <c r="F260" s="475"/>
    </row>
    <row r="261" spans="1:10" s="60" customFormat="1" ht="18.75" customHeight="1">
      <c r="A261" s="59" t="str">
        <f>IF(F271&lt;&gt;"",IF(INDEX(BDHK2,MATCH(F271,DiemHKII!$B$4:$B$58,0),140)&lt;&gt;""," - "&amp;INDEX(BDHK2,MATCH(F271,DiemHKII!$B$4:$B$58,0),140),""),"")</f>
        <v/>
      </c>
      <c r="B261" s="57"/>
      <c r="C261" s="57"/>
      <c r="D261" s="57"/>
      <c r="E261" s="57"/>
      <c r="F261" s="67"/>
    </row>
    <row r="262" spans="1:10" ht="6" customHeight="1">
      <c r="A262" s="68"/>
      <c r="B262" s="68"/>
      <c r="C262" s="68"/>
      <c r="D262" s="68"/>
      <c r="E262" s="68"/>
      <c r="F262" s="68"/>
    </row>
    <row r="263" spans="1:10">
      <c r="A263" s="68"/>
      <c r="B263" s="68"/>
      <c r="C26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63" s="1060"/>
      <c r="E263" s="1060"/>
      <c r="F263" s="1060"/>
    </row>
    <row r="264" spans="1:10" ht="20.25" customHeight="1">
      <c r="A264" s="1012" t="str">
        <f>IF($D$39="Hiệu trưởng","Giáo viên Quản nhiệm","")</f>
        <v>Giáo viên Quản nhiệm</v>
      </c>
      <c r="B264" s="1012"/>
      <c r="C264" s="61"/>
      <c r="D264" s="1012" t="str">
        <f>IF($H$7="","",$H$7)</f>
        <v>Hiệu trưởng</v>
      </c>
      <c r="E264" s="1012"/>
      <c r="F264" s="61"/>
    </row>
    <row r="265" spans="1:10">
      <c r="A265" s="68"/>
      <c r="B265" s="68"/>
      <c r="C265" s="68"/>
      <c r="D265" s="68"/>
      <c r="E265" s="68"/>
      <c r="F265" s="68"/>
    </row>
    <row r="266" spans="1:10">
      <c r="A266" s="68"/>
      <c r="B266" s="68"/>
      <c r="C266" s="68"/>
      <c r="D266" s="68"/>
      <c r="E266" s="68"/>
      <c r="F266" s="68"/>
    </row>
    <row r="267" spans="1:10" ht="16.8">
      <c r="A267" s="68"/>
      <c r="B267" s="68"/>
      <c r="C267" s="64"/>
      <c r="D267" s="64"/>
      <c r="E267" s="64"/>
      <c r="F267" s="64"/>
      <c r="G267" s="65"/>
      <c r="H267" s="65"/>
      <c r="I267" s="65"/>
      <c r="J267" s="65"/>
    </row>
    <row r="269" spans="1:10">
      <c r="A269" s="1012" t="str">
        <f>IF($A$39="","",PROPER('Huong dan'!$C$4))</f>
        <v/>
      </c>
      <c r="B269" s="1012"/>
      <c r="D269" s="1130" t="str">
        <f>IFERROR(IF($D$39="Giáo Viên Quản nhiệm",PROPER('Huong dan'!$C$4),IF($D$39="Hiệu trưởng",PROPER('Huong dan'!$E$5),"")),"")</f>
        <v/>
      </c>
      <c r="E269" s="1130"/>
    </row>
    <row r="270" spans="1:10" ht="7.5" customHeight="1"/>
    <row r="271" spans="1:10" ht="11.25" customHeight="1">
      <c r="A271" s="75"/>
      <c r="B271" s="75"/>
      <c r="C271" s="75"/>
      <c r="D271" s="75"/>
      <c r="E271" s="75"/>
      <c r="F271" s="76">
        <f>IF(F226="","",IF(F226&lt;MAX(DiemHKII!$B$4:$B$58),F226+1,""))</f>
        <v>6</v>
      </c>
    </row>
    <row r="272" spans="1:10" s="60" customFormat="1" ht="22.5" customHeight="1">
      <c r="A272" s="1128" t="str">
        <f>IF('Huong dan'!$E$3&lt;&gt;"","SỞ GIÁO DỤC VÀ ĐÀO TẠO "&amp;UPPER('Huong dan'!$E$3),"")</f>
        <v>SỞ GIÁO DỤC VÀ ĐÀO TẠO TP. HỒ CHÍ MINH</v>
      </c>
      <c r="B272" s="1128"/>
      <c r="C272" s="1128"/>
      <c r="D272" s="1129" t="s">
        <v>19</v>
      </c>
      <c r="E272" s="1129"/>
      <c r="F272" s="1129"/>
    </row>
    <row r="273" spans="1:10" ht="17.25" customHeight="1">
      <c r="A273" s="992" t="str">
        <f>IF('Huong dan'!$E$4&lt;&gt;"","TRƯỜNG "&amp;UPPER('Huong dan'!$E$4),"")</f>
        <v>TRƯỜNG THCS VÀ THPT NGUYỄN KHUYẾN</v>
      </c>
      <c r="B273" s="992"/>
      <c r="C273" s="992"/>
      <c r="D273" s="1130" t="s">
        <v>179</v>
      </c>
      <c r="E273" s="1130"/>
      <c r="F273" s="1130"/>
    </row>
    <row r="274" spans="1:10" ht="12" customHeight="1">
      <c r="A274" s="69"/>
      <c r="B274" s="69"/>
      <c r="C274" s="30"/>
      <c r="D274" s="30"/>
      <c r="E274" s="30"/>
      <c r="F274" s="30"/>
    </row>
    <row r="275" spans="1:10" ht="18" customHeight="1">
      <c r="A275" s="69"/>
      <c r="B275" s="69"/>
      <c r="C275" s="30"/>
      <c r="D275" s="30"/>
      <c r="E275" s="30"/>
      <c r="F275" s="30"/>
    </row>
    <row r="276" spans="1:10" ht="29.25" customHeight="1">
      <c r="A276" s="1013" t="str">
        <f>"PHIẾU ĐIỂM NĂM HỌC "&amp;'Huong dan'!$C$5</f>
        <v>PHIẾU ĐIỂM NĂM HỌC 2021 - 2022</v>
      </c>
      <c r="B276" s="1013"/>
      <c r="C276" s="1013"/>
      <c r="D276" s="1013"/>
      <c r="E276" s="1013"/>
      <c r="F276" s="1013"/>
    </row>
    <row r="277" spans="1:10" ht="12.75" customHeight="1">
      <c r="A277" s="70"/>
      <c r="B277" s="66"/>
      <c r="C277" s="66"/>
      <c r="D277" s="66"/>
      <c r="E277" s="66"/>
      <c r="F277" s="66"/>
    </row>
    <row r="278" spans="1:10" ht="20.25" customHeight="1">
      <c r="A278" s="1131" t="s">
        <v>212</v>
      </c>
      <c r="B278" s="1131"/>
      <c r="C278" s="77" t="str">
        <f>IF(F316="","",INDEX(DiemHKII!$E$4:$E$58,MATCH(F316,DiemHKII!$B$4:$B$58,0),1)&amp;" "&amp;INDEX(DiemHKII!$F$4:$F$58,MATCH(F316,DiemHKII!$B$4:$B$58,0),1))</f>
        <v>Nguyễn Phúc Bình</v>
      </c>
      <c r="D278" s="77"/>
      <c r="E278" s="77"/>
      <c r="F278" s="71" t="str">
        <f>IF('Huong dan'!$C$3="","","Lớp: "&amp;'Huong dan'!$C$3)</f>
        <v>Lớp: 12A1</v>
      </c>
    </row>
    <row r="279" spans="1:10" ht="24" customHeight="1">
      <c r="A279" s="1131" t="s">
        <v>213</v>
      </c>
      <c r="B279" s="1131"/>
      <c r="C279" s="77" t="str">
        <f>IF(F316="","",INDEX(DiemHKII!$G$4:$G$58,MATCH(F316,DiemHKII!$B$4:$B$58,0),1))</f>
        <v>20/06/2004</v>
      </c>
      <c r="D279" s="77"/>
      <c r="E279" s="1133" t="str">
        <f>IF(F316="","","Nơi sinh: "&amp;INDEX(DiemHKII!$H$4:$H$58,MATCH(F316,DiemHKII!$B$4:$B$58,0),1))</f>
        <v xml:space="preserve">Nơi sinh: </v>
      </c>
      <c r="F279" s="1133"/>
    </row>
    <row r="280" spans="1:10" ht="15" customHeight="1">
      <c r="A280" s="62"/>
      <c r="B280" s="62"/>
      <c r="C280" s="62"/>
      <c r="D280" s="62"/>
      <c r="E280" s="62"/>
      <c r="F280" s="63"/>
    </row>
    <row r="281" spans="1:10" ht="21" customHeight="1">
      <c r="A281" s="1134" t="s">
        <v>0</v>
      </c>
      <c r="B281" s="1134" t="s">
        <v>72</v>
      </c>
      <c r="C281" s="1134" t="s">
        <v>216</v>
      </c>
      <c r="D281" s="1134"/>
      <c r="E281" s="1134"/>
      <c r="F281" s="1134" t="s">
        <v>148</v>
      </c>
    </row>
    <row r="282" spans="1:10" ht="21" customHeight="1">
      <c r="A282" s="1134"/>
      <c r="B282" s="1134"/>
      <c r="C282" s="476" t="s">
        <v>188</v>
      </c>
      <c r="D282" s="476" t="s">
        <v>189</v>
      </c>
      <c r="E282" s="476" t="s">
        <v>190</v>
      </c>
      <c r="F282" s="1134"/>
    </row>
    <row r="283" spans="1:10" ht="21" customHeight="1">
      <c r="A283" s="72" t="s">
        <v>191</v>
      </c>
      <c r="B283" s="73" t="s">
        <v>26</v>
      </c>
      <c r="C283" s="74" t="str">
        <f>INDEX('TH CANAM'!$A$9:$BF$63,MATCH(PDNam!$F316,'TH CANAM'!$A$9:$A$63,0),INDEX($J$13:$M$30,MATCH($B283,$J$13:$J$30,0),K$12))</f>
        <v/>
      </c>
      <c r="D283" s="74" t="str">
        <f>INDEX('TH CANAM'!$A$9:$BF$63,MATCH(PDNam!$F316,'TH CANAM'!$A$9:$A$63,0),INDEX($J$13:$M$30,MATCH($B283,$J$13:$J$30,0),L$12))</f>
        <v/>
      </c>
      <c r="E283" s="74" t="str">
        <f>INDEX('TH CANAM'!$A$9:$BF$63,MATCH(PDNam!$F316,'TH CANAM'!$A$9:$A$63,0),INDEX($J$13:$M$30,MATCH($B283,$J$13:$J$30,0),M$12))</f>
        <v/>
      </c>
      <c r="F283" s="73"/>
      <c r="I283" s="64"/>
      <c r="J283" s="64"/>
    </row>
    <row r="284" spans="1:10" ht="21" customHeight="1">
      <c r="A284" s="72" t="s">
        <v>192</v>
      </c>
      <c r="B284" s="73" t="s">
        <v>27</v>
      </c>
      <c r="C284" s="74" t="str">
        <f>INDEX('TH CANAM'!$A$9:$BF$63,MATCH(PDNam!$F316,'TH CANAM'!$A$9:$A$63,0),INDEX($J$13:$M$30,MATCH($B284,$J$13:$J$30,0),K$12))</f>
        <v/>
      </c>
      <c r="D284" s="74" t="str">
        <f>INDEX('TH CANAM'!$A$9:$BF$63,MATCH(PDNam!$F316,'TH CANAM'!$A$9:$A$63,0),INDEX($J$13:$M$30,MATCH($B284,$J$13:$J$30,0),L$12))</f>
        <v/>
      </c>
      <c r="E284" s="74" t="str">
        <f>INDEX('TH CANAM'!$A$9:$BF$63,MATCH(PDNam!$F316,'TH CANAM'!$A$9:$A$63,0),INDEX($J$13:$M$30,MATCH($B284,$J$13:$J$30,0),M$12))</f>
        <v/>
      </c>
      <c r="F284" s="73"/>
      <c r="I284" s="64"/>
      <c r="J284" s="64"/>
    </row>
    <row r="285" spans="1:10" ht="21" customHeight="1">
      <c r="A285" s="72" t="s">
        <v>193</v>
      </c>
      <c r="B285" s="73" t="s">
        <v>28</v>
      </c>
      <c r="C285" s="74" t="str">
        <f>INDEX('TH CANAM'!$A$9:$BF$63,MATCH(PDNam!$F316,'TH CANAM'!$A$9:$A$63,0),INDEX($J$13:$M$30,MATCH($B285,$J$13:$J$30,0),K$12))</f>
        <v/>
      </c>
      <c r="D285" s="74" t="str">
        <f>INDEX('TH CANAM'!$A$9:$BF$63,MATCH(PDNam!$F316,'TH CANAM'!$A$9:$A$63,0),INDEX($J$13:$M$30,MATCH($B285,$J$13:$J$30,0),L$12))</f>
        <v/>
      </c>
      <c r="E285" s="74" t="str">
        <f>INDEX('TH CANAM'!$A$9:$BF$63,MATCH(PDNam!$F316,'TH CANAM'!$A$9:$A$63,0),INDEX($J$13:$M$30,MATCH($B285,$J$13:$J$30,0),M$12))</f>
        <v/>
      </c>
      <c r="F285" s="73"/>
      <c r="I285" s="64"/>
      <c r="J285" s="64"/>
    </row>
    <row r="286" spans="1:10" ht="21" customHeight="1">
      <c r="A286" s="72" t="s">
        <v>194</v>
      </c>
      <c r="B286" s="73" t="s">
        <v>29</v>
      </c>
      <c r="C286" s="74" t="str">
        <f>INDEX('TH CANAM'!$A$9:$BF$63,MATCH(PDNam!$F316,'TH CANAM'!$A$9:$A$63,0),INDEX($J$13:$M$30,MATCH($B286,$J$13:$J$30,0),K$12))</f>
        <v/>
      </c>
      <c r="D286" s="74" t="str">
        <f>INDEX('TH CANAM'!$A$9:$BF$63,MATCH(PDNam!$F316,'TH CANAM'!$A$9:$A$63,0),INDEX($J$13:$M$30,MATCH($B286,$J$13:$J$30,0),L$12))</f>
        <v/>
      </c>
      <c r="E286" s="74" t="str">
        <f>INDEX('TH CANAM'!$A$9:$BF$63,MATCH(PDNam!$F316,'TH CANAM'!$A$9:$A$63,0),INDEX($J$13:$M$30,MATCH($B286,$J$13:$J$30,0),M$12))</f>
        <v/>
      </c>
      <c r="F286" s="73"/>
      <c r="I286" s="64"/>
      <c r="J286" s="64"/>
    </row>
    <row r="287" spans="1:10" ht="21" customHeight="1">
      <c r="A287" s="72" t="s">
        <v>195</v>
      </c>
      <c r="B287" s="73" t="s">
        <v>120</v>
      </c>
      <c r="C287" s="74" t="str">
        <f>INDEX('TH CANAM'!$A$9:$BF$63,MATCH(PDNam!$F316,'TH CANAM'!$A$9:$A$63,0),INDEX($J$13:$M$30,MATCH($B287,$J$13:$J$30,0),K$12))</f>
        <v/>
      </c>
      <c r="D287" s="74" t="str">
        <f>INDEX('TH CANAM'!$A$9:$BF$63,MATCH(PDNam!$F316,'TH CANAM'!$A$9:$A$63,0),INDEX($J$13:$M$30,MATCH($B287,$J$13:$J$30,0),L$12))</f>
        <v/>
      </c>
      <c r="E287" s="74" t="str">
        <f>INDEX('TH CANAM'!$A$9:$BF$63,MATCH(PDNam!$F316,'TH CANAM'!$A$9:$A$63,0),INDEX($J$13:$M$30,MATCH($B287,$J$13:$J$30,0),M$12))</f>
        <v/>
      </c>
      <c r="F287" s="73"/>
      <c r="I287" s="64"/>
      <c r="J287" s="64"/>
    </row>
    <row r="288" spans="1:10" ht="21" customHeight="1">
      <c r="A288" s="72" t="s">
        <v>196</v>
      </c>
      <c r="B288" s="73" t="s">
        <v>30</v>
      </c>
      <c r="C288" s="74" t="str">
        <f>INDEX('TH CANAM'!$A$9:$BF$63,MATCH(PDNam!$F316,'TH CANAM'!$A$9:$A$63,0),INDEX($J$13:$M$30,MATCH($B288,$J$13:$J$30,0),K$12))</f>
        <v/>
      </c>
      <c r="D288" s="74" t="str">
        <f>INDEX('TH CANAM'!$A$9:$BF$63,MATCH(PDNam!$F316,'TH CANAM'!$A$9:$A$63,0),INDEX($J$13:$M$30,MATCH($B288,$J$13:$J$30,0),L$12))</f>
        <v/>
      </c>
      <c r="E288" s="74" t="str">
        <f>INDEX('TH CANAM'!$A$9:$BF$63,MATCH(PDNam!$F316,'TH CANAM'!$A$9:$A$63,0),INDEX($J$13:$M$30,MATCH($B288,$J$13:$J$30,0),M$12))</f>
        <v/>
      </c>
      <c r="F288" s="73"/>
      <c r="I288" s="64"/>
      <c r="J288" s="64"/>
    </row>
    <row r="289" spans="1:10" ht="21" customHeight="1">
      <c r="A289" s="72" t="s">
        <v>197</v>
      </c>
      <c r="B289" s="73" t="s">
        <v>31</v>
      </c>
      <c r="C289" s="74" t="str">
        <f>INDEX('TH CANAM'!$A$9:$BF$63,MATCH(PDNam!$F316,'TH CANAM'!$A$9:$A$63,0),INDEX($J$13:$M$30,MATCH($B289,$J$13:$J$30,0),K$12))</f>
        <v/>
      </c>
      <c r="D289" s="74" t="str">
        <f>INDEX('TH CANAM'!$A$9:$BF$63,MATCH(PDNam!$F316,'TH CANAM'!$A$9:$A$63,0),INDEX($J$13:$M$30,MATCH($B289,$J$13:$J$30,0),L$12))</f>
        <v/>
      </c>
      <c r="E289" s="74" t="str">
        <f>INDEX('TH CANAM'!$A$9:$BF$63,MATCH(PDNam!$F316,'TH CANAM'!$A$9:$A$63,0),INDEX($J$13:$M$30,MATCH($B289,$J$13:$J$30,0),M$12))</f>
        <v/>
      </c>
      <c r="F289" s="73"/>
      <c r="I289" s="64"/>
      <c r="J289" s="64"/>
    </row>
    <row r="290" spans="1:10" ht="21" customHeight="1">
      <c r="A290" s="72" t="s">
        <v>198</v>
      </c>
      <c r="B290" s="73" t="s">
        <v>32</v>
      </c>
      <c r="C290" s="74" t="str">
        <f>INDEX('TH CANAM'!$A$9:$BF$63,MATCH(PDNam!$F316,'TH CANAM'!$A$9:$A$63,0),INDEX($J$13:$M$30,MATCH($B290,$J$13:$J$30,0),K$12))</f>
        <v/>
      </c>
      <c r="D290" s="74" t="str">
        <f>INDEX('TH CANAM'!$A$9:$BF$63,MATCH(PDNam!$F316,'TH CANAM'!$A$9:$A$63,0),INDEX($J$13:$M$30,MATCH($B290,$J$13:$J$30,0),L$12))</f>
        <v/>
      </c>
      <c r="E290" s="74" t="str">
        <f>INDEX('TH CANAM'!$A$9:$BF$63,MATCH(PDNam!$F316,'TH CANAM'!$A$9:$A$63,0),INDEX($J$13:$M$30,MATCH($B290,$J$13:$J$30,0),M$12))</f>
        <v/>
      </c>
      <c r="F290" s="73"/>
      <c r="I290" s="64"/>
      <c r="J290" s="64"/>
    </row>
    <row r="291" spans="1:10" ht="21" customHeight="1">
      <c r="A291" s="72" t="s">
        <v>199</v>
      </c>
      <c r="B291" s="73" t="s">
        <v>33</v>
      </c>
      <c r="C291" s="74" t="str">
        <f>INDEX('TH CANAM'!$A$9:$BF$63,MATCH(PDNam!$F316,'TH CANAM'!$A$9:$A$63,0),INDEX($J$13:$M$30,MATCH($B291,$J$13:$J$30,0),K$12))</f>
        <v/>
      </c>
      <c r="D291" s="74" t="str">
        <f>INDEX('TH CANAM'!$A$9:$BF$63,MATCH(PDNam!$F316,'TH CANAM'!$A$9:$A$63,0),INDEX($J$13:$M$30,MATCH($B291,$J$13:$J$30,0),L$12))</f>
        <v/>
      </c>
      <c r="E291" s="74" t="str">
        <f>INDEX('TH CANAM'!$A$9:$BF$63,MATCH(PDNam!$F316,'TH CANAM'!$A$9:$A$63,0),INDEX($J$13:$M$30,MATCH($B291,$J$13:$J$30,0),M$12))</f>
        <v/>
      </c>
      <c r="F291" s="73"/>
      <c r="I291" s="64"/>
      <c r="J291" s="64"/>
    </row>
    <row r="292" spans="1:10" ht="21" customHeight="1">
      <c r="A292" s="72" t="s">
        <v>200</v>
      </c>
      <c r="B292" s="73" t="s">
        <v>60</v>
      </c>
      <c r="C292" s="74" t="str">
        <f>INDEX('TH CANAM'!$A$9:$BF$63,MATCH(PDNam!$F316,'TH CANAM'!$A$9:$A$63,0),INDEX($J$13:$M$30,MATCH($B292,$J$13:$J$30,0),K$12))</f>
        <v/>
      </c>
      <c r="D292" s="74" t="str">
        <f>INDEX('TH CANAM'!$A$9:$BF$63,MATCH(PDNam!$F316,'TH CANAM'!$A$9:$A$63,0),INDEX($J$13:$M$30,MATCH($B292,$J$13:$J$30,0),L$12))</f>
        <v/>
      </c>
      <c r="E292" s="74" t="str">
        <f>INDEX('TH CANAM'!$A$9:$BF$63,MATCH(PDNam!$F316,'TH CANAM'!$A$9:$A$63,0),INDEX($J$13:$M$30,MATCH($B292,$J$13:$J$30,0),M$12))</f>
        <v/>
      </c>
      <c r="F292" s="73"/>
      <c r="I292" s="64"/>
      <c r="J292" s="64"/>
    </row>
    <row r="293" spans="1:10" ht="21" customHeight="1">
      <c r="A293" s="72" t="s">
        <v>201</v>
      </c>
      <c r="B293" s="73" t="s">
        <v>34</v>
      </c>
      <c r="C293" s="74" t="str">
        <f>INDEX('TH CANAM'!$A$9:$BF$63,MATCH(PDNam!$F316,'TH CANAM'!$A$9:$A$63,0),INDEX($J$13:$M$30,MATCH($B293,$J$13:$J$30,0),K$12))</f>
        <v/>
      </c>
      <c r="D293" s="74" t="str">
        <f>INDEX('TH CANAM'!$A$9:$BF$63,MATCH(PDNam!$F316,'TH CANAM'!$A$9:$A$63,0),INDEX($J$13:$M$30,MATCH($B293,$J$13:$J$30,0),L$12))</f>
        <v/>
      </c>
      <c r="E293" s="74" t="str">
        <f>INDEX('TH CANAM'!$A$9:$BF$63,MATCH(PDNam!$F316,'TH CANAM'!$A$9:$A$63,0),INDEX($J$13:$M$30,MATCH($B293,$J$13:$J$30,0),M$12))</f>
        <v/>
      </c>
      <c r="F293" s="73"/>
      <c r="I293" s="64"/>
      <c r="J293" s="64"/>
    </row>
    <row r="294" spans="1:10" ht="21" customHeight="1">
      <c r="A294" s="72" t="s">
        <v>202</v>
      </c>
      <c r="B294" s="73" t="s">
        <v>35</v>
      </c>
      <c r="C294" s="74" t="str">
        <f>INDEX('TH CANAM'!$A$9:$BF$63,MATCH(PDNam!$F316,'TH CANAM'!$A$9:$A$63,0),INDEX($J$13:$M$30,MATCH($B294,$J$13:$J$30,0),K$12))</f>
        <v/>
      </c>
      <c r="D294" s="74" t="str">
        <f>INDEX('TH CANAM'!$A$9:$BF$63,MATCH(PDNam!$F316,'TH CANAM'!$A$9:$A$63,0),INDEX($J$13:$M$30,MATCH($B294,$J$13:$J$30,0),L$12))</f>
        <v/>
      </c>
      <c r="E294" s="74" t="str">
        <f>INDEX('TH CANAM'!$A$9:$BF$63,MATCH(PDNam!$F316,'TH CANAM'!$A$9:$A$63,0),INDEX($J$13:$M$30,MATCH($B294,$J$13:$J$30,0),M$12))</f>
        <v/>
      </c>
      <c r="F294" s="73"/>
      <c r="I294" s="64"/>
      <c r="J294" s="64"/>
    </row>
    <row r="295" spans="1:10" ht="21" customHeight="1">
      <c r="A295" s="72" t="s">
        <v>203</v>
      </c>
      <c r="B295" s="73" t="s">
        <v>121</v>
      </c>
      <c r="C295" s="74" t="str">
        <f>INDEX('TH CANAM'!$A$9:$BF$63,MATCH(PDNam!$F316,'TH CANAM'!$A$9:$A$63,0),INDEX($J$13:$M$30,MATCH($B295,$J$13:$J$30,0),K$12))</f>
        <v/>
      </c>
      <c r="D295" s="74" t="str">
        <f>INDEX('TH CANAM'!$A$9:$BF$63,MATCH(PDNam!$F316,'TH CANAM'!$A$9:$A$63,0),INDEX($J$13:$M$30,MATCH($B295,$J$13:$J$30,0),L$12))</f>
        <v/>
      </c>
      <c r="E295" s="74" t="str">
        <f>INDEX('TH CANAM'!$A$9:$BF$63,MATCH(PDNam!$F316,'TH CANAM'!$A$9:$A$63,0),INDEX($J$13:$M$30,MATCH($B295,$J$13:$J$30,0),M$12))</f>
        <v/>
      </c>
      <c r="F295" s="73"/>
      <c r="I295" s="64"/>
      <c r="J295" s="64"/>
    </row>
    <row r="296" spans="1:10" ht="21" customHeight="1">
      <c r="A296" s="72" t="s">
        <v>204</v>
      </c>
      <c r="B296" s="73" t="s">
        <v>122</v>
      </c>
      <c r="C296" s="74" t="str">
        <f>INDEX('TH CANAM'!$A$9:$BF$63,MATCH(PDNam!$F316,'TH CANAM'!$A$9:$A$63,0),INDEX($J$13:$M$30,MATCH($B296,$J$13:$J$30,0),K$12))</f>
        <v/>
      </c>
      <c r="D296" s="74" t="str">
        <f>INDEX('TH CANAM'!$A$9:$BF$63,MATCH(PDNam!$F316,'TH CANAM'!$A$9:$A$63,0),INDEX($J$13:$M$30,MATCH($B296,$J$13:$J$30,0),L$12))</f>
        <v/>
      </c>
      <c r="E296" s="74" t="str">
        <f>INDEX('TH CANAM'!$A$9:$BF$63,MATCH(PDNam!$F316,'TH CANAM'!$A$9:$A$63,0),INDEX($J$13:$M$30,MATCH($B296,$J$13:$J$30,0),M$12))</f>
        <v/>
      </c>
      <c r="F296" s="73"/>
      <c r="I296" s="64"/>
      <c r="J296" s="64"/>
    </row>
    <row r="297" spans="1:10" ht="21" customHeight="1">
      <c r="A297" s="72" t="s">
        <v>208</v>
      </c>
      <c r="B297" s="73" t="s">
        <v>205</v>
      </c>
      <c r="C297" s="78">
        <f>INDEX('TH CANAM'!$A$9:$BF$63,MATCH(PDNam!$F316,'TH CANAM'!$A$9:$A$63,0),46)</f>
        <v>9.5</v>
      </c>
      <c r="D297" s="78" t="str">
        <f>INDEX('TH CANAM'!$A$9:$BF$63,MATCH(PDNam!$F316,'TH CANAM'!$A$9:$A$63,0),47)</f>
        <v/>
      </c>
      <c r="E297" s="78" t="str">
        <f>INDEX('TH CANAM'!$A$9:$BF$63,MATCH(PDNam!$F316,'TH CANAM'!$A$9:$A$63,0),48)</f>
        <v/>
      </c>
      <c r="F297" s="73"/>
      <c r="I297" s="64"/>
      <c r="J297" s="64"/>
    </row>
    <row r="298" spans="1:10" ht="21" customHeight="1">
      <c r="A298" s="72" t="s">
        <v>209</v>
      </c>
      <c r="B298" s="72" t="s">
        <v>206</v>
      </c>
      <c r="C298" s="74" t="str">
        <f>IF(INDEX('TH CANAM'!$A$9:$BF$63,MATCH(PDNam!$F316,'TH CANAM'!$A$9:$A$63,0),49)="Tb","Trung bình",INDEX('TH CANAM'!$A$9:$BF$63,MATCH(PDNam!$F316,'TH CANAM'!$A$9:$A$63,0),49))</f>
        <v>Giỏi</v>
      </c>
      <c r="D298" s="74" t="str">
        <f>IF(INDEX('TH CANAM'!$A$9:$BF$63,MATCH(PDNam!$F316,'TH CANAM'!$A$9:$A$63,0),50)="Tb","Trung bình",INDEX('TH CANAM'!$A$9:$BF$63,MATCH(PDNam!$F316,'TH CANAM'!$A$9:$A$63,0),50))</f>
        <v/>
      </c>
      <c r="E298" s="74" t="str">
        <f>IF(INDEX('TH CANAM'!$A$9:$BF$63,MATCH(PDNam!$F316,'TH CANAM'!$A$9:$A$63,0),51)="Tb","Trung bình",INDEX('TH CANAM'!$A$9:$BF$63,MATCH(PDNam!$F316,'TH CANAM'!$A$9:$A$63,0),51))</f>
        <v/>
      </c>
      <c r="F298" s="73"/>
    </row>
    <row r="299" spans="1:10" ht="21" customHeight="1">
      <c r="A299" s="72" t="s">
        <v>210</v>
      </c>
      <c r="B299" s="72" t="s">
        <v>207</v>
      </c>
      <c r="C299" s="74" t="str">
        <f>INDEX('TH CANAM'!$A$9:$BF$63,MATCH(PDNam!$F316,'TH CANAM'!$A$9:$A$63,0),52)</f>
        <v>Tốt</v>
      </c>
      <c r="D299" s="74" t="str">
        <f>INDEX('TH CANAM'!$A$9:$BF$63,MATCH(PDNam!$F316,'TH CANAM'!$A$9:$A$63,0),53)</f>
        <v/>
      </c>
      <c r="E299" s="74" t="str">
        <f>INDEX('TH CANAM'!$A$9:$BF$63,MATCH(PDNam!$F316,'TH CANAM'!$A$9:$A$63,0),54)</f>
        <v/>
      </c>
      <c r="F299" s="73"/>
    </row>
    <row r="300" spans="1:10" ht="21" customHeight="1">
      <c r="A300" s="72" t="s">
        <v>211</v>
      </c>
      <c r="B300" s="72" t="s">
        <v>25</v>
      </c>
      <c r="C300" s="74" t="str">
        <f>IF(INDEX('TH CANAM'!$A$9:$BF$63,MATCH(PDNam!$F316,'TH CANAM'!$A$9:$A$63,0),57)&lt;&gt;"",INDEX('TH CANAM'!$A$9:$BF$63,MATCH(PDNam!$F316,'TH CANAM'!$A$9:$A$63,0),57),"/")</f>
        <v>HSG</v>
      </c>
      <c r="D300" s="74" t="str">
        <f>IF(INDEX('TH CANAM'!$A$9:$BF$63,MATCH(PDNam!$F316,'TH CANAM'!$A$9:$A$63,0),58)&lt;&gt;"",INDEX('TH CANAM'!$A$9:$BF$63,MATCH(PDNam!$F316,'TH CANAM'!$A$9:$A$63,0),58),"/")</f>
        <v>/</v>
      </c>
      <c r="E300" s="74" t="str">
        <f>IF(INDEX('TH CANAM'!$A$9:$BF$63,MATCH(PDNam!$F316,'TH CANAM'!$A$9:$A$63,0),55)&lt;&gt;"",INDEX('TH CANAM'!$A$9:$BF$63,MATCH(PDNam!$F316,'TH CANAM'!$A$9:$A$63,0),55),"/")</f>
        <v>/</v>
      </c>
      <c r="F300" s="73"/>
    </row>
    <row r="301" spans="1:10" s="60" customFormat="1" ht="9" customHeight="1">
      <c r="A301" s="67"/>
      <c r="B301" s="67"/>
      <c r="C301" s="1132"/>
      <c r="D301" s="1132"/>
      <c r="E301" s="67"/>
      <c r="F301" s="67"/>
    </row>
    <row r="302" spans="1:10" s="60" customFormat="1" ht="18.75" customHeight="1">
      <c r="A302" s="58" t="s">
        <v>219</v>
      </c>
      <c r="B302" s="57"/>
      <c r="C302" s="57"/>
      <c r="D302" s="57"/>
      <c r="E302" s="57"/>
      <c r="F302" s="475"/>
    </row>
    <row r="303" spans="1:10" s="60" customFormat="1" ht="18.75" customHeight="1">
      <c r="A303" s="59" t="str">
        <f>IF(F316&lt;&gt;"",IF(INDEX(BDHK2,MATCH(F316,DiemHKII!$B$4:$B$58,0),137)&lt;&gt;""," - "&amp;INDEX(BDHK2,MATCH(F316,DiemHKII!$B$4:$B$58,0),137),""),"")</f>
        <v/>
      </c>
      <c r="B303" s="57"/>
      <c r="C303" s="57"/>
      <c r="D303" s="57"/>
      <c r="E303" s="57"/>
      <c r="F303" s="475"/>
    </row>
    <row r="304" spans="1:10" s="60" customFormat="1" ht="18.75" customHeight="1">
      <c r="A304" s="59" t="str">
        <f>IF(F316&lt;&gt;"",IF(INDEX(BDHK2,MATCH(F316,DiemHKII!$B$4:$B$58,0),138)&lt;&gt;""," - "&amp;INDEX(BDHK2,MATCH(F316,DiemHKII!$B$4:$B$58,0),138),""),"")</f>
        <v/>
      </c>
      <c r="B304" s="57"/>
      <c r="C304" s="57"/>
      <c r="D304" s="57"/>
      <c r="E304" s="57"/>
      <c r="F304" s="475"/>
    </row>
    <row r="305" spans="1:10" s="60" customFormat="1" ht="18.75" customHeight="1">
      <c r="A305" s="59" t="str">
        <f>IF(F316&lt;&gt;"",IF(INDEX(BDHK2,MATCH(F316,DiemHKII!$B$4:$B$58,0),139)&lt;&gt;""," - "&amp;INDEX(BDHK2,MATCH(F316,DiemHKII!$B$4:$B$58,0),139),""),"")</f>
        <v/>
      </c>
      <c r="B305" s="57"/>
      <c r="C305" s="57"/>
      <c r="D305" s="57"/>
      <c r="E305" s="57"/>
      <c r="F305" s="475"/>
    </row>
    <row r="306" spans="1:10" s="60" customFormat="1" ht="18.75" customHeight="1">
      <c r="A306" s="59" t="str">
        <f>IF(F316&lt;&gt;"",IF(INDEX(BDHK2,MATCH(F316,DiemHKII!$B$4:$B$58,0),140)&lt;&gt;""," - "&amp;INDEX(BDHK2,MATCH(F316,DiemHKII!$B$4:$B$58,0),140),""),"")</f>
        <v/>
      </c>
      <c r="B306" s="57"/>
      <c r="C306" s="57"/>
      <c r="D306" s="57"/>
      <c r="E306" s="57"/>
      <c r="F306" s="67"/>
    </row>
    <row r="307" spans="1:10" ht="6" customHeight="1">
      <c r="A307" s="68"/>
      <c r="B307" s="68"/>
      <c r="C307" s="68"/>
      <c r="D307" s="68"/>
      <c r="E307" s="68"/>
      <c r="F307" s="68"/>
    </row>
    <row r="308" spans="1:10">
      <c r="A308" s="68"/>
      <c r="B308" s="68"/>
      <c r="C30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308" s="1060"/>
      <c r="E308" s="1060"/>
      <c r="F308" s="1060"/>
    </row>
    <row r="309" spans="1:10" ht="20.25" customHeight="1">
      <c r="A309" s="1012" t="str">
        <f>IF($D$39="Hiệu trưởng","Giáo viên Quản nhiệm","")</f>
        <v>Giáo viên Quản nhiệm</v>
      </c>
      <c r="B309" s="1012"/>
      <c r="C309" s="61"/>
      <c r="D309" s="1012" t="str">
        <f>IF($H$7="","",$H$7)</f>
        <v>Hiệu trưởng</v>
      </c>
      <c r="E309" s="1012"/>
      <c r="F309" s="61"/>
    </row>
    <row r="310" spans="1:10">
      <c r="A310" s="68"/>
      <c r="B310" s="68"/>
      <c r="C310" s="68"/>
      <c r="D310" s="68"/>
      <c r="E310" s="68"/>
      <c r="F310" s="68"/>
    </row>
    <row r="311" spans="1:10">
      <c r="A311" s="68"/>
      <c r="B311" s="68"/>
      <c r="C311" s="68"/>
      <c r="D311" s="68"/>
      <c r="E311" s="68"/>
      <c r="F311" s="68"/>
    </row>
    <row r="312" spans="1:10" ht="16.8">
      <c r="A312" s="68"/>
      <c r="B312" s="68"/>
      <c r="C312" s="64"/>
      <c r="D312" s="64"/>
      <c r="E312" s="64"/>
      <c r="F312" s="64"/>
      <c r="G312" s="65"/>
      <c r="H312" s="65"/>
      <c r="I312" s="65"/>
      <c r="J312" s="65"/>
    </row>
    <row r="314" spans="1:10">
      <c r="A314" s="1012" t="str">
        <f>IF($A$39="","",PROPER('Huong dan'!$C$4))</f>
        <v/>
      </c>
      <c r="B314" s="1012"/>
      <c r="D314" s="1130" t="str">
        <f>IFERROR(IF($D$39="Giáo Viên Quản nhiệm",PROPER('Huong dan'!$C$4),IF($D$39="Hiệu trưởng",PROPER('Huong dan'!$E$5),"")),"")</f>
        <v/>
      </c>
      <c r="E314" s="1130"/>
    </row>
    <row r="315" spans="1:10" ht="7.5" customHeight="1"/>
    <row r="316" spans="1:10" ht="11.25" customHeight="1">
      <c r="A316" s="75"/>
      <c r="B316" s="75"/>
      <c r="C316" s="75"/>
      <c r="D316" s="75"/>
      <c r="E316" s="75"/>
      <c r="F316" s="76">
        <f>IF(F271="","",IF(F271&lt;MAX(DiemHKII!$B$4:$B$58),F271+1,""))</f>
        <v>7</v>
      </c>
    </row>
    <row r="317" spans="1:10" s="60" customFormat="1" ht="22.5" customHeight="1">
      <c r="A317" s="1128" t="str">
        <f>IF('Huong dan'!$E$3&lt;&gt;"","SỞ GIÁO DỤC VÀ ĐÀO TẠO "&amp;UPPER('Huong dan'!$E$3),"")</f>
        <v>SỞ GIÁO DỤC VÀ ĐÀO TẠO TP. HỒ CHÍ MINH</v>
      </c>
      <c r="B317" s="1128"/>
      <c r="C317" s="1128"/>
      <c r="D317" s="1129" t="s">
        <v>19</v>
      </c>
      <c r="E317" s="1129"/>
      <c r="F317" s="1129"/>
    </row>
    <row r="318" spans="1:10" ht="17.25" customHeight="1">
      <c r="A318" s="992" t="str">
        <f>IF('Huong dan'!$E$4&lt;&gt;"","TRƯỜNG "&amp;UPPER('Huong dan'!$E$4),"")</f>
        <v>TRƯỜNG THCS VÀ THPT NGUYỄN KHUYẾN</v>
      </c>
      <c r="B318" s="992"/>
      <c r="C318" s="992"/>
      <c r="D318" s="1130" t="s">
        <v>179</v>
      </c>
      <c r="E318" s="1130"/>
      <c r="F318" s="1130"/>
    </row>
    <row r="319" spans="1:10" ht="12" customHeight="1">
      <c r="A319" s="69"/>
      <c r="B319" s="69"/>
      <c r="C319" s="30"/>
      <c r="D319" s="30"/>
      <c r="E319" s="30"/>
      <c r="F319" s="30"/>
    </row>
    <row r="320" spans="1:10" ht="18" customHeight="1">
      <c r="A320" s="69"/>
      <c r="B320" s="69"/>
      <c r="C320" s="30"/>
      <c r="D320" s="30"/>
      <c r="E320" s="30"/>
      <c r="F320" s="30"/>
    </row>
    <row r="321" spans="1:10" ht="29.25" customHeight="1">
      <c r="A321" s="1013" t="str">
        <f>"PHIẾU ĐIỂM NĂM HỌC "&amp;'Huong dan'!$C$5</f>
        <v>PHIẾU ĐIỂM NĂM HỌC 2021 - 2022</v>
      </c>
      <c r="B321" s="1013"/>
      <c r="C321" s="1013"/>
      <c r="D321" s="1013"/>
      <c r="E321" s="1013"/>
      <c r="F321" s="1013"/>
    </row>
    <row r="322" spans="1:10" ht="12.75" customHeight="1">
      <c r="A322" s="70"/>
      <c r="B322" s="66"/>
      <c r="C322" s="66"/>
      <c r="D322" s="66"/>
      <c r="E322" s="66"/>
      <c r="F322" s="66"/>
    </row>
    <row r="323" spans="1:10" ht="20.25" customHeight="1">
      <c r="A323" s="1131" t="s">
        <v>212</v>
      </c>
      <c r="B323" s="1131"/>
      <c r="C323" s="77" t="str">
        <f>IF(F361="","",INDEX(DiemHKII!$E$4:$E$58,MATCH(F361,DiemHKII!$B$4:$B$58,0),1)&amp;" "&amp;INDEX(DiemHKII!$F$4:$F$58,MATCH(F361,DiemHKII!$B$4:$B$58,0),1))</f>
        <v>Trần Lê Cường</v>
      </c>
      <c r="D323" s="77"/>
      <c r="E323" s="77"/>
      <c r="F323" s="71" t="str">
        <f>IF('Huong dan'!$C$3="","","Lớp: "&amp;'Huong dan'!$C$3)</f>
        <v>Lớp: 12A1</v>
      </c>
    </row>
    <row r="324" spans="1:10" ht="24" customHeight="1">
      <c r="A324" s="1131" t="s">
        <v>213</v>
      </c>
      <c r="B324" s="1131"/>
      <c r="C324" s="77" t="str">
        <f>IF(F361="","",INDEX(DiemHKII!$G$4:$G$58,MATCH(F361,DiemHKII!$B$4:$B$58,0),1))</f>
        <v>08/04/2004</v>
      </c>
      <c r="D324" s="77"/>
      <c r="E324" s="1133" t="str">
        <f>IF(F361="","","Nơi sinh: "&amp;INDEX(DiemHKII!$H$4:$H$58,MATCH(F361,DiemHKII!$B$4:$B$58,0),1))</f>
        <v xml:space="preserve">Nơi sinh: </v>
      </c>
      <c r="F324" s="1133"/>
    </row>
    <row r="325" spans="1:10" ht="15" customHeight="1">
      <c r="A325" s="62"/>
      <c r="B325" s="62"/>
      <c r="C325" s="62"/>
      <c r="D325" s="62"/>
      <c r="E325" s="62"/>
      <c r="F325" s="63"/>
    </row>
    <row r="326" spans="1:10" ht="21" customHeight="1">
      <c r="A326" s="1134" t="s">
        <v>0</v>
      </c>
      <c r="B326" s="1134" t="s">
        <v>72</v>
      </c>
      <c r="C326" s="1134" t="s">
        <v>216</v>
      </c>
      <c r="D326" s="1134"/>
      <c r="E326" s="1134"/>
      <c r="F326" s="1134" t="s">
        <v>148</v>
      </c>
    </row>
    <row r="327" spans="1:10" ht="21" customHeight="1">
      <c r="A327" s="1134"/>
      <c r="B327" s="1134"/>
      <c r="C327" s="476" t="s">
        <v>188</v>
      </c>
      <c r="D327" s="476" t="s">
        <v>189</v>
      </c>
      <c r="E327" s="476" t="s">
        <v>190</v>
      </c>
      <c r="F327" s="1134"/>
    </row>
    <row r="328" spans="1:10" ht="21" customHeight="1">
      <c r="A328" s="72" t="s">
        <v>191</v>
      </c>
      <c r="B328" s="73" t="s">
        <v>26</v>
      </c>
      <c r="C328" s="74" t="str">
        <f>INDEX('TH CANAM'!$A$9:$BF$63,MATCH(PDNam!$F361,'TH CANAM'!$A$9:$A$63,0),INDEX($J$13:$M$30,MATCH($B328,$J$13:$J$30,0),K$12))</f>
        <v/>
      </c>
      <c r="D328" s="74" t="str">
        <f>INDEX('TH CANAM'!$A$9:$BF$63,MATCH(PDNam!$F361,'TH CANAM'!$A$9:$A$63,0),INDEX($J$13:$M$30,MATCH($B328,$J$13:$J$30,0),L$12))</f>
        <v/>
      </c>
      <c r="E328" s="74" t="str">
        <f>INDEX('TH CANAM'!$A$9:$BF$63,MATCH(PDNam!$F361,'TH CANAM'!$A$9:$A$63,0),INDEX($J$13:$M$30,MATCH($B328,$J$13:$J$30,0),M$12))</f>
        <v/>
      </c>
      <c r="F328" s="73"/>
      <c r="I328" s="64"/>
      <c r="J328" s="64"/>
    </row>
    <row r="329" spans="1:10" ht="21" customHeight="1">
      <c r="A329" s="72" t="s">
        <v>192</v>
      </c>
      <c r="B329" s="73" t="s">
        <v>27</v>
      </c>
      <c r="C329" s="74" t="str">
        <f>INDEX('TH CANAM'!$A$9:$BF$63,MATCH(PDNam!$F361,'TH CANAM'!$A$9:$A$63,0),INDEX($J$13:$M$30,MATCH($B329,$J$13:$J$30,0),K$12))</f>
        <v/>
      </c>
      <c r="D329" s="74" t="str">
        <f>INDEX('TH CANAM'!$A$9:$BF$63,MATCH(PDNam!$F361,'TH CANAM'!$A$9:$A$63,0),INDEX($J$13:$M$30,MATCH($B329,$J$13:$J$30,0),L$12))</f>
        <v/>
      </c>
      <c r="E329" s="74" t="str">
        <f>INDEX('TH CANAM'!$A$9:$BF$63,MATCH(PDNam!$F361,'TH CANAM'!$A$9:$A$63,0),INDEX($J$13:$M$30,MATCH($B329,$J$13:$J$30,0),M$12))</f>
        <v/>
      </c>
      <c r="F329" s="73"/>
      <c r="I329" s="64"/>
      <c r="J329" s="64"/>
    </row>
    <row r="330" spans="1:10" ht="21" customHeight="1">
      <c r="A330" s="72" t="s">
        <v>193</v>
      </c>
      <c r="B330" s="73" t="s">
        <v>28</v>
      </c>
      <c r="C330" s="74" t="str">
        <f>INDEX('TH CANAM'!$A$9:$BF$63,MATCH(PDNam!$F361,'TH CANAM'!$A$9:$A$63,0),INDEX($J$13:$M$30,MATCH($B330,$J$13:$J$30,0),K$12))</f>
        <v/>
      </c>
      <c r="D330" s="74" t="str">
        <f>INDEX('TH CANAM'!$A$9:$BF$63,MATCH(PDNam!$F361,'TH CANAM'!$A$9:$A$63,0),INDEX($J$13:$M$30,MATCH($B330,$J$13:$J$30,0),L$12))</f>
        <v/>
      </c>
      <c r="E330" s="74" t="str">
        <f>INDEX('TH CANAM'!$A$9:$BF$63,MATCH(PDNam!$F361,'TH CANAM'!$A$9:$A$63,0),INDEX($J$13:$M$30,MATCH($B330,$J$13:$J$30,0),M$12))</f>
        <v/>
      </c>
      <c r="F330" s="73"/>
      <c r="I330" s="64"/>
      <c r="J330" s="64"/>
    </row>
    <row r="331" spans="1:10" ht="21" customHeight="1">
      <c r="A331" s="72" t="s">
        <v>194</v>
      </c>
      <c r="B331" s="73" t="s">
        <v>29</v>
      </c>
      <c r="C331" s="74" t="str">
        <f>INDEX('TH CANAM'!$A$9:$BF$63,MATCH(PDNam!$F361,'TH CANAM'!$A$9:$A$63,0),INDEX($J$13:$M$30,MATCH($B331,$J$13:$J$30,0),K$12))</f>
        <v/>
      </c>
      <c r="D331" s="74" t="str">
        <f>INDEX('TH CANAM'!$A$9:$BF$63,MATCH(PDNam!$F361,'TH CANAM'!$A$9:$A$63,0),INDEX($J$13:$M$30,MATCH($B331,$J$13:$J$30,0),L$12))</f>
        <v/>
      </c>
      <c r="E331" s="74" t="str">
        <f>INDEX('TH CANAM'!$A$9:$BF$63,MATCH(PDNam!$F361,'TH CANAM'!$A$9:$A$63,0),INDEX($J$13:$M$30,MATCH($B331,$J$13:$J$30,0),M$12))</f>
        <v/>
      </c>
      <c r="F331" s="73"/>
      <c r="I331" s="64"/>
      <c r="J331" s="64"/>
    </row>
    <row r="332" spans="1:10" ht="21" customHeight="1">
      <c r="A332" s="72" t="s">
        <v>195</v>
      </c>
      <c r="B332" s="73" t="s">
        <v>120</v>
      </c>
      <c r="C332" s="74" t="str">
        <f>INDEX('TH CANAM'!$A$9:$BF$63,MATCH(PDNam!$F361,'TH CANAM'!$A$9:$A$63,0),INDEX($J$13:$M$30,MATCH($B332,$J$13:$J$30,0),K$12))</f>
        <v/>
      </c>
      <c r="D332" s="74" t="str">
        <f>INDEX('TH CANAM'!$A$9:$BF$63,MATCH(PDNam!$F361,'TH CANAM'!$A$9:$A$63,0),INDEX($J$13:$M$30,MATCH($B332,$J$13:$J$30,0),L$12))</f>
        <v/>
      </c>
      <c r="E332" s="74" t="str">
        <f>INDEX('TH CANAM'!$A$9:$BF$63,MATCH(PDNam!$F361,'TH CANAM'!$A$9:$A$63,0),INDEX($J$13:$M$30,MATCH($B332,$J$13:$J$30,0),M$12))</f>
        <v/>
      </c>
      <c r="F332" s="73"/>
      <c r="I332" s="64"/>
      <c r="J332" s="64"/>
    </row>
    <row r="333" spans="1:10" ht="21" customHeight="1">
      <c r="A333" s="72" t="s">
        <v>196</v>
      </c>
      <c r="B333" s="73" t="s">
        <v>30</v>
      </c>
      <c r="C333" s="74" t="str">
        <f>INDEX('TH CANAM'!$A$9:$BF$63,MATCH(PDNam!$F361,'TH CANAM'!$A$9:$A$63,0),INDEX($J$13:$M$30,MATCH($B333,$J$13:$J$30,0),K$12))</f>
        <v/>
      </c>
      <c r="D333" s="74" t="str">
        <f>INDEX('TH CANAM'!$A$9:$BF$63,MATCH(PDNam!$F361,'TH CANAM'!$A$9:$A$63,0),INDEX($J$13:$M$30,MATCH($B333,$J$13:$J$30,0),L$12))</f>
        <v/>
      </c>
      <c r="E333" s="74" t="str">
        <f>INDEX('TH CANAM'!$A$9:$BF$63,MATCH(PDNam!$F361,'TH CANAM'!$A$9:$A$63,0),INDEX($J$13:$M$30,MATCH($B333,$J$13:$J$30,0),M$12))</f>
        <v/>
      </c>
      <c r="F333" s="73"/>
      <c r="I333" s="64"/>
      <c r="J333" s="64"/>
    </row>
    <row r="334" spans="1:10" ht="21" customHeight="1">
      <c r="A334" s="72" t="s">
        <v>197</v>
      </c>
      <c r="B334" s="73" t="s">
        <v>31</v>
      </c>
      <c r="C334" s="74" t="str">
        <f>INDEX('TH CANAM'!$A$9:$BF$63,MATCH(PDNam!$F361,'TH CANAM'!$A$9:$A$63,0),INDEX($J$13:$M$30,MATCH($B334,$J$13:$J$30,0),K$12))</f>
        <v/>
      </c>
      <c r="D334" s="74" t="str">
        <f>INDEX('TH CANAM'!$A$9:$BF$63,MATCH(PDNam!$F361,'TH CANAM'!$A$9:$A$63,0),INDEX($J$13:$M$30,MATCH($B334,$J$13:$J$30,0),L$12))</f>
        <v/>
      </c>
      <c r="E334" s="74" t="str">
        <f>INDEX('TH CANAM'!$A$9:$BF$63,MATCH(PDNam!$F361,'TH CANAM'!$A$9:$A$63,0),INDEX($J$13:$M$30,MATCH($B334,$J$13:$J$30,0),M$12))</f>
        <v/>
      </c>
      <c r="F334" s="73"/>
      <c r="I334" s="64"/>
      <c r="J334" s="64"/>
    </row>
    <row r="335" spans="1:10" ht="21" customHeight="1">
      <c r="A335" s="72" t="s">
        <v>198</v>
      </c>
      <c r="B335" s="73" t="s">
        <v>32</v>
      </c>
      <c r="C335" s="74" t="str">
        <f>INDEX('TH CANAM'!$A$9:$BF$63,MATCH(PDNam!$F361,'TH CANAM'!$A$9:$A$63,0),INDEX($J$13:$M$30,MATCH($B335,$J$13:$J$30,0),K$12))</f>
        <v/>
      </c>
      <c r="D335" s="74" t="str">
        <f>INDEX('TH CANAM'!$A$9:$BF$63,MATCH(PDNam!$F361,'TH CANAM'!$A$9:$A$63,0),INDEX($J$13:$M$30,MATCH($B335,$J$13:$J$30,0),L$12))</f>
        <v/>
      </c>
      <c r="E335" s="74" t="str">
        <f>INDEX('TH CANAM'!$A$9:$BF$63,MATCH(PDNam!$F361,'TH CANAM'!$A$9:$A$63,0),INDEX($J$13:$M$30,MATCH($B335,$J$13:$J$30,0),M$12))</f>
        <v/>
      </c>
      <c r="F335" s="73"/>
      <c r="I335" s="64"/>
      <c r="J335" s="64"/>
    </row>
    <row r="336" spans="1:10" ht="21" customHeight="1">
      <c r="A336" s="72" t="s">
        <v>199</v>
      </c>
      <c r="B336" s="73" t="s">
        <v>33</v>
      </c>
      <c r="C336" s="74" t="str">
        <f>INDEX('TH CANAM'!$A$9:$BF$63,MATCH(PDNam!$F361,'TH CANAM'!$A$9:$A$63,0),INDEX($J$13:$M$30,MATCH($B336,$J$13:$J$30,0),K$12))</f>
        <v/>
      </c>
      <c r="D336" s="74" t="str">
        <f>INDEX('TH CANAM'!$A$9:$BF$63,MATCH(PDNam!$F361,'TH CANAM'!$A$9:$A$63,0),INDEX($J$13:$M$30,MATCH($B336,$J$13:$J$30,0),L$12))</f>
        <v/>
      </c>
      <c r="E336" s="74" t="str">
        <f>INDEX('TH CANAM'!$A$9:$BF$63,MATCH(PDNam!$F361,'TH CANAM'!$A$9:$A$63,0),INDEX($J$13:$M$30,MATCH($B336,$J$13:$J$30,0),M$12))</f>
        <v/>
      </c>
      <c r="F336" s="73"/>
      <c r="I336" s="64"/>
      <c r="J336" s="64"/>
    </row>
    <row r="337" spans="1:10" ht="21" customHeight="1">
      <c r="A337" s="72" t="s">
        <v>200</v>
      </c>
      <c r="B337" s="73" t="s">
        <v>60</v>
      </c>
      <c r="C337" s="74" t="str">
        <f>INDEX('TH CANAM'!$A$9:$BF$63,MATCH(PDNam!$F361,'TH CANAM'!$A$9:$A$63,0),INDEX($J$13:$M$30,MATCH($B337,$J$13:$J$30,0),K$12))</f>
        <v/>
      </c>
      <c r="D337" s="74" t="str">
        <f>INDEX('TH CANAM'!$A$9:$BF$63,MATCH(PDNam!$F361,'TH CANAM'!$A$9:$A$63,0),INDEX($J$13:$M$30,MATCH($B337,$J$13:$J$30,0),L$12))</f>
        <v/>
      </c>
      <c r="E337" s="74" t="str">
        <f>INDEX('TH CANAM'!$A$9:$BF$63,MATCH(PDNam!$F361,'TH CANAM'!$A$9:$A$63,0),INDEX($J$13:$M$30,MATCH($B337,$J$13:$J$30,0),M$12))</f>
        <v/>
      </c>
      <c r="F337" s="73"/>
      <c r="I337" s="64"/>
      <c r="J337" s="64"/>
    </row>
    <row r="338" spans="1:10" ht="21" customHeight="1">
      <c r="A338" s="72" t="s">
        <v>201</v>
      </c>
      <c r="B338" s="73" t="s">
        <v>34</v>
      </c>
      <c r="C338" s="74" t="str">
        <f>INDEX('TH CANAM'!$A$9:$BF$63,MATCH(PDNam!$F361,'TH CANAM'!$A$9:$A$63,0),INDEX($J$13:$M$30,MATCH($B338,$J$13:$J$30,0),K$12))</f>
        <v/>
      </c>
      <c r="D338" s="74" t="str">
        <f>INDEX('TH CANAM'!$A$9:$BF$63,MATCH(PDNam!$F361,'TH CANAM'!$A$9:$A$63,0),INDEX($J$13:$M$30,MATCH($B338,$J$13:$J$30,0),L$12))</f>
        <v/>
      </c>
      <c r="E338" s="74" t="str">
        <f>INDEX('TH CANAM'!$A$9:$BF$63,MATCH(PDNam!$F361,'TH CANAM'!$A$9:$A$63,0),INDEX($J$13:$M$30,MATCH($B338,$J$13:$J$30,0),M$12))</f>
        <v/>
      </c>
      <c r="F338" s="73"/>
      <c r="I338" s="64"/>
      <c r="J338" s="64"/>
    </row>
    <row r="339" spans="1:10" ht="21" customHeight="1">
      <c r="A339" s="72" t="s">
        <v>202</v>
      </c>
      <c r="B339" s="73" t="s">
        <v>35</v>
      </c>
      <c r="C339" s="74" t="str">
        <f>INDEX('TH CANAM'!$A$9:$BF$63,MATCH(PDNam!$F361,'TH CANAM'!$A$9:$A$63,0),INDEX($J$13:$M$30,MATCH($B339,$J$13:$J$30,0),K$12))</f>
        <v/>
      </c>
      <c r="D339" s="74" t="str">
        <f>INDEX('TH CANAM'!$A$9:$BF$63,MATCH(PDNam!$F361,'TH CANAM'!$A$9:$A$63,0),INDEX($J$13:$M$30,MATCH($B339,$J$13:$J$30,0),L$12))</f>
        <v/>
      </c>
      <c r="E339" s="74" t="str">
        <f>INDEX('TH CANAM'!$A$9:$BF$63,MATCH(PDNam!$F361,'TH CANAM'!$A$9:$A$63,0),INDEX($J$13:$M$30,MATCH($B339,$J$13:$J$30,0),M$12))</f>
        <v/>
      </c>
      <c r="F339" s="73"/>
      <c r="I339" s="64"/>
      <c r="J339" s="64"/>
    </row>
    <row r="340" spans="1:10" ht="21" customHeight="1">
      <c r="A340" s="72" t="s">
        <v>203</v>
      </c>
      <c r="B340" s="73" t="s">
        <v>121</v>
      </c>
      <c r="C340" s="74" t="str">
        <f>INDEX('TH CANAM'!$A$9:$BF$63,MATCH(PDNam!$F361,'TH CANAM'!$A$9:$A$63,0),INDEX($J$13:$M$30,MATCH($B340,$J$13:$J$30,0),K$12))</f>
        <v/>
      </c>
      <c r="D340" s="74" t="str">
        <f>INDEX('TH CANAM'!$A$9:$BF$63,MATCH(PDNam!$F361,'TH CANAM'!$A$9:$A$63,0),INDEX($J$13:$M$30,MATCH($B340,$J$13:$J$30,0),L$12))</f>
        <v/>
      </c>
      <c r="E340" s="74" t="str">
        <f>INDEX('TH CANAM'!$A$9:$BF$63,MATCH(PDNam!$F361,'TH CANAM'!$A$9:$A$63,0),INDEX($J$13:$M$30,MATCH($B340,$J$13:$J$30,0),M$12))</f>
        <v/>
      </c>
      <c r="F340" s="73"/>
      <c r="I340" s="64"/>
      <c r="J340" s="64"/>
    </row>
    <row r="341" spans="1:10" ht="21" customHeight="1">
      <c r="A341" s="72" t="s">
        <v>204</v>
      </c>
      <c r="B341" s="73" t="s">
        <v>122</v>
      </c>
      <c r="C341" s="74" t="str">
        <f>INDEX('TH CANAM'!$A$9:$BF$63,MATCH(PDNam!$F361,'TH CANAM'!$A$9:$A$63,0),INDEX($J$13:$M$30,MATCH($B341,$J$13:$J$30,0),K$12))</f>
        <v/>
      </c>
      <c r="D341" s="74" t="str">
        <f>INDEX('TH CANAM'!$A$9:$BF$63,MATCH(PDNam!$F361,'TH CANAM'!$A$9:$A$63,0),INDEX($J$13:$M$30,MATCH($B341,$J$13:$J$30,0),L$12))</f>
        <v/>
      </c>
      <c r="E341" s="74" t="str">
        <f>INDEX('TH CANAM'!$A$9:$BF$63,MATCH(PDNam!$F361,'TH CANAM'!$A$9:$A$63,0),INDEX($J$13:$M$30,MATCH($B341,$J$13:$J$30,0),M$12))</f>
        <v/>
      </c>
      <c r="F341" s="73"/>
      <c r="I341" s="64"/>
      <c r="J341" s="64"/>
    </row>
    <row r="342" spans="1:10" ht="21" customHeight="1">
      <c r="A342" s="72" t="s">
        <v>208</v>
      </c>
      <c r="B342" s="73" t="s">
        <v>205</v>
      </c>
      <c r="C342" s="78">
        <f>INDEX('TH CANAM'!$A$9:$BF$63,MATCH(PDNam!$F361,'TH CANAM'!$A$9:$A$63,0),46)</f>
        <v>9.3000000000000007</v>
      </c>
      <c r="D342" s="78" t="str">
        <f>INDEX('TH CANAM'!$A$9:$BF$63,MATCH(PDNam!$F361,'TH CANAM'!$A$9:$A$63,0),47)</f>
        <v/>
      </c>
      <c r="E342" s="78" t="str">
        <f>INDEX('TH CANAM'!$A$9:$BF$63,MATCH(PDNam!$F361,'TH CANAM'!$A$9:$A$63,0),48)</f>
        <v/>
      </c>
      <c r="F342" s="73"/>
      <c r="I342" s="64"/>
      <c r="J342" s="64"/>
    </row>
    <row r="343" spans="1:10" ht="21" customHeight="1">
      <c r="A343" s="72" t="s">
        <v>209</v>
      </c>
      <c r="B343" s="72" t="s">
        <v>206</v>
      </c>
      <c r="C343" s="74" t="str">
        <f>IF(INDEX('TH CANAM'!$A$9:$BF$63,MATCH(PDNam!$F361,'TH CANAM'!$A$9:$A$63,0),49)="Tb","Trung bình",INDEX('TH CANAM'!$A$9:$BF$63,MATCH(PDNam!$F361,'TH CANAM'!$A$9:$A$63,0),49))</f>
        <v>Giỏi</v>
      </c>
      <c r="D343" s="74" t="str">
        <f>IF(INDEX('TH CANAM'!$A$9:$BF$63,MATCH(PDNam!$F361,'TH CANAM'!$A$9:$A$63,0),50)="Tb","Trung bình",INDEX('TH CANAM'!$A$9:$BF$63,MATCH(PDNam!$F361,'TH CANAM'!$A$9:$A$63,0),50))</f>
        <v/>
      </c>
      <c r="E343" s="74" t="str">
        <f>IF(INDEX('TH CANAM'!$A$9:$BF$63,MATCH(PDNam!$F361,'TH CANAM'!$A$9:$A$63,0),51)="Tb","Trung bình",INDEX('TH CANAM'!$A$9:$BF$63,MATCH(PDNam!$F361,'TH CANAM'!$A$9:$A$63,0),51))</f>
        <v/>
      </c>
      <c r="F343" s="73"/>
    </row>
    <row r="344" spans="1:10" ht="21" customHeight="1">
      <c r="A344" s="72" t="s">
        <v>210</v>
      </c>
      <c r="B344" s="72" t="s">
        <v>207</v>
      </c>
      <c r="C344" s="74" t="str">
        <f>INDEX('TH CANAM'!$A$9:$BF$63,MATCH(PDNam!$F361,'TH CANAM'!$A$9:$A$63,0),52)</f>
        <v>Tốt</v>
      </c>
      <c r="D344" s="74" t="str">
        <f>INDEX('TH CANAM'!$A$9:$BF$63,MATCH(PDNam!$F361,'TH CANAM'!$A$9:$A$63,0),53)</f>
        <v/>
      </c>
      <c r="E344" s="74" t="str">
        <f>INDEX('TH CANAM'!$A$9:$BF$63,MATCH(PDNam!$F361,'TH CANAM'!$A$9:$A$63,0),54)</f>
        <v/>
      </c>
      <c r="F344" s="73"/>
    </row>
    <row r="345" spans="1:10" ht="21" customHeight="1">
      <c r="A345" s="72" t="s">
        <v>211</v>
      </c>
      <c r="B345" s="72" t="s">
        <v>25</v>
      </c>
      <c r="C345" s="74" t="str">
        <f>IF(INDEX('TH CANAM'!$A$9:$BF$63,MATCH(PDNam!$F361,'TH CANAM'!$A$9:$A$63,0),57)&lt;&gt;"",INDEX('TH CANAM'!$A$9:$BF$63,MATCH(PDNam!$F361,'TH CANAM'!$A$9:$A$63,0),57),"/")</f>
        <v>HSG</v>
      </c>
      <c r="D345" s="74" t="str">
        <f>IF(INDEX('TH CANAM'!$A$9:$BF$63,MATCH(PDNam!$F361,'TH CANAM'!$A$9:$A$63,0),58)&lt;&gt;"",INDEX('TH CANAM'!$A$9:$BF$63,MATCH(PDNam!$F361,'TH CANAM'!$A$9:$A$63,0),58),"/")</f>
        <v>/</v>
      </c>
      <c r="E345" s="74" t="str">
        <f>IF(INDEX('TH CANAM'!$A$9:$BF$63,MATCH(PDNam!$F361,'TH CANAM'!$A$9:$A$63,0),55)&lt;&gt;"",INDEX('TH CANAM'!$A$9:$BF$63,MATCH(PDNam!$F361,'TH CANAM'!$A$9:$A$63,0),55),"/")</f>
        <v>/</v>
      </c>
      <c r="F345" s="73"/>
    </row>
    <row r="346" spans="1:10" s="60" customFormat="1" ht="9" customHeight="1">
      <c r="A346" s="67"/>
      <c r="B346" s="67"/>
      <c r="C346" s="1132"/>
      <c r="D346" s="1132"/>
      <c r="E346" s="67"/>
      <c r="F346" s="67"/>
    </row>
    <row r="347" spans="1:10" s="60" customFormat="1" ht="18.75" customHeight="1">
      <c r="A347" s="58" t="s">
        <v>219</v>
      </c>
      <c r="B347" s="57"/>
      <c r="C347" s="57"/>
      <c r="D347" s="57"/>
      <c r="E347" s="57"/>
      <c r="F347" s="475"/>
    </row>
    <row r="348" spans="1:10" s="60" customFormat="1" ht="18.75" customHeight="1">
      <c r="A348" s="59" t="str">
        <f>IF(F361&lt;&gt;"",IF(INDEX(BDHK2,MATCH(F361,DiemHKII!$B$4:$B$58,0),137)&lt;&gt;""," - "&amp;INDEX(BDHK2,MATCH(F361,DiemHKII!$B$4:$B$58,0),137),""),"")</f>
        <v/>
      </c>
      <c r="B348" s="57"/>
      <c r="C348" s="57"/>
      <c r="D348" s="57"/>
      <c r="E348" s="57"/>
      <c r="F348" s="475"/>
    </row>
    <row r="349" spans="1:10" s="60" customFormat="1" ht="18.75" customHeight="1">
      <c r="A349" s="59" t="str">
        <f>IF(F361&lt;&gt;"",IF(INDEX(BDHK2,MATCH(F361,DiemHKII!$B$4:$B$58,0),138)&lt;&gt;""," - "&amp;INDEX(BDHK2,MATCH(F361,DiemHKII!$B$4:$B$58,0),138),""),"")</f>
        <v/>
      </c>
      <c r="B349" s="57"/>
      <c r="C349" s="57"/>
      <c r="D349" s="57"/>
      <c r="E349" s="57"/>
      <c r="F349" s="475"/>
    </row>
    <row r="350" spans="1:10" s="60" customFormat="1" ht="18.75" customHeight="1">
      <c r="A350" s="59" t="str">
        <f>IF(F361&lt;&gt;"",IF(INDEX(BDHK2,MATCH(F361,DiemHKII!$B$4:$B$58,0),139)&lt;&gt;""," - "&amp;INDEX(BDHK2,MATCH(F361,DiemHKII!$B$4:$B$58,0),139),""),"")</f>
        <v/>
      </c>
      <c r="B350" s="57"/>
      <c r="C350" s="57"/>
      <c r="D350" s="57"/>
      <c r="E350" s="57"/>
      <c r="F350" s="475"/>
    </row>
    <row r="351" spans="1:10" s="60" customFormat="1" ht="18.75" customHeight="1">
      <c r="A351" s="59" t="str">
        <f>IF(F361&lt;&gt;"",IF(INDEX(BDHK2,MATCH(F361,DiemHKII!$B$4:$B$58,0),140)&lt;&gt;""," - "&amp;INDEX(BDHK2,MATCH(F361,DiemHKII!$B$4:$B$58,0),140),""),"")</f>
        <v/>
      </c>
      <c r="B351" s="57"/>
      <c r="C351" s="57"/>
      <c r="D351" s="57"/>
      <c r="E351" s="57"/>
      <c r="F351" s="67"/>
    </row>
    <row r="352" spans="1:10" ht="6" customHeight="1">
      <c r="A352" s="68"/>
      <c r="B352" s="68"/>
      <c r="C352" s="68"/>
      <c r="D352" s="68"/>
      <c r="E352" s="68"/>
      <c r="F352" s="68"/>
    </row>
    <row r="353" spans="1:10">
      <c r="A353" s="68"/>
      <c r="B353" s="68"/>
      <c r="C35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353" s="1060"/>
      <c r="E353" s="1060"/>
      <c r="F353" s="1060"/>
    </row>
    <row r="354" spans="1:10" ht="20.25" customHeight="1">
      <c r="A354" s="1012" t="str">
        <f>IF($D$39="Hiệu trưởng","Giáo viên Quản nhiệm","")</f>
        <v>Giáo viên Quản nhiệm</v>
      </c>
      <c r="B354" s="1012"/>
      <c r="C354" s="61"/>
      <c r="D354" s="1012" t="str">
        <f>IF($H$7="","",$H$7)</f>
        <v>Hiệu trưởng</v>
      </c>
      <c r="E354" s="1012"/>
      <c r="F354" s="61"/>
    </row>
    <row r="355" spans="1:10">
      <c r="A355" s="68"/>
      <c r="B355" s="68"/>
      <c r="C355" s="68"/>
      <c r="D355" s="68"/>
      <c r="E355" s="68"/>
      <c r="F355" s="68"/>
    </row>
    <row r="356" spans="1:10">
      <c r="A356" s="68"/>
      <c r="B356" s="68"/>
      <c r="C356" s="68"/>
      <c r="D356" s="68"/>
      <c r="E356" s="68"/>
      <c r="F356" s="68"/>
    </row>
    <row r="357" spans="1:10" ht="16.8">
      <c r="A357" s="68"/>
      <c r="B357" s="68"/>
      <c r="C357" s="64"/>
      <c r="D357" s="64"/>
      <c r="E357" s="64"/>
      <c r="F357" s="64"/>
      <c r="G357" s="65"/>
      <c r="H357" s="65"/>
      <c r="I357" s="65"/>
      <c r="J357" s="65"/>
    </row>
    <row r="359" spans="1:10">
      <c r="A359" s="1012" t="str">
        <f>IF($A$39="","",PROPER('Huong dan'!$C$4))</f>
        <v/>
      </c>
      <c r="B359" s="1012"/>
      <c r="D359" s="1130" t="str">
        <f>IFERROR(IF($D$39="Giáo Viên Quản nhiệm",PROPER('Huong dan'!$C$4),IF($D$39="Hiệu trưởng",PROPER('Huong dan'!$E$5),"")),"")</f>
        <v/>
      </c>
      <c r="E359" s="1130"/>
    </row>
    <row r="360" spans="1:10" ht="7.5" customHeight="1"/>
    <row r="361" spans="1:10" ht="11.25" customHeight="1">
      <c r="A361" s="75"/>
      <c r="B361" s="75"/>
      <c r="C361" s="75"/>
      <c r="D361" s="75"/>
      <c r="E361" s="75"/>
      <c r="F361" s="76">
        <f>IF(F316="","",IF(F316&lt;MAX(DiemHKII!$B$4:$B$58),F316+1,""))</f>
        <v>8</v>
      </c>
    </row>
    <row r="362" spans="1:10" s="60" customFormat="1" ht="22.5" customHeight="1">
      <c r="A362" s="1128" t="str">
        <f>IF('Huong dan'!$E$3&lt;&gt;"","SỞ GIÁO DỤC VÀ ĐÀO TẠO "&amp;UPPER('Huong dan'!$E$3),"")</f>
        <v>SỞ GIÁO DỤC VÀ ĐÀO TẠO TP. HỒ CHÍ MINH</v>
      </c>
      <c r="B362" s="1128"/>
      <c r="C362" s="1128"/>
      <c r="D362" s="1129" t="s">
        <v>19</v>
      </c>
      <c r="E362" s="1129"/>
      <c r="F362" s="1129"/>
    </row>
    <row r="363" spans="1:10" ht="17.25" customHeight="1">
      <c r="A363" s="992" t="str">
        <f>IF('Huong dan'!$E$4&lt;&gt;"","TRƯỜNG "&amp;UPPER('Huong dan'!$E$4),"")</f>
        <v>TRƯỜNG THCS VÀ THPT NGUYỄN KHUYẾN</v>
      </c>
      <c r="B363" s="992"/>
      <c r="C363" s="992"/>
      <c r="D363" s="1130" t="s">
        <v>179</v>
      </c>
      <c r="E363" s="1130"/>
      <c r="F363" s="1130"/>
    </row>
    <row r="364" spans="1:10" ht="12" customHeight="1">
      <c r="A364" s="69"/>
      <c r="B364" s="69"/>
      <c r="C364" s="30"/>
      <c r="D364" s="30"/>
      <c r="E364" s="30"/>
      <c r="F364" s="30"/>
    </row>
    <row r="365" spans="1:10" ht="18" customHeight="1">
      <c r="A365" s="69"/>
      <c r="B365" s="69"/>
      <c r="C365" s="30"/>
      <c r="D365" s="30"/>
      <c r="E365" s="30"/>
      <c r="F365" s="30"/>
    </row>
    <row r="366" spans="1:10" ht="29.25" customHeight="1">
      <c r="A366" s="1013" t="str">
        <f>"PHIẾU ĐIỂM NĂM HỌC "&amp;'Huong dan'!$C$5</f>
        <v>PHIẾU ĐIỂM NĂM HỌC 2021 - 2022</v>
      </c>
      <c r="B366" s="1013"/>
      <c r="C366" s="1013"/>
      <c r="D366" s="1013"/>
      <c r="E366" s="1013"/>
      <c r="F366" s="1013"/>
    </row>
    <row r="367" spans="1:10" ht="12.75" customHeight="1">
      <c r="A367" s="70"/>
      <c r="B367" s="66"/>
      <c r="C367" s="66"/>
      <c r="D367" s="66"/>
      <c r="E367" s="66"/>
      <c r="F367" s="66"/>
    </row>
    <row r="368" spans="1:10" ht="20.25" customHeight="1">
      <c r="A368" s="1131" t="s">
        <v>212</v>
      </c>
      <c r="B368" s="1131"/>
      <c r="C368" s="77" t="str">
        <f>IF(F406="","",INDEX(DiemHKII!$E$4:$E$58,MATCH(F406,DiemHKII!$B$4:$B$58,0),1)&amp;" "&amp;INDEX(DiemHKII!$F$4:$F$58,MATCH(F406,DiemHKII!$B$4:$B$58,0),1))</f>
        <v>Nguyễn Thanh Duyên</v>
      </c>
      <c r="D368" s="77"/>
      <c r="E368" s="77"/>
      <c r="F368" s="71" t="str">
        <f>IF('Huong dan'!$C$3="","","Lớp: "&amp;'Huong dan'!$C$3)</f>
        <v>Lớp: 12A1</v>
      </c>
    </row>
    <row r="369" spans="1:10" ht="24" customHeight="1">
      <c r="A369" s="1131" t="s">
        <v>213</v>
      </c>
      <c r="B369" s="1131"/>
      <c r="C369" s="77" t="str">
        <f>IF(F406="","",INDEX(DiemHKII!$G$4:$G$58,MATCH(F406,DiemHKII!$B$4:$B$58,0),1))</f>
        <v>16/11/2004</v>
      </c>
      <c r="D369" s="77"/>
      <c r="E369" s="1133" t="str">
        <f>IF(F406="","","Nơi sinh: "&amp;INDEX(DiemHKII!$H$4:$H$58,MATCH(F406,DiemHKII!$B$4:$B$58,0),1))</f>
        <v xml:space="preserve">Nơi sinh: </v>
      </c>
      <c r="F369" s="1133"/>
    </row>
    <row r="370" spans="1:10" ht="15" customHeight="1">
      <c r="A370" s="62"/>
      <c r="B370" s="62"/>
      <c r="C370" s="62"/>
      <c r="D370" s="62"/>
      <c r="E370" s="62"/>
      <c r="F370" s="63"/>
    </row>
    <row r="371" spans="1:10" ht="21" customHeight="1">
      <c r="A371" s="1134" t="s">
        <v>0</v>
      </c>
      <c r="B371" s="1134" t="s">
        <v>72</v>
      </c>
      <c r="C371" s="1134" t="s">
        <v>216</v>
      </c>
      <c r="D371" s="1134"/>
      <c r="E371" s="1134"/>
      <c r="F371" s="1134" t="s">
        <v>148</v>
      </c>
    </row>
    <row r="372" spans="1:10" ht="21" customHeight="1">
      <c r="A372" s="1134"/>
      <c r="B372" s="1134"/>
      <c r="C372" s="476" t="s">
        <v>188</v>
      </c>
      <c r="D372" s="476" t="s">
        <v>189</v>
      </c>
      <c r="E372" s="476" t="s">
        <v>190</v>
      </c>
      <c r="F372" s="1134"/>
    </row>
    <row r="373" spans="1:10" ht="21" customHeight="1">
      <c r="A373" s="72" t="s">
        <v>191</v>
      </c>
      <c r="B373" s="73" t="s">
        <v>26</v>
      </c>
      <c r="C373" s="74" t="str">
        <f>INDEX('TH CANAM'!$A$9:$BF$63,MATCH(PDNam!$F406,'TH CANAM'!$A$9:$A$63,0),INDEX($J$13:$M$30,MATCH($B373,$J$13:$J$30,0),K$12))</f>
        <v/>
      </c>
      <c r="D373" s="74" t="str">
        <f>INDEX('TH CANAM'!$A$9:$BF$63,MATCH(PDNam!$F406,'TH CANAM'!$A$9:$A$63,0),INDEX($J$13:$M$30,MATCH($B373,$J$13:$J$30,0),L$12))</f>
        <v/>
      </c>
      <c r="E373" s="74" t="str">
        <f>INDEX('TH CANAM'!$A$9:$BF$63,MATCH(PDNam!$F406,'TH CANAM'!$A$9:$A$63,0),INDEX($J$13:$M$30,MATCH($B373,$J$13:$J$30,0),M$12))</f>
        <v/>
      </c>
      <c r="F373" s="73"/>
      <c r="I373" s="64"/>
      <c r="J373" s="64"/>
    </row>
    <row r="374" spans="1:10" ht="21" customHeight="1">
      <c r="A374" s="72" t="s">
        <v>192</v>
      </c>
      <c r="B374" s="73" t="s">
        <v>27</v>
      </c>
      <c r="C374" s="74" t="str">
        <f>INDEX('TH CANAM'!$A$9:$BF$63,MATCH(PDNam!$F406,'TH CANAM'!$A$9:$A$63,0),INDEX($J$13:$M$30,MATCH($B374,$J$13:$J$30,0),K$12))</f>
        <v/>
      </c>
      <c r="D374" s="74" t="str">
        <f>INDEX('TH CANAM'!$A$9:$BF$63,MATCH(PDNam!$F406,'TH CANAM'!$A$9:$A$63,0),INDEX($J$13:$M$30,MATCH($B374,$J$13:$J$30,0),L$12))</f>
        <v/>
      </c>
      <c r="E374" s="74" t="str">
        <f>INDEX('TH CANAM'!$A$9:$BF$63,MATCH(PDNam!$F406,'TH CANAM'!$A$9:$A$63,0),INDEX($J$13:$M$30,MATCH($B374,$J$13:$J$30,0),M$12))</f>
        <v/>
      </c>
      <c r="F374" s="73"/>
      <c r="I374" s="64"/>
      <c r="J374" s="64"/>
    </row>
    <row r="375" spans="1:10" ht="21" customHeight="1">
      <c r="A375" s="72" t="s">
        <v>193</v>
      </c>
      <c r="B375" s="73" t="s">
        <v>28</v>
      </c>
      <c r="C375" s="74" t="str">
        <f>INDEX('TH CANAM'!$A$9:$BF$63,MATCH(PDNam!$F406,'TH CANAM'!$A$9:$A$63,0),INDEX($J$13:$M$30,MATCH($B375,$J$13:$J$30,0),K$12))</f>
        <v/>
      </c>
      <c r="D375" s="74" t="str">
        <f>INDEX('TH CANAM'!$A$9:$BF$63,MATCH(PDNam!$F406,'TH CANAM'!$A$9:$A$63,0),INDEX($J$13:$M$30,MATCH($B375,$J$13:$J$30,0),L$12))</f>
        <v/>
      </c>
      <c r="E375" s="74" t="str">
        <f>INDEX('TH CANAM'!$A$9:$BF$63,MATCH(PDNam!$F406,'TH CANAM'!$A$9:$A$63,0),INDEX($J$13:$M$30,MATCH($B375,$J$13:$J$30,0),M$12))</f>
        <v/>
      </c>
      <c r="F375" s="73"/>
      <c r="I375" s="64"/>
      <c r="J375" s="64"/>
    </row>
    <row r="376" spans="1:10" ht="21" customHeight="1">
      <c r="A376" s="72" t="s">
        <v>194</v>
      </c>
      <c r="B376" s="73" t="s">
        <v>29</v>
      </c>
      <c r="C376" s="74" t="str">
        <f>INDEX('TH CANAM'!$A$9:$BF$63,MATCH(PDNam!$F406,'TH CANAM'!$A$9:$A$63,0),INDEX($J$13:$M$30,MATCH($B376,$J$13:$J$30,0),K$12))</f>
        <v/>
      </c>
      <c r="D376" s="74" t="str">
        <f>INDEX('TH CANAM'!$A$9:$BF$63,MATCH(PDNam!$F406,'TH CANAM'!$A$9:$A$63,0),INDEX($J$13:$M$30,MATCH($B376,$J$13:$J$30,0),L$12))</f>
        <v/>
      </c>
      <c r="E376" s="74" t="str">
        <f>INDEX('TH CANAM'!$A$9:$BF$63,MATCH(PDNam!$F406,'TH CANAM'!$A$9:$A$63,0),INDEX($J$13:$M$30,MATCH($B376,$J$13:$J$30,0),M$12))</f>
        <v/>
      </c>
      <c r="F376" s="73"/>
      <c r="I376" s="64"/>
      <c r="J376" s="64"/>
    </row>
    <row r="377" spans="1:10" ht="21" customHeight="1">
      <c r="A377" s="72" t="s">
        <v>195</v>
      </c>
      <c r="B377" s="73" t="s">
        <v>120</v>
      </c>
      <c r="C377" s="74" t="str">
        <f>INDEX('TH CANAM'!$A$9:$BF$63,MATCH(PDNam!$F406,'TH CANAM'!$A$9:$A$63,0),INDEX($J$13:$M$30,MATCH($B377,$J$13:$J$30,0),K$12))</f>
        <v/>
      </c>
      <c r="D377" s="74" t="str">
        <f>INDEX('TH CANAM'!$A$9:$BF$63,MATCH(PDNam!$F406,'TH CANAM'!$A$9:$A$63,0),INDEX($J$13:$M$30,MATCH($B377,$J$13:$J$30,0),L$12))</f>
        <v/>
      </c>
      <c r="E377" s="74" t="str">
        <f>INDEX('TH CANAM'!$A$9:$BF$63,MATCH(PDNam!$F406,'TH CANAM'!$A$9:$A$63,0),INDEX($J$13:$M$30,MATCH($B377,$J$13:$J$30,0),M$12))</f>
        <v/>
      </c>
      <c r="F377" s="73"/>
      <c r="I377" s="64"/>
      <c r="J377" s="64"/>
    </row>
    <row r="378" spans="1:10" ht="21" customHeight="1">
      <c r="A378" s="72" t="s">
        <v>196</v>
      </c>
      <c r="B378" s="73" t="s">
        <v>30</v>
      </c>
      <c r="C378" s="74" t="str">
        <f>INDEX('TH CANAM'!$A$9:$BF$63,MATCH(PDNam!$F406,'TH CANAM'!$A$9:$A$63,0),INDEX($J$13:$M$30,MATCH($B378,$J$13:$J$30,0),K$12))</f>
        <v/>
      </c>
      <c r="D378" s="74" t="str">
        <f>INDEX('TH CANAM'!$A$9:$BF$63,MATCH(PDNam!$F406,'TH CANAM'!$A$9:$A$63,0),INDEX($J$13:$M$30,MATCH($B378,$J$13:$J$30,0),L$12))</f>
        <v/>
      </c>
      <c r="E378" s="74" t="str">
        <f>INDEX('TH CANAM'!$A$9:$BF$63,MATCH(PDNam!$F406,'TH CANAM'!$A$9:$A$63,0),INDEX($J$13:$M$30,MATCH($B378,$J$13:$J$30,0),M$12))</f>
        <v/>
      </c>
      <c r="F378" s="73"/>
      <c r="I378" s="64"/>
      <c r="J378" s="64"/>
    </row>
    <row r="379" spans="1:10" ht="21" customHeight="1">
      <c r="A379" s="72" t="s">
        <v>197</v>
      </c>
      <c r="B379" s="73" t="s">
        <v>31</v>
      </c>
      <c r="C379" s="74" t="str">
        <f>INDEX('TH CANAM'!$A$9:$BF$63,MATCH(PDNam!$F406,'TH CANAM'!$A$9:$A$63,0),INDEX($J$13:$M$30,MATCH($B379,$J$13:$J$30,0),K$12))</f>
        <v/>
      </c>
      <c r="D379" s="74" t="str">
        <f>INDEX('TH CANAM'!$A$9:$BF$63,MATCH(PDNam!$F406,'TH CANAM'!$A$9:$A$63,0),INDEX($J$13:$M$30,MATCH($B379,$J$13:$J$30,0),L$12))</f>
        <v/>
      </c>
      <c r="E379" s="74" t="str">
        <f>INDEX('TH CANAM'!$A$9:$BF$63,MATCH(PDNam!$F406,'TH CANAM'!$A$9:$A$63,0),INDEX($J$13:$M$30,MATCH($B379,$J$13:$J$30,0),M$12))</f>
        <v/>
      </c>
      <c r="F379" s="73"/>
      <c r="I379" s="64"/>
      <c r="J379" s="64"/>
    </row>
    <row r="380" spans="1:10" ht="21" customHeight="1">
      <c r="A380" s="72" t="s">
        <v>198</v>
      </c>
      <c r="B380" s="73" t="s">
        <v>32</v>
      </c>
      <c r="C380" s="74" t="str">
        <f>INDEX('TH CANAM'!$A$9:$BF$63,MATCH(PDNam!$F406,'TH CANAM'!$A$9:$A$63,0),INDEX($J$13:$M$30,MATCH($B380,$J$13:$J$30,0),K$12))</f>
        <v/>
      </c>
      <c r="D380" s="74" t="str">
        <f>INDEX('TH CANAM'!$A$9:$BF$63,MATCH(PDNam!$F406,'TH CANAM'!$A$9:$A$63,0),INDEX($J$13:$M$30,MATCH($B380,$J$13:$J$30,0),L$12))</f>
        <v/>
      </c>
      <c r="E380" s="74" t="str">
        <f>INDEX('TH CANAM'!$A$9:$BF$63,MATCH(PDNam!$F406,'TH CANAM'!$A$9:$A$63,0),INDEX($J$13:$M$30,MATCH($B380,$J$13:$J$30,0),M$12))</f>
        <v/>
      </c>
      <c r="F380" s="73"/>
      <c r="I380" s="64"/>
      <c r="J380" s="64"/>
    </row>
    <row r="381" spans="1:10" ht="21" customHeight="1">
      <c r="A381" s="72" t="s">
        <v>199</v>
      </c>
      <c r="B381" s="73" t="s">
        <v>33</v>
      </c>
      <c r="C381" s="74" t="str">
        <f>INDEX('TH CANAM'!$A$9:$BF$63,MATCH(PDNam!$F406,'TH CANAM'!$A$9:$A$63,0),INDEX($J$13:$M$30,MATCH($B381,$J$13:$J$30,0),K$12))</f>
        <v/>
      </c>
      <c r="D381" s="74" t="str">
        <f>INDEX('TH CANAM'!$A$9:$BF$63,MATCH(PDNam!$F406,'TH CANAM'!$A$9:$A$63,0),INDEX($J$13:$M$30,MATCH($B381,$J$13:$J$30,0),L$12))</f>
        <v/>
      </c>
      <c r="E381" s="74" t="str">
        <f>INDEX('TH CANAM'!$A$9:$BF$63,MATCH(PDNam!$F406,'TH CANAM'!$A$9:$A$63,0),INDEX($J$13:$M$30,MATCH($B381,$J$13:$J$30,0),M$12))</f>
        <v/>
      </c>
      <c r="F381" s="73"/>
      <c r="I381" s="64"/>
      <c r="J381" s="64"/>
    </row>
    <row r="382" spans="1:10" ht="21" customHeight="1">
      <c r="A382" s="72" t="s">
        <v>200</v>
      </c>
      <c r="B382" s="73" t="s">
        <v>60</v>
      </c>
      <c r="C382" s="74" t="str">
        <f>INDEX('TH CANAM'!$A$9:$BF$63,MATCH(PDNam!$F406,'TH CANAM'!$A$9:$A$63,0),INDEX($J$13:$M$30,MATCH($B382,$J$13:$J$30,0),K$12))</f>
        <v/>
      </c>
      <c r="D382" s="74" t="str">
        <f>INDEX('TH CANAM'!$A$9:$BF$63,MATCH(PDNam!$F406,'TH CANAM'!$A$9:$A$63,0),INDEX($J$13:$M$30,MATCH($B382,$J$13:$J$30,0),L$12))</f>
        <v/>
      </c>
      <c r="E382" s="74" t="str">
        <f>INDEX('TH CANAM'!$A$9:$BF$63,MATCH(PDNam!$F406,'TH CANAM'!$A$9:$A$63,0),INDEX($J$13:$M$30,MATCH($B382,$J$13:$J$30,0),M$12))</f>
        <v/>
      </c>
      <c r="F382" s="73"/>
      <c r="I382" s="64"/>
      <c r="J382" s="64"/>
    </row>
    <row r="383" spans="1:10" ht="21" customHeight="1">
      <c r="A383" s="72" t="s">
        <v>201</v>
      </c>
      <c r="B383" s="73" t="s">
        <v>34</v>
      </c>
      <c r="C383" s="74" t="str">
        <f>INDEX('TH CANAM'!$A$9:$BF$63,MATCH(PDNam!$F406,'TH CANAM'!$A$9:$A$63,0),INDEX($J$13:$M$30,MATCH($B383,$J$13:$J$30,0),K$12))</f>
        <v/>
      </c>
      <c r="D383" s="74" t="str">
        <f>INDEX('TH CANAM'!$A$9:$BF$63,MATCH(PDNam!$F406,'TH CANAM'!$A$9:$A$63,0),INDEX($J$13:$M$30,MATCH($B383,$J$13:$J$30,0),L$12))</f>
        <v/>
      </c>
      <c r="E383" s="74" t="str">
        <f>INDEX('TH CANAM'!$A$9:$BF$63,MATCH(PDNam!$F406,'TH CANAM'!$A$9:$A$63,0),INDEX($J$13:$M$30,MATCH($B383,$J$13:$J$30,0),M$12))</f>
        <v/>
      </c>
      <c r="F383" s="73"/>
      <c r="I383" s="64"/>
      <c r="J383" s="64"/>
    </row>
    <row r="384" spans="1:10" ht="21" customHeight="1">
      <c r="A384" s="72" t="s">
        <v>202</v>
      </c>
      <c r="B384" s="73" t="s">
        <v>35</v>
      </c>
      <c r="C384" s="74" t="str">
        <f>INDEX('TH CANAM'!$A$9:$BF$63,MATCH(PDNam!$F406,'TH CANAM'!$A$9:$A$63,0),INDEX($J$13:$M$30,MATCH($B384,$J$13:$J$30,0),K$12))</f>
        <v/>
      </c>
      <c r="D384" s="74" t="str">
        <f>INDEX('TH CANAM'!$A$9:$BF$63,MATCH(PDNam!$F406,'TH CANAM'!$A$9:$A$63,0),INDEX($J$13:$M$30,MATCH($B384,$J$13:$J$30,0),L$12))</f>
        <v/>
      </c>
      <c r="E384" s="74" t="str">
        <f>INDEX('TH CANAM'!$A$9:$BF$63,MATCH(PDNam!$F406,'TH CANAM'!$A$9:$A$63,0),INDEX($J$13:$M$30,MATCH($B384,$J$13:$J$30,0),M$12))</f>
        <v/>
      </c>
      <c r="F384" s="73"/>
      <c r="I384" s="64"/>
      <c r="J384" s="64"/>
    </row>
    <row r="385" spans="1:10" ht="21" customHeight="1">
      <c r="A385" s="72" t="s">
        <v>203</v>
      </c>
      <c r="B385" s="73" t="s">
        <v>121</v>
      </c>
      <c r="C385" s="74" t="str">
        <f>INDEX('TH CANAM'!$A$9:$BF$63,MATCH(PDNam!$F406,'TH CANAM'!$A$9:$A$63,0),INDEX($J$13:$M$30,MATCH($B385,$J$13:$J$30,0),K$12))</f>
        <v/>
      </c>
      <c r="D385" s="74" t="str">
        <f>INDEX('TH CANAM'!$A$9:$BF$63,MATCH(PDNam!$F406,'TH CANAM'!$A$9:$A$63,0),INDEX($J$13:$M$30,MATCH($B385,$J$13:$J$30,0),L$12))</f>
        <v/>
      </c>
      <c r="E385" s="74" t="str">
        <f>INDEX('TH CANAM'!$A$9:$BF$63,MATCH(PDNam!$F406,'TH CANAM'!$A$9:$A$63,0),INDEX($J$13:$M$30,MATCH($B385,$J$13:$J$30,0),M$12))</f>
        <v/>
      </c>
      <c r="F385" s="73"/>
      <c r="I385" s="64"/>
      <c r="J385" s="64"/>
    </row>
    <row r="386" spans="1:10" ht="21" customHeight="1">
      <c r="A386" s="72" t="s">
        <v>204</v>
      </c>
      <c r="B386" s="73" t="s">
        <v>122</v>
      </c>
      <c r="C386" s="74" t="str">
        <f>INDEX('TH CANAM'!$A$9:$BF$63,MATCH(PDNam!$F406,'TH CANAM'!$A$9:$A$63,0),INDEX($J$13:$M$30,MATCH($B386,$J$13:$J$30,0),K$12))</f>
        <v/>
      </c>
      <c r="D386" s="74" t="str">
        <f>INDEX('TH CANAM'!$A$9:$BF$63,MATCH(PDNam!$F406,'TH CANAM'!$A$9:$A$63,0),INDEX($J$13:$M$30,MATCH($B386,$J$13:$J$30,0),L$12))</f>
        <v/>
      </c>
      <c r="E386" s="74" t="str">
        <f>INDEX('TH CANAM'!$A$9:$BF$63,MATCH(PDNam!$F406,'TH CANAM'!$A$9:$A$63,0),INDEX($J$13:$M$30,MATCH($B386,$J$13:$J$30,0),M$12))</f>
        <v/>
      </c>
      <c r="F386" s="73"/>
      <c r="I386" s="64"/>
      <c r="J386" s="64"/>
    </row>
    <row r="387" spans="1:10" ht="21" customHeight="1">
      <c r="A387" s="72" t="s">
        <v>208</v>
      </c>
      <c r="B387" s="73" t="s">
        <v>205</v>
      </c>
      <c r="C387" s="78">
        <f>INDEX('TH CANAM'!$A$9:$BF$63,MATCH(PDNam!$F406,'TH CANAM'!$A$9:$A$63,0),46)</f>
        <v>9.5</v>
      </c>
      <c r="D387" s="78" t="str">
        <f>INDEX('TH CANAM'!$A$9:$BF$63,MATCH(PDNam!$F406,'TH CANAM'!$A$9:$A$63,0),47)</f>
        <v/>
      </c>
      <c r="E387" s="78" t="str">
        <f>INDEX('TH CANAM'!$A$9:$BF$63,MATCH(PDNam!$F406,'TH CANAM'!$A$9:$A$63,0),48)</f>
        <v/>
      </c>
      <c r="F387" s="73"/>
      <c r="I387" s="64"/>
      <c r="J387" s="64"/>
    </row>
    <row r="388" spans="1:10" ht="21" customHeight="1">
      <c r="A388" s="72" t="s">
        <v>209</v>
      </c>
      <c r="B388" s="72" t="s">
        <v>206</v>
      </c>
      <c r="C388" s="74" t="str">
        <f>IF(INDEX('TH CANAM'!$A$9:$BF$63,MATCH(PDNam!$F406,'TH CANAM'!$A$9:$A$63,0),49)="Tb","Trung bình",INDEX('TH CANAM'!$A$9:$BF$63,MATCH(PDNam!$F406,'TH CANAM'!$A$9:$A$63,0),49))</f>
        <v>Giỏi</v>
      </c>
      <c r="D388" s="74" t="str">
        <f>IF(INDEX('TH CANAM'!$A$9:$BF$63,MATCH(PDNam!$F406,'TH CANAM'!$A$9:$A$63,0),50)="Tb","Trung bình",INDEX('TH CANAM'!$A$9:$BF$63,MATCH(PDNam!$F406,'TH CANAM'!$A$9:$A$63,0),50))</f>
        <v/>
      </c>
      <c r="E388" s="74" t="str">
        <f>IF(INDEX('TH CANAM'!$A$9:$BF$63,MATCH(PDNam!$F406,'TH CANAM'!$A$9:$A$63,0),51)="Tb","Trung bình",INDEX('TH CANAM'!$A$9:$BF$63,MATCH(PDNam!$F406,'TH CANAM'!$A$9:$A$63,0),51))</f>
        <v/>
      </c>
      <c r="F388" s="73"/>
    </row>
    <row r="389" spans="1:10" ht="21" customHeight="1">
      <c r="A389" s="72" t="s">
        <v>210</v>
      </c>
      <c r="B389" s="72" t="s">
        <v>207</v>
      </c>
      <c r="C389" s="74" t="str">
        <f>INDEX('TH CANAM'!$A$9:$BF$63,MATCH(PDNam!$F406,'TH CANAM'!$A$9:$A$63,0),52)</f>
        <v>Tốt</v>
      </c>
      <c r="D389" s="74" t="str">
        <f>INDEX('TH CANAM'!$A$9:$BF$63,MATCH(PDNam!$F406,'TH CANAM'!$A$9:$A$63,0),53)</f>
        <v/>
      </c>
      <c r="E389" s="74" t="str">
        <f>INDEX('TH CANAM'!$A$9:$BF$63,MATCH(PDNam!$F406,'TH CANAM'!$A$9:$A$63,0),54)</f>
        <v/>
      </c>
      <c r="F389" s="73"/>
    </row>
    <row r="390" spans="1:10" ht="21" customHeight="1">
      <c r="A390" s="72" t="s">
        <v>211</v>
      </c>
      <c r="B390" s="72" t="s">
        <v>25</v>
      </c>
      <c r="C390" s="74" t="str">
        <f>IF(INDEX('TH CANAM'!$A$9:$BF$63,MATCH(PDNam!$F406,'TH CANAM'!$A$9:$A$63,0),57)&lt;&gt;"",INDEX('TH CANAM'!$A$9:$BF$63,MATCH(PDNam!$F406,'TH CANAM'!$A$9:$A$63,0),57),"/")</f>
        <v>HSG</v>
      </c>
      <c r="D390" s="74" t="str">
        <f>IF(INDEX('TH CANAM'!$A$9:$BF$63,MATCH(PDNam!$F406,'TH CANAM'!$A$9:$A$63,0),58)&lt;&gt;"",INDEX('TH CANAM'!$A$9:$BF$63,MATCH(PDNam!$F406,'TH CANAM'!$A$9:$A$63,0),58),"/")</f>
        <v>/</v>
      </c>
      <c r="E390" s="74" t="str">
        <f>IF(INDEX('TH CANAM'!$A$9:$BF$63,MATCH(PDNam!$F406,'TH CANAM'!$A$9:$A$63,0),55)&lt;&gt;"",INDEX('TH CANAM'!$A$9:$BF$63,MATCH(PDNam!$F406,'TH CANAM'!$A$9:$A$63,0),55),"/")</f>
        <v>/</v>
      </c>
      <c r="F390" s="73"/>
    </row>
    <row r="391" spans="1:10" s="60" customFormat="1" ht="9" customHeight="1">
      <c r="A391" s="67"/>
      <c r="B391" s="67"/>
      <c r="C391" s="1132"/>
      <c r="D391" s="1132"/>
      <c r="E391" s="67"/>
      <c r="F391" s="67"/>
    </row>
    <row r="392" spans="1:10" s="60" customFormat="1" ht="18.75" customHeight="1">
      <c r="A392" s="58" t="s">
        <v>219</v>
      </c>
      <c r="B392" s="57"/>
      <c r="C392" s="57"/>
      <c r="D392" s="57"/>
      <c r="E392" s="57"/>
      <c r="F392" s="475"/>
    </row>
    <row r="393" spans="1:10" s="60" customFormat="1" ht="18.75" customHeight="1">
      <c r="A393" s="59" t="str">
        <f>IF(F406&lt;&gt;"",IF(INDEX(BDHK2,MATCH(F406,DiemHKII!$B$4:$B$58,0),137)&lt;&gt;""," - "&amp;INDEX(BDHK2,MATCH(F406,DiemHKII!$B$4:$B$58,0),137),""),"")</f>
        <v/>
      </c>
      <c r="B393" s="57"/>
      <c r="C393" s="57"/>
      <c r="D393" s="57"/>
      <c r="E393" s="57"/>
      <c r="F393" s="475"/>
    </row>
    <row r="394" spans="1:10" s="60" customFormat="1" ht="18.75" customHeight="1">
      <c r="A394" s="59" t="str">
        <f>IF(F406&lt;&gt;"",IF(INDEX(BDHK2,MATCH(F406,DiemHKII!$B$4:$B$58,0),138)&lt;&gt;""," - "&amp;INDEX(BDHK2,MATCH(F406,DiemHKII!$B$4:$B$58,0),138),""),"")</f>
        <v/>
      </c>
      <c r="B394" s="57"/>
      <c r="C394" s="57"/>
      <c r="D394" s="57"/>
      <c r="E394" s="57"/>
      <c r="F394" s="475"/>
    </row>
    <row r="395" spans="1:10" s="60" customFormat="1" ht="18.75" customHeight="1">
      <c r="A395" s="59" t="str">
        <f>IF(F406&lt;&gt;"",IF(INDEX(BDHK2,MATCH(F406,DiemHKII!$B$4:$B$58,0),139)&lt;&gt;""," - "&amp;INDEX(BDHK2,MATCH(F406,DiemHKII!$B$4:$B$58,0),139),""),"")</f>
        <v/>
      </c>
      <c r="B395" s="57"/>
      <c r="C395" s="57"/>
      <c r="D395" s="57"/>
      <c r="E395" s="57"/>
      <c r="F395" s="475"/>
    </row>
    <row r="396" spans="1:10" s="60" customFormat="1" ht="18.75" customHeight="1">
      <c r="A396" s="59" t="str">
        <f>IF(F406&lt;&gt;"",IF(INDEX(BDHK2,MATCH(F406,DiemHKII!$B$4:$B$58,0),140)&lt;&gt;""," - "&amp;INDEX(BDHK2,MATCH(F406,DiemHKII!$B$4:$B$58,0),140),""),"")</f>
        <v/>
      </c>
      <c r="B396" s="57"/>
      <c r="C396" s="57"/>
      <c r="D396" s="57"/>
      <c r="E396" s="57"/>
      <c r="F396" s="67"/>
    </row>
    <row r="397" spans="1:10" ht="6" customHeight="1">
      <c r="A397" s="68"/>
      <c r="B397" s="68"/>
      <c r="C397" s="68"/>
      <c r="D397" s="68"/>
      <c r="E397" s="68"/>
      <c r="F397" s="68"/>
    </row>
    <row r="398" spans="1:10">
      <c r="A398" s="68"/>
      <c r="B398" s="68"/>
      <c r="C39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398" s="1060"/>
      <c r="E398" s="1060"/>
      <c r="F398" s="1060"/>
    </row>
    <row r="399" spans="1:10" ht="20.25" customHeight="1">
      <c r="A399" s="1012" t="str">
        <f>IF($D$39="Hiệu trưởng","Giáo viên Quản nhiệm","")</f>
        <v>Giáo viên Quản nhiệm</v>
      </c>
      <c r="B399" s="1012"/>
      <c r="C399" s="61"/>
      <c r="D399" s="1012" t="str">
        <f>IF($H$7="","",$H$7)</f>
        <v>Hiệu trưởng</v>
      </c>
      <c r="E399" s="1012"/>
      <c r="F399" s="61"/>
    </row>
    <row r="400" spans="1:10">
      <c r="A400" s="68"/>
      <c r="B400" s="68"/>
      <c r="C400" s="68"/>
      <c r="D400" s="68"/>
      <c r="E400" s="68"/>
      <c r="F400" s="68"/>
    </row>
    <row r="401" spans="1:10">
      <c r="A401" s="68"/>
      <c r="B401" s="68"/>
      <c r="C401" s="68"/>
      <c r="D401" s="68"/>
      <c r="E401" s="68"/>
      <c r="F401" s="68"/>
    </row>
    <row r="402" spans="1:10" ht="16.8">
      <c r="A402" s="68"/>
      <c r="B402" s="68"/>
      <c r="C402" s="64"/>
      <c r="D402" s="64"/>
      <c r="E402" s="64"/>
      <c r="F402" s="64"/>
      <c r="G402" s="65"/>
      <c r="H402" s="65"/>
      <c r="I402" s="65"/>
      <c r="J402" s="65"/>
    </row>
    <row r="404" spans="1:10">
      <c r="A404" s="1012" t="str">
        <f>IF($A$39="","",PROPER('Huong dan'!$C$4))</f>
        <v/>
      </c>
      <c r="B404" s="1012"/>
      <c r="D404" s="1130" t="str">
        <f>IFERROR(IF($D$39="Giáo Viên Quản nhiệm",PROPER('Huong dan'!$C$4),IF($D$39="Hiệu trưởng",PROPER('Huong dan'!$E$5),"")),"")</f>
        <v/>
      </c>
      <c r="E404" s="1130"/>
    </row>
    <row r="405" spans="1:10" ht="7.5" customHeight="1"/>
    <row r="406" spans="1:10" ht="11.25" customHeight="1">
      <c r="A406" s="75"/>
      <c r="B406" s="75"/>
      <c r="C406" s="75"/>
      <c r="D406" s="75"/>
      <c r="E406" s="75"/>
      <c r="F406" s="76">
        <f>IF(F361="","",IF(F361&lt;MAX(DiemHKII!$B$4:$B$58),F361+1,""))</f>
        <v>9</v>
      </c>
    </row>
    <row r="407" spans="1:10" s="60" customFormat="1" ht="22.5" customHeight="1">
      <c r="A407" s="1128" t="str">
        <f>IF('Huong dan'!$E$3&lt;&gt;"","SỞ GIÁO DỤC VÀ ĐÀO TẠO "&amp;UPPER('Huong dan'!$E$3),"")</f>
        <v>SỞ GIÁO DỤC VÀ ĐÀO TẠO TP. HỒ CHÍ MINH</v>
      </c>
      <c r="B407" s="1128"/>
      <c r="C407" s="1128"/>
      <c r="D407" s="1129" t="s">
        <v>19</v>
      </c>
      <c r="E407" s="1129"/>
      <c r="F407" s="1129"/>
    </row>
    <row r="408" spans="1:10" ht="17.25" customHeight="1">
      <c r="A408" s="992" t="str">
        <f>IF('Huong dan'!$E$4&lt;&gt;"","TRƯỜNG "&amp;UPPER('Huong dan'!$E$4),"")</f>
        <v>TRƯỜNG THCS VÀ THPT NGUYỄN KHUYẾN</v>
      </c>
      <c r="B408" s="992"/>
      <c r="C408" s="992"/>
      <c r="D408" s="1130" t="s">
        <v>179</v>
      </c>
      <c r="E408" s="1130"/>
      <c r="F408" s="1130"/>
    </row>
    <row r="409" spans="1:10" ht="12" customHeight="1">
      <c r="A409" s="69"/>
      <c r="B409" s="69"/>
      <c r="C409" s="30"/>
      <c r="D409" s="30"/>
      <c r="E409" s="30"/>
      <c r="F409" s="30"/>
    </row>
    <row r="410" spans="1:10" ht="18" customHeight="1">
      <c r="A410" s="69"/>
      <c r="B410" s="69"/>
      <c r="C410" s="30"/>
      <c r="D410" s="30"/>
      <c r="E410" s="30"/>
      <c r="F410" s="30"/>
    </row>
    <row r="411" spans="1:10" ht="29.25" customHeight="1">
      <c r="A411" s="1013" t="str">
        <f>"PHIẾU ĐIỂM NĂM HỌC "&amp;'Huong dan'!$C$5</f>
        <v>PHIẾU ĐIỂM NĂM HỌC 2021 - 2022</v>
      </c>
      <c r="B411" s="1013"/>
      <c r="C411" s="1013"/>
      <c r="D411" s="1013"/>
      <c r="E411" s="1013"/>
      <c r="F411" s="1013"/>
    </row>
    <row r="412" spans="1:10" ht="12.75" customHeight="1">
      <c r="A412" s="70"/>
      <c r="B412" s="66"/>
      <c r="C412" s="66"/>
      <c r="D412" s="66"/>
      <c r="E412" s="66"/>
      <c r="F412" s="66"/>
    </row>
    <row r="413" spans="1:10" ht="20.25" customHeight="1">
      <c r="A413" s="1131" t="s">
        <v>212</v>
      </c>
      <c r="B413" s="1131"/>
      <c r="C413" s="77" t="str">
        <f>IF(F451="","",INDEX(DiemHKII!$E$4:$E$58,MATCH(F451,DiemHKII!$B$4:$B$58,0),1)&amp;" "&amp;INDEX(DiemHKII!$F$4:$F$58,MATCH(F451,DiemHKII!$B$4:$B$58,0),1))</f>
        <v>Trương Đắc Điền</v>
      </c>
      <c r="D413" s="77"/>
      <c r="E413" s="77"/>
      <c r="F413" s="71" t="str">
        <f>IF('Huong dan'!$C$3="","","Lớp: "&amp;'Huong dan'!$C$3)</f>
        <v>Lớp: 12A1</v>
      </c>
    </row>
    <row r="414" spans="1:10" ht="24" customHeight="1">
      <c r="A414" s="1131" t="s">
        <v>213</v>
      </c>
      <c r="B414" s="1131"/>
      <c r="C414" s="77" t="str">
        <f>IF(F451="","",INDEX(DiemHKII!$G$4:$G$58,MATCH(F451,DiemHKII!$B$4:$B$58,0),1))</f>
        <v>08/05/2004</v>
      </c>
      <c r="D414" s="77"/>
      <c r="E414" s="1133" t="str">
        <f>IF(F451="","","Nơi sinh: "&amp;INDEX(DiemHKII!$H$4:$H$58,MATCH(F451,DiemHKII!$B$4:$B$58,0),1))</f>
        <v xml:space="preserve">Nơi sinh: </v>
      </c>
      <c r="F414" s="1133"/>
    </row>
    <row r="415" spans="1:10" ht="15" customHeight="1">
      <c r="A415" s="62"/>
      <c r="B415" s="62"/>
      <c r="C415" s="62"/>
      <c r="D415" s="62"/>
      <c r="E415" s="62"/>
      <c r="F415" s="63"/>
    </row>
    <row r="416" spans="1:10" ht="21" customHeight="1">
      <c r="A416" s="1134" t="s">
        <v>0</v>
      </c>
      <c r="B416" s="1134" t="s">
        <v>72</v>
      </c>
      <c r="C416" s="1134" t="s">
        <v>216</v>
      </c>
      <c r="D416" s="1134"/>
      <c r="E416" s="1134"/>
      <c r="F416" s="1134" t="s">
        <v>148</v>
      </c>
    </row>
    <row r="417" spans="1:10" ht="21" customHeight="1">
      <c r="A417" s="1134"/>
      <c r="B417" s="1134"/>
      <c r="C417" s="476" t="s">
        <v>188</v>
      </c>
      <c r="D417" s="476" t="s">
        <v>189</v>
      </c>
      <c r="E417" s="476" t="s">
        <v>190</v>
      </c>
      <c r="F417" s="1134"/>
    </row>
    <row r="418" spans="1:10" ht="21" customHeight="1">
      <c r="A418" s="72" t="s">
        <v>191</v>
      </c>
      <c r="B418" s="73" t="s">
        <v>26</v>
      </c>
      <c r="C418" s="74" t="str">
        <f>INDEX('TH CANAM'!$A$9:$BF$63,MATCH(PDNam!$F451,'TH CANAM'!$A$9:$A$63,0),INDEX($J$13:$M$30,MATCH($B418,$J$13:$J$30,0),K$12))</f>
        <v/>
      </c>
      <c r="D418" s="74" t="str">
        <f>INDEX('TH CANAM'!$A$9:$BF$63,MATCH(PDNam!$F451,'TH CANAM'!$A$9:$A$63,0),INDEX($J$13:$M$30,MATCH($B418,$J$13:$J$30,0),L$12))</f>
        <v/>
      </c>
      <c r="E418" s="74" t="str">
        <f>INDEX('TH CANAM'!$A$9:$BF$63,MATCH(PDNam!$F451,'TH CANAM'!$A$9:$A$63,0),INDEX($J$13:$M$30,MATCH($B418,$J$13:$J$30,0),M$12))</f>
        <v/>
      </c>
      <c r="F418" s="73"/>
      <c r="I418" s="64"/>
      <c r="J418" s="64"/>
    </row>
    <row r="419" spans="1:10" ht="21" customHeight="1">
      <c r="A419" s="72" t="s">
        <v>192</v>
      </c>
      <c r="B419" s="73" t="s">
        <v>27</v>
      </c>
      <c r="C419" s="74" t="str">
        <f>INDEX('TH CANAM'!$A$9:$BF$63,MATCH(PDNam!$F451,'TH CANAM'!$A$9:$A$63,0),INDEX($J$13:$M$30,MATCH($B419,$J$13:$J$30,0),K$12))</f>
        <v/>
      </c>
      <c r="D419" s="74" t="str">
        <f>INDEX('TH CANAM'!$A$9:$BF$63,MATCH(PDNam!$F451,'TH CANAM'!$A$9:$A$63,0),INDEX($J$13:$M$30,MATCH($B419,$J$13:$J$30,0),L$12))</f>
        <v/>
      </c>
      <c r="E419" s="74" t="str">
        <f>INDEX('TH CANAM'!$A$9:$BF$63,MATCH(PDNam!$F451,'TH CANAM'!$A$9:$A$63,0),INDEX($J$13:$M$30,MATCH($B419,$J$13:$J$30,0),M$12))</f>
        <v/>
      </c>
      <c r="F419" s="73"/>
      <c r="I419" s="64"/>
      <c r="J419" s="64"/>
    </row>
    <row r="420" spans="1:10" ht="21" customHeight="1">
      <c r="A420" s="72" t="s">
        <v>193</v>
      </c>
      <c r="B420" s="73" t="s">
        <v>28</v>
      </c>
      <c r="C420" s="74" t="str">
        <f>INDEX('TH CANAM'!$A$9:$BF$63,MATCH(PDNam!$F451,'TH CANAM'!$A$9:$A$63,0),INDEX($J$13:$M$30,MATCH($B420,$J$13:$J$30,0),K$12))</f>
        <v/>
      </c>
      <c r="D420" s="74" t="str">
        <f>INDEX('TH CANAM'!$A$9:$BF$63,MATCH(PDNam!$F451,'TH CANAM'!$A$9:$A$63,0),INDEX($J$13:$M$30,MATCH($B420,$J$13:$J$30,0),L$12))</f>
        <v/>
      </c>
      <c r="E420" s="74" t="str">
        <f>INDEX('TH CANAM'!$A$9:$BF$63,MATCH(PDNam!$F451,'TH CANAM'!$A$9:$A$63,0),INDEX($J$13:$M$30,MATCH($B420,$J$13:$J$30,0),M$12))</f>
        <v/>
      </c>
      <c r="F420" s="73"/>
      <c r="I420" s="64"/>
      <c r="J420" s="64"/>
    </row>
    <row r="421" spans="1:10" ht="21" customHeight="1">
      <c r="A421" s="72" t="s">
        <v>194</v>
      </c>
      <c r="B421" s="73" t="s">
        <v>29</v>
      </c>
      <c r="C421" s="74" t="str">
        <f>INDEX('TH CANAM'!$A$9:$BF$63,MATCH(PDNam!$F451,'TH CANAM'!$A$9:$A$63,0),INDEX($J$13:$M$30,MATCH($B421,$J$13:$J$30,0),K$12))</f>
        <v/>
      </c>
      <c r="D421" s="74" t="str">
        <f>INDEX('TH CANAM'!$A$9:$BF$63,MATCH(PDNam!$F451,'TH CANAM'!$A$9:$A$63,0),INDEX($J$13:$M$30,MATCH($B421,$J$13:$J$30,0),L$12))</f>
        <v/>
      </c>
      <c r="E421" s="74" t="str">
        <f>INDEX('TH CANAM'!$A$9:$BF$63,MATCH(PDNam!$F451,'TH CANAM'!$A$9:$A$63,0),INDEX($J$13:$M$30,MATCH($B421,$J$13:$J$30,0),M$12))</f>
        <v/>
      </c>
      <c r="F421" s="73"/>
      <c r="I421" s="64"/>
      <c r="J421" s="64"/>
    </row>
    <row r="422" spans="1:10" ht="21" customHeight="1">
      <c r="A422" s="72" t="s">
        <v>195</v>
      </c>
      <c r="B422" s="73" t="s">
        <v>120</v>
      </c>
      <c r="C422" s="74" t="str">
        <f>INDEX('TH CANAM'!$A$9:$BF$63,MATCH(PDNam!$F451,'TH CANAM'!$A$9:$A$63,0),INDEX($J$13:$M$30,MATCH($B422,$J$13:$J$30,0),K$12))</f>
        <v/>
      </c>
      <c r="D422" s="74" t="str">
        <f>INDEX('TH CANAM'!$A$9:$BF$63,MATCH(PDNam!$F451,'TH CANAM'!$A$9:$A$63,0),INDEX($J$13:$M$30,MATCH($B422,$J$13:$J$30,0),L$12))</f>
        <v/>
      </c>
      <c r="E422" s="74" t="str">
        <f>INDEX('TH CANAM'!$A$9:$BF$63,MATCH(PDNam!$F451,'TH CANAM'!$A$9:$A$63,0),INDEX($J$13:$M$30,MATCH($B422,$J$13:$J$30,0),M$12))</f>
        <v/>
      </c>
      <c r="F422" s="73"/>
      <c r="I422" s="64"/>
      <c r="J422" s="64"/>
    </row>
    <row r="423" spans="1:10" ht="21" customHeight="1">
      <c r="A423" s="72" t="s">
        <v>196</v>
      </c>
      <c r="B423" s="73" t="s">
        <v>30</v>
      </c>
      <c r="C423" s="74" t="str">
        <f>INDEX('TH CANAM'!$A$9:$BF$63,MATCH(PDNam!$F451,'TH CANAM'!$A$9:$A$63,0),INDEX($J$13:$M$30,MATCH($B423,$J$13:$J$30,0),K$12))</f>
        <v/>
      </c>
      <c r="D423" s="74" t="str">
        <f>INDEX('TH CANAM'!$A$9:$BF$63,MATCH(PDNam!$F451,'TH CANAM'!$A$9:$A$63,0),INDEX($J$13:$M$30,MATCH($B423,$J$13:$J$30,0),L$12))</f>
        <v/>
      </c>
      <c r="E423" s="74" t="str">
        <f>INDEX('TH CANAM'!$A$9:$BF$63,MATCH(PDNam!$F451,'TH CANAM'!$A$9:$A$63,0),INDEX($J$13:$M$30,MATCH($B423,$J$13:$J$30,0),M$12))</f>
        <v/>
      </c>
      <c r="F423" s="73"/>
      <c r="I423" s="64"/>
      <c r="J423" s="64"/>
    </row>
    <row r="424" spans="1:10" ht="21" customHeight="1">
      <c r="A424" s="72" t="s">
        <v>197</v>
      </c>
      <c r="B424" s="73" t="s">
        <v>31</v>
      </c>
      <c r="C424" s="74" t="str">
        <f>INDEX('TH CANAM'!$A$9:$BF$63,MATCH(PDNam!$F451,'TH CANAM'!$A$9:$A$63,0),INDEX($J$13:$M$30,MATCH($B424,$J$13:$J$30,0),K$12))</f>
        <v/>
      </c>
      <c r="D424" s="74" t="str">
        <f>INDEX('TH CANAM'!$A$9:$BF$63,MATCH(PDNam!$F451,'TH CANAM'!$A$9:$A$63,0),INDEX($J$13:$M$30,MATCH($B424,$J$13:$J$30,0),L$12))</f>
        <v/>
      </c>
      <c r="E424" s="74" t="str">
        <f>INDEX('TH CANAM'!$A$9:$BF$63,MATCH(PDNam!$F451,'TH CANAM'!$A$9:$A$63,0),INDEX($J$13:$M$30,MATCH($B424,$J$13:$J$30,0),M$12))</f>
        <v/>
      </c>
      <c r="F424" s="73"/>
      <c r="I424" s="64"/>
      <c r="J424" s="64"/>
    </row>
    <row r="425" spans="1:10" ht="21" customHeight="1">
      <c r="A425" s="72" t="s">
        <v>198</v>
      </c>
      <c r="B425" s="73" t="s">
        <v>32</v>
      </c>
      <c r="C425" s="74" t="str">
        <f>INDEX('TH CANAM'!$A$9:$BF$63,MATCH(PDNam!$F451,'TH CANAM'!$A$9:$A$63,0),INDEX($J$13:$M$30,MATCH($B425,$J$13:$J$30,0),K$12))</f>
        <v/>
      </c>
      <c r="D425" s="74" t="str">
        <f>INDEX('TH CANAM'!$A$9:$BF$63,MATCH(PDNam!$F451,'TH CANAM'!$A$9:$A$63,0),INDEX($J$13:$M$30,MATCH($B425,$J$13:$J$30,0),L$12))</f>
        <v/>
      </c>
      <c r="E425" s="74" t="str">
        <f>INDEX('TH CANAM'!$A$9:$BF$63,MATCH(PDNam!$F451,'TH CANAM'!$A$9:$A$63,0),INDEX($J$13:$M$30,MATCH($B425,$J$13:$J$30,0),M$12))</f>
        <v/>
      </c>
      <c r="F425" s="73"/>
      <c r="I425" s="64"/>
      <c r="J425" s="64"/>
    </row>
    <row r="426" spans="1:10" ht="21" customHeight="1">
      <c r="A426" s="72" t="s">
        <v>199</v>
      </c>
      <c r="B426" s="73" t="s">
        <v>33</v>
      </c>
      <c r="C426" s="74" t="str">
        <f>INDEX('TH CANAM'!$A$9:$BF$63,MATCH(PDNam!$F451,'TH CANAM'!$A$9:$A$63,0),INDEX($J$13:$M$30,MATCH($B426,$J$13:$J$30,0),K$12))</f>
        <v/>
      </c>
      <c r="D426" s="74" t="str">
        <f>INDEX('TH CANAM'!$A$9:$BF$63,MATCH(PDNam!$F451,'TH CANAM'!$A$9:$A$63,0),INDEX($J$13:$M$30,MATCH($B426,$J$13:$J$30,0),L$12))</f>
        <v/>
      </c>
      <c r="E426" s="74" t="str">
        <f>INDEX('TH CANAM'!$A$9:$BF$63,MATCH(PDNam!$F451,'TH CANAM'!$A$9:$A$63,0),INDEX($J$13:$M$30,MATCH($B426,$J$13:$J$30,0),M$12))</f>
        <v/>
      </c>
      <c r="F426" s="73"/>
      <c r="I426" s="64"/>
      <c r="J426" s="64"/>
    </row>
    <row r="427" spans="1:10" ht="21" customHeight="1">
      <c r="A427" s="72" t="s">
        <v>200</v>
      </c>
      <c r="B427" s="73" t="s">
        <v>60</v>
      </c>
      <c r="C427" s="74" t="str">
        <f>INDEX('TH CANAM'!$A$9:$BF$63,MATCH(PDNam!$F451,'TH CANAM'!$A$9:$A$63,0),INDEX($J$13:$M$30,MATCH($B427,$J$13:$J$30,0),K$12))</f>
        <v/>
      </c>
      <c r="D427" s="74" t="str">
        <f>INDEX('TH CANAM'!$A$9:$BF$63,MATCH(PDNam!$F451,'TH CANAM'!$A$9:$A$63,0),INDEX($J$13:$M$30,MATCH($B427,$J$13:$J$30,0),L$12))</f>
        <v/>
      </c>
      <c r="E427" s="74" t="str">
        <f>INDEX('TH CANAM'!$A$9:$BF$63,MATCH(PDNam!$F451,'TH CANAM'!$A$9:$A$63,0),INDEX($J$13:$M$30,MATCH($B427,$J$13:$J$30,0),M$12))</f>
        <v/>
      </c>
      <c r="F427" s="73"/>
      <c r="I427" s="64"/>
      <c r="J427" s="64"/>
    </row>
    <row r="428" spans="1:10" ht="21" customHeight="1">
      <c r="A428" s="72" t="s">
        <v>201</v>
      </c>
      <c r="B428" s="73" t="s">
        <v>34</v>
      </c>
      <c r="C428" s="74" t="str">
        <f>INDEX('TH CANAM'!$A$9:$BF$63,MATCH(PDNam!$F451,'TH CANAM'!$A$9:$A$63,0),INDEX($J$13:$M$30,MATCH($B428,$J$13:$J$30,0),K$12))</f>
        <v/>
      </c>
      <c r="D428" s="74" t="str">
        <f>INDEX('TH CANAM'!$A$9:$BF$63,MATCH(PDNam!$F451,'TH CANAM'!$A$9:$A$63,0),INDEX($J$13:$M$30,MATCH($B428,$J$13:$J$30,0),L$12))</f>
        <v/>
      </c>
      <c r="E428" s="74" t="str">
        <f>INDEX('TH CANAM'!$A$9:$BF$63,MATCH(PDNam!$F451,'TH CANAM'!$A$9:$A$63,0),INDEX($J$13:$M$30,MATCH($B428,$J$13:$J$30,0),M$12))</f>
        <v/>
      </c>
      <c r="F428" s="73"/>
      <c r="I428" s="64"/>
      <c r="J428" s="64"/>
    </row>
    <row r="429" spans="1:10" ht="21" customHeight="1">
      <c r="A429" s="72" t="s">
        <v>202</v>
      </c>
      <c r="B429" s="73" t="s">
        <v>35</v>
      </c>
      <c r="C429" s="74" t="str">
        <f>INDEX('TH CANAM'!$A$9:$BF$63,MATCH(PDNam!$F451,'TH CANAM'!$A$9:$A$63,0),INDEX($J$13:$M$30,MATCH($B429,$J$13:$J$30,0),K$12))</f>
        <v/>
      </c>
      <c r="D429" s="74" t="str">
        <f>INDEX('TH CANAM'!$A$9:$BF$63,MATCH(PDNam!$F451,'TH CANAM'!$A$9:$A$63,0),INDEX($J$13:$M$30,MATCH($B429,$J$13:$J$30,0),L$12))</f>
        <v/>
      </c>
      <c r="E429" s="74" t="str">
        <f>INDEX('TH CANAM'!$A$9:$BF$63,MATCH(PDNam!$F451,'TH CANAM'!$A$9:$A$63,0),INDEX($J$13:$M$30,MATCH($B429,$J$13:$J$30,0),M$12))</f>
        <v/>
      </c>
      <c r="F429" s="73"/>
      <c r="I429" s="64"/>
      <c r="J429" s="64"/>
    </row>
    <row r="430" spans="1:10" ht="21" customHeight="1">
      <c r="A430" s="72" t="s">
        <v>203</v>
      </c>
      <c r="B430" s="73" t="s">
        <v>121</v>
      </c>
      <c r="C430" s="74" t="str">
        <f>INDEX('TH CANAM'!$A$9:$BF$63,MATCH(PDNam!$F451,'TH CANAM'!$A$9:$A$63,0),INDEX($J$13:$M$30,MATCH($B430,$J$13:$J$30,0),K$12))</f>
        <v/>
      </c>
      <c r="D430" s="74" t="str">
        <f>INDEX('TH CANAM'!$A$9:$BF$63,MATCH(PDNam!$F451,'TH CANAM'!$A$9:$A$63,0),INDEX($J$13:$M$30,MATCH($B430,$J$13:$J$30,0),L$12))</f>
        <v/>
      </c>
      <c r="E430" s="74" t="str">
        <f>INDEX('TH CANAM'!$A$9:$BF$63,MATCH(PDNam!$F451,'TH CANAM'!$A$9:$A$63,0),INDEX($J$13:$M$30,MATCH($B430,$J$13:$J$30,0),M$12))</f>
        <v/>
      </c>
      <c r="F430" s="73"/>
      <c r="I430" s="64"/>
      <c r="J430" s="64"/>
    </row>
    <row r="431" spans="1:10" ht="21" customHeight="1">
      <c r="A431" s="72" t="s">
        <v>204</v>
      </c>
      <c r="B431" s="73" t="s">
        <v>122</v>
      </c>
      <c r="C431" s="74" t="str">
        <f>INDEX('TH CANAM'!$A$9:$BF$63,MATCH(PDNam!$F451,'TH CANAM'!$A$9:$A$63,0),INDEX($J$13:$M$30,MATCH($B431,$J$13:$J$30,0),K$12))</f>
        <v/>
      </c>
      <c r="D431" s="74" t="str">
        <f>INDEX('TH CANAM'!$A$9:$BF$63,MATCH(PDNam!$F451,'TH CANAM'!$A$9:$A$63,0),INDEX($J$13:$M$30,MATCH($B431,$J$13:$J$30,0),L$12))</f>
        <v/>
      </c>
      <c r="E431" s="74" t="str">
        <f>INDEX('TH CANAM'!$A$9:$BF$63,MATCH(PDNam!$F451,'TH CANAM'!$A$9:$A$63,0),INDEX($J$13:$M$30,MATCH($B431,$J$13:$J$30,0),M$12))</f>
        <v/>
      </c>
      <c r="F431" s="73"/>
      <c r="I431" s="64"/>
      <c r="J431" s="64"/>
    </row>
    <row r="432" spans="1:10" ht="21" customHeight="1">
      <c r="A432" s="72" t="s">
        <v>208</v>
      </c>
      <c r="B432" s="73" t="s">
        <v>205</v>
      </c>
      <c r="C432" s="78">
        <f>INDEX('TH CANAM'!$A$9:$BF$63,MATCH(PDNam!$F451,'TH CANAM'!$A$9:$A$63,0),46)</f>
        <v>9.4</v>
      </c>
      <c r="D432" s="78" t="str">
        <f>INDEX('TH CANAM'!$A$9:$BF$63,MATCH(PDNam!$F451,'TH CANAM'!$A$9:$A$63,0),47)</f>
        <v/>
      </c>
      <c r="E432" s="78" t="str">
        <f>INDEX('TH CANAM'!$A$9:$BF$63,MATCH(PDNam!$F451,'TH CANAM'!$A$9:$A$63,0),48)</f>
        <v/>
      </c>
      <c r="F432" s="73"/>
      <c r="I432" s="64"/>
      <c r="J432" s="64"/>
    </row>
    <row r="433" spans="1:10" ht="21" customHeight="1">
      <c r="A433" s="72" t="s">
        <v>209</v>
      </c>
      <c r="B433" s="72" t="s">
        <v>206</v>
      </c>
      <c r="C433" s="74" t="str">
        <f>IF(INDEX('TH CANAM'!$A$9:$BF$63,MATCH(PDNam!$F451,'TH CANAM'!$A$9:$A$63,0),49)="Tb","Trung bình",INDEX('TH CANAM'!$A$9:$BF$63,MATCH(PDNam!$F451,'TH CANAM'!$A$9:$A$63,0),49))</f>
        <v>Giỏi</v>
      </c>
      <c r="D433" s="74" t="str">
        <f>IF(INDEX('TH CANAM'!$A$9:$BF$63,MATCH(PDNam!$F451,'TH CANAM'!$A$9:$A$63,0),50)="Tb","Trung bình",INDEX('TH CANAM'!$A$9:$BF$63,MATCH(PDNam!$F451,'TH CANAM'!$A$9:$A$63,0),50))</f>
        <v/>
      </c>
      <c r="E433" s="74" t="str">
        <f>IF(INDEX('TH CANAM'!$A$9:$BF$63,MATCH(PDNam!$F451,'TH CANAM'!$A$9:$A$63,0),51)="Tb","Trung bình",INDEX('TH CANAM'!$A$9:$BF$63,MATCH(PDNam!$F451,'TH CANAM'!$A$9:$A$63,0),51))</f>
        <v/>
      </c>
      <c r="F433" s="73"/>
    </row>
    <row r="434" spans="1:10" ht="21" customHeight="1">
      <c r="A434" s="72" t="s">
        <v>210</v>
      </c>
      <c r="B434" s="72" t="s">
        <v>207</v>
      </c>
      <c r="C434" s="74" t="str">
        <f>INDEX('TH CANAM'!$A$9:$BF$63,MATCH(PDNam!$F451,'TH CANAM'!$A$9:$A$63,0),52)</f>
        <v>Tốt</v>
      </c>
      <c r="D434" s="74" t="str">
        <f>INDEX('TH CANAM'!$A$9:$BF$63,MATCH(PDNam!$F451,'TH CANAM'!$A$9:$A$63,0),53)</f>
        <v/>
      </c>
      <c r="E434" s="74" t="str">
        <f>INDEX('TH CANAM'!$A$9:$BF$63,MATCH(PDNam!$F451,'TH CANAM'!$A$9:$A$63,0),54)</f>
        <v/>
      </c>
      <c r="F434" s="73"/>
    </row>
    <row r="435" spans="1:10" ht="21" customHeight="1">
      <c r="A435" s="72" t="s">
        <v>211</v>
      </c>
      <c r="B435" s="72" t="s">
        <v>25</v>
      </c>
      <c r="C435" s="74" t="str">
        <f>IF(INDEX('TH CANAM'!$A$9:$BF$63,MATCH(PDNam!$F451,'TH CANAM'!$A$9:$A$63,0),57)&lt;&gt;"",INDEX('TH CANAM'!$A$9:$BF$63,MATCH(PDNam!$F451,'TH CANAM'!$A$9:$A$63,0),57),"/")</f>
        <v>HSG</v>
      </c>
      <c r="D435" s="74" t="str">
        <f>IF(INDEX('TH CANAM'!$A$9:$BF$63,MATCH(PDNam!$F451,'TH CANAM'!$A$9:$A$63,0),58)&lt;&gt;"",INDEX('TH CANAM'!$A$9:$BF$63,MATCH(PDNam!$F451,'TH CANAM'!$A$9:$A$63,0),58),"/")</f>
        <v>/</v>
      </c>
      <c r="E435" s="74" t="str">
        <f>IF(INDEX('TH CANAM'!$A$9:$BF$63,MATCH(PDNam!$F451,'TH CANAM'!$A$9:$A$63,0),55)&lt;&gt;"",INDEX('TH CANAM'!$A$9:$BF$63,MATCH(PDNam!$F451,'TH CANAM'!$A$9:$A$63,0),55),"/")</f>
        <v>/</v>
      </c>
      <c r="F435" s="73"/>
    </row>
    <row r="436" spans="1:10" s="60" customFormat="1" ht="9" customHeight="1">
      <c r="A436" s="67"/>
      <c r="B436" s="67"/>
      <c r="C436" s="1132"/>
      <c r="D436" s="1132"/>
      <c r="E436" s="67"/>
      <c r="F436" s="67"/>
    </row>
    <row r="437" spans="1:10" s="60" customFormat="1" ht="18.75" customHeight="1">
      <c r="A437" s="58" t="s">
        <v>219</v>
      </c>
      <c r="B437" s="57"/>
      <c r="C437" s="57"/>
      <c r="D437" s="57"/>
      <c r="E437" s="57"/>
      <c r="F437" s="475"/>
    </row>
    <row r="438" spans="1:10" s="60" customFormat="1" ht="18.75" customHeight="1">
      <c r="A438" s="59" t="str">
        <f>IF(F451&lt;&gt;"",IF(INDEX(BDHK2,MATCH(F451,DiemHKII!$B$4:$B$58,0),137)&lt;&gt;""," - "&amp;INDEX(BDHK2,MATCH(F451,DiemHKII!$B$4:$B$58,0),137),""),"")</f>
        <v/>
      </c>
      <c r="B438" s="57"/>
      <c r="C438" s="57"/>
      <c r="D438" s="57"/>
      <c r="E438" s="57"/>
      <c r="F438" s="475"/>
    </row>
    <row r="439" spans="1:10" s="60" customFormat="1" ht="18.75" customHeight="1">
      <c r="A439" s="59" t="str">
        <f>IF(F451&lt;&gt;"",IF(INDEX(BDHK2,MATCH(F451,DiemHKII!$B$4:$B$58,0),138)&lt;&gt;""," - "&amp;INDEX(BDHK2,MATCH(F451,DiemHKII!$B$4:$B$58,0),138),""),"")</f>
        <v/>
      </c>
      <c r="B439" s="57"/>
      <c r="C439" s="57"/>
      <c r="D439" s="57"/>
      <c r="E439" s="57"/>
      <c r="F439" s="475"/>
    </row>
    <row r="440" spans="1:10" s="60" customFormat="1" ht="18.75" customHeight="1">
      <c r="A440" s="59" t="str">
        <f>IF(F451&lt;&gt;"",IF(INDEX(BDHK2,MATCH(F451,DiemHKII!$B$4:$B$58,0),139)&lt;&gt;""," - "&amp;INDEX(BDHK2,MATCH(F451,DiemHKII!$B$4:$B$58,0),139),""),"")</f>
        <v/>
      </c>
      <c r="B440" s="57"/>
      <c r="C440" s="57"/>
      <c r="D440" s="57"/>
      <c r="E440" s="57"/>
      <c r="F440" s="475"/>
    </row>
    <row r="441" spans="1:10" s="60" customFormat="1" ht="18.75" customHeight="1">
      <c r="A441" s="59" t="str">
        <f>IF(F451&lt;&gt;"",IF(INDEX(BDHK2,MATCH(F451,DiemHKII!$B$4:$B$58,0),140)&lt;&gt;""," - "&amp;INDEX(BDHK2,MATCH(F451,DiemHKII!$B$4:$B$58,0),140),""),"")</f>
        <v/>
      </c>
      <c r="B441" s="57"/>
      <c r="C441" s="57"/>
      <c r="D441" s="57"/>
      <c r="E441" s="57"/>
      <c r="F441" s="67"/>
    </row>
    <row r="442" spans="1:10" ht="6" customHeight="1">
      <c r="A442" s="68"/>
      <c r="B442" s="68"/>
      <c r="C442" s="68"/>
      <c r="D442" s="68"/>
      <c r="E442" s="68"/>
      <c r="F442" s="68"/>
    </row>
    <row r="443" spans="1:10">
      <c r="A443" s="68"/>
      <c r="B443" s="68"/>
      <c r="C44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443" s="1060"/>
      <c r="E443" s="1060"/>
      <c r="F443" s="1060"/>
    </row>
    <row r="444" spans="1:10" ht="20.25" customHeight="1">
      <c r="A444" s="1012" t="str">
        <f>IF($D$39="Hiệu trưởng","Giáo viên Quản nhiệm","")</f>
        <v>Giáo viên Quản nhiệm</v>
      </c>
      <c r="B444" s="1012"/>
      <c r="C444" s="61"/>
      <c r="D444" s="1012" t="str">
        <f>IF($H$7="","",$H$7)</f>
        <v>Hiệu trưởng</v>
      </c>
      <c r="E444" s="1012"/>
      <c r="F444" s="61"/>
    </row>
    <row r="445" spans="1:10">
      <c r="A445" s="68"/>
      <c r="B445" s="68"/>
      <c r="C445" s="68"/>
      <c r="D445" s="68"/>
      <c r="E445" s="68"/>
      <c r="F445" s="68"/>
    </row>
    <row r="446" spans="1:10">
      <c r="A446" s="68"/>
      <c r="B446" s="68"/>
      <c r="C446" s="68"/>
      <c r="D446" s="68"/>
      <c r="E446" s="68"/>
      <c r="F446" s="68"/>
    </row>
    <row r="447" spans="1:10" ht="16.8">
      <c r="A447" s="68"/>
      <c r="B447" s="68"/>
      <c r="C447" s="64"/>
      <c r="D447" s="64"/>
      <c r="E447" s="64"/>
      <c r="F447" s="64"/>
      <c r="G447" s="65"/>
      <c r="H447" s="65"/>
      <c r="I447" s="65"/>
      <c r="J447" s="65"/>
    </row>
    <row r="449" spans="1:10">
      <c r="A449" s="1012" t="str">
        <f>IF($A$39="","",PROPER('Huong dan'!$C$4))</f>
        <v/>
      </c>
      <c r="B449" s="1012"/>
      <c r="D449" s="1130" t="str">
        <f>IFERROR(IF($D$39="Giáo Viên Quản nhiệm",PROPER('Huong dan'!$C$4),IF($D$39="Hiệu trưởng",PROPER('Huong dan'!$E$5),"")),"")</f>
        <v/>
      </c>
      <c r="E449" s="1130"/>
    </row>
    <row r="450" spans="1:10" ht="7.5" customHeight="1"/>
    <row r="451" spans="1:10" ht="11.25" customHeight="1">
      <c r="A451" s="75"/>
      <c r="B451" s="75"/>
      <c r="C451" s="75"/>
      <c r="D451" s="75"/>
      <c r="E451" s="75"/>
      <c r="F451" s="76">
        <f>IF(F406="","",IF(F406&lt;MAX(DiemHKII!$B$4:$B$58),F406+1,""))</f>
        <v>10</v>
      </c>
    </row>
    <row r="452" spans="1:10" s="60" customFormat="1" ht="22.5" customHeight="1">
      <c r="A452" s="1128" t="str">
        <f>IF('Huong dan'!$E$3&lt;&gt;"","SỞ GIÁO DỤC VÀ ĐÀO TẠO "&amp;UPPER('Huong dan'!$E$3),"")</f>
        <v>SỞ GIÁO DỤC VÀ ĐÀO TẠO TP. HỒ CHÍ MINH</v>
      </c>
      <c r="B452" s="1128"/>
      <c r="C452" s="1128"/>
      <c r="D452" s="1129" t="s">
        <v>19</v>
      </c>
      <c r="E452" s="1129"/>
      <c r="F452" s="1129"/>
    </row>
    <row r="453" spans="1:10" ht="17.25" customHeight="1">
      <c r="A453" s="992" t="str">
        <f>IF('Huong dan'!$E$4&lt;&gt;"","TRƯỜNG "&amp;UPPER('Huong dan'!$E$4),"")</f>
        <v>TRƯỜNG THCS VÀ THPT NGUYỄN KHUYẾN</v>
      </c>
      <c r="B453" s="992"/>
      <c r="C453" s="992"/>
      <c r="D453" s="1130" t="s">
        <v>179</v>
      </c>
      <c r="E453" s="1130"/>
      <c r="F453" s="1130"/>
    </row>
    <row r="454" spans="1:10" ht="12" customHeight="1">
      <c r="A454" s="69"/>
      <c r="B454" s="69"/>
      <c r="C454" s="30"/>
      <c r="D454" s="30"/>
      <c r="E454" s="30"/>
      <c r="F454" s="30"/>
    </row>
    <row r="455" spans="1:10" ht="18" customHeight="1">
      <c r="A455" s="69"/>
      <c r="B455" s="69"/>
      <c r="C455" s="30"/>
      <c r="D455" s="30"/>
      <c r="E455" s="30"/>
      <c r="F455" s="30"/>
    </row>
    <row r="456" spans="1:10" ht="29.25" customHeight="1">
      <c r="A456" s="1013" t="str">
        <f>"PHIẾU ĐIỂM NĂM HỌC "&amp;'Huong dan'!$C$5</f>
        <v>PHIẾU ĐIỂM NĂM HỌC 2021 - 2022</v>
      </c>
      <c r="B456" s="1013"/>
      <c r="C456" s="1013"/>
      <c r="D456" s="1013"/>
      <c r="E456" s="1013"/>
      <c r="F456" s="1013"/>
    </row>
    <row r="457" spans="1:10" ht="12.75" customHeight="1">
      <c r="A457" s="70"/>
      <c r="B457" s="66"/>
      <c r="C457" s="66"/>
      <c r="D457" s="66"/>
      <c r="E457" s="66"/>
      <c r="F457" s="66"/>
    </row>
    <row r="458" spans="1:10" ht="20.25" customHeight="1">
      <c r="A458" s="1131" t="s">
        <v>212</v>
      </c>
      <c r="B458" s="1131"/>
      <c r="C458" s="77" t="str">
        <f>IF(F496="","",INDEX(DiemHKII!$E$4:$E$58,MATCH(F496,DiemHKII!$B$4:$B$58,0),1)&amp;" "&amp;INDEX(DiemHKII!$F$4:$F$58,MATCH(F496,DiemHKII!$B$4:$B$58,0),1))</f>
        <v>Hồ Ngọc Hải</v>
      </c>
      <c r="D458" s="77"/>
      <c r="E458" s="77"/>
      <c r="F458" s="71" t="str">
        <f>IF('Huong dan'!$C$3="","","Lớp: "&amp;'Huong dan'!$C$3)</f>
        <v>Lớp: 12A1</v>
      </c>
    </row>
    <row r="459" spans="1:10" ht="24" customHeight="1">
      <c r="A459" s="1131" t="s">
        <v>213</v>
      </c>
      <c r="B459" s="1131"/>
      <c r="C459" s="77" t="str">
        <f>IF(F496="","",INDEX(DiemHKII!$G$4:$G$58,MATCH(F496,DiemHKII!$B$4:$B$58,0),1))</f>
        <v>25/10/2004</v>
      </c>
      <c r="D459" s="77"/>
      <c r="E459" s="1133" t="str">
        <f>IF(F496="","","Nơi sinh: "&amp;INDEX(DiemHKII!$H$4:$H$58,MATCH(F496,DiemHKII!$B$4:$B$58,0),1))</f>
        <v xml:space="preserve">Nơi sinh: </v>
      </c>
      <c r="F459" s="1133"/>
    </row>
    <row r="460" spans="1:10" ht="15" customHeight="1">
      <c r="A460" s="62"/>
      <c r="B460" s="62"/>
      <c r="C460" s="62"/>
      <c r="D460" s="62"/>
      <c r="E460" s="62"/>
      <c r="F460" s="63"/>
    </row>
    <row r="461" spans="1:10" ht="21" customHeight="1">
      <c r="A461" s="1134" t="s">
        <v>0</v>
      </c>
      <c r="B461" s="1134" t="s">
        <v>72</v>
      </c>
      <c r="C461" s="1134" t="s">
        <v>216</v>
      </c>
      <c r="D461" s="1134"/>
      <c r="E461" s="1134"/>
      <c r="F461" s="1134" t="s">
        <v>148</v>
      </c>
    </row>
    <row r="462" spans="1:10" ht="21" customHeight="1">
      <c r="A462" s="1134"/>
      <c r="B462" s="1134"/>
      <c r="C462" s="476" t="s">
        <v>188</v>
      </c>
      <c r="D462" s="476" t="s">
        <v>189</v>
      </c>
      <c r="E462" s="476" t="s">
        <v>190</v>
      </c>
      <c r="F462" s="1134"/>
    </row>
    <row r="463" spans="1:10" ht="21" customHeight="1">
      <c r="A463" s="72" t="s">
        <v>191</v>
      </c>
      <c r="B463" s="73" t="s">
        <v>26</v>
      </c>
      <c r="C463" s="74" t="str">
        <f>INDEX('TH CANAM'!$A$9:$BF$63,MATCH(PDNam!$F496,'TH CANAM'!$A$9:$A$63,0),INDEX($J$13:$M$30,MATCH($B463,$J$13:$J$30,0),K$12))</f>
        <v/>
      </c>
      <c r="D463" s="74" t="str">
        <f>INDEX('TH CANAM'!$A$9:$BF$63,MATCH(PDNam!$F496,'TH CANAM'!$A$9:$A$63,0),INDEX($J$13:$M$30,MATCH($B463,$J$13:$J$30,0),L$12))</f>
        <v/>
      </c>
      <c r="E463" s="74" t="str">
        <f>INDEX('TH CANAM'!$A$9:$BF$63,MATCH(PDNam!$F496,'TH CANAM'!$A$9:$A$63,0),INDEX($J$13:$M$30,MATCH($B463,$J$13:$J$30,0),M$12))</f>
        <v/>
      </c>
      <c r="F463" s="73"/>
      <c r="I463" s="64"/>
      <c r="J463" s="64"/>
    </row>
    <row r="464" spans="1:10" ht="21" customHeight="1">
      <c r="A464" s="72" t="s">
        <v>192</v>
      </c>
      <c r="B464" s="73" t="s">
        <v>27</v>
      </c>
      <c r="C464" s="74" t="str">
        <f>INDEX('TH CANAM'!$A$9:$BF$63,MATCH(PDNam!$F496,'TH CANAM'!$A$9:$A$63,0),INDEX($J$13:$M$30,MATCH($B464,$J$13:$J$30,0),K$12))</f>
        <v/>
      </c>
      <c r="D464" s="74" t="str">
        <f>INDEX('TH CANAM'!$A$9:$BF$63,MATCH(PDNam!$F496,'TH CANAM'!$A$9:$A$63,0),INDEX($J$13:$M$30,MATCH($B464,$J$13:$J$30,0),L$12))</f>
        <v/>
      </c>
      <c r="E464" s="74" t="str">
        <f>INDEX('TH CANAM'!$A$9:$BF$63,MATCH(PDNam!$F496,'TH CANAM'!$A$9:$A$63,0),INDEX($J$13:$M$30,MATCH($B464,$J$13:$J$30,0),M$12))</f>
        <v/>
      </c>
      <c r="F464" s="73"/>
      <c r="I464" s="64"/>
      <c r="J464" s="64"/>
    </row>
    <row r="465" spans="1:10" ht="21" customHeight="1">
      <c r="A465" s="72" t="s">
        <v>193</v>
      </c>
      <c r="B465" s="73" t="s">
        <v>28</v>
      </c>
      <c r="C465" s="74" t="str">
        <f>INDEX('TH CANAM'!$A$9:$BF$63,MATCH(PDNam!$F496,'TH CANAM'!$A$9:$A$63,0),INDEX($J$13:$M$30,MATCH($B465,$J$13:$J$30,0),K$12))</f>
        <v/>
      </c>
      <c r="D465" s="74" t="str">
        <f>INDEX('TH CANAM'!$A$9:$BF$63,MATCH(PDNam!$F496,'TH CANAM'!$A$9:$A$63,0),INDEX($J$13:$M$30,MATCH($B465,$J$13:$J$30,0),L$12))</f>
        <v/>
      </c>
      <c r="E465" s="74" t="str">
        <f>INDEX('TH CANAM'!$A$9:$BF$63,MATCH(PDNam!$F496,'TH CANAM'!$A$9:$A$63,0),INDEX($J$13:$M$30,MATCH($B465,$J$13:$J$30,0),M$12))</f>
        <v/>
      </c>
      <c r="F465" s="73"/>
      <c r="I465" s="64"/>
      <c r="J465" s="64"/>
    </row>
    <row r="466" spans="1:10" ht="21" customHeight="1">
      <c r="A466" s="72" t="s">
        <v>194</v>
      </c>
      <c r="B466" s="73" t="s">
        <v>29</v>
      </c>
      <c r="C466" s="74" t="str">
        <f>INDEX('TH CANAM'!$A$9:$BF$63,MATCH(PDNam!$F496,'TH CANAM'!$A$9:$A$63,0),INDEX($J$13:$M$30,MATCH($B466,$J$13:$J$30,0),K$12))</f>
        <v/>
      </c>
      <c r="D466" s="74" t="str">
        <f>INDEX('TH CANAM'!$A$9:$BF$63,MATCH(PDNam!$F496,'TH CANAM'!$A$9:$A$63,0),INDEX($J$13:$M$30,MATCH($B466,$J$13:$J$30,0),L$12))</f>
        <v/>
      </c>
      <c r="E466" s="74" t="str">
        <f>INDEX('TH CANAM'!$A$9:$BF$63,MATCH(PDNam!$F496,'TH CANAM'!$A$9:$A$63,0),INDEX($J$13:$M$30,MATCH($B466,$J$13:$J$30,0),M$12))</f>
        <v/>
      </c>
      <c r="F466" s="73"/>
      <c r="I466" s="64"/>
      <c r="J466" s="64"/>
    </row>
    <row r="467" spans="1:10" ht="21" customHeight="1">
      <c r="A467" s="72" t="s">
        <v>195</v>
      </c>
      <c r="B467" s="73" t="s">
        <v>120</v>
      </c>
      <c r="C467" s="74" t="str">
        <f>INDEX('TH CANAM'!$A$9:$BF$63,MATCH(PDNam!$F496,'TH CANAM'!$A$9:$A$63,0),INDEX($J$13:$M$30,MATCH($B467,$J$13:$J$30,0),K$12))</f>
        <v/>
      </c>
      <c r="D467" s="74" t="str">
        <f>INDEX('TH CANAM'!$A$9:$BF$63,MATCH(PDNam!$F496,'TH CANAM'!$A$9:$A$63,0),INDEX($J$13:$M$30,MATCH($B467,$J$13:$J$30,0),L$12))</f>
        <v/>
      </c>
      <c r="E467" s="74" t="str">
        <f>INDEX('TH CANAM'!$A$9:$BF$63,MATCH(PDNam!$F496,'TH CANAM'!$A$9:$A$63,0),INDEX($J$13:$M$30,MATCH($B467,$J$13:$J$30,0),M$12))</f>
        <v/>
      </c>
      <c r="F467" s="73"/>
      <c r="I467" s="64"/>
      <c r="J467" s="64"/>
    </row>
    <row r="468" spans="1:10" ht="21" customHeight="1">
      <c r="A468" s="72" t="s">
        <v>196</v>
      </c>
      <c r="B468" s="73" t="s">
        <v>30</v>
      </c>
      <c r="C468" s="74" t="str">
        <f>INDEX('TH CANAM'!$A$9:$BF$63,MATCH(PDNam!$F496,'TH CANAM'!$A$9:$A$63,0),INDEX($J$13:$M$30,MATCH($B468,$J$13:$J$30,0),K$12))</f>
        <v/>
      </c>
      <c r="D468" s="74" t="str">
        <f>INDEX('TH CANAM'!$A$9:$BF$63,MATCH(PDNam!$F496,'TH CANAM'!$A$9:$A$63,0),INDEX($J$13:$M$30,MATCH($B468,$J$13:$J$30,0),L$12))</f>
        <v/>
      </c>
      <c r="E468" s="74" t="str">
        <f>INDEX('TH CANAM'!$A$9:$BF$63,MATCH(PDNam!$F496,'TH CANAM'!$A$9:$A$63,0),INDEX($J$13:$M$30,MATCH($B468,$J$13:$J$30,0),M$12))</f>
        <v/>
      </c>
      <c r="F468" s="73"/>
      <c r="I468" s="64"/>
      <c r="J468" s="64"/>
    </row>
    <row r="469" spans="1:10" ht="21" customHeight="1">
      <c r="A469" s="72" t="s">
        <v>197</v>
      </c>
      <c r="B469" s="73" t="s">
        <v>31</v>
      </c>
      <c r="C469" s="74" t="str">
        <f>INDEX('TH CANAM'!$A$9:$BF$63,MATCH(PDNam!$F496,'TH CANAM'!$A$9:$A$63,0),INDEX($J$13:$M$30,MATCH($B469,$J$13:$J$30,0),K$12))</f>
        <v/>
      </c>
      <c r="D469" s="74" t="str">
        <f>INDEX('TH CANAM'!$A$9:$BF$63,MATCH(PDNam!$F496,'TH CANAM'!$A$9:$A$63,0),INDEX($J$13:$M$30,MATCH($B469,$J$13:$J$30,0),L$12))</f>
        <v/>
      </c>
      <c r="E469" s="74" t="str">
        <f>INDEX('TH CANAM'!$A$9:$BF$63,MATCH(PDNam!$F496,'TH CANAM'!$A$9:$A$63,0),INDEX($J$13:$M$30,MATCH($B469,$J$13:$J$30,0),M$12))</f>
        <v/>
      </c>
      <c r="F469" s="73"/>
      <c r="I469" s="64"/>
      <c r="J469" s="64"/>
    </row>
    <row r="470" spans="1:10" ht="21" customHeight="1">
      <c r="A470" s="72" t="s">
        <v>198</v>
      </c>
      <c r="B470" s="73" t="s">
        <v>32</v>
      </c>
      <c r="C470" s="74" t="str">
        <f>INDEX('TH CANAM'!$A$9:$BF$63,MATCH(PDNam!$F496,'TH CANAM'!$A$9:$A$63,0),INDEX($J$13:$M$30,MATCH($B470,$J$13:$J$30,0),K$12))</f>
        <v/>
      </c>
      <c r="D470" s="74" t="str">
        <f>INDEX('TH CANAM'!$A$9:$BF$63,MATCH(PDNam!$F496,'TH CANAM'!$A$9:$A$63,0),INDEX($J$13:$M$30,MATCH($B470,$J$13:$J$30,0),L$12))</f>
        <v/>
      </c>
      <c r="E470" s="74" t="str">
        <f>INDEX('TH CANAM'!$A$9:$BF$63,MATCH(PDNam!$F496,'TH CANAM'!$A$9:$A$63,0),INDEX($J$13:$M$30,MATCH($B470,$J$13:$J$30,0),M$12))</f>
        <v/>
      </c>
      <c r="F470" s="73"/>
      <c r="I470" s="64"/>
      <c r="J470" s="64"/>
    </row>
    <row r="471" spans="1:10" ht="21" customHeight="1">
      <c r="A471" s="72" t="s">
        <v>199</v>
      </c>
      <c r="B471" s="73" t="s">
        <v>33</v>
      </c>
      <c r="C471" s="74" t="str">
        <f>INDEX('TH CANAM'!$A$9:$BF$63,MATCH(PDNam!$F496,'TH CANAM'!$A$9:$A$63,0),INDEX($J$13:$M$30,MATCH($B471,$J$13:$J$30,0),K$12))</f>
        <v/>
      </c>
      <c r="D471" s="74" t="str">
        <f>INDEX('TH CANAM'!$A$9:$BF$63,MATCH(PDNam!$F496,'TH CANAM'!$A$9:$A$63,0),INDEX($J$13:$M$30,MATCH($B471,$J$13:$J$30,0),L$12))</f>
        <v/>
      </c>
      <c r="E471" s="74" t="str">
        <f>INDEX('TH CANAM'!$A$9:$BF$63,MATCH(PDNam!$F496,'TH CANAM'!$A$9:$A$63,0),INDEX($J$13:$M$30,MATCH($B471,$J$13:$J$30,0),M$12))</f>
        <v/>
      </c>
      <c r="F471" s="73"/>
      <c r="I471" s="64"/>
      <c r="J471" s="64"/>
    </row>
    <row r="472" spans="1:10" ht="21" customHeight="1">
      <c r="A472" s="72" t="s">
        <v>200</v>
      </c>
      <c r="B472" s="73" t="s">
        <v>60</v>
      </c>
      <c r="C472" s="74" t="str">
        <f>INDEX('TH CANAM'!$A$9:$BF$63,MATCH(PDNam!$F496,'TH CANAM'!$A$9:$A$63,0),INDEX($J$13:$M$30,MATCH($B472,$J$13:$J$30,0),K$12))</f>
        <v/>
      </c>
      <c r="D472" s="74" t="str">
        <f>INDEX('TH CANAM'!$A$9:$BF$63,MATCH(PDNam!$F496,'TH CANAM'!$A$9:$A$63,0),INDEX($J$13:$M$30,MATCH($B472,$J$13:$J$30,0),L$12))</f>
        <v/>
      </c>
      <c r="E472" s="74" t="str">
        <f>INDEX('TH CANAM'!$A$9:$BF$63,MATCH(PDNam!$F496,'TH CANAM'!$A$9:$A$63,0),INDEX($J$13:$M$30,MATCH($B472,$J$13:$J$30,0),M$12))</f>
        <v/>
      </c>
      <c r="F472" s="73"/>
      <c r="I472" s="64"/>
      <c r="J472" s="64"/>
    </row>
    <row r="473" spans="1:10" ht="21" customHeight="1">
      <c r="A473" s="72" t="s">
        <v>201</v>
      </c>
      <c r="B473" s="73" t="s">
        <v>34</v>
      </c>
      <c r="C473" s="74" t="str">
        <f>INDEX('TH CANAM'!$A$9:$BF$63,MATCH(PDNam!$F496,'TH CANAM'!$A$9:$A$63,0),INDEX($J$13:$M$30,MATCH($B473,$J$13:$J$30,0),K$12))</f>
        <v/>
      </c>
      <c r="D473" s="74" t="str">
        <f>INDEX('TH CANAM'!$A$9:$BF$63,MATCH(PDNam!$F496,'TH CANAM'!$A$9:$A$63,0),INDEX($J$13:$M$30,MATCH($B473,$J$13:$J$30,0),L$12))</f>
        <v/>
      </c>
      <c r="E473" s="74" t="str">
        <f>INDEX('TH CANAM'!$A$9:$BF$63,MATCH(PDNam!$F496,'TH CANAM'!$A$9:$A$63,0),INDEX($J$13:$M$30,MATCH($B473,$J$13:$J$30,0),M$12))</f>
        <v/>
      </c>
      <c r="F473" s="73"/>
      <c r="I473" s="64"/>
      <c r="J473" s="64"/>
    </row>
    <row r="474" spans="1:10" ht="21" customHeight="1">
      <c r="A474" s="72" t="s">
        <v>202</v>
      </c>
      <c r="B474" s="73" t="s">
        <v>35</v>
      </c>
      <c r="C474" s="74" t="str">
        <f>INDEX('TH CANAM'!$A$9:$BF$63,MATCH(PDNam!$F496,'TH CANAM'!$A$9:$A$63,0),INDEX($J$13:$M$30,MATCH($B474,$J$13:$J$30,0),K$12))</f>
        <v/>
      </c>
      <c r="D474" s="74" t="str">
        <f>INDEX('TH CANAM'!$A$9:$BF$63,MATCH(PDNam!$F496,'TH CANAM'!$A$9:$A$63,0),INDEX($J$13:$M$30,MATCH($B474,$J$13:$J$30,0),L$12))</f>
        <v/>
      </c>
      <c r="E474" s="74" t="str">
        <f>INDEX('TH CANAM'!$A$9:$BF$63,MATCH(PDNam!$F496,'TH CANAM'!$A$9:$A$63,0),INDEX($J$13:$M$30,MATCH($B474,$J$13:$J$30,0),M$12))</f>
        <v/>
      </c>
      <c r="F474" s="73"/>
      <c r="I474" s="64"/>
      <c r="J474" s="64"/>
    </row>
    <row r="475" spans="1:10" ht="21" customHeight="1">
      <c r="A475" s="72" t="s">
        <v>203</v>
      </c>
      <c r="B475" s="73" t="s">
        <v>121</v>
      </c>
      <c r="C475" s="74" t="str">
        <f>INDEX('TH CANAM'!$A$9:$BF$63,MATCH(PDNam!$F496,'TH CANAM'!$A$9:$A$63,0),INDEX($J$13:$M$30,MATCH($B475,$J$13:$J$30,0),K$12))</f>
        <v/>
      </c>
      <c r="D475" s="74" t="str">
        <f>INDEX('TH CANAM'!$A$9:$BF$63,MATCH(PDNam!$F496,'TH CANAM'!$A$9:$A$63,0),INDEX($J$13:$M$30,MATCH($B475,$J$13:$J$30,0),L$12))</f>
        <v/>
      </c>
      <c r="E475" s="74" t="str">
        <f>INDEX('TH CANAM'!$A$9:$BF$63,MATCH(PDNam!$F496,'TH CANAM'!$A$9:$A$63,0),INDEX($J$13:$M$30,MATCH($B475,$J$13:$J$30,0),M$12))</f>
        <v/>
      </c>
      <c r="F475" s="73"/>
      <c r="I475" s="64"/>
      <c r="J475" s="64"/>
    </row>
    <row r="476" spans="1:10" ht="21" customHeight="1">
      <c r="A476" s="72" t="s">
        <v>204</v>
      </c>
      <c r="B476" s="73" t="s">
        <v>122</v>
      </c>
      <c r="C476" s="74" t="str">
        <f>INDEX('TH CANAM'!$A$9:$BF$63,MATCH(PDNam!$F496,'TH CANAM'!$A$9:$A$63,0),INDEX($J$13:$M$30,MATCH($B476,$J$13:$J$30,0),K$12))</f>
        <v/>
      </c>
      <c r="D476" s="74" t="str">
        <f>INDEX('TH CANAM'!$A$9:$BF$63,MATCH(PDNam!$F496,'TH CANAM'!$A$9:$A$63,0),INDEX($J$13:$M$30,MATCH($B476,$J$13:$J$30,0),L$12))</f>
        <v/>
      </c>
      <c r="E476" s="74" t="str">
        <f>INDEX('TH CANAM'!$A$9:$BF$63,MATCH(PDNam!$F496,'TH CANAM'!$A$9:$A$63,0),INDEX($J$13:$M$30,MATCH($B476,$J$13:$J$30,0),M$12))</f>
        <v/>
      </c>
      <c r="F476" s="73"/>
      <c r="I476" s="64"/>
      <c r="J476" s="64"/>
    </row>
    <row r="477" spans="1:10" ht="21" customHeight="1">
      <c r="A477" s="72" t="s">
        <v>208</v>
      </c>
      <c r="B477" s="73" t="s">
        <v>205</v>
      </c>
      <c r="C477" s="78">
        <f>INDEX('TH CANAM'!$A$9:$BF$63,MATCH(PDNam!$F496,'TH CANAM'!$A$9:$A$63,0),46)</f>
        <v>9.1999999999999993</v>
      </c>
      <c r="D477" s="78" t="str">
        <f>INDEX('TH CANAM'!$A$9:$BF$63,MATCH(PDNam!$F496,'TH CANAM'!$A$9:$A$63,0),47)</f>
        <v/>
      </c>
      <c r="E477" s="78" t="str">
        <f>INDEX('TH CANAM'!$A$9:$BF$63,MATCH(PDNam!$F496,'TH CANAM'!$A$9:$A$63,0),48)</f>
        <v/>
      </c>
      <c r="F477" s="73"/>
      <c r="I477" s="64"/>
      <c r="J477" s="64"/>
    </row>
    <row r="478" spans="1:10" ht="21" customHeight="1">
      <c r="A478" s="72" t="s">
        <v>209</v>
      </c>
      <c r="B478" s="72" t="s">
        <v>206</v>
      </c>
      <c r="C478" s="74" t="str">
        <f>IF(INDEX('TH CANAM'!$A$9:$BF$63,MATCH(PDNam!$F496,'TH CANAM'!$A$9:$A$63,0),49)="Tb","Trung bình",INDEX('TH CANAM'!$A$9:$BF$63,MATCH(PDNam!$F496,'TH CANAM'!$A$9:$A$63,0),49))</f>
        <v>Giỏi</v>
      </c>
      <c r="D478" s="74" t="str">
        <f>IF(INDEX('TH CANAM'!$A$9:$BF$63,MATCH(PDNam!$F496,'TH CANAM'!$A$9:$A$63,0),50)="Tb","Trung bình",INDEX('TH CANAM'!$A$9:$BF$63,MATCH(PDNam!$F496,'TH CANAM'!$A$9:$A$63,0),50))</f>
        <v/>
      </c>
      <c r="E478" s="74" t="str">
        <f>IF(INDEX('TH CANAM'!$A$9:$BF$63,MATCH(PDNam!$F496,'TH CANAM'!$A$9:$A$63,0),51)="Tb","Trung bình",INDEX('TH CANAM'!$A$9:$BF$63,MATCH(PDNam!$F496,'TH CANAM'!$A$9:$A$63,0),51))</f>
        <v/>
      </c>
      <c r="F478" s="73"/>
    </row>
    <row r="479" spans="1:10" ht="21" customHeight="1">
      <c r="A479" s="72" t="s">
        <v>210</v>
      </c>
      <c r="B479" s="72" t="s">
        <v>207</v>
      </c>
      <c r="C479" s="74" t="str">
        <f>INDEX('TH CANAM'!$A$9:$BF$63,MATCH(PDNam!$F496,'TH CANAM'!$A$9:$A$63,0),52)</f>
        <v>Tốt</v>
      </c>
      <c r="D479" s="74" t="str">
        <f>INDEX('TH CANAM'!$A$9:$BF$63,MATCH(PDNam!$F496,'TH CANAM'!$A$9:$A$63,0),53)</f>
        <v/>
      </c>
      <c r="E479" s="74" t="str">
        <f>INDEX('TH CANAM'!$A$9:$BF$63,MATCH(PDNam!$F496,'TH CANAM'!$A$9:$A$63,0),54)</f>
        <v/>
      </c>
      <c r="F479" s="73"/>
    </row>
    <row r="480" spans="1:10" ht="21" customHeight="1">
      <c r="A480" s="72" t="s">
        <v>211</v>
      </c>
      <c r="B480" s="72" t="s">
        <v>25</v>
      </c>
      <c r="C480" s="74" t="str">
        <f>IF(INDEX('TH CANAM'!$A$9:$BF$63,MATCH(PDNam!$F496,'TH CANAM'!$A$9:$A$63,0),57)&lt;&gt;"",INDEX('TH CANAM'!$A$9:$BF$63,MATCH(PDNam!$F496,'TH CANAM'!$A$9:$A$63,0),57),"/")</f>
        <v>HSG</v>
      </c>
      <c r="D480" s="74" t="str">
        <f>IF(INDEX('TH CANAM'!$A$9:$BF$63,MATCH(PDNam!$F496,'TH CANAM'!$A$9:$A$63,0),58)&lt;&gt;"",INDEX('TH CANAM'!$A$9:$BF$63,MATCH(PDNam!$F496,'TH CANAM'!$A$9:$A$63,0),58),"/")</f>
        <v>/</v>
      </c>
      <c r="E480" s="74" t="str">
        <f>IF(INDEX('TH CANAM'!$A$9:$BF$63,MATCH(PDNam!$F496,'TH CANAM'!$A$9:$A$63,0),55)&lt;&gt;"",INDEX('TH CANAM'!$A$9:$BF$63,MATCH(PDNam!$F496,'TH CANAM'!$A$9:$A$63,0),55),"/")</f>
        <v>/</v>
      </c>
      <c r="F480" s="73"/>
    </row>
    <row r="481" spans="1:10" s="60" customFormat="1" ht="9" customHeight="1">
      <c r="A481" s="67"/>
      <c r="B481" s="67"/>
      <c r="C481" s="1132"/>
      <c r="D481" s="1132"/>
      <c r="E481" s="67"/>
      <c r="F481" s="67"/>
    </row>
    <row r="482" spans="1:10" s="60" customFormat="1" ht="18.75" customHeight="1">
      <c r="A482" s="58" t="s">
        <v>219</v>
      </c>
      <c r="B482" s="57"/>
      <c r="C482" s="57"/>
      <c r="D482" s="57"/>
      <c r="E482" s="57"/>
      <c r="F482" s="475"/>
    </row>
    <row r="483" spans="1:10" s="60" customFormat="1" ht="18.75" customHeight="1">
      <c r="A483" s="59" t="str">
        <f>IF(F496&lt;&gt;"",IF(INDEX(BDHK2,MATCH(F496,DiemHKII!$B$4:$B$58,0),137)&lt;&gt;""," - "&amp;INDEX(BDHK2,MATCH(F496,DiemHKII!$B$4:$B$58,0),137),""),"")</f>
        <v/>
      </c>
      <c r="B483" s="57"/>
      <c r="C483" s="57"/>
      <c r="D483" s="57"/>
      <c r="E483" s="57"/>
      <c r="F483" s="475"/>
    </row>
    <row r="484" spans="1:10" s="60" customFormat="1" ht="18.75" customHeight="1">
      <c r="A484" s="59" t="str">
        <f>IF(F496&lt;&gt;"",IF(INDEX(BDHK2,MATCH(F496,DiemHKII!$B$4:$B$58,0),138)&lt;&gt;""," - "&amp;INDEX(BDHK2,MATCH(F496,DiemHKII!$B$4:$B$58,0),138),""),"")</f>
        <v/>
      </c>
      <c r="B484" s="57"/>
      <c r="C484" s="57"/>
      <c r="D484" s="57"/>
      <c r="E484" s="57"/>
      <c r="F484" s="475"/>
    </row>
    <row r="485" spans="1:10" s="60" customFormat="1" ht="18.75" customHeight="1">
      <c r="A485" s="59" t="str">
        <f>IF(F496&lt;&gt;"",IF(INDEX(BDHK2,MATCH(F496,DiemHKII!$B$4:$B$58,0),139)&lt;&gt;""," - "&amp;INDEX(BDHK2,MATCH(F496,DiemHKII!$B$4:$B$58,0),139),""),"")</f>
        <v/>
      </c>
      <c r="B485" s="57"/>
      <c r="C485" s="57"/>
      <c r="D485" s="57"/>
      <c r="E485" s="57"/>
      <c r="F485" s="475"/>
    </row>
    <row r="486" spans="1:10" s="60" customFormat="1" ht="18.75" customHeight="1">
      <c r="A486" s="59" t="str">
        <f>IF(F496&lt;&gt;"",IF(INDEX(BDHK2,MATCH(F496,DiemHKII!$B$4:$B$58,0),140)&lt;&gt;""," - "&amp;INDEX(BDHK2,MATCH(F496,DiemHKII!$B$4:$B$58,0),140),""),"")</f>
        <v/>
      </c>
      <c r="B486" s="57"/>
      <c r="C486" s="57"/>
      <c r="D486" s="57"/>
      <c r="E486" s="57"/>
      <c r="F486" s="67"/>
    </row>
    <row r="487" spans="1:10" ht="6" customHeight="1">
      <c r="A487" s="68"/>
      <c r="B487" s="68"/>
      <c r="C487" s="68"/>
      <c r="D487" s="68"/>
      <c r="E487" s="68"/>
      <c r="F487" s="68"/>
    </row>
    <row r="488" spans="1:10">
      <c r="A488" s="68"/>
      <c r="B488" s="68"/>
      <c r="C48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488" s="1060"/>
      <c r="E488" s="1060"/>
      <c r="F488" s="1060"/>
    </row>
    <row r="489" spans="1:10" ht="20.25" customHeight="1">
      <c r="A489" s="1012" t="str">
        <f>IF($D$39="Hiệu trưởng","Giáo viên Quản nhiệm","")</f>
        <v>Giáo viên Quản nhiệm</v>
      </c>
      <c r="B489" s="1012"/>
      <c r="C489" s="61"/>
      <c r="D489" s="1012" t="str">
        <f>IF($H$7="","",$H$7)</f>
        <v>Hiệu trưởng</v>
      </c>
      <c r="E489" s="1012"/>
      <c r="F489" s="61"/>
    </row>
    <row r="490" spans="1:10">
      <c r="A490" s="68"/>
      <c r="B490" s="68"/>
      <c r="C490" s="68"/>
      <c r="D490" s="68"/>
      <c r="E490" s="68"/>
      <c r="F490" s="68"/>
    </row>
    <row r="491" spans="1:10">
      <c r="A491" s="68"/>
      <c r="B491" s="68"/>
      <c r="C491" s="68"/>
      <c r="D491" s="68"/>
      <c r="E491" s="68"/>
      <c r="F491" s="68"/>
    </row>
    <row r="492" spans="1:10" ht="16.8">
      <c r="A492" s="68"/>
      <c r="B492" s="68"/>
      <c r="C492" s="64"/>
      <c r="D492" s="64"/>
      <c r="E492" s="64"/>
      <c r="F492" s="64"/>
      <c r="G492" s="65"/>
      <c r="H492" s="65"/>
      <c r="I492" s="65"/>
      <c r="J492" s="65"/>
    </row>
    <row r="494" spans="1:10">
      <c r="A494" s="1012" t="str">
        <f>IF($A$39="","",PROPER('Huong dan'!$C$4))</f>
        <v/>
      </c>
      <c r="B494" s="1012"/>
      <c r="D494" s="1130" t="str">
        <f>IFERROR(IF($D$39="Giáo Viên Quản nhiệm",PROPER('Huong dan'!$C$4),IF($D$39="Hiệu trưởng",PROPER('Huong dan'!$E$5),"")),"")</f>
        <v/>
      </c>
      <c r="E494" s="1130"/>
    </row>
    <row r="495" spans="1:10" ht="7.5" customHeight="1"/>
    <row r="496" spans="1:10" ht="11.25" customHeight="1">
      <c r="A496" s="75"/>
      <c r="B496" s="75"/>
      <c r="C496" s="75"/>
      <c r="D496" s="75"/>
      <c r="E496" s="75"/>
      <c r="F496" s="76">
        <f>IF(F451="","",IF(F451&lt;MAX(DiemHKII!$B$4:$B$58),F451+1,""))</f>
        <v>11</v>
      </c>
    </row>
    <row r="497" spans="1:10" s="60" customFormat="1" ht="22.5" customHeight="1">
      <c r="A497" s="1128" t="str">
        <f>IF('Huong dan'!$E$3&lt;&gt;"","SỞ GIÁO DỤC VÀ ĐÀO TẠO "&amp;UPPER('Huong dan'!$E$3),"")</f>
        <v>SỞ GIÁO DỤC VÀ ĐÀO TẠO TP. HỒ CHÍ MINH</v>
      </c>
      <c r="B497" s="1128"/>
      <c r="C497" s="1128"/>
      <c r="D497" s="1129" t="s">
        <v>19</v>
      </c>
      <c r="E497" s="1129"/>
      <c r="F497" s="1129"/>
    </row>
    <row r="498" spans="1:10" ht="17.25" customHeight="1">
      <c r="A498" s="992" t="str">
        <f>IF('Huong dan'!$E$4&lt;&gt;"","TRƯỜNG "&amp;UPPER('Huong dan'!$E$4),"")</f>
        <v>TRƯỜNG THCS VÀ THPT NGUYỄN KHUYẾN</v>
      </c>
      <c r="B498" s="992"/>
      <c r="C498" s="992"/>
      <c r="D498" s="1130" t="s">
        <v>179</v>
      </c>
      <c r="E498" s="1130"/>
      <c r="F498" s="1130"/>
    </row>
    <row r="499" spans="1:10" ht="12" customHeight="1">
      <c r="A499" s="69"/>
      <c r="B499" s="69"/>
      <c r="C499" s="30"/>
      <c r="D499" s="30"/>
      <c r="E499" s="30"/>
      <c r="F499" s="30"/>
    </row>
    <row r="500" spans="1:10" ht="18" customHeight="1">
      <c r="A500" s="69"/>
      <c r="B500" s="69"/>
      <c r="C500" s="30"/>
      <c r="D500" s="30"/>
      <c r="E500" s="30"/>
      <c r="F500" s="30"/>
    </row>
    <row r="501" spans="1:10" ht="29.25" customHeight="1">
      <c r="A501" s="1013" t="str">
        <f>"PHIẾU ĐIỂM NĂM HỌC "&amp;'Huong dan'!$C$5</f>
        <v>PHIẾU ĐIỂM NĂM HỌC 2021 - 2022</v>
      </c>
      <c r="B501" s="1013"/>
      <c r="C501" s="1013"/>
      <c r="D501" s="1013"/>
      <c r="E501" s="1013"/>
      <c r="F501" s="1013"/>
    </row>
    <row r="502" spans="1:10" ht="12.75" customHeight="1">
      <c r="A502" s="70"/>
      <c r="B502" s="66"/>
      <c r="C502" s="66"/>
      <c r="D502" s="66"/>
      <c r="E502" s="66"/>
      <c r="F502" s="66"/>
    </row>
    <row r="503" spans="1:10" ht="20.25" customHeight="1">
      <c r="A503" s="1131" t="s">
        <v>212</v>
      </c>
      <c r="B503" s="1131"/>
      <c r="C503" s="77" t="str">
        <f>IF(F541="","",INDEX(DiemHKII!$E$4:$E$58,MATCH(F541,DiemHKII!$B$4:$B$58,0),1)&amp;" "&amp;INDEX(DiemHKII!$F$4:$F$58,MATCH(F541,DiemHKII!$B$4:$B$58,0),1))</f>
        <v>Hồ Sơn Hậu</v>
      </c>
      <c r="D503" s="77"/>
      <c r="E503" s="77"/>
      <c r="F503" s="71" t="str">
        <f>IF('Huong dan'!$C$3="","","Lớp: "&amp;'Huong dan'!$C$3)</f>
        <v>Lớp: 12A1</v>
      </c>
    </row>
    <row r="504" spans="1:10" ht="24" customHeight="1">
      <c r="A504" s="1131" t="s">
        <v>213</v>
      </c>
      <c r="B504" s="1131"/>
      <c r="C504" s="77" t="str">
        <f>IF(F541="","",INDEX(DiemHKII!$G$4:$G$58,MATCH(F541,DiemHKII!$B$4:$B$58,0),1))</f>
        <v>08/01/2004</v>
      </c>
      <c r="D504" s="77"/>
      <c r="E504" s="1133" t="str">
        <f>IF(F541="","","Nơi sinh: "&amp;INDEX(DiemHKII!$H$4:$H$58,MATCH(F541,DiemHKII!$B$4:$B$58,0),1))</f>
        <v xml:space="preserve">Nơi sinh: </v>
      </c>
      <c r="F504" s="1133"/>
    </row>
    <row r="505" spans="1:10" ht="15" customHeight="1">
      <c r="A505" s="62"/>
      <c r="B505" s="62"/>
      <c r="C505" s="62"/>
      <c r="D505" s="62"/>
      <c r="E505" s="62"/>
      <c r="F505" s="63"/>
    </row>
    <row r="506" spans="1:10" ht="21" customHeight="1">
      <c r="A506" s="1134" t="s">
        <v>0</v>
      </c>
      <c r="B506" s="1134" t="s">
        <v>72</v>
      </c>
      <c r="C506" s="1134" t="s">
        <v>216</v>
      </c>
      <c r="D506" s="1134"/>
      <c r="E506" s="1134"/>
      <c r="F506" s="1134" t="s">
        <v>148</v>
      </c>
    </row>
    <row r="507" spans="1:10" ht="21" customHeight="1">
      <c r="A507" s="1134"/>
      <c r="B507" s="1134"/>
      <c r="C507" s="476" t="s">
        <v>188</v>
      </c>
      <c r="D507" s="476" t="s">
        <v>189</v>
      </c>
      <c r="E507" s="476" t="s">
        <v>190</v>
      </c>
      <c r="F507" s="1134"/>
    </row>
    <row r="508" spans="1:10" ht="21" customHeight="1">
      <c r="A508" s="72" t="s">
        <v>191</v>
      </c>
      <c r="B508" s="73" t="s">
        <v>26</v>
      </c>
      <c r="C508" s="74" t="str">
        <f>INDEX('TH CANAM'!$A$9:$BF$63,MATCH(PDNam!$F541,'TH CANAM'!$A$9:$A$63,0),INDEX($J$13:$M$30,MATCH($B508,$J$13:$J$30,0),K$12))</f>
        <v/>
      </c>
      <c r="D508" s="74" t="str">
        <f>INDEX('TH CANAM'!$A$9:$BF$63,MATCH(PDNam!$F541,'TH CANAM'!$A$9:$A$63,0),INDEX($J$13:$M$30,MATCH($B508,$J$13:$J$30,0),L$12))</f>
        <v/>
      </c>
      <c r="E508" s="74" t="str">
        <f>INDEX('TH CANAM'!$A$9:$BF$63,MATCH(PDNam!$F541,'TH CANAM'!$A$9:$A$63,0),INDEX($J$13:$M$30,MATCH($B508,$J$13:$J$30,0),M$12))</f>
        <v/>
      </c>
      <c r="F508" s="73"/>
      <c r="I508" s="64"/>
      <c r="J508" s="64"/>
    </row>
    <row r="509" spans="1:10" ht="21" customHeight="1">
      <c r="A509" s="72" t="s">
        <v>192</v>
      </c>
      <c r="B509" s="73" t="s">
        <v>27</v>
      </c>
      <c r="C509" s="74" t="str">
        <f>INDEX('TH CANAM'!$A$9:$BF$63,MATCH(PDNam!$F541,'TH CANAM'!$A$9:$A$63,0),INDEX($J$13:$M$30,MATCH($B509,$J$13:$J$30,0),K$12))</f>
        <v/>
      </c>
      <c r="D509" s="74" t="str">
        <f>INDEX('TH CANAM'!$A$9:$BF$63,MATCH(PDNam!$F541,'TH CANAM'!$A$9:$A$63,0),INDEX($J$13:$M$30,MATCH($B509,$J$13:$J$30,0),L$12))</f>
        <v/>
      </c>
      <c r="E509" s="74" t="str">
        <f>INDEX('TH CANAM'!$A$9:$BF$63,MATCH(PDNam!$F541,'TH CANAM'!$A$9:$A$63,0),INDEX($J$13:$M$30,MATCH($B509,$J$13:$J$30,0),M$12))</f>
        <v/>
      </c>
      <c r="F509" s="73"/>
      <c r="I509" s="64"/>
      <c r="J509" s="64"/>
    </row>
    <row r="510" spans="1:10" ht="21" customHeight="1">
      <c r="A510" s="72" t="s">
        <v>193</v>
      </c>
      <c r="B510" s="73" t="s">
        <v>28</v>
      </c>
      <c r="C510" s="74" t="str">
        <f>INDEX('TH CANAM'!$A$9:$BF$63,MATCH(PDNam!$F541,'TH CANAM'!$A$9:$A$63,0),INDEX($J$13:$M$30,MATCH($B510,$J$13:$J$30,0),K$12))</f>
        <v/>
      </c>
      <c r="D510" s="74" t="str">
        <f>INDEX('TH CANAM'!$A$9:$BF$63,MATCH(PDNam!$F541,'TH CANAM'!$A$9:$A$63,0),INDEX($J$13:$M$30,MATCH($B510,$J$13:$J$30,0),L$12))</f>
        <v/>
      </c>
      <c r="E510" s="74" t="str">
        <f>INDEX('TH CANAM'!$A$9:$BF$63,MATCH(PDNam!$F541,'TH CANAM'!$A$9:$A$63,0),INDEX($J$13:$M$30,MATCH($B510,$J$13:$J$30,0),M$12))</f>
        <v/>
      </c>
      <c r="F510" s="73"/>
      <c r="I510" s="64"/>
      <c r="J510" s="64"/>
    </row>
    <row r="511" spans="1:10" ht="21" customHeight="1">
      <c r="A511" s="72" t="s">
        <v>194</v>
      </c>
      <c r="B511" s="73" t="s">
        <v>29</v>
      </c>
      <c r="C511" s="74" t="str">
        <f>INDEX('TH CANAM'!$A$9:$BF$63,MATCH(PDNam!$F541,'TH CANAM'!$A$9:$A$63,0),INDEX($J$13:$M$30,MATCH($B511,$J$13:$J$30,0),K$12))</f>
        <v/>
      </c>
      <c r="D511" s="74" t="str">
        <f>INDEX('TH CANAM'!$A$9:$BF$63,MATCH(PDNam!$F541,'TH CANAM'!$A$9:$A$63,0),INDEX($J$13:$M$30,MATCH($B511,$J$13:$J$30,0),L$12))</f>
        <v/>
      </c>
      <c r="E511" s="74" t="str">
        <f>INDEX('TH CANAM'!$A$9:$BF$63,MATCH(PDNam!$F541,'TH CANAM'!$A$9:$A$63,0),INDEX($J$13:$M$30,MATCH($B511,$J$13:$J$30,0),M$12))</f>
        <v/>
      </c>
      <c r="F511" s="73"/>
      <c r="I511" s="64"/>
      <c r="J511" s="64"/>
    </row>
    <row r="512" spans="1:10" ht="21" customHeight="1">
      <c r="A512" s="72" t="s">
        <v>195</v>
      </c>
      <c r="B512" s="73" t="s">
        <v>120</v>
      </c>
      <c r="C512" s="74" t="str">
        <f>INDEX('TH CANAM'!$A$9:$BF$63,MATCH(PDNam!$F541,'TH CANAM'!$A$9:$A$63,0),INDEX($J$13:$M$30,MATCH($B512,$J$13:$J$30,0),K$12))</f>
        <v/>
      </c>
      <c r="D512" s="74" t="str">
        <f>INDEX('TH CANAM'!$A$9:$BF$63,MATCH(PDNam!$F541,'TH CANAM'!$A$9:$A$63,0),INDEX($J$13:$M$30,MATCH($B512,$J$13:$J$30,0),L$12))</f>
        <v/>
      </c>
      <c r="E512" s="74" t="str">
        <f>INDEX('TH CANAM'!$A$9:$BF$63,MATCH(PDNam!$F541,'TH CANAM'!$A$9:$A$63,0),INDEX($J$13:$M$30,MATCH($B512,$J$13:$J$30,0),M$12))</f>
        <v/>
      </c>
      <c r="F512" s="73"/>
      <c r="I512" s="64"/>
      <c r="J512" s="64"/>
    </row>
    <row r="513" spans="1:10" ht="21" customHeight="1">
      <c r="A513" s="72" t="s">
        <v>196</v>
      </c>
      <c r="B513" s="73" t="s">
        <v>30</v>
      </c>
      <c r="C513" s="74" t="str">
        <f>INDEX('TH CANAM'!$A$9:$BF$63,MATCH(PDNam!$F541,'TH CANAM'!$A$9:$A$63,0),INDEX($J$13:$M$30,MATCH($B513,$J$13:$J$30,0),K$12))</f>
        <v/>
      </c>
      <c r="D513" s="74" t="str">
        <f>INDEX('TH CANAM'!$A$9:$BF$63,MATCH(PDNam!$F541,'TH CANAM'!$A$9:$A$63,0),INDEX($J$13:$M$30,MATCH($B513,$J$13:$J$30,0),L$12))</f>
        <v/>
      </c>
      <c r="E513" s="74" t="str">
        <f>INDEX('TH CANAM'!$A$9:$BF$63,MATCH(PDNam!$F541,'TH CANAM'!$A$9:$A$63,0),INDEX($J$13:$M$30,MATCH($B513,$J$13:$J$30,0),M$12))</f>
        <v/>
      </c>
      <c r="F513" s="73"/>
      <c r="I513" s="64"/>
      <c r="J513" s="64"/>
    </row>
    <row r="514" spans="1:10" ht="21" customHeight="1">
      <c r="A514" s="72" t="s">
        <v>197</v>
      </c>
      <c r="B514" s="73" t="s">
        <v>31</v>
      </c>
      <c r="C514" s="74" t="str">
        <f>INDEX('TH CANAM'!$A$9:$BF$63,MATCH(PDNam!$F541,'TH CANAM'!$A$9:$A$63,0),INDEX($J$13:$M$30,MATCH($B514,$J$13:$J$30,0),K$12))</f>
        <v/>
      </c>
      <c r="D514" s="74" t="str">
        <f>INDEX('TH CANAM'!$A$9:$BF$63,MATCH(PDNam!$F541,'TH CANAM'!$A$9:$A$63,0),INDEX($J$13:$M$30,MATCH($B514,$J$13:$J$30,0),L$12))</f>
        <v/>
      </c>
      <c r="E514" s="74" t="str">
        <f>INDEX('TH CANAM'!$A$9:$BF$63,MATCH(PDNam!$F541,'TH CANAM'!$A$9:$A$63,0),INDEX($J$13:$M$30,MATCH($B514,$J$13:$J$30,0),M$12))</f>
        <v/>
      </c>
      <c r="F514" s="73"/>
      <c r="I514" s="64"/>
      <c r="J514" s="64"/>
    </row>
    <row r="515" spans="1:10" ht="21" customHeight="1">
      <c r="A515" s="72" t="s">
        <v>198</v>
      </c>
      <c r="B515" s="73" t="s">
        <v>32</v>
      </c>
      <c r="C515" s="74" t="str">
        <f>INDEX('TH CANAM'!$A$9:$BF$63,MATCH(PDNam!$F541,'TH CANAM'!$A$9:$A$63,0),INDEX($J$13:$M$30,MATCH($B515,$J$13:$J$30,0),K$12))</f>
        <v/>
      </c>
      <c r="D515" s="74" t="str">
        <f>INDEX('TH CANAM'!$A$9:$BF$63,MATCH(PDNam!$F541,'TH CANAM'!$A$9:$A$63,0),INDEX($J$13:$M$30,MATCH($B515,$J$13:$J$30,0),L$12))</f>
        <v/>
      </c>
      <c r="E515" s="74" t="str">
        <f>INDEX('TH CANAM'!$A$9:$BF$63,MATCH(PDNam!$F541,'TH CANAM'!$A$9:$A$63,0),INDEX($J$13:$M$30,MATCH($B515,$J$13:$J$30,0),M$12))</f>
        <v/>
      </c>
      <c r="F515" s="73"/>
      <c r="I515" s="64"/>
      <c r="J515" s="64"/>
    </row>
    <row r="516" spans="1:10" ht="21" customHeight="1">
      <c r="A516" s="72" t="s">
        <v>199</v>
      </c>
      <c r="B516" s="73" t="s">
        <v>33</v>
      </c>
      <c r="C516" s="74" t="str">
        <f>INDEX('TH CANAM'!$A$9:$BF$63,MATCH(PDNam!$F541,'TH CANAM'!$A$9:$A$63,0),INDEX($J$13:$M$30,MATCH($B516,$J$13:$J$30,0),K$12))</f>
        <v/>
      </c>
      <c r="D516" s="74" t="str">
        <f>INDEX('TH CANAM'!$A$9:$BF$63,MATCH(PDNam!$F541,'TH CANAM'!$A$9:$A$63,0),INDEX($J$13:$M$30,MATCH($B516,$J$13:$J$30,0),L$12))</f>
        <v/>
      </c>
      <c r="E516" s="74" t="str">
        <f>INDEX('TH CANAM'!$A$9:$BF$63,MATCH(PDNam!$F541,'TH CANAM'!$A$9:$A$63,0),INDEX($J$13:$M$30,MATCH($B516,$J$13:$J$30,0),M$12))</f>
        <v/>
      </c>
      <c r="F516" s="73"/>
      <c r="I516" s="64"/>
      <c r="J516" s="64"/>
    </row>
    <row r="517" spans="1:10" ht="21" customHeight="1">
      <c r="A517" s="72" t="s">
        <v>200</v>
      </c>
      <c r="B517" s="73" t="s">
        <v>60</v>
      </c>
      <c r="C517" s="74" t="str">
        <f>INDEX('TH CANAM'!$A$9:$BF$63,MATCH(PDNam!$F541,'TH CANAM'!$A$9:$A$63,0),INDEX($J$13:$M$30,MATCH($B517,$J$13:$J$30,0),K$12))</f>
        <v/>
      </c>
      <c r="D517" s="74" t="str">
        <f>INDEX('TH CANAM'!$A$9:$BF$63,MATCH(PDNam!$F541,'TH CANAM'!$A$9:$A$63,0),INDEX($J$13:$M$30,MATCH($B517,$J$13:$J$30,0),L$12))</f>
        <v/>
      </c>
      <c r="E517" s="74" t="str">
        <f>INDEX('TH CANAM'!$A$9:$BF$63,MATCH(PDNam!$F541,'TH CANAM'!$A$9:$A$63,0),INDEX($J$13:$M$30,MATCH($B517,$J$13:$J$30,0),M$12))</f>
        <v/>
      </c>
      <c r="F517" s="73"/>
      <c r="I517" s="64"/>
      <c r="J517" s="64"/>
    </row>
    <row r="518" spans="1:10" ht="21" customHeight="1">
      <c r="A518" s="72" t="s">
        <v>201</v>
      </c>
      <c r="B518" s="73" t="s">
        <v>34</v>
      </c>
      <c r="C518" s="74" t="str">
        <f>INDEX('TH CANAM'!$A$9:$BF$63,MATCH(PDNam!$F541,'TH CANAM'!$A$9:$A$63,0),INDEX($J$13:$M$30,MATCH($B518,$J$13:$J$30,0),K$12))</f>
        <v/>
      </c>
      <c r="D518" s="74" t="str">
        <f>INDEX('TH CANAM'!$A$9:$BF$63,MATCH(PDNam!$F541,'TH CANAM'!$A$9:$A$63,0),INDEX($J$13:$M$30,MATCH($B518,$J$13:$J$30,0),L$12))</f>
        <v/>
      </c>
      <c r="E518" s="74" t="str">
        <f>INDEX('TH CANAM'!$A$9:$BF$63,MATCH(PDNam!$F541,'TH CANAM'!$A$9:$A$63,0),INDEX($J$13:$M$30,MATCH($B518,$J$13:$J$30,0),M$12))</f>
        <v/>
      </c>
      <c r="F518" s="73"/>
      <c r="I518" s="64"/>
      <c r="J518" s="64"/>
    </row>
    <row r="519" spans="1:10" ht="21" customHeight="1">
      <c r="A519" s="72" t="s">
        <v>202</v>
      </c>
      <c r="B519" s="73" t="s">
        <v>35</v>
      </c>
      <c r="C519" s="74" t="str">
        <f>INDEX('TH CANAM'!$A$9:$BF$63,MATCH(PDNam!$F541,'TH CANAM'!$A$9:$A$63,0),INDEX($J$13:$M$30,MATCH($B519,$J$13:$J$30,0),K$12))</f>
        <v/>
      </c>
      <c r="D519" s="74" t="str">
        <f>INDEX('TH CANAM'!$A$9:$BF$63,MATCH(PDNam!$F541,'TH CANAM'!$A$9:$A$63,0),INDEX($J$13:$M$30,MATCH($B519,$J$13:$J$30,0),L$12))</f>
        <v/>
      </c>
      <c r="E519" s="74" t="str">
        <f>INDEX('TH CANAM'!$A$9:$BF$63,MATCH(PDNam!$F541,'TH CANAM'!$A$9:$A$63,0),INDEX($J$13:$M$30,MATCH($B519,$J$13:$J$30,0),M$12))</f>
        <v/>
      </c>
      <c r="F519" s="73"/>
      <c r="I519" s="64"/>
      <c r="J519" s="64"/>
    </row>
    <row r="520" spans="1:10" ht="21" customHeight="1">
      <c r="A520" s="72" t="s">
        <v>203</v>
      </c>
      <c r="B520" s="73" t="s">
        <v>121</v>
      </c>
      <c r="C520" s="74" t="str">
        <f>INDEX('TH CANAM'!$A$9:$BF$63,MATCH(PDNam!$F541,'TH CANAM'!$A$9:$A$63,0),INDEX($J$13:$M$30,MATCH($B520,$J$13:$J$30,0),K$12))</f>
        <v/>
      </c>
      <c r="D520" s="74" t="str">
        <f>INDEX('TH CANAM'!$A$9:$BF$63,MATCH(PDNam!$F541,'TH CANAM'!$A$9:$A$63,0),INDEX($J$13:$M$30,MATCH($B520,$J$13:$J$30,0),L$12))</f>
        <v/>
      </c>
      <c r="E520" s="74" t="str">
        <f>INDEX('TH CANAM'!$A$9:$BF$63,MATCH(PDNam!$F541,'TH CANAM'!$A$9:$A$63,0),INDEX($J$13:$M$30,MATCH($B520,$J$13:$J$30,0),M$12))</f>
        <v/>
      </c>
      <c r="F520" s="73"/>
      <c r="I520" s="64"/>
      <c r="J520" s="64"/>
    </row>
    <row r="521" spans="1:10" ht="21" customHeight="1">
      <c r="A521" s="72" t="s">
        <v>204</v>
      </c>
      <c r="B521" s="73" t="s">
        <v>122</v>
      </c>
      <c r="C521" s="74" t="str">
        <f>INDEX('TH CANAM'!$A$9:$BF$63,MATCH(PDNam!$F541,'TH CANAM'!$A$9:$A$63,0),INDEX($J$13:$M$30,MATCH($B521,$J$13:$J$30,0),K$12))</f>
        <v/>
      </c>
      <c r="D521" s="74" t="str">
        <f>INDEX('TH CANAM'!$A$9:$BF$63,MATCH(PDNam!$F541,'TH CANAM'!$A$9:$A$63,0),INDEX($J$13:$M$30,MATCH($B521,$J$13:$J$30,0),L$12))</f>
        <v/>
      </c>
      <c r="E521" s="74" t="str">
        <f>INDEX('TH CANAM'!$A$9:$BF$63,MATCH(PDNam!$F541,'TH CANAM'!$A$9:$A$63,0),INDEX($J$13:$M$30,MATCH($B521,$J$13:$J$30,0),M$12))</f>
        <v/>
      </c>
      <c r="F521" s="73"/>
      <c r="I521" s="64"/>
      <c r="J521" s="64"/>
    </row>
    <row r="522" spans="1:10" ht="21" customHeight="1">
      <c r="A522" s="72" t="s">
        <v>208</v>
      </c>
      <c r="B522" s="73" t="s">
        <v>205</v>
      </c>
      <c r="C522" s="78">
        <f>INDEX('TH CANAM'!$A$9:$BF$63,MATCH(PDNam!$F541,'TH CANAM'!$A$9:$A$63,0),46)</f>
        <v>9.1999999999999993</v>
      </c>
      <c r="D522" s="78" t="str">
        <f>INDEX('TH CANAM'!$A$9:$BF$63,MATCH(PDNam!$F541,'TH CANAM'!$A$9:$A$63,0),47)</f>
        <v/>
      </c>
      <c r="E522" s="78" t="str">
        <f>INDEX('TH CANAM'!$A$9:$BF$63,MATCH(PDNam!$F541,'TH CANAM'!$A$9:$A$63,0),48)</f>
        <v/>
      </c>
      <c r="F522" s="73"/>
      <c r="I522" s="64"/>
      <c r="J522" s="64"/>
    </row>
    <row r="523" spans="1:10" ht="21" customHeight="1">
      <c r="A523" s="72" t="s">
        <v>209</v>
      </c>
      <c r="B523" s="72" t="s">
        <v>206</v>
      </c>
      <c r="C523" s="74" t="str">
        <f>IF(INDEX('TH CANAM'!$A$9:$BF$63,MATCH(PDNam!$F541,'TH CANAM'!$A$9:$A$63,0),49)="Tb","Trung bình",INDEX('TH CANAM'!$A$9:$BF$63,MATCH(PDNam!$F541,'TH CANAM'!$A$9:$A$63,0),49))</f>
        <v>Giỏi</v>
      </c>
      <c r="D523" s="74" t="str">
        <f>IF(INDEX('TH CANAM'!$A$9:$BF$63,MATCH(PDNam!$F541,'TH CANAM'!$A$9:$A$63,0),50)="Tb","Trung bình",INDEX('TH CANAM'!$A$9:$BF$63,MATCH(PDNam!$F541,'TH CANAM'!$A$9:$A$63,0),50))</f>
        <v/>
      </c>
      <c r="E523" s="74" t="str">
        <f>IF(INDEX('TH CANAM'!$A$9:$BF$63,MATCH(PDNam!$F541,'TH CANAM'!$A$9:$A$63,0),51)="Tb","Trung bình",INDEX('TH CANAM'!$A$9:$BF$63,MATCH(PDNam!$F541,'TH CANAM'!$A$9:$A$63,0),51))</f>
        <v/>
      </c>
      <c r="F523" s="73"/>
    </row>
    <row r="524" spans="1:10" ht="21" customHeight="1">
      <c r="A524" s="72" t="s">
        <v>210</v>
      </c>
      <c r="B524" s="72" t="s">
        <v>207</v>
      </c>
      <c r="C524" s="74" t="str">
        <f>INDEX('TH CANAM'!$A$9:$BF$63,MATCH(PDNam!$F541,'TH CANAM'!$A$9:$A$63,0),52)</f>
        <v>Tốt</v>
      </c>
      <c r="D524" s="74" t="str">
        <f>INDEX('TH CANAM'!$A$9:$BF$63,MATCH(PDNam!$F541,'TH CANAM'!$A$9:$A$63,0),53)</f>
        <v/>
      </c>
      <c r="E524" s="74" t="str">
        <f>INDEX('TH CANAM'!$A$9:$BF$63,MATCH(PDNam!$F541,'TH CANAM'!$A$9:$A$63,0),54)</f>
        <v/>
      </c>
      <c r="F524" s="73"/>
    </row>
    <row r="525" spans="1:10" ht="21" customHeight="1">
      <c r="A525" s="72" t="s">
        <v>211</v>
      </c>
      <c r="B525" s="72" t="s">
        <v>25</v>
      </c>
      <c r="C525" s="74" t="str">
        <f>IF(INDEX('TH CANAM'!$A$9:$BF$63,MATCH(PDNam!$F541,'TH CANAM'!$A$9:$A$63,0),57)&lt;&gt;"",INDEX('TH CANAM'!$A$9:$BF$63,MATCH(PDNam!$F541,'TH CANAM'!$A$9:$A$63,0),57),"/")</f>
        <v>HSG</v>
      </c>
      <c r="D525" s="74" t="str">
        <f>IF(INDEX('TH CANAM'!$A$9:$BF$63,MATCH(PDNam!$F541,'TH CANAM'!$A$9:$A$63,0),58)&lt;&gt;"",INDEX('TH CANAM'!$A$9:$BF$63,MATCH(PDNam!$F541,'TH CANAM'!$A$9:$A$63,0),58),"/")</f>
        <v>/</v>
      </c>
      <c r="E525" s="74" t="str">
        <f>IF(INDEX('TH CANAM'!$A$9:$BF$63,MATCH(PDNam!$F541,'TH CANAM'!$A$9:$A$63,0),55)&lt;&gt;"",INDEX('TH CANAM'!$A$9:$BF$63,MATCH(PDNam!$F541,'TH CANAM'!$A$9:$A$63,0),55),"/")</f>
        <v>/</v>
      </c>
      <c r="F525" s="73"/>
    </row>
    <row r="526" spans="1:10" s="60" customFormat="1" ht="9" customHeight="1">
      <c r="A526" s="67"/>
      <c r="B526" s="67"/>
      <c r="C526" s="1132"/>
      <c r="D526" s="1132"/>
      <c r="E526" s="67"/>
      <c r="F526" s="67"/>
    </row>
    <row r="527" spans="1:10" s="60" customFormat="1" ht="18.75" customHeight="1">
      <c r="A527" s="58" t="s">
        <v>219</v>
      </c>
      <c r="B527" s="57"/>
      <c r="C527" s="57"/>
      <c r="D527" s="57"/>
      <c r="E527" s="57"/>
      <c r="F527" s="475"/>
    </row>
    <row r="528" spans="1:10" s="60" customFormat="1" ht="18.75" customHeight="1">
      <c r="A528" s="59" t="str">
        <f>IF(F541&lt;&gt;"",IF(INDEX(BDHK2,MATCH(F541,DiemHKII!$B$4:$B$58,0),137)&lt;&gt;""," - "&amp;INDEX(BDHK2,MATCH(F541,DiemHKII!$B$4:$B$58,0),137),""),"")</f>
        <v/>
      </c>
      <c r="B528" s="57"/>
      <c r="C528" s="57"/>
      <c r="D528" s="57"/>
      <c r="E528" s="57"/>
      <c r="F528" s="475"/>
    </row>
    <row r="529" spans="1:10" s="60" customFormat="1" ht="18.75" customHeight="1">
      <c r="A529" s="59" t="str">
        <f>IF(F541&lt;&gt;"",IF(INDEX(BDHK2,MATCH(F541,DiemHKII!$B$4:$B$58,0),138)&lt;&gt;""," - "&amp;INDEX(BDHK2,MATCH(F541,DiemHKII!$B$4:$B$58,0),138),""),"")</f>
        <v/>
      </c>
      <c r="B529" s="57"/>
      <c r="C529" s="57"/>
      <c r="D529" s="57"/>
      <c r="E529" s="57"/>
      <c r="F529" s="475"/>
    </row>
    <row r="530" spans="1:10" s="60" customFormat="1" ht="18.75" customHeight="1">
      <c r="A530" s="59" t="str">
        <f>IF(F541&lt;&gt;"",IF(INDEX(BDHK2,MATCH(F541,DiemHKII!$B$4:$B$58,0),139)&lt;&gt;""," - "&amp;INDEX(BDHK2,MATCH(F541,DiemHKII!$B$4:$B$58,0),139),""),"")</f>
        <v/>
      </c>
      <c r="B530" s="57"/>
      <c r="C530" s="57"/>
      <c r="D530" s="57"/>
      <c r="E530" s="57"/>
      <c r="F530" s="475"/>
    </row>
    <row r="531" spans="1:10" s="60" customFormat="1" ht="18.75" customHeight="1">
      <c r="A531" s="59" t="str">
        <f>IF(F541&lt;&gt;"",IF(INDEX(BDHK2,MATCH(F541,DiemHKII!$B$4:$B$58,0),140)&lt;&gt;""," - "&amp;INDEX(BDHK2,MATCH(F541,DiemHKII!$B$4:$B$58,0),140),""),"")</f>
        <v/>
      </c>
      <c r="B531" s="57"/>
      <c r="C531" s="57"/>
      <c r="D531" s="57"/>
      <c r="E531" s="57"/>
      <c r="F531" s="67"/>
    </row>
    <row r="532" spans="1:10" ht="6" customHeight="1">
      <c r="A532" s="68"/>
      <c r="B532" s="68"/>
      <c r="C532" s="68"/>
      <c r="D532" s="68"/>
      <c r="E532" s="68"/>
      <c r="F532" s="68"/>
    </row>
    <row r="533" spans="1:10">
      <c r="A533" s="68"/>
      <c r="B533" s="68"/>
      <c r="C53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533" s="1060"/>
      <c r="E533" s="1060"/>
      <c r="F533" s="1060"/>
    </row>
    <row r="534" spans="1:10" ht="20.25" customHeight="1">
      <c r="A534" s="1012" t="str">
        <f>IF($D$39="Hiệu trưởng","Giáo viên Quản nhiệm","")</f>
        <v>Giáo viên Quản nhiệm</v>
      </c>
      <c r="B534" s="1012"/>
      <c r="C534" s="61"/>
      <c r="D534" s="1012" t="str">
        <f>IF($H$7="","",$H$7)</f>
        <v>Hiệu trưởng</v>
      </c>
      <c r="E534" s="1012"/>
      <c r="F534" s="61"/>
    </row>
    <row r="535" spans="1:10">
      <c r="A535" s="68"/>
      <c r="B535" s="68"/>
      <c r="C535" s="68"/>
      <c r="D535" s="68"/>
      <c r="E535" s="68"/>
      <c r="F535" s="68"/>
    </row>
    <row r="536" spans="1:10">
      <c r="A536" s="68"/>
      <c r="B536" s="68"/>
      <c r="C536" s="68"/>
      <c r="D536" s="68"/>
      <c r="E536" s="68"/>
      <c r="F536" s="68"/>
    </row>
    <row r="537" spans="1:10" ht="16.8">
      <c r="A537" s="68"/>
      <c r="B537" s="68"/>
      <c r="C537" s="64"/>
      <c r="D537" s="64"/>
      <c r="E537" s="64"/>
      <c r="F537" s="64"/>
      <c r="G537" s="65"/>
      <c r="H537" s="65"/>
      <c r="I537" s="65"/>
      <c r="J537" s="65"/>
    </row>
    <row r="539" spans="1:10">
      <c r="A539" s="1012" t="str">
        <f>IF($A$39="","",PROPER('Huong dan'!$C$4))</f>
        <v/>
      </c>
      <c r="B539" s="1012"/>
      <c r="D539" s="1130" t="str">
        <f>IFERROR(IF($D$39="Giáo Viên Quản nhiệm",PROPER('Huong dan'!$C$4),IF($D$39="Hiệu trưởng",PROPER('Huong dan'!$E$5),"")),"")</f>
        <v/>
      </c>
      <c r="E539" s="1130"/>
    </row>
    <row r="540" spans="1:10" ht="7.5" customHeight="1"/>
    <row r="541" spans="1:10" ht="11.25" customHeight="1">
      <c r="A541" s="75"/>
      <c r="B541" s="75"/>
      <c r="C541" s="75"/>
      <c r="D541" s="75"/>
      <c r="E541" s="75"/>
      <c r="F541" s="76">
        <f>IF(F496="","",IF(F496&lt;MAX(DiemHKII!$B$4:$B$58),F496+1,""))</f>
        <v>12</v>
      </c>
    </row>
    <row r="542" spans="1:10" s="60" customFormat="1" ht="22.5" customHeight="1">
      <c r="A542" s="1128" t="str">
        <f>IF('Huong dan'!$E$3&lt;&gt;"","SỞ GIÁO DỤC VÀ ĐÀO TẠO "&amp;UPPER('Huong dan'!$E$3),"")</f>
        <v>SỞ GIÁO DỤC VÀ ĐÀO TẠO TP. HỒ CHÍ MINH</v>
      </c>
      <c r="B542" s="1128"/>
      <c r="C542" s="1128"/>
      <c r="D542" s="1129" t="s">
        <v>19</v>
      </c>
      <c r="E542" s="1129"/>
      <c r="F542" s="1129"/>
    </row>
    <row r="543" spans="1:10" ht="17.25" customHeight="1">
      <c r="A543" s="992" t="str">
        <f>IF('Huong dan'!$E$4&lt;&gt;"","TRƯỜNG "&amp;UPPER('Huong dan'!$E$4),"")</f>
        <v>TRƯỜNG THCS VÀ THPT NGUYỄN KHUYẾN</v>
      </c>
      <c r="B543" s="992"/>
      <c r="C543" s="992"/>
      <c r="D543" s="1130" t="s">
        <v>179</v>
      </c>
      <c r="E543" s="1130"/>
      <c r="F543" s="1130"/>
    </row>
    <row r="544" spans="1:10" ht="12" customHeight="1">
      <c r="A544" s="69"/>
      <c r="B544" s="69"/>
      <c r="C544" s="30"/>
      <c r="D544" s="30"/>
      <c r="E544" s="30"/>
      <c r="F544" s="30"/>
    </row>
    <row r="545" spans="1:10" ht="18" customHeight="1">
      <c r="A545" s="69"/>
      <c r="B545" s="69"/>
      <c r="C545" s="30"/>
      <c r="D545" s="30"/>
      <c r="E545" s="30"/>
      <c r="F545" s="30"/>
    </row>
    <row r="546" spans="1:10" ht="29.25" customHeight="1">
      <c r="A546" s="1013" t="str">
        <f>"PHIẾU ĐIỂM NĂM HỌC "&amp;'Huong dan'!$C$5</f>
        <v>PHIẾU ĐIỂM NĂM HỌC 2021 - 2022</v>
      </c>
      <c r="B546" s="1013"/>
      <c r="C546" s="1013"/>
      <c r="D546" s="1013"/>
      <c r="E546" s="1013"/>
      <c r="F546" s="1013"/>
    </row>
    <row r="547" spans="1:10" ht="12.75" customHeight="1">
      <c r="A547" s="70"/>
      <c r="B547" s="66"/>
      <c r="C547" s="66"/>
      <c r="D547" s="66"/>
      <c r="E547" s="66"/>
      <c r="F547" s="66"/>
    </row>
    <row r="548" spans="1:10" ht="20.25" customHeight="1">
      <c r="A548" s="1131" t="s">
        <v>212</v>
      </c>
      <c r="B548" s="1131"/>
      <c r="C548" s="77" t="str">
        <f>IF(F586="","",INDEX(DiemHKII!$E$4:$E$58,MATCH(F586,DiemHKII!$B$4:$B$58,0),1)&amp;" "&amp;INDEX(DiemHKII!$F$4:$F$58,MATCH(F586,DiemHKII!$B$4:$B$58,0),1))</f>
        <v>Nguyễn Thị Thu  Hiền</v>
      </c>
      <c r="D548" s="77"/>
      <c r="E548" s="77"/>
      <c r="F548" s="71" t="str">
        <f>IF('Huong dan'!$C$3="","","Lớp: "&amp;'Huong dan'!$C$3)</f>
        <v>Lớp: 12A1</v>
      </c>
    </row>
    <row r="549" spans="1:10" ht="24" customHeight="1">
      <c r="A549" s="1131" t="s">
        <v>213</v>
      </c>
      <c r="B549" s="1131"/>
      <c r="C549" s="77" t="str">
        <f>IF(F586="","",INDEX(DiemHKII!$G$4:$G$58,MATCH(F586,DiemHKII!$B$4:$B$58,0),1))</f>
        <v>20/05/2004</v>
      </c>
      <c r="D549" s="77"/>
      <c r="E549" s="1133" t="str">
        <f>IF(F586="","","Nơi sinh: "&amp;INDEX(DiemHKII!$H$4:$H$58,MATCH(F586,DiemHKII!$B$4:$B$58,0),1))</f>
        <v xml:space="preserve">Nơi sinh: </v>
      </c>
      <c r="F549" s="1133"/>
    </row>
    <row r="550" spans="1:10" ht="15" customHeight="1">
      <c r="A550" s="62"/>
      <c r="B550" s="62"/>
      <c r="C550" s="62"/>
      <c r="D550" s="62"/>
      <c r="E550" s="62"/>
      <c r="F550" s="63"/>
    </row>
    <row r="551" spans="1:10" ht="21" customHeight="1">
      <c r="A551" s="1134" t="s">
        <v>0</v>
      </c>
      <c r="B551" s="1134" t="s">
        <v>72</v>
      </c>
      <c r="C551" s="1134" t="s">
        <v>216</v>
      </c>
      <c r="D551" s="1134"/>
      <c r="E551" s="1134"/>
      <c r="F551" s="1134" t="s">
        <v>148</v>
      </c>
    </row>
    <row r="552" spans="1:10" ht="21" customHeight="1">
      <c r="A552" s="1134"/>
      <c r="B552" s="1134"/>
      <c r="C552" s="476" t="s">
        <v>188</v>
      </c>
      <c r="D552" s="476" t="s">
        <v>189</v>
      </c>
      <c r="E552" s="476" t="s">
        <v>190</v>
      </c>
      <c r="F552" s="1134"/>
    </row>
    <row r="553" spans="1:10" ht="21" customHeight="1">
      <c r="A553" s="72" t="s">
        <v>191</v>
      </c>
      <c r="B553" s="73" t="s">
        <v>26</v>
      </c>
      <c r="C553" s="74" t="str">
        <f>INDEX('TH CANAM'!$A$9:$BF$63,MATCH(PDNam!$F586,'TH CANAM'!$A$9:$A$63,0),INDEX($J$13:$M$30,MATCH($B553,$J$13:$J$30,0),K$12))</f>
        <v/>
      </c>
      <c r="D553" s="74" t="str">
        <f>INDEX('TH CANAM'!$A$9:$BF$63,MATCH(PDNam!$F586,'TH CANAM'!$A$9:$A$63,0),INDEX($J$13:$M$30,MATCH($B553,$J$13:$J$30,0),L$12))</f>
        <v/>
      </c>
      <c r="E553" s="74" t="str">
        <f>INDEX('TH CANAM'!$A$9:$BF$63,MATCH(PDNam!$F586,'TH CANAM'!$A$9:$A$63,0),INDEX($J$13:$M$30,MATCH($B553,$J$13:$J$30,0),M$12))</f>
        <v/>
      </c>
      <c r="F553" s="73"/>
      <c r="I553" s="64"/>
      <c r="J553" s="64"/>
    </row>
    <row r="554" spans="1:10" ht="21" customHeight="1">
      <c r="A554" s="72" t="s">
        <v>192</v>
      </c>
      <c r="B554" s="73" t="s">
        <v>27</v>
      </c>
      <c r="C554" s="74" t="str">
        <f>INDEX('TH CANAM'!$A$9:$BF$63,MATCH(PDNam!$F586,'TH CANAM'!$A$9:$A$63,0),INDEX($J$13:$M$30,MATCH($B554,$J$13:$J$30,0),K$12))</f>
        <v/>
      </c>
      <c r="D554" s="74" t="str">
        <f>INDEX('TH CANAM'!$A$9:$BF$63,MATCH(PDNam!$F586,'TH CANAM'!$A$9:$A$63,0),INDEX($J$13:$M$30,MATCH($B554,$J$13:$J$30,0),L$12))</f>
        <v/>
      </c>
      <c r="E554" s="74" t="str">
        <f>INDEX('TH CANAM'!$A$9:$BF$63,MATCH(PDNam!$F586,'TH CANAM'!$A$9:$A$63,0),INDEX($J$13:$M$30,MATCH($B554,$J$13:$J$30,0),M$12))</f>
        <v/>
      </c>
      <c r="F554" s="73"/>
      <c r="I554" s="64"/>
      <c r="J554" s="64"/>
    </row>
    <row r="555" spans="1:10" ht="21" customHeight="1">
      <c r="A555" s="72" t="s">
        <v>193</v>
      </c>
      <c r="B555" s="73" t="s">
        <v>28</v>
      </c>
      <c r="C555" s="74" t="str">
        <f>INDEX('TH CANAM'!$A$9:$BF$63,MATCH(PDNam!$F586,'TH CANAM'!$A$9:$A$63,0),INDEX($J$13:$M$30,MATCH($B555,$J$13:$J$30,0),K$12))</f>
        <v/>
      </c>
      <c r="D555" s="74" t="str">
        <f>INDEX('TH CANAM'!$A$9:$BF$63,MATCH(PDNam!$F586,'TH CANAM'!$A$9:$A$63,0),INDEX($J$13:$M$30,MATCH($B555,$J$13:$J$30,0),L$12))</f>
        <v/>
      </c>
      <c r="E555" s="74" t="str">
        <f>INDEX('TH CANAM'!$A$9:$BF$63,MATCH(PDNam!$F586,'TH CANAM'!$A$9:$A$63,0),INDEX($J$13:$M$30,MATCH($B555,$J$13:$J$30,0),M$12))</f>
        <v/>
      </c>
      <c r="F555" s="73"/>
      <c r="I555" s="64"/>
      <c r="J555" s="64"/>
    </row>
    <row r="556" spans="1:10" ht="21" customHeight="1">
      <c r="A556" s="72" t="s">
        <v>194</v>
      </c>
      <c r="B556" s="73" t="s">
        <v>29</v>
      </c>
      <c r="C556" s="74" t="str">
        <f>INDEX('TH CANAM'!$A$9:$BF$63,MATCH(PDNam!$F586,'TH CANAM'!$A$9:$A$63,0),INDEX($J$13:$M$30,MATCH($B556,$J$13:$J$30,0),K$12))</f>
        <v/>
      </c>
      <c r="D556" s="74" t="str">
        <f>INDEX('TH CANAM'!$A$9:$BF$63,MATCH(PDNam!$F586,'TH CANAM'!$A$9:$A$63,0),INDEX($J$13:$M$30,MATCH($B556,$J$13:$J$30,0),L$12))</f>
        <v/>
      </c>
      <c r="E556" s="74" t="str">
        <f>INDEX('TH CANAM'!$A$9:$BF$63,MATCH(PDNam!$F586,'TH CANAM'!$A$9:$A$63,0),INDEX($J$13:$M$30,MATCH($B556,$J$13:$J$30,0),M$12))</f>
        <v/>
      </c>
      <c r="F556" s="73"/>
      <c r="I556" s="64"/>
      <c r="J556" s="64"/>
    </row>
    <row r="557" spans="1:10" ht="21" customHeight="1">
      <c r="A557" s="72" t="s">
        <v>195</v>
      </c>
      <c r="B557" s="73" t="s">
        <v>120</v>
      </c>
      <c r="C557" s="74" t="str">
        <f>INDEX('TH CANAM'!$A$9:$BF$63,MATCH(PDNam!$F586,'TH CANAM'!$A$9:$A$63,0),INDEX($J$13:$M$30,MATCH($B557,$J$13:$J$30,0),K$12))</f>
        <v/>
      </c>
      <c r="D557" s="74" t="str">
        <f>INDEX('TH CANAM'!$A$9:$BF$63,MATCH(PDNam!$F586,'TH CANAM'!$A$9:$A$63,0),INDEX($J$13:$M$30,MATCH($B557,$J$13:$J$30,0),L$12))</f>
        <v/>
      </c>
      <c r="E557" s="74" t="str">
        <f>INDEX('TH CANAM'!$A$9:$BF$63,MATCH(PDNam!$F586,'TH CANAM'!$A$9:$A$63,0),INDEX($J$13:$M$30,MATCH($B557,$J$13:$J$30,0),M$12))</f>
        <v/>
      </c>
      <c r="F557" s="73"/>
      <c r="I557" s="64"/>
      <c r="J557" s="64"/>
    </row>
    <row r="558" spans="1:10" ht="21" customHeight="1">
      <c r="A558" s="72" t="s">
        <v>196</v>
      </c>
      <c r="B558" s="73" t="s">
        <v>30</v>
      </c>
      <c r="C558" s="74" t="str">
        <f>INDEX('TH CANAM'!$A$9:$BF$63,MATCH(PDNam!$F586,'TH CANAM'!$A$9:$A$63,0),INDEX($J$13:$M$30,MATCH($B558,$J$13:$J$30,0),K$12))</f>
        <v/>
      </c>
      <c r="D558" s="74" t="str">
        <f>INDEX('TH CANAM'!$A$9:$BF$63,MATCH(PDNam!$F586,'TH CANAM'!$A$9:$A$63,0),INDEX($J$13:$M$30,MATCH($B558,$J$13:$J$30,0),L$12))</f>
        <v/>
      </c>
      <c r="E558" s="74" t="str">
        <f>INDEX('TH CANAM'!$A$9:$BF$63,MATCH(PDNam!$F586,'TH CANAM'!$A$9:$A$63,0),INDEX($J$13:$M$30,MATCH($B558,$J$13:$J$30,0),M$12))</f>
        <v/>
      </c>
      <c r="F558" s="73"/>
      <c r="I558" s="64"/>
      <c r="J558" s="64"/>
    </row>
    <row r="559" spans="1:10" ht="21" customHeight="1">
      <c r="A559" s="72" t="s">
        <v>197</v>
      </c>
      <c r="B559" s="73" t="s">
        <v>31</v>
      </c>
      <c r="C559" s="74" t="str">
        <f>INDEX('TH CANAM'!$A$9:$BF$63,MATCH(PDNam!$F586,'TH CANAM'!$A$9:$A$63,0),INDEX($J$13:$M$30,MATCH($B559,$J$13:$J$30,0),K$12))</f>
        <v/>
      </c>
      <c r="D559" s="74" t="str">
        <f>INDEX('TH CANAM'!$A$9:$BF$63,MATCH(PDNam!$F586,'TH CANAM'!$A$9:$A$63,0),INDEX($J$13:$M$30,MATCH($B559,$J$13:$J$30,0),L$12))</f>
        <v/>
      </c>
      <c r="E559" s="74" t="str">
        <f>INDEX('TH CANAM'!$A$9:$BF$63,MATCH(PDNam!$F586,'TH CANAM'!$A$9:$A$63,0),INDEX($J$13:$M$30,MATCH($B559,$J$13:$J$30,0),M$12))</f>
        <v/>
      </c>
      <c r="F559" s="73"/>
      <c r="I559" s="64"/>
      <c r="J559" s="64"/>
    </row>
    <row r="560" spans="1:10" ht="21" customHeight="1">
      <c r="A560" s="72" t="s">
        <v>198</v>
      </c>
      <c r="B560" s="73" t="s">
        <v>32</v>
      </c>
      <c r="C560" s="74" t="str">
        <f>INDEX('TH CANAM'!$A$9:$BF$63,MATCH(PDNam!$F586,'TH CANAM'!$A$9:$A$63,0),INDEX($J$13:$M$30,MATCH($B560,$J$13:$J$30,0),K$12))</f>
        <v/>
      </c>
      <c r="D560" s="74" t="str">
        <f>INDEX('TH CANAM'!$A$9:$BF$63,MATCH(PDNam!$F586,'TH CANAM'!$A$9:$A$63,0),INDEX($J$13:$M$30,MATCH($B560,$J$13:$J$30,0),L$12))</f>
        <v/>
      </c>
      <c r="E560" s="74" t="str">
        <f>INDEX('TH CANAM'!$A$9:$BF$63,MATCH(PDNam!$F586,'TH CANAM'!$A$9:$A$63,0),INDEX($J$13:$M$30,MATCH($B560,$J$13:$J$30,0),M$12))</f>
        <v/>
      </c>
      <c r="F560" s="73"/>
      <c r="I560" s="64"/>
      <c r="J560" s="64"/>
    </row>
    <row r="561" spans="1:10" ht="21" customHeight="1">
      <c r="A561" s="72" t="s">
        <v>199</v>
      </c>
      <c r="B561" s="73" t="s">
        <v>33</v>
      </c>
      <c r="C561" s="74" t="str">
        <f>INDEX('TH CANAM'!$A$9:$BF$63,MATCH(PDNam!$F586,'TH CANAM'!$A$9:$A$63,0),INDEX($J$13:$M$30,MATCH($B561,$J$13:$J$30,0),K$12))</f>
        <v/>
      </c>
      <c r="D561" s="74" t="str">
        <f>INDEX('TH CANAM'!$A$9:$BF$63,MATCH(PDNam!$F586,'TH CANAM'!$A$9:$A$63,0),INDEX($J$13:$M$30,MATCH($B561,$J$13:$J$30,0),L$12))</f>
        <v/>
      </c>
      <c r="E561" s="74" t="str">
        <f>INDEX('TH CANAM'!$A$9:$BF$63,MATCH(PDNam!$F586,'TH CANAM'!$A$9:$A$63,0),INDEX($J$13:$M$30,MATCH($B561,$J$13:$J$30,0),M$12))</f>
        <v/>
      </c>
      <c r="F561" s="73"/>
      <c r="I561" s="64"/>
      <c r="J561" s="64"/>
    </row>
    <row r="562" spans="1:10" ht="21" customHeight="1">
      <c r="A562" s="72" t="s">
        <v>200</v>
      </c>
      <c r="B562" s="73" t="s">
        <v>60</v>
      </c>
      <c r="C562" s="74" t="str">
        <f>INDEX('TH CANAM'!$A$9:$BF$63,MATCH(PDNam!$F586,'TH CANAM'!$A$9:$A$63,0),INDEX($J$13:$M$30,MATCH($B562,$J$13:$J$30,0),K$12))</f>
        <v/>
      </c>
      <c r="D562" s="74" t="str">
        <f>INDEX('TH CANAM'!$A$9:$BF$63,MATCH(PDNam!$F586,'TH CANAM'!$A$9:$A$63,0),INDEX($J$13:$M$30,MATCH($B562,$J$13:$J$30,0),L$12))</f>
        <v/>
      </c>
      <c r="E562" s="74" t="str">
        <f>INDEX('TH CANAM'!$A$9:$BF$63,MATCH(PDNam!$F586,'TH CANAM'!$A$9:$A$63,0),INDEX($J$13:$M$30,MATCH($B562,$J$13:$J$30,0),M$12))</f>
        <v/>
      </c>
      <c r="F562" s="73"/>
      <c r="I562" s="64"/>
      <c r="J562" s="64"/>
    </row>
    <row r="563" spans="1:10" ht="21" customHeight="1">
      <c r="A563" s="72" t="s">
        <v>201</v>
      </c>
      <c r="B563" s="73" t="s">
        <v>34</v>
      </c>
      <c r="C563" s="74" t="str">
        <f>INDEX('TH CANAM'!$A$9:$BF$63,MATCH(PDNam!$F586,'TH CANAM'!$A$9:$A$63,0),INDEX($J$13:$M$30,MATCH($B563,$J$13:$J$30,0),K$12))</f>
        <v/>
      </c>
      <c r="D563" s="74" t="str">
        <f>INDEX('TH CANAM'!$A$9:$BF$63,MATCH(PDNam!$F586,'TH CANAM'!$A$9:$A$63,0),INDEX($J$13:$M$30,MATCH($B563,$J$13:$J$30,0),L$12))</f>
        <v/>
      </c>
      <c r="E563" s="74" t="str">
        <f>INDEX('TH CANAM'!$A$9:$BF$63,MATCH(PDNam!$F586,'TH CANAM'!$A$9:$A$63,0),INDEX($J$13:$M$30,MATCH($B563,$J$13:$J$30,0),M$12))</f>
        <v/>
      </c>
      <c r="F563" s="73"/>
      <c r="I563" s="64"/>
      <c r="J563" s="64"/>
    </row>
    <row r="564" spans="1:10" ht="21" customHeight="1">
      <c r="A564" s="72" t="s">
        <v>202</v>
      </c>
      <c r="B564" s="73" t="s">
        <v>35</v>
      </c>
      <c r="C564" s="74" t="str">
        <f>INDEX('TH CANAM'!$A$9:$BF$63,MATCH(PDNam!$F586,'TH CANAM'!$A$9:$A$63,0),INDEX($J$13:$M$30,MATCH($B564,$J$13:$J$30,0),K$12))</f>
        <v/>
      </c>
      <c r="D564" s="74" t="str">
        <f>INDEX('TH CANAM'!$A$9:$BF$63,MATCH(PDNam!$F586,'TH CANAM'!$A$9:$A$63,0),INDEX($J$13:$M$30,MATCH($B564,$J$13:$J$30,0),L$12))</f>
        <v/>
      </c>
      <c r="E564" s="74" t="str">
        <f>INDEX('TH CANAM'!$A$9:$BF$63,MATCH(PDNam!$F586,'TH CANAM'!$A$9:$A$63,0),INDEX($J$13:$M$30,MATCH($B564,$J$13:$J$30,0),M$12))</f>
        <v/>
      </c>
      <c r="F564" s="73"/>
      <c r="I564" s="64"/>
      <c r="J564" s="64"/>
    </row>
    <row r="565" spans="1:10" ht="21" customHeight="1">
      <c r="A565" s="72" t="s">
        <v>203</v>
      </c>
      <c r="B565" s="73" t="s">
        <v>121</v>
      </c>
      <c r="C565" s="74" t="str">
        <f>INDEX('TH CANAM'!$A$9:$BF$63,MATCH(PDNam!$F586,'TH CANAM'!$A$9:$A$63,0),INDEX($J$13:$M$30,MATCH($B565,$J$13:$J$30,0),K$12))</f>
        <v/>
      </c>
      <c r="D565" s="74" t="str">
        <f>INDEX('TH CANAM'!$A$9:$BF$63,MATCH(PDNam!$F586,'TH CANAM'!$A$9:$A$63,0),INDEX($J$13:$M$30,MATCH($B565,$J$13:$J$30,0),L$12))</f>
        <v/>
      </c>
      <c r="E565" s="74" t="str">
        <f>INDEX('TH CANAM'!$A$9:$BF$63,MATCH(PDNam!$F586,'TH CANAM'!$A$9:$A$63,0),INDEX($J$13:$M$30,MATCH($B565,$J$13:$J$30,0),M$12))</f>
        <v/>
      </c>
      <c r="F565" s="73"/>
      <c r="I565" s="64"/>
      <c r="J565" s="64"/>
    </row>
    <row r="566" spans="1:10" ht="21" customHeight="1">
      <c r="A566" s="72" t="s">
        <v>204</v>
      </c>
      <c r="B566" s="73" t="s">
        <v>122</v>
      </c>
      <c r="C566" s="74" t="str">
        <f>INDEX('TH CANAM'!$A$9:$BF$63,MATCH(PDNam!$F586,'TH CANAM'!$A$9:$A$63,0),INDEX($J$13:$M$30,MATCH($B566,$J$13:$J$30,0),K$12))</f>
        <v/>
      </c>
      <c r="D566" s="74" t="str">
        <f>INDEX('TH CANAM'!$A$9:$BF$63,MATCH(PDNam!$F586,'TH CANAM'!$A$9:$A$63,0),INDEX($J$13:$M$30,MATCH($B566,$J$13:$J$30,0),L$12))</f>
        <v/>
      </c>
      <c r="E566" s="74" t="str">
        <f>INDEX('TH CANAM'!$A$9:$BF$63,MATCH(PDNam!$F586,'TH CANAM'!$A$9:$A$63,0),INDEX($J$13:$M$30,MATCH($B566,$J$13:$J$30,0),M$12))</f>
        <v/>
      </c>
      <c r="F566" s="73"/>
      <c r="I566" s="64"/>
      <c r="J566" s="64"/>
    </row>
    <row r="567" spans="1:10" ht="21" customHeight="1">
      <c r="A567" s="72" t="s">
        <v>208</v>
      </c>
      <c r="B567" s="73" t="s">
        <v>205</v>
      </c>
      <c r="C567" s="78">
        <f>INDEX('TH CANAM'!$A$9:$BF$63,MATCH(PDNam!$F586,'TH CANAM'!$A$9:$A$63,0),46)</f>
        <v>9.5</v>
      </c>
      <c r="D567" s="78" t="str">
        <f>INDEX('TH CANAM'!$A$9:$BF$63,MATCH(PDNam!$F586,'TH CANAM'!$A$9:$A$63,0),47)</f>
        <v/>
      </c>
      <c r="E567" s="78" t="str">
        <f>INDEX('TH CANAM'!$A$9:$BF$63,MATCH(PDNam!$F586,'TH CANAM'!$A$9:$A$63,0),48)</f>
        <v/>
      </c>
      <c r="F567" s="73"/>
      <c r="I567" s="64"/>
      <c r="J567" s="64"/>
    </row>
    <row r="568" spans="1:10" ht="21" customHeight="1">
      <c r="A568" s="72" t="s">
        <v>209</v>
      </c>
      <c r="B568" s="72" t="s">
        <v>206</v>
      </c>
      <c r="C568" s="74" t="str">
        <f>IF(INDEX('TH CANAM'!$A$9:$BF$63,MATCH(PDNam!$F586,'TH CANAM'!$A$9:$A$63,0),49)="Tb","Trung bình",INDEX('TH CANAM'!$A$9:$BF$63,MATCH(PDNam!$F586,'TH CANAM'!$A$9:$A$63,0),49))</f>
        <v>Giỏi</v>
      </c>
      <c r="D568" s="74" t="str">
        <f>IF(INDEX('TH CANAM'!$A$9:$BF$63,MATCH(PDNam!$F586,'TH CANAM'!$A$9:$A$63,0),50)="Tb","Trung bình",INDEX('TH CANAM'!$A$9:$BF$63,MATCH(PDNam!$F586,'TH CANAM'!$A$9:$A$63,0),50))</f>
        <v/>
      </c>
      <c r="E568" s="74" t="str">
        <f>IF(INDEX('TH CANAM'!$A$9:$BF$63,MATCH(PDNam!$F586,'TH CANAM'!$A$9:$A$63,0),51)="Tb","Trung bình",INDEX('TH CANAM'!$A$9:$BF$63,MATCH(PDNam!$F586,'TH CANAM'!$A$9:$A$63,0),51))</f>
        <v/>
      </c>
      <c r="F568" s="73"/>
    </row>
    <row r="569" spans="1:10" ht="21" customHeight="1">
      <c r="A569" s="72" t="s">
        <v>210</v>
      </c>
      <c r="B569" s="72" t="s">
        <v>207</v>
      </c>
      <c r="C569" s="74" t="str">
        <f>INDEX('TH CANAM'!$A$9:$BF$63,MATCH(PDNam!$F586,'TH CANAM'!$A$9:$A$63,0),52)</f>
        <v>Tốt</v>
      </c>
      <c r="D569" s="74" t="str">
        <f>INDEX('TH CANAM'!$A$9:$BF$63,MATCH(PDNam!$F586,'TH CANAM'!$A$9:$A$63,0),53)</f>
        <v/>
      </c>
      <c r="E569" s="74" t="str">
        <f>INDEX('TH CANAM'!$A$9:$BF$63,MATCH(PDNam!$F586,'TH CANAM'!$A$9:$A$63,0),54)</f>
        <v/>
      </c>
      <c r="F569" s="73"/>
    </row>
    <row r="570" spans="1:10" ht="21" customHeight="1">
      <c r="A570" s="72" t="s">
        <v>211</v>
      </c>
      <c r="B570" s="72" t="s">
        <v>25</v>
      </c>
      <c r="C570" s="74" t="str">
        <f>IF(INDEX('TH CANAM'!$A$9:$BF$63,MATCH(PDNam!$F586,'TH CANAM'!$A$9:$A$63,0),57)&lt;&gt;"",INDEX('TH CANAM'!$A$9:$BF$63,MATCH(PDNam!$F586,'TH CANAM'!$A$9:$A$63,0),57),"/")</f>
        <v>HSG</v>
      </c>
      <c r="D570" s="74" t="str">
        <f>IF(INDEX('TH CANAM'!$A$9:$BF$63,MATCH(PDNam!$F586,'TH CANAM'!$A$9:$A$63,0),58)&lt;&gt;"",INDEX('TH CANAM'!$A$9:$BF$63,MATCH(PDNam!$F586,'TH CANAM'!$A$9:$A$63,0),58),"/")</f>
        <v>/</v>
      </c>
      <c r="E570" s="74" t="str">
        <f>IF(INDEX('TH CANAM'!$A$9:$BF$63,MATCH(PDNam!$F586,'TH CANAM'!$A$9:$A$63,0),55)&lt;&gt;"",INDEX('TH CANAM'!$A$9:$BF$63,MATCH(PDNam!$F586,'TH CANAM'!$A$9:$A$63,0),55),"/")</f>
        <v>/</v>
      </c>
      <c r="F570" s="73"/>
    </row>
    <row r="571" spans="1:10" s="60" customFormat="1" ht="9" customHeight="1">
      <c r="A571" s="67"/>
      <c r="B571" s="67"/>
      <c r="C571" s="1132"/>
      <c r="D571" s="1132"/>
      <c r="E571" s="67"/>
      <c r="F571" s="67"/>
    </row>
    <row r="572" spans="1:10" s="60" customFormat="1" ht="18.75" customHeight="1">
      <c r="A572" s="58" t="s">
        <v>219</v>
      </c>
      <c r="B572" s="57"/>
      <c r="C572" s="57"/>
      <c r="D572" s="57"/>
      <c r="E572" s="57"/>
      <c r="F572" s="475"/>
    </row>
    <row r="573" spans="1:10" s="60" customFormat="1" ht="18.75" customHeight="1">
      <c r="A573" s="59" t="str">
        <f>IF(F586&lt;&gt;"",IF(INDEX(BDHK2,MATCH(F586,DiemHKII!$B$4:$B$58,0),137)&lt;&gt;""," - "&amp;INDEX(BDHK2,MATCH(F586,DiemHKII!$B$4:$B$58,0),137),""),"")</f>
        <v/>
      </c>
      <c r="B573" s="57"/>
      <c r="C573" s="57"/>
      <c r="D573" s="57"/>
      <c r="E573" s="57"/>
      <c r="F573" s="475"/>
    </row>
    <row r="574" spans="1:10" s="60" customFormat="1" ht="18.75" customHeight="1">
      <c r="A574" s="59" t="str">
        <f>IF(F586&lt;&gt;"",IF(INDEX(BDHK2,MATCH(F586,DiemHKII!$B$4:$B$58,0),138)&lt;&gt;""," - "&amp;INDEX(BDHK2,MATCH(F586,DiemHKII!$B$4:$B$58,0),138),""),"")</f>
        <v/>
      </c>
      <c r="B574" s="57"/>
      <c r="C574" s="57"/>
      <c r="D574" s="57"/>
      <c r="E574" s="57"/>
      <c r="F574" s="475"/>
    </row>
    <row r="575" spans="1:10" s="60" customFormat="1" ht="18.75" customHeight="1">
      <c r="A575" s="59" t="str">
        <f>IF(F586&lt;&gt;"",IF(INDEX(BDHK2,MATCH(F586,DiemHKII!$B$4:$B$58,0),139)&lt;&gt;""," - "&amp;INDEX(BDHK2,MATCH(F586,DiemHKII!$B$4:$B$58,0),139),""),"")</f>
        <v/>
      </c>
      <c r="B575" s="57"/>
      <c r="C575" s="57"/>
      <c r="D575" s="57"/>
      <c r="E575" s="57"/>
      <c r="F575" s="475"/>
    </row>
    <row r="576" spans="1:10" s="60" customFormat="1" ht="18.75" customHeight="1">
      <c r="A576" s="59" t="str">
        <f>IF(F586&lt;&gt;"",IF(INDEX(BDHK2,MATCH(F586,DiemHKII!$B$4:$B$58,0),140)&lt;&gt;""," - "&amp;INDEX(BDHK2,MATCH(F586,DiemHKII!$B$4:$B$58,0),140),""),"")</f>
        <v/>
      </c>
      <c r="B576" s="57"/>
      <c r="C576" s="57"/>
      <c r="D576" s="57"/>
      <c r="E576" s="57"/>
      <c r="F576" s="67"/>
    </row>
    <row r="577" spans="1:10" ht="6" customHeight="1">
      <c r="A577" s="68"/>
      <c r="B577" s="68"/>
      <c r="C577" s="68"/>
      <c r="D577" s="68"/>
      <c r="E577" s="68"/>
      <c r="F577" s="68"/>
    </row>
    <row r="578" spans="1:10">
      <c r="A578" s="68"/>
      <c r="B578" s="68"/>
      <c r="C57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578" s="1060"/>
      <c r="E578" s="1060"/>
      <c r="F578" s="1060"/>
    </row>
    <row r="579" spans="1:10" ht="20.25" customHeight="1">
      <c r="A579" s="1012" t="str">
        <f>IF($D$39="Hiệu trưởng","Giáo viên Quản nhiệm","")</f>
        <v>Giáo viên Quản nhiệm</v>
      </c>
      <c r="B579" s="1012"/>
      <c r="C579" s="61"/>
      <c r="D579" s="1012" t="str">
        <f>IF($H$7="","",$H$7)</f>
        <v>Hiệu trưởng</v>
      </c>
      <c r="E579" s="1012"/>
      <c r="F579" s="61"/>
    </row>
    <row r="580" spans="1:10">
      <c r="A580" s="68"/>
      <c r="B580" s="68"/>
      <c r="C580" s="68"/>
      <c r="D580" s="68"/>
      <c r="E580" s="68"/>
      <c r="F580" s="68"/>
    </row>
    <row r="581" spans="1:10">
      <c r="A581" s="68"/>
      <c r="B581" s="68"/>
      <c r="C581" s="68"/>
      <c r="D581" s="68"/>
      <c r="E581" s="68"/>
      <c r="F581" s="68"/>
    </row>
    <row r="582" spans="1:10" ht="16.8">
      <c r="A582" s="68"/>
      <c r="B582" s="68"/>
      <c r="C582" s="64"/>
      <c r="D582" s="64"/>
      <c r="E582" s="64"/>
      <c r="F582" s="64"/>
      <c r="G582" s="65"/>
      <c r="H582" s="65"/>
      <c r="I582" s="65"/>
      <c r="J582" s="65"/>
    </row>
    <row r="584" spans="1:10">
      <c r="A584" s="1012" t="str">
        <f>IF($A$39="","",PROPER('Huong dan'!$C$4))</f>
        <v/>
      </c>
      <c r="B584" s="1012"/>
      <c r="D584" s="1130" t="str">
        <f>IFERROR(IF($D$39="Giáo Viên Quản nhiệm",PROPER('Huong dan'!$C$4),IF($D$39="Hiệu trưởng",PROPER('Huong dan'!$E$5),"")),"")</f>
        <v/>
      </c>
      <c r="E584" s="1130"/>
    </row>
    <row r="585" spans="1:10" ht="7.5" customHeight="1"/>
    <row r="586" spans="1:10" ht="11.25" customHeight="1">
      <c r="A586" s="75"/>
      <c r="B586" s="75"/>
      <c r="C586" s="75"/>
      <c r="D586" s="75"/>
      <c r="E586" s="75"/>
      <c r="F586" s="76">
        <f>IF(F541="","",IF(F541&lt;MAX(DiemHKII!$B$4:$B$58),F541+1,""))</f>
        <v>13</v>
      </c>
    </row>
    <row r="587" spans="1:10" s="60" customFormat="1" ht="22.5" customHeight="1">
      <c r="A587" s="1128" t="str">
        <f>IF('Huong dan'!$E$3&lt;&gt;"","SỞ GIÁO DỤC VÀ ĐÀO TẠO "&amp;UPPER('Huong dan'!$E$3),"")</f>
        <v>SỞ GIÁO DỤC VÀ ĐÀO TẠO TP. HỒ CHÍ MINH</v>
      </c>
      <c r="B587" s="1128"/>
      <c r="C587" s="1128"/>
      <c r="D587" s="1129" t="s">
        <v>19</v>
      </c>
      <c r="E587" s="1129"/>
      <c r="F587" s="1129"/>
    </row>
    <row r="588" spans="1:10" ht="17.25" customHeight="1">
      <c r="A588" s="992" t="str">
        <f>IF('Huong dan'!$E$4&lt;&gt;"","TRƯỜNG "&amp;UPPER('Huong dan'!$E$4),"")</f>
        <v>TRƯỜNG THCS VÀ THPT NGUYỄN KHUYẾN</v>
      </c>
      <c r="B588" s="992"/>
      <c r="C588" s="992"/>
      <c r="D588" s="1130" t="s">
        <v>179</v>
      </c>
      <c r="E588" s="1130"/>
      <c r="F588" s="1130"/>
    </row>
    <row r="589" spans="1:10" ht="12" customHeight="1">
      <c r="A589" s="69"/>
      <c r="B589" s="69"/>
      <c r="C589" s="30"/>
      <c r="D589" s="30"/>
      <c r="E589" s="30"/>
      <c r="F589" s="30"/>
    </row>
    <row r="590" spans="1:10" ht="18" customHeight="1">
      <c r="A590" s="69"/>
      <c r="B590" s="69"/>
      <c r="C590" s="30"/>
      <c r="D590" s="30"/>
      <c r="E590" s="30"/>
      <c r="F590" s="30"/>
    </row>
    <row r="591" spans="1:10" ht="29.25" customHeight="1">
      <c r="A591" s="1013" t="str">
        <f>"PHIẾU ĐIỂM NĂM HỌC "&amp;'Huong dan'!$C$5</f>
        <v>PHIẾU ĐIỂM NĂM HỌC 2021 - 2022</v>
      </c>
      <c r="B591" s="1013"/>
      <c r="C591" s="1013"/>
      <c r="D591" s="1013"/>
      <c r="E591" s="1013"/>
      <c r="F591" s="1013"/>
    </row>
    <row r="592" spans="1:10" ht="12.75" customHeight="1">
      <c r="A592" s="70"/>
      <c r="B592" s="66"/>
      <c r="C592" s="66"/>
      <c r="D592" s="66"/>
      <c r="E592" s="66"/>
      <c r="F592" s="66"/>
    </row>
    <row r="593" spans="1:10" ht="20.25" customHeight="1">
      <c r="A593" s="1131" t="s">
        <v>212</v>
      </c>
      <c r="B593" s="1131"/>
      <c r="C593" s="77" t="str">
        <f>IF(F631="","",INDEX(DiemHKII!$E$4:$E$58,MATCH(F631,DiemHKII!$B$4:$B$58,0),1)&amp;" "&amp;INDEX(DiemHKII!$F$4:$F$58,MATCH(F631,DiemHKII!$B$4:$B$58,0),1))</f>
        <v>Lê Phan Ngọc Hiếu</v>
      </c>
      <c r="D593" s="77"/>
      <c r="E593" s="77"/>
      <c r="F593" s="71" t="str">
        <f>IF('Huong dan'!$C$3="","","Lớp: "&amp;'Huong dan'!$C$3)</f>
        <v>Lớp: 12A1</v>
      </c>
    </row>
    <row r="594" spans="1:10" ht="24" customHeight="1">
      <c r="A594" s="1131" t="s">
        <v>213</v>
      </c>
      <c r="B594" s="1131"/>
      <c r="C594" s="77" t="str">
        <f>IF(F631="","",INDEX(DiemHKII!$G$4:$G$58,MATCH(F631,DiemHKII!$B$4:$B$58,0),1))</f>
        <v>01/02/2004</v>
      </c>
      <c r="D594" s="77"/>
      <c r="E594" s="1133" t="str">
        <f>IF(F631="","","Nơi sinh: "&amp;INDEX(DiemHKII!$H$4:$H$58,MATCH(F631,DiemHKII!$B$4:$B$58,0),1))</f>
        <v xml:space="preserve">Nơi sinh: </v>
      </c>
      <c r="F594" s="1133"/>
    </row>
    <row r="595" spans="1:10" ht="15" customHeight="1">
      <c r="A595" s="62"/>
      <c r="B595" s="62"/>
      <c r="C595" s="62"/>
      <c r="D595" s="62"/>
      <c r="E595" s="62"/>
      <c r="F595" s="63"/>
    </row>
    <row r="596" spans="1:10" ht="21" customHeight="1">
      <c r="A596" s="1134" t="s">
        <v>0</v>
      </c>
      <c r="B596" s="1134" t="s">
        <v>72</v>
      </c>
      <c r="C596" s="1134" t="s">
        <v>216</v>
      </c>
      <c r="D596" s="1134"/>
      <c r="E596" s="1134"/>
      <c r="F596" s="1134" t="s">
        <v>148</v>
      </c>
    </row>
    <row r="597" spans="1:10" ht="21" customHeight="1">
      <c r="A597" s="1134"/>
      <c r="B597" s="1134"/>
      <c r="C597" s="476" t="s">
        <v>188</v>
      </c>
      <c r="D597" s="476" t="s">
        <v>189</v>
      </c>
      <c r="E597" s="476" t="s">
        <v>190</v>
      </c>
      <c r="F597" s="1134"/>
    </row>
    <row r="598" spans="1:10" ht="21" customHeight="1">
      <c r="A598" s="72" t="s">
        <v>191</v>
      </c>
      <c r="B598" s="73" t="s">
        <v>26</v>
      </c>
      <c r="C598" s="74" t="str">
        <f>INDEX('TH CANAM'!$A$9:$BF$63,MATCH(PDNam!$F631,'TH CANAM'!$A$9:$A$63,0),INDEX($J$13:$M$30,MATCH($B598,$J$13:$J$30,0),K$12))</f>
        <v/>
      </c>
      <c r="D598" s="74" t="str">
        <f>INDEX('TH CANAM'!$A$9:$BF$63,MATCH(PDNam!$F631,'TH CANAM'!$A$9:$A$63,0),INDEX($J$13:$M$30,MATCH($B598,$J$13:$J$30,0),L$12))</f>
        <v/>
      </c>
      <c r="E598" s="74" t="str">
        <f>INDEX('TH CANAM'!$A$9:$BF$63,MATCH(PDNam!$F631,'TH CANAM'!$A$9:$A$63,0),INDEX($J$13:$M$30,MATCH($B598,$J$13:$J$30,0),M$12))</f>
        <v/>
      </c>
      <c r="F598" s="73"/>
      <c r="I598" s="64"/>
      <c r="J598" s="64"/>
    </row>
    <row r="599" spans="1:10" ht="21" customHeight="1">
      <c r="A599" s="72" t="s">
        <v>192</v>
      </c>
      <c r="B599" s="73" t="s">
        <v>27</v>
      </c>
      <c r="C599" s="74" t="str">
        <f>INDEX('TH CANAM'!$A$9:$BF$63,MATCH(PDNam!$F631,'TH CANAM'!$A$9:$A$63,0),INDEX($J$13:$M$30,MATCH($B599,$J$13:$J$30,0),K$12))</f>
        <v/>
      </c>
      <c r="D599" s="74" t="str">
        <f>INDEX('TH CANAM'!$A$9:$BF$63,MATCH(PDNam!$F631,'TH CANAM'!$A$9:$A$63,0),INDEX($J$13:$M$30,MATCH($B599,$J$13:$J$30,0),L$12))</f>
        <v/>
      </c>
      <c r="E599" s="74" t="str">
        <f>INDEX('TH CANAM'!$A$9:$BF$63,MATCH(PDNam!$F631,'TH CANAM'!$A$9:$A$63,0),INDEX($J$13:$M$30,MATCH($B599,$J$13:$J$30,0),M$12))</f>
        <v/>
      </c>
      <c r="F599" s="73"/>
      <c r="I599" s="64"/>
      <c r="J599" s="64"/>
    </row>
    <row r="600" spans="1:10" ht="21" customHeight="1">
      <c r="A600" s="72" t="s">
        <v>193</v>
      </c>
      <c r="B600" s="73" t="s">
        <v>28</v>
      </c>
      <c r="C600" s="74" t="str">
        <f>INDEX('TH CANAM'!$A$9:$BF$63,MATCH(PDNam!$F631,'TH CANAM'!$A$9:$A$63,0),INDEX($J$13:$M$30,MATCH($B600,$J$13:$J$30,0),K$12))</f>
        <v/>
      </c>
      <c r="D600" s="74" t="str">
        <f>INDEX('TH CANAM'!$A$9:$BF$63,MATCH(PDNam!$F631,'TH CANAM'!$A$9:$A$63,0),INDEX($J$13:$M$30,MATCH($B600,$J$13:$J$30,0),L$12))</f>
        <v/>
      </c>
      <c r="E600" s="74" t="str">
        <f>INDEX('TH CANAM'!$A$9:$BF$63,MATCH(PDNam!$F631,'TH CANAM'!$A$9:$A$63,0),INDEX($J$13:$M$30,MATCH($B600,$J$13:$J$30,0),M$12))</f>
        <v/>
      </c>
      <c r="F600" s="73"/>
      <c r="I600" s="64"/>
      <c r="J600" s="64"/>
    </row>
    <row r="601" spans="1:10" ht="21" customHeight="1">
      <c r="A601" s="72" t="s">
        <v>194</v>
      </c>
      <c r="B601" s="73" t="s">
        <v>29</v>
      </c>
      <c r="C601" s="74" t="str">
        <f>INDEX('TH CANAM'!$A$9:$BF$63,MATCH(PDNam!$F631,'TH CANAM'!$A$9:$A$63,0),INDEX($J$13:$M$30,MATCH($B601,$J$13:$J$30,0),K$12))</f>
        <v/>
      </c>
      <c r="D601" s="74" t="str">
        <f>INDEX('TH CANAM'!$A$9:$BF$63,MATCH(PDNam!$F631,'TH CANAM'!$A$9:$A$63,0),INDEX($J$13:$M$30,MATCH($B601,$J$13:$J$30,0),L$12))</f>
        <v/>
      </c>
      <c r="E601" s="74" t="str">
        <f>INDEX('TH CANAM'!$A$9:$BF$63,MATCH(PDNam!$F631,'TH CANAM'!$A$9:$A$63,0),INDEX($J$13:$M$30,MATCH($B601,$J$13:$J$30,0),M$12))</f>
        <v/>
      </c>
      <c r="F601" s="73"/>
      <c r="I601" s="64"/>
      <c r="J601" s="64"/>
    </row>
    <row r="602" spans="1:10" ht="21" customHeight="1">
      <c r="A602" s="72" t="s">
        <v>195</v>
      </c>
      <c r="B602" s="73" t="s">
        <v>120</v>
      </c>
      <c r="C602" s="74" t="str">
        <f>INDEX('TH CANAM'!$A$9:$BF$63,MATCH(PDNam!$F631,'TH CANAM'!$A$9:$A$63,0),INDEX($J$13:$M$30,MATCH($B602,$J$13:$J$30,0),K$12))</f>
        <v/>
      </c>
      <c r="D602" s="74" t="str">
        <f>INDEX('TH CANAM'!$A$9:$BF$63,MATCH(PDNam!$F631,'TH CANAM'!$A$9:$A$63,0),INDEX($J$13:$M$30,MATCH($B602,$J$13:$J$30,0),L$12))</f>
        <v/>
      </c>
      <c r="E602" s="74" t="str">
        <f>INDEX('TH CANAM'!$A$9:$BF$63,MATCH(PDNam!$F631,'TH CANAM'!$A$9:$A$63,0),INDEX($J$13:$M$30,MATCH($B602,$J$13:$J$30,0),M$12))</f>
        <v/>
      </c>
      <c r="F602" s="73"/>
      <c r="I602" s="64"/>
      <c r="J602" s="64"/>
    </row>
    <row r="603" spans="1:10" ht="21" customHeight="1">
      <c r="A603" s="72" t="s">
        <v>196</v>
      </c>
      <c r="B603" s="73" t="s">
        <v>30</v>
      </c>
      <c r="C603" s="74" t="str">
        <f>INDEX('TH CANAM'!$A$9:$BF$63,MATCH(PDNam!$F631,'TH CANAM'!$A$9:$A$63,0),INDEX($J$13:$M$30,MATCH($B603,$J$13:$J$30,0),K$12))</f>
        <v/>
      </c>
      <c r="D603" s="74" t="str">
        <f>INDEX('TH CANAM'!$A$9:$BF$63,MATCH(PDNam!$F631,'TH CANAM'!$A$9:$A$63,0),INDEX($J$13:$M$30,MATCH($B603,$J$13:$J$30,0),L$12))</f>
        <v/>
      </c>
      <c r="E603" s="74" t="str">
        <f>INDEX('TH CANAM'!$A$9:$BF$63,MATCH(PDNam!$F631,'TH CANAM'!$A$9:$A$63,0),INDEX($J$13:$M$30,MATCH($B603,$J$13:$J$30,0),M$12))</f>
        <v/>
      </c>
      <c r="F603" s="73"/>
      <c r="I603" s="64"/>
      <c r="J603" s="64"/>
    </row>
    <row r="604" spans="1:10" ht="21" customHeight="1">
      <c r="A604" s="72" t="s">
        <v>197</v>
      </c>
      <c r="B604" s="73" t="s">
        <v>31</v>
      </c>
      <c r="C604" s="74" t="str">
        <f>INDEX('TH CANAM'!$A$9:$BF$63,MATCH(PDNam!$F631,'TH CANAM'!$A$9:$A$63,0),INDEX($J$13:$M$30,MATCH($B604,$J$13:$J$30,0),K$12))</f>
        <v/>
      </c>
      <c r="D604" s="74" t="str">
        <f>INDEX('TH CANAM'!$A$9:$BF$63,MATCH(PDNam!$F631,'TH CANAM'!$A$9:$A$63,0),INDEX($J$13:$M$30,MATCH($B604,$J$13:$J$30,0),L$12))</f>
        <v/>
      </c>
      <c r="E604" s="74" t="str">
        <f>INDEX('TH CANAM'!$A$9:$BF$63,MATCH(PDNam!$F631,'TH CANAM'!$A$9:$A$63,0),INDEX($J$13:$M$30,MATCH($B604,$J$13:$J$30,0),M$12))</f>
        <v/>
      </c>
      <c r="F604" s="73"/>
      <c r="I604" s="64"/>
      <c r="J604" s="64"/>
    </row>
    <row r="605" spans="1:10" ht="21" customHeight="1">
      <c r="A605" s="72" t="s">
        <v>198</v>
      </c>
      <c r="B605" s="73" t="s">
        <v>32</v>
      </c>
      <c r="C605" s="74" t="str">
        <f>INDEX('TH CANAM'!$A$9:$BF$63,MATCH(PDNam!$F631,'TH CANAM'!$A$9:$A$63,0),INDEX($J$13:$M$30,MATCH($B605,$J$13:$J$30,0),K$12))</f>
        <v/>
      </c>
      <c r="D605" s="74" t="str">
        <f>INDEX('TH CANAM'!$A$9:$BF$63,MATCH(PDNam!$F631,'TH CANAM'!$A$9:$A$63,0),INDEX($J$13:$M$30,MATCH($B605,$J$13:$J$30,0),L$12))</f>
        <v/>
      </c>
      <c r="E605" s="74" t="str">
        <f>INDEX('TH CANAM'!$A$9:$BF$63,MATCH(PDNam!$F631,'TH CANAM'!$A$9:$A$63,0),INDEX($J$13:$M$30,MATCH($B605,$J$13:$J$30,0),M$12))</f>
        <v/>
      </c>
      <c r="F605" s="73"/>
      <c r="I605" s="64"/>
      <c r="J605" s="64"/>
    </row>
    <row r="606" spans="1:10" ht="21" customHeight="1">
      <c r="A606" s="72" t="s">
        <v>199</v>
      </c>
      <c r="B606" s="73" t="s">
        <v>33</v>
      </c>
      <c r="C606" s="74" t="str">
        <f>INDEX('TH CANAM'!$A$9:$BF$63,MATCH(PDNam!$F631,'TH CANAM'!$A$9:$A$63,0),INDEX($J$13:$M$30,MATCH($B606,$J$13:$J$30,0),K$12))</f>
        <v/>
      </c>
      <c r="D606" s="74" t="str">
        <f>INDEX('TH CANAM'!$A$9:$BF$63,MATCH(PDNam!$F631,'TH CANAM'!$A$9:$A$63,0),INDEX($J$13:$M$30,MATCH($B606,$J$13:$J$30,0),L$12))</f>
        <v/>
      </c>
      <c r="E606" s="74" t="str">
        <f>INDEX('TH CANAM'!$A$9:$BF$63,MATCH(PDNam!$F631,'TH CANAM'!$A$9:$A$63,0),INDEX($J$13:$M$30,MATCH($B606,$J$13:$J$30,0),M$12))</f>
        <v/>
      </c>
      <c r="F606" s="73"/>
      <c r="I606" s="64"/>
      <c r="J606" s="64"/>
    </row>
    <row r="607" spans="1:10" ht="21" customHeight="1">
      <c r="A607" s="72" t="s">
        <v>200</v>
      </c>
      <c r="B607" s="73" t="s">
        <v>60</v>
      </c>
      <c r="C607" s="74" t="str">
        <f>INDEX('TH CANAM'!$A$9:$BF$63,MATCH(PDNam!$F631,'TH CANAM'!$A$9:$A$63,0),INDEX($J$13:$M$30,MATCH($B607,$J$13:$J$30,0),K$12))</f>
        <v/>
      </c>
      <c r="D607" s="74" t="str">
        <f>INDEX('TH CANAM'!$A$9:$BF$63,MATCH(PDNam!$F631,'TH CANAM'!$A$9:$A$63,0),INDEX($J$13:$M$30,MATCH($B607,$J$13:$J$30,0),L$12))</f>
        <v/>
      </c>
      <c r="E607" s="74" t="str">
        <f>INDEX('TH CANAM'!$A$9:$BF$63,MATCH(PDNam!$F631,'TH CANAM'!$A$9:$A$63,0),INDEX($J$13:$M$30,MATCH($B607,$J$13:$J$30,0),M$12))</f>
        <v/>
      </c>
      <c r="F607" s="73"/>
      <c r="I607" s="64"/>
      <c r="J607" s="64"/>
    </row>
    <row r="608" spans="1:10" ht="21" customHeight="1">
      <c r="A608" s="72" t="s">
        <v>201</v>
      </c>
      <c r="B608" s="73" t="s">
        <v>34</v>
      </c>
      <c r="C608" s="74" t="str">
        <f>INDEX('TH CANAM'!$A$9:$BF$63,MATCH(PDNam!$F631,'TH CANAM'!$A$9:$A$63,0),INDEX($J$13:$M$30,MATCH($B608,$J$13:$J$30,0),K$12))</f>
        <v/>
      </c>
      <c r="D608" s="74" t="str">
        <f>INDEX('TH CANAM'!$A$9:$BF$63,MATCH(PDNam!$F631,'TH CANAM'!$A$9:$A$63,0),INDEX($J$13:$M$30,MATCH($B608,$J$13:$J$30,0),L$12))</f>
        <v/>
      </c>
      <c r="E608" s="74" t="str">
        <f>INDEX('TH CANAM'!$A$9:$BF$63,MATCH(PDNam!$F631,'TH CANAM'!$A$9:$A$63,0),INDEX($J$13:$M$30,MATCH($B608,$J$13:$J$30,0),M$12))</f>
        <v/>
      </c>
      <c r="F608" s="73"/>
      <c r="I608" s="64"/>
      <c r="J608" s="64"/>
    </row>
    <row r="609" spans="1:10" ht="21" customHeight="1">
      <c r="A609" s="72" t="s">
        <v>202</v>
      </c>
      <c r="B609" s="73" t="s">
        <v>35</v>
      </c>
      <c r="C609" s="74" t="str">
        <f>INDEX('TH CANAM'!$A$9:$BF$63,MATCH(PDNam!$F631,'TH CANAM'!$A$9:$A$63,0),INDEX($J$13:$M$30,MATCH($B609,$J$13:$J$30,0),K$12))</f>
        <v/>
      </c>
      <c r="D609" s="74" t="str">
        <f>INDEX('TH CANAM'!$A$9:$BF$63,MATCH(PDNam!$F631,'TH CANAM'!$A$9:$A$63,0),INDEX($J$13:$M$30,MATCH($B609,$J$13:$J$30,0),L$12))</f>
        <v/>
      </c>
      <c r="E609" s="74" t="str">
        <f>INDEX('TH CANAM'!$A$9:$BF$63,MATCH(PDNam!$F631,'TH CANAM'!$A$9:$A$63,0),INDEX($J$13:$M$30,MATCH($B609,$J$13:$J$30,0),M$12))</f>
        <v/>
      </c>
      <c r="F609" s="73"/>
      <c r="I609" s="64"/>
      <c r="J609" s="64"/>
    </row>
    <row r="610" spans="1:10" ht="21" customHeight="1">
      <c r="A610" s="72" t="s">
        <v>203</v>
      </c>
      <c r="B610" s="73" t="s">
        <v>121</v>
      </c>
      <c r="C610" s="74" t="str">
        <f>INDEX('TH CANAM'!$A$9:$BF$63,MATCH(PDNam!$F631,'TH CANAM'!$A$9:$A$63,0),INDEX($J$13:$M$30,MATCH($B610,$J$13:$J$30,0),K$12))</f>
        <v/>
      </c>
      <c r="D610" s="74" t="str">
        <f>INDEX('TH CANAM'!$A$9:$BF$63,MATCH(PDNam!$F631,'TH CANAM'!$A$9:$A$63,0),INDEX($J$13:$M$30,MATCH($B610,$J$13:$J$30,0),L$12))</f>
        <v/>
      </c>
      <c r="E610" s="74" t="str">
        <f>INDEX('TH CANAM'!$A$9:$BF$63,MATCH(PDNam!$F631,'TH CANAM'!$A$9:$A$63,0),INDEX($J$13:$M$30,MATCH($B610,$J$13:$J$30,0),M$12))</f>
        <v/>
      </c>
      <c r="F610" s="73"/>
      <c r="I610" s="64"/>
      <c r="J610" s="64"/>
    </row>
    <row r="611" spans="1:10" ht="21" customHeight="1">
      <c r="A611" s="72" t="s">
        <v>204</v>
      </c>
      <c r="B611" s="73" t="s">
        <v>122</v>
      </c>
      <c r="C611" s="74" t="str">
        <f>INDEX('TH CANAM'!$A$9:$BF$63,MATCH(PDNam!$F631,'TH CANAM'!$A$9:$A$63,0),INDEX($J$13:$M$30,MATCH($B611,$J$13:$J$30,0),K$12))</f>
        <v/>
      </c>
      <c r="D611" s="74" t="str">
        <f>INDEX('TH CANAM'!$A$9:$BF$63,MATCH(PDNam!$F631,'TH CANAM'!$A$9:$A$63,0),INDEX($J$13:$M$30,MATCH($B611,$J$13:$J$30,0),L$12))</f>
        <v/>
      </c>
      <c r="E611" s="74" t="str">
        <f>INDEX('TH CANAM'!$A$9:$BF$63,MATCH(PDNam!$F631,'TH CANAM'!$A$9:$A$63,0),INDEX($J$13:$M$30,MATCH($B611,$J$13:$J$30,0),M$12))</f>
        <v/>
      </c>
      <c r="F611" s="73"/>
      <c r="I611" s="64"/>
      <c r="J611" s="64"/>
    </row>
    <row r="612" spans="1:10" ht="21" customHeight="1">
      <c r="A612" s="72" t="s">
        <v>208</v>
      </c>
      <c r="B612" s="73" t="s">
        <v>205</v>
      </c>
      <c r="C612" s="78">
        <f>INDEX('TH CANAM'!$A$9:$BF$63,MATCH(PDNam!$F631,'TH CANAM'!$A$9:$A$63,0),46)</f>
        <v>9.1999999999999993</v>
      </c>
      <c r="D612" s="78" t="str">
        <f>INDEX('TH CANAM'!$A$9:$BF$63,MATCH(PDNam!$F631,'TH CANAM'!$A$9:$A$63,0),47)</f>
        <v/>
      </c>
      <c r="E612" s="78" t="str">
        <f>INDEX('TH CANAM'!$A$9:$BF$63,MATCH(PDNam!$F631,'TH CANAM'!$A$9:$A$63,0),48)</f>
        <v/>
      </c>
      <c r="F612" s="73"/>
      <c r="I612" s="64"/>
      <c r="J612" s="64"/>
    </row>
    <row r="613" spans="1:10" ht="21" customHeight="1">
      <c r="A613" s="72" t="s">
        <v>209</v>
      </c>
      <c r="B613" s="72" t="s">
        <v>206</v>
      </c>
      <c r="C613" s="74" t="str">
        <f>IF(INDEX('TH CANAM'!$A$9:$BF$63,MATCH(PDNam!$F631,'TH CANAM'!$A$9:$A$63,0),49)="Tb","Trung bình",INDEX('TH CANAM'!$A$9:$BF$63,MATCH(PDNam!$F631,'TH CANAM'!$A$9:$A$63,0),49))</f>
        <v>Giỏi</v>
      </c>
      <c r="D613" s="74" t="str">
        <f>IF(INDEX('TH CANAM'!$A$9:$BF$63,MATCH(PDNam!$F631,'TH CANAM'!$A$9:$A$63,0),50)="Tb","Trung bình",INDEX('TH CANAM'!$A$9:$BF$63,MATCH(PDNam!$F631,'TH CANAM'!$A$9:$A$63,0),50))</f>
        <v/>
      </c>
      <c r="E613" s="74" t="str">
        <f>IF(INDEX('TH CANAM'!$A$9:$BF$63,MATCH(PDNam!$F631,'TH CANAM'!$A$9:$A$63,0),51)="Tb","Trung bình",INDEX('TH CANAM'!$A$9:$BF$63,MATCH(PDNam!$F631,'TH CANAM'!$A$9:$A$63,0),51))</f>
        <v/>
      </c>
      <c r="F613" s="73"/>
    </row>
    <row r="614" spans="1:10" ht="21" customHeight="1">
      <c r="A614" s="72" t="s">
        <v>210</v>
      </c>
      <c r="B614" s="72" t="s">
        <v>207</v>
      </c>
      <c r="C614" s="74" t="str">
        <f>INDEX('TH CANAM'!$A$9:$BF$63,MATCH(PDNam!$F631,'TH CANAM'!$A$9:$A$63,0),52)</f>
        <v>Tốt</v>
      </c>
      <c r="D614" s="74" t="str">
        <f>INDEX('TH CANAM'!$A$9:$BF$63,MATCH(PDNam!$F631,'TH CANAM'!$A$9:$A$63,0),53)</f>
        <v/>
      </c>
      <c r="E614" s="74" t="str">
        <f>INDEX('TH CANAM'!$A$9:$BF$63,MATCH(PDNam!$F631,'TH CANAM'!$A$9:$A$63,0),54)</f>
        <v/>
      </c>
      <c r="F614" s="73"/>
    </row>
    <row r="615" spans="1:10" ht="21" customHeight="1">
      <c r="A615" s="72" t="s">
        <v>211</v>
      </c>
      <c r="B615" s="72" t="s">
        <v>25</v>
      </c>
      <c r="C615" s="74" t="str">
        <f>IF(INDEX('TH CANAM'!$A$9:$BF$63,MATCH(PDNam!$F631,'TH CANAM'!$A$9:$A$63,0),57)&lt;&gt;"",INDEX('TH CANAM'!$A$9:$BF$63,MATCH(PDNam!$F631,'TH CANAM'!$A$9:$A$63,0),57),"/")</f>
        <v>HSG</v>
      </c>
      <c r="D615" s="74" t="str">
        <f>IF(INDEX('TH CANAM'!$A$9:$BF$63,MATCH(PDNam!$F631,'TH CANAM'!$A$9:$A$63,0),58)&lt;&gt;"",INDEX('TH CANAM'!$A$9:$BF$63,MATCH(PDNam!$F631,'TH CANAM'!$A$9:$A$63,0),58),"/")</f>
        <v>/</v>
      </c>
      <c r="E615" s="74" t="str">
        <f>IF(INDEX('TH CANAM'!$A$9:$BF$63,MATCH(PDNam!$F631,'TH CANAM'!$A$9:$A$63,0),55)&lt;&gt;"",INDEX('TH CANAM'!$A$9:$BF$63,MATCH(PDNam!$F631,'TH CANAM'!$A$9:$A$63,0),55),"/")</f>
        <v>/</v>
      </c>
      <c r="F615" s="73"/>
    </row>
    <row r="616" spans="1:10" s="60" customFormat="1" ht="9" customHeight="1">
      <c r="A616" s="67"/>
      <c r="B616" s="67"/>
      <c r="C616" s="1132"/>
      <c r="D616" s="1132"/>
      <c r="E616" s="67"/>
      <c r="F616" s="67"/>
    </row>
    <row r="617" spans="1:10" s="60" customFormat="1" ht="18.75" customHeight="1">
      <c r="A617" s="58" t="s">
        <v>219</v>
      </c>
      <c r="B617" s="57"/>
      <c r="C617" s="57"/>
      <c r="D617" s="57"/>
      <c r="E617" s="57"/>
      <c r="F617" s="475"/>
    </row>
    <row r="618" spans="1:10" s="60" customFormat="1" ht="18.75" customHeight="1">
      <c r="A618" s="59" t="str">
        <f>IF(F631&lt;&gt;"",IF(INDEX(BDHK2,MATCH(F631,DiemHKII!$B$4:$B$58,0),137)&lt;&gt;""," - "&amp;INDEX(BDHK2,MATCH(F631,DiemHKII!$B$4:$B$58,0),137),""),"")</f>
        <v/>
      </c>
      <c r="B618" s="57"/>
      <c r="C618" s="57"/>
      <c r="D618" s="57"/>
      <c r="E618" s="57"/>
      <c r="F618" s="475"/>
    </row>
    <row r="619" spans="1:10" s="60" customFormat="1" ht="18.75" customHeight="1">
      <c r="A619" s="59" t="str">
        <f>IF(F631&lt;&gt;"",IF(INDEX(BDHK2,MATCH(F631,DiemHKII!$B$4:$B$58,0),138)&lt;&gt;""," - "&amp;INDEX(BDHK2,MATCH(F631,DiemHKII!$B$4:$B$58,0),138),""),"")</f>
        <v/>
      </c>
      <c r="B619" s="57"/>
      <c r="C619" s="57"/>
      <c r="D619" s="57"/>
      <c r="E619" s="57"/>
      <c r="F619" s="475"/>
    </row>
    <row r="620" spans="1:10" s="60" customFormat="1" ht="18.75" customHeight="1">
      <c r="A620" s="59" t="str">
        <f>IF(F631&lt;&gt;"",IF(INDEX(BDHK2,MATCH(F631,DiemHKII!$B$4:$B$58,0),139)&lt;&gt;""," - "&amp;INDEX(BDHK2,MATCH(F631,DiemHKII!$B$4:$B$58,0),139),""),"")</f>
        <v/>
      </c>
      <c r="B620" s="57"/>
      <c r="C620" s="57"/>
      <c r="D620" s="57"/>
      <c r="E620" s="57"/>
      <c r="F620" s="475"/>
    </row>
    <row r="621" spans="1:10" s="60" customFormat="1" ht="18.75" customHeight="1">
      <c r="A621" s="59" t="str">
        <f>IF(F631&lt;&gt;"",IF(INDEX(BDHK2,MATCH(F631,DiemHKII!$B$4:$B$58,0),140)&lt;&gt;""," - "&amp;INDEX(BDHK2,MATCH(F631,DiemHKII!$B$4:$B$58,0),140),""),"")</f>
        <v/>
      </c>
      <c r="B621" s="57"/>
      <c r="C621" s="57"/>
      <c r="D621" s="57"/>
      <c r="E621" s="57"/>
      <c r="F621" s="67"/>
    </row>
    <row r="622" spans="1:10" ht="6" customHeight="1">
      <c r="A622" s="68"/>
      <c r="B622" s="68"/>
      <c r="C622" s="68"/>
      <c r="D622" s="68"/>
      <c r="E622" s="68"/>
      <c r="F622" s="68"/>
    </row>
    <row r="623" spans="1:10">
      <c r="A623" s="68"/>
      <c r="B623" s="68"/>
      <c r="C62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623" s="1060"/>
      <c r="E623" s="1060"/>
      <c r="F623" s="1060"/>
    </row>
    <row r="624" spans="1:10" ht="20.25" customHeight="1">
      <c r="A624" s="1012" t="str">
        <f>IF($D$39="Hiệu trưởng","Giáo viên Quản nhiệm","")</f>
        <v>Giáo viên Quản nhiệm</v>
      </c>
      <c r="B624" s="1012"/>
      <c r="C624" s="61"/>
      <c r="D624" s="1012" t="str">
        <f>IF($H$7="","",$H$7)</f>
        <v>Hiệu trưởng</v>
      </c>
      <c r="E624" s="1012"/>
      <c r="F624" s="61"/>
    </row>
    <row r="625" spans="1:10">
      <c r="A625" s="68"/>
      <c r="B625" s="68"/>
      <c r="C625" s="68"/>
      <c r="D625" s="68"/>
      <c r="E625" s="68"/>
      <c r="F625" s="68"/>
    </row>
    <row r="626" spans="1:10">
      <c r="A626" s="68"/>
      <c r="B626" s="68"/>
      <c r="C626" s="68"/>
      <c r="D626" s="68"/>
      <c r="E626" s="68"/>
      <c r="F626" s="68"/>
    </row>
    <row r="627" spans="1:10" ht="16.8">
      <c r="A627" s="68"/>
      <c r="B627" s="68"/>
      <c r="C627" s="64"/>
      <c r="D627" s="64"/>
      <c r="E627" s="64"/>
      <c r="F627" s="64"/>
      <c r="G627" s="65"/>
      <c r="H627" s="65"/>
      <c r="I627" s="65"/>
      <c r="J627" s="65"/>
    </row>
    <row r="629" spans="1:10">
      <c r="A629" s="1012" t="str">
        <f>IF($A$39="","",PROPER('Huong dan'!$C$4))</f>
        <v/>
      </c>
      <c r="B629" s="1012"/>
      <c r="D629" s="1130" t="str">
        <f>IFERROR(IF($D$39="Giáo Viên Quản nhiệm",PROPER('Huong dan'!$C$4),IF($D$39="Hiệu trưởng",PROPER('Huong dan'!$E$5),"")),"")</f>
        <v/>
      </c>
      <c r="E629" s="1130"/>
    </row>
    <row r="630" spans="1:10" ht="7.5" customHeight="1"/>
    <row r="631" spans="1:10" ht="11.25" customHeight="1">
      <c r="A631" s="75"/>
      <c r="B631" s="75"/>
      <c r="C631" s="75"/>
      <c r="D631" s="75"/>
      <c r="E631" s="75"/>
      <c r="F631" s="76">
        <f>IF(F586="","",IF(F586&lt;MAX(DiemHKII!$B$4:$B$58),F586+1,""))</f>
        <v>14</v>
      </c>
    </row>
    <row r="632" spans="1:10" s="60" customFormat="1" ht="22.5" customHeight="1">
      <c r="A632" s="1128" t="str">
        <f>IF('Huong dan'!$E$3&lt;&gt;"","SỞ GIÁO DỤC VÀ ĐÀO TẠO "&amp;UPPER('Huong dan'!$E$3),"")</f>
        <v>SỞ GIÁO DỤC VÀ ĐÀO TẠO TP. HỒ CHÍ MINH</v>
      </c>
      <c r="B632" s="1128"/>
      <c r="C632" s="1128"/>
      <c r="D632" s="1129" t="s">
        <v>19</v>
      </c>
      <c r="E632" s="1129"/>
      <c r="F632" s="1129"/>
    </row>
    <row r="633" spans="1:10" ht="17.25" customHeight="1">
      <c r="A633" s="992" t="str">
        <f>IF('Huong dan'!$E$4&lt;&gt;"","TRƯỜNG "&amp;UPPER('Huong dan'!$E$4),"")</f>
        <v>TRƯỜNG THCS VÀ THPT NGUYỄN KHUYẾN</v>
      </c>
      <c r="B633" s="992"/>
      <c r="C633" s="992"/>
      <c r="D633" s="1130" t="s">
        <v>179</v>
      </c>
      <c r="E633" s="1130"/>
      <c r="F633" s="1130"/>
    </row>
    <row r="634" spans="1:10" ht="12" customHeight="1">
      <c r="A634" s="69"/>
      <c r="B634" s="69"/>
      <c r="C634" s="30"/>
      <c r="D634" s="30"/>
      <c r="E634" s="30"/>
      <c r="F634" s="30"/>
    </row>
    <row r="635" spans="1:10" ht="18" customHeight="1">
      <c r="A635" s="69"/>
      <c r="B635" s="69"/>
      <c r="C635" s="30"/>
      <c r="D635" s="30"/>
      <c r="E635" s="30"/>
      <c r="F635" s="30"/>
    </row>
    <row r="636" spans="1:10" ht="29.25" customHeight="1">
      <c r="A636" s="1013" t="str">
        <f>"PHIẾU ĐIỂM NĂM HỌC "&amp;'Huong dan'!$C$5</f>
        <v>PHIẾU ĐIỂM NĂM HỌC 2021 - 2022</v>
      </c>
      <c r="B636" s="1013"/>
      <c r="C636" s="1013"/>
      <c r="D636" s="1013"/>
      <c r="E636" s="1013"/>
      <c r="F636" s="1013"/>
    </row>
    <row r="637" spans="1:10" ht="12.75" customHeight="1">
      <c r="A637" s="70"/>
      <c r="B637" s="66"/>
      <c r="C637" s="66"/>
      <c r="D637" s="66"/>
      <c r="E637" s="66"/>
      <c r="F637" s="66"/>
    </row>
    <row r="638" spans="1:10" ht="20.25" customHeight="1">
      <c r="A638" s="1131" t="s">
        <v>212</v>
      </c>
      <c r="B638" s="1131"/>
      <c r="C638" s="77" t="str">
        <f>IF(F676="","",INDEX(DiemHKII!$E$4:$E$58,MATCH(F676,DiemHKII!$B$4:$B$58,0),1)&amp;" "&amp;INDEX(DiemHKII!$F$4:$F$58,MATCH(F676,DiemHKII!$B$4:$B$58,0),1))</f>
        <v>Trần Hoàng Hưng</v>
      </c>
      <c r="D638" s="77"/>
      <c r="E638" s="77"/>
      <c r="F638" s="71" t="str">
        <f>IF('Huong dan'!$C$3="","","Lớp: "&amp;'Huong dan'!$C$3)</f>
        <v>Lớp: 12A1</v>
      </c>
    </row>
    <row r="639" spans="1:10" ht="24" customHeight="1">
      <c r="A639" s="1131" t="s">
        <v>213</v>
      </c>
      <c r="B639" s="1131"/>
      <c r="C639" s="77" t="str">
        <f>IF(F676="","",INDEX(DiemHKII!$G$4:$G$58,MATCH(F676,DiemHKII!$B$4:$B$58,0),1))</f>
        <v>11/06/2004</v>
      </c>
      <c r="D639" s="77"/>
      <c r="E639" s="1133" t="str">
        <f>IF(F676="","","Nơi sinh: "&amp;INDEX(DiemHKII!$H$4:$H$58,MATCH(F676,DiemHKII!$B$4:$B$58,0),1))</f>
        <v xml:space="preserve">Nơi sinh: </v>
      </c>
      <c r="F639" s="1133"/>
    </row>
    <row r="640" spans="1:10" ht="15" customHeight="1">
      <c r="A640" s="62"/>
      <c r="B640" s="62"/>
      <c r="C640" s="62"/>
      <c r="D640" s="62"/>
      <c r="E640" s="62"/>
      <c r="F640" s="63"/>
    </row>
    <row r="641" spans="1:10" ht="21" customHeight="1">
      <c r="A641" s="1134" t="s">
        <v>0</v>
      </c>
      <c r="B641" s="1134" t="s">
        <v>72</v>
      </c>
      <c r="C641" s="1134" t="s">
        <v>216</v>
      </c>
      <c r="D641" s="1134"/>
      <c r="E641" s="1134"/>
      <c r="F641" s="1134" t="s">
        <v>148</v>
      </c>
    </row>
    <row r="642" spans="1:10" ht="21" customHeight="1">
      <c r="A642" s="1134"/>
      <c r="B642" s="1134"/>
      <c r="C642" s="476" t="s">
        <v>188</v>
      </c>
      <c r="D642" s="476" t="s">
        <v>189</v>
      </c>
      <c r="E642" s="476" t="s">
        <v>190</v>
      </c>
      <c r="F642" s="1134"/>
    </row>
    <row r="643" spans="1:10" ht="21" customHeight="1">
      <c r="A643" s="72" t="s">
        <v>191</v>
      </c>
      <c r="B643" s="73" t="s">
        <v>26</v>
      </c>
      <c r="C643" s="74" t="str">
        <f>INDEX('TH CANAM'!$A$9:$BF$63,MATCH(PDNam!$F676,'TH CANAM'!$A$9:$A$63,0),INDEX($J$13:$M$30,MATCH($B643,$J$13:$J$30,0),K$12))</f>
        <v/>
      </c>
      <c r="D643" s="74" t="str">
        <f>INDEX('TH CANAM'!$A$9:$BF$63,MATCH(PDNam!$F676,'TH CANAM'!$A$9:$A$63,0),INDEX($J$13:$M$30,MATCH($B643,$J$13:$J$30,0),L$12))</f>
        <v/>
      </c>
      <c r="E643" s="74" t="str">
        <f>INDEX('TH CANAM'!$A$9:$BF$63,MATCH(PDNam!$F676,'TH CANAM'!$A$9:$A$63,0),INDEX($J$13:$M$30,MATCH($B643,$J$13:$J$30,0),M$12))</f>
        <v/>
      </c>
      <c r="F643" s="73"/>
      <c r="I643" s="64"/>
      <c r="J643" s="64"/>
    </row>
    <row r="644" spans="1:10" ht="21" customHeight="1">
      <c r="A644" s="72" t="s">
        <v>192</v>
      </c>
      <c r="B644" s="73" t="s">
        <v>27</v>
      </c>
      <c r="C644" s="74" t="str">
        <f>INDEX('TH CANAM'!$A$9:$BF$63,MATCH(PDNam!$F676,'TH CANAM'!$A$9:$A$63,0),INDEX($J$13:$M$30,MATCH($B644,$J$13:$J$30,0),K$12))</f>
        <v/>
      </c>
      <c r="D644" s="74" t="str">
        <f>INDEX('TH CANAM'!$A$9:$BF$63,MATCH(PDNam!$F676,'TH CANAM'!$A$9:$A$63,0),INDEX($J$13:$M$30,MATCH($B644,$J$13:$J$30,0),L$12))</f>
        <v/>
      </c>
      <c r="E644" s="74" t="str">
        <f>INDEX('TH CANAM'!$A$9:$BF$63,MATCH(PDNam!$F676,'TH CANAM'!$A$9:$A$63,0),INDEX($J$13:$M$30,MATCH($B644,$J$13:$J$30,0),M$12))</f>
        <v/>
      </c>
      <c r="F644" s="73"/>
      <c r="I644" s="64"/>
      <c r="J644" s="64"/>
    </row>
    <row r="645" spans="1:10" ht="21" customHeight="1">
      <c r="A645" s="72" t="s">
        <v>193</v>
      </c>
      <c r="B645" s="73" t="s">
        <v>28</v>
      </c>
      <c r="C645" s="74" t="str">
        <f>INDEX('TH CANAM'!$A$9:$BF$63,MATCH(PDNam!$F676,'TH CANAM'!$A$9:$A$63,0),INDEX($J$13:$M$30,MATCH($B645,$J$13:$J$30,0),K$12))</f>
        <v/>
      </c>
      <c r="D645" s="74" t="str">
        <f>INDEX('TH CANAM'!$A$9:$BF$63,MATCH(PDNam!$F676,'TH CANAM'!$A$9:$A$63,0),INDEX($J$13:$M$30,MATCH($B645,$J$13:$J$30,0),L$12))</f>
        <v/>
      </c>
      <c r="E645" s="74" t="str">
        <f>INDEX('TH CANAM'!$A$9:$BF$63,MATCH(PDNam!$F676,'TH CANAM'!$A$9:$A$63,0),INDEX($J$13:$M$30,MATCH($B645,$J$13:$J$30,0),M$12))</f>
        <v/>
      </c>
      <c r="F645" s="73"/>
      <c r="I645" s="64"/>
      <c r="J645" s="64"/>
    </row>
    <row r="646" spans="1:10" ht="21" customHeight="1">
      <c r="A646" s="72" t="s">
        <v>194</v>
      </c>
      <c r="B646" s="73" t="s">
        <v>29</v>
      </c>
      <c r="C646" s="74" t="str">
        <f>INDEX('TH CANAM'!$A$9:$BF$63,MATCH(PDNam!$F676,'TH CANAM'!$A$9:$A$63,0),INDEX($J$13:$M$30,MATCH($B646,$J$13:$J$30,0),K$12))</f>
        <v/>
      </c>
      <c r="D646" s="74" t="str">
        <f>INDEX('TH CANAM'!$A$9:$BF$63,MATCH(PDNam!$F676,'TH CANAM'!$A$9:$A$63,0),INDEX($J$13:$M$30,MATCH($B646,$J$13:$J$30,0),L$12))</f>
        <v/>
      </c>
      <c r="E646" s="74" t="str">
        <f>INDEX('TH CANAM'!$A$9:$BF$63,MATCH(PDNam!$F676,'TH CANAM'!$A$9:$A$63,0),INDEX($J$13:$M$30,MATCH($B646,$J$13:$J$30,0),M$12))</f>
        <v/>
      </c>
      <c r="F646" s="73"/>
      <c r="I646" s="64"/>
      <c r="J646" s="64"/>
    </row>
    <row r="647" spans="1:10" ht="21" customHeight="1">
      <c r="A647" s="72" t="s">
        <v>195</v>
      </c>
      <c r="B647" s="73" t="s">
        <v>120</v>
      </c>
      <c r="C647" s="74" t="str">
        <f>INDEX('TH CANAM'!$A$9:$BF$63,MATCH(PDNam!$F676,'TH CANAM'!$A$9:$A$63,0),INDEX($J$13:$M$30,MATCH($B647,$J$13:$J$30,0),K$12))</f>
        <v/>
      </c>
      <c r="D647" s="74" t="str">
        <f>INDEX('TH CANAM'!$A$9:$BF$63,MATCH(PDNam!$F676,'TH CANAM'!$A$9:$A$63,0),INDEX($J$13:$M$30,MATCH($B647,$J$13:$J$30,0),L$12))</f>
        <v/>
      </c>
      <c r="E647" s="74" t="str">
        <f>INDEX('TH CANAM'!$A$9:$BF$63,MATCH(PDNam!$F676,'TH CANAM'!$A$9:$A$63,0),INDEX($J$13:$M$30,MATCH($B647,$J$13:$J$30,0),M$12))</f>
        <v/>
      </c>
      <c r="F647" s="73"/>
      <c r="I647" s="64"/>
      <c r="J647" s="64"/>
    </row>
    <row r="648" spans="1:10" ht="21" customHeight="1">
      <c r="A648" s="72" t="s">
        <v>196</v>
      </c>
      <c r="B648" s="73" t="s">
        <v>30</v>
      </c>
      <c r="C648" s="74" t="str">
        <f>INDEX('TH CANAM'!$A$9:$BF$63,MATCH(PDNam!$F676,'TH CANAM'!$A$9:$A$63,0),INDEX($J$13:$M$30,MATCH($B648,$J$13:$J$30,0),K$12))</f>
        <v/>
      </c>
      <c r="D648" s="74" t="str">
        <f>INDEX('TH CANAM'!$A$9:$BF$63,MATCH(PDNam!$F676,'TH CANAM'!$A$9:$A$63,0),INDEX($J$13:$M$30,MATCH($B648,$J$13:$J$30,0),L$12))</f>
        <v/>
      </c>
      <c r="E648" s="74" t="str">
        <f>INDEX('TH CANAM'!$A$9:$BF$63,MATCH(PDNam!$F676,'TH CANAM'!$A$9:$A$63,0),INDEX($J$13:$M$30,MATCH($B648,$J$13:$J$30,0),M$12))</f>
        <v/>
      </c>
      <c r="F648" s="73"/>
      <c r="I648" s="64"/>
      <c r="J648" s="64"/>
    </row>
    <row r="649" spans="1:10" ht="21" customHeight="1">
      <c r="A649" s="72" t="s">
        <v>197</v>
      </c>
      <c r="B649" s="73" t="s">
        <v>31</v>
      </c>
      <c r="C649" s="74" t="str">
        <f>INDEX('TH CANAM'!$A$9:$BF$63,MATCH(PDNam!$F676,'TH CANAM'!$A$9:$A$63,0),INDEX($J$13:$M$30,MATCH($B649,$J$13:$J$30,0),K$12))</f>
        <v/>
      </c>
      <c r="D649" s="74" t="str">
        <f>INDEX('TH CANAM'!$A$9:$BF$63,MATCH(PDNam!$F676,'TH CANAM'!$A$9:$A$63,0),INDEX($J$13:$M$30,MATCH($B649,$J$13:$J$30,0),L$12))</f>
        <v/>
      </c>
      <c r="E649" s="74" t="str">
        <f>INDEX('TH CANAM'!$A$9:$BF$63,MATCH(PDNam!$F676,'TH CANAM'!$A$9:$A$63,0),INDEX($J$13:$M$30,MATCH($B649,$J$13:$J$30,0),M$12))</f>
        <v/>
      </c>
      <c r="F649" s="73"/>
      <c r="I649" s="64"/>
      <c r="J649" s="64"/>
    </row>
    <row r="650" spans="1:10" ht="21" customHeight="1">
      <c r="A650" s="72" t="s">
        <v>198</v>
      </c>
      <c r="B650" s="73" t="s">
        <v>32</v>
      </c>
      <c r="C650" s="74" t="str">
        <f>INDEX('TH CANAM'!$A$9:$BF$63,MATCH(PDNam!$F676,'TH CANAM'!$A$9:$A$63,0),INDEX($J$13:$M$30,MATCH($B650,$J$13:$J$30,0),K$12))</f>
        <v/>
      </c>
      <c r="D650" s="74" t="str">
        <f>INDEX('TH CANAM'!$A$9:$BF$63,MATCH(PDNam!$F676,'TH CANAM'!$A$9:$A$63,0),INDEX($J$13:$M$30,MATCH($B650,$J$13:$J$30,0),L$12))</f>
        <v/>
      </c>
      <c r="E650" s="74" t="str">
        <f>INDEX('TH CANAM'!$A$9:$BF$63,MATCH(PDNam!$F676,'TH CANAM'!$A$9:$A$63,0),INDEX($J$13:$M$30,MATCH($B650,$J$13:$J$30,0),M$12))</f>
        <v/>
      </c>
      <c r="F650" s="73"/>
      <c r="I650" s="64"/>
      <c r="J650" s="64"/>
    </row>
    <row r="651" spans="1:10" ht="21" customHeight="1">
      <c r="A651" s="72" t="s">
        <v>199</v>
      </c>
      <c r="B651" s="73" t="s">
        <v>33</v>
      </c>
      <c r="C651" s="74" t="str">
        <f>INDEX('TH CANAM'!$A$9:$BF$63,MATCH(PDNam!$F676,'TH CANAM'!$A$9:$A$63,0),INDEX($J$13:$M$30,MATCH($B651,$J$13:$J$30,0),K$12))</f>
        <v/>
      </c>
      <c r="D651" s="74" t="str">
        <f>INDEX('TH CANAM'!$A$9:$BF$63,MATCH(PDNam!$F676,'TH CANAM'!$A$9:$A$63,0),INDEX($J$13:$M$30,MATCH($B651,$J$13:$J$30,0),L$12))</f>
        <v/>
      </c>
      <c r="E651" s="74" t="str">
        <f>INDEX('TH CANAM'!$A$9:$BF$63,MATCH(PDNam!$F676,'TH CANAM'!$A$9:$A$63,0),INDEX($J$13:$M$30,MATCH($B651,$J$13:$J$30,0),M$12))</f>
        <v/>
      </c>
      <c r="F651" s="73"/>
      <c r="I651" s="64"/>
      <c r="J651" s="64"/>
    </row>
    <row r="652" spans="1:10" ht="21" customHeight="1">
      <c r="A652" s="72" t="s">
        <v>200</v>
      </c>
      <c r="B652" s="73" t="s">
        <v>60</v>
      </c>
      <c r="C652" s="74" t="str">
        <f>INDEX('TH CANAM'!$A$9:$BF$63,MATCH(PDNam!$F676,'TH CANAM'!$A$9:$A$63,0),INDEX($J$13:$M$30,MATCH($B652,$J$13:$J$30,0),K$12))</f>
        <v/>
      </c>
      <c r="D652" s="74" t="str">
        <f>INDEX('TH CANAM'!$A$9:$BF$63,MATCH(PDNam!$F676,'TH CANAM'!$A$9:$A$63,0),INDEX($J$13:$M$30,MATCH($B652,$J$13:$J$30,0),L$12))</f>
        <v/>
      </c>
      <c r="E652" s="74" t="str">
        <f>INDEX('TH CANAM'!$A$9:$BF$63,MATCH(PDNam!$F676,'TH CANAM'!$A$9:$A$63,0),INDEX($J$13:$M$30,MATCH($B652,$J$13:$J$30,0),M$12))</f>
        <v/>
      </c>
      <c r="F652" s="73"/>
      <c r="I652" s="64"/>
      <c r="J652" s="64"/>
    </row>
    <row r="653" spans="1:10" ht="21" customHeight="1">
      <c r="A653" s="72" t="s">
        <v>201</v>
      </c>
      <c r="B653" s="73" t="s">
        <v>34</v>
      </c>
      <c r="C653" s="74" t="str">
        <f>INDEX('TH CANAM'!$A$9:$BF$63,MATCH(PDNam!$F676,'TH CANAM'!$A$9:$A$63,0),INDEX($J$13:$M$30,MATCH($B653,$J$13:$J$30,0),K$12))</f>
        <v/>
      </c>
      <c r="D653" s="74" t="str">
        <f>INDEX('TH CANAM'!$A$9:$BF$63,MATCH(PDNam!$F676,'TH CANAM'!$A$9:$A$63,0),INDEX($J$13:$M$30,MATCH($B653,$J$13:$J$30,0),L$12))</f>
        <v/>
      </c>
      <c r="E653" s="74" t="str">
        <f>INDEX('TH CANAM'!$A$9:$BF$63,MATCH(PDNam!$F676,'TH CANAM'!$A$9:$A$63,0),INDEX($J$13:$M$30,MATCH($B653,$J$13:$J$30,0),M$12))</f>
        <v/>
      </c>
      <c r="F653" s="73"/>
      <c r="I653" s="64"/>
      <c r="J653" s="64"/>
    </row>
    <row r="654" spans="1:10" ht="21" customHeight="1">
      <c r="A654" s="72" t="s">
        <v>202</v>
      </c>
      <c r="B654" s="73" t="s">
        <v>35</v>
      </c>
      <c r="C654" s="74" t="str">
        <f>INDEX('TH CANAM'!$A$9:$BF$63,MATCH(PDNam!$F676,'TH CANAM'!$A$9:$A$63,0),INDEX($J$13:$M$30,MATCH($B654,$J$13:$J$30,0),K$12))</f>
        <v/>
      </c>
      <c r="D654" s="74" t="str">
        <f>INDEX('TH CANAM'!$A$9:$BF$63,MATCH(PDNam!$F676,'TH CANAM'!$A$9:$A$63,0),INDEX($J$13:$M$30,MATCH($B654,$J$13:$J$30,0),L$12))</f>
        <v/>
      </c>
      <c r="E654" s="74" t="str">
        <f>INDEX('TH CANAM'!$A$9:$BF$63,MATCH(PDNam!$F676,'TH CANAM'!$A$9:$A$63,0),INDEX($J$13:$M$30,MATCH($B654,$J$13:$J$30,0),M$12))</f>
        <v/>
      </c>
      <c r="F654" s="73"/>
      <c r="I654" s="64"/>
      <c r="J654" s="64"/>
    </row>
    <row r="655" spans="1:10" ht="21" customHeight="1">
      <c r="A655" s="72" t="s">
        <v>203</v>
      </c>
      <c r="B655" s="73" t="s">
        <v>121</v>
      </c>
      <c r="C655" s="74" t="str">
        <f>INDEX('TH CANAM'!$A$9:$BF$63,MATCH(PDNam!$F676,'TH CANAM'!$A$9:$A$63,0),INDEX($J$13:$M$30,MATCH($B655,$J$13:$J$30,0),K$12))</f>
        <v/>
      </c>
      <c r="D655" s="74" t="str">
        <f>INDEX('TH CANAM'!$A$9:$BF$63,MATCH(PDNam!$F676,'TH CANAM'!$A$9:$A$63,0),INDEX($J$13:$M$30,MATCH($B655,$J$13:$J$30,0),L$12))</f>
        <v/>
      </c>
      <c r="E655" s="74" t="str">
        <f>INDEX('TH CANAM'!$A$9:$BF$63,MATCH(PDNam!$F676,'TH CANAM'!$A$9:$A$63,0),INDEX($J$13:$M$30,MATCH($B655,$J$13:$J$30,0),M$12))</f>
        <v/>
      </c>
      <c r="F655" s="73"/>
      <c r="I655" s="64"/>
      <c r="J655" s="64"/>
    </row>
    <row r="656" spans="1:10" ht="21" customHeight="1">
      <c r="A656" s="72" t="s">
        <v>204</v>
      </c>
      <c r="B656" s="73" t="s">
        <v>122</v>
      </c>
      <c r="C656" s="74" t="str">
        <f>INDEX('TH CANAM'!$A$9:$BF$63,MATCH(PDNam!$F676,'TH CANAM'!$A$9:$A$63,0),INDEX($J$13:$M$30,MATCH($B656,$J$13:$J$30,0),K$12))</f>
        <v/>
      </c>
      <c r="D656" s="74" t="str">
        <f>INDEX('TH CANAM'!$A$9:$BF$63,MATCH(PDNam!$F676,'TH CANAM'!$A$9:$A$63,0),INDEX($J$13:$M$30,MATCH($B656,$J$13:$J$30,0),L$12))</f>
        <v/>
      </c>
      <c r="E656" s="74" t="str">
        <f>INDEX('TH CANAM'!$A$9:$BF$63,MATCH(PDNam!$F676,'TH CANAM'!$A$9:$A$63,0),INDEX($J$13:$M$30,MATCH($B656,$J$13:$J$30,0),M$12))</f>
        <v/>
      </c>
      <c r="F656" s="73"/>
      <c r="I656" s="64"/>
      <c r="J656" s="64"/>
    </row>
    <row r="657" spans="1:10" ht="21" customHeight="1">
      <c r="A657" s="72" t="s">
        <v>208</v>
      </c>
      <c r="B657" s="73" t="s">
        <v>205</v>
      </c>
      <c r="C657" s="78">
        <f>INDEX('TH CANAM'!$A$9:$BF$63,MATCH(PDNam!$F676,'TH CANAM'!$A$9:$A$63,0),46)</f>
        <v>9.3000000000000007</v>
      </c>
      <c r="D657" s="78" t="str">
        <f>INDEX('TH CANAM'!$A$9:$BF$63,MATCH(PDNam!$F676,'TH CANAM'!$A$9:$A$63,0),47)</f>
        <v/>
      </c>
      <c r="E657" s="78" t="str">
        <f>INDEX('TH CANAM'!$A$9:$BF$63,MATCH(PDNam!$F676,'TH CANAM'!$A$9:$A$63,0),48)</f>
        <v/>
      </c>
      <c r="F657" s="73"/>
      <c r="I657" s="64"/>
      <c r="J657" s="64"/>
    </row>
    <row r="658" spans="1:10" ht="21" customHeight="1">
      <c r="A658" s="72" t="s">
        <v>209</v>
      </c>
      <c r="B658" s="72" t="s">
        <v>206</v>
      </c>
      <c r="C658" s="74" t="str">
        <f>IF(INDEX('TH CANAM'!$A$9:$BF$63,MATCH(PDNam!$F676,'TH CANAM'!$A$9:$A$63,0),49)="Tb","Trung bình",INDEX('TH CANAM'!$A$9:$BF$63,MATCH(PDNam!$F676,'TH CANAM'!$A$9:$A$63,0),49))</f>
        <v>Giỏi</v>
      </c>
      <c r="D658" s="74" t="str">
        <f>IF(INDEX('TH CANAM'!$A$9:$BF$63,MATCH(PDNam!$F676,'TH CANAM'!$A$9:$A$63,0),50)="Tb","Trung bình",INDEX('TH CANAM'!$A$9:$BF$63,MATCH(PDNam!$F676,'TH CANAM'!$A$9:$A$63,0),50))</f>
        <v/>
      </c>
      <c r="E658" s="74" t="str">
        <f>IF(INDEX('TH CANAM'!$A$9:$BF$63,MATCH(PDNam!$F676,'TH CANAM'!$A$9:$A$63,0),51)="Tb","Trung bình",INDEX('TH CANAM'!$A$9:$BF$63,MATCH(PDNam!$F676,'TH CANAM'!$A$9:$A$63,0),51))</f>
        <v/>
      </c>
      <c r="F658" s="73"/>
    </row>
    <row r="659" spans="1:10" ht="21" customHeight="1">
      <c r="A659" s="72" t="s">
        <v>210</v>
      </c>
      <c r="B659" s="72" t="s">
        <v>207</v>
      </c>
      <c r="C659" s="74" t="str">
        <f>INDEX('TH CANAM'!$A$9:$BF$63,MATCH(PDNam!$F676,'TH CANAM'!$A$9:$A$63,0),52)</f>
        <v>Tốt</v>
      </c>
      <c r="D659" s="74" t="str">
        <f>INDEX('TH CANAM'!$A$9:$BF$63,MATCH(PDNam!$F676,'TH CANAM'!$A$9:$A$63,0),53)</f>
        <v/>
      </c>
      <c r="E659" s="74" t="str">
        <f>INDEX('TH CANAM'!$A$9:$BF$63,MATCH(PDNam!$F676,'TH CANAM'!$A$9:$A$63,0),54)</f>
        <v/>
      </c>
      <c r="F659" s="73"/>
    </row>
    <row r="660" spans="1:10" ht="21" customHeight="1">
      <c r="A660" s="72" t="s">
        <v>211</v>
      </c>
      <c r="B660" s="72" t="s">
        <v>25</v>
      </c>
      <c r="C660" s="74" t="str">
        <f>IF(INDEX('TH CANAM'!$A$9:$BF$63,MATCH(PDNam!$F676,'TH CANAM'!$A$9:$A$63,0),57)&lt;&gt;"",INDEX('TH CANAM'!$A$9:$BF$63,MATCH(PDNam!$F676,'TH CANAM'!$A$9:$A$63,0),57),"/")</f>
        <v>HSG</v>
      </c>
      <c r="D660" s="74" t="str">
        <f>IF(INDEX('TH CANAM'!$A$9:$BF$63,MATCH(PDNam!$F676,'TH CANAM'!$A$9:$A$63,0),58)&lt;&gt;"",INDEX('TH CANAM'!$A$9:$BF$63,MATCH(PDNam!$F676,'TH CANAM'!$A$9:$A$63,0),58),"/")</f>
        <v>/</v>
      </c>
      <c r="E660" s="74" t="str">
        <f>IF(INDEX('TH CANAM'!$A$9:$BF$63,MATCH(PDNam!$F676,'TH CANAM'!$A$9:$A$63,0),55)&lt;&gt;"",INDEX('TH CANAM'!$A$9:$BF$63,MATCH(PDNam!$F676,'TH CANAM'!$A$9:$A$63,0),55),"/")</f>
        <v>/</v>
      </c>
      <c r="F660" s="73"/>
    </row>
    <row r="661" spans="1:10" s="60" customFormat="1" ht="9" customHeight="1">
      <c r="A661" s="67"/>
      <c r="B661" s="67"/>
      <c r="C661" s="1132"/>
      <c r="D661" s="1132"/>
      <c r="E661" s="67"/>
      <c r="F661" s="67"/>
    </row>
    <row r="662" spans="1:10" s="60" customFormat="1" ht="18.75" customHeight="1">
      <c r="A662" s="58" t="s">
        <v>219</v>
      </c>
      <c r="B662" s="57"/>
      <c r="C662" s="57"/>
      <c r="D662" s="57"/>
      <c r="E662" s="57"/>
      <c r="F662" s="475"/>
    </row>
    <row r="663" spans="1:10" s="60" customFormat="1" ht="18.75" customHeight="1">
      <c r="A663" s="59" t="str">
        <f>IF(F676&lt;&gt;"",IF(INDEX(BDHK2,MATCH(F676,DiemHKII!$B$4:$B$58,0),137)&lt;&gt;""," - "&amp;INDEX(BDHK2,MATCH(F676,DiemHKII!$B$4:$B$58,0),137),""),"")</f>
        <v/>
      </c>
      <c r="B663" s="57"/>
      <c r="C663" s="57"/>
      <c r="D663" s="57"/>
      <c r="E663" s="57"/>
      <c r="F663" s="475"/>
    </row>
    <row r="664" spans="1:10" s="60" customFormat="1" ht="18.75" customHeight="1">
      <c r="A664" s="59" t="str">
        <f>IF(F676&lt;&gt;"",IF(INDEX(BDHK2,MATCH(F676,DiemHKII!$B$4:$B$58,0),138)&lt;&gt;""," - "&amp;INDEX(BDHK2,MATCH(F676,DiemHKII!$B$4:$B$58,0),138),""),"")</f>
        <v/>
      </c>
      <c r="B664" s="57"/>
      <c r="C664" s="57"/>
      <c r="D664" s="57"/>
      <c r="E664" s="57"/>
      <c r="F664" s="475"/>
    </row>
    <row r="665" spans="1:10" s="60" customFormat="1" ht="18.75" customHeight="1">
      <c r="A665" s="59" t="str">
        <f>IF(F676&lt;&gt;"",IF(INDEX(BDHK2,MATCH(F676,DiemHKII!$B$4:$B$58,0),139)&lt;&gt;""," - "&amp;INDEX(BDHK2,MATCH(F676,DiemHKII!$B$4:$B$58,0),139),""),"")</f>
        <v/>
      </c>
      <c r="B665" s="57"/>
      <c r="C665" s="57"/>
      <c r="D665" s="57"/>
      <c r="E665" s="57"/>
      <c r="F665" s="475"/>
    </row>
    <row r="666" spans="1:10" s="60" customFormat="1" ht="18.75" customHeight="1">
      <c r="A666" s="59" t="str">
        <f>IF(F676&lt;&gt;"",IF(INDEX(BDHK2,MATCH(F676,DiemHKII!$B$4:$B$58,0),140)&lt;&gt;""," - "&amp;INDEX(BDHK2,MATCH(F676,DiemHKII!$B$4:$B$58,0),140),""),"")</f>
        <v/>
      </c>
      <c r="B666" s="57"/>
      <c r="C666" s="57"/>
      <c r="D666" s="57"/>
      <c r="E666" s="57"/>
      <c r="F666" s="67"/>
    </row>
    <row r="667" spans="1:10" ht="6" customHeight="1">
      <c r="A667" s="68"/>
      <c r="B667" s="68"/>
      <c r="C667" s="68"/>
      <c r="D667" s="68"/>
      <c r="E667" s="68"/>
      <c r="F667" s="68"/>
    </row>
    <row r="668" spans="1:10">
      <c r="A668" s="68"/>
      <c r="B668" s="68"/>
      <c r="C66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668" s="1060"/>
      <c r="E668" s="1060"/>
      <c r="F668" s="1060"/>
    </row>
    <row r="669" spans="1:10" ht="20.25" customHeight="1">
      <c r="A669" s="1012" t="str">
        <f>IF($D$39="Hiệu trưởng","Giáo viên Quản nhiệm","")</f>
        <v>Giáo viên Quản nhiệm</v>
      </c>
      <c r="B669" s="1012"/>
      <c r="C669" s="61"/>
      <c r="D669" s="1012" t="str">
        <f>IF($H$7="","",$H$7)</f>
        <v>Hiệu trưởng</v>
      </c>
      <c r="E669" s="1012"/>
      <c r="F669" s="61"/>
    </row>
    <row r="670" spans="1:10">
      <c r="A670" s="68"/>
      <c r="B670" s="68"/>
      <c r="C670" s="68"/>
      <c r="D670" s="68"/>
      <c r="E670" s="68"/>
      <c r="F670" s="68"/>
    </row>
    <row r="671" spans="1:10">
      <c r="A671" s="68"/>
      <c r="B671" s="68"/>
      <c r="C671" s="68"/>
      <c r="D671" s="68"/>
      <c r="E671" s="68"/>
      <c r="F671" s="68"/>
    </row>
    <row r="672" spans="1:10" ht="16.8">
      <c r="A672" s="68"/>
      <c r="B672" s="68"/>
      <c r="C672" s="64"/>
      <c r="D672" s="64"/>
      <c r="E672" s="64"/>
      <c r="F672" s="64"/>
      <c r="G672" s="65"/>
      <c r="H672" s="65"/>
      <c r="I672" s="65"/>
      <c r="J672" s="65"/>
    </row>
    <row r="674" spans="1:10">
      <c r="A674" s="1012" t="str">
        <f>IF($A$39="","",PROPER('Huong dan'!$C$4))</f>
        <v/>
      </c>
      <c r="B674" s="1012"/>
      <c r="D674" s="1130" t="str">
        <f>IFERROR(IF($D$39="Giáo Viên Quản nhiệm",PROPER('Huong dan'!$C$4),IF($D$39="Hiệu trưởng",PROPER('Huong dan'!$E$5),"")),"")</f>
        <v/>
      </c>
      <c r="E674" s="1130"/>
    </row>
    <row r="675" spans="1:10" ht="7.5" customHeight="1"/>
    <row r="676" spans="1:10" ht="11.25" customHeight="1">
      <c r="A676" s="75"/>
      <c r="B676" s="75"/>
      <c r="C676" s="75"/>
      <c r="D676" s="75"/>
      <c r="E676" s="75"/>
      <c r="F676" s="76">
        <f>IF(F631="","",IF(F631&lt;MAX(DiemHKII!$B$4:$B$58),F631+1,""))</f>
        <v>15</v>
      </c>
    </row>
    <row r="677" spans="1:10" s="60" customFormat="1" ht="22.5" customHeight="1">
      <c r="A677" s="1128" t="str">
        <f>IF('Huong dan'!$E$3&lt;&gt;"","SỞ GIÁO DỤC VÀ ĐÀO TẠO "&amp;UPPER('Huong dan'!$E$3),"")</f>
        <v>SỞ GIÁO DỤC VÀ ĐÀO TẠO TP. HỒ CHÍ MINH</v>
      </c>
      <c r="B677" s="1128"/>
      <c r="C677" s="1128"/>
      <c r="D677" s="1129" t="s">
        <v>19</v>
      </c>
      <c r="E677" s="1129"/>
      <c r="F677" s="1129"/>
    </row>
    <row r="678" spans="1:10" ht="17.25" customHeight="1">
      <c r="A678" s="992" t="str">
        <f>IF('Huong dan'!$E$4&lt;&gt;"","TRƯỜNG "&amp;UPPER('Huong dan'!$E$4),"")</f>
        <v>TRƯỜNG THCS VÀ THPT NGUYỄN KHUYẾN</v>
      </c>
      <c r="B678" s="992"/>
      <c r="C678" s="992"/>
      <c r="D678" s="1130" t="s">
        <v>179</v>
      </c>
      <c r="E678" s="1130"/>
      <c r="F678" s="1130"/>
    </row>
    <row r="679" spans="1:10" ht="12" customHeight="1">
      <c r="A679" s="69"/>
      <c r="B679" s="69"/>
      <c r="C679" s="30"/>
      <c r="D679" s="30"/>
      <c r="E679" s="30"/>
      <c r="F679" s="30"/>
    </row>
    <row r="680" spans="1:10" ht="18" customHeight="1">
      <c r="A680" s="69"/>
      <c r="B680" s="69"/>
      <c r="C680" s="30"/>
      <c r="D680" s="30"/>
      <c r="E680" s="30"/>
      <c r="F680" s="30"/>
    </row>
    <row r="681" spans="1:10" ht="29.25" customHeight="1">
      <c r="A681" s="1013" t="str">
        <f>"PHIẾU ĐIỂM NĂM HỌC "&amp;'Huong dan'!$C$5</f>
        <v>PHIẾU ĐIỂM NĂM HỌC 2021 - 2022</v>
      </c>
      <c r="B681" s="1013"/>
      <c r="C681" s="1013"/>
      <c r="D681" s="1013"/>
      <c r="E681" s="1013"/>
      <c r="F681" s="1013"/>
    </row>
    <row r="682" spans="1:10" ht="12.75" customHeight="1">
      <c r="A682" s="70"/>
      <c r="B682" s="66"/>
      <c r="C682" s="66"/>
      <c r="D682" s="66"/>
      <c r="E682" s="66"/>
      <c r="F682" s="66"/>
    </row>
    <row r="683" spans="1:10" ht="20.25" customHeight="1">
      <c r="A683" s="1131" t="s">
        <v>212</v>
      </c>
      <c r="B683" s="1131"/>
      <c r="C683" s="77" t="str">
        <f>IF(F721="","",INDEX(DiemHKII!$E$4:$E$58,MATCH(F721,DiemHKII!$B$4:$B$58,0),1)&amp;" "&amp;INDEX(DiemHKII!$F$4:$F$58,MATCH(F721,DiemHKII!$B$4:$B$58,0),1))</f>
        <v>Trần Đăng Khải</v>
      </c>
      <c r="D683" s="77"/>
      <c r="E683" s="77"/>
      <c r="F683" s="71" t="str">
        <f>IF('Huong dan'!$C$3="","","Lớp: "&amp;'Huong dan'!$C$3)</f>
        <v>Lớp: 12A1</v>
      </c>
    </row>
    <row r="684" spans="1:10" ht="24" customHeight="1">
      <c r="A684" s="1131" t="s">
        <v>213</v>
      </c>
      <c r="B684" s="1131"/>
      <c r="C684" s="77" t="str">
        <f>IF(F721="","",INDEX(DiemHKII!$G$4:$G$58,MATCH(F721,DiemHKII!$B$4:$B$58,0),1))</f>
        <v>22/04/2004</v>
      </c>
      <c r="D684" s="77"/>
      <c r="E684" s="1133" t="str">
        <f>IF(F721="","","Nơi sinh: "&amp;INDEX(DiemHKII!$H$4:$H$58,MATCH(F721,DiemHKII!$B$4:$B$58,0),1))</f>
        <v xml:space="preserve">Nơi sinh: </v>
      </c>
      <c r="F684" s="1133"/>
    </row>
    <row r="685" spans="1:10" ht="15" customHeight="1">
      <c r="A685" s="62"/>
      <c r="B685" s="62"/>
      <c r="C685" s="62"/>
      <c r="D685" s="62"/>
      <c r="E685" s="62"/>
      <c r="F685" s="63"/>
    </row>
    <row r="686" spans="1:10" ht="21" customHeight="1">
      <c r="A686" s="1134" t="s">
        <v>0</v>
      </c>
      <c r="B686" s="1134" t="s">
        <v>72</v>
      </c>
      <c r="C686" s="1134" t="s">
        <v>216</v>
      </c>
      <c r="D686" s="1134"/>
      <c r="E686" s="1134"/>
      <c r="F686" s="1134" t="s">
        <v>148</v>
      </c>
    </row>
    <row r="687" spans="1:10" ht="21" customHeight="1">
      <c r="A687" s="1134"/>
      <c r="B687" s="1134"/>
      <c r="C687" s="476" t="s">
        <v>188</v>
      </c>
      <c r="D687" s="476" t="s">
        <v>189</v>
      </c>
      <c r="E687" s="476" t="s">
        <v>190</v>
      </c>
      <c r="F687" s="1134"/>
    </row>
    <row r="688" spans="1:10" ht="21" customHeight="1">
      <c r="A688" s="72" t="s">
        <v>191</v>
      </c>
      <c r="B688" s="73" t="s">
        <v>26</v>
      </c>
      <c r="C688" s="74" t="str">
        <f>INDEX('TH CANAM'!$A$9:$BF$63,MATCH(PDNam!$F721,'TH CANAM'!$A$9:$A$63,0),INDEX($J$13:$M$30,MATCH($B688,$J$13:$J$30,0),K$12))</f>
        <v/>
      </c>
      <c r="D688" s="74" t="str">
        <f>INDEX('TH CANAM'!$A$9:$BF$63,MATCH(PDNam!$F721,'TH CANAM'!$A$9:$A$63,0),INDEX($J$13:$M$30,MATCH($B688,$J$13:$J$30,0),L$12))</f>
        <v/>
      </c>
      <c r="E688" s="74" t="str">
        <f>INDEX('TH CANAM'!$A$9:$BF$63,MATCH(PDNam!$F721,'TH CANAM'!$A$9:$A$63,0),INDEX($J$13:$M$30,MATCH($B688,$J$13:$J$30,0),M$12))</f>
        <v/>
      </c>
      <c r="F688" s="73"/>
      <c r="I688" s="64"/>
      <c r="J688" s="64"/>
    </row>
    <row r="689" spans="1:10" ht="21" customHeight="1">
      <c r="A689" s="72" t="s">
        <v>192</v>
      </c>
      <c r="B689" s="73" t="s">
        <v>27</v>
      </c>
      <c r="C689" s="74" t="str">
        <f>INDEX('TH CANAM'!$A$9:$BF$63,MATCH(PDNam!$F721,'TH CANAM'!$A$9:$A$63,0),INDEX($J$13:$M$30,MATCH($B689,$J$13:$J$30,0),K$12))</f>
        <v/>
      </c>
      <c r="D689" s="74" t="str">
        <f>INDEX('TH CANAM'!$A$9:$BF$63,MATCH(PDNam!$F721,'TH CANAM'!$A$9:$A$63,0),INDEX($J$13:$M$30,MATCH($B689,$J$13:$J$30,0),L$12))</f>
        <v/>
      </c>
      <c r="E689" s="74" t="str">
        <f>INDEX('TH CANAM'!$A$9:$BF$63,MATCH(PDNam!$F721,'TH CANAM'!$A$9:$A$63,0),INDEX($J$13:$M$30,MATCH($B689,$J$13:$J$30,0),M$12))</f>
        <v/>
      </c>
      <c r="F689" s="73"/>
      <c r="I689" s="64"/>
      <c r="J689" s="64"/>
    </row>
    <row r="690" spans="1:10" ht="21" customHeight="1">
      <c r="A690" s="72" t="s">
        <v>193</v>
      </c>
      <c r="B690" s="73" t="s">
        <v>28</v>
      </c>
      <c r="C690" s="74" t="str">
        <f>INDEX('TH CANAM'!$A$9:$BF$63,MATCH(PDNam!$F721,'TH CANAM'!$A$9:$A$63,0),INDEX($J$13:$M$30,MATCH($B690,$J$13:$J$30,0),K$12))</f>
        <v/>
      </c>
      <c r="D690" s="74" t="str">
        <f>INDEX('TH CANAM'!$A$9:$BF$63,MATCH(PDNam!$F721,'TH CANAM'!$A$9:$A$63,0),INDEX($J$13:$M$30,MATCH($B690,$J$13:$J$30,0),L$12))</f>
        <v/>
      </c>
      <c r="E690" s="74" t="str">
        <f>INDEX('TH CANAM'!$A$9:$BF$63,MATCH(PDNam!$F721,'TH CANAM'!$A$9:$A$63,0),INDEX($J$13:$M$30,MATCH($B690,$J$13:$J$30,0),M$12))</f>
        <v/>
      </c>
      <c r="F690" s="73"/>
      <c r="I690" s="64"/>
      <c r="J690" s="64"/>
    </row>
    <row r="691" spans="1:10" ht="21" customHeight="1">
      <c r="A691" s="72" t="s">
        <v>194</v>
      </c>
      <c r="B691" s="73" t="s">
        <v>29</v>
      </c>
      <c r="C691" s="74" t="str">
        <f>INDEX('TH CANAM'!$A$9:$BF$63,MATCH(PDNam!$F721,'TH CANAM'!$A$9:$A$63,0),INDEX($J$13:$M$30,MATCH($B691,$J$13:$J$30,0),K$12))</f>
        <v/>
      </c>
      <c r="D691" s="74" t="str">
        <f>INDEX('TH CANAM'!$A$9:$BF$63,MATCH(PDNam!$F721,'TH CANAM'!$A$9:$A$63,0),INDEX($J$13:$M$30,MATCH($B691,$J$13:$J$30,0),L$12))</f>
        <v/>
      </c>
      <c r="E691" s="74" t="str">
        <f>INDEX('TH CANAM'!$A$9:$BF$63,MATCH(PDNam!$F721,'TH CANAM'!$A$9:$A$63,0),INDEX($J$13:$M$30,MATCH($B691,$J$13:$J$30,0),M$12))</f>
        <v/>
      </c>
      <c r="F691" s="73"/>
      <c r="I691" s="64"/>
      <c r="J691" s="64"/>
    </row>
    <row r="692" spans="1:10" ht="21" customHeight="1">
      <c r="A692" s="72" t="s">
        <v>195</v>
      </c>
      <c r="B692" s="73" t="s">
        <v>120</v>
      </c>
      <c r="C692" s="74" t="str">
        <f>INDEX('TH CANAM'!$A$9:$BF$63,MATCH(PDNam!$F721,'TH CANAM'!$A$9:$A$63,0),INDEX($J$13:$M$30,MATCH($B692,$J$13:$J$30,0),K$12))</f>
        <v/>
      </c>
      <c r="D692" s="74" t="str">
        <f>INDEX('TH CANAM'!$A$9:$BF$63,MATCH(PDNam!$F721,'TH CANAM'!$A$9:$A$63,0),INDEX($J$13:$M$30,MATCH($B692,$J$13:$J$30,0),L$12))</f>
        <v/>
      </c>
      <c r="E692" s="74" t="str">
        <f>INDEX('TH CANAM'!$A$9:$BF$63,MATCH(PDNam!$F721,'TH CANAM'!$A$9:$A$63,0),INDEX($J$13:$M$30,MATCH($B692,$J$13:$J$30,0),M$12))</f>
        <v/>
      </c>
      <c r="F692" s="73"/>
      <c r="I692" s="64"/>
      <c r="J692" s="64"/>
    </row>
    <row r="693" spans="1:10" ht="21" customHeight="1">
      <c r="A693" s="72" t="s">
        <v>196</v>
      </c>
      <c r="B693" s="73" t="s">
        <v>30</v>
      </c>
      <c r="C693" s="74" t="str">
        <f>INDEX('TH CANAM'!$A$9:$BF$63,MATCH(PDNam!$F721,'TH CANAM'!$A$9:$A$63,0),INDEX($J$13:$M$30,MATCH($B693,$J$13:$J$30,0),K$12))</f>
        <v/>
      </c>
      <c r="D693" s="74" t="str">
        <f>INDEX('TH CANAM'!$A$9:$BF$63,MATCH(PDNam!$F721,'TH CANAM'!$A$9:$A$63,0),INDEX($J$13:$M$30,MATCH($B693,$J$13:$J$30,0),L$12))</f>
        <v/>
      </c>
      <c r="E693" s="74" t="str">
        <f>INDEX('TH CANAM'!$A$9:$BF$63,MATCH(PDNam!$F721,'TH CANAM'!$A$9:$A$63,0),INDEX($J$13:$M$30,MATCH($B693,$J$13:$J$30,0),M$12))</f>
        <v/>
      </c>
      <c r="F693" s="73"/>
      <c r="I693" s="64"/>
      <c r="J693" s="64"/>
    </row>
    <row r="694" spans="1:10" ht="21" customHeight="1">
      <c r="A694" s="72" t="s">
        <v>197</v>
      </c>
      <c r="B694" s="73" t="s">
        <v>31</v>
      </c>
      <c r="C694" s="74" t="str">
        <f>INDEX('TH CANAM'!$A$9:$BF$63,MATCH(PDNam!$F721,'TH CANAM'!$A$9:$A$63,0),INDEX($J$13:$M$30,MATCH($B694,$J$13:$J$30,0),K$12))</f>
        <v/>
      </c>
      <c r="D694" s="74" t="str">
        <f>INDEX('TH CANAM'!$A$9:$BF$63,MATCH(PDNam!$F721,'TH CANAM'!$A$9:$A$63,0),INDEX($J$13:$M$30,MATCH($B694,$J$13:$J$30,0),L$12))</f>
        <v/>
      </c>
      <c r="E694" s="74" t="str">
        <f>INDEX('TH CANAM'!$A$9:$BF$63,MATCH(PDNam!$F721,'TH CANAM'!$A$9:$A$63,0),INDEX($J$13:$M$30,MATCH($B694,$J$13:$J$30,0),M$12))</f>
        <v/>
      </c>
      <c r="F694" s="73"/>
      <c r="I694" s="64"/>
      <c r="J694" s="64"/>
    </row>
    <row r="695" spans="1:10" ht="21" customHeight="1">
      <c r="A695" s="72" t="s">
        <v>198</v>
      </c>
      <c r="B695" s="73" t="s">
        <v>32</v>
      </c>
      <c r="C695" s="74" t="str">
        <f>INDEX('TH CANAM'!$A$9:$BF$63,MATCH(PDNam!$F721,'TH CANAM'!$A$9:$A$63,0),INDEX($J$13:$M$30,MATCH($B695,$J$13:$J$30,0),K$12))</f>
        <v/>
      </c>
      <c r="D695" s="74" t="str">
        <f>INDEX('TH CANAM'!$A$9:$BF$63,MATCH(PDNam!$F721,'TH CANAM'!$A$9:$A$63,0),INDEX($J$13:$M$30,MATCH($B695,$J$13:$J$30,0),L$12))</f>
        <v/>
      </c>
      <c r="E695" s="74" t="str">
        <f>INDEX('TH CANAM'!$A$9:$BF$63,MATCH(PDNam!$F721,'TH CANAM'!$A$9:$A$63,0),INDEX($J$13:$M$30,MATCH($B695,$J$13:$J$30,0),M$12))</f>
        <v/>
      </c>
      <c r="F695" s="73"/>
      <c r="I695" s="64"/>
      <c r="J695" s="64"/>
    </row>
    <row r="696" spans="1:10" ht="21" customHeight="1">
      <c r="A696" s="72" t="s">
        <v>199</v>
      </c>
      <c r="B696" s="73" t="s">
        <v>33</v>
      </c>
      <c r="C696" s="74" t="str">
        <f>INDEX('TH CANAM'!$A$9:$BF$63,MATCH(PDNam!$F721,'TH CANAM'!$A$9:$A$63,0),INDEX($J$13:$M$30,MATCH($B696,$J$13:$J$30,0),K$12))</f>
        <v/>
      </c>
      <c r="D696" s="74" t="str">
        <f>INDEX('TH CANAM'!$A$9:$BF$63,MATCH(PDNam!$F721,'TH CANAM'!$A$9:$A$63,0),INDEX($J$13:$M$30,MATCH($B696,$J$13:$J$30,0),L$12))</f>
        <v/>
      </c>
      <c r="E696" s="74" t="str">
        <f>INDEX('TH CANAM'!$A$9:$BF$63,MATCH(PDNam!$F721,'TH CANAM'!$A$9:$A$63,0),INDEX($J$13:$M$30,MATCH($B696,$J$13:$J$30,0),M$12))</f>
        <v/>
      </c>
      <c r="F696" s="73"/>
      <c r="I696" s="64"/>
      <c r="J696" s="64"/>
    </row>
    <row r="697" spans="1:10" ht="21" customHeight="1">
      <c r="A697" s="72" t="s">
        <v>200</v>
      </c>
      <c r="B697" s="73" t="s">
        <v>60</v>
      </c>
      <c r="C697" s="74" t="str">
        <f>INDEX('TH CANAM'!$A$9:$BF$63,MATCH(PDNam!$F721,'TH CANAM'!$A$9:$A$63,0),INDEX($J$13:$M$30,MATCH($B697,$J$13:$J$30,0),K$12))</f>
        <v/>
      </c>
      <c r="D697" s="74" t="str">
        <f>INDEX('TH CANAM'!$A$9:$BF$63,MATCH(PDNam!$F721,'TH CANAM'!$A$9:$A$63,0),INDEX($J$13:$M$30,MATCH($B697,$J$13:$J$30,0),L$12))</f>
        <v/>
      </c>
      <c r="E697" s="74" t="str">
        <f>INDEX('TH CANAM'!$A$9:$BF$63,MATCH(PDNam!$F721,'TH CANAM'!$A$9:$A$63,0),INDEX($J$13:$M$30,MATCH($B697,$J$13:$J$30,0),M$12))</f>
        <v/>
      </c>
      <c r="F697" s="73"/>
      <c r="I697" s="64"/>
      <c r="J697" s="64"/>
    </row>
    <row r="698" spans="1:10" ht="21" customHeight="1">
      <c r="A698" s="72" t="s">
        <v>201</v>
      </c>
      <c r="B698" s="73" t="s">
        <v>34</v>
      </c>
      <c r="C698" s="74" t="str">
        <f>INDEX('TH CANAM'!$A$9:$BF$63,MATCH(PDNam!$F721,'TH CANAM'!$A$9:$A$63,0),INDEX($J$13:$M$30,MATCH($B698,$J$13:$J$30,0),K$12))</f>
        <v/>
      </c>
      <c r="D698" s="74" t="str">
        <f>INDEX('TH CANAM'!$A$9:$BF$63,MATCH(PDNam!$F721,'TH CANAM'!$A$9:$A$63,0),INDEX($J$13:$M$30,MATCH($B698,$J$13:$J$30,0),L$12))</f>
        <v/>
      </c>
      <c r="E698" s="74" t="str">
        <f>INDEX('TH CANAM'!$A$9:$BF$63,MATCH(PDNam!$F721,'TH CANAM'!$A$9:$A$63,0),INDEX($J$13:$M$30,MATCH($B698,$J$13:$J$30,0),M$12))</f>
        <v/>
      </c>
      <c r="F698" s="73"/>
      <c r="I698" s="64"/>
      <c r="J698" s="64"/>
    </row>
    <row r="699" spans="1:10" ht="21" customHeight="1">
      <c r="A699" s="72" t="s">
        <v>202</v>
      </c>
      <c r="B699" s="73" t="s">
        <v>35</v>
      </c>
      <c r="C699" s="74" t="str">
        <f>INDEX('TH CANAM'!$A$9:$BF$63,MATCH(PDNam!$F721,'TH CANAM'!$A$9:$A$63,0),INDEX($J$13:$M$30,MATCH($B699,$J$13:$J$30,0),K$12))</f>
        <v/>
      </c>
      <c r="D699" s="74" t="str">
        <f>INDEX('TH CANAM'!$A$9:$BF$63,MATCH(PDNam!$F721,'TH CANAM'!$A$9:$A$63,0),INDEX($J$13:$M$30,MATCH($B699,$J$13:$J$30,0),L$12))</f>
        <v/>
      </c>
      <c r="E699" s="74" t="str">
        <f>INDEX('TH CANAM'!$A$9:$BF$63,MATCH(PDNam!$F721,'TH CANAM'!$A$9:$A$63,0),INDEX($J$13:$M$30,MATCH($B699,$J$13:$J$30,0),M$12))</f>
        <v/>
      </c>
      <c r="F699" s="73"/>
      <c r="I699" s="64"/>
      <c r="J699" s="64"/>
    </row>
    <row r="700" spans="1:10" ht="21" customHeight="1">
      <c r="A700" s="72" t="s">
        <v>203</v>
      </c>
      <c r="B700" s="73" t="s">
        <v>121</v>
      </c>
      <c r="C700" s="74" t="str">
        <f>INDEX('TH CANAM'!$A$9:$BF$63,MATCH(PDNam!$F721,'TH CANAM'!$A$9:$A$63,0),INDEX($J$13:$M$30,MATCH($B700,$J$13:$J$30,0),K$12))</f>
        <v/>
      </c>
      <c r="D700" s="74" t="str">
        <f>INDEX('TH CANAM'!$A$9:$BF$63,MATCH(PDNam!$F721,'TH CANAM'!$A$9:$A$63,0),INDEX($J$13:$M$30,MATCH($B700,$J$13:$J$30,0),L$12))</f>
        <v/>
      </c>
      <c r="E700" s="74" t="str">
        <f>INDEX('TH CANAM'!$A$9:$BF$63,MATCH(PDNam!$F721,'TH CANAM'!$A$9:$A$63,0),INDEX($J$13:$M$30,MATCH($B700,$J$13:$J$30,0),M$12))</f>
        <v/>
      </c>
      <c r="F700" s="73"/>
      <c r="I700" s="64"/>
      <c r="J700" s="64"/>
    </row>
    <row r="701" spans="1:10" ht="21" customHeight="1">
      <c r="A701" s="72" t="s">
        <v>204</v>
      </c>
      <c r="B701" s="73" t="s">
        <v>122</v>
      </c>
      <c r="C701" s="74" t="str">
        <f>INDEX('TH CANAM'!$A$9:$BF$63,MATCH(PDNam!$F721,'TH CANAM'!$A$9:$A$63,0),INDEX($J$13:$M$30,MATCH($B701,$J$13:$J$30,0),K$12))</f>
        <v/>
      </c>
      <c r="D701" s="74" t="str">
        <f>INDEX('TH CANAM'!$A$9:$BF$63,MATCH(PDNam!$F721,'TH CANAM'!$A$9:$A$63,0),INDEX($J$13:$M$30,MATCH($B701,$J$13:$J$30,0),L$12))</f>
        <v/>
      </c>
      <c r="E701" s="74" t="str">
        <f>INDEX('TH CANAM'!$A$9:$BF$63,MATCH(PDNam!$F721,'TH CANAM'!$A$9:$A$63,0),INDEX($J$13:$M$30,MATCH($B701,$J$13:$J$30,0),M$12))</f>
        <v/>
      </c>
      <c r="F701" s="73"/>
      <c r="I701" s="64"/>
      <c r="J701" s="64"/>
    </row>
    <row r="702" spans="1:10" ht="21" customHeight="1">
      <c r="A702" s="72" t="s">
        <v>208</v>
      </c>
      <c r="B702" s="73" t="s">
        <v>205</v>
      </c>
      <c r="C702" s="78">
        <f>INDEX('TH CANAM'!$A$9:$BF$63,MATCH(PDNam!$F721,'TH CANAM'!$A$9:$A$63,0),46)</f>
        <v>9.4</v>
      </c>
      <c r="D702" s="78" t="str">
        <f>INDEX('TH CANAM'!$A$9:$BF$63,MATCH(PDNam!$F721,'TH CANAM'!$A$9:$A$63,0),47)</f>
        <v/>
      </c>
      <c r="E702" s="78" t="str">
        <f>INDEX('TH CANAM'!$A$9:$BF$63,MATCH(PDNam!$F721,'TH CANAM'!$A$9:$A$63,0),48)</f>
        <v/>
      </c>
      <c r="F702" s="73"/>
      <c r="I702" s="64"/>
      <c r="J702" s="64"/>
    </row>
    <row r="703" spans="1:10" ht="21" customHeight="1">
      <c r="A703" s="72" t="s">
        <v>209</v>
      </c>
      <c r="B703" s="72" t="s">
        <v>206</v>
      </c>
      <c r="C703" s="74" t="str">
        <f>IF(INDEX('TH CANAM'!$A$9:$BF$63,MATCH(PDNam!$F721,'TH CANAM'!$A$9:$A$63,0),49)="Tb","Trung bình",INDEX('TH CANAM'!$A$9:$BF$63,MATCH(PDNam!$F721,'TH CANAM'!$A$9:$A$63,0),49))</f>
        <v>Giỏi</v>
      </c>
      <c r="D703" s="74" t="str">
        <f>IF(INDEX('TH CANAM'!$A$9:$BF$63,MATCH(PDNam!$F721,'TH CANAM'!$A$9:$A$63,0),50)="Tb","Trung bình",INDEX('TH CANAM'!$A$9:$BF$63,MATCH(PDNam!$F721,'TH CANAM'!$A$9:$A$63,0),50))</f>
        <v/>
      </c>
      <c r="E703" s="74" t="str">
        <f>IF(INDEX('TH CANAM'!$A$9:$BF$63,MATCH(PDNam!$F721,'TH CANAM'!$A$9:$A$63,0),51)="Tb","Trung bình",INDEX('TH CANAM'!$A$9:$BF$63,MATCH(PDNam!$F721,'TH CANAM'!$A$9:$A$63,0),51))</f>
        <v/>
      </c>
      <c r="F703" s="73"/>
    </row>
    <row r="704" spans="1:10" ht="21" customHeight="1">
      <c r="A704" s="72" t="s">
        <v>210</v>
      </c>
      <c r="B704" s="72" t="s">
        <v>207</v>
      </c>
      <c r="C704" s="74" t="str">
        <f>INDEX('TH CANAM'!$A$9:$BF$63,MATCH(PDNam!$F721,'TH CANAM'!$A$9:$A$63,0),52)</f>
        <v>Tốt</v>
      </c>
      <c r="D704" s="74" t="str">
        <f>INDEX('TH CANAM'!$A$9:$BF$63,MATCH(PDNam!$F721,'TH CANAM'!$A$9:$A$63,0),53)</f>
        <v/>
      </c>
      <c r="E704" s="74" t="str">
        <f>INDEX('TH CANAM'!$A$9:$BF$63,MATCH(PDNam!$F721,'TH CANAM'!$A$9:$A$63,0),54)</f>
        <v/>
      </c>
      <c r="F704" s="73"/>
    </row>
    <row r="705" spans="1:10" ht="21" customHeight="1">
      <c r="A705" s="72" t="s">
        <v>211</v>
      </c>
      <c r="B705" s="72" t="s">
        <v>25</v>
      </c>
      <c r="C705" s="74" t="str">
        <f>IF(INDEX('TH CANAM'!$A$9:$BF$63,MATCH(PDNam!$F721,'TH CANAM'!$A$9:$A$63,0),57)&lt;&gt;"",INDEX('TH CANAM'!$A$9:$BF$63,MATCH(PDNam!$F721,'TH CANAM'!$A$9:$A$63,0),57),"/")</f>
        <v>HSG</v>
      </c>
      <c r="D705" s="74" t="str">
        <f>IF(INDEX('TH CANAM'!$A$9:$BF$63,MATCH(PDNam!$F721,'TH CANAM'!$A$9:$A$63,0),58)&lt;&gt;"",INDEX('TH CANAM'!$A$9:$BF$63,MATCH(PDNam!$F721,'TH CANAM'!$A$9:$A$63,0),58),"/")</f>
        <v>/</v>
      </c>
      <c r="E705" s="74" t="str">
        <f>IF(INDEX('TH CANAM'!$A$9:$BF$63,MATCH(PDNam!$F721,'TH CANAM'!$A$9:$A$63,0),55)&lt;&gt;"",INDEX('TH CANAM'!$A$9:$BF$63,MATCH(PDNam!$F721,'TH CANAM'!$A$9:$A$63,0),55),"/")</f>
        <v>/</v>
      </c>
      <c r="F705" s="73"/>
    </row>
    <row r="706" spans="1:10" s="60" customFormat="1" ht="9" customHeight="1">
      <c r="A706" s="67"/>
      <c r="B706" s="67"/>
      <c r="C706" s="1132"/>
      <c r="D706" s="1132"/>
      <c r="E706" s="67"/>
      <c r="F706" s="67"/>
    </row>
    <row r="707" spans="1:10" s="60" customFormat="1" ht="18.75" customHeight="1">
      <c r="A707" s="58" t="s">
        <v>219</v>
      </c>
      <c r="B707" s="57"/>
      <c r="C707" s="57"/>
      <c r="D707" s="57"/>
      <c r="E707" s="57"/>
      <c r="F707" s="475"/>
    </row>
    <row r="708" spans="1:10" s="60" customFormat="1" ht="18.75" customHeight="1">
      <c r="A708" s="59" t="str">
        <f>IF(F721&lt;&gt;"",IF(INDEX(BDHK2,MATCH(F721,DiemHKII!$B$4:$B$58,0),137)&lt;&gt;""," - "&amp;INDEX(BDHK2,MATCH(F721,DiemHKII!$B$4:$B$58,0),137),""),"")</f>
        <v/>
      </c>
      <c r="B708" s="57"/>
      <c r="C708" s="57"/>
      <c r="D708" s="57"/>
      <c r="E708" s="57"/>
      <c r="F708" s="475"/>
    </row>
    <row r="709" spans="1:10" s="60" customFormat="1" ht="18.75" customHeight="1">
      <c r="A709" s="59" t="str">
        <f>IF(F721&lt;&gt;"",IF(INDEX(BDHK2,MATCH(F721,DiemHKII!$B$4:$B$58,0),138)&lt;&gt;""," - "&amp;INDEX(BDHK2,MATCH(F721,DiemHKII!$B$4:$B$58,0),138),""),"")</f>
        <v/>
      </c>
      <c r="B709" s="57"/>
      <c r="C709" s="57"/>
      <c r="D709" s="57"/>
      <c r="E709" s="57"/>
      <c r="F709" s="475"/>
    </row>
    <row r="710" spans="1:10" s="60" customFormat="1" ht="18.75" customHeight="1">
      <c r="A710" s="59" t="str">
        <f>IF(F721&lt;&gt;"",IF(INDEX(BDHK2,MATCH(F721,DiemHKII!$B$4:$B$58,0),139)&lt;&gt;""," - "&amp;INDEX(BDHK2,MATCH(F721,DiemHKII!$B$4:$B$58,0),139),""),"")</f>
        <v/>
      </c>
      <c r="B710" s="57"/>
      <c r="C710" s="57"/>
      <c r="D710" s="57"/>
      <c r="E710" s="57"/>
      <c r="F710" s="475"/>
    </row>
    <row r="711" spans="1:10" s="60" customFormat="1" ht="18.75" customHeight="1">
      <c r="A711" s="59" t="str">
        <f>IF(F721&lt;&gt;"",IF(INDEX(BDHK2,MATCH(F721,DiemHKII!$B$4:$B$58,0),140)&lt;&gt;""," - "&amp;INDEX(BDHK2,MATCH(F721,DiemHKII!$B$4:$B$58,0),140),""),"")</f>
        <v/>
      </c>
      <c r="B711" s="57"/>
      <c r="C711" s="57"/>
      <c r="D711" s="57"/>
      <c r="E711" s="57"/>
      <c r="F711" s="67"/>
    </row>
    <row r="712" spans="1:10" ht="6" customHeight="1">
      <c r="A712" s="68"/>
      <c r="B712" s="68"/>
      <c r="C712" s="68"/>
      <c r="D712" s="68"/>
      <c r="E712" s="68"/>
      <c r="F712" s="68"/>
    </row>
    <row r="713" spans="1:10">
      <c r="A713" s="68"/>
      <c r="B713" s="68"/>
      <c r="C71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713" s="1060"/>
      <c r="E713" s="1060"/>
      <c r="F713" s="1060"/>
    </row>
    <row r="714" spans="1:10" ht="20.25" customHeight="1">
      <c r="A714" s="1012" t="str">
        <f>IF($D$39="Hiệu trưởng","Giáo viên Quản nhiệm","")</f>
        <v>Giáo viên Quản nhiệm</v>
      </c>
      <c r="B714" s="1012"/>
      <c r="C714" s="61"/>
      <c r="D714" s="1012" t="str">
        <f>IF($H$7="","",$H$7)</f>
        <v>Hiệu trưởng</v>
      </c>
      <c r="E714" s="1012"/>
      <c r="F714" s="61"/>
    </row>
    <row r="715" spans="1:10">
      <c r="A715" s="68"/>
      <c r="B715" s="68"/>
      <c r="C715" s="68"/>
      <c r="D715" s="68"/>
      <c r="E715" s="68"/>
      <c r="F715" s="68"/>
    </row>
    <row r="716" spans="1:10">
      <c r="A716" s="68"/>
      <c r="B716" s="68"/>
      <c r="C716" s="68"/>
      <c r="D716" s="68"/>
      <c r="E716" s="68"/>
      <c r="F716" s="68"/>
    </row>
    <row r="717" spans="1:10" ht="16.8">
      <c r="A717" s="68"/>
      <c r="B717" s="68"/>
      <c r="C717" s="64"/>
      <c r="D717" s="64"/>
      <c r="E717" s="64"/>
      <c r="F717" s="64"/>
      <c r="G717" s="65"/>
      <c r="H717" s="65"/>
      <c r="I717" s="65"/>
      <c r="J717" s="65"/>
    </row>
    <row r="719" spans="1:10">
      <c r="A719" s="1012" t="str">
        <f>IF($A$39="","",PROPER('Huong dan'!$C$4))</f>
        <v/>
      </c>
      <c r="B719" s="1012"/>
      <c r="D719" s="1130" t="str">
        <f>IFERROR(IF($D$39="Giáo Viên Quản nhiệm",PROPER('Huong dan'!$C$4),IF($D$39="Hiệu trưởng",PROPER('Huong dan'!$E$5),"")),"")</f>
        <v/>
      </c>
      <c r="E719" s="1130"/>
    </row>
    <row r="720" spans="1:10" ht="7.5" customHeight="1"/>
    <row r="721" spans="1:10" ht="11.25" customHeight="1">
      <c r="A721" s="75"/>
      <c r="B721" s="75"/>
      <c r="C721" s="75"/>
      <c r="D721" s="75"/>
      <c r="E721" s="75"/>
      <c r="F721" s="76">
        <f>IF(F676="","",IF(F676&lt;MAX(DiemHKII!$B$4:$B$58),F676+1,""))</f>
        <v>16</v>
      </c>
    </row>
    <row r="722" spans="1:10" s="60" customFormat="1" ht="22.5" customHeight="1">
      <c r="A722" s="1128" t="str">
        <f>IF('Huong dan'!$E$3&lt;&gt;"","SỞ GIÁO DỤC VÀ ĐÀO TẠO "&amp;UPPER('Huong dan'!$E$3),"")</f>
        <v>SỞ GIÁO DỤC VÀ ĐÀO TẠO TP. HỒ CHÍ MINH</v>
      </c>
      <c r="B722" s="1128"/>
      <c r="C722" s="1128"/>
      <c r="D722" s="1129" t="s">
        <v>19</v>
      </c>
      <c r="E722" s="1129"/>
      <c r="F722" s="1129"/>
    </row>
    <row r="723" spans="1:10" ht="17.25" customHeight="1">
      <c r="A723" s="992" t="str">
        <f>IF('Huong dan'!$E$4&lt;&gt;"","TRƯỜNG "&amp;UPPER('Huong dan'!$E$4),"")</f>
        <v>TRƯỜNG THCS VÀ THPT NGUYỄN KHUYẾN</v>
      </c>
      <c r="B723" s="992"/>
      <c r="C723" s="992"/>
      <c r="D723" s="1130" t="s">
        <v>179</v>
      </c>
      <c r="E723" s="1130"/>
      <c r="F723" s="1130"/>
    </row>
    <row r="724" spans="1:10" ht="12" customHeight="1">
      <c r="A724" s="69"/>
      <c r="B724" s="69"/>
      <c r="C724" s="30"/>
      <c r="D724" s="30"/>
      <c r="E724" s="30"/>
      <c r="F724" s="30"/>
    </row>
    <row r="725" spans="1:10" ht="18" customHeight="1">
      <c r="A725" s="69"/>
      <c r="B725" s="69"/>
      <c r="C725" s="30"/>
      <c r="D725" s="30"/>
      <c r="E725" s="30"/>
      <c r="F725" s="30"/>
    </row>
    <row r="726" spans="1:10" ht="29.25" customHeight="1">
      <c r="A726" s="1013" t="str">
        <f>"PHIẾU ĐIỂM NĂM HỌC "&amp;'Huong dan'!$C$5</f>
        <v>PHIẾU ĐIỂM NĂM HỌC 2021 - 2022</v>
      </c>
      <c r="B726" s="1013"/>
      <c r="C726" s="1013"/>
      <c r="D726" s="1013"/>
      <c r="E726" s="1013"/>
      <c r="F726" s="1013"/>
    </row>
    <row r="727" spans="1:10" ht="12.75" customHeight="1">
      <c r="A727" s="70"/>
      <c r="B727" s="66"/>
      <c r="C727" s="66"/>
      <c r="D727" s="66"/>
      <c r="E727" s="66"/>
      <c r="F727" s="66"/>
    </row>
    <row r="728" spans="1:10" ht="20.25" customHeight="1">
      <c r="A728" s="1131" t="s">
        <v>212</v>
      </c>
      <c r="B728" s="1131"/>
      <c r="C728" s="77" t="str">
        <f>IF(F766="","",INDEX(DiemHKII!$E$4:$E$58,MATCH(F766,DiemHKII!$B$4:$B$58,0),1)&amp;" "&amp;INDEX(DiemHKII!$F$4:$F$58,MATCH(F766,DiemHKII!$B$4:$B$58,0),1))</f>
        <v>Nguyễn Huỳnh Phúc Khang</v>
      </c>
      <c r="D728" s="77"/>
      <c r="E728" s="77"/>
      <c r="F728" s="71" t="str">
        <f>IF('Huong dan'!$C$3="","","Lớp: "&amp;'Huong dan'!$C$3)</f>
        <v>Lớp: 12A1</v>
      </c>
    </row>
    <row r="729" spans="1:10" ht="24" customHeight="1">
      <c r="A729" s="1131" t="s">
        <v>213</v>
      </c>
      <c r="B729" s="1131"/>
      <c r="C729" s="77" t="str">
        <f>IF(F766="","",INDEX(DiemHKII!$G$4:$G$58,MATCH(F766,DiemHKII!$B$4:$B$58,0),1))</f>
        <v>14/12/2004</v>
      </c>
      <c r="D729" s="77"/>
      <c r="E729" s="1133" t="str">
        <f>IF(F766="","","Nơi sinh: "&amp;INDEX(DiemHKII!$H$4:$H$58,MATCH(F766,DiemHKII!$B$4:$B$58,0),1))</f>
        <v xml:space="preserve">Nơi sinh: </v>
      </c>
      <c r="F729" s="1133"/>
    </row>
    <row r="730" spans="1:10" ht="15" customHeight="1">
      <c r="A730" s="62"/>
      <c r="B730" s="62"/>
      <c r="C730" s="62"/>
      <c r="D730" s="62"/>
      <c r="E730" s="62"/>
      <c r="F730" s="63"/>
    </row>
    <row r="731" spans="1:10" ht="21" customHeight="1">
      <c r="A731" s="1134" t="s">
        <v>0</v>
      </c>
      <c r="B731" s="1134" t="s">
        <v>72</v>
      </c>
      <c r="C731" s="1134" t="s">
        <v>216</v>
      </c>
      <c r="D731" s="1134"/>
      <c r="E731" s="1134"/>
      <c r="F731" s="1134" t="s">
        <v>148</v>
      </c>
    </row>
    <row r="732" spans="1:10" ht="21" customHeight="1">
      <c r="A732" s="1134"/>
      <c r="B732" s="1134"/>
      <c r="C732" s="476" t="s">
        <v>188</v>
      </c>
      <c r="D732" s="476" t="s">
        <v>189</v>
      </c>
      <c r="E732" s="476" t="s">
        <v>190</v>
      </c>
      <c r="F732" s="1134"/>
    </row>
    <row r="733" spans="1:10" ht="21" customHeight="1">
      <c r="A733" s="72" t="s">
        <v>191</v>
      </c>
      <c r="B733" s="73" t="s">
        <v>26</v>
      </c>
      <c r="C733" s="74" t="str">
        <f>INDEX('TH CANAM'!$A$9:$BF$63,MATCH(PDNam!$F766,'TH CANAM'!$A$9:$A$63,0),INDEX($J$13:$M$30,MATCH($B733,$J$13:$J$30,0),K$12))</f>
        <v/>
      </c>
      <c r="D733" s="74" t="str">
        <f>INDEX('TH CANAM'!$A$9:$BF$63,MATCH(PDNam!$F766,'TH CANAM'!$A$9:$A$63,0),INDEX($J$13:$M$30,MATCH($B733,$J$13:$J$30,0),L$12))</f>
        <v/>
      </c>
      <c r="E733" s="74" t="str">
        <f>INDEX('TH CANAM'!$A$9:$BF$63,MATCH(PDNam!$F766,'TH CANAM'!$A$9:$A$63,0),INDEX($J$13:$M$30,MATCH($B733,$J$13:$J$30,0),M$12))</f>
        <v/>
      </c>
      <c r="F733" s="73"/>
      <c r="I733" s="64"/>
      <c r="J733" s="64"/>
    </row>
    <row r="734" spans="1:10" ht="21" customHeight="1">
      <c r="A734" s="72" t="s">
        <v>192</v>
      </c>
      <c r="B734" s="73" t="s">
        <v>27</v>
      </c>
      <c r="C734" s="74" t="str">
        <f>INDEX('TH CANAM'!$A$9:$BF$63,MATCH(PDNam!$F766,'TH CANAM'!$A$9:$A$63,0),INDEX($J$13:$M$30,MATCH($B734,$J$13:$J$30,0),K$12))</f>
        <v/>
      </c>
      <c r="D734" s="74" t="str">
        <f>INDEX('TH CANAM'!$A$9:$BF$63,MATCH(PDNam!$F766,'TH CANAM'!$A$9:$A$63,0),INDEX($J$13:$M$30,MATCH($B734,$J$13:$J$30,0),L$12))</f>
        <v/>
      </c>
      <c r="E734" s="74" t="str">
        <f>INDEX('TH CANAM'!$A$9:$BF$63,MATCH(PDNam!$F766,'TH CANAM'!$A$9:$A$63,0),INDEX($J$13:$M$30,MATCH($B734,$J$13:$J$30,0),M$12))</f>
        <v/>
      </c>
      <c r="F734" s="73"/>
      <c r="I734" s="64"/>
      <c r="J734" s="64"/>
    </row>
    <row r="735" spans="1:10" ht="21" customHeight="1">
      <c r="A735" s="72" t="s">
        <v>193</v>
      </c>
      <c r="B735" s="73" t="s">
        <v>28</v>
      </c>
      <c r="C735" s="74" t="str">
        <f>INDEX('TH CANAM'!$A$9:$BF$63,MATCH(PDNam!$F766,'TH CANAM'!$A$9:$A$63,0),INDEX($J$13:$M$30,MATCH($B735,$J$13:$J$30,0),K$12))</f>
        <v/>
      </c>
      <c r="D735" s="74" t="str">
        <f>INDEX('TH CANAM'!$A$9:$BF$63,MATCH(PDNam!$F766,'TH CANAM'!$A$9:$A$63,0),INDEX($J$13:$M$30,MATCH($B735,$J$13:$J$30,0),L$12))</f>
        <v/>
      </c>
      <c r="E735" s="74" t="str">
        <f>INDEX('TH CANAM'!$A$9:$BF$63,MATCH(PDNam!$F766,'TH CANAM'!$A$9:$A$63,0),INDEX($J$13:$M$30,MATCH($B735,$J$13:$J$30,0),M$12))</f>
        <v/>
      </c>
      <c r="F735" s="73"/>
      <c r="I735" s="64"/>
      <c r="J735" s="64"/>
    </row>
    <row r="736" spans="1:10" ht="21" customHeight="1">
      <c r="A736" s="72" t="s">
        <v>194</v>
      </c>
      <c r="B736" s="73" t="s">
        <v>29</v>
      </c>
      <c r="C736" s="74" t="str">
        <f>INDEX('TH CANAM'!$A$9:$BF$63,MATCH(PDNam!$F766,'TH CANAM'!$A$9:$A$63,0),INDEX($J$13:$M$30,MATCH($B736,$J$13:$J$30,0),K$12))</f>
        <v/>
      </c>
      <c r="D736" s="74" t="str">
        <f>INDEX('TH CANAM'!$A$9:$BF$63,MATCH(PDNam!$F766,'TH CANAM'!$A$9:$A$63,0),INDEX($J$13:$M$30,MATCH($B736,$J$13:$J$30,0),L$12))</f>
        <v/>
      </c>
      <c r="E736" s="74" t="str">
        <f>INDEX('TH CANAM'!$A$9:$BF$63,MATCH(PDNam!$F766,'TH CANAM'!$A$9:$A$63,0),INDEX($J$13:$M$30,MATCH($B736,$J$13:$J$30,0),M$12))</f>
        <v/>
      </c>
      <c r="F736" s="73"/>
      <c r="I736" s="64"/>
      <c r="J736" s="64"/>
    </row>
    <row r="737" spans="1:10" ht="21" customHeight="1">
      <c r="A737" s="72" t="s">
        <v>195</v>
      </c>
      <c r="B737" s="73" t="s">
        <v>120</v>
      </c>
      <c r="C737" s="74" t="str">
        <f>INDEX('TH CANAM'!$A$9:$BF$63,MATCH(PDNam!$F766,'TH CANAM'!$A$9:$A$63,0),INDEX($J$13:$M$30,MATCH($B737,$J$13:$J$30,0),K$12))</f>
        <v/>
      </c>
      <c r="D737" s="74" t="str">
        <f>INDEX('TH CANAM'!$A$9:$BF$63,MATCH(PDNam!$F766,'TH CANAM'!$A$9:$A$63,0),INDEX($J$13:$M$30,MATCH($B737,$J$13:$J$30,0),L$12))</f>
        <v/>
      </c>
      <c r="E737" s="74" t="str">
        <f>INDEX('TH CANAM'!$A$9:$BF$63,MATCH(PDNam!$F766,'TH CANAM'!$A$9:$A$63,0),INDEX($J$13:$M$30,MATCH($B737,$J$13:$J$30,0),M$12))</f>
        <v/>
      </c>
      <c r="F737" s="73"/>
      <c r="I737" s="64"/>
      <c r="J737" s="64"/>
    </row>
    <row r="738" spans="1:10" ht="21" customHeight="1">
      <c r="A738" s="72" t="s">
        <v>196</v>
      </c>
      <c r="B738" s="73" t="s">
        <v>30</v>
      </c>
      <c r="C738" s="74" t="str">
        <f>INDEX('TH CANAM'!$A$9:$BF$63,MATCH(PDNam!$F766,'TH CANAM'!$A$9:$A$63,0),INDEX($J$13:$M$30,MATCH($B738,$J$13:$J$30,0),K$12))</f>
        <v/>
      </c>
      <c r="D738" s="74" t="str">
        <f>INDEX('TH CANAM'!$A$9:$BF$63,MATCH(PDNam!$F766,'TH CANAM'!$A$9:$A$63,0),INDEX($J$13:$M$30,MATCH($B738,$J$13:$J$30,0),L$12))</f>
        <v/>
      </c>
      <c r="E738" s="74" t="str">
        <f>INDEX('TH CANAM'!$A$9:$BF$63,MATCH(PDNam!$F766,'TH CANAM'!$A$9:$A$63,0),INDEX($J$13:$M$30,MATCH($B738,$J$13:$J$30,0),M$12))</f>
        <v/>
      </c>
      <c r="F738" s="73"/>
      <c r="I738" s="64"/>
      <c r="J738" s="64"/>
    </row>
    <row r="739" spans="1:10" ht="21" customHeight="1">
      <c r="A739" s="72" t="s">
        <v>197</v>
      </c>
      <c r="B739" s="73" t="s">
        <v>31</v>
      </c>
      <c r="C739" s="74" t="str">
        <f>INDEX('TH CANAM'!$A$9:$BF$63,MATCH(PDNam!$F766,'TH CANAM'!$A$9:$A$63,0),INDEX($J$13:$M$30,MATCH($B739,$J$13:$J$30,0),K$12))</f>
        <v/>
      </c>
      <c r="D739" s="74" t="str">
        <f>INDEX('TH CANAM'!$A$9:$BF$63,MATCH(PDNam!$F766,'TH CANAM'!$A$9:$A$63,0),INDEX($J$13:$M$30,MATCH($B739,$J$13:$J$30,0),L$12))</f>
        <v/>
      </c>
      <c r="E739" s="74" t="str">
        <f>INDEX('TH CANAM'!$A$9:$BF$63,MATCH(PDNam!$F766,'TH CANAM'!$A$9:$A$63,0),INDEX($J$13:$M$30,MATCH($B739,$J$13:$J$30,0),M$12))</f>
        <v/>
      </c>
      <c r="F739" s="73"/>
      <c r="I739" s="64"/>
      <c r="J739" s="64"/>
    </row>
    <row r="740" spans="1:10" ht="21" customHeight="1">
      <c r="A740" s="72" t="s">
        <v>198</v>
      </c>
      <c r="B740" s="73" t="s">
        <v>32</v>
      </c>
      <c r="C740" s="74" t="str">
        <f>INDEX('TH CANAM'!$A$9:$BF$63,MATCH(PDNam!$F766,'TH CANAM'!$A$9:$A$63,0),INDEX($J$13:$M$30,MATCH($B740,$J$13:$J$30,0),K$12))</f>
        <v/>
      </c>
      <c r="D740" s="74" t="str">
        <f>INDEX('TH CANAM'!$A$9:$BF$63,MATCH(PDNam!$F766,'TH CANAM'!$A$9:$A$63,0),INDEX($J$13:$M$30,MATCH($B740,$J$13:$J$30,0),L$12))</f>
        <v/>
      </c>
      <c r="E740" s="74" t="str">
        <f>INDEX('TH CANAM'!$A$9:$BF$63,MATCH(PDNam!$F766,'TH CANAM'!$A$9:$A$63,0),INDEX($J$13:$M$30,MATCH($B740,$J$13:$J$30,0),M$12))</f>
        <v/>
      </c>
      <c r="F740" s="73"/>
      <c r="I740" s="64"/>
      <c r="J740" s="64"/>
    </row>
    <row r="741" spans="1:10" ht="21" customHeight="1">
      <c r="A741" s="72" t="s">
        <v>199</v>
      </c>
      <c r="B741" s="73" t="s">
        <v>33</v>
      </c>
      <c r="C741" s="74" t="str">
        <f>INDEX('TH CANAM'!$A$9:$BF$63,MATCH(PDNam!$F766,'TH CANAM'!$A$9:$A$63,0),INDEX($J$13:$M$30,MATCH($B741,$J$13:$J$30,0),K$12))</f>
        <v/>
      </c>
      <c r="D741" s="74" t="str">
        <f>INDEX('TH CANAM'!$A$9:$BF$63,MATCH(PDNam!$F766,'TH CANAM'!$A$9:$A$63,0),INDEX($J$13:$M$30,MATCH($B741,$J$13:$J$30,0),L$12))</f>
        <v/>
      </c>
      <c r="E741" s="74" t="str">
        <f>INDEX('TH CANAM'!$A$9:$BF$63,MATCH(PDNam!$F766,'TH CANAM'!$A$9:$A$63,0),INDEX($J$13:$M$30,MATCH($B741,$J$13:$J$30,0),M$12))</f>
        <v/>
      </c>
      <c r="F741" s="73"/>
      <c r="I741" s="64"/>
      <c r="J741" s="64"/>
    </row>
    <row r="742" spans="1:10" ht="21" customHeight="1">
      <c r="A742" s="72" t="s">
        <v>200</v>
      </c>
      <c r="B742" s="73" t="s">
        <v>60</v>
      </c>
      <c r="C742" s="74" t="str">
        <f>INDEX('TH CANAM'!$A$9:$BF$63,MATCH(PDNam!$F766,'TH CANAM'!$A$9:$A$63,0),INDEX($J$13:$M$30,MATCH($B742,$J$13:$J$30,0),K$12))</f>
        <v/>
      </c>
      <c r="D742" s="74" t="str">
        <f>INDEX('TH CANAM'!$A$9:$BF$63,MATCH(PDNam!$F766,'TH CANAM'!$A$9:$A$63,0),INDEX($J$13:$M$30,MATCH($B742,$J$13:$J$30,0),L$12))</f>
        <v/>
      </c>
      <c r="E742" s="74" t="str">
        <f>INDEX('TH CANAM'!$A$9:$BF$63,MATCH(PDNam!$F766,'TH CANAM'!$A$9:$A$63,0),INDEX($J$13:$M$30,MATCH($B742,$J$13:$J$30,0),M$12))</f>
        <v/>
      </c>
      <c r="F742" s="73"/>
      <c r="I742" s="64"/>
      <c r="J742" s="64"/>
    </row>
    <row r="743" spans="1:10" ht="21" customHeight="1">
      <c r="A743" s="72" t="s">
        <v>201</v>
      </c>
      <c r="B743" s="73" t="s">
        <v>34</v>
      </c>
      <c r="C743" s="74" t="str">
        <f>INDEX('TH CANAM'!$A$9:$BF$63,MATCH(PDNam!$F766,'TH CANAM'!$A$9:$A$63,0),INDEX($J$13:$M$30,MATCH($B743,$J$13:$J$30,0),K$12))</f>
        <v/>
      </c>
      <c r="D743" s="74" t="str">
        <f>INDEX('TH CANAM'!$A$9:$BF$63,MATCH(PDNam!$F766,'TH CANAM'!$A$9:$A$63,0),INDEX($J$13:$M$30,MATCH($B743,$J$13:$J$30,0),L$12))</f>
        <v/>
      </c>
      <c r="E743" s="74" t="str">
        <f>INDEX('TH CANAM'!$A$9:$BF$63,MATCH(PDNam!$F766,'TH CANAM'!$A$9:$A$63,0),INDEX($J$13:$M$30,MATCH($B743,$J$13:$J$30,0),M$12))</f>
        <v/>
      </c>
      <c r="F743" s="73"/>
      <c r="I743" s="64"/>
      <c r="J743" s="64"/>
    </row>
    <row r="744" spans="1:10" ht="21" customHeight="1">
      <c r="A744" s="72" t="s">
        <v>202</v>
      </c>
      <c r="B744" s="73" t="s">
        <v>35</v>
      </c>
      <c r="C744" s="74" t="str">
        <f>INDEX('TH CANAM'!$A$9:$BF$63,MATCH(PDNam!$F766,'TH CANAM'!$A$9:$A$63,0),INDEX($J$13:$M$30,MATCH($B744,$J$13:$J$30,0),K$12))</f>
        <v/>
      </c>
      <c r="D744" s="74" t="str">
        <f>INDEX('TH CANAM'!$A$9:$BF$63,MATCH(PDNam!$F766,'TH CANAM'!$A$9:$A$63,0),INDEX($J$13:$M$30,MATCH($B744,$J$13:$J$30,0),L$12))</f>
        <v/>
      </c>
      <c r="E744" s="74" t="str">
        <f>INDEX('TH CANAM'!$A$9:$BF$63,MATCH(PDNam!$F766,'TH CANAM'!$A$9:$A$63,0),INDEX($J$13:$M$30,MATCH($B744,$J$13:$J$30,0),M$12))</f>
        <v/>
      </c>
      <c r="F744" s="73"/>
      <c r="I744" s="64"/>
      <c r="J744" s="64"/>
    </row>
    <row r="745" spans="1:10" ht="21" customHeight="1">
      <c r="A745" s="72" t="s">
        <v>203</v>
      </c>
      <c r="B745" s="73" t="s">
        <v>121</v>
      </c>
      <c r="C745" s="74" t="str">
        <f>INDEX('TH CANAM'!$A$9:$BF$63,MATCH(PDNam!$F766,'TH CANAM'!$A$9:$A$63,0),INDEX($J$13:$M$30,MATCH($B745,$J$13:$J$30,0),K$12))</f>
        <v/>
      </c>
      <c r="D745" s="74" t="str">
        <f>INDEX('TH CANAM'!$A$9:$BF$63,MATCH(PDNam!$F766,'TH CANAM'!$A$9:$A$63,0),INDEX($J$13:$M$30,MATCH($B745,$J$13:$J$30,0),L$12))</f>
        <v/>
      </c>
      <c r="E745" s="74" t="str">
        <f>INDEX('TH CANAM'!$A$9:$BF$63,MATCH(PDNam!$F766,'TH CANAM'!$A$9:$A$63,0),INDEX($J$13:$M$30,MATCH($B745,$J$13:$J$30,0),M$12))</f>
        <v/>
      </c>
      <c r="F745" s="73"/>
      <c r="I745" s="64"/>
      <c r="J745" s="64"/>
    </row>
    <row r="746" spans="1:10" ht="21" customHeight="1">
      <c r="A746" s="72" t="s">
        <v>204</v>
      </c>
      <c r="B746" s="73" t="s">
        <v>122</v>
      </c>
      <c r="C746" s="74" t="str">
        <f>INDEX('TH CANAM'!$A$9:$BF$63,MATCH(PDNam!$F766,'TH CANAM'!$A$9:$A$63,0),INDEX($J$13:$M$30,MATCH($B746,$J$13:$J$30,0),K$12))</f>
        <v/>
      </c>
      <c r="D746" s="74" t="str">
        <f>INDEX('TH CANAM'!$A$9:$BF$63,MATCH(PDNam!$F766,'TH CANAM'!$A$9:$A$63,0),INDEX($J$13:$M$30,MATCH($B746,$J$13:$J$30,0),L$12))</f>
        <v/>
      </c>
      <c r="E746" s="74" t="str">
        <f>INDEX('TH CANAM'!$A$9:$BF$63,MATCH(PDNam!$F766,'TH CANAM'!$A$9:$A$63,0),INDEX($J$13:$M$30,MATCH($B746,$J$13:$J$30,0),M$12))</f>
        <v/>
      </c>
      <c r="F746" s="73"/>
      <c r="I746" s="64"/>
      <c r="J746" s="64"/>
    </row>
    <row r="747" spans="1:10" ht="21" customHeight="1">
      <c r="A747" s="72" t="s">
        <v>208</v>
      </c>
      <c r="B747" s="73" t="s">
        <v>205</v>
      </c>
      <c r="C747" s="78">
        <f>INDEX('TH CANAM'!$A$9:$BF$63,MATCH(PDNam!$F766,'TH CANAM'!$A$9:$A$63,0),46)</f>
        <v>9.3000000000000007</v>
      </c>
      <c r="D747" s="78" t="str">
        <f>INDEX('TH CANAM'!$A$9:$BF$63,MATCH(PDNam!$F766,'TH CANAM'!$A$9:$A$63,0),47)</f>
        <v/>
      </c>
      <c r="E747" s="78" t="str">
        <f>INDEX('TH CANAM'!$A$9:$BF$63,MATCH(PDNam!$F766,'TH CANAM'!$A$9:$A$63,0),48)</f>
        <v/>
      </c>
      <c r="F747" s="73"/>
      <c r="I747" s="64"/>
      <c r="J747" s="64"/>
    </row>
    <row r="748" spans="1:10" ht="21" customHeight="1">
      <c r="A748" s="72" t="s">
        <v>209</v>
      </c>
      <c r="B748" s="72" t="s">
        <v>206</v>
      </c>
      <c r="C748" s="74" t="str">
        <f>IF(INDEX('TH CANAM'!$A$9:$BF$63,MATCH(PDNam!$F766,'TH CANAM'!$A$9:$A$63,0),49)="Tb","Trung bình",INDEX('TH CANAM'!$A$9:$BF$63,MATCH(PDNam!$F766,'TH CANAM'!$A$9:$A$63,0),49))</f>
        <v>Giỏi</v>
      </c>
      <c r="D748" s="74" t="str">
        <f>IF(INDEX('TH CANAM'!$A$9:$BF$63,MATCH(PDNam!$F766,'TH CANAM'!$A$9:$A$63,0),50)="Tb","Trung bình",INDEX('TH CANAM'!$A$9:$BF$63,MATCH(PDNam!$F766,'TH CANAM'!$A$9:$A$63,0),50))</f>
        <v/>
      </c>
      <c r="E748" s="74" t="str">
        <f>IF(INDEX('TH CANAM'!$A$9:$BF$63,MATCH(PDNam!$F766,'TH CANAM'!$A$9:$A$63,0),51)="Tb","Trung bình",INDEX('TH CANAM'!$A$9:$BF$63,MATCH(PDNam!$F766,'TH CANAM'!$A$9:$A$63,0),51))</f>
        <v/>
      </c>
      <c r="F748" s="73"/>
    </row>
    <row r="749" spans="1:10" ht="21" customHeight="1">
      <c r="A749" s="72" t="s">
        <v>210</v>
      </c>
      <c r="B749" s="72" t="s">
        <v>207</v>
      </c>
      <c r="C749" s="74" t="str">
        <f>INDEX('TH CANAM'!$A$9:$BF$63,MATCH(PDNam!$F766,'TH CANAM'!$A$9:$A$63,0),52)</f>
        <v>Tốt</v>
      </c>
      <c r="D749" s="74" t="str">
        <f>INDEX('TH CANAM'!$A$9:$BF$63,MATCH(PDNam!$F766,'TH CANAM'!$A$9:$A$63,0),53)</f>
        <v/>
      </c>
      <c r="E749" s="74" t="str">
        <f>INDEX('TH CANAM'!$A$9:$BF$63,MATCH(PDNam!$F766,'TH CANAM'!$A$9:$A$63,0),54)</f>
        <v/>
      </c>
      <c r="F749" s="73"/>
    </row>
    <row r="750" spans="1:10" ht="21" customHeight="1">
      <c r="A750" s="72" t="s">
        <v>211</v>
      </c>
      <c r="B750" s="72" t="s">
        <v>25</v>
      </c>
      <c r="C750" s="74" t="str">
        <f>IF(INDEX('TH CANAM'!$A$9:$BF$63,MATCH(PDNam!$F766,'TH CANAM'!$A$9:$A$63,0),57)&lt;&gt;"",INDEX('TH CANAM'!$A$9:$BF$63,MATCH(PDNam!$F766,'TH CANAM'!$A$9:$A$63,0),57),"/")</f>
        <v>HSG</v>
      </c>
      <c r="D750" s="74" t="str">
        <f>IF(INDEX('TH CANAM'!$A$9:$BF$63,MATCH(PDNam!$F766,'TH CANAM'!$A$9:$A$63,0),58)&lt;&gt;"",INDEX('TH CANAM'!$A$9:$BF$63,MATCH(PDNam!$F766,'TH CANAM'!$A$9:$A$63,0),58),"/")</f>
        <v>/</v>
      </c>
      <c r="E750" s="74" t="str">
        <f>IF(INDEX('TH CANAM'!$A$9:$BF$63,MATCH(PDNam!$F766,'TH CANAM'!$A$9:$A$63,0),55)&lt;&gt;"",INDEX('TH CANAM'!$A$9:$BF$63,MATCH(PDNam!$F766,'TH CANAM'!$A$9:$A$63,0),55),"/")</f>
        <v>/</v>
      </c>
      <c r="F750" s="73"/>
    </row>
    <row r="751" spans="1:10" s="60" customFormat="1" ht="9" customHeight="1">
      <c r="A751" s="67"/>
      <c r="B751" s="67"/>
      <c r="C751" s="1132"/>
      <c r="D751" s="1132"/>
      <c r="E751" s="67"/>
      <c r="F751" s="67"/>
    </row>
    <row r="752" spans="1:10" s="60" customFormat="1" ht="18.75" customHeight="1">
      <c r="A752" s="58" t="s">
        <v>219</v>
      </c>
      <c r="B752" s="57"/>
      <c r="C752" s="57"/>
      <c r="D752" s="57"/>
      <c r="E752" s="57"/>
      <c r="F752" s="475"/>
    </row>
    <row r="753" spans="1:10" s="60" customFormat="1" ht="18.75" customHeight="1">
      <c r="A753" s="59" t="str">
        <f>IF(F766&lt;&gt;"",IF(INDEX(BDHK2,MATCH(F766,DiemHKII!$B$4:$B$58,0),137)&lt;&gt;""," - "&amp;INDEX(BDHK2,MATCH(F766,DiemHKII!$B$4:$B$58,0),137),""),"")</f>
        <v/>
      </c>
      <c r="B753" s="57"/>
      <c r="C753" s="57"/>
      <c r="D753" s="57"/>
      <c r="E753" s="57"/>
      <c r="F753" s="475"/>
    </row>
    <row r="754" spans="1:10" s="60" customFormat="1" ht="18.75" customHeight="1">
      <c r="A754" s="59" t="str">
        <f>IF(F766&lt;&gt;"",IF(INDEX(BDHK2,MATCH(F766,DiemHKII!$B$4:$B$58,0),138)&lt;&gt;""," - "&amp;INDEX(BDHK2,MATCH(F766,DiemHKII!$B$4:$B$58,0),138),""),"")</f>
        <v/>
      </c>
      <c r="B754" s="57"/>
      <c r="C754" s="57"/>
      <c r="D754" s="57"/>
      <c r="E754" s="57"/>
      <c r="F754" s="475"/>
    </row>
    <row r="755" spans="1:10" s="60" customFormat="1" ht="18.75" customHeight="1">
      <c r="A755" s="59" t="str">
        <f>IF(F766&lt;&gt;"",IF(INDEX(BDHK2,MATCH(F766,DiemHKII!$B$4:$B$58,0),139)&lt;&gt;""," - "&amp;INDEX(BDHK2,MATCH(F766,DiemHKII!$B$4:$B$58,0),139),""),"")</f>
        <v/>
      </c>
      <c r="B755" s="57"/>
      <c r="C755" s="57"/>
      <c r="D755" s="57"/>
      <c r="E755" s="57"/>
      <c r="F755" s="475"/>
    </row>
    <row r="756" spans="1:10" s="60" customFormat="1" ht="18.75" customHeight="1">
      <c r="A756" s="59" t="str">
        <f>IF(F766&lt;&gt;"",IF(INDEX(BDHK2,MATCH(F766,DiemHKII!$B$4:$B$58,0),140)&lt;&gt;""," - "&amp;INDEX(BDHK2,MATCH(F766,DiemHKII!$B$4:$B$58,0),140),""),"")</f>
        <v/>
      </c>
      <c r="B756" s="57"/>
      <c r="C756" s="57"/>
      <c r="D756" s="57"/>
      <c r="E756" s="57"/>
      <c r="F756" s="67"/>
    </row>
    <row r="757" spans="1:10" ht="6" customHeight="1">
      <c r="A757" s="68"/>
      <c r="B757" s="68"/>
      <c r="C757" s="68"/>
      <c r="D757" s="68"/>
      <c r="E757" s="68"/>
      <c r="F757" s="68"/>
    </row>
    <row r="758" spans="1:10">
      <c r="A758" s="68"/>
      <c r="B758" s="68"/>
      <c r="C75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758" s="1060"/>
      <c r="E758" s="1060"/>
      <c r="F758" s="1060"/>
    </row>
    <row r="759" spans="1:10" ht="20.25" customHeight="1">
      <c r="A759" s="1012" t="str">
        <f>IF($D$39="Hiệu trưởng","Giáo viên Quản nhiệm","")</f>
        <v>Giáo viên Quản nhiệm</v>
      </c>
      <c r="B759" s="1012"/>
      <c r="C759" s="61"/>
      <c r="D759" s="1012" t="str">
        <f>IF($H$7="","",$H$7)</f>
        <v>Hiệu trưởng</v>
      </c>
      <c r="E759" s="1012"/>
      <c r="F759" s="61"/>
    </row>
    <row r="760" spans="1:10">
      <c r="A760" s="68"/>
      <c r="B760" s="68"/>
      <c r="C760" s="68"/>
      <c r="D760" s="68"/>
      <c r="E760" s="68"/>
      <c r="F760" s="68"/>
    </row>
    <row r="761" spans="1:10">
      <c r="A761" s="68"/>
      <c r="B761" s="68"/>
      <c r="C761" s="68"/>
      <c r="D761" s="68"/>
      <c r="E761" s="68"/>
      <c r="F761" s="68"/>
    </row>
    <row r="762" spans="1:10" ht="16.8">
      <c r="A762" s="68"/>
      <c r="B762" s="68"/>
      <c r="C762" s="64"/>
      <c r="D762" s="64"/>
      <c r="E762" s="64"/>
      <c r="F762" s="64"/>
      <c r="G762" s="65"/>
      <c r="H762" s="65"/>
      <c r="I762" s="65"/>
      <c r="J762" s="65"/>
    </row>
    <row r="764" spans="1:10">
      <c r="A764" s="1012" t="str">
        <f>IF($A$39="","",PROPER('Huong dan'!$C$4))</f>
        <v/>
      </c>
      <c r="B764" s="1012"/>
      <c r="D764" s="1130" t="str">
        <f>IFERROR(IF($D$39="Giáo Viên Quản nhiệm",PROPER('Huong dan'!$C$4),IF($D$39="Hiệu trưởng",PROPER('Huong dan'!$E$5),"")),"")</f>
        <v/>
      </c>
      <c r="E764" s="1130"/>
    </row>
    <row r="765" spans="1:10" ht="7.5" customHeight="1"/>
    <row r="766" spans="1:10" ht="11.25" customHeight="1">
      <c r="A766" s="75"/>
      <c r="B766" s="75"/>
      <c r="C766" s="75"/>
      <c r="D766" s="75"/>
      <c r="E766" s="75"/>
      <c r="F766" s="76">
        <f>IF(F721="","",IF(F721&lt;MAX(DiemHKII!$B$4:$B$58),F721+1,""))</f>
        <v>17</v>
      </c>
    </row>
    <row r="767" spans="1:10" s="60" customFormat="1" ht="22.5" customHeight="1">
      <c r="A767" s="1128" t="str">
        <f>IF('Huong dan'!$E$3&lt;&gt;"","SỞ GIÁO DỤC VÀ ĐÀO TẠO "&amp;UPPER('Huong dan'!$E$3),"")</f>
        <v>SỞ GIÁO DỤC VÀ ĐÀO TẠO TP. HỒ CHÍ MINH</v>
      </c>
      <c r="B767" s="1128"/>
      <c r="C767" s="1128"/>
      <c r="D767" s="1129" t="s">
        <v>19</v>
      </c>
      <c r="E767" s="1129"/>
      <c r="F767" s="1129"/>
    </row>
    <row r="768" spans="1:10" ht="17.25" customHeight="1">
      <c r="A768" s="992" t="str">
        <f>IF('Huong dan'!$E$4&lt;&gt;"","TRƯỜNG "&amp;UPPER('Huong dan'!$E$4),"")</f>
        <v>TRƯỜNG THCS VÀ THPT NGUYỄN KHUYẾN</v>
      </c>
      <c r="B768" s="992"/>
      <c r="C768" s="992"/>
      <c r="D768" s="1130" t="s">
        <v>179</v>
      </c>
      <c r="E768" s="1130"/>
      <c r="F768" s="1130"/>
    </row>
    <row r="769" spans="1:10" ht="12" customHeight="1">
      <c r="A769" s="69"/>
      <c r="B769" s="69"/>
      <c r="C769" s="30"/>
      <c r="D769" s="30"/>
      <c r="E769" s="30"/>
      <c r="F769" s="30"/>
    </row>
    <row r="770" spans="1:10" ht="18" customHeight="1">
      <c r="A770" s="69"/>
      <c r="B770" s="69"/>
      <c r="C770" s="30"/>
      <c r="D770" s="30"/>
      <c r="E770" s="30"/>
      <c r="F770" s="30"/>
    </row>
    <row r="771" spans="1:10" ht="29.25" customHeight="1">
      <c r="A771" s="1013" t="str">
        <f>"PHIẾU ĐIỂM NĂM HỌC "&amp;'Huong dan'!$C$5</f>
        <v>PHIẾU ĐIỂM NĂM HỌC 2021 - 2022</v>
      </c>
      <c r="B771" s="1013"/>
      <c r="C771" s="1013"/>
      <c r="D771" s="1013"/>
      <c r="E771" s="1013"/>
      <c r="F771" s="1013"/>
    </row>
    <row r="772" spans="1:10" ht="12.75" customHeight="1">
      <c r="A772" s="70"/>
      <c r="B772" s="66"/>
      <c r="C772" s="66"/>
      <c r="D772" s="66"/>
      <c r="E772" s="66"/>
      <c r="F772" s="66"/>
    </row>
    <row r="773" spans="1:10" ht="20.25" customHeight="1">
      <c r="A773" s="1131" t="s">
        <v>212</v>
      </c>
      <c r="B773" s="1131"/>
      <c r="C773" s="77" t="str">
        <f>IF(F811="","",INDEX(DiemHKII!$E$4:$E$58,MATCH(F811,DiemHKII!$B$4:$B$58,0),1)&amp;" "&amp;INDEX(DiemHKII!$F$4:$F$58,MATCH(F811,DiemHKII!$B$4:$B$58,0),1))</f>
        <v>Nguyễn Đăng Khoa</v>
      </c>
      <c r="D773" s="77"/>
      <c r="E773" s="77"/>
      <c r="F773" s="71" t="str">
        <f>IF('Huong dan'!$C$3="","","Lớp: "&amp;'Huong dan'!$C$3)</f>
        <v>Lớp: 12A1</v>
      </c>
    </row>
    <row r="774" spans="1:10" ht="24" customHeight="1">
      <c r="A774" s="1131" t="s">
        <v>213</v>
      </c>
      <c r="B774" s="1131"/>
      <c r="C774" s="77" t="str">
        <f>IF(F811="","",INDEX(DiemHKII!$G$4:$G$58,MATCH(F811,DiemHKII!$B$4:$B$58,0),1))</f>
        <v>07/11/2004</v>
      </c>
      <c r="D774" s="77"/>
      <c r="E774" s="1133" t="str">
        <f>IF(F811="","","Nơi sinh: "&amp;INDEX(DiemHKII!$H$4:$H$58,MATCH(F811,DiemHKII!$B$4:$B$58,0),1))</f>
        <v xml:space="preserve">Nơi sinh: </v>
      </c>
      <c r="F774" s="1133"/>
    </row>
    <row r="775" spans="1:10" ht="15" customHeight="1">
      <c r="A775" s="62"/>
      <c r="B775" s="62"/>
      <c r="C775" s="62"/>
      <c r="D775" s="62"/>
      <c r="E775" s="62"/>
      <c r="F775" s="63"/>
    </row>
    <row r="776" spans="1:10" ht="21" customHeight="1">
      <c r="A776" s="1134" t="s">
        <v>0</v>
      </c>
      <c r="B776" s="1134" t="s">
        <v>72</v>
      </c>
      <c r="C776" s="1134" t="s">
        <v>216</v>
      </c>
      <c r="D776" s="1134"/>
      <c r="E776" s="1134"/>
      <c r="F776" s="1134" t="s">
        <v>148</v>
      </c>
    </row>
    <row r="777" spans="1:10" ht="21" customHeight="1">
      <c r="A777" s="1134"/>
      <c r="B777" s="1134"/>
      <c r="C777" s="476" t="s">
        <v>188</v>
      </c>
      <c r="D777" s="476" t="s">
        <v>189</v>
      </c>
      <c r="E777" s="476" t="s">
        <v>190</v>
      </c>
      <c r="F777" s="1134"/>
    </row>
    <row r="778" spans="1:10" ht="21" customHeight="1">
      <c r="A778" s="72" t="s">
        <v>191</v>
      </c>
      <c r="B778" s="73" t="s">
        <v>26</v>
      </c>
      <c r="C778" s="74" t="str">
        <f>INDEX('TH CANAM'!$A$9:$BF$63,MATCH(PDNam!$F811,'TH CANAM'!$A$9:$A$63,0),INDEX($J$13:$M$30,MATCH($B778,$J$13:$J$30,0),K$12))</f>
        <v/>
      </c>
      <c r="D778" s="74" t="str">
        <f>INDEX('TH CANAM'!$A$9:$BF$63,MATCH(PDNam!$F811,'TH CANAM'!$A$9:$A$63,0),INDEX($J$13:$M$30,MATCH($B778,$J$13:$J$30,0),L$12))</f>
        <v/>
      </c>
      <c r="E778" s="74" t="str">
        <f>INDEX('TH CANAM'!$A$9:$BF$63,MATCH(PDNam!$F811,'TH CANAM'!$A$9:$A$63,0),INDEX($J$13:$M$30,MATCH($B778,$J$13:$J$30,0),M$12))</f>
        <v/>
      </c>
      <c r="F778" s="73"/>
      <c r="I778" s="64"/>
      <c r="J778" s="64"/>
    </row>
    <row r="779" spans="1:10" ht="21" customHeight="1">
      <c r="A779" s="72" t="s">
        <v>192</v>
      </c>
      <c r="B779" s="73" t="s">
        <v>27</v>
      </c>
      <c r="C779" s="74" t="str">
        <f>INDEX('TH CANAM'!$A$9:$BF$63,MATCH(PDNam!$F811,'TH CANAM'!$A$9:$A$63,0),INDEX($J$13:$M$30,MATCH($B779,$J$13:$J$30,0),K$12))</f>
        <v/>
      </c>
      <c r="D779" s="74" t="str">
        <f>INDEX('TH CANAM'!$A$9:$BF$63,MATCH(PDNam!$F811,'TH CANAM'!$A$9:$A$63,0),INDEX($J$13:$M$30,MATCH($B779,$J$13:$J$30,0),L$12))</f>
        <v/>
      </c>
      <c r="E779" s="74" t="str">
        <f>INDEX('TH CANAM'!$A$9:$BF$63,MATCH(PDNam!$F811,'TH CANAM'!$A$9:$A$63,0),INDEX($J$13:$M$30,MATCH($B779,$J$13:$J$30,0),M$12))</f>
        <v/>
      </c>
      <c r="F779" s="73"/>
      <c r="I779" s="64"/>
      <c r="J779" s="64"/>
    </row>
    <row r="780" spans="1:10" ht="21" customHeight="1">
      <c r="A780" s="72" t="s">
        <v>193</v>
      </c>
      <c r="B780" s="73" t="s">
        <v>28</v>
      </c>
      <c r="C780" s="74" t="str">
        <f>INDEX('TH CANAM'!$A$9:$BF$63,MATCH(PDNam!$F811,'TH CANAM'!$A$9:$A$63,0),INDEX($J$13:$M$30,MATCH($B780,$J$13:$J$30,0),K$12))</f>
        <v/>
      </c>
      <c r="D780" s="74" t="str">
        <f>INDEX('TH CANAM'!$A$9:$BF$63,MATCH(PDNam!$F811,'TH CANAM'!$A$9:$A$63,0),INDEX($J$13:$M$30,MATCH($B780,$J$13:$J$30,0),L$12))</f>
        <v/>
      </c>
      <c r="E780" s="74" t="str">
        <f>INDEX('TH CANAM'!$A$9:$BF$63,MATCH(PDNam!$F811,'TH CANAM'!$A$9:$A$63,0),INDEX($J$13:$M$30,MATCH($B780,$J$13:$J$30,0),M$12))</f>
        <v/>
      </c>
      <c r="F780" s="73"/>
      <c r="I780" s="64"/>
      <c r="J780" s="64"/>
    </row>
    <row r="781" spans="1:10" ht="21" customHeight="1">
      <c r="A781" s="72" t="s">
        <v>194</v>
      </c>
      <c r="B781" s="73" t="s">
        <v>29</v>
      </c>
      <c r="C781" s="74" t="str">
        <f>INDEX('TH CANAM'!$A$9:$BF$63,MATCH(PDNam!$F811,'TH CANAM'!$A$9:$A$63,0),INDEX($J$13:$M$30,MATCH($B781,$J$13:$J$30,0),K$12))</f>
        <v/>
      </c>
      <c r="D781" s="74" t="str">
        <f>INDEX('TH CANAM'!$A$9:$BF$63,MATCH(PDNam!$F811,'TH CANAM'!$A$9:$A$63,0),INDEX($J$13:$M$30,MATCH($B781,$J$13:$J$30,0),L$12))</f>
        <v/>
      </c>
      <c r="E781" s="74" t="str">
        <f>INDEX('TH CANAM'!$A$9:$BF$63,MATCH(PDNam!$F811,'TH CANAM'!$A$9:$A$63,0),INDEX($J$13:$M$30,MATCH($B781,$J$13:$J$30,0),M$12))</f>
        <v/>
      </c>
      <c r="F781" s="73"/>
      <c r="I781" s="64"/>
      <c r="J781" s="64"/>
    </row>
    <row r="782" spans="1:10" ht="21" customHeight="1">
      <c r="A782" s="72" t="s">
        <v>195</v>
      </c>
      <c r="B782" s="73" t="s">
        <v>120</v>
      </c>
      <c r="C782" s="74" t="str">
        <f>INDEX('TH CANAM'!$A$9:$BF$63,MATCH(PDNam!$F811,'TH CANAM'!$A$9:$A$63,0),INDEX($J$13:$M$30,MATCH($B782,$J$13:$J$30,0),K$12))</f>
        <v/>
      </c>
      <c r="D782" s="74" t="str">
        <f>INDEX('TH CANAM'!$A$9:$BF$63,MATCH(PDNam!$F811,'TH CANAM'!$A$9:$A$63,0),INDEX($J$13:$M$30,MATCH($B782,$J$13:$J$30,0),L$12))</f>
        <v/>
      </c>
      <c r="E782" s="74" t="str">
        <f>INDEX('TH CANAM'!$A$9:$BF$63,MATCH(PDNam!$F811,'TH CANAM'!$A$9:$A$63,0),INDEX($J$13:$M$30,MATCH($B782,$J$13:$J$30,0),M$12))</f>
        <v/>
      </c>
      <c r="F782" s="73"/>
      <c r="I782" s="64"/>
      <c r="J782" s="64"/>
    </row>
    <row r="783" spans="1:10" ht="21" customHeight="1">
      <c r="A783" s="72" t="s">
        <v>196</v>
      </c>
      <c r="B783" s="73" t="s">
        <v>30</v>
      </c>
      <c r="C783" s="74" t="str">
        <f>INDEX('TH CANAM'!$A$9:$BF$63,MATCH(PDNam!$F811,'TH CANAM'!$A$9:$A$63,0),INDEX($J$13:$M$30,MATCH($B783,$J$13:$J$30,0),K$12))</f>
        <v/>
      </c>
      <c r="D783" s="74" t="str">
        <f>INDEX('TH CANAM'!$A$9:$BF$63,MATCH(PDNam!$F811,'TH CANAM'!$A$9:$A$63,0),INDEX($J$13:$M$30,MATCH($B783,$J$13:$J$30,0),L$12))</f>
        <v/>
      </c>
      <c r="E783" s="74" t="str">
        <f>INDEX('TH CANAM'!$A$9:$BF$63,MATCH(PDNam!$F811,'TH CANAM'!$A$9:$A$63,0),INDEX($J$13:$M$30,MATCH($B783,$J$13:$J$30,0),M$12))</f>
        <v/>
      </c>
      <c r="F783" s="73"/>
      <c r="I783" s="64"/>
      <c r="J783" s="64"/>
    </row>
    <row r="784" spans="1:10" ht="21" customHeight="1">
      <c r="A784" s="72" t="s">
        <v>197</v>
      </c>
      <c r="B784" s="73" t="s">
        <v>31</v>
      </c>
      <c r="C784" s="74" t="str">
        <f>INDEX('TH CANAM'!$A$9:$BF$63,MATCH(PDNam!$F811,'TH CANAM'!$A$9:$A$63,0),INDEX($J$13:$M$30,MATCH($B784,$J$13:$J$30,0),K$12))</f>
        <v/>
      </c>
      <c r="D784" s="74" t="str">
        <f>INDEX('TH CANAM'!$A$9:$BF$63,MATCH(PDNam!$F811,'TH CANAM'!$A$9:$A$63,0),INDEX($J$13:$M$30,MATCH($B784,$J$13:$J$30,0),L$12))</f>
        <v/>
      </c>
      <c r="E784" s="74" t="str">
        <f>INDEX('TH CANAM'!$A$9:$BF$63,MATCH(PDNam!$F811,'TH CANAM'!$A$9:$A$63,0),INDEX($J$13:$M$30,MATCH($B784,$J$13:$J$30,0),M$12))</f>
        <v/>
      </c>
      <c r="F784" s="73"/>
      <c r="I784" s="64"/>
      <c r="J784" s="64"/>
    </row>
    <row r="785" spans="1:10" ht="21" customHeight="1">
      <c r="A785" s="72" t="s">
        <v>198</v>
      </c>
      <c r="B785" s="73" t="s">
        <v>32</v>
      </c>
      <c r="C785" s="74" t="str">
        <f>INDEX('TH CANAM'!$A$9:$BF$63,MATCH(PDNam!$F811,'TH CANAM'!$A$9:$A$63,0),INDEX($J$13:$M$30,MATCH($B785,$J$13:$J$30,0),K$12))</f>
        <v/>
      </c>
      <c r="D785" s="74" t="str">
        <f>INDEX('TH CANAM'!$A$9:$BF$63,MATCH(PDNam!$F811,'TH CANAM'!$A$9:$A$63,0),INDEX($J$13:$M$30,MATCH($B785,$J$13:$J$30,0),L$12))</f>
        <v/>
      </c>
      <c r="E785" s="74" t="str">
        <f>INDEX('TH CANAM'!$A$9:$BF$63,MATCH(PDNam!$F811,'TH CANAM'!$A$9:$A$63,0),INDEX($J$13:$M$30,MATCH($B785,$J$13:$J$30,0),M$12))</f>
        <v/>
      </c>
      <c r="F785" s="73"/>
      <c r="I785" s="64"/>
      <c r="J785" s="64"/>
    </row>
    <row r="786" spans="1:10" ht="21" customHeight="1">
      <c r="A786" s="72" t="s">
        <v>199</v>
      </c>
      <c r="B786" s="73" t="s">
        <v>33</v>
      </c>
      <c r="C786" s="74" t="str">
        <f>INDEX('TH CANAM'!$A$9:$BF$63,MATCH(PDNam!$F811,'TH CANAM'!$A$9:$A$63,0),INDEX($J$13:$M$30,MATCH($B786,$J$13:$J$30,0),K$12))</f>
        <v/>
      </c>
      <c r="D786" s="74" t="str">
        <f>INDEX('TH CANAM'!$A$9:$BF$63,MATCH(PDNam!$F811,'TH CANAM'!$A$9:$A$63,0),INDEX($J$13:$M$30,MATCH($B786,$J$13:$J$30,0),L$12))</f>
        <v/>
      </c>
      <c r="E786" s="74" t="str">
        <f>INDEX('TH CANAM'!$A$9:$BF$63,MATCH(PDNam!$F811,'TH CANAM'!$A$9:$A$63,0),INDEX($J$13:$M$30,MATCH($B786,$J$13:$J$30,0),M$12))</f>
        <v/>
      </c>
      <c r="F786" s="73"/>
      <c r="I786" s="64"/>
      <c r="J786" s="64"/>
    </row>
    <row r="787" spans="1:10" ht="21" customHeight="1">
      <c r="A787" s="72" t="s">
        <v>200</v>
      </c>
      <c r="B787" s="73" t="s">
        <v>60</v>
      </c>
      <c r="C787" s="74" t="str">
        <f>INDEX('TH CANAM'!$A$9:$BF$63,MATCH(PDNam!$F811,'TH CANAM'!$A$9:$A$63,0),INDEX($J$13:$M$30,MATCH($B787,$J$13:$J$30,0),K$12))</f>
        <v/>
      </c>
      <c r="D787" s="74" t="str">
        <f>INDEX('TH CANAM'!$A$9:$BF$63,MATCH(PDNam!$F811,'TH CANAM'!$A$9:$A$63,0),INDEX($J$13:$M$30,MATCH($B787,$J$13:$J$30,0),L$12))</f>
        <v/>
      </c>
      <c r="E787" s="74" t="str">
        <f>INDEX('TH CANAM'!$A$9:$BF$63,MATCH(PDNam!$F811,'TH CANAM'!$A$9:$A$63,0),INDEX($J$13:$M$30,MATCH($B787,$J$13:$J$30,0),M$12))</f>
        <v/>
      </c>
      <c r="F787" s="73"/>
      <c r="I787" s="64"/>
      <c r="J787" s="64"/>
    </row>
    <row r="788" spans="1:10" ht="21" customHeight="1">
      <c r="A788" s="72" t="s">
        <v>201</v>
      </c>
      <c r="B788" s="73" t="s">
        <v>34</v>
      </c>
      <c r="C788" s="74" t="str">
        <f>INDEX('TH CANAM'!$A$9:$BF$63,MATCH(PDNam!$F811,'TH CANAM'!$A$9:$A$63,0),INDEX($J$13:$M$30,MATCH($B788,$J$13:$J$30,0),K$12))</f>
        <v/>
      </c>
      <c r="D788" s="74" t="str">
        <f>INDEX('TH CANAM'!$A$9:$BF$63,MATCH(PDNam!$F811,'TH CANAM'!$A$9:$A$63,0),INDEX($J$13:$M$30,MATCH($B788,$J$13:$J$30,0),L$12))</f>
        <v/>
      </c>
      <c r="E788" s="74" t="str">
        <f>INDEX('TH CANAM'!$A$9:$BF$63,MATCH(PDNam!$F811,'TH CANAM'!$A$9:$A$63,0),INDEX($J$13:$M$30,MATCH($B788,$J$13:$J$30,0),M$12))</f>
        <v/>
      </c>
      <c r="F788" s="73"/>
      <c r="I788" s="64"/>
      <c r="J788" s="64"/>
    </row>
    <row r="789" spans="1:10" ht="21" customHeight="1">
      <c r="A789" s="72" t="s">
        <v>202</v>
      </c>
      <c r="B789" s="73" t="s">
        <v>35</v>
      </c>
      <c r="C789" s="74" t="str">
        <f>INDEX('TH CANAM'!$A$9:$BF$63,MATCH(PDNam!$F811,'TH CANAM'!$A$9:$A$63,0),INDEX($J$13:$M$30,MATCH($B789,$J$13:$J$30,0),K$12))</f>
        <v/>
      </c>
      <c r="D789" s="74" t="str">
        <f>INDEX('TH CANAM'!$A$9:$BF$63,MATCH(PDNam!$F811,'TH CANAM'!$A$9:$A$63,0),INDEX($J$13:$M$30,MATCH($B789,$J$13:$J$30,0),L$12))</f>
        <v/>
      </c>
      <c r="E789" s="74" t="str">
        <f>INDEX('TH CANAM'!$A$9:$BF$63,MATCH(PDNam!$F811,'TH CANAM'!$A$9:$A$63,0),INDEX($J$13:$M$30,MATCH($B789,$J$13:$J$30,0),M$12))</f>
        <v/>
      </c>
      <c r="F789" s="73"/>
      <c r="I789" s="64"/>
      <c r="J789" s="64"/>
    </row>
    <row r="790" spans="1:10" ht="21" customHeight="1">
      <c r="A790" s="72" t="s">
        <v>203</v>
      </c>
      <c r="B790" s="73" t="s">
        <v>121</v>
      </c>
      <c r="C790" s="74" t="str">
        <f>INDEX('TH CANAM'!$A$9:$BF$63,MATCH(PDNam!$F811,'TH CANAM'!$A$9:$A$63,0),INDEX($J$13:$M$30,MATCH($B790,$J$13:$J$30,0),K$12))</f>
        <v/>
      </c>
      <c r="D790" s="74" t="str">
        <f>INDEX('TH CANAM'!$A$9:$BF$63,MATCH(PDNam!$F811,'TH CANAM'!$A$9:$A$63,0),INDEX($J$13:$M$30,MATCH($B790,$J$13:$J$30,0),L$12))</f>
        <v/>
      </c>
      <c r="E790" s="74" t="str">
        <f>INDEX('TH CANAM'!$A$9:$BF$63,MATCH(PDNam!$F811,'TH CANAM'!$A$9:$A$63,0),INDEX($J$13:$M$30,MATCH($B790,$J$13:$J$30,0),M$12))</f>
        <v/>
      </c>
      <c r="F790" s="73"/>
      <c r="I790" s="64"/>
      <c r="J790" s="64"/>
    </row>
    <row r="791" spans="1:10" ht="21" customHeight="1">
      <c r="A791" s="72" t="s">
        <v>204</v>
      </c>
      <c r="B791" s="73" t="s">
        <v>122</v>
      </c>
      <c r="C791" s="74" t="str">
        <f>INDEX('TH CANAM'!$A$9:$BF$63,MATCH(PDNam!$F811,'TH CANAM'!$A$9:$A$63,0),INDEX($J$13:$M$30,MATCH($B791,$J$13:$J$30,0),K$12))</f>
        <v/>
      </c>
      <c r="D791" s="74" t="str">
        <f>INDEX('TH CANAM'!$A$9:$BF$63,MATCH(PDNam!$F811,'TH CANAM'!$A$9:$A$63,0),INDEX($J$13:$M$30,MATCH($B791,$J$13:$J$30,0),L$12))</f>
        <v/>
      </c>
      <c r="E791" s="74" t="str">
        <f>INDEX('TH CANAM'!$A$9:$BF$63,MATCH(PDNam!$F811,'TH CANAM'!$A$9:$A$63,0),INDEX($J$13:$M$30,MATCH($B791,$J$13:$J$30,0),M$12))</f>
        <v/>
      </c>
      <c r="F791" s="73"/>
      <c r="I791" s="64"/>
      <c r="J791" s="64"/>
    </row>
    <row r="792" spans="1:10" ht="21" customHeight="1">
      <c r="A792" s="72" t="s">
        <v>208</v>
      </c>
      <c r="B792" s="73" t="s">
        <v>205</v>
      </c>
      <c r="C792" s="78">
        <f>INDEX('TH CANAM'!$A$9:$BF$63,MATCH(PDNam!$F811,'TH CANAM'!$A$9:$A$63,0),46)</f>
        <v>9.6</v>
      </c>
      <c r="D792" s="78" t="str">
        <f>INDEX('TH CANAM'!$A$9:$BF$63,MATCH(PDNam!$F811,'TH CANAM'!$A$9:$A$63,0),47)</f>
        <v/>
      </c>
      <c r="E792" s="78" t="str">
        <f>INDEX('TH CANAM'!$A$9:$BF$63,MATCH(PDNam!$F811,'TH CANAM'!$A$9:$A$63,0),48)</f>
        <v/>
      </c>
      <c r="F792" s="73"/>
      <c r="I792" s="64"/>
      <c r="J792" s="64"/>
    </row>
    <row r="793" spans="1:10" ht="21" customHeight="1">
      <c r="A793" s="72" t="s">
        <v>209</v>
      </c>
      <c r="B793" s="72" t="s">
        <v>206</v>
      </c>
      <c r="C793" s="74" t="str">
        <f>IF(INDEX('TH CANAM'!$A$9:$BF$63,MATCH(PDNam!$F811,'TH CANAM'!$A$9:$A$63,0),49)="Tb","Trung bình",INDEX('TH CANAM'!$A$9:$BF$63,MATCH(PDNam!$F811,'TH CANAM'!$A$9:$A$63,0),49))</f>
        <v>Giỏi</v>
      </c>
      <c r="D793" s="74" t="str">
        <f>IF(INDEX('TH CANAM'!$A$9:$BF$63,MATCH(PDNam!$F811,'TH CANAM'!$A$9:$A$63,0),50)="Tb","Trung bình",INDEX('TH CANAM'!$A$9:$BF$63,MATCH(PDNam!$F811,'TH CANAM'!$A$9:$A$63,0),50))</f>
        <v/>
      </c>
      <c r="E793" s="74" t="str">
        <f>IF(INDEX('TH CANAM'!$A$9:$BF$63,MATCH(PDNam!$F811,'TH CANAM'!$A$9:$A$63,0),51)="Tb","Trung bình",INDEX('TH CANAM'!$A$9:$BF$63,MATCH(PDNam!$F811,'TH CANAM'!$A$9:$A$63,0),51))</f>
        <v/>
      </c>
      <c r="F793" s="73"/>
    </row>
    <row r="794" spans="1:10" ht="21" customHeight="1">
      <c r="A794" s="72" t="s">
        <v>210</v>
      </c>
      <c r="B794" s="72" t="s">
        <v>207</v>
      </c>
      <c r="C794" s="74" t="str">
        <f>INDEX('TH CANAM'!$A$9:$BF$63,MATCH(PDNam!$F811,'TH CANAM'!$A$9:$A$63,0),52)</f>
        <v>Tốt</v>
      </c>
      <c r="D794" s="74" t="str">
        <f>INDEX('TH CANAM'!$A$9:$BF$63,MATCH(PDNam!$F811,'TH CANAM'!$A$9:$A$63,0),53)</f>
        <v/>
      </c>
      <c r="E794" s="74" t="str">
        <f>INDEX('TH CANAM'!$A$9:$BF$63,MATCH(PDNam!$F811,'TH CANAM'!$A$9:$A$63,0),54)</f>
        <v/>
      </c>
      <c r="F794" s="73"/>
    </row>
    <row r="795" spans="1:10" ht="21" customHeight="1">
      <c r="A795" s="72" t="s">
        <v>211</v>
      </c>
      <c r="B795" s="72" t="s">
        <v>25</v>
      </c>
      <c r="C795" s="74" t="str">
        <f>IF(INDEX('TH CANAM'!$A$9:$BF$63,MATCH(PDNam!$F811,'TH CANAM'!$A$9:$A$63,0),57)&lt;&gt;"",INDEX('TH CANAM'!$A$9:$BF$63,MATCH(PDNam!$F811,'TH CANAM'!$A$9:$A$63,0),57),"/")</f>
        <v>HSG</v>
      </c>
      <c r="D795" s="74" t="str">
        <f>IF(INDEX('TH CANAM'!$A$9:$BF$63,MATCH(PDNam!$F811,'TH CANAM'!$A$9:$A$63,0),58)&lt;&gt;"",INDEX('TH CANAM'!$A$9:$BF$63,MATCH(PDNam!$F811,'TH CANAM'!$A$9:$A$63,0),58),"/")</f>
        <v>/</v>
      </c>
      <c r="E795" s="74" t="str">
        <f>IF(INDEX('TH CANAM'!$A$9:$BF$63,MATCH(PDNam!$F811,'TH CANAM'!$A$9:$A$63,0),55)&lt;&gt;"",INDEX('TH CANAM'!$A$9:$BF$63,MATCH(PDNam!$F811,'TH CANAM'!$A$9:$A$63,0),55),"/")</f>
        <v>/</v>
      </c>
      <c r="F795" s="73"/>
    </row>
    <row r="796" spans="1:10" s="60" customFormat="1" ht="9" customHeight="1">
      <c r="A796" s="67"/>
      <c r="B796" s="67"/>
      <c r="C796" s="1132"/>
      <c r="D796" s="1132"/>
      <c r="E796" s="67"/>
      <c r="F796" s="67"/>
    </row>
    <row r="797" spans="1:10" s="60" customFormat="1" ht="18.75" customHeight="1">
      <c r="A797" s="58" t="s">
        <v>219</v>
      </c>
      <c r="B797" s="57"/>
      <c r="C797" s="57"/>
      <c r="D797" s="57"/>
      <c r="E797" s="57"/>
      <c r="F797" s="475"/>
    </row>
    <row r="798" spans="1:10" s="60" customFormat="1" ht="18.75" customHeight="1">
      <c r="A798" s="59" t="str">
        <f>IF(F811&lt;&gt;"",IF(INDEX(BDHK2,MATCH(F811,DiemHKII!$B$4:$B$58,0),137)&lt;&gt;""," - "&amp;INDEX(BDHK2,MATCH(F811,DiemHKII!$B$4:$B$58,0),137),""),"")</f>
        <v/>
      </c>
      <c r="B798" s="57"/>
      <c r="C798" s="57"/>
      <c r="D798" s="57"/>
      <c r="E798" s="57"/>
      <c r="F798" s="475"/>
    </row>
    <row r="799" spans="1:10" s="60" customFormat="1" ht="18.75" customHeight="1">
      <c r="A799" s="59" t="str">
        <f>IF(F811&lt;&gt;"",IF(INDEX(BDHK2,MATCH(F811,DiemHKII!$B$4:$B$58,0),138)&lt;&gt;""," - "&amp;INDEX(BDHK2,MATCH(F811,DiemHKII!$B$4:$B$58,0),138),""),"")</f>
        <v/>
      </c>
      <c r="B799" s="57"/>
      <c r="C799" s="57"/>
      <c r="D799" s="57"/>
      <c r="E799" s="57"/>
      <c r="F799" s="475"/>
    </row>
    <row r="800" spans="1:10" s="60" customFormat="1" ht="18.75" customHeight="1">
      <c r="A800" s="59" t="str">
        <f>IF(F811&lt;&gt;"",IF(INDEX(BDHK2,MATCH(F811,DiemHKII!$B$4:$B$58,0),139)&lt;&gt;""," - "&amp;INDEX(BDHK2,MATCH(F811,DiemHKII!$B$4:$B$58,0),139),""),"")</f>
        <v/>
      </c>
      <c r="B800" s="57"/>
      <c r="C800" s="57"/>
      <c r="D800" s="57"/>
      <c r="E800" s="57"/>
      <c r="F800" s="475"/>
    </row>
    <row r="801" spans="1:10" s="60" customFormat="1" ht="18.75" customHeight="1">
      <c r="A801" s="59" t="str">
        <f>IF(F811&lt;&gt;"",IF(INDEX(BDHK2,MATCH(F811,DiemHKII!$B$4:$B$58,0),140)&lt;&gt;""," - "&amp;INDEX(BDHK2,MATCH(F811,DiemHKII!$B$4:$B$58,0),140),""),"")</f>
        <v/>
      </c>
      <c r="B801" s="57"/>
      <c r="C801" s="57"/>
      <c r="D801" s="57"/>
      <c r="E801" s="57"/>
      <c r="F801" s="67"/>
    </row>
    <row r="802" spans="1:10" ht="6" customHeight="1">
      <c r="A802" s="68"/>
      <c r="B802" s="68"/>
      <c r="C802" s="68"/>
      <c r="D802" s="68"/>
      <c r="E802" s="68"/>
      <c r="F802" s="68"/>
    </row>
    <row r="803" spans="1:10">
      <c r="A803" s="68"/>
      <c r="B803" s="68"/>
      <c r="C80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803" s="1060"/>
      <c r="E803" s="1060"/>
      <c r="F803" s="1060"/>
    </row>
    <row r="804" spans="1:10" ht="20.25" customHeight="1">
      <c r="A804" s="1012" t="str">
        <f>IF($D$39="Hiệu trưởng","Giáo viên Quản nhiệm","")</f>
        <v>Giáo viên Quản nhiệm</v>
      </c>
      <c r="B804" s="1012"/>
      <c r="C804" s="61"/>
      <c r="D804" s="1012" t="str">
        <f>IF($H$7="","",$H$7)</f>
        <v>Hiệu trưởng</v>
      </c>
      <c r="E804" s="1012"/>
      <c r="F804" s="61"/>
    </row>
    <row r="805" spans="1:10">
      <c r="A805" s="68"/>
      <c r="B805" s="68"/>
      <c r="C805" s="68"/>
      <c r="D805" s="68"/>
      <c r="E805" s="68"/>
      <c r="F805" s="68"/>
    </row>
    <row r="806" spans="1:10">
      <c r="A806" s="68"/>
      <c r="B806" s="68"/>
      <c r="C806" s="68"/>
      <c r="D806" s="68"/>
      <c r="E806" s="68"/>
      <c r="F806" s="68"/>
    </row>
    <row r="807" spans="1:10" ht="16.8">
      <c r="A807" s="68"/>
      <c r="B807" s="68"/>
      <c r="C807" s="64"/>
      <c r="D807" s="64"/>
      <c r="E807" s="64"/>
      <c r="F807" s="64"/>
      <c r="G807" s="65"/>
      <c r="H807" s="65"/>
      <c r="I807" s="65"/>
      <c r="J807" s="65"/>
    </row>
    <row r="809" spans="1:10">
      <c r="A809" s="1012" t="str">
        <f>IF($A$39="","",PROPER('Huong dan'!$C$4))</f>
        <v/>
      </c>
      <c r="B809" s="1012"/>
      <c r="D809" s="1130" t="str">
        <f>IFERROR(IF($D$39="Giáo Viên Quản nhiệm",PROPER('Huong dan'!$C$4),IF($D$39="Hiệu trưởng",PROPER('Huong dan'!$E$5),"")),"")</f>
        <v/>
      </c>
      <c r="E809" s="1130"/>
    </row>
    <row r="810" spans="1:10" ht="7.5" customHeight="1"/>
    <row r="811" spans="1:10" ht="11.25" customHeight="1">
      <c r="A811" s="75"/>
      <c r="B811" s="75"/>
      <c r="C811" s="75"/>
      <c r="D811" s="75"/>
      <c r="E811" s="75"/>
      <c r="F811" s="76">
        <f>IF(F766="","",IF(F766&lt;MAX(DiemHKII!$B$4:$B$58),F766+1,""))</f>
        <v>18</v>
      </c>
    </row>
    <row r="812" spans="1:10" s="60" customFormat="1" ht="22.5" customHeight="1">
      <c r="A812" s="1128" t="str">
        <f>IF('Huong dan'!$E$3&lt;&gt;"","SỞ GIÁO DỤC VÀ ĐÀO TẠO "&amp;UPPER('Huong dan'!$E$3),"")</f>
        <v>SỞ GIÁO DỤC VÀ ĐÀO TẠO TP. HỒ CHÍ MINH</v>
      </c>
      <c r="B812" s="1128"/>
      <c r="C812" s="1128"/>
      <c r="D812" s="1129" t="s">
        <v>19</v>
      </c>
      <c r="E812" s="1129"/>
      <c r="F812" s="1129"/>
    </row>
    <row r="813" spans="1:10" ht="17.25" customHeight="1">
      <c r="A813" s="992" t="str">
        <f>IF('Huong dan'!$E$4&lt;&gt;"","TRƯỜNG "&amp;UPPER('Huong dan'!$E$4),"")</f>
        <v>TRƯỜNG THCS VÀ THPT NGUYỄN KHUYẾN</v>
      </c>
      <c r="B813" s="992"/>
      <c r="C813" s="992"/>
      <c r="D813" s="1130" t="s">
        <v>179</v>
      </c>
      <c r="E813" s="1130"/>
      <c r="F813" s="1130"/>
    </row>
    <row r="814" spans="1:10" ht="12" customHeight="1">
      <c r="A814" s="69"/>
      <c r="B814" s="69"/>
      <c r="C814" s="30"/>
      <c r="D814" s="30"/>
      <c r="E814" s="30"/>
      <c r="F814" s="30"/>
    </row>
    <row r="815" spans="1:10" ht="18" customHeight="1">
      <c r="A815" s="69"/>
      <c r="B815" s="69"/>
      <c r="C815" s="30"/>
      <c r="D815" s="30"/>
      <c r="E815" s="30"/>
      <c r="F815" s="30"/>
    </row>
    <row r="816" spans="1:10" ht="29.25" customHeight="1">
      <c r="A816" s="1013" t="str">
        <f>"PHIẾU ĐIỂM NĂM HỌC "&amp;'Huong dan'!$C$5</f>
        <v>PHIẾU ĐIỂM NĂM HỌC 2021 - 2022</v>
      </c>
      <c r="B816" s="1013"/>
      <c r="C816" s="1013"/>
      <c r="D816" s="1013"/>
      <c r="E816" s="1013"/>
      <c r="F816" s="1013"/>
    </row>
    <row r="817" spans="1:10" ht="12.75" customHeight="1">
      <c r="A817" s="70"/>
      <c r="B817" s="66"/>
      <c r="C817" s="66"/>
      <c r="D817" s="66"/>
      <c r="E817" s="66"/>
      <c r="F817" s="66"/>
    </row>
    <row r="818" spans="1:10" ht="20.25" customHeight="1">
      <c r="A818" s="1131" t="s">
        <v>212</v>
      </c>
      <c r="B818" s="1131"/>
      <c r="C818" s="77" t="str">
        <f>IF(F856="","",INDEX(DiemHKII!$E$4:$E$58,MATCH(F856,DiemHKII!$B$4:$B$58,0),1)&amp;" "&amp;INDEX(DiemHKII!$F$4:$F$58,MATCH(F856,DiemHKII!$B$4:$B$58,0),1))</f>
        <v>Lê Tiến Khôi</v>
      </c>
      <c r="D818" s="77"/>
      <c r="E818" s="77"/>
      <c r="F818" s="71" t="str">
        <f>IF('Huong dan'!$C$3="","","Lớp: "&amp;'Huong dan'!$C$3)</f>
        <v>Lớp: 12A1</v>
      </c>
    </row>
    <row r="819" spans="1:10" ht="24" customHeight="1">
      <c r="A819" s="1131" t="s">
        <v>213</v>
      </c>
      <c r="B819" s="1131"/>
      <c r="C819" s="77" t="str">
        <f>IF(F856="","",INDEX(DiemHKII!$G$4:$G$58,MATCH(F856,DiemHKII!$B$4:$B$58,0),1))</f>
        <v>14/10/2004</v>
      </c>
      <c r="D819" s="77"/>
      <c r="E819" s="1133" t="str">
        <f>IF(F856="","","Nơi sinh: "&amp;INDEX(DiemHKII!$H$4:$H$58,MATCH(F856,DiemHKII!$B$4:$B$58,0),1))</f>
        <v xml:space="preserve">Nơi sinh: </v>
      </c>
      <c r="F819" s="1133"/>
    </row>
    <row r="820" spans="1:10" ht="15" customHeight="1">
      <c r="A820" s="62"/>
      <c r="B820" s="62"/>
      <c r="C820" s="62"/>
      <c r="D820" s="62"/>
      <c r="E820" s="62"/>
      <c r="F820" s="63"/>
    </row>
    <row r="821" spans="1:10" ht="21" customHeight="1">
      <c r="A821" s="1134" t="s">
        <v>0</v>
      </c>
      <c r="B821" s="1134" t="s">
        <v>72</v>
      </c>
      <c r="C821" s="1134" t="s">
        <v>216</v>
      </c>
      <c r="D821" s="1134"/>
      <c r="E821" s="1134"/>
      <c r="F821" s="1134" t="s">
        <v>148</v>
      </c>
    </row>
    <row r="822" spans="1:10" ht="21" customHeight="1">
      <c r="A822" s="1134"/>
      <c r="B822" s="1134"/>
      <c r="C822" s="476" t="s">
        <v>188</v>
      </c>
      <c r="D822" s="476" t="s">
        <v>189</v>
      </c>
      <c r="E822" s="476" t="s">
        <v>190</v>
      </c>
      <c r="F822" s="1134"/>
    </row>
    <row r="823" spans="1:10" ht="21" customHeight="1">
      <c r="A823" s="72" t="s">
        <v>191</v>
      </c>
      <c r="B823" s="73" t="s">
        <v>26</v>
      </c>
      <c r="C823" s="74" t="str">
        <f>INDEX('TH CANAM'!$A$9:$BF$63,MATCH(PDNam!$F856,'TH CANAM'!$A$9:$A$63,0),INDEX($J$13:$M$30,MATCH($B823,$J$13:$J$30,0),K$12))</f>
        <v/>
      </c>
      <c r="D823" s="74" t="str">
        <f>INDEX('TH CANAM'!$A$9:$BF$63,MATCH(PDNam!$F856,'TH CANAM'!$A$9:$A$63,0),INDEX($J$13:$M$30,MATCH($B823,$J$13:$J$30,0),L$12))</f>
        <v/>
      </c>
      <c r="E823" s="74" t="str">
        <f>INDEX('TH CANAM'!$A$9:$BF$63,MATCH(PDNam!$F856,'TH CANAM'!$A$9:$A$63,0),INDEX($J$13:$M$30,MATCH($B823,$J$13:$J$30,0),M$12))</f>
        <v/>
      </c>
      <c r="F823" s="73"/>
      <c r="I823" s="64"/>
      <c r="J823" s="64"/>
    </row>
    <row r="824" spans="1:10" ht="21" customHeight="1">
      <c r="A824" s="72" t="s">
        <v>192</v>
      </c>
      <c r="B824" s="73" t="s">
        <v>27</v>
      </c>
      <c r="C824" s="74" t="str">
        <f>INDEX('TH CANAM'!$A$9:$BF$63,MATCH(PDNam!$F856,'TH CANAM'!$A$9:$A$63,0),INDEX($J$13:$M$30,MATCH($B824,$J$13:$J$30,0),K$12))</f>
        <v/>
      </c>
      <c r="D824" s="74" t="str">
        <f>INDEX('TH CANAM'!$A$9:$BF$63,MATCH(PDNam!$F856,'TH CANAM'!$A$9:$A$63,0),INDEX($J$13:$M$30,MATCH($B824,$J$13:$J$30,0),L$12))</f>
        <v/>
      </c>
      <c r="E824" s="74" t="str">
        <f>INDEX('TH CANAM'!$A$9:$BF$63,MATCH(PDNam!$F856,'TH CANAM'!$A$9:$A$63,0),INDEX($J$13:$M$30,MATCH($B824,$J$13:$J$30,0),M$12))</f>
        <v/>
      </c>
      <c r="F824" s="73"/>
      <c r="I824" s="64"/>
      <c r="J824" s="64"/>
    </row>
    <row r="825" spans="1:10" ht="21" customHeight="1">
      <c r="A825" s="72" t="s">
        <v>193</v>
      </c>
      <c r="B825" s="73" t="s">
        <v>28</v>
      </c>
      <c r="C825" s="74" t="str">
        <f>INDEX('TH CANAM'!$A$9:$BF$63,MATCH(PDNam!$F856,'TH CANAM'!$A$9:$A$63,0),INDEX($J$13:$M$30,MATCH($B825,$J$13:$J$30,0),K$12))</f>
        <v/>
      </c>
      <c r="D825" s="74" t="str">
        <f>INDEX('TH CANAM'!$A$9:$BF$63,MATCH(PDNam!$F856,'TH CANAM'!$A$9:$A$63,0),INDEX($J$13:$M$30,MATCH($B825,$J$13:$J$30,0),L$12))</f>
        <v/>
      </c>
      <c r="E825" s="74" t="str">
        <f>INDEX('TH CANAM'!$A$9:$BF$63,MATCH(PDNam!$F856,'TH CANAM'!$A$9:$A$63,0),INDEX($J$13:$M$30,MATCH($B825,$J$13:$J$30,0),M$12))</f>
        <v/>
      </c>
      <c r="F825" s="73"/>
      <c r="I825" s="64"/>
      <c r="J825" s="64"/>
    </row>
    <row r="826" spans="1:10" ht="21" customHeight="1">
      <c r="A826" s="72" t="s">
        <v>194</v>
      </c>
      <c r="B826" s="73" t="s">
        <v>29</v>
      </c>
      <c r="C826" s="74" t="str">
        <f>INDEX('TH CANAM'!$A$9:$BF$63,MATCH(PDNam!$F856,'TH CANAM'!$A$9:$A$63,0),INDEX($J$13:$M$30,MATCH($B826,$J$13:$J$30,0),K$12))</f>
        <v/>
      </c>
      <c r="D826" s="74" t="str">
        <f>INDEX('TH CANAM'!$A$9:$BF$63,MATCH(PDNam!$F856,'TH CANAM'!$A$9:$A$63,0),INDEX($J$13:$M$30,MATCH($B826,$J$13:$J$30,0),L$12))</f>
        <v/>
      </c>
      <c r="E826" s="74" t="str">
        <f>INDEX('TH CANAM'!$A$9:$BF$63,MATCH(PDNam!$F856,'TH CANAM'!$A$9:$A$63,0),INDEX($J$13:$M$30,MATCH($B826,$J$13:$J$30,0),M$12))</f>
        <v/>
      </c>
      <c r="F826" s="73"/>
      <c r="I826" s="64"/>
      <c r="J826" s="64"/>
    </row>
    <row r="827" spans="1:10" ht="21" customHeight="1">
      <c r="A827" s="72" t="s">
        <v>195</v>
      </c>
      <c r="B827" s="73" t="s">
        <v>120</v>
      </c>
      <c r="C827" s="74" t="str">
        <f>INDEX('TH CANAM'!$A$9:$BF$63,MATCH(PDNam!$F856,'TH CANAM'!$A$9:$A$63,0),INDEX($J$13:$M$30,MATCH($B827,$J$13:$J$30,0),K$12))</f>
        <v/>
      </c>
      <c r="D827" s="74" t="str">
        <f>INDEX('TH CANAM'!$A$9:$BF$63,MATCH(PDNam!$F856,'TH CANAM'!$A$9:$A$63,0),INDEX($J$13:$M$30,MATCH($B827,$J$13:$J$30,0),L$12))</f>
        <v/>
      </c>
      <c r="E827" s="74" t="str">
        <f>INDEX('TH CANAM'!$A$9:$BF$63,MATCH(PDNam!$F856,'TH CANAM'!$A$9:$A$63,0),INDEX($J$13:$M$30,MATCH($B827,$J$13:$J$30,0),M$12))</f>
        <v/>
      </c>
      <c r="F827" s="73"/>
      <c r="I827" s="64"/>
      <c r="J827" s="64"/>
    </row>
    <row r="828" spans="1:10" ht="21" customHeight="1">
      <c r="A828" s="72" t="s">
        <v>196</v>
      </c>
      <c r="B828" s="73" t="s">
        <v>30</v>
      </c>
      <c r="C828" s="74" t="str">
        <f>INDEX('TH CANAM'!$A$9:$BF$63,MATCH(PDNam!$F856,'TH CANAM'!$A$9:$A$63,0),INDEX($J$13:$M$30,MATCH($B828,$J$13:$J$30,0),K$12))</f>
        <v/>
      </c>
      <c r="D828" s="74" t="str">
        <f>INDEX('TH CANAM'!$A$9:$BF$63,MATCH(PDNam!$F856,'TH CANAM'!$A$9:$A$63,0),INDEX($J$13:$M$30,MATCH($B828,$J$13:$J$30,0),L$12))</f>
        <v/>
      </c>
      <c r="E828" s="74" t="str">
        <f>INDEX('TH CANAM'!$A$9:$BF$63,MATCH(PDNam!$F856,'TH CANAM'!$A$9:$A$63,0),INDEX($J$13:$M$30,MATCH($B828,$J$13:$J$30,0),M$12))</f>
        <v/>
      </c>
      <c r="F828" s="73"/>
      <c r="I828" s="64"/>
      <c r="J828" s="64"/>
    </row>
    <row r="829" spans="1:10" ht="21" customHeight="1">
      <c r="A829" s="72" t="s">
        <v>197</v>
      </c>
      <c r="B829" s="73" t="s">
        <v>31</v>
      </c>
      <c r="C829" s="74" t="str">
        <f>INDEX('TH CANAM'!$A$9:$BF$63,MATCH(PDNam!$F856,'TH CANAM'!$A$9:$A$63,0),INDEX($J$13:$M$30,MATCH($B829,$J$13:$J$30,0),K$12))</f>
        <v/>
      </c>
      <c r="D829" s="74" t="str">
        <f>INDEX('TH CANAM'!$A$9:$BF$63,MATCH(PDNam!$F856,'TH CANAM'!$A$9:$A$63,0),INDEX($J$13:$M$30,MATCH($B829,$J$13:$J$30,0),L$12))</f>
        <v/>
      </c>
      <c r="E829" s="74" t="str">
        <f>INDEX('TH CANAM'!$A$9:$BF$63,MATCH(PDNam!$F856,'TH CANAM'!$A$9:$A$63,0),INDEX($J$13:$M$30,MATCH($B829,$J$13:$J$30,0),M$12))</f>
        <v/>
      </c>
      <c r="F829" s="73"/>
      <c r="I829" s="64"/>
      <c r="J829" s="64"/>
    </row>
    <row r="830" spans="1:10" ht="21" customHeight="1">
      <c r="A830" s="72" t="s">
        <v>198</v>
      </c>
      <c r="B830" s="73" t="s">
        <v>32</v>
      </c>
      <c r="C830" s="74" t="str">
        <f>INDEX('TH CANAM'!$A$9:$BF$63,MATCH(PDNam!$F856,'TH CANAM'!$A$9:$A$63,0),INDEX($J$13:$M$30,MATCH($B830,$J$13:$J$30,0),K$12))</f>
        <v/>
      </c>
      <c r="D830" s="74" t="str">
        <f>INDEX('TH CANAM'!$A$9:$BF$63,MATCH(PDNam!$F856,'TH CANAM'!$A$9:$A$63,0),INDEX($J$13:$M$30,MATCH($B830,$J$13:$J$30,0),L$12))</f>
        <v/>
      </c>
      <c r="E830" s="74" t="str">
        <f>INDEX('TH CANAM'!$A$9:$BF$63,MATCH(PDNam!$F856,'TH CANAM'!$A$9:$A$63,0),INDEX($J$13:$M$30,MATCH($B830,$J$13:$J$30,0),M$12))</f>
        <v/>
      </c>
      <c r="F830" s="73"/>
      <c r="I830" s="64"/>
      <c r="J830" s="64"/>
    </row>
    <row r="831" spans="1:10" ht="21" customHeight="1">
      <c r="A831" s="72" t="s">
        <v>199</v>
      </c>
      <c r="B831" s="73" t="s">
        <v>33</v>
      </c>
      <c r="C831" s="74" t="str">
        <f>INDEX('TH CANAM'!$A$9:$BF$63,MATCH(PDNam!$F856,'TH CANAM'!$A$9:$A$63,0),INDEX($J$13:$M$30,MATCH($B831,$J$13:$J$30,0),K$12))</f>
        <v/>
      </c>
      <c r="D831" s="74" t="str">
        <f>INDEX('TH CANAM'!$A$9:$BF$63,MATCH(PDNam!$F856,'TH CANAM'!$A$9:$A$63,0),INDEX($J$13:$M$30,MATCH($B831,$J$13:$J$30,0),L$12))</f>
        <v/>
      </c>
      <c r="E831" s="74" t="str">
        <f>INDEX('TH CANAM'!$A$9:$BF$63,MATCH(PDNam!$F856,'TH CANAM'!$A$9:$A$63,0),INDEX($J$13:$M$30,MATCH($B831,$J$13:$J$30,0),M$12))</f>
        <v/>
      </c>
      <c r="F831" s="73"/>
      <c r="I831" s="64"/>
      <c r="J831" s="64"/>
    </row>
    <row r="832" spans="1:10" ht="21" customHeight="1">
      <c r="A832" s="72" t="s">
        <v>200</v>
      </c>
      <c r="B832" s="73" t="s">
        <v>60</v>
      </c>
      <c r="C832" s="74" t="str">
        <f>INDEX('TH CANAM'!$A$9:$BF$63,MATCH(PDNam!$F856,'TH CANAM'!$A$9:$A$63,0),INDEX($J$13:$M$30,MATCH($B832,$J$13:$J$30,0),K$12))</f>
        <v/>
      </c>
      <c r="D832" s="74" t="str">
        <f>INDEX('TH CANAM'!$A$9:$BF$63,MATCH(PDNam!$F856,'TH CANAM'!$A$9:$A$63,0),INDEX($J$13:$M$30,MATCH($B832,$J$13:$J$30,0),L$12))</f>
        <v/>
      </c>
      <c r="E832" s="74" t="str">
        <f>INDEX('TH CANAM'!$A$9:$BF$63,MATCH(PDNam!$F856,'TH CANAM'!$A$9:$A$63,0),INDEX($J$13:$M$30,MATCH($B832,$J$13:$J$30,0),M$12))</f>
        <v/>
      </c>
      <c r="F832" s="73"/>
      <c r="I832" s="64"/>
      <c r="J832" s="64"/>
    </row>
    <row r="833" spans="1:10" ht="21" customHeight="1">
      <c r="A833" s="72" t="s">
        <v>201</v>
      </c>
      <c r="B833" s="73" t="s">
        <v>34</v>
      </c>
      <c r="C833" s="74" t="str">
        <f>INDEX('TH CANAM'!$A$9:$BF$63,MATCH(PDNam!$F856,'TH CANAM'!$A$9:$A$63,0),INDEX($J$13:$M$30,MATCH($B833,$J$13:$J$30,0),K$12))</f>
        <v/>
      </c>
      <c r="D833" s="74" t="str">
        <f>INDEX('TH CANAM'!$A$9:$BF$63,MATCH(PDNam!$F856,'TH CANAM'!$A$9:$A$63,0),INDEX($J$13:$M$30,MATCH($B833,$J$13:$J$30,0),L$12))</f>
        <v/>
      </c>
      <c r="E833" s="74" t="str">
        <f>INDEX('TH CANAM'!$A$9:$BF$63,MATCH(PDNam!$F856,'TH CANAM'!$A$9:$A$63,0),INDEX($J$13:$M$30,MATCH($B833,$J$13:$J$30,0),M$12))</f>
        <v/>
      </c>
      <c r="F833" s="73"/>
      <c r="I833" s="64"/>
      <c r="J833" s="64"/>
    </row>
    <row r="834" spans="1:10" ht="21" customHeight="1">
      <c r="A834" s="72" t="s">
        <v>202</v>
      </c>
      <c r="B834" s="73" t="s">
        <v>35</v>
      </c>
      <c r="C834" s="74" t="str">
        <f>INDEX('TH CANAM'!$A$9:$BF$63,MATCH(PDNam!$F856,'TH CANAM'!$A$9:$A$63,0),INDEX($J$13:$M$30,MATCH($B834,$J$13:$J$30,0),K$12))</f>
        <v/>
      </c>
      <c r="D834" s="74" t="str">
        <f>INDEX('TH CANAM'!$A$9:$BF$63,MATCH(PDNam!$F856,'TH CANAM'!$A$9:$A$63,0),INDEX($J$13:$M$30,MATCH($B834,$J$13:$J$30,0),L$12))</f>
        <v/>
      </c>
      <c r="E834" s="74" t="str">
        <f>INDEX('TH CANAM'!$A$9:$BF$63,MATCH(PDNam!$F856,'TH CANAM'!$A$9:$A$63,0),INDEX($J$13:$M$30,MATCH($B834,$J$13:$J$30,0),M$12))</f>
        <v/>
      </c>
      <c r="F834" s="73"/>
      <c r="I834" s="64"/>
      <c r="J834" s="64"/>
    </row>
    <row r="835" spans="1:10" ht="21" customHeight="1">
      <c r="A835" s="72" t="s">
        <v>203</v>
      </c>
      <c r="B835" s="73" t="s">
        <v>121</v>
      </c>
      <c r="C835" s="74" t="str">
        <f>INDEX('TH CANAM'!$A$9:$BF$63,MATCH(PDNam!$F856,'TH CANAM'!$A$9:$A$63,0),INDEX($J$13:$M$30,MATCH($B835,$J$13:$J$30,0),K$12))</f>
        <v/>
      </c>
      <c r="D835" s="74" t="str">
        <f>INDEX('TH CANAM'!$A$9:$BF$63,MATCH(PDNam!$F856,'TH CANAM'!$A$9:$A$63,0),INDEX($J$13:$M$30,MATCH($B835,$J$13:$J$30,0),L$12))</f>
        <v/>
      </c>
      <c r="E835" s="74" t="str">
        <f>INDEX('TH CANAM'!$A$9:$BF$63,MATCH(PDNam!$F856,'TH CANAM'!$A$9:$A$63,0),INDEX($J$13:$M$30,MATCH($B835,$J$13:$J$30,0),M$12))</f>
        <v/>
      </c>
      <c r="F835" s="73"/>
      <c r="I835" s="64"/>
      <c r="J835" s="64"/>
    </row>
    <row r="836" spans="1:10" ht="21" customHeight="1">
      <c r="A836" s="72" t="s">
        <v>204</v>
      </c>
      <c r="B836" s="73" t="s">
        <v>122</v>
      </c>
      <c r="C836" s="74" t="str">
        <f>INDEX('TH CANAM'!$A$9:$BF$63,MATCH(PDNam!$F856,'TH CANAM'!$A$9:$A$63,0),INDEX($J$13:$M$30,MATCH($B836,$J$13:$J$30,0),K$12))</f>
        <v/>
      </c>
      <c r="D836" s="74" t="str">
        <f>INDEX('TH CANAM'!$A$9:$BF$63,MATCH(PDNam!$F856,'TH CANAM'!$A$9:$A$63,0),INDEX($J$13:$M$30,MATCH($B836,$J$13:$J$30,0),L$12))</f>
        <v/>
      </c>
      <c r="E836" s="74" t="str">
        <f>INDEX('TH CANAM'!$A$9:$BF$63,MATCH(PDNam!$F856,'TH CANAM'!$A$9:$A$63,0),INDEX($J$13:$M$30,MATCH($B836,$J$13:$J$30,0),M$12))</f>
        <v/>
      </c>
      <c r="F836" s="73"/>
      <c r="I836" s="64"/>
      <c r="J836" s="64"/>
    </row>
    <row r="837" spans="1:10" ht="21" customHeight="1">
      <c r="A837" s="72" t="s">
        <v>208</v>
      </c>
      <c r="B837" s="73" t="s">
        <v>205</v>
      </c>
      <c r="C837" s="78">
        <f>INDEX('TH CANAM'!$A$9:$BF$63,MATCH(PDNam!$F856,'TH CANAM'!$A$9:$A$63,0),46)</f>
        <v>9.5</v>
      </c>
      <c r="D837" s="78" t="str">
        <f>INDEX('TH CANAM'!$A$9:$BF$63,MATCH(PDNam!$F856,'TH CANAM'!$A$9:$A$63,0),47)</f>
        <v/>
      </c>
      <c r="E837" s="78" t="str">
        <f>INDEX('TH CANAM'!$A$9:$BF$63,MATCH(PDNam!$F856,'TH CANAM'!$A$9:$A$63,0),48)</f>
        <v/>
      </c>
      <c r="F837" s="73"/>
      <c r="I837" s="64"/>
      <c r="J837" s="64"/>
    </row>
    <row r="838" spans="1:10" ht="21" customHeight="1">
      <c r="A838" s="72" t="s">
        <v>209</v>
      </c>
      <c r="B838" s="72" t="s">
        <v>206</v>
      </c>
      <c r="C838" s="74" t="str">
        <f>IF(INDEX('TH CANAM'!$A$9:$BF$63,MATCH(PDNam!$F856,'TH CANAM'!$A$9:$A$63,0),49)="Tb","Trung bình",INDEX('TH CANAM'!$A$9:$BF$63,MATCH(PDNam!$F856,'TH CANAM'!$A$9:$A$63,0),49))</f>
        <v>Giỏi</v>
      </c>
      <c r="D838" s="74" t="str">
        <f>IF(INDEX('TH CANAM'!$A$9:$BF$63,MATCH(PDNam!$F856,'TH CANAM'!$A$9:$A$63,0),50)="Tb","Trung bình",INDEX('TH CANAM'!$A$9:$BF$63,MATCH(PDNam!$F856,'TH CANAM'!$A$9:$A$63,0),50))</f>
        <v/>
      </c>
      <c r="E838" s="74" t="str">
        <f>IF(INDEX('TH CANAM'!$A$9:$BF$63,MATCH(PDNam!$F856,'TH CANAM'!$A$9:$A$63,0),51)="Tb","Trung bình",INDEX('TH CANAM'!$A$9:$BF$63,MATCH(PDNam!$F856,'TH CANAM'!$A$9:$A$63,0),51))</f>
        <v/>
      </c>
      <c r="F838" s="73"/>
    </row>
    <row r="839" spans="1:10" ht="21" customHeight="1">
      <c r="A839" s="72" t="s">
        <v>210</v>
      </c>
      <c r="B839" s="72" t="s">
        <v>207</v>
      </c>
      <c r="C839" s="74" t="str">
        <f>INDEX('TH CANAM'!$A$9:$BF$63,MATCH(PDNam!$F856,'TH CANAM'!$A$9:$A$63,0),52)</f>
        <v>Tốt</v>
      </c>
      <c r="D839" s="74" t="str">
        <f>INDEX('TH CANAM'!$A$9:$BF$63,MATCH(PDNam!$F856,'TH CANAM'!$A$9:$A$63,0),53)</f>
        <v/>
      </c>
      <c r="E839" s="74" t="str">
        <f>INDEX('TH CANAM'!$A$9:$BF$63,MATCH(PDNam!$F856,'TH CANAM'!$A$9:$A$63,0),54)</f>
        <v/>
      </c>
      <c r="F839" s="73"/>
    </row>
    <row r="840" spans="1:10" ht="21" customHeight="1">
      <c r="A840" s="72" t="s">
        <v>211</v>
      </c>
      <c r="B840" s="72" t="s">
        <v>25</v>
      </c>
      <c r="C840" s="74" t="str">
        <f>IF(INDEX('TH CANAM'!$A$9:$BF$63,MATCH(PDNam!$F856,'TH CANAM'!$A$9:$A$63,0),57)&lt;&gt;"",INDEX('TH CANAM'!$A$9:$BF$63,MATCH(PDNam!$F856,'TH CANAM'!$A$9:$A$63,0),57),"/")</f>
        <v>HSG</v>
      </c>
      <c r="D840" s="74" t="str">
        <f>IF(INDEX('TH CANAM'!$A$9:$BF$63,MATCH(PDNam!$F856,'TH CANAM'!$A$9:$A$63,0),58)&lt;&gt;"",INDEX('TH CANAM'!$A$9:$BF$63,MATCH(PDNam!$F856,'TH CANAM'!$A$9:$A$63,0),58),"/")</f>
        <v>/</v>
      </c>
      <c r="E840" s="74" t="str">
        <f>IF(INDEX('TH CANAM'!$A$9:$BF$63,MATCH(PDNam!$F856,'TH CANAM'!$A$9:$A$63,0),55)&lt;&gt;"",INDEX('TH CANAM'!$A$9:$BF$63,MATCH(PDNam!$F856,'TH CANAM'!$A$9:$A$63,0),55),"/")</f>
        <v>/</v>
      </c>
      <c r="F840" s="73"/>
    </row>
    <row r="841" spans="1:10" s="60" customFormat="1" ht="9" customHeight="1">
      <c r="A841" s="67"/>
      <c r="B841" s="67"/>
      <c r="C841" s="1132"/>
      <c r="D841" s="1132"/>
      <c r="E841" s="67"/>
      <c r="F841" s="67"/>
    </row>
    <row r="842" spans="1:10" s="60" customFormat="1" ht="18.75" customHeight="1">
      <c r="A842" s="58" t="s">
        <v>219</v>
      </c>
      <c r="B842" s="57"/>
      <c r="C842" s="57"/>
      <c r="D842" s="57"/>
      <c r="E842" s="57"/>
      <c r="F842" s="475"/>
    </row>
    <row r="843" spans="1:10" s="60" customFormat="1" ht="18.75" customHeight="1">
      <c r="A843" s="59" t="str">
        <f>IF(F856&lt;&gt;"",IF(INDEX(BDHK2,MATCH(F856,DiemHKII!$B$4:$B$58,0),137)&lt;&gt;""," - "&amp;INDEX(BDHK2,MATCH(F856,DiemHKII!$B$4:$B$58,0),137),""),"")</f>
        <v/>
      </c>
      <c r="B843" s="57"/>
      <c r="C843" s="57"/>
      <c r="D843" s="57"/>
      <c r="E843" s="57"/>
      <c r="F843" s="475"/>
    </row>
    <row r="844" spans="1:10" s="60" customFormat="1" ht="18.75" customHeight="1">
      <c r="A844" s="59" t="str">
        <f>IF(F856&lt;&gt;"",IF(INDEX(BDHK2,MATCH(F856,DiemHKII!$B$4:$B$58,0),138)&lt;&gt;""," - "&amp;INDEX(BDHK2,MATCH(F856,DiemHKII!$B$4:$B$58,0),138),""),"")</f>
        <v/>
      </c>
      <c r="B844" s="57"/>
      <c r="C844" s="57"/>
      <c r="D844" s="57"/>
      <c r="E844" s="57"/>
      <c r="F844" s="475"/>
    </row>
    <row r="845" spans="1:10" s="60" customFormat="1" ht="18.75" customHeight="1">
      <c r="A845" s="59" t="str">
        <f>IF(F856&lt;&gt;"",IF(INDEX(BDHK2,MATCH(F856,DiemHKII!$B$4:$B$58,0),139)&lt;&gt;""," - "&amp;INDEX(BDHK2,MATCH(F856,DiemHKII!$B$4:$B$58,0),139),""),"")</f>
        <v/>
      </c>
      <c r="B845" s="57"/>
      <c r="C845" s="57"/>
      <c r="D845" s="57"/>
      <c r="E845" s="57"/>
      <c r="F845" s="475"/>
    </row>
    <row r="846" spans="1:10" s="60" customFormat="1" ht="18.75" customHeight="1">
      <c r="A846" s="59" t="str">
        <f>IF(F856&lt;&gt;"",IF(INDEX(BDHK2,MATCH(F856,DiemHKII!$B$4:$B$58,0),140)&lt;&gt;""," - "&amp;INDEX(BDHK2,MATCH(F856,DiemHKII!$B$4:$B$58,0),140),""),"")</f>
        <v/>
      </c>
      <c r="B846" s="57"/>
      <c r="C846" s="57"/>
      <c r="D846" s="57"/>
      <c r="E846" s="57"/>
      <c r="F846" s="67"/>
    </row>
    <row r="847" spans="1:10" ht="6" customHeight="1">
      <c r="A847" s="68"/>
      <c r="B847" s="68"/>
      <c r="C847" s="68"/>
      <c r="D847" s="68"/>
      <c r="E847" s="68"/>
      <c r="F847" s="68"/>
    </row>
    <row r="848" spans="1:10">
      <c r="A848" s="68"/>
      <c r="B848" s="68"/>
      <c r="C84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848" s="1060"/>
      <c r="E848" s="1060"/>
      <c r="F848" s="1060"/>
    </row>
    <row r="849" spans="1:10" ht="20.25" customHeight="1">
      <c r="A849" s="1012" t="str">
        <f>IF($D$39="Hiệu trưởng","Giáo viên Quản nhiệm","")</f>
        <v>Giáo viên Quản nhiệm</v>
      </c>
      <c r="B849" s="1012"/>
      <c r="C849" s="61"/>
      <c r="D849" s="1012" t="str">
        <f>IF($H$7="","",$H$7)</f>
        <v>Hiệu trưởng</v>
      </c>
      <c r="E849" s="1012"/>
      <c r="F849" s="61"/>
    </row>
    <row r="850" spans="1:10">
      <c r="A850" s="68"/>
      <c r="B850" s="68"/>
      <c r="C850" s="68"/>
      <c r="D850" s="68"/>
      <c r="E850" s="68"/>
      <c r="F850" s="68"/>
    </row>
    <row r="851" spans="1:10">
      <c r="A851" s="68"/>
      <c r="B851" s="68"/>
      <c r="C851" s="68"/>
      <c r="D851" s="68"/>
      <c r="E851" s="68"/>
      <c r="F851" s="68"/>
    </row>
    <row r="852" spans="1:10" ht="16.8">
      <c r="A852" s="68"/>
      <c r="B852" s="68"/>
      <c r="C852" s="64"/>
      <c r="D852" s="64"/>
      <c r="E852" s="64"/>
      <c r="F852" s="64"/>
      <c r="G852" s="65"/>
      <c r="H852" s="65"/>
      <c r="I852" s="65"/>
      <c r="J852" s="65"/>
    </row>
    <row r="854" spans="1:10">
      <c r="A854" s="1012" t="str">
        <f>IF($A$39="","",PROPER('Huong dan'!$C$4))</f>
        <v/>
      </c>
      <c r="B854" s="1012"/>
      <c r="D854" s="1130" t="str">
        <f>IFERROR(IF($D$39="Giáo Viên Quản nhiệm",PROPER('Huong dan'!$C$4),IF($D$39="Hiệu trưởng",PROPER('Huong dan'!$E$5),"")),"")</f>
        <v/>
      </c>
      <c r="E854" s="1130"/>
    </row>
    <row r="855" spans="1:10" ht="7.5" customHeight="1"/>
    <row r="856" spans="1:10" ht="11.25" customHeight="1">
      <c r="A856" s="75"/>
      <c r="B856" s="75"/>
      <c r="C856" s="75"/>
      <c r="D856" s="75"/>
      <c r="E856" s="75"/>
      <c r="F856" s="76">
        <f>IF(F811="","",IF(F811&lt;MAX(DiemHKII!$B$4:$B$58),F811+1,""))</f>
        <v>19</v>
      </c>
    </row>
    <row r="857" spans="1:10" s="60" customFormat="1" ht="22.5" customHeight="1">
      <c r="A857" s="1128" t="str">
        <f>IF('Huong dan'!$E$3&lt;&gt;"","SỞ GIÁO DỤC VÀ ĐÀO TẠO "&amp;UPPER('Huong dan'!$E$3),"")</f>
        <v>SỞ GIÁO DỤC VÀ ĐÀO TẠO TP. HỒ CHÍ MINH</v>
      </c>
      <c r="B857" s="1128"/>
      <c r="C857" s="1128"/>
      <c r="D857" s="1129" t="s">
        <v>19</v>
      </c>
      <c r="E857" s="1129"/>
      <c r="F857" s="1129"/>
    </row>
    <row r="858" spans="1:10" ht="17.25" customHeight="1">
      <c r="A858" s="992" t="str">
        <f>IF('Huong dan'!$E$4&lt;&gt;"","TRƯỜNG "&amp;UPPER('Huong dan'!$E$4),"")</f>
        <v>TRƯỜNG THCS VÀ THPT NGUYỄN KHUYẾN</v>
      </c>
      <c r="B858" s="992"/>
      <c r="C858" s="992"/>
      <c r="D858" s="1130" t="s">
        <v>179</v>
      </c>
      <c r="E858" s="1130"/>
      <c r="F858" s="1130"/>
    </row>
    <row r="859" spans="1:10" ht="12" customHeight="1">
      <c r="A859" s="69"/>
      <c r="B859" s="69"/>
      <c r="C859" s="30"/>
      <c r="D859" s="30"/>
      <c r="E859" s="30"/>
      <c r="F859" s="30"/>
    </row>
    <row r="860" spans="1:10" ht="18" customHeight="1">
      <c r="A860" s="69"/>
      <c r="B860" s="69"/>
      <c r="C860" s="30"/>
      <c r="D860" s="30"/>
      <c r="E860" s="30"/>
      <c r="F860" s="30"/>
    </row>
    <row r="861" spans="1:10" ht="29.25" customHeight="1">
      <c r="A861" s="1013" t="str">
        <f>"PHIẾU ĐIỂM NĂM HỌC "&amp;'Huong dan'!$C$5</f>
        <v>PHIẾU ĐIỂM NĂM HỌC 2021 - 2022</v>
      </c>
      <c r="B861" s="1013"/>
      <c r="C861" s="1013"/>
      <c r="D861" s="1013"/>
      <c r="E861" s="1013"/>
      <c r="F861" s="1013"/>
    </row>
    <row r="862" spans="1:10" ht="12.75" customHeight="1">
      <c r="A862" s="70"/>
      <c r="B862" s="66"/>
      <c r="C862" s="66"/>
      <c r="D862" s="66"/>
      <c r="E862" s="66"/>
      <c r="F862" s="66"/>
    </row>
    <row r="863" spans="1:10" ht="20.25" customHeight="1">
      <c r="A863" s="1131" t="s">
        <v>212</v>
      </c>
      <c r="B863" s="1131"/>
      <c r="C863" s="77" t="str">
        <f>IF(F901="","",INDEX(DiemHKII!$E$4:$E$58,MATCH(F901,DiemHKII!$B$4:$B$58,0),1)&amp;" "&amp;INDEX(DiemHKII!$F$4:$F$58,MATCH(F901,DiemHKII!$B$4:$B$58,0),1))</f>
        <v>Nguyễn Phúc Lâm</v>
      </c>
      <c r="D863" s="77"/>
      <c r="E863" s="77"/>
      <c r="F863" s="71" t="str">
        <f>IF('Huong dan'!$C$3="","","Lớp: "&amp;'Huong dan'!$C$3)</f>
        <v>Lớp: 12A1</v>
      </c>
    </row>
    <row r="864" spans="1:10" ht="24" customHeight="1">
      <c r="A864" s="1131" t="s">
        <v>213</v>
      </c>
      <c r="B864" s="1131"/>
      <c r="C864" s="77" t="str">
        <f>IF(F901="","",INDEX(DiemHKII!$G$4:$G$58,MATCH(F901,DiemHKII!$B$4:$B$58,0),1))</f>
        <v>02/04/2004</v>
      </c>
      <c r="D864" s="77"/>
      <c r="E864" s="1133" t="str">
        <f>IF(F901="","","Nơi sinh: "&amp;INDEX(DiemHKII!$H$4:$H$58,MATCH(F901,DiemHKII!$B$4:$B$58,0),1))</f>
        <v xml:space="preserve">Nơi sinh: </v>
      </c>
      <c r="F864" s="1133"/>
    </row>
    <row r="865" spans="1:10" ht="15" customHeight="1">
      <c r="A865" s="62"/>
      <c r="B865" s="62"/>
      <c r="C865" s="62"/>
      <c r="D865" s="62"/>
      <c r="E865" s="62"/>
      <c r="F865" s="63"/>
    </row>
    <row r="866" spans="1:10" ht="21" customHeight="1">
      <c r="A866" s="1134" t="s">
        <v>0</v>
      </c>
      <c r="B866" s="1134" t="s">
        <v>72</v>
      </c>
      <c r="C866" s="1134" t="s">
        <v>216</v>
      </c>
      <c r="D866" s="1134"/>
      <c r="E866" s="1134"/>
      <c r="F866" s="1134" t="s">
        <v>148</v>
      </c>
    </row>
    <row r="867" spans="1:10" ht="21" customHeight="1">
      <c r="A867" s="1134"/>
      <c r="B867" s="1134"/>
      <c r="C867" s="476" t="s">
        <v>188</v>
      </c>
      <c r="D867" s="476" t="s">
        <v>189</v>
      </c>
      <c r="E867" s="476" t="s">
        <v>190</v>
      </c>
      <c r="F867" s="1134"/>
    </row>
    <row r="868" spans="1:10" ht="21" customHeight="1">
      <c r="A868" s="72" t="s">
        <v>191</v>
      </c>
      <c r="B868" s="73" t="s">
        <v>26</v>
      </c>
      <c r="C868" s="74" t="str">
        <f>INDEX('TH CANAM'!$A$9:$BF$63,MATCH(PDNam!$F901,'TH CANAM'!$A$9:$A$63,0),INDEX($J$13:$M$30,MATCH($B868,$J$13:$J$30,0),K$12))</f>
        <v/>
      </c>
      <c r="D868" s="74" t="str">
        <f>INDEX('TH CANAM'!$A$9:$BF$63,MATCH(PDNam!$F901,'TH CANAM'!$A$9:$A$63,0),INDEX($J$13:$M$30,MATCH($B868,$J$13:$J$30,0),L$12))</f>
        <v/>
      </c>
      <c r="E868" s="74" t="str">
        <f>INDEX('TH CANAM'!$A$9:$BF$63,MATCH(PDNam!$F901,'TH CANAM'!$A$9:$A$63,0),INDEX($J$13:$M$30,MATCH($B868,$J$13:$J$30,0),M$12))</f>
        <v/>
      </c>
      <c r="F868" s="73"/>
      <c r="I868" s="64"/>
      <c r="J868" s="64"/>
    </row>
    <row r="869" spans="1:10" ht="21" customHeight="1">
      <c r="A869" s="72" t="s">
        <v>192</v>
      </c>
      <c r="B869" s="73" t="s">
        <v>27</v>
      </c>
      <c r="C869" s="74" t="str">
        <f>INDEX('TH CANAM'!$A$9:$BF$63,MATCH(PDNam!$F901,'TH CANAM'!$A$9:$A$63,0),INDEX($J$13:$M$30,MATCH($B869,$J$13:$J$30,0),K$12))</f>
        <v/>
      </c>
      <c r="D869" s="74" t="str">
        <f>INDEX('TH CANAM'!$A$9:$BF$63,MATCH(PDNam!$F901,'TH CANAM'!$A$9:$A$63,0),INDEX($J$13:$M$30,MATCH($B869,$J$13:$J$30,0),L$12))</f>
        <v/>
      </c>
      <c r="E869" s="74" t="str">
        <f>INDEX('TH CANAM'!$A$9:$BF$63,MATCH(PDNam!$F901,'TH CANAM'!$A$9:$A$63,0),INDEX($J$13:$M$30,MATCH($B869,$J$13:$J$30,0),M$12))</f>
        <v/>
      </c>
      <c r="F869" s="73"/>
      <c r="I869" s="64"/>
      <c r="J869" s="64"/>
    </row>
    <row r="870" spans="1:10" ht="21" customHeight="1">
      <c r="A870" s="72" t="s">
        <v>193</v>
      </c>
      <c r="B870" s="73" t="s">
        <v>28</v>
      </c>
      <c r="C870" s="74" t="str">
        <f>INDEX('TH CANAM'!$A$9:$BF$63,MATCH(PDNam!$F901,'TH CANAM'!$A$9:$A$63,0),INDEX($J$13:$M$30,MATCH($B870,$J$13:$J$30,0),K$12))</f>
        <v/>
      </c>
      <c r="D870" s="74" t="str">
        <f>INDEX('TH CANAM'!$A$9:$BF$63,MATCH(PDNam!$F901,'TH CANAM'!$A$9:$A$63,0),INDEX($J$13:$M$30,MATCH($B870,$J$13:$J$30,0),L$12))</f>
        <v/>
      </c>
      <c r="E870" s="74" t="str">
        <f>INDEX('TH CANAM'!$A$9:$BF$63,MATCH(PDNam!$F901,'TH CANAM'!$A$9:$A$63,0),INDEX($J$13:$M$30,MATCH($B870,$J$13:$J$30,0),M$12))</f>
        <v/>
      </c>
      <c r="F870" s="73"/>
      <c r="I870" s="64"/>
      <c r="J870" s="64"/>
    </row>
    <row r="871" spans="1:10" ht="21" customHeight="1">
      <c r="A871" s="72" t="s">
        <v>194</v>
      </c>
      <c r="B871" s="73" t="s">
        <v>29</v>
      </c>
      <c r="C871" s="74" t="str">
        <f>INDEX('TH CANAM'!$A$9:$BF$63,MATCH(PDNam!$F901,'TH CANAM'!$A$9:$A$63,0),INDEX($J$13:$M$30,MATCH($B871,$J$13:$J$30,0),K$12))</f>
        <v/>
      </c>
      <c r="D871" s="74" t="str">
        <f>INDEX('TH CANAM'!$A$9:$BF$63,MATCH(PDNam!$F901,'TH CANAM'!$A$9:$A$63,0),INDEX($J$13:$M$30,MATCH($B871,$J$13:$J$30,0),L$12))</f>
        <v/>
      </c>
      <c r="E871" s="74" t="str">
        <f>INDEX('TH CANAM'!$A$9:$BF$63,MATCH(PDNam!$F901,'TH CANAM'!$A$9:$A$63,0),INDEX($J$13:$M$30,MATCH($B871,$J$13:$J$30,0),M$12))</f>
        <v/>
      </c>
      <c r="F871" s="73"/>
      <c r="I871" s="64"/>
      <c r="J871" s="64"/>
    </row>
    <row r="872" spans="1:10" ht="21" customHeight="1">
      <c r="A872" s="72" t="s">
        <v>195</v>
      </c>
      <c r="B872" s="73" t="s">
        <v>120</v>
      </c>
      <c r="C872" s="74" t="str">
        <f>INDEX('TH CANAM'!$A$9:$BF$63,MATCH(PDNam!$F901,'TH CANAM'!$A$9:$A$63,0),INDEX($J$13:$M$30,MATCH($B872,$J$13:$J$30,0),K$12))</f>
        <v/>
      </c>
      <c r="D872" s="74" t="str">
        <f>INDEX('TH CANAM'!$A$9:$BF$63,MATCH(PDNam!$F901,'TH CANAM'!$A$9:$A$63,0),INDEX($J$13:$M$30,MATCH($B872,$J$13:$J$30,0),L$12))</f>
        <v/>
      </c>
      <c r="E872" s="74" t="str">
        <f>INDEX('TH CANAM'!$A$9:$BF$63,MATCH(PDNam!$F901,'TH CANAM'!$A$9:$A$63,0),INDEX($J$13:$M$30,MATCH($B872,$J$13:$J$30,0),M$12))</f>
        <v/>
      </c>
      <c r="F872" s="73"/>
      <c r="I872" s="64"/>
      <c r="J872" s="64"/>
    </row>
    <row r="873" spans="1:10" ht="21" customHeight="1">
      <c r="A873" s="72" t="s">
        <v>196</v>
      </c>
      <c r="B873" s="73" t="s">
        <v>30</v>
      </c>
      <c r="C873" s="74" t="str">
        <f>INDEX('TH CANAM'!$A$9:$BF$63,MATCH(PDNam!$F901,'TH CANAM'!$A$9:$A$63,0),INDEX($J$13:$M$30,MATCH($B873,$J$13:$J$30,0),K$12))</f>
        <v/>
      </c>
      <c r="D873" s="74" t="str">
        <f>INDEX('TH CANAM'!$A$9:$BF$63,MATCH(PDNam!$F901,'TH CANAM'!$A$9:$A$63,0),INDEX($J$13:$M$30,MATCH($B873,$J$13:$J$30,0),L$12))</f>
        <v/>
      </c>
      <c r="E873" s="74" t="str">
        <f>INDEX('TH CANAM'!$A$9:$BF$63,MATCH(PDNam!$F901,'TH CANAM'!$A$9:$A$63,0),INDEX($J$13:$M$30,MATCH($B873,$J$13:$J$30,0),M$12))</f>
        <v/>
      </c>
      <c r="F873" s="73"/>
      <c r="I873" s="64"/>
      <c r="J873" s="64"/>
    </row>
    <row r="874" spans="1:10" ht="21" customHeight="1">
      <c r="A874" s="72" t="s">
        <v>197</v>
      </c>
      <c r="B874" s="73" t="s">
        <v>31</v>
      </c>
      <c r="C874" s="74" t="str">
        <f>INDEX('TH CANAM'!$A$9:$BF$63,MATCH(PDNam!$F901,'TH CANAM'!$A$9:$A$63,0),INDEX($J$13:$M$30,MATCH($B874,$J$13:$J$30,0),K$12))</f>
        <v/>
      </c>
      <c r="D874" s="74" t="str">
        <f>INDEX('TH CANAM'!$A$9:$BF$63,MATCH(PDNam!$F901,'TH CANAM'!$A$9:$A$63,0),INDEX($J$13:$M$30,MATCH($B874,$J$13:$J$30,0),L$12))</f>
        <v/>
      </c>
      <c r="E874" s="74" t="str">
        <f>INDEX('TH CANAM'!$A$9:$BF$63,MATCH(PDNam!$F901,'TH CANAM'!$A$9:$A$63,0),INDEX($J$13:$M$30,MATCH($B874,$J$13:$J$30,0),M$12))</f>
        <v/>
      </c>
      <c r="F874" s="73"/>
      <c r="I874" s="64"/>
      <c r="J874" s="64"/>
    </row>
    <row r="875" spans="1:10" ht="21" customHeight="1">
      <c r="A875" s="72" t="s">
        <v>198</v>
      </c>
      <c r="B875" s="73" t="s">
        <v>32</v>
      </c>
      <c r="C875" s="74" t="str">
        <f>INDEX('TH CANAM'!$A$9:$BF$63,MATCH(PDNam!$F901,'TH CANAM'!$A$9:$A$63,0),INDEX($J$13:$M$30,MATCH($B875,$J$13:$J$30,0),K$12))</f>
        <v/>
      </c>
      <c r="D875" s="74" t="str">
        <f>INDEX('TH CANAM'!$A$9:$BF$63,MATCH(PDNam!$F901,'TH CANAM'!$A$9:$A$63,0),INDEX($J$13:$M$30,MATCH($B875,$J$13:$J$30,0),L$12))</f>
        <v/>
      </c>
      <c r="E875" s="74" t="str">
        <f>INDEX('TH CANAM'!$A$9:$BF$63,MATCH(PDNam!$F901,'TH CANAM'!$A$9:$A$63,0),INDEX($J$13:$M$30,MATCH($B875,$J$13:$J$30,0),M$12))</f>
        <v/>
      </c>
      <c r="F875" s="73"/>
      <c r="I875" s="64"/>
      <c r="J875" s="64"/>
    </row>
    <row r="876" spans="1:10" ht="21" customHeight="1">
      <c r="A876" s="72" t="s">
        <v>199</v>
      </c>
      <c r="B876" s="73" t="s">
        <v>33</v>
      </c>
      <c r="C876" s="74" t="str">
        <f>INDEX('TH CANAM'!$A$9:$BF$63,MATCH(PDNam!$F901,'TH CANAM'!$A$9:$A$63,0),INDEX($J$13:$M$30,MATCH($B876,$J$13:$J$30,0),K$12))</f>
        <v/>
      </c>
      <c r="D876" s="74" t="str">
        <f>INDEX('TH CANAM'!$A$9:$BF$63,MATCH(PDNam!$F901,'TH CANAM'!$A$9:$A$63,0),INDEX($J$13:$M$30,MATCH($B876,$J$13:$J$30,0),L$12))</f>
        <v/>
      </c>
      <c r="E876" s="74" t="str">
        <f>INDEX('TH CANAM'!$A$9:$BF$63,MATCH(PDNam!$F901,'TH CANAM'!$A$9:$A$63,0),INDEX($J$13:$M$30,MATCH($B876,$J$13:$J$30,0),M$12))</f>
        <v/>
      </c>
      <c r="F876" s="73"/>
      <c r="I876" s="64"/>
      <c r="J876" s="64"/>
    </row>
    <row r="877" spans="1:10" ht="21" customHeight="1">
      <c r="A877" s="72" t="s">
        <v>200</v>
      </c>
      <c r="B877" s="73" t="s">
        <v>60</v>
      </c>
      <c r="C877" s="74" t="str">
        <f>INDEX('TH CANAM'!$A$9:$BF$63,MATCH(PDNam!$F901,'TH CANAM'!$A$9:$A$63,0),INDEX($J$13:$M$30,MATCH($B877,$J$13:$J$30,0),K$12))</f>
        <v/>
      </c>
      <c r="D877" s="74" t="str">
        <f>INDEX('TH CANAM'!$A$9:$BF$63,MATCH(PDNam!$F901,'TH CANAM'!$A$9:$A$63,0),INDEX($J$13:$M$30,MATCH($B877,$J$13:$J$30,0),L$12))</f>
        <v/>
      </c>
      <c r="E877" s="74" t="str">
        <f>INDEX('TH CANAM'!$A$9:$BF$63,MATCH(PDNam!$F901,'TH CANAM'!$A$9:$A$63,0),INDEX($J$13:$M$30,MATCH($B877,$J$13:$J$30,0),M$12))</f>
        <v/>
      </c>
      <c r="F877" s="73"/>
      <c r="I877" s="64"/>
      <c r="J877" s="64"/>
    </row>
    <row r="878" spans="1:10" ht="21" customHeight="1">
      <c r="A878" s="72" t="s">
        <v>201</v>
      </c>
      <c r="B878" s="73" t="s">
        <v>34</v>
      </c>
      <c r="C878" s="74" t="str">
        <f>INDEX('TH CANAM'!$A$9:$BF$63,MATCH(PDNam!$F901,'TH CANAM'!$A$9:$A$63,0),INDEX($J$13:$M$30,MATCH($B878,$J$13:$J$30,0),K$12))</f>
        <v/>
      </c>
      <c r="D878" s="74" t="str">
        <f>INDEX('TH CANAM'!$A$9:$BF$63,MATCH(PDNam!$F901,'TH CANAM'!$A$9:$A$63,0),INDEX($J$13:$M$30,MATCH($B878,$J$13:$J$30,0),L$12))</f>
        <v/>
      </c>
      <c r="E878" s="74" t="str">
        <f>INDEX('TH CANAM'!$A$9:$BF$63,MATCH(PDNam!$F901,'TH CANAM'!$A$9:$A$63,0),INDEX($J$13:$M$30,MATCH($B878,$J$13:$J$30,0),M$12))</f>
        <v/>
      </c>
      <c r="F878" s="73"/>
      <c r="I878" s="64"/>
      <c r="J878" s="64"/>
    </row>
    <row r="879" spans="1:10" ht="21" customHeight="1">
      <c r="A879" s="72" t="s">
        <v>202</v>
      </c>
      <c r="B879" s="73" t="s">
        <v>35</v>
      </c>
      <c r="C879" s="74" t="str">
        <f>INDEX('TH CANAM'!$A$9:$BF$63,MATCH(PDNam!$F901,'TH CANAM'!$A$9:$A$63,0),INDEX($J$13:$M$30,MATCH($B879,$J$13:$J$30,0),K$12))</f>
        <v/>
      </c>
      <c r="D879" s="74" t="str">
        <f>INDEX('TH CANAM'!$A$9:$BF$63,MATCH(PDNam!$F901,'TH CANAM'!$A$9:$A$63,0),INDEX($J$13:$M$30,MATCH($B879,$J$13:$J$30,0),L$12))</f>
        <v/>
      </c>
      <c r="E879" s="74" t="str">
        <f>INDEX('TH CANAM'!$A$9:$BF$63,MATCH(PDNam!$F901,'TH CANAM'!$A$9:$A$63,0),INDEX($J$13:$M$30,MATCH($B879,$J$13:$J$30,0),M$12))</f>
        <v/>
      </c>
      <c r="F879" s="73"/>
      <c r="I879" s="64"/>
      <c r="J879" s="64"/>
    </row>
    <row r="880" spans="1:10" ht="21" customHeight="1">
      <c r="A880" s="72" t="s">
        <v>203</v>
      </c>
      <c r="B880" s="73" t="s">
        <v>121</v>
      </c>
      <c r="C880" s="74" t="str">
        <f>INDEX('TH CANAM'!$A$9:$BF$63,MATCH(PDNam!$F901,'TH CANAM'!$A$9:$A$63,0),INDEX($J$13:$M$30,MATCH($B880,$J$13:$J$30,0),K$12))</f>
        <v/>
      </c>
      <c r="D880" s="74" t="str">
        <f>INDEX('TH CANAM'!$A$9:$BF$63,MATCH(PDNam!$F901,'TH CANAM'!$A$9:$A$63,0),INDEX($J$13:$M$30,MATCH($B880,$J$13:$J$30,0),L$12))</f>
        <v/>
      </c>
      <c r="E880" s="74" t="str">
        <f>INDEX('TH CANAM'!$A$9:$BF$63,MATCH(PDNam!$F901,'TH CANAM'!$A$9:$A$63,0),INDEX($J$13:$M$30,MATCH($B880,$J$13:$J$30,0),M$12))</f>
        <v/>
      </c>
      <c r="F880" s="73"/>
      <c r="I880" s="64"/>
      <c r="J880" s="64"/>
    </row>
    <row r="881" spans="1:10" ht="21" customHeight="1">
      <c r="A881" s="72" t="s">
        <v>204</v>
      </c>
      <c r="B881" s="73" t="s">
        <v>122</v>
      </c>
      <c r="C881" s="74" t="str">
        <f>INDEX('TH CANAM'!$A$9:$BF$63,MATCH(PDNam!$F901,'TH CANAM'!$A$9:$A$63,0),INDEX($J$13:$M$30,MATCH($B881,$J$13:$J$30,0),K$12))</f>
        <v/>
      </c>
      <c r="D881" s="74" t="str">
        <f>INDEX('TH CANAM'!$A$9:$BF$63,MATCH(PDNam!$F901,'TH CANAM'!$A$9:$A$63,0),INDEX($J$13:$M$30,MATCH($B881,$J$13:$J$30,0),L$12))</f>
        <v/>
      </c>
      <c r="E881" s="74" t="str">
        <f>INDEX('TH CANAM'!$A$9:$BF$63,MATCH(PDNam!$F901,'TH CANAM'!$A$9:$A$63,0),INDEX($J$13:$M$30,MATCH($B881,$J$13:$J$30,0),M$12))</f>
        <v/>
      </c>
      <c r="F881" s="73"/>
      <c r="I881" s="64"/>
      <c r="J881" s="64"/>
    </row>
    <row r="882" spans="1:10" ht="21" customHeight="1">
      <c r="A882" s="72" t="s">
        <v>208</v>
      </c>
      <c r="B882" s="73" t="s">
        <v>205</v>
      </c>
      <c r="C882" s="78">
        <f>INDEX('TH CANAM'!$A$9:$BF$63,MATCH(PDNam!$F901,'TH CANAM'!$A$9:$A$63,0),46)</f>
        <v>9</v>
      </c>
      <c r="D882" s="78" t="str">
        <f>INDEX('TH CANAM'!$A$9:$BF$63,MATCH(PDNam!$F901,'TH CANAM'!$A$9:$A$63,0),47)</f>
        <v/>
      </c>
      <c r="E882" s="78" t="str">
        <f>INDEX('TH CANAM'!$A$9:$BF$63,MATCH(PDNam!$F901,'TH CANAM'!$A$9:$A$63,0),48)</f>
        <v/>
      </c>
      <c r="F882" s="73"/>
      <c r="I882" s="64"/>
      <c r="J882" s="64"/>
    </row>
    <row r="883" spans="1:10" ht="21" customHeight="1">
      <c r="A883" s="72" t="s">
        <v>209</v>
      </c>
      <c r="B883" s="72" t="s">
        <v>206</v>
      </c>
      <c r="C883" s="74" t="str">
        <f>IF(INDEX('TH CANAM'!$A$9:$BF$63,MATCH(PDNam!$F901,'TH CANAM'!$A$9:$A$63,0),49)="Tb","Trung bình",INDEX('TH CANAM'!$A$9:$BF$63,MATCH(PDNam!$F901,'TH CANAM'!$A$9:$A$63,0),49))</f>
        <v>Giỏi</v>
      </c>
      <c r="D883" s="74" t="str">
        <f>IF(INDEX('TH CANAM'!$A$9:$BF$63,MATCH(PDNam!$F901,'TH CANAM'!$A$9:$A$63,0),50)="Tb","Trung bình",INDEX('TH CANAM'!$A$9:$BF$63,MATCH(PDNam!$F901,'TH CANAM'!$A$9:$A$63,0),50))</f>
        <v/>
      </c>
      <c r="E883" s="74" t="str">
        <f>IF(INDEX('TH CANAM'!$A$9:$BF$63,MATCH(PDNam!$F901,'TH CANAM'!$A$9:$A$63,0),51)="Tb","Trung bình",INDEX('TH CANAM'!$A$9:$BF$63,MATCH(PDNam!$F901,'TH CANAM'!$A$9:$A$63,0),51))</f>
        <v/>
      </c>
      <c r="F883" s="73"/>
    </row>
    <row r="884" spans="1:10" ht="21" customHeight="1">
      <c r="A884" s="72" t="s">
        <v>210</v>
      </c>
      <c r="B884" s="72" t="s">
        <v>207</v>
      </c>
      <c r="C884" s="74" t="str">
        <f>INDEX('TH CANAM'!$A$9:$BF$63,MATCH(PDNam!$F901,'TH CANAM'!$A$9:$A$63,0),52)</f>
        <v>Tốt</v>
      </c>
      <c r="D884" s="74" t="str">
        <f>INDEX('TH CANAM'!$A$9:$BF$63,MATCH(PDNam!$F901,'TH CANAM'!$A$9:$A$63,0),53)</f>
        <v/>
      </c>
      <c r="E884" s="74" t="str">
        <f>INDEX('TH CANAM'!$A$9:$BF$63,MATCH(PDNam!$F901,'TH CANAM'!$A$9:$A$63,0),54)</f>
        <v/>
      </c>
      <c r="F884" s="73"/>
    </row>
    <row r="885" spans="1:10" ht="21" customHeight="1">
      <c r="A885" s="72" t="s">
        <v>211</v>
      </c>
      <c r="B885" s="72" t="s">
        <v>25</v>
      </c>
      <c r="C885" s="74" t="str">
        <f>IF(INDEX('TH CANAM'!$A$9:$BF$63,MATCH(PDNam!$F901,'TH CANAM'!$A$9:$A$63,0),57)&lt;&gt;"",INDEX('TH CANAM'!$A$9:$BF$63,MATCH(PDNam!$F901,'TH CANAM'!$A$9:$A$63,0),57),"/")</f>
        <v>HSG</v>
      </c>
      <c r="D885" s="74" t="str">
        <f>IF(INDEX('TH CANAM'!$A$9:$BF$63,MATCH(PDNam!$F901,'TH CANAM'!$A$9:$A$63,0),58)&lt;&gt;"",INDEX('TH CANAM'!$A$9:$BF$63,MATCH(PDNam!$F901,'TH CANAM'!$A$9:$A$63,0),58),"/")</f>
        <v>/</v>
      </c>
      <c r="E885" s="74" t="str">
        <f>IF(INDEX('TH CANAM'!$A$9:$BF$63,MATCH(PDNam!$F901,'TH CANAM'!$A$9:$A$63,0),55)&lt;&gt;"",INDEX('TH CANAM'!$A$9:$BF$63,MATCH(PDNam!$F901,'TH CANAM'!$A$9:$A$63,0),55),"/")</f>
        <v>/</v>
      </c>
      <c r="F885" s="73"/>
    </row>
    <row r="886" spans="1:10" s="60" customFormat="1" ht="9" customHeight="1">
      <c r="A886" s="67"/>
      <c r="B886" s="67"/>
      <c r="C886" s="1132"/>
      <c r="D886" s="1132"/>
      <c r="E886" s="67"/>
      <c r="F886" s="67"/>
    </row>
    <row r="887" spans="1:10" s="60" customFormat="1" ht="18.75" customHeight="1">
      <c r="A887" s="58" t="s">
        <v>219</v>
      </c>
      <c r="B887" s="57"/>
      <c r="C887" s="57"/>
      <c r="D887" s="57"/>
      <c r="E887" s="57"/>
      <c r="F887" s="475"/>
    </row>
    <row r="888" spans="1:10" s="60" customFormat="1" ht="18.75" customHeight="1">
      <c r="A888" s="59" t="str">
        <f>IF(F901&lt;&gt;"",IF(INDEX(BDHK2,MATCH(F901,DiemHKII!$B$4:$B$58,0),137)&lt;&gt;""," - "&amp;INDEX(BDHK2,MATCH(F901,DiemHKII!$B$4:$B$58,0),137),""),"")</f>
        <v/>
      </c>
      <c r="B888" s="57"/>
      <c r="C888" s="57"/>
      <c r="D888" s="57"/>
      <c r="E888" s="57"/>
      <c r="F888" s="475"/>
    </row>
    <row r="889" spans="1:10" s="60" customFormat="1" ht="18.75" customHeight="1">
      <c r="A889" s="59" t="str">
        <f>IF(F901&lt;&gt;"",IF(INDEX(BDHK2,MATCH(F901,DiemHKII!$B$4:$B$58,0),138)&lt;&gt;""," - "&amp;INDEX(BDHK2,MATCH(F901,DiemHKII!$B$4:$B$58,0),138),""),"")</f>
        <v/>
      </c>
      <c r="B889" s="57"/>
      <c r="C889" s="57"/>
      <c r="D889" s="57"/>
      <c r="E889" s="57"/>
      <c r="F889" s="475"/>
    </row>
    <row r="890" spans="1:10" s="60" customFormat="1" ht="18.75" customHeight="1">
      <c r="A890" s="59" t="str">
        <f>IF(F901&lt;&gt;"",IF(INDEX(BDHK2,MATCH(F901,DiemHKII!$B$4:$B$58,0),139)&lt;&gt;""," - "&amp;INDEX(BDHK2,MATCH(F901,DiemHKII!$B$4:$B$58,0),139),""),"")</f>
        <v/>
      </c>
      <c r="B890" s="57"/>
      <c r="C890" s="57"/>
      <c r="D890" s="57"/>
      <c r="E890" s="57"/>
      <c r="F890" s="475"/>
    </row>
    <row r="891" spans="1:10" s="60" customFormat="1" ht="18.75" customHeight="1">
      <c r="A891" s="59" t="str">
        <f>IF(F901&lt;&gt;"",IF(INDEX(BDHK2,MATCH(F901,DiemHKII!$B$4:$B$58,0),140)&lt;&gt;""," - "&amp;INDEX(BDHK2,MATCH(F901,DiemHKII!$B$4:$B$58,0),140),""),"")</f>
        <v/>
      </c>
      <c r="B891" s="57"/>
      <c r="C891" s="57"/>
      <c r="D891" s="57"/>
      <c r="E891" s="57"/>
      <c r="F891" s="67"/>
    </row>
    <row r="892" spans="1:10" ht="6" customHeight="1">
      <c r="A892" s="68"/>
      <c r="B892" s="68"/>
      <c r="C892" s="68"/>
      <c r="D892" s="68"/>
      <c r="E892" s="68"/>
      <c r="F892" s="68"/>
    </row>
    <row r="893" spans="1:10">
      <c r="A893" s="68"/>
      <c r="B893" s="68"/>
      <c r="C89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893" s="1060"/>
      <c r="E893" s="1060"/>
      <c r="F893" s="1060"/>
    </row>
    <row r="894" spans="1:10" ht="20.25" customHeight="1">
      <c r="A894" s="1012" t="str">
        <f>IF($D$39="Hiệu trưởng","Giáo viên Quản nhiệm","")</f>
        <v>Giáo viên Quản nhiệm</v>
      </c>
      <c r="B894" s="1012"/>
      <c r="C894" s="61"/>
      <c r="D894" s="1012" t="str">
        <f>IF($H$7="","",$H$7)</f>
        <v>Hiệu trưởng</v>
      </c>
      <c r="E894" s="1012"/>
      <c r="F894" s="61"/>
    </row>
    <row r="895" spans="1:10">
      <c r="A895" s="68"/>
      <c r="B895" s="68"/>
      <c r="C895" s="68"/>
      <c r="D895" s="68"/>
      <c r="E895" s="68"/>
      <c r="F895" s="68"/>
    </row>
    <row r="896" spans="1:10">
      <c r="A896" s="68"/>
      <c r="B896" s="68"/>
      <c r="C896" s="68"/>
      <c r="D896" s="68"/>
      <c r="E896" s="68"/>
      <c r="F896" s="68"/>
    </row>
    <row r="897" spans="1:10" ht="16.8">
      <c r="A897" s="68"/>
      <c r="B897" s="68"/>
      <c r="C897" s="64"/>
      <c r="D897" s="64"/>
      <c r="E897" s="64"/>
      <c r="F897" s="64"/>
      <c r="G897" s="65"/>
      <c r="H897" s="65"/>
      <c r="I897" s="65"/>
      <c r="J897" s="65"/>
    </row>
    <row r="899" spans="1:10">
      <c r="A899" s="1012" t="str">
        <f>IF($A$39="","",PROPER('Huong dan'!$C$4))</f>
        <v/>
      </c>
      <c r="B899" s="1012"/>
      <c r="D899" s="1130" t="str">
        <f>IFERROR(IF($D$39="Giáo Viên Quản nhiệm",PROPER('Huong dan'!$C$4),IF($D$39="Hiệu trưởng",PROPER('Huong dan'!$E$5),"")),"")</f>
        <v/>
      </c>
      <c r="E899" s="1130"/>
    </row>
    <row r="900" spans="1:10" ht="7.5" customHeight="1"/>
    <row r="901" spans="1:10" ht="11.25" customHeight="1">
      <c r="A901" s="75"/>
      <c r="B901" s="75"/>
      <c r="C901" s="75"/>
      <c r="D901" s="75"/>
      <c r="E901" s="75"/>
      <c r="F901" s="76">
        <f>IF(F856="","",IF(F856&lt;MAX(DiemHKII!$B$4:$B$58),F856+1,""))</f>
        <v>20</v>
      </c>
    </row>
    <row r="902" spans="1:10" s="60" customFormat="1" ht="22.5" customHeight="1">
      <c r="A902" s="1128" t="str">
        <f>IF('Huong dan'!$E$3&lt;&gt;"","SỞ GIÁO DỤC VÀ ĐÀO TẠO "&amp;UPPER('Huong dan'!$E$3),"")</f>
        <v>SỞ GIÁO DỤC VÀ ĐÀO TẠO TP. HỒ CHÍ MINH</v>
      </c>
      <c r="B902" s="1128"/>
      <c r="C902" s="1128"/>
      <c r="D902" s="1129" t="s">
        <v>19</v>
      </c>
      <c r="E902" s="1129"/>
      <c r="F902" s="1129"/>
    </row>
    <row r="903" spans="1:10" ht="17.25" customHeight="1">
      <c r="A903" s="992" t="str">
        <f>IF('Huong dan'!$E$4&lt;&gt;"","TRƯỜNG "&amp;UPPER('Huong dan'!$E$4),"")</f>
        <v>TRƯỜNG THCS VÀ THPT NGUYỄN KHUYẾN</v>
      </c>
      <c r="B903" s="992"/>
      <c r="C903" s="992"/>
      <c r="D903" s="1130" t="s">
        <v>179</v>
      </c>
      <c r="E903" s="1130"/>
      <c r="F903" s="1130"/>
    </row>
    <row r="904" spans="1:10" ht="12" customHeight="1">
      <c r="A904" s="69"/>
      <c r="B904" s="69"/>
      <c r="C904" s="30"/>
      <c r="D904" s="30"/>
      <c r="E904" s="30"/>
      <c r="F904" s="30"/>
    </row>
    <row r="905" spans="1:10" ht="18" customHeight="1">
      <c r="A905" s="69"/>
      <c r="B905" s="69"/>
      <c r="C905" s="30"/>
      <c r="D905" s="30"/>
      <c r="E905" s="30"/>
      <c r="F905" s="30"/>
    </row>
    <row r="906" spans="1:10" ht="29.25" customHeight="1">
      <c r="A906" s="1013" t="str">
        <f>"PHIẾU ĐIỂM NĂM HỌC "&amp;'Huong dan'!$C$5</f>
        <v>PHIẾU ĐIỂM NĂM HỌC 2021 - 2022</v>
      </c>
      <c r="B906" s="1013"/>
      <c r="C906" s="1013"/>
      <c r="D906" s="1013"/>
      <c r="E906" s="1013"/>
      <c r="F906" s="1013"/>
    </row>
    <row r="907" spans="1:10" ht="12.75" customHeight="1">
      <c r="A907" s="70"/>
      <c r="B907" s="66"/>
      <c r="C907" s="66"/>
      <c r="D907" s="66"/>
      <c r="E907" s="66"/>
      <c r="F907" s="66"/>
    </row>
    <row r="908" spans="1:10" ht="20.25" customHeight="1">
      <c r="A908" s="1131" t="s">
        <v>212</v>
      </c>
      <c r="B908" s="1131"/>
      <c r="C908" s="77" t="str">
        <f>IF(F946="","",INDEX(DiemHKII!$E$4:$E$58,MATCH(F946,DiemHKII!$B$4:$B$58,0),1)&amp;" "&amp;INDEX(DiemHKII!$F$4:$F$58,MATCH(F946,DiemHKII!$B$4:$B$58,0),1))</f>
        <v>Phạm Tấn Lộc</v>
      </c>
      <c r="D908" s="77"/>
      <c r="E908" s="77"/>
      <c r="F908" s="71" t="str">
        <f>IF('Huong dan'!$C$3="","","Lớp: "&amp;'Huong dan'!$C$3)</f>
        <v>Lớp: 12A1</v>
      </c>
    </row>
    <row r="909" spans="1:10" ht="24" customHeight="1">
      <c r="A909" s="1131" t="s">
        <v>213</v>
      </c>
      <c r="B909" s="1131"/>
      <c r="C909" s="77" t="str">
        <f>IF(F946="","",INDEX(DiemHKII!$G$4:$G$58,MATCH(F946,DiemHKII!$B$4:$B$58,0),1))</f>
        <v>05/07/2004</v>
      </c>
      <c r="D909" s="77"/>
      <c r="E909" s="1133" t="str">
        <f>IF(F946="","","Nơi sinh: "&amp;INDEX(DiemHKII!$H$4:$H$58,MATCH(F946,DiemHKII!$B$4:$B$58,0),1))</f>
        <v xml:space="preserve">Nơi sinh: </v>
      </c>
      <c r="F909" s="1133"/>
    </row>
    <row r="910" spans="1:10" ht="15" customHeight="1">
      <c r="A910" s="62"/>
      <c r="B910" s="62"/>
      <c r="C910" s="62"/>
      <c r="D910" s="62"/>
      <c r="E910" s="62"/>
      <c r="F910" s="63"/>
    </row>
    <row r="911" spans="1:10" ht="21" customHeight="1">
      <c r="A911" s="1134" t="s">
        <v>0</v>
      </c>
      <c r="B911" s="1134" t="s">
        <v>72</v>
      </c>
      <c r="C911" s="1134" t="s">
        <v>216</v>
      </c>
      <c r="D911" s="1134"/>
      <c r="E911" s="1134"/>
      <c r="F911" s="1134" t="s">
        <v>148</v>
      </c>
    </row>
    <row r="912" spans="1:10" ht="21" customHeight="1">
      <c r="A912" s="1134"/>
      <c r="B912" s="1134"/>
      <c r="C912" s="476" t="s">
        <v>188</v>
      </c>
      <c r="D912" s="476" t="s">
        <v>189</v>
      </c>
      <c r="E912" s="476" t="s">
        <v>190</v>
      </c>
      <c r="F912" s="1134"/>
    </row>
    <row r="913" spans="1:10" ht="21" customHeight="1">
      <c r="A913" s="72" t="s">
        <v>191</v>
      </c>
      <c r="B913" s="73" t="s">
        <v>26</v>
      </c>
      <c r="C913" s="74" t="str">
        <f>INDEX('TH CANAM'!$A$9:$BF$63,MATCH(PDNam!$F946,'TH CANAM'!$A$9:$A$63,0),INDEX($J$13:$M$30,MATCH($B913,$J$13:$J$30,0),K$12))</f>
        <v/>
      </c>
      <c r="D913" s="74" t="str">
        <f>INDEX('TH CANAM'!$A$9:$BF$63,MATCH(PDNam!$F946,'TH CANAM'!$A$9:$A$63,0),INDEX($J$13:$M$30,MATCH($B913,$J$13:$J$30,0),L$12))</f>
        <v/>
      </c>
      <c r="E913" s="74" t="str">
        <f>INDEX('TH CANAM'!$A$9:$BF$63,MATCH(PDNam!$F946,'TH CANAM'!$A$9:$A$63,0),INDEX($J$13:$M$30,MATCH($B913,$J$13:$J$30,0),M$12))</f>
        <v/>
      </c>
      <c r="F913" s="73"/>
      <c r="I913" s="64"/>
      <c r="J913" s="64"/>
    </row>
    <row r="914" spans="1:10" ht="21" customHeight="1">
      <c r="A914" s="72" t="s">
        <v>192</v>
      </c>
      <c r="B914" s="73" t="s">
        <v>27</v>
      </c>
      <c r="C914" s="74" t="str">
        <f>INDEX('TH CANAM'!$A$9:$BF$63,MATCH(PDNam!$F946,'TH CANAM'!$A$9:$A$63,0),INDEX($J$13:$M$30,MATCH($B914,$J$13:$J$30,0),K$12))</f>
        <v/>
      </c>
      <c r="D914" s="74" t="str">
        <f>INDEX('TH CANAM'!$A$9:$BF$63,MATCH(PDNam!$F946,'TH CANAM'!$A$9:$A$63,0),INDEX($J$13:$M$30,MATCH($B914,$J$13:$J$30,0),L$12))</f>
        <v/>
      </c>
      <c r="E914" s="74" t="str">
        <f>INDEX('TH CANAM'!$A$9:$BF$63,MATCH(PDNam!$F946,'TH CANAM'!$A$9:$A$63,0),INDEX($J$13:$M$30,MATCH($B914,$J$13:$J$30,0),M$12))</f>
        <v/>
      </c>
      <c r="F914" s="73"/>
      <c r="I914" s="64"/>
      <c r="J914" s="64"/>
    </row>
    <row r="915" spans="1:10" ht="21" customHeight="1">
      <c r="A915" s="72" t="s">
        <v>193</v>
      </c>
      <c r="B915" s="73" t="s">
        <v>28</v>
      </c>
      <c r="C915" s="74" t="str">
        <f>INDEX('TH CANAM'!$A$9:$BF$63,MATCH(PDNam!$F946,'TH CANAM'!$A$9:$A$63,0),INDEX($J$13:$M$30,MATCH($B915,$J$13:$J$30,0),K$12))</f>
        <v/>
      </c>
      <c r="D915" s="74" t="str">
        <f>INDEX('TH CANAM'!$A$9:$BF$63,MATCH(PDNam!$F946,'TH CANAM'!$A$9:$A$63,0),INDEX($J$13:$M$30,MATCH($B915,$J$13:$J$30,0),L$12))</f>
        <v/>
      </c>
      <c r="E915" s="74" t="str">
        <f>INDEX('TH CANAM'!$A$9:$BF$63,MATCH(PDNam!$F946,'TH CANAM'!$A$9:$A$63,0),INDEX($J$13:$M$30,MATCH($B915,$J$13:$J$30,0),M$12))</f>
        <v/>
      </c>
      <c r="F915" s="73"/>
      <c r="I915" s="64"/>
      <c r="J915" s="64"/>
    </row>
    <row r="916" spans="1:10" ht="21" customHeight="1">
      <c r="A916" s="72" t="s">
        <v>194</v>
      </c>
      <c r="B916" s="73" t="s">
        <v>29</v>
      </c>
      <c r="C916" s="74" t="str">
        <f>INDEX('TH CANAM'!$A$9:$BF$63,MATCH(PDNam!$F946,'TH CANAM'!$A$9:$A$63,0),INDEX($J$13:$M$30,MATCH($B916,$J$13:$J$30,0),K$12))</f>
        <v/>
      </c>
      <c r="D916" s="74" t="str">
        <f>INDEX('TH CANAM'!$A$9:$BF$63,MATCH(PDNam!$F946,'TH CANAM'!$A$9:$A$63,0),INDEX($J$13:$M$30,MATCH($B916,$J$13:$J$30,0),L$12))</f>
        <v/>
      </c>
      <c r="E916" s="74" t="str">
        <f>INDEX('TH CANAM'!$A$9:$BF$63,MATCH(PDNam!$F946,'TH CANAM'!$A$9:$A$63,0),INDEX($J$13:$M$30,MATCH($B916,$J$13:$J$30,0),M$12))</f>
        <v/>
      </c>
      <c r="F916" s="73"/>
      <c r="I916" s="64"/>
      <c r="J916" s="64"/>
    </row>
    <row r="917" spans="1:10" ht="21" customHeight="1">
      <c r="A917" s="72" t="s">
        <v>195</v>
      </c>
      <c r="B917" s="73" t="s">
        <v>120</v>
      </c>
      <c r="C917" s="74" t="str">
        <f>INDEX('TH CANAM'!$A$9:$BF$63,MATCH(PDNam!$F946,'TH CANAM'!$A$9:$A$63,0),INDEX($J$13:$M$30,MATCH($B917,$J$13:$J$30,0),K$12))</f>
        <v/>
      </c>
      <c r="D917" s="74" t="str">
        <f>INDEX('TH CANAM'!$A$9:$BF$63,MATCH(PDNam!$F946,'TH CANAM'!$A$9:$A$63,0),INDEX($J$13:$M$30,MATCH($B917,$J$13:$J$30,0),L$12))</f>
        <v/>
      </c>
      <c r="E917" s="74" t="str">
        <f>INDEX('TH CANAM'!$A$9:$BF$63,MATCH(PDNam!$F946,'TH CANAM'!$A$9:$A$63,0),INDEX($J$13:$M$30,MATCH($B917,$J$13:$J$30,0),M$12))</f>
        <v/>
      </c>
      <c r="F917" s="73"/>
      <c r="I917" s="64"/>
      <c r="J917" s="64"/>
    </row>
    <row r="918" spans="1:10" ht="21" customHeight="1">
      <c r="A918" s="72" t="s">
        <v>196</v>
      </c>
      <c r="B918" s="73" t="s">
        <v>30</v>
      </c>
      <c r="C918" s="74" t="str">
        <f>INDEX('TH CANAM'!$A$9:$BF$63,MATCH(PDNam!$F946,'TH CANAM'!$A$9:$A$63,0),INDEX($J$13:$M$30,MATCH($B918,$J$13:$J$30,0),K$12))</f>
        <v/>
      </c>
      <c r="D918" s="74" t="str">
        <f>INDEX('TH CANAM'!$A$9:$BF$63,MATCH(PDNam!$F946,'TH CANAM'!$A$9:$A$63,0),INDEX($J$13:$M$30,MATCH($B918,$J$13:$J$30,0),L$12))</f>
        <v/>
      </c>
      <c r="E918" s="74" t="str">
        <f>INDEX('TH CANAM'!$A$9:$BF$63,MATCH(PDNam!$F946,'TH CANAM'!$A$9:$A$63,0),INDEX($J$13:$M$30,MATCH($B918,$J$13:$J$30,0),M$12))</f>
        <v/>
      </c>
      <c r="F918" s="73"/>
      <c r="I918" s="64"/>
      <c r="J918" s="64"/>
    </row>
    <row r="919" spans="1:10" ht="21" customHeight="1">
      <c r="A919" s="72" t="s">
        <v>197</v>
      </c>
      <c r="B919" s="73" t="s">
        <v>31</v>
      </c>
      <c r="C919" s="74" t="str">
        <f>INDEX('TH CANAM'!$A$9:$BF$63,MATCH(PDNam!$F946,'TH CANAM'!$A$9:$A$63,0),INDEX($J$13:$M$30,MATCH($B919,$J$13:$J$30,0),K$12))</f>
        <v/>
      </c>
      <c r="D919" s="74" t="str">
        <f>INDEX('TH CANAM'!$A$9:$BF$63,MATCH(PDNam!$F946,'TH CANAM'!$A$9:$A$63,0),INDEX($J$13:$M$30,MATCH($B919,$J$13:$J$30,0),L$12))</f>
        <v/>
      </c>
      <c r="E919" s="74" t="str">
        <f>INDEX('TH CANAM'!$A$9:$BF$63,MATCH(PDNam!$F946,'TH CANAM'!$A$9:$A$63,0),INDEX($J$13:$M$30,MATCH($B919,$J$13:$J$30,0),M$12))</f>
        <v/>
      </c>
      <c r="F919" s="73"/>
      <c r="I919" s="64"/>
      <c r="J919" s="64"/>
    </row>
    <row r="920" spans="1:10" ht="21" customHeight="1">
      <c r="A920" s="72" t="s">
        <v>198</v>
      </c>
      <c r="B920" s="73" t="s">
        <v>32</v>
      </c>
      <c r="C920" s="74" t="str">
        <f>INDEX('TH CANAM'!$A$9:$BF$63,MATCH(PDNam!$F946,'TH CANAM'!$A$9:$A$63,0),INDEX($J$13:$M$30,MATCH($B920,$J$13:$J$30,0),K$12))</f>
        <v/>
      </c>
      <c r="D920" s="74" t="str">
        <f>INDEX('TH CANAM'!$A$9:$BF$63,MATCH(PDNam!$F946,'TH CANAM'!$A$9:$A$63,0),INDEX($J$13:$M$30,MATCH($B920,$J$13:$J$30,0),L$12))</f>
        <v/>
      </c>
      <c r="E920" s="74" t="str">
        <f>INDEX('TH CANAM'!$A$9:$BF$63,MATCH(PDNam!$F946,'TH CANAM'!$A$9:$A$63,0),INDEX($J$13:$M$30,MATCH($B920,$J$13:$J$30,0),M$12))</f>
        <v/>
      </c>
      <c r="F920" s="73"/>
      <c r="I920" s="64"/>
      <c r="J920" s="64"/>
    </row>
    <row r="921" spans="1:10" ht="21" customHeight="1">
      <c r="A921" s="72" t="s">
        <v>199</v>
      </c>
      <c r="B921" s="73" t="s">
        <v>33</v>
      </c>
      <c r="C921" s="74" t="str">
        <f>INDEX('TH CANAM'!$A$9:$BF$63,MATCH(PDNam!$F946,'TH CANAM'!$A$9:$A$63,0),INDEX($J$13:$M$30,MATCH($B921,$J$13:$J$30,0),K$12))</f>
        <v/>
      </c>
      <c r="D921" s="74" t="str">
        <f>INDEX('TH CANAM'!$A$9:$BF$63,MATCH(PDNam!$F946,'TH CANAM'!$A$9:$A$63,0),INDEX($J$13:$M$30,MATCH($B921,$J$13:$J$30,0),L$12))</f>
        <v/>
      </c>
      <c r="E921" s="74" t="str">
        <f>INDEX('TH CANAM'!$A$9:$BF$63,MATCH(PDNam!$F946,'TH CANAM'!$A$9:$A$63,0),INDEX($J$13:$M$30,MATCH($B921,$J$13:$J$30,0),M$12))</f>
        <v/>
      </c>
      <c r="F921" s="73"/>
      <c r="I921" s="64"/>
      <c r="J921" s="64"/>
    </row>
    <row r="922" spans="1:10" ht="21" customHeight="1">
      <c r="A922" s="72" t="s">
        <v>200</v>
      </c>
      <c r="B922" s="73" t="s">
        <v>60</v>
      </c>
      <c r="C922" s="74" t="str">
        <f>INDEX('TH CANAM'!$A$9:$BF$63,MATCH(PDNam!$F946,'TH CANAM'!$A$9:$A$63,0),INDEX($J$13:$M$30,MATCH($B922,$J$13:$J$30,0),K$12))</f>
        <v/>
      </c>
      <c r="D922" s="74" t="str">
        <f>INDEX('TH CANAM'!$A$9:$BF$63,MATCH(PDNam!$F946,'TH CANAM'!$A$9:$A$63,0),INDEX($J$13:$M$30,MATCH($B922,$J$13:$J$30,0),L$12))</f>
        <v/>
      </c>
      <c r="E922" s="74" t="str">
        <f>INDEX('TH CANAM'!$A$9:$BF$63,MATCH(PDNam!$F946,'TH CANAM'!$A$9:$A$63,0),INDEX($J$13:$M$30,MATCH($B922,$J$13:$J$30,0),M$12))</f>
        <v/>
      </c>
      <c r="F922" s="73"/>
      <c r="I922" s="64"/>
      <c r="J922" s="64"/>
    </row>
    <row r="923" spans="1:10" ht="21" customHeight="1">
      <c r="A923" s="72" t="s">
        <v>201</v>
      </c>
      <c r="B923" s="73" t="s">
        <v>34</v>
      </c>
      <c r="C923" s="74" t="str">
        <f>INDEX('TH CANAM'!$A$9:$BF$63,MATCH(PDNam!$F946,'TH CANAM'!$A$9:$A$63,0),INDEX($J$13:$M$30,MATCH($B923,$J$13:$J$30,0),K$12))</f>
        <v/>
      </c>
      <c r="D923" s="74" t="str">
        <f>INDEX('TH CANAM'!$A$9:$BF$63,MATCH(PDNam!$F946,'TH CANAM'!$A$9:$A$63,0),INDEX($J$13:$M$30,MATCH($B923,$J$13:$J$30,0),L$12))</f>
        <v/>
      </c>
      <c r="E923" s="74" t="str">
        <f>INDEX('TH CANAM'!$A$9:$BF$63,MATCH(PDNam!$F946,'TH CANAM'!$A$9:$A$63,0),INDEX($J$13:$M$30,MATCH($B923,$J$13:$J$30,0),M$12))</f>
        <v/>
      </c>
      <c r="F923" s="73"/>
      <c r="I923" s="64"/>
      <c r="J923" s="64"/>
    </row>
    <row r="924" spans="1:10" ht="21" customHeight="1">
      <c r="A924" s="72" t="s">
        <v>202</v>
      </c>
      <c r="B924" s="73" t="s">
        <v>35</v>
      </c>
      <c r="C924" s="74" t="str">
        <f>INDEX('TH CANAM'!$A$9:$BF$63,MATCH(PDNam!$F946,'TH CANAM'!$A$9:$A$63,0),INDEX($J$13:$M$30,MATCH($B924,$J$13:$J$30,0),K$12))</f>
        <v/>
      </c>
      <c r="D924" s="74" t="str">
        <f>INDEX('TH CANAM'!$A$9:$BF$63,MATCH(PDNam!$F946,'TH CANAM'!$A$9:$A$63,0),INDEX($J$13:$M$30,MATCH($B924,$J$13:$J$30,0),L$12))</f>
        <v/>
      </c>
      <c r="E924" s="74" t="str">
        <f>INDEX('TH CANAM'!$A$9:$BF$63,MATCH(PDNam!$F946,'TH CANAM'!$A$9:$A$63,0),INDEX($J$13:$M$30,MATCH($B924,$J$13:$J$30,0),M$12))</f>
        <v/>
      </c>
      <c r="F924" s="73"/>
      <c r="I924" s="64"/>
      <c r="J924" s="64"/>
    </row>
    <row r="925" spans="1:10" ht="21" customHeight="1">
      <c r="A925" s="72" t="s">
        <v>203</v>
      </c>
      <c r="B925" s="73" t="s">
        <v>121</v>
      </c>
      <c r="C925" s="74" t="str">
        <f>INDEX('TH CANAM'!$A$9:$BF$63,MATCH(PDNam!$F946,'TH CANAM'!$A$9:$A$63,0),INDEX($J$13:$M$30,MATCH($B925,$J$13:$J$30,0),K$12))</f>
        <v/>
      </c>
      <c r="D925" s="74" t="str">
        <f>INDEX('TH CANAM'!$A$9:$BF$63,MATCH(PDNam!$F946,'TH CANAM'!$A$9:$A$63,0),INDEX($J$13:$M$30,MATCH($B925,$J$13:$J$30,0),L$12))</f>
        <v/>
      </c>
      <c r="E925" s="74" t="str">
        <f>INDEX('TH CANAM'!$A$9:$BF$63,MATCH(PDNam!$F946,'TH CANAM'!$A$9:$A$63,0),INDEX($J$13:$M$30,MATCH($B925,$J$13:$J$30,0),M$12))</f>
        <v/>
      </c>
      <c r="F925" s="73"/>
      <c r="I925" s="64"/>
      <c r="J925" s="64"/>
    </row>
    <row r="926" spans="1:10" ht="21" customHeight="1">
      <c r="A926" s="72" t="s">
        <v>204</v>
      </c>
      <c r="B926" s="73" t="s">
        <v>122</v>
      </c>
      <c r="C926" s="74" t="str">
        <f>INDEX('TH CANAM'!$A$9:$BF$63,MATCH(PDNam!$F946,'TH CANAM'!$A$9:$A$63,0),INDEX($J$13:$M$30,MATCH($B926,$J$13:$J$30,0),K$12))</f>
        <v/>
      </c>
      <c r="D926" s="74" t="str">
        <f>INDEX('TH CANAM'!$A$9:$BF$63,MATCH(PDNam!$F946,'TH CANAM'!$A$9:$A$63,0),INDEX($J$13:$M$30,MATCH($B926,$J$13:$J$30,0),L$12))</f>
        <v/>
      </c>
      <c r="E926" s="74" t="str">
        <f>INDEX('TH CANAM'!$A$9:$BF$63,MATCH(PDNam!$F946,'TH CANAM'!$A$9:$A$63,0),INDEX($J$13:$M$30,MATCH($B926,$J$13:$J$30,0),M$12))</f>
        <v/>
      </c>
      <c r="F926" s="73"/>
      <c r="I926" s="64"/>
      <c r="J926" s="64"/>
    </row>
    <row r="927" spans="1:10" ht="21" customHeight="1">
      <c r="A927" s="72" t="s">
        <v>208</v>
      </c>
      <c r="B927" s="73" t="s">
        <v>205</v>
      </c>
      <c r="C927" s="78">
        <f>INDEX('TH CANAM'!$A$9:$BF$63,MATCH(PDNam!$F946,'TH CANAM'!$A$9:$A$63,0),46)</f>
        <v>9.1999999999999993</v>
      </c>
      <c r="D927" s="78" t="str">
        <f>INDEX('TH CANAM'!$A$9:$BF$63,MATCH(PDNam!$F946,'TH CANAM'!$A$9:$A$63,0),47)</f>
        <v/>
      </c>
      <c r="E927" s="78" t="str">
        <f>INDEX('TH CANAM'!$A$9:$BF$63,MATCH(PDNam!$F946,'TH CANAM'!$A$9:$A$63,0),48)</f>
        <v/>
      </c>
      <c r="F927" s="73"/>
      <c r="I927" s="64"/>
      <c r="J927" s="64"/>
    </row>
    <row r="928" spans="1:10" ht="21" customHeight="1">
      <c r="A928" s="72" t="s">
        <v>209</v>
      </c>
      <c r="B928" s="72" t="s">
        <v>206</v>
      </c>
      <c r="C928" s="74" t="str">
        <f>IF(INDEX('TH CANAM'!$A$9:$BF$63,MATCH(PDNam!$F946,'TH CANAM'!$A$9:$A$63,0),49)="Tb","Trung bình",INDEX('TH CANAM'!$A$9:$BF$63,MATCH(PDNam!$F946,'TH CANAM'!$A$9:$A$63,0),49))</f>
        <v>Giỏi</v>
      </c>
      <c r="D928" s="74" t="str">
        <f>IF(INDEX('TH CANAM'!$A$9:$BF$63,MATCH(PDNam!$F946,'TH CANAM'!$A$9:$A$63,0),50)="Tb","Trung bình",INDEX('TH CANAM'!$A$9:$BF$63,MATCH(PDNam!$F946,'TH CANAM'!$A$9:$A$63,0),50))</f>
        <v/>
      </c>
      <c r="E928" s="74" t="str">
        <f>IF(INDEX('TH CANAM'!$A$9:$BF$63,MATCH(PDNam!$F946,'TH CANAM'!$A$9:$A$63,0),51)="Tb","Trung bình",INDEX('TH CANAM'!$A$9:$BF$63,MATCH(PDNam!$F946,'TH CANAM'!$A$9:$A$63,0),51))</f>
        <v/>
      </c>
      <c r="F928" s="73"/>
    </row>
    <row r="929" spans="1:10" ht="21" customHeight="1">
      <c r="A929" s="72" t="s">
        <v>210</v>
      </c>
      <c r="B929" s="72" t="s">
        <v>207</v>
      </c>
      <c r="C929" s="74" t="str">
        <f>INDEX('TH CANAM'!$A$9:$BF$63,MATCH(PDNam!$F946,'TH CANAM'!$A$9:$A$63,0),52)</f>
        <v>Tốt</v>
      </c>
      <c r="D929" s="74" t="str">
        <f>INDEX('TH CANAM'!$A$9:$BF$63,MATCH(PDNam!$F946,'TH CANAM'!$A$9:$A$63,0),53)</f>
        <v/>
      </c>
      <c r="E929" s="74" t="str">
        <f>INDEX('TH CANAM'!$A$9:$BF$63,MATCH(PDNam!$F946,'TH CANAM'!$A$9:$A$63,0),54)</f>
        <v/>
      </c>
      <c r="F929" s="73"/>
    </row>
    <row r="930" spans="1:10" ht="21" customHeight="1">
      <c r="A930" s="72" t="s">
        <v>211</v>
      </c>
      <c r="B930" s="72" t="s">
        <v>25</v>
      </c>
      <c r="C930" s="74" t="str">
        <f>IF(INDEX('TH CANAM'!$A$9:$BF$63,MATCH(PDNam!$F946,'TH CANAM'!$A$9:$A$63,0),57)&lt;&gt;"",INDEX('TH CANAM'!$A$9:$BF$63,MATCH(PDNam!$F946,'TH CANAM'!$A$9:$A$63,0),57),"/")</f>
        <v>HSG</v>
      </c>
      <c r="D930" s="74" t="str">
        <f>IF(INDEX('TH CANAM'!$A$9:$BF$63,MATCH(PDNam!$F946,'TH CANAM'!$A$9:$A$63,0),58)&lt;&gt;"",INDEX('TH CANAM'!$A$9:$BF$63,MATCH(PDNam!$F946,'TH CANAM'!$A$9:$A$63,0),58),"/")</f>
        <v>/</v>
      </c>
      <c r="E930" s="74" t="str">
        <f>IF(INDEX('TH CANAM'!$A$9:$BF$63,MATCH(PDNam!$F946,'TH CANAM'!$A$9:$A$63,0),55)&lt;&gt;"",INDEX('TH CANAM'!$A$9:$BF$63,MATCH(PDNam!$F946,'TH CANAM'!$A$9:$A$63,0),55),"/")</f>
        <v>/</v>
      </c>
      <c r="F930" s="73"/>
    </row>
    <row r="931" spans="1:10" s="60" customFormat="1" ht="9" customHeight="1">
      <c r="A931" s="67"/>
      <c r="B931" s="67"/>
      <c r="C931" s="1132"/>
      <c r="D931" s="1132"/>
      <c r="E931" s="67"/>
      <c r="F931" s="67"/>
    </row>
    <row r="932" spans="1:10" s="60" customFormat="1" ht="18.75" customHeight="1">
      <c r="A932" s="58" t="s">
        <v>219</v>
      </c>
      <c r="B932" s="57"/>
      <c r="C932" s="57"/>
      <c r="D932" s="57"/>
      <c r="E932" s="57"/>
      <c r="F932" s="475"/>
    </row>
    <row r="933" spans="1:10" s="60" customFormat="1" ht="18.75" customHeight="1">
      <c r="A933" s="59" t="str">
        <f>IF(F946&lt;&gt;"",IF(INDEX(BDHK2,MATCH(F946,DiemHKII!$B$4:$B$58,0),137)&lt;&gt;""," - "&amp;INDEX(BDHK2,MATCH(F946,DiemHKII!$B$4:$B$58,0),137),""),"")</f>
        <v/>
      </c>
      <c r="B933" s="57"/>
      <c r="C933" s="57"/>
      <c r="D933" s="57"/>
      <c r="E933" s="57"/>
      <c r="F933" s="475"/>
    </row>
    <row r="934" spans="1:10" s="60" customFormat="1" ht="18.75" customHeight="1">
      <c r="A934" s="59" t="str">
        <f>IF(F946&lt;&gt;"",IF(INDEX(BDHK2,MATCH(F946,DiemHKII!$B$4:$B$58,0),138)&lt;&gt;""," - "&amp;INDEX(BDHK2,MATCH(F946,DiemHKII!$B$4:$B$58,0),138),""),"")</f>
        <v/>
      </c>
      <c r="B934" s="57"/>
      <c r="C934" s="57"/>
      <c r="D934" s="57"/>
      <c r="E934" s="57"/>
      <c r="F934" s="475"/>
    </row>
    <row r="935" spans="1:10" s="60" customFormat="1" ht="18.75" customHeight="1">
      <c r="A935" s="59" t="str">
        <f>IF(F946&lt;&gt;"",IF(INDEX(BDHK2,MATCH(F946,DiemHKII!$B$4:$B$58,0),139)&lt;&gt;""," - "&amp;INDEX(BDHK2,MATCH(F946,DiemHKII!$B$4:$B$58,0),139),""),"")</f>
        <v/>
      </c>
      <c r="B935" s="57"/>
      <c r="C935" s="57"/>
      <c r="D935" s="57"/>
      <c r="E935" s="57"/>
      <c r="F935" s="475"/>
    </row>
    <row r="936" spans="1:10" s="60" customFormat="1" ht="18.75" customHeight="1">
      <c r="A936" s="59" t="str">
        <f>IF(F946&lt;&gt;"",IF(INDEX(BDHK2,MATCH(F946,DiemHKII!$B$4:$B$58,0),140)&lt;&gt;""," - "&amp;INDEX(BDHK2,MATCH(F946,DiemHKII!$B$4:$B$58,0),140),""),"")</f>
        <v/>
      </c>
      <c r="B936" s="57"/>
      <c r="C936" s="57"/>
      <c r="D936" s="57"/>
      <c r="E936" s="57"/>
      <c r="F936" s="67"/>
    </row>
    <row r="937" spans="1:10" ht="6" customHeight="1">
      <c r="A937" s="68"/>
      <c r="B937" s="68"/>
      <c r="C937" s="68"/>
      <c r="D937" s="68"/>
      <c r="E937" s="68"/>
      <c r="F937" s="68"/>
    </row>
    <row r="938" spans="1:10">
      <c r="A938" s="68"/>
      <c r="B938" s="68"/>
      <c r="C93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938" s="1060"/>
      <c r="E938" s="1060"/>
      <c r="F938" s="1060"/>
    </row>
    <row r="939" spans="1:10" ht="20.25" customHeight="1">
      <c r="A939" s="1012" t="str">
        <f>IF($D$39="Hiệu trưởng","Giáo viên Quản nhiệm","")</f>
        <v>Giáo viên Quản nhiệm</v>
      </c>
      <c r="B939" s="1012"/>
      <c r="C939" s="61"/>
      <c r="D939" s="1012" t="str">
        <f>IF($H$7="","",$H$7)</f>
        <v>Hiệu trưởng</v>
      </c>
      <c r="E939" s="1012"/>
      <c r="F939" s="61"/>
    </row>
    <row r="940" spans="1:10">
      <c r="A940" s="68"/>
      <c r="B940" s="68"/>
      <c r="C940" s="68"/>
      <c r="D940" s="68"/>
      <c r="E940" s="68"/>
      <c r="F940" s="68"/>
    </row>
    <row r="941" spans="1:10">
      <c r="A941" s="68"/>
      <c r="B941" s="68"/>
      <c r="C941" s="68"/>
      <c r="D941" s="68"/>
      <c r="E941" s="68"/>
      <c r="F941" s="68"/>
    </row>
    <row r="942" spans="1:10" ht="16.8">
      <c r="A942" s="68"/>
      <c r="B942" s="68"/>
      <c r="C942" s="64"/>
      <c r="D942" s="64"/>
      <c r="E942" s="64"/>
      <c r="F942" s="64"/>
      <c r="G942" s="65"/>
      <c r="H942" s="65"/>
      <c r="I942" s="65"/>
      <c r="J942" s="65"/>
    </row>
    <row r="944" spans="1:10">
      <c r="A944" s="1012" t="str">
        <f>IF($A$39="","",PROPER('Huong dan'!$C$4))</f>
        <v/>
      </c>
      <c r="B944" s="1012"/>
      <c r="D944" s="1130" t="str">
        <f>IFERROR(IF($D$39="Giáo Viên Quản nhiệm",PROPER('Huong dan'!$C$4),IF($D$39="Hiệu trưởng",PROPER('Huong dan'!$E$5),"")),"")</f>
        <v/>
      </c>
      <c r="E944" s="1130"/>
    </row>
    <row r="945" spans="1:10" ht="7.5" customHeight="1"/>
    <row r="946" spans="1:10" ht="11.25" customHeight="1">
      <c r="A946" s="75"/>
      <c r="B946" s="75"/>
      <c r="C946" s="75"/>
      <c r="D946" s="75"/>
      <c r="E946" s="75"/>
      <c r="F946" s="76">
        <f>IF(F901="","",IF(F901&lt;MAX(DiemHKII!$B$4:$B$58),F901+1,""))</f>
        <v>21</v>
      </c>
    </row>
    <row r="947" spans="1:10" s="60" customFormat="1" ht="22.5" customHeight="1">
      <c r="A947" s="1128" t="str">
        <f>IF('Huong dan'!$E$3&lt;&gt;"","SỞ GIÁO DỤC VÀ ĐÀO TẠO "&amp;UPPER('Huong dan'!$E$3),"")</f>
        <v>SỞ GIÁO DỤC VÀ ĐÀO TẠO TP. HỒ CHÍ MINH</v>
      </c>
      <c r="B947" s="1128"/>
      <c r="C947" s="1128"/>
      <c r="D947" s="1129" t="s">
        <v>19</v>
      </c>
      <c r="E947" s="1129"/>
      <c r="F947" s="1129"/>
    </row>
    <row r="948" spans="1:10" ht="17.25" customHeight="1">
      <c r="A948" s="992" t="str">
        <f>IF('Huong dan'!$E$4&lt;&gt;"","TRƯỜNG "&amp;UPPER('Huong dan'!$E$4),"")</f>
        <v>TRƯỜNG THCS VÀ THPT NGUYỄN KHUYẾN</v>
      </c>
      <c r="B948" s="992"/>
      <c r="C948" s="992"/>
      <c r="D948" s="1130" t="s">
        <v>179</v>
      </c>
      <c r="E948" s="1130"/>
      <c r="F948" s="1130"/>
    </row>
    <row r="949" spans="1:10" ht="12" customHeight="1">
      <c r="A949" s="69"/>
      <c r="B949" s="69"/>
      <c r="C949" s="30"/>
      <c r="D949" s="30"/>
      <c r="E949" s="30"/>
      <c r="F949" s="30"/>
    </row>
    <row r="950" spans="1:10" ht="18" customHeight="1">
      <c r="A950" s="69"/>
      <c r="B950" s="69"/>
      <c r="C950" s="30"/>
      <c r="D950" s="30"/>
      <c r="E950" s="30"/>
      <c r="F950" s="30"/>
    </row>
    <row r="951" spans="1:10" ht="29.25" customHeight="1">
      <c r="A951" s="1013" t="str">
        <f>"PHIẾU ĐIỂM NĂM HỌC "&amp;'Huong dan'!$C$5</f>
        <v>PHIẾU ĐIỂM NĂM HỌC 2021 - 2022</v>
      </c>
      <c r="B951" s="1013"/>
      <c r="C951" s="1013"/>
      <c r="D951" s="1013"/>
      <c r="E951" s="1013"/>
      <c r="F951" s="1013"/>
    </row>
    <row r="952" spans="1:10" ht="12.75" customHeight="1">
      <c r="A952" s="70"/>
      <c r="B952" s="66"/>
      <c r="C952" s="66"/>
      <c r="D952" s="66"/>
      <c r="E952" s="66"/>
      <c r="F952" s="66"/>
    </row>
    <row r="953" spans="1:10" ht="20.25" customHeight="1">
      <c r="A953" s="1131" t="s">
        <v>212</v>
      </c>
      <c r="B953" s="1131"/>
      <c r="C953" s="77" t="str">
        <f>IF(F991="","",INDEX(DiemHKII!$E$4:$E$58,MATCH(F991,DiemHKII!$B$4:$B$58,0),1)&amp;" "&amp;INDEX(DiemHKII!$F$4:$F$58,MATCH(F991,DiemHKII!$B$4:$B$58,0),1))</f>
        <v>Phạm Thị Khả  My</v>
      </c>
      <c r="D953" s="77"/>
      <c r="E953" s="77"/>
      <c r="F953" s="71" t="str">
        <f>IF('Huong dan'!$C$3="","","Lớp: "&amp;'Huong dan'!$C$3)</f>
        <v>Lớp: 12A1</v>
      </c>
    </row>
    <row r="954" spans="1:10" ht="24" customHeight="1">
      <c r="A954" s="1131" t="s">
        <v>213</v>
      </c>
      <c r="B954" s="1131"/>
      <c r="C954" s="77" t="str">
        <f>IF(F991="","",INDEX(DiemHKII!$G$4:$G$58,MATCH(F991,DiemHKII!$B$4:$B$58,0),1))</f>
        <v>28/02/2004</v>
      </c>
      <c r="D954" s="77"/>
      <c r="E954" s="1133" t="str">
        <f>IF(F991="","","Nơi sinh: "&amp;INDEX(DiemHKII!$H$4:$H$58,MATCH(F991,DiemHKII!$B$4:$B$58,0),1))</f>
        <v xml:space="preserve">Nơi sinh: </v>
      </c>
      <c r="F954" s="1133"/>
    </row>
    <row r="955" spans="1:10" ht="15" customHeight="1">
      <c r="A955" s="62"/>
      <c r="B955" s="62"/>
      <c r="C955" s="62"/>
      <c r="D955" s="62"/>
      <c r="E955" s="62"/>
      <c r="F955" s="63"/>
    </row>
    <row r="956" spans="1:10" ht="21" customHeight="1">
      <c r="A956" s="1134" t="s">
        <v>0</v>
      </c>
      <c r="B956" s="1134" t="s">
        <v>72</v>
      </c>
      <c r="C956" s="1134" t="s">
        <v>216</v>
      </c>
      <c r="D956" s="1134"/>
      <c r="E956" s="1134"/>
      <c r="F956" s="1134" t="s">
        <v>148</v>
      </c>
    </row>
    <row r="957" spans="1:10" ht="21" customHeight="1">
      <c r="A957" s="1134"/>
      <c r="B957" s="1134"/>
      <c r="C957" s="476" t="s">
        <v>188</v>
      </c>
      <c r="D957" s="476" t="s">
        <v>189</v>
      </c>
      <c r="E957" s="476" t="s">
        <v>190</v>
      </c>
      <c r="F957" s="1134"/>
    </row>
    <row r="958" spans="1:10" ht="21" customHeight="1">
      <c r="A958" s="72" t="s">
        <v>191</v>
      </c>
      <c r="B958" s="73" t="s">
        <v>26</v>
      </c>
      <c r="C958" s="74" t="str">
        <f>INDEX('TH CANAM'!$A$9:$BF$63,MATCH(PDNam!$F991,'TH CANAM'!$A$9:$A$63,0),INDEX($J$13:$M$30,MATCH($B958,$J$13:$J$30,0),K$12))</f>
        <v/>
      </c>
      <c r="D958" s="74" t="str">
        <f>INDEX('TH CANAM'!$A$9:$BF$63,MATCH(PDNam!$F991,'TH CANAM'!$A$9:$A$63,0),INDEX($J$13:$M$30,MATCH($B958,$J$13:$J$30,0),L$12))</f>
        <v/>
      </c>
      <c r="E958" s="74" t="str">
        <f>INDEX('TH CANAM'!$A$9:$BF$63,MATCH(PDNam!$F991,'TH CANAM'!$A$9:$A$63,0),INDEX($J$13:$M$30,MATCH($B958,$J$13:$J$30,0),M$12))</f>
        <v/>
      </c>
      <c r="F958" s="73"/>
      <c r="I958" s="64"/>
      <c r="J958" s="64"/>
    </row>
    <row r="959" spans="1:10" ht="21" customHeight="1">
      <c r="A959" s="72" t="s">
        <v>192</v>
      </c>
      <c r="B959" s="73" t="s">
        <v>27</v>
      </c>
      <c r="C959" s="74" t="str">
        <f>INDEX('TH CANAM'!$A$9:$BF$63,MATCH(PDNam!$F991,'TH CANAM'!$A$9:$A$63,0),INDEX($J$13:$M$30,MATCH($B959,$J$13:$J$30,0),K$12))</f>
        <v/>
      </c>
      <c r="D959" s="74" t="str">
        <f>INDEX('TH CANAM'!$A$9:$BF$63,MATCH(PDNam!$F991,'TH CANAM'!$A$9:$A$63,0),INDEX($J$13:$M$30,MATCH($B959,$J$13:$J$30,0),L$12))</f>
        <v/>
      </c>
      <c r="E959" s="74" t="str">
        <f>INDEX('TH CANAM'!$A$9:$BF$63,MATCH(PDNam!$F991,'TH CANAM'!$A$9:$A$63,0),INDEX($J$13:$M$30,MATCH($B959,$J$13:$J$30,0),M$12))</f>
        <v/>
      </c>
      <c r="F959" s="73"/>
      <c r="I959" s="64"/>
      <c r="J959" s="64"/>
    </row>
    <row r="960" spans="1:10" ht="21" customHeight="1">
      <c r="A960" s="72" t="s">
        <v>193</v>
      </c>
      <c r="B960" s="73" t="s">
        <v>28</v>
      </c>
      <c r="C960" s="74" t="str">
        <f>INDEX('TH CANAM'!$A$9:$BF$63,MATCH(PDNam!$F991,'TH CANAM'!$A$9:$A$63,0),INDEX($J$13:$M$30,MATCH($B960,$J$13:$J$30,0),K$12))</f>
        <v/>
      </c>
      <c r="D960" s="74" t="str">
        <f>INDEX('TH CANAM'!$A$9:$BF$63,MATCH(PDNam!$F991,'TH CANAM'!$A$9:$A$63,0),INDEX($J$13:$M$30,MATCH($B960,$J$13:$J$30,0),L$12))</f>
        <v/>
      </c>
      <c r="E960" s="74" t="str">
        <f>INDEX('TH CANAM'!$A$9:$BF$63,MATCH(PDNam!$F991,'TH CANAM'!$A$9:$A$63,0),INDEX($J$13:$M$30,MATCH($B960,$J$13:$J$30,0),M$12))</f>
        <v/>
      </c>
      <c r="F960" s="73"/>
      <c r="I960" s="64"/>
      <c r="J960" s="64"/>
    </row>
    <row r="961" spans="1:10" ht="21" customHeight="1">
      <c r="A961" s="72" t="s">
        <v>194</v>
      </c>
      <c r="B961" s="73" t="s">
        <v>29</v>
      </c>
      <c r="C961" s="74" t="str">
        <f>INDEX('TH CANAM'!$A$9:$BF$63,MATCH(PDNam!$F991,'TH CANAM'!$A$9:$A$63,0),INDEX($J$13:$M$30,MATCH($B961,$J$13:$J$30,0),K$12))</f>
        <v/>
      </c>
      <c r="D961" s="74" t="str">
        <f>INDEX('TH CANAM'!$A$9:$BF$63,MATCH(PDNam!$F991,'TH CANAM'!$A$9:$A$63,0),INDEX($J$13:$M$30,MATCH($B961,$J$13:$J$30,0),L$12))</f>
        <v/>
      </c>
      <c r="E961" s="74" t="str">
        <f>INDEX('TH CANAM'!$A$9:$BF$63,MATCH(PDNam!$F991,'TH CANAM'!$A$9:$A$63,0),INDEX($J$13:$M$30,MATCH($B961,$J$13:$J$30,0),M$12))</f>
        <v/>
      </c>
      <c r="F961" s="73"/>
      <c r="I961" s="64"/>
      <c r="J961" s="64"/>
    </row>
    <row r="962" spans="1:10" ht="21" customHeight="1">
      <c r="A962" s="72" t="s">
        <v>195</v>
      </c>
      <c r="B962" s="73" t="s">
        <v>120</v>
      </c>
      <c r="C962" s="74" t="str">
        <f>INDEX('TH CANAM'!$A$9:$BF$63,MATCH(PDNam!$F991,'TH CANAM'!$A$9:$A$63,0),INDEX($J$13:$M$30,MATCH($B962,$J$13:$J$30,0),K$12))</f>
        <v/>
      </c>
      <c r="D962" s="74" t="str">
        <f>INDEX('TH CANAM'!$A$9:$BF$63,MATCH(PDNam!$F991,'TH CANAM'!$A$9:$A$63,0),INDEX($J$13:$M$30,MATCH($B962,$J$13:$J$30,0),L$12))</f>
        <v/>
      </c>
      <c r="E962" s="74" t="str">
        <f>INDEX('TH CANAM'!$A$9:$BF$63,MATCH(PDNam!$F991,'TH CANAM'!$A$9:$A$63,0),INDEX($J$13:$M$30,MATCH($B962,$J$13:$J$30,0),M$12))</f>
        <v/>
      </c>
      <c r="F962" s="73"/>
      <c r="I962" s="64"/>
      <c r="J962" s="64"/>
    </row>
    <row r="963" spans="1:10" ht="21" customHeight="1">
      <c r="A963" s="72" t="s">
        <v>196</v>
      </c>
      <c r="B963" s="73" t="s">
        <v>30</v>
      </c>
      <c r="C963" s="74" t="str">
        <f>INDEX('TH CANAM'!$A$9:$BF$63,MATCH(PDNam!$F991,'TH CANAM'!$A$9:$A$63,0),INDEX($J$13:$M$30,MATCH($B963,$J$13:$J$30,0),K$12))</f>
        <v/>
      </c>
      <c r="D963" s="74" t="str">
        <f>INDEX('TH CANAM'!$A$9:$BF$63,MATCH(PDNam!$F991,'TH CANAM'!$A$9:$A$63,0),INDEX($J$13:$M$30,MATCH($B963,$J$13:$J$30,0),L$12))</f>
        <v/>
      </c>
      <c r="E963" s="74" t="str">
        <f>INDEX('TH CANAM'!$A$9:$BF$63,MATCH(PDNam!$F991,'TH CANAM'!$A$9:$A$63,0),INDEX($J$13:$M$30,MATCH($B963,$J$13:$J$30,0),M$12))</f>
        <v/>
      </c>
      <c r="F963" s="73"/>
      <c r="I963" s="64"/>
      <c r="J963" s="64"/>
    </row>
    <row r="964" spans="1:10" ht="21" customHeight="1">
      <c r="A964" s="72" t="s">
        <v>197</v>
      </c>
      <c r="B964" s="73" t="s">
        <v>31</v>
      </c>
      <c r="C964" s="74" t="str">
        <f>INDEX('TH CANAM'!$A$9:$BF$63,MATCH(PDNam!$F991,'TH CANAM'!$A$9:$A$63,0),INDEX($J$13:$M$30,MATCH($B964,$J$13:$J$30,0),K$12))</f>
        <v/>
      </c>
      <c r="D964" s="74" t="str">
        <f>INDEX('TH CANAM'!$A$9:$BF$63,MATCH(PDNam!$F991,'TH CANAM'!$A$9:$A$63,0),INDEX($J$13:$M$30,MATCH($B964,$J$13:$J$30,0),L$12))</f>
        <v/>
      </c>
      <c r="E964" s="74" t="str">
        <f>INDEX('TH CANAM'!$A$9:$BF$63,MATCH(PDNam!$F991,'TH CANAM'!$A$9:$A$63,0),INDEX($J$13:$M$30,MATCH($B964,$J$13:$J$30,0),M$12))</f>
        <v/>
      </c>
      <c r="F964" s="73"/>
      <c r="I964" s="64"/>
      <c r="J964" s="64"/>
    </row>
    <row r="965" spans="1:10" ht="21" customHeight="1">
      <c r="A965" s="72" t="s">
        <v>198</v>
      </c>
      <c r="B965" s="73" t="s">
        <v>32</v>
      </c>
      <c r="C965" s="74" t="str">
        <f>INDEX('TH CANAM'!$A$9:$BF$63,MATCH(PDNam!$F991,'TH CANAM'!$A$9:$A$63,0),INDEX($J$13:$M$30,MATCH($B965,$J$13:$J$30,0),K$12))</f>
        <v/>
      </c>
      <c r="D965" s="74" t="str">
        <f>INDEX('TH CANAM'!$A$9:$BF$63,MATCH(PDNam!$F991,'TH CANAM'!$A$9:$A$63,0),INDEX($J$13:$M$30,MATCH($B965,$J$13:$J$30,0),L$12))</f>
        <v/>
      </c>
      <c r="E965" s="74" t="str">
        <f>INDEX('TH CANAM'!$A$9:$BF$63,MATCH(PDNam!$F991,'TH CANAM'!$A$9:$A$63,0),INDEX($J$13:$M$30,MATCH($B965,$J$13:$J$30,0),M$12))</f>
        <v/>
      </c>
      <c r="F965" s="73"/>
      <c r="I965" s="64"/>
      <c r="J965" s="64"/>
    </row>
    <row r="966" spans="1:10" ht="21" customHeight="1">
      <c r="A966" s="72" t="s">
        <v>199</v>
      </c>
      <c r="B966" s="73" t="s">
        <v>33</v>
      </c>
      <c r="C966" s="74" t="str">
        <f>INDEX('TH CANAM'!$A$9:$BF$63,MATCH(PDNam!$F991,'TH CANAM'!$A$9:$A$63,0),INDEX($J$13:$M$30,MATCH($B966,$J$13:$J$30,0),K$12))</f>
        <v/>
      </c>
      <c r="D966" s="74" t="str">
        <f>INDEX('TH CANAM'!$A$9:$BF$63,MATCH(PDNam!$F991,'TH CANAM'!$A$9:$A$63,0),INDEX($J$13:$M$30,MATCH($B966,$J$13:$J$30,0),L$12))</f>
        <v/>
      </c>
      <c r="E966" s="74" t="str">
        <f>INDEX('TH CANAM'!$A$9:$BF$63,MATCH(PDNam!$F991,'TH CANAM'!$A$9:$A$63,0),INDEX($J$13:$M$30,MATCH($B966,$J$13:$J$30,0),M$12))</f>
        <v/>
      </c>
      <c r="F966" s="73"/>
      <c r="I966" s="64"/>
      <c r="J966" s="64"/>
    </row>
    <row r="967" spans="1:10" ht="21" customHeight="1">
      <c r="A967" s="72" t="s">
        <v>200</v>
      </c>
      <c r="B967" s="73" t="s">
        <v>60</v>
      </c>
      <c r="C967" s="74" t="str">
        <f>INDEX('TH CANAM'!$A$9:$BF$63,MATCH(PDNam!$F991,'TH CANAM'!$A$9:$A$63,0),INDEX($J$13:$M$30,MATCH($B967,$J$13:$J$30,0),K$12))</f>
        <v/>
      </c>
      <c r="D967" s="74" t="str">
        <f>INDEX('TH CANAM'!$A$9:$BF$63,MATCH(PDNam!$F991,'TH CANAM'!$A$9:$A$63,0),INDEX($J$13:$M$30,MATCH($B967,$J$13:$J$30,0),L$12))</f>
        <v/>
      </c>
      <c r="E967" s="74" t="str">
        <f>INDEX('TH CANAM'!$A$9:$BF$63,MATCH(PDNam!$F991,'TH CANAM'!$A$9:$A$63,0),INDEX($J$13:$M$30,MATCH($B967,$J$13:$J$30,0),M$12))</f>
        <v/>
      </c>
      <c r="F967" s="73"/>
      <c r="I967" s="64"/>
      <c r="J967" s="64"/>
    </row>
    <row r="968" spans="1:10" ht="21" customHeight="1">
      <c r="A968" s="72" t="s">
        <v>201</v>
      </c>
      <c r="B968" s="73" t="s">
        <v>34</v>
      </c>
      <c r="C968" s="74" t="str">
        <f>INDEX('TH CANAM'!$A$9:$BF$63,MATCH(PDNam!$F991,'TH CANAM'!$A$9:$A$63,0),INDEX($J$13:$M$30,MATCH($B968,$J$13:$J$30,0),K$12))</f>
        <v/>
      </c>
      <c r="D968" s="74" t="str">
        <f>INDEX('TH CANAM'!$A$9:$BF$63,MATCH(PDNam!$F991,'TH CANAM'!$A$9:$A$63,0),INDEX($J$13:$M$30,MATCH($B968,$J$13:$J$30,0),L$12))</f>
        <v/>
      </c>
      <c r="E968" s="74" t="str">
        <f>INDEX('TH CANAM'!$A$9:$BF$63,MATCH(PDNam!$F991,'TH CANAM'!$A$9:$A$63,0),INDEX($J$13:$M$30,MATCH($B968,$J$13:$J$30,0),M$12))</f>
        <v/>
      </c>
      <c r="F968" s="73"/>
      <c r="I968" s="64"/>
      <c r="J968" s="64"/>
    </row>
    <row r="969" spans="1:10" ht="21" customHeight="1">
      <c r="A969" s="72" t="s">
        <v>202</v>
      </c>
      <c r="B969" s="73" t="s">
        <v>35</v>
      </c>
      <c r="C969" s="74" t="str">
        <f>INDEX('TH CANAM'!$A$9:$BF$63,MATCH(PDNam!$F991,'TH CANAM'!$A$9:$A$63,0),INDEX($J$13:$M$30,MATCH($B969,$J$13:$J$30,0),K$12))</f>
        <v/>
      </c>
      <c r="D969" s="74" t="str">
        <f>INDEX('TH CANAM'!$A$9:$BF$63,MATCH(PDNam!$F991,'TH CANAM'!$A$9:$A$63,0),INDEX($J$13:$M$30,MATCH($B969,$J$13:$J$30,0),L$12))</f>
        <v/>
      </c>
      <c r="E969" s="74" t="str">
        <f>INDEX('TH CANAM'!$A$9:$BF$63,MATCH(PDNam!$F991,'TH CANAM'!$A$9:$A$63,0),INDEX($J$13:$M$30,MATCH($B969,$J$13:$J$30,0),M$12))</f>
        <v/>
      </c>
      <c r="F969" s="73"/>
      <c r="I969" s="64"/>
      <c r="J969" s="64"/>
    </row>
    <row r="970" spans="1:10" ht="21" customHeight="1">
      <c r="A970" s="72" t="s">
        <v>203</v>
      </c>
      <c r="B970" s="73" t="s">
        <v>121</v>
      </c>
      <c r="C970" s="74" t="str">
        <f>INDEX('TH CANAM'!$A$9:$BF$63,MATCH(PDNam!$F991,'TH CANAM'!$A$9:$A$63,0),INDEX($J$13:$M$30,MATCH($B970,$J$13:$J$30,0),K$12))</f>
        <v/>
      </c>
      <c r="D970" s="74" t="str">
        <f>INDEX('TH CANAM'!$A$9:$BF$63,MATCH(PDNam!$F991,'TH CANAM'!$A$9:$A$63,0),INDEX($J$13:$M$30,MATCH($B970,$J$13:$J$30,0),L$12))</f>
        <v/>
      </c>
      <c r="E970" s="74" t="str">
        <f>INDEX('TH CANAM'!$A$9:$BF$63,MATCH(PDNam!$F991,'TH CANAM'!$A$9:$A$63,0),INDEX($J$13:$M$30,MATCH($B970,$J$13:$J$30,0),M$12))</f>
        <v/>
      </c>
      <c r="F970" s="73"/>
      <c r="I970" s="64"/>
      <c r="J970" s="64"/>
    </row>
    <row r="971" spans="1:10" ht="21" customHeight="1">
      <c r="A971" s="72" t="s">
        <v>204</v>
      </c>
      <c r="B971" s="73" t="s">
        <v>122</v>
      </c>
      <c r="C971" s="74" t="str">
        <f>INDEX('TH CANAM'!$A$9:$BF$63,MATCH(PDNam!$F991,'TH CANAM'!$A$9:$A$63,0),INDEX($J$13:$M$30,MATCH($B971,$J$13:$J$30,0),K$12))</f>
        <v/>
      </c>
      <c r="D971" s="74" t="str">
        <f>INDEX('TH CANAM'!$A$9:$BF$63,MATCH(PDNam!$F991,'TH CANAM'!$A$9:$A$63,0),INDEX($J$13:$M$30,MATCH($B971,$J$13:$J$30,0),L$12))</f>
        <v/>
      </c>
      <c r="E971" s="74" t="str">
        <f>INDEX('TH CANAM'!$A$9:$BF$63,MATCH(PDNam!$F991,'TH CANAM'!$A$9:$A$63,0),INDEX($J$13:$M$30,MATCH($B971,$J$13:$J$30,0),M$12))</f>
        <v/>
      </c>
      <c r="F971" s="73"/>
      <c r="I971" s="64"/>
      <c r="J971" s="64"/>
    </row>
    <row r="972" spans="1:10" ht="21" customHeight="1">
      <c r="A972" s="72" t="s">
        <v>208</v>
      </c>
      <c r="B972" s="73" t="s">
        <v>205</v>
      </c>
      <c r="C972" s="78">
        <f>INDEX('TH CANAM'!$A$9:$BF$63,MATCH(PDNam!$F991,'TH CANAM'!$A$9:$A$63,0),46)</f>
        <v>9.4</v>
      </c>
      <c r="D972" s="78" t="str">
        <f>INDEX('TH CANAM'!$A$9:$BF$63,MATCH(PDNam!$F991,'TH CANAM'!$A$9:$A$63,0),47)</f>
        <v/>
      </c>
      <c r="E972" s="78" t="str">
        <f>INDEX('TH CANAM'!$A$9:$BF$63,MATCH(PDNam!$F991,'TH CANAM'!$A$9:$A$63,0),48)</f>
        <v/>
      </c>
      <c r="F972" s="73"/>
      <c r="I972" s="64"/>
      <c r="J972" s="64"/>
    </row>
    <row r="973" spans="1:10" ht="21" customHeight="1">
      <c r="A973" s="72" t="s">
        <v>209</v>
      </c>
      <c r="B973" s="72" t="s">
        <v>206</v>
      </c>
      <c r="C973" s="74" t="str">
        <f>IF(INDEX('TH CANAM'!$A$9:$BF$63,MATCH(PDNam!$F991,'TH CANAM'!$A$9:$A$63,0),49)="Tb","Trung bình",INDEX('TH CANAM'!$A$9:$BF$63,MATCH(PDNam!$F991,'TH CANAM'!$A$9:$A$63,0),49))</f>
        <v>Giỏi</v>
      </c>
      <c r="D973" s="74" t="str">
        <f>IF(INDEX('TH CANAM'!$A$9:$BF$63,MATCH(PDNam!$F991,'TH CANAM'!$A$9:$A$63,0),50)="Tb","Trung bình",INDEX('TH CANAM'!$A$9:$BF$63,MATCH(PDNam!$F991,'TH CANAM'!$A$9:$A$63,0),50))</f>
        <v/>
      </c>
      <c r="E973" s="74" t="str">
        <f>IF(INDEX('TH CANAM'!$A$9:$BF$63,MATCH(PDNam!$F991,'TH CANAM'!$A$9:$A$63,0),51)="Tb","Trung bình",INDEX('TH CANAM'!$A$9:$BF$63,MATCH(PDNam!$F991,'TH CANAM'!$A$9:$A$63,0),51))</f>
        <v/>
      </c>
      <c r="F973" s="73"/>
    </row>
    <row r="974" spans="1:10" ht="21" customHeight="1">
      <c r="A974" s="72" t="s">
        <v>210</v>
      </c>
      <c r="B974" s="72" t="s">
        <v>207</v>
      </c>
      <c r="C974" s="74" t="str">
        <f>INDEX('TH CANAM'!$A$9:$BF$63,MATCH(PDNam!$F991,'TH CANAM'!$A$9:$A$63,0),52)</f>
        <v>Tốt</v>
      </c>
      <c r="D974" s="74" t="str">
        <f>INDEX('TH CANAM'!$A$9:$BF$63,MATCH(PDNam!$F991,'TH CANAM'!$A$9:$A$63,0),53)</f>
        <v/>
      </c>
      <c r="E974" s="74" t="str">
        <f>INDEX('TH CANAM'!$A$9:$BF$63,MATCH(PDNam!$F991,'TH CANAM'!$A$9:$A$63,0),54)</f>
        <v/>
      </c>
      <c r="F974" s="73"/>
    </row>
    <row r="975" spans="1:10" ht="21" customHeight="1">
      <c r="A975" s="72" t="s">
        <v>211</v>
      </c>
      <c r="B975" s="72" t="s">
        <v>25</v>
      </c>
      <c r="C975" s="74" t="str">
        <f>IF(INDEX('TH CANAM'!$A$9:$BF$63,MATCH(PDNam!$F991,'TH CANAM'!$A$9:$A$63,0),57)&lt;&gt;"",INDEX('TH CANAM'!$A$9:$BF$63,MATCH(PDNam!$F991,'TH CANAM'!$A$9:$A$63,0),57),"/")</f>
        <v>HSG</v>
      </c>
      <c r="D975" s="74" t="str">
        <f>IF(INDEX('TH CANAM'!$A$9:$BF$63,MATCH(PDNam!$F991,'TH CANAM'!$A$9:$A$63,0),58)&lt;&gt;"",INDEX('TH CANAM'!$A$9:$BF$63,MATCH(PDNam!$F991,'TH CANAM'!$A$9:$A$63,0),58),"/")</f>
        <v>/</v>
      </c>
      <c r="E975" s="74" t="str">
        <f>IF(INDEX('TH CANAM'!$A$9:$BF$63,MATCH(PDNam!$F991,'TH CANAM'!$A$9:$A$63,0),55)&lt;&gt;"",INDEX('TH CANAM'!$A$9:$BF$63,MATCH(PDNam!$F991,'TH CANAM'!$A$9:$A$63,0),55),"/")</f>
        <v>/</v>
      </c>
      <c r="F975" s="73"/>
    </row>
    <row r="976" spans="1:10" s="60" customFormat="1" ht="9" customHeight="1">
      <c r="A976" s="67"/>
      <c r="B976" s="67"/>
      <c r="C976" s="1132"/>
      <c r="D976" s="1132"/>
      <c r="E976" s="67"/>
      <c r="F976" s="67"/>
    </row>
    <row r="977" spans="1:10" s="60" customFormat="1" ht="18.75" customHeight="1">
      <c r="A977" s="58" t="s">
        <v>219</v>
      </c>
      <c r="B977" s="57"/>
      <c r="C977" s="57"/>
      <c r="D977" s="57"/>
      <c r="E977" s="57"/>
      <c r="F977" s="475"/>
    </row>
    <row r="978" spans="1:10" s="60" customFormat="1" ht="18.75" customHeight="1">
      <c r="A978" s="59" t="str">
        <f>IF(F991&lt;&gt;"",IF(INDEX(BDHK2,MATCH(F991,DiemHKII!$B$4:$B$58,0),137)&lt;&gt;""," - "&amp;INDEX(BDHK2,MATCH(F991,DiemHKII!$B$4:$B$58,0),137),""),"")</f>
        <v/>
      </c>
      <c r="B978" s="57"/>
      <c r="C978" s="57"/>
      <c r="D978" s="57"/>
      <c r="E978" s="57"/>
      <c r="F978" s="475"/>
    </row>
    <row r="979" spans="1:10" s="60" customFormat="1" ht="18.75" customHeight="1">
      <c r="A979" s="59" t="str">
        <f>IF(F991&lt;&gt;"",IF(INDEX(BDHK2,MATCH(F991,DiemHKII!$B$4:$B$58,0),138)&lt;&gt;""," - "&amp;INDEX(BDHK2,MATCH(F991,DiemHKII!$B$4:$B$58,0),138),""),"")</f>
        <v/>
      </c>
      <c r="B979" s="57"/>
      <c r="C979" s="57"/>
      <c r="D979" s="57"/>
      <c r="E979" s="57"/>
      <c r="F979" s="475"/>
    </row>
    <row r="980" spans="1:10" s="60" customFormat="1" ht="18.75" customHeight="1">
      <c r="A980" s="59" t="str">
        <f>IF(F991&lt;&gt;"",IF(INDEX(BDHK2,MATCH(F991,DiemHKII!$B$4:$B$58,0),139)&lt;&gt;""," - "&amp;INDEX(BDHK2,MATCH(F991,DiemHKII!$B$4:$B$58,0),139),""),"")</f>
        <v/>
      </c>
      <c r="B980" s="57"/>
      <c r="C980" s="57"/>
      <c r="D980" s="57"/>
      <c r="E980" s="57"/>
      <c r="F980" s="475"/>
    </row>
    <row r="981" spans="1:10" s="60" customFormat="1" ht="18.75" customHeight="1">
      <c r="A981" s="59" t="str">
        <f>IF(F991&lt;&gt;"",IF(INDEX(BDHK2,MATCH(F991,DiemHKII!$B$4:$B$58,0),140)&lt;&gt;""," - "&amp;INDEX(BDHK2,MATCH(F991,DiemHKII!$B$4:$B$58,0),140),""),"")</f>
        <v/>
      </c>
      <c r="B981" s="57"/>
      <c r="C981" s="57"/>
      <c r="D981" s="57"/>
      <c r="E981" s="57"/>
      <c r="F981" s="67"/>
    </row>
    <row r="982" spans="1:10" ht="6" customHeight="1">
      <c r="A982" s="68"/>
      <c r="B982" s="68"/>
      <c r="C982" s="68"/>
      <c r="D982" s="68"/>
      <c r="E982" s="68"/>
      <c r="F982" s="68"/>
    </row>
    <row r="983" spans="1:10">
      <c r="A983" s="68"/>
      <c r="B983" s="68"/>
      <c r="C98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983" s="1060"/>
      <c r="E983" s="1060"/>
      <c r="F983" s="1060"/>
    </row>
    <row r="984" spans="1:10" ht="20.25" customHeight="1">
      <c r="A984" s="1012" t="str">
        <f>IF($D$39="Hiệu trưởng","Giáo viên Quản nhiệm","")</f>
        <v>Giáo viên Quản nhiệm</v>
      </c>
      <c r="B984" s="1012"/>
      <c r="C984" s="61"/>
      <c r="D984" s="1012" t="str">
        <f>IF($H$7="","",$H$7)</f>
        <v>Hiệu trưởng</v>
      </c>
      <c r="E984" s="1012"/>
      <c r="F984" s="61"/>
    </row>
    <row r="985" spans="1:10">
      <c r="A985" s="68"/>
      <c r="B985" s="68"/>
      <c r="C985" s="68"/>
      <c r="D985" s="68"/>
      <c r="E985" s="68"/>
      <c r="F985" s="68"/>
    </row>
    <row r="986" spans="1:10">
      <c r="A986" s="68"/>
      <c r="B986" s="68"/>
      <c r="C986" s="68"/>
      <c r="D986" s="68"/>
      <c r="E986" s="68"/>
      <c r="F986" s="68"/>
    </row>
    <row r="987" spans="1:10" ht="16.8">
      <c r="A987" s="68"/>
      <c r="B987" s="68"/>
      <c r="C987" s="64"/>
      <c r="D987" s="64"/>
      <c r="E987" s="64"/>
      <c r="F987" s="64"/>
      <c r="G987" s="65"/>
      <c r="H987" s="65"/>
      <c r="I987" s="65"/>
      <c r="J987" s="65"/>
    </row>
    <row r="989" spans="1:10">
      <c r="A989" s="1012" t="str">
        <f>IF($A$39="","",PROPER('Huong dan'!$C$4))</f>
        <v/>
      </c>
      <c r="B989" s="1012"/>
      <c r="D989" s="1130" t="str">
        <f>IFERROR(IF($D$39="Giáo Viên Quản nhiệm",PROPER('Huong dan'!$C$4),IF($D$39="Hiệu trưởng",PROPER('Huong dan'!$E$5),"")),"")</f>
        <v/>
      </c>
      <c r="E989" s="1130"/>
    </row>
    <row r="990" spans="1:10" ht="7.5" customHeight="1"/>
    <row r="991" spans="1:10" ht="11.25" customHeight="1">
      <c r="A991" s="75"/>
      <c r="B991" s="75"/>
      <c r="C991" s="75"/>
      <c r="D991" s="75"/>
      <c r="E991" s="75"/>
      <c r="F991" s="76">
        <f>IF(F946="","",IF(F946&lt;MAX(DiemHKII!$B$4:$B$58),F946+1,""))</f>
        <v>22</v>
      </c>
    </row>
    <row r="992" spans="1:10" s="60" customFormat="1" ht="22.5" customHeight="1">
      <c r="A992" s="1128" t="str">
        <f>IF('Huong dan'!$E$3&lt;&gt;"","SỞ GIÁO DỤC VÀ ĐÀO TẠO "&amp;UPPER('Huong dan'!$E$3),"")</f>
        <v>SỞ GIÁO DỤC VÀ ĐÀO TẠO TP. HỒ CHÍ MINH</v>
      </c>
      <c r="B992" s="1128"/>
      <c r="C992" s="1128"/>
      <c r="D992" s="1129" t="s">
        <v>19</v>
      </c>
      <c r="E992" s="1129"/>
      <c r="F992" s="1129"/>
    </row>
    <row r="993" spans="1:10" ht="17.25" customHeight="1">
      <c r="A993" s="992" t="str">
        <f>IF('Huong dan'!$E$4&lt;&gt;"","TRƯỜNG "&amp;UPPER('Huong dan'!$E$4),"")</f>
        <v>TRƯỜNG THCS VÀ THPT NGUYỄN KHUYẾN</v>
      </c>
      <c r="B993" s="992"/>
      <c r="C993" s="992"/>
      <c r="D993" s="1130" t="s">
        <v>179</v>
      </c>
      <c r="E993" s="1130"/>
      <c r="F993" s="1130"/>
    </row>
    <row r="994" spans="1:10" ht="12" customHeight="1">
      <c r="A994" s="69"/>
      <c r="B994" s="69"/>
      <c r="C994" s="30"/>
      <c r="D994" s="30"/>
      <c r="E994" s="30"/>
      <c r="F994" s="30"/>
    </row>
    <row r="995" spans="1:10" ht="18" customHeight="1">
      <c r="A995" s="69"/>
      <c r="B995" s="69"/>
      <c r="C995" s="30"/>
      <c r="D995" s="30"/>
      <c r="E995" s="30"/>
      <c r="F995" s="30"/>
    </row>
    <row r="996" spans="1:10" ht="29.25" customHeight="1">
      <c r="A996" s="1013" t="str">
        <f>"PHIẾU ĐIỂM NĂM HỌC "&amp;'Huong dan'!$C$5</f>
        <v>PHIẾU ĐIỂM NĂM HỌC 2021 - 2022</v>
      </c>
      <c r="B996" s="1013"/>
      <c r="C996" s="1013"/>
      <c r="D996" s="1013"/>
      <c r="E996" s="1013"/>
      <c r="F996" s="1013"/>
    </row>
    <row r="997" spans="1:10" ht="12.75" customHeight="1">
      <c r="A997" s="70"/>
      <c r="B997" s="66"/>
      <c r="C997" s="66"/>
      <c r="D997" s="66"/>
      <c r="E997" s="66"/>
      <c r="F997" s="66"/>
    </row>
    <row r="998" spans="1:10" ht="20.25" customHeight="1">
      <c r="A998" s="1131" t="s">
        <v>212</v>
      </c>
      <c r="B998" s="1131"/>
      <c r="C998" s="77" t="str">
        <f>IF(F1036="","",INDEX(DiemHKII!$E$4:$E$58,MATCH(F1036,DiemHKII!$B$4:$B$58,0),1)&amp;" "&amp;INDEX(DiemHKII!$F$4:$F$58,MATCH(F1036,DiemHKII!$B$4:$B$58,0),1))</f>
        <v>Lê Na</v>
      </c>
      <c r="D998" s="77"/>
      <c r="E998" s="77"/>
      <c r="F998" s="71" t="str">
        <f>IF('Huong dan'!$C$3="","","Lớp: "&amp;'Huong dan'!$C$3)</f>
        <v>Lớp: 12A1</v>
      </c>
    </row>
    <row r="999" spans="1:10" ht="24" customHeight="1">
      <c r="A999" s="1131" t="s">
        <v>213</v>
      </c>
      <c r="B999" s="1131"/>
      <c r="C999" s="77" t="str">
        <f>IF(F1036="","",INDEX(DiemHKII!$G$4:$G$58,MATCH(F1036,DiemHKII!$B$4:$B$58,0),1))</f>
        <v>29/02/2004</v>
      </c>
      <c r="D999" s="77"/>
      <c r="E999" s="1133" t="str">
        <f>IF(F1036="","","Nơi sinh: "&amp;INDEX(DiemHKII!$H$4:$H$58,MATCH(F1036,DiemHKII!$B$4:$B$58,0),1))</f>
        <v xml:space="preserve">Nơi sinh: </v>
      </c>
      <c r="F999" s="1133"/>
    </row>
    <row r="1000" spans="1:10" ht="15" customHeight="1">
      <c r="A1000" s="62"/>
      <c r="B1000" s="62"/>
      <c r="C1000" s="62"/>
      <c r="D1000" s="62"/>
      <c r="E1000" s="62"/>
      <c r="F1000" s="63"/>
    </row>
    <row r="1001" spans="1:10" ht="21" customHeight="1">
      <c r="A1001" s="1134" t="s">
        <v>0</v>
      </c>
      <c r="B1001" s="1134" t="s">
        <v>72</v>
      </c>
      <c r="C1001" s="1134" t="s">
        <v>216</v>
      </c>
      <c r="D1001" s="1134"/>
      <c r="E1001" s="1134"/>
      <c r="F1001" s="1134" t="s">
        <v>148</v>
      </c>
    </row>
    <row r="1002" spans="1:10" ht="21" customHeight="1">
      <c r="A1002" s="1134"/>
      <c r="B1002" s="1134"/>
      <c r="C1002" s="476" t="s">
        <v>188</v>
      </c>
      <c r="D1002" s="476" t="s">
        <v>189</v>
      </c>
      <c r="E1002" s="476" t="s">
        <v>190</v>
      </c>
      <c r="F1002" s="1134"/>
    </row>
    <row r="1003" spans="1:10" ht="21" customHeight="1">
      <c r="A1003" s="72" t="s">
        <v>191</v>
      </c>
      <c r="B1003" s="73" t="s">
        <v>26</v>
      </c>
      <c r="C1003" s="74" t="str">
        <f>INDEX('TH CANAM'!$A$9:$BF$63,MATCH(PDNam!$F1036,'TH CANAM'!$A$9:$A$63,0),INDEX($J$13:$M$30,MATCH($B1003,$J$13:$J$30,0),K$12))</f>
        <v/>
      </c>
      <c r="D1003" s="74" t="str">
        <f>INDEX('TH CANAM'!$A$9:$BF$63,MATCH(PDNam!$F1036,'TH CANAM'!$A$9:$A$63,0),INDEX($J$13:$M$30,MATCH($B1003,$J$13:$J$30,0),L$12))</f>
        <v/>
      </c>
      <c r="E1003" s="74" t="str">
        <f>INDEX('TH CANAM'!$A$9:$BF$63,MATCH(PDNam!$F1036,'TH CANAM'!$A$9:$A$63,0),INDEX($J$13:$M$30,MATCH($B1003,$J$13:$J$30,0),M$12))</f>
        <v/>
      </c>
      <c r="F1003" s="73"/>
      <c r="I1003" s="64"/>
      <c r="J1003" s="64"/>
    </row>
    <row r="1004" spans="1:10" ht="21" customHeight="1">
      <c r="A1004" s="72" t="s">
        <v>192</v>
      </c>
      <c r="B1004" s="73" t="s">
        <v>27</v>
      </c>
      <c r="C1004" s="74" t="str">
        <f>INDEX('TH CANAM'!$A$9:$BF$63,MATCH(PDNam!$F1036,'TH CANAM'!$A$9:$A$63,0),INDEX($J$13:$M$30,MATCH($B1004,$J$13:$J$30,0),K$12))</f>
        <v/>
      </c>
      <c r="D1004" s="74" t="str">
        <f>INDEX('TH CANAM'!$A$9:$BF$63,MATCH(PDNam!$F1036,'TH CANAM'!$A$9:$A$63,0),INDEX($J$13:$M$30,MATCH($B1004,$J$13:$J$30,0),L$12))</f>
        <v/>
      </c>
      <c r="E1004" s="74" t="str">
        <f>INDEX('TH CANAM'!$A$9:$BF$63,MATCH(PDNam!$F1036,'TH CANAM'!$A$9:$A$63,0),INDEX($J$13:$M$30,MATCH($B1004,$J$13:$J$30,0),M$12))</f>
        <v/>
      </c>
      <c r="F1004" s="73"/>
      <c r="I1004" s="64"/>
      <c r="J1004" s="64"/>
    </row>
    <row r="1005" spans="1:10" ht="21" customHeight="1">
      <c r="A1005" s="72" t="s">
        <v>193</v>
      </c>
      <c r="B1005" s="73" t="s">
        <v>28</v>
      </c>
      <c r="C1005" s="74" t="str">
        <f>INDEX('TH CANAM'!$A$9:$BF$63,MATCH(PDNam!$F1036,'TH CANAM'!$A$9:$A$63,0),INDEX($J$13:$M$30,MATCH($B1005,$J$13:$J$30,0),K$12))</f>
        <v/>
      </c>
      <c r="D1005" s="74" t="str">
        <f>INDEX('TH CANAM'!$A$9:$BF$63,MATCH(PDNam!$F1036,'TH CANAM'!$A$9:$A$63,0),INDEX($J$13:$M$30,MATCH($B1005,$J$13:$J$30,0),L$12))</f>
        <v/>
      </c>
      <c r="E1005" s="74" t="str">
        <f>INDEX('TH CANAM'!$A$9:$BF$63,MATCH(PDNam!$F1036,'TH CANAM'!$A$9:$A$63,0),INDEX($J$13:$M$30,MATCH($B1005,$J$13:$J$30,0),M$12))</f>
        <v/>
      </c>
      <c r="F1005" s="73"/>
      <c r="I1005" s="64"/>
      <c r="J1005" s="64"/>
    </row>
    <row r="1006" spans="1:10" ht="21" customHeight="1">
      <c r="A1006" s="72" t="s">
        <v>194</v>
      </c>
      <c r="B1006" s="73" t="s">
        <v>29</v>
      </c>
      <c r="C1006" s="74" t="str">
        <f>INDEX('TH CANAM'!$A$9:$BF$63,MATCH(PDNam!$F1036,'TH CANAM'!$A$9:$A$63,0),INDEX($J$13:$M$30,MATCH($B1006,$J$13:$J$30,0),K$12))</f>
        <v/>
      </c>
      <c r="D1006" s="74" t="str">
        <f>INDEX('TH CANAM'!$A$9:$BF$63,MATCH(PDNam!$F1036,'TH CANAM'!$A$9:$A$63,0),INDEX($J$13:$M$30,MATCH($B1006,$J$13:$J$30,0),L$12))</f>
        <v/>
      </c>
      <c r="E1006" s="74" t="str">
        <f>INDEX('TH CANAM'!$A$9:$BF$63,MATCH(PDNam!$F1036,'TH CANAM'!$A$9:$A$63,0),INDEX($J$13:$M$30,MATCH($B1006,$J$13:$J$30,0),M$12))</f>
        <v/>
      </c>
      <c r="F1006" s="73"/>
      <c r="I1006" s="64"/>
      <c r="J1006" s="64"/>
    </row>
    <row r="1007" spans="1:10" ht="21" customHeight="1">
      <c r="A1007" s="72" t="s">
        <v>195</v>
      </c>
      <c r="B1007" s="73" t="s">
        <v>120</v>
      </c>
      <c r="C1007" s="74" t="str">
        <f>INDEX('TH CANAM'!$A$9:$BF$63,MATCH(PDNam!$F1036,'TH CANAM'!$A$9:$A$63,0),INDEX($J$13:$M$30,MATCH($B1007,$J$13:$J$30,0),K$12))</f>
        <v/>
      </c>
      <c r="D1007" s="74" t="str">
        <f>INDEX('TH CANAM'!$A$9:$BF$63,MATCH(PDNam!$F1036,'TH CANAM'!$A$9:$A$63,0),INDEX($J$13:$M$30,MATCH($B1007,$J$13:$J$30,0),L$12))</f>
        <v/>
      </c>
      <c r="E1007" s="74" t="str">
        <f>INDEX('TH CANAM'!$A$9:$BF$63,MATCH(PDNam!$F1036,'TH CANAM'!$A$9:$A$63,0),INDEX($J$13:$M$30,MATCH($B1007,$J$13:$J$30,0),M$12))</f>
        <v/>
      </c>
      <c r="F1007" s="73"/>
      <c r="I1007" s="64"/>
      <c r="J1007" s="64"/>
    </row>
    <row r="1008" spans="1:10" ht="21" customHeight="1">
      <c r="A1008" s="72" t="s">
        <v>196</v>
      </c>
      <c r="B1008" s="73" t="s">
        <v>30</v>
      </c>
      <c r="C1008" s="74" t="str">
        <f>INDEX('TH CANAM'!$A$9:$BF$63,MATCH(PDNam!$F1036,'TH CANAM'!$A$9:$A$63,0),INDEX($J$13:$M$30,MATCH($B1008,$J$13:$J$30,0),K$12))</f>
        <v/>
      </c>
      <c r="D1008" s="74" t="str">
        <f>INDEX('TH CANAM'!$A$9:$BF$63,MATCH(PDNam!$F1036,'TH CANAM'!$A$9:$A$63,0),INDEX($J$13:$M$30,MATCH($B1008,$J$13:$J$30,0),L$12))</f>
        <v/>
      </c>
      <c r="E1008" s="74" t="str">
        <f>INDEX('TH CANAM'!$A$9:$BF$63,MATCH(PDNam!$F1036,'TH CANAM'!$A$9:$A$63,0),INDEX($J$13:$M$30,MATCH($B1008,$J$13:$J$30,0),M$12))</f>
        <v/>
      </c>
      <c r="F1008" s="73"/>
      <c r="I1008" s="64"/>
      <c r="J1008" s="64"/>
    </row>
    <row r="1009" spans="1:10" ht="21" customHeight="1">
      <c r="A1009" s="72" t="s">
        <v>197</v>
      </c>
      <c r="B1009" s="73" t="s">
        <v>31</v>
      </c>
      <c r="C1009" s="74" t="str">
        <f>INDEX('TH CANAM'!$A$9:$BF$63,MATCH(PDNam!$F1036,'TH CANAM'!$A$9:$A$63,0),INDEX($J$13:$M$30,MATCH($B1009,$J$13:$J$30,0),K$12))</f>
        <v/>
      </c>
      <c r="D1009" s="74" t="str">
        <f>INDEX('TH CANAM'!$A$9:$BF$63,MATCH(PDNam!$F1036,'TH CANAM'!$A$9:$A$63,0),INDEX($J$13:$M$30,MATCH($B1009,$J$13:$J$30,0),L$12))</f>
        <v/>
      </c>
      <c r="E1009" s="74" t="str">
        <f>INDEX('TH CANAM'!$A$9:$BF$63,MATCH(PDNam!$F1036,'TH CANAM'!$A$9:$A$63,0),INDEX($J$13:$M$30,MATCH($B1009,$J$13:$J$30,0),M$12))</f>
        <v/>
      </c>
      <c r="F1009" s="73"/>
      <c r="I1009" s="64"/>
      <c r="J1009" s="64"/>
    </row>
    <row r="1010" spans="1:10" ht="21" customHeight="1">
      <c r="A1010" s="72" t="s">
        <v>198</v>
      </c>
      <c r="B1010" s="73" t="s">
        <v>32</v>
      </c>
      <c r="C1010" s="74" t="str">
        <f>INDEX('TH CANAM'!$A$9:$BF$63,MATCH(PDNam!$F1036,'TH CANAM'!$A$9:$A$63,0),INDEX($J$13:$M$30,MATCH($B1010,$J$13:$J$30,0),K$12))</f>
        <v/>
      </c>
      <c r="D1010" s="74" t="str">
        <f>INDEX('TH CANAM'!$A$9:$BF$63,MATCH(PDNam!$F1036,'TH CANAM'!$A$9:$A$63,0),INDEX($J$13:$M$30,MATCH($B1010,$J$13:$J$30,0),L$12))</f>
        <v/>
      </c>
      <c r="E1010" s="74" t="str">
        <f>INDEX('TH CANAM'!$A$9:$BF$63,MATCH(PDNam!$F1036,'TH CANAM'!$A$9:$A$63,0),INDEX($J$13:$M$30,MATCH($B1010,$J$13:$J$30,0),M$12))</f>
        <v/>
      </c>
      <c r="F1010" s="73"/>
      <c r="I1010" s="64"/>
      <c r="J1010" s="64"/>
    </row>
    <row r="1011" spans="1:10" ht="21" customHeight="1">
      <c r="A1011" s="72" t="s">
        <v>199</v>
      </c>
      <c r="B1011" s="73" t="s">
        <v>33</v>
      </c>
      <c r="C1011" s="74" t="str">
        <f>INDEX('TH CANAM'!$A$9:$BF$63,MATCH(PDNam!$F1036,'TH CANAM'!$A$9:$A$63,0),INDEX($J$13:$M$30,MATCH($B1011,$J$13:$J$30,0),K$12))</f>
        <v/>
      </c>
      <c r="D1011" s="74" t="str">
        <f>INDEX('TH CANAM'!$A$9:$BF$63,MATCH(PDNam!$F1036,'TH CANAM'!$A$9:$A$63,0),INDEX($J$13:$M$30,MATCH($B1011,$J$13:$J$30,0),L$12))</f>
        <v/>
      </c>
      <c r="E1011" s="74" t="str">
        <f>INDEX('TH CANAM'!$A$9:$BF$63,MATCH(PDNam!$F1036,'TH CANAM'!$A$9:$A$63,0),INDEX($J$13:$M$30,MATCH($B1011,$J$13:$J$30,0),M$12))</f>
        <v/>
      </c>
      <c r="F1011" s="73"/>
      <c r="I1011" s="64"/>
      <c r="J1011" s="64"/>
    </row>
    <row r="1012" spans="1:10" ht="21" customHeight="1">
      <c r="A1012" s="72" t="s">
        <v>200</v>
      </c>
      <c r="B1012" s="73" t="s">
        <v>60</v>
      </c>
      <c r="C1012" s="74" t="str">
        <f>INDEX('TH CANAM'!$A$9:$BF$63,MATCH(PDNam!$F1036,'TH CANAM'!$A$9:$A$63,0),INDEX($J$13:$M$30,MATCH($B1012,$J$13:$J$30,0),K$12))</f>
        <v/>
      </c>
      <c r="D1012" s="74" t="str">
        <f>INDEX('TH CANAM'!$A$9:$BF$63,MATCH(PDNam!$F1036,'TH CANAM'!$A$9:$A$63,0),INDEX($J$13:$M$30,MATCH($B1012,$J$13:$J$30,0),L$12))</f>
        <v/>
      </c>
      <c r="E1012" s="74" t="str">
        <f>INDEX('TH CANAM'!$A$9:$BF$63,MATCH(PDNam!$F1036,'TH CANAM'!$A$9:$A$63,0),INDEX($J$13:$M$30,MATCH($B1012,$J$13:$J$30,0),M$12))</f>
        <v/>
      </c>
      <c r="F1012" s="73"/>
      <c r="I1012" s="64"/>
      <c r="J1012" s="64"/>
    </row>
    <row r="1013" spans="1:10" ht="21" customHeight="1">
      <c r="A1013" s="72" t="s">
        <v>201</v>
      </c>
      <c r="B1013" s="73" t="s">
        <v>34</v>
      </c>
      <c r="C1013" s="74" t="str">
        <f>INDEX('TH CANAM'!$A$9:$BF$63,MATCH(PDNam!$F1036,'TH CANAM'!$A$9:$A$63,0),INDEX($J$13:$M$30,MATCH($B1013,$J$13:$J$30,0),K$12))</f>
        <v/>
      </c>
      <c r="D1013" s="74" t="str">
        <f>INDEX('TH CANAM'!$A$9:$BF$63,MATCH(PDNam!$F1036,'TH CANAM'!$A$9:$A$63,0),INDEX($J$13:$M$30,MATCH($B1013,$J$13:$J$30,0),L$12))</f>
        <v/>
      </c>
      <c r="E1013" s="74" t="str">
        <f>INDEX('TH CANAM'!$A$9:$BF$63,MATCH(PDNam!$F1036,'TH CANAM'!$A$9:$A$63,0),INDEX($J$13:$M$30,MATCH($B1013,$J$13:$J$30,0),M$12))</f>
        <v/>
      </c>
      <c r="F1013" s="73"/>
      <c r="I1013" s="64"/>
      <c r="J1013" s="64"/>
    </row>
    <row r="1014" spans="1:10" ht="21" customHeight="1">
      <c r="A1014" s="72" t="s">
        <v>202</v>
      </c>
      <c r="B1014" s="73" t="s">
        <v>35</v>
      </c>
      <c r="C1014" s="74" t="str">
        <f>INDEX('TH CANAM'!$A$9:$BF$63,MATCH(PDNam!$F1036,'TH CANAM'!$A$9:$A$63,0),INDEX($J$13:$M$30,MATCH($B1014,$J$13:$J$30,0),K$12))</f>
        <v/>
      </c>
      <c r="D1014" s="74" t="str">
        <f>INDEX('TH CANAM'!$A$9:$BF$63,MATCH(PDNam!$F1036,'TH CANAM'!$A$9:$A$63,0),INDEX($J$13:$M$30,MATCH($B1014,$J$13:$J$30,0),L$12))</f>
        <v/>
      </c>
      <c r="E1014" s="74" t="str">
        <f>INDEX('TH CANAM'!$A$9:$BF$63,MATCH(PDNam!$F1036,'TH CANAM'!$A$9:$A$63,0),INDEX($J$13:$M$30,MATCH($B1014,$J$13:$J$30,0),M$12))</f>
        <v/>
      </c>
      <c r="F1014" s="73"/>
      <c r="I1014" s="64"/>
      <c r="J1014" s="64"/>
    </row>
    <row r="1015" spans="1:10" ht="21" customHeight="1">
      <c r="A1015" s="72" t="s">
        <v>203</v>
      </c>
      <c r="B1015" s="73" t="s">
        <v>121</v>
      </c>
      <c r="C1015" s="74" t="str">
        <f>INDEX('TH CANAM'!$A$9:$BF$63,MATCH(PDNam!$F1036,'TH CANAM'!$A$9:$A$63,0),INDEX($J$13:$M$30,MATCH($B1015,$J$13:$J$30,0),K$12))</f>
        <v/>
      </c>
      <c r="D1015" s="74" t="str">
        <f>INDEX('TH CANAM'!$A$9:$BF$63,MATCH(PDNam!$F1036,'TH CANAM'!$A$9:$A$63,0),INDEX($J$13:$M$30,MATCH($B1015,$J$13:$J$30,0),L$12))</f>
        <v/>
      </c>
      <c r="E1015" s="74" t="str">
        <f>INDEX('TH CANAM'!$A$9:$BF$63,MATCH(PDNam!$F1036,'TH CANAM'!$A$9:$A$63,0),INDEX($J$13:$M$30,MATCH($B1015,$J$13:$J$30,0),M$12))</f>
        <v/>
      </c>
      <c r="F1015" s="73"/>
      <c r="I1015" s="64"/>
      <c r="J1015" s="64"/>
    </row>
    <row r="1016" spans="1:10" ht="21" customHeight="1">
      <c r="A1016" s="72" t="s">
        <v>204</v>
      </c>
      <c r="B1016" s="73" t="s">
        <v>122</v>
      </c>
      <c r="C1016" s="74" t="str">
        <f>INDEX('TH CANAM'!$A$9:$BF$63,MATCH(PDNam!$F1036,'TH CANAM'!$A$9:$A$63,0),INDEX($J$13:$M$30,MATCH($B1016,$J$13:$J$30,0),K$12))</f>
        <v/>
      </c>
      <c r="D1016" s="74" t="str">
        <f>INDEX('TH CANAM'!$A$9:$BF$63,MATCH(PDNam!$F1036,'TH CANAM'!$A$9:$A$63,0),INDEX($J$13:$M$30,MATCH($B1016,$J$13:$J$30,0),L$12))</f>
        <v/>
      </c>
      <c r="E1016" s="74" t="str">
        <f>INDEX('TH CANAM'!$A$9:$BF$63,MATCH(PDNam!$F1036,'TH CANAM'!$A$9:$A$63,0),INDEX($J$13:$M$30,MATCH($B1016,$J$13:$J$30,0),M$12))</f>
        <v/>
      </c>
      <c r="F1016" s="73"/>
      <c r="I1016" s="64"/>
      <c r="J1016" s="64"/>
    </row>
    <row r="1017" spans="1:10" ht="21" customHeight="1">
      <c r="A1017" s="72" t="s">
        <v>208</v>
      </c>
      <c r="B1017" s="73" t="s">
        <v>205</v>
      </c>
      <c r="C1017" s="78">
        <f>INDEX('TH CANAM'!$A$9:$BF$63,MATCH(PDNam!$F1036,'TH CANAM'!$A$9:$A$63,0),46)</f>
        <v>9.3000000000000007</v>
      </c>
      <c r="D1017" s="78" t="str">
        <f>INDEX('TH CANAM'!$A$9:$BF$63,MATCH(PDNam!$F1036,'TH CANAM'!$A$9:$A$63,0),47)</f>
        <v/>
      </c>
      <c r="E1017" s="78" t="str">
        <f>INDEX('TH CANAM'!$A$9:$BF$63,MATCH(PDNam!$F1036,'TH CANAM'!$A$9:$A$63,0),48)</f>
        <v/>
      </c>
      <c r="F1017" s="73"/>
      <c r="I1017" s="64"/>
      <c r="J1017" s="64"/>
    </row>
    <row r="1018" spans="1:10" ht="21" customHeight="1">
      <c r="A1018" s="72" t="s">
        <v>209</v>
      </c>
      <c r="B1018" s="72" t="s">
        <v>206</v>
      </c>
      <c r="C1018" s="74" t="str">
        <f>IF(INDEX('TH CANAM'!$A$9:$BF$63,MATCH(PDNam!$F1036,'TH CANAM'!$A$9:$A$63,0),49)="Tb","Trung bình",INDEX('TH CANAM'!$A$9:$BF$63,MATCH(PDNam!$F1036,'TH CANAM'!$A$9:$A$63,0),49))</f>
        <v>Giỏi</v>
      </c>
      <c r="D1018" s="74" t="str">
        <f>IF(INDEX('TH CANAM'!$A$9:$BF$63,MATCH(PDNam!$F1036,'TH CANAM'!$A$9:$A$63,0),50)="Tb","Trung bình",INDEX('TH CANAM'!$A$9:$BF$63,MATCH(PDNam!$F1036,'TH CANAM'!$A$9:$A$63,0),50))</f>
        <v/>
      </c>
      <c r="E1018" s="74" t="str">
        <f>IF(INDEX('TH CANAM'!$A$9:$BF$63,MATCH(PDNam!$F1036,'TH CANAM'!$A$9:$A$63,0),51)="Tb","Trung bình",INDEX('TH CANAM'!$A$9:$BF$63,MATCH(PDNam!$F1036,'TH CANAM'!$A$9:$A$63,0),51))</f>
        <v/>
      </c>
      <c r="F1018" s="73"/>
    </row>
    <row r="1019" spans="1:10" ht="21" customHeight="1">
      <c r="A1019" s="72" t="s">
        <v>210</v>
      </c>
      <c r="B1019" s="72" t="s">
        <v>207</v>
      </c>
      <c r="C1019" s="74" t="str">
        <f>INDEX('TH CANAM'!$A$9:$BF$63,MATCH(PDNam!$F1036,'TH CANAM'!$A$9:$A$63,0),52)</f>
        <v>Tốt</v>
      </c>
      <c r="D1019" s="74" t="str">
        <f>INDEX('TH CANAM'!$A$9:$BF$63,MATCH(PDNam!$F1036,'TH CANAM'!$A$9:$A$63,0),53)</f>
        <v/>
      </c>
      <c r="E1019" s="74" t="str">
        <f>INDEX('TH CANAM'!$A$9:$BF$63,MATCH(PDNam!$F1036,'TH CANAM'!$A$9:$A$63,0),54)</f>
        <v/>
      </c>
      <c r="F1019" s="73"/>
    </row>
    <row r="1020" spans="1:10" ht="21" customHeight="1">
      <c r="A1020" s="72" t="s">
        <v>211</v>
      </c>
      <c r="B1020" s="72" t="s">
        <v>25</v>
      </c>
      <c r="C1020" s="74" t="str">
        <f>IF(INDEX('TH CANAM'!$A$9:$BF$63,MATCH(PDNam!$F1036,'TH CANAM'!$A$9:$A$63,0),57)&lt;&gt;"",INDEX('TH CANAM'!$A$9:$BF$63,MATCH(PDNam!$F1036,'TH CANAM'!$A$9:$A$63,0),57),"/")</f>
        <v>HSG</v>
      </c>
      <c r="D1020" s="74" t="str">
        <f>IF(INDEX('TH CANAM'!$A$9:$BF$63,MATCH(PDNam!$F1036,'TH CANAM'!$A$9:$A$63,0),58)&lt;&gt;"",INDEX('TH CANAM'!$A$9:$BF$63,MATCH(PDNam!$F1036,'TH CANAM'!$A$9:$A$63,0),58),"/")</f>
        <v>/</v>
      </c>
      <c r="E1020" s="74" t="str">
        <f>IF(INDEX('TH CANAM'!$A$9:$BF$63,MATCH(PDNam!$F1036,'TH CANAM'!$A$9:$A$63,0),55)&lt;&gt;"",INDEX('TH CANAM'!$A$9:$BF$63,MATCH(PDNam!$F1036,'TH CANAM'!$A$9:$A$63,0),55),"/")</f>
        <v>/</v>
      </c>
      <c r="F1020" s="73"/>
    </row>
    <row r="1021" spans="1:10" s="60" customFormat="1" ht="9" customHeight="1">
      <c r="A1021" s="67"/>
      <c r="B1021" s="67"/>
      <c r="C1021" s="1132"/>
      <c r="D1021" s="1132"/>
      <c r="E1021" s="67"/>
      <c r="F1021" s="67"/>
    </row>
    <row r="1022" spans="1:10" s="60" customFormat="1" ht="18.75" customHeight="1">
      <c r="A1022" s="58" t="s">
        <v>219</v>
      </c>
      <c r="B1022" s="57"/>
      <c r="C1022" s="57"/>
      <c r="D1022" s="57"/>
      <c r="E1022" s="57"/>
      <c r="F1022" s="475"/>
    </row>
    <row r="1023" spans="1:10" s="60" customFormat="1" ht="18.75" customHeight="1">
      <c r="A1023" s="59" t="str">
        <f>IF(F1036&lt;&gt;"",IF(INDEX(BDHK2,MATCH(F1036,DiemHKII!$B$4:$B$58,0),137)&lt;&gt;""," - "&amp;INDEX(BDHK2,MATCH(F1036,DiemHKII!$B$4:$B$58,0),137),""),"")</f>
        <v/>
      </c>
      <c r="B1023" s="57"/>
      <c r="C1023" s="57"/>
      <c r="D1023" s="57"/>
      <c r="E1023" s="57"/>
      <c r="F1023" s="475"/>
    </row>
    <row r="1024" spans="1:10" s="60" customFormat="1" ht="18.75" customHeight="1">
      <c r="A1024" s="59" t="str">
        <f>IF(F1036&lt;&gt;"",IF(INDEX(BDHK2,MATCH(F1036,DiemHKII!$B$4:$B$58,0),138)&lt;&gt;""," - "&amp;INDEX(BDHK2,MATCH(F1036,DiemHKII!$B$4:$B$58,0),138),""),"")</f>
        <v/>
      </c>
      <c r="B1024" s="57"/>
      <c r="C1024" s="57"/>
      <c r="D1024" s="57"/>
      <c r="E1024" s="57"/>
      <c r="F1024" s="475"/>
    </row>
    <row r="1025" spans="1:10" s="60" customFormat="1" ht="18.75" customHeight="1">
      <c r="A1025" s="59" t="str">
        <f>IF(F1036&lt;&gt;"",IF(INDEX(BDHK2,MATCH(F1036,DiemHKII!$B$4:$B$58,0),139)&lt;&gt;""," - "&amp;INDEX(BDHK2,MATCH(F1036,DiemHKII!$B$4:$B$58,0),139),""),"")</f>
        <v/>
      </c>
      <c r="B1025" s="57"/>
      <c r="C1025" s="57"/>
      <c r="D1025" s="57"/>
      <c r="E1025" s="57"/>
      <c r="F1025" s="475"/>
    </row>
    <row r="1026" spans="1:10" s="60" customFormat="1" ht="18.75" customHeight="1">
      <c r="A1026" s="59" t="str">
        <f>IF(F1036&lt;&gt;"",IF(INDEX(BDHK2,MATCH(F1036,DiemHKII!$B$4:$B$58,0),140)&lt;&gt;""," - "&amp;INDEX(BDHK2,MATCH(F1036,DiemHKII!$B$4:$B$58,0),140),""),"")</f>
        <v/>
      </c>
      <c r="B1026" s="57"/>
      <c r="C1026" s="57"/>
      <c r="D1026" s="57"/>
      <c r="E1026" s="57"/>
      <c r="F1026" s="67"/>
    </row>
    <row r="1027" spans="1:10" ht="6" customHeight="1">
      <c r="A1027" s="68"/>
      <c r="B1027" s="68"/>
      <c r="C1027" s="68"/>
      <c r="D1027" s="68"/>
      <c r="E1027" s="68"/>
      <c r="F1027" s="68"/>
    </row>
    <row r="1028" spans="1:10">
      <c r="A1028" s="68"/>
      <c r="B1028" s="68"/>
      <c r="C102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028" s="1060"/>
      <c r="E1028" s="1060"/>
      <c r="F1028" s="1060"/>
    </row>
    <row r="1029" spans="1:10" ht="20.25" customHeight="1">
      <c r="A1029" s="1012" t="str">
        <f>IF($D$39="Hiệu trưởng","Giáo viên Quản nhiệm","")</f>
        <v>Giáo viên Quản nhiệm</v>
      </c>
      <c r="B1029" s="1012"/>
      <c r="C1029" s="61"/>
      <c r="D1029" s="1012" t="str">
        <f>IF($H$7="","",$H$7)</f>
        <v>Hiệu trưởng</v>
      </c>
      <c r="E1029" s="1012"/>
      <c r="F1029" s="61"/>
    </row>
    <row r="1030" spans="1:10">
      <c r="A1030" s="68"/>
      <c r="B1030" s="68"/>
      <c r="C1030" s="68"/>
      <c r="D1030" s="68"/>
      <c r="E1030" s="68"/>
      <c r="F1030" s="68"/>
    </row>
    <row r="1031" spans="1:10">
      <c r="A1031" s="68"/>
      <c r="B1031" s="68"/>
      <c r="C1031" s="68"/>
      <c r="D1031" s="68"/>
      <c r="E1031" s="68"/>
      <c r="F1031" s="68"/>
    </row>
    <row r="1032" spans="1:10" ht="16.8">
      <c r="A1032" s="68"/>
      <c r="B1032" s="68"/>
      <c r="C1032" s="64"/>
      <c r="D1032" s="64"/>
      <c r="E1032" s="64"/>
      <c r="F1032" s="64"/>
      <c r="G1032" s="65"/>
      <c r="H1032" s="65"/>
      <c r="I1032" s="65"/>
      <c r="J1032" s="65"/>
    </row>
    <row r="1034" spans="1:10">
      <c r="A1034" s="1012" t="str">
        <f>IF($A$39="","",PROPER('Huong dan'!$C$4))</f>
        <v/>
      </c>
      <c r="B1034" s="1012"/>
      <c r="D1034" s="1130" t="str">
        <f>IFERROR(IF($D$39="Giáo Viên Quản nhiệm",PROPER('Huong dan'!$C$4),IF($D$39="Hiệu trưởng",PROPER('Huong dan'!$E$5),"")),"")</f>
        <v/>
      </c>
      <c r="E1034" s="1130"/>
    </row>
    <row r="1035" spans="1:10" ht="7.5" customHeight="1"/>
    <row r="1036" spans="1:10" ht="11.25" customHeight="1">
      <c r="A1036" s="75"/>
      <c r="B1036" s="75"/>
      <c r="C1036" s="75"/>
      <c r="D1036" s="75"/>
      <c r="E1036" s="75"/>
      <c r="F1036" s="76">
        <f>IF(F991="","",IF(F991&lt;MAX(DiemHKII!$B$4:$B$58),F991+1,""))</f>
        <v>23</v>
      </c>
    </row>
    <row r="1037" spans="1:10" s="60" customFormat="1" ht="22.5" customHeight="1">
      <c r="A1037" s="1128" t="str">
        <f>IF('Huong dan'!$E$3&lt;&gt;"","SỞ GIÁO DỤC VÀ ĐÀO TẠO "&amp;UPPER('Huong dan'!$E$3),"")</f>
        <v>SỞ GIÁO DỤC VÀ ĐÀO TẠO TP. HỒ CHÍ MINH</v>
      </c>
      <c r="B1037" s="1128"/>
      <c r="C1037" s="1128"/>
      <c r="D1037" s="1129" t="s">
        <v>19</v>
      </c>
      <c r="E1037" s="1129"/>
      <c r="F1037" s="1129"/>
    </row>
    <row r="1038" spans="1:10" ht="17.25" customHeight="1">
      <c r="A1038" s="992" t="str">
        <f>IF('Huong dan'!$E$4&lt;&gt;"","TRƯỜNG "&amp;UPPER('Huong dan'!$E$4),"")</f>
        <v>TRƯỜNG THCS VÀ THPT NGUYỄN KHUYẾN</v>
      </c>
      <c r="B1038" s="992"/>
      <c r="C1038" s="992"/>
      <c r="D1038" s="1130" t="s">
        <v>179</v>
      </c>
      <c r="E1038" s="1130"/>
      <c r="F1038" s="1130"/>
    </row>
    <row r="1039" spans="1:10" ht="12" customHeight="1">
      <c r="A1039" s="69"/>
      <c r="B1039" s="69"/>
      <c r="C1039" s="30"/>
      <c r="D1039" s="30"/>
      <c r="E1039" s="30"/>
      <c r="F1039" s="30"/>
    </row>
    <row r="1040" spans="1:10" ht="18" customHeight="1">
      <c r="A1040" s="69"/>
      <c r="B1040" s="69"/>
      <c r="C1040" s="30"/>
      <c r="D1040" s="30"/>
      <c r="E1040" s="30"/>
      <c r="F1040" s="30"/>
    </row>
    <row r="1041" spans="1:10" ht="29.25" customHeight="1">
      <c r="A1041" s="1013" t="str">
        <f>"PHIẾU ĐIỂM NĂM HỌC "&amp;'Huong dan'!$C$5</f>
        <v>PHIẾU ĐIỂM NĂM HỌC 2021 - 2022</v>
      </c>
      <c r="B1041" s="1013"/>
      <c r="C1041" s="1013"/>
      <c r="D1041" s="1013"/>
      <c r="E1041" s="1013"/>
      <c r="F1041" s="1013"/>
    </row>
    <row r="1042" spans="1:10" ht="12.75" customHeight="1">
      <c r="A1042" s="70"/>
      <c r="B1042" s="66"/>
      <c r="C1042" s="66"/>
      <c r="D1042" s="66"/>
      <c r="E1042" s="66"/>
      <c r="F1042" s="66"/>
    </row>
    <row r="1043" spans="1:10" ht="20.25" customHeight="1">
      <c r="A1043" s="1131" t="s">
        <v>212</v>
      </c>
      <c r="B1043" s="1131"/>
      <c r="C1043" s="77" t="str">
        <f>IF(F1081="","",INDEX(DiemHKII!$E$4:$E$58,MATCH(F1081,DiemHKII!$B$4:$B$58,0),1)&amp;" "&amp;INDEX(DiemHKII!$F$4:$F$58,MATCH(F1081,DiemHKII!$B$4:$B$58,0),1))</f>
        <v>Quách Tống Minh Nhật</v>
      </c>
      <c r="D1043" s="77"/>
      <c r="E1043" s="77"/>
      <c r="F1043" s="71" t="str">
        <f>IF('Huong dan'!$C$3="","","Lớp: "&amp;'Huong dan'!$C$3)</f>
        <v>Lớp: 12A1</v>
      </c>
    </row>
    <row r="1044" spans="1:10" ht="24" customHeight="1">
      <c r="A1044" s="1131" t="s">
        <v>213</v>
      </c>
      <c r="B1044" s="1131"/>
      <c r="C1044" s="77" t="str">
        <f>IF(F1081="","",INDEX(DiemHKII!$G$4:$G$58,MATCH(F1081,DiemHKII!$B$4:$B$58,0),1))</f>
        <v>01/12/2004</v>
      </c>
      <c r="D1044" s="77"/>
      <c r="E1044" s="1133" t="str">
        <f>IF(F1081="","","Nơi sinh: "&amp;INDEX(DiemHKII!$H$4:$H$58,MATCH(F1081,DiemHKII!$B$4:$B$58,0),1))</f>
        <v xml:space="preserve">Nơi sinh: </v>
      </c>
      <c r="F1044" s="1133"/>
    </row>
    <row r="1045" spans="1:10" ht="15" customHeight="1">
      <c r="A1045" s="62"/>
      <c r="B1045" s="62"/>
      <c r="C1045" s="62"/>
      <c r="D1045" s="62"/>
      <c r="E1045" s="62"/>
      <c r="F1045" s="63"/>
    </row>
    <row r="1046" spans="1:10" ht="21" customHeight="1">
      <c r="A1046" s="1134" t="s">
        <v>0</v>
      </c>
      <c r="B1046" s="1134" t="s">
        <v>72</v>
      </c>
      <c r="C1046" s="1134" t="s">
        <v>216</v>
      </c>
      <c r="D1046" s="1134"/>
      <c r="E1046" s="1134"/>
      <c r="F1046" s="1134" t="s">
        <v>148</v>
      </c>
    </row>
    <row r="1047" spans="1:10" ht="21" customHeight="1">
      <c r="A1047" s="1134"/>
      <c r="B1047" s="1134"/>
      <c r="C1047" s="476" t="s">
        <v>188</v>
      </c>
      <c r="D1047" s="476" t="s">
        <v>189</v>
      </c>
      <c r="E1047" s="476" t="s">
        <v>190</v>
      </c>
      <c r="F1047" s="1134"/>
    </row>
    <row r="1048" spans="1:10" ht="21" customHeight="1">
      <c r="A1048" s="72" t="s">
        <v>191</v>
      </c>
      <c r="B1048" s="73" t="s">
        <v>26</v>
      </c>
      <c r="C1048" s="74" t="str">
        <f>INDEX('TH CANAM'!$A$9:$BF$63,MATCH(PDNam!$F1081,'TH CANAM'!$A$9:$A$63,0),INDEX($J$13:$M$30,MATCH($B1048,$J$13:$J$30,0),K$12))</f>
        <v/>
      </c>
      <c r="D1048" s="74" t="str">
        <f>INDEX('TH CANAM'!$A$9:$BF$63,MATCH(PDNam!$F1081,'TH CANAM'!$A$9:$A$63,0),INDEX($J$13:$M$30,MATCH($B1048,$J$13:$J$30,0),L$12))</f>
        <v/>
      </c>
      <c r="E1048" s="74" t="str">
        <f>INDEX('TH CANAM'!$A$9:$BF$63,MATCH(PDNam!$F1081,'TH CANAM'!$A$9:$A$63,0),INDEX($J$13:$M$30,MATCH($B1048,$J$13:$J$30,0),M$12))</f>
        <v/>
      </c>
      <c r="F1048" s="73"/>
      <c r="I1048" s="64"/>
      <c r="J1048" s="64"/>
    </row>
    <row r="1049" spans="1:10" ht="21" customHeight="1">
      <c r="A1049" s="72" t="s">
        <v>192</v>
      </c>
      <c r="B1049" s="73" t="s">
        <v>27</v>
      </c>
      <c r="C1049" s="74" t="str">
        <f>INDEX('TH CANAM'!$A$9:$BF$63,MATCH(PDNam!$F1081,'TH CANAM'!$A$9:$A$63,0),INDEX($J$13:$M$30,MATCH($B1049,$J$13:$J$30,0),K$12))</f>
        <v/>
      </c>
      <c r="D1049" s="74" t="str">
        <f>INDEX('TH CANAM'!$A$9:$BF$63,MATCH(PDNam!$F1081,'TH CANAM'!$A$9:$A$63,0),INDEX($J$13:$M$30,MATCH($B1049,$J$13:$J$30,0),L$12))</f>
        <v/>
      </c>
      <c r="E1049" s="74" t="str">
        <f>INDEX('TH CANAM'!$A$9:$BF$63,MATCH(PDNam!$F1081,'TH CANAM'!$A$9:$A$63,0),INDEX($J$13:$M$30,MATCH($B1049,$J$13:$J$30,0),M$12))</f>
        <v/>
      </c>
      <c r="F1049" s="73"/>
      <c r="I1049" s="64"/>
      <c r="J1049" s="64"/>
    </row>
    <row r="1050" spans="1:10" ht="21" customHeight="1">
      <c r="A1050" s="72" t="s">
        <v>193</v>
      </c>
      <c r="B1050" s="73" t="s">
        <v>28</v>
      </c>
      <c r="C1050" s="74" t="str">
        <f>INDEX('TH CANAM'!$A$9:$BF$63,MATCH(PDNam!$F1081,'TH CANAM'!$A$9:$A$63,0),INDEX($J$13:$M$30,MATCH($B1050,$J$13:$J$30,0),K$12))</f>
        <v/>
      </c>
      <c r="D1050" s="74" t="str">
        <f>INDEX('TH CANAM'!$A$9:$BF$63,MATCH(PDNam!$F1081,'TH CANAM'!$A$9:$A$63,0),INDEX($J$13:$M$30,MATCH($B1050,$J$13:$J$30,0),L$12))</f>
        <v/>
      </c>
      <c r="E1050" s="74" t="str">
        <f>INDEX('TH CANAM'!$A$9:$BF$63,MATCH(PDNam!$F1081,'TH CANAM'!$A$9:$A$63,0),INDEX($J$13:$M$30,MATCH($B1050,$J$13:$J$30,0),M$12))</f>
        <v/>
      </c>
      <c r="F1050" s="73"/>
      <c r="I1050" s="64"/>
      <c r="J1050" s="64"/>
    </row>
    <row r="1051" spans="1:10" ht="21" customHeight="1">
      <c r="A1051" s="72" t="s">
        <v>194</v>
      </c>
      <c r="B1051" s="73" t="s">
        <v>29</v>
      </c>
      <c r="C1051" s="74" t="str">
        <f>INDEX('TH CANAM'!$A$9:$BF$63,MATCH(PDNam!$F1081,'TH CANAM'!$A$9:$A$63,0),INDEX($J$13:$M$30,MATCH($B1051,$J$13:$J$30,0),K$12))</f>
        <v/>
      </c>
      <c r="D1051" s="74" t="str">
        <f>INDEX('TH CANAM'!$A$9:$BF$63,MATCH(PDNam!$F1081,'TH CANAM'!$A$9:$A$63,0),INDEX($J$13:$M$30,MATCH($B1051,$J$13:$J$30,0),L$12))</f>
        <v/>
      </c>
      <c r="E1051" s="74" t="str">
        <f>INDEX('TH CANAM'!$A$9:$BF$63,MATCH(PDNam!$F1081,'TH CANAM'!$A$9:$A$63,0),INDEX($J$13:$M$30,MATCH($B1051,$J$13:$J$30,0),M$12))</f>
        <v/>
      </c>
      <c r="F1051" s="73"/>
      <c r="I1051" s="64"/>
      <c r="J1051" s="64"/>
    </row>
    <row r="1052" spans="1:10" ht="21" customHeight="1">
      <c r="A1052" s="72" t="s">
        <v>195</v>
      </c>
      <c r="B1052" s="73" t="s">
        <v>120</v>
      </c>
      <c r="C1052" s="74" t="str">
        <f>INDEX('TH CANAM'!$A$9:$BF$63,MATCH(PDNam!$F1081,'TH CANAM'!$A$9:$A$63,0),INDEX($J$13:$M$30,MATCH($B1052,$J$13:$J$30,0),K$12))</f>
        <v/>
      </c>
      <c r="D1052" s="74" t="str">
        <f>INDEX('TH CANAM'!$A$9:$BF$63,MATCH(PDNam!$F1081,'TH CANAM'!$A$9:$A$63,0),INDEX($J$13:$M$30,MATCH($B1052,$J$13:$J$30,0),L$12))</f>
        <v/>
      </c>
      <c r="E1052" s="74" t="str">
        <f>INDEX('TH CANAM'!$A$9:$BF$63,MATCH(PDNam!$F1081,'TH CANAM'!$A$9:$A$63,0),INDEX($J$13:$M$30,MATCH($B1052,$J$13:$J$30,0),M$12))</f>
        <v/>
      </c>
      <c r="F1052" s="73"/>
      <c r="I1052" s="64"/>
      <c r="J1052" s="64"/>
    </row>
    <row r="1053" spans="1:10" ht="21" customHeight="1">
      <c r="A1053" s="72" t="s">
        <v>196</v>
      </c>
      <c r="B1053" s="73" t="s">
        <v>30</v>
      </c>
      <c r="C1053" s="74" t="str">
        <f>INDEX('TH CANAM'!$A$9:$BF$63,MATCH(PDNam!$F1081,'TH CANAM'!$A$9:$A$63,0),INDEX($J$13:$M$30,MATCH($B1053,$J$13:$J$30,0),K$12))</f>
        <v/>
      </c>
      <c r="D1053" s="74" t="str">
        <f>INDEX('TH CANAM'!$A$9:$BF$63,MATCH(PDNam!$F1081,'TH CANAM'!$A$9:$A$63,0),INDEX($J$13:$M$30,MATCH($B1053,$J$13:$J$30,0),L$12))</f>
        <v/>
      </c>
      <c r="E1053" s="74" t="str">
        <f>INDEX('TH CANAM'!$A$9:$BF$63,MATCH(PDNam!$F1081,'TH CANAM'!$A$9:$A$63,0),INDEX($J$13:$M$30,MATCH($B1053,$J$13:$J$30,0),M$12))</f>
        <v/>
      </c>
      <c r="F1053" s="73"/>
      <c r="I1053" s="64"/>
      <c r="J1053" s="64"/>
    </row>
    <row r="1054" spans="1:10" ht="21" customHeight="1">
      <c r="A1054" s="72" t="s">
        <v>197</v>
      </c>
      <c r="B1054" s="73" t="s">
        <v>31</v>
      </c>
      <c r="C1054" s="74" t="str">
        <f>INDEX('TH CANAM'!$A$9:$BF$63,MATCH(PDNam!$F1081,'TH CANAM'!$A$9:$A$63,0),INDEX($J$13:$M$30,MATCH($B1054,$J$13:$J$30,0),K$12))</f>
        <v/>
      </c>
      <c r="D1054" s="74" t="str">
        <f>INDEX('TH CANAM'!$A$9:$BF$63,MATCH(PDNam!$F1081,'TH CANAM'!$A$9:$A$63,0),INDEX($J$13:$M$30,MATCH($B1054,$J$13:$J$30,0),L$12))</f>
        <v/>
      </c>
      <c r="E1054" s="74" t="str">
        <f>INDEX('TH CANAM'!$A$9:$BF$63,MATCH(PDNam!$F1081,'TH CANAM'!$A$9:$A$63,0),INDEX($J$13:$M$30,MATCH($B1054,$J$13:$J$30,0),M$12))</f>
        <v/>
      </c>
      <c r="F1054" s="73"/>
      <c r="I1054" s="64"/>
      <c r="J1054" s="64"/>
    </row>
    <row r="1055" spans="1:10" ht="21" customHeight="1">
      <c r="A1055" s="72" t="s">
        <v>198</v>
      </c>
      <c r="B1055" s="73" t="s">
        <v>32</v>
      </c>
      <c r="C1055" s="74" t="str">
        <f>INDEX('TH CANAM'!$A$9:$BF$63,MATCH(PDNam!$F1081,'TH CANAM'!$A$9:$A$63,0),INDEX($J$13:$M$30,MATCH($B1055,$J$13:$J$30,0),K$12))</f>
        <v/>
      </c>
      <c r="D1055" s="74" t="str">
        <f>INDEX('TH CANAM'!$A$9:$BF$63,MATCH(PDNam!$F1081,'TH CANAM'!$A$9:$A$63,0),INDEX($J$13:$M$30,MATCH($B1055,$J$13:$J$30,0),L$12))</f>
        <v/>
      </c>
      <c r="E1055" s="74" t="str">
        <f>INDEX('TH CANAM'!$A$9:$BF$63,MATCH(PDNam!$F1081,'TH CANAM'!$A$9:$A$63,0),INDEX($J$13:$M$30,MATCH($B1055,$J$13:$J$30,0),M$12))</f>
        <v/>
      </c>
      <c r="F1055" s="73"/>
      <c r="I1055" s="64"/>
      <c r="J1055" s="64"/>
    </row>
    <row r="1056" spans="1:10" ht="21" customHeight="1">
      <c r="A1056" s="72" t="s">
        <v>199</v>
      </c>
      <c r="B1056" s="73" t="s">
        <v>33</v>
      </c>
      <c r="C1056" s="74" t="str">
        <f>INDEX('TH CANAM'!$A$9:$BF$63,MATCH(PDNam!$F1081,'TH CANAM'!$A$9:$A$63,0),INDEX($J$13:$M$30,MATCH($B1056,$J$13:$J$30,0),K$12))</f>
        <v/>
      </c>
      <c r="D1056" s="74" t="str">
        <f>INDEX('TH CANAM'!$A$9:$BF$63,MATCH(PDNam!$F1081,'TH CANAM'!$A$9:$A$63,0),INDEX($J$13:$M$30,MATCH($B1056,$J$13:$J$30,0),L$12))</f>
        <v/>
      </c>
      <c r="E1056" s="74" t="str">
        <f>INDEX('TH CANAM'!$A$9:$BF$63,MATCH(PDNam!$F1081,'TH CANAM'!$A$9:$A$63,0),INDEX($J$13:$M$30,MATCH($B1056,$J$13:$J$30,0),M$12))</f>
        <v/>
      </c>
      <c r="F1056" s="73"/>
      <c r="I1056" s="64"/>
      <c r="J1056" s="64"/>
    </row>
    <row r="1057" spans="1:10" ht="21" customHeight="1">
      <c r="A1057" s="72" t="s">
        <v>200</v>
      </c>
      <c r="B1057" s="73" t="s">
        <v>60</v>
      </c>
      <c r="C1057" s="74" t="str">
        <f>INDEX('TH CANAM'!$A$9:$BF$63,MATCH(PDNam!$F1081,'TH CANAM'!$A$9:$A$63,0),INDEX($J$13:$M$30,MATCH($B1057,$J$13:$J$30,0),K$12))</f>
        <v/>
      </c>
      <c r="D1057" s="74" t="str">
        <f>INDEX('TH CANAM'!$A$9:$BF$63,MATCH(PDNam!$F1081,'TH CANAM'!$A$9:$A$63,0),INDEX($J$13:$M$30,MATCH($B1057,$J$13:$J$30,0),L$12))</f>
        <v/>
      </c>
      <c r="E1057" s="74" t="str">
        <f>INDEX('TH CANAM'!$A$9:$BF$63,MATCH(PDNam!$F1081,'TH CANAM'!$A$9:$A$63,0),INDEX($J$13:$M$30,MATCH($B1057,$J$13:$J$30,0),M$12))</f>
        <v/>
      </c>
      <c r="F1057" s="73"/>
      <c r="I1057" s="64"/>
      <c r="J1057" s="64"/>
    </row>
    <row r="1058" spans="1:10" ht="21" customHeight="1">
      <c r="A1058" s="72" t="s">
        <v>201</v>
      </c>
      <c r="B1058" s="73" t="s">
        <v>34</v>
      </c>
      <c r="C1058" s="74" t="str">
        <f>INDEX('TH CANAM'!$A$9:$BF$63,MATCH(PDNam!$F1081,'TH CANAM'!$A$9:$A$63,0),INDEX($J$13:$M$30,MATCH($B1058,$J$13:$J$30,0),K$12))</f>
        <v/>
      </c>
      <c r="D1058" s="74" t="str">
        <f>INDEX('TH CANAM'!$A$9:$BF$63,MATCH(PDNam!$F1081,'TH CANAM'!$A$9:$A$63,0),INDEX($J$13:$M$30,MATCH($B1058,$J$13:$J$30,0),L$12))</f>
        <v/>
      </c>
      <c r="E1058" s="74" t="str">
        <f>INDEX('TH CANAM'!$A$9:$BF$63,MATCH(PDNam!$F1081,'TH CANAM'!$A$9:$A$63,0),INDEX($J$13:$M$30,MATCH($B1058,$J$13:$J$30,0),M$12))</f>
        <v/>
      </c>
      <c r="F1058" s="73"/>
      <c r="I1058" s="64"/>
      <c r="J1058" s="64"/>
    </row>
    <row r="1059" spans="1:10" ht="21" customHeight="1">
      <c r="A1059" s="72" t="s">
        <v>202</v>
      </c>
      <c r="B1059" s="73" t="s">
        <v>35</v>
      </c>
      <c r="C1059" s="74" t="str">
        <f>INDEX('TH CANAM'!$A$9:$BF$63,MATCH(PDNam!$F1081,'TH CANAM'!$A$9:$A$63,0),INDEX($J$13:$M$30,MATCH($B1059,$J$13:$J$30,0),K$12))</f>
        <v/>
      </c>
      <c r="D1059" s="74" t="str">
        <f>INDEX('TH CANAM'!$A$9:$BF$63,MATCH(PDNam!$F1081,'TH CANAM'!$A$9:$A$63,0),INDEX($J$13:$M$30,MATCH($B1059,$J$13:$J$30,0),L$12))</f>
        <v/>
      </c>
      <c r="E1059" s="74" t="str">
        <f>INDEX('TH CANAM'!$A$9:$BF$63,MATCH(PDNam!$F1081,'TH CANAM'!$A$9:$A$63,0),INDEX($J$13:$M$30,MATCH($B1059,$J$13:$J$30,0),M$12))</f>
        <v/>
      </c>
      <c r="F1059" s="73"/>
      <c r="I1059" s="64"/>
      <c r="J1059" s="64"/>
    </row>
    <row r="1060" spans="1:10" ht="21" customHeight="1">
      <c r="A1060" s="72" t="s">
        <v>203</v>
      </c>
      <c r="B1060" s="73" t="s">
        <v>121</v>
      </c>
      <c r="C1060" s="74" t="str">
        <f>INDEX('TH CANAM'!$A$9:$BF$63,MATCH(PDNam!$F1081,'TH CANAM'!$A$9:$A$63,0),INDEX($J$13:$M$30,MATCH($B1060,$J$13:$J$30,0),K$12))</f>
        <v/>
      </c>
      <c r="D1060" s="74" t="str">
        <f>INDEX('TH CANAM'!$A$9:$BF$63,MATCH(PDNam!$F1081,'TH CANAM'!$A$9:$A$63,0),INDEX($J$13:$M$30,MATCH($B1060,$J$13:$J$30,0),L$12))</f>
        <v/>
      </c>
      <c r="E1060" s="74" t="str">
        <f>INDEX('TH CANAM'!$A$9:$BF$63,MATCH(PDNam!$F1081,'TH CANAM'!$A$9:$A$63,0),INDEX($J$13:$M$30,MATCH($B1060,$J$13:$J$30,0),M$12))</f>
        <v/>
      </c>
      <c r="F1060" s="73"/>
      <c r="I1060" s="64"/>
      <c r="J1060" s="64"/>
    </row>
    <row r="1061" spans="1:10" ht="21" customHeight="1">
      <c r="A1061" s="72" t="s">
        <v>204</v>
      </c>
      <c r="B1061" s="73" t="s">
        <v>122</v>
      </c>
      <c r="C1061" s="74" t="str">
        <f>INDEX('TH CANAM'!$A$9:$BF$63,MATCH(PDNam!$F1081,'TH CANAM'!$A$9:$A$63,0),INDEX($J$13:$M$30,MATCH($B1061,$J$13:$J$30,0),K$12))</f>
        <v/>
      </c>
      <c r="D1061" s="74" t="str">
        <f>INDEX('TH CANAM'!$A$9:$BF$63,MATCH(PDNam!$F1081,'TH CANAM'!$A$9:$A$63,0),INDEX($J$13:$M$30,MATCH($B1061,$J$13:$J$30,0),L$12))</f>
        <v/>
      </c>
      <c r="E1061" s="74" t="str">
        <f>INDEX('TH CANAM'!$A$9:$BF$63,MATCH(PDNam!$F1081,'TH CANAM'!$A$9:$A$63,0),INDEX($J$13:$M$30,MATCH($B1061,$J$13:$J$30,0),M$12))</f>
        <v/>
      </c>
      <c r="F1061" s="73"/>
      <c r="I1061" s="64"/>
      <c r="J1061" s="64"/>
    </row>
    <row r="1062" spans="1:10" ht="21" customHeight="1">
      <c r="A1062" s="72" t="s">
        <v>208</v>
      </c>
      <c r="B1062" s="73" t="s">
        <v>205</v>
      </c>
      <c r="C1062" s="78">
        <f>INDEX('TH CANAM'!$A$9:$BF$63,MATCH(PDNam!$F1081,'TH CANAM'!$A$9:$A$63,0),46)</f>
        <v>9.1999999999999993</v>
      </c>
      <c r="D1062" s="78" t="str">
        <f>INDEX('TH CANAM'!$A$9:$BF$63,MATCH(PDNam!$F1081,'TH CANAM'!$A$9:$A$63,0),47)</f>
        <v/>
      </c>
      <c r="E1062" s="78" t="str">
        <f>INDEX('TH CANAM'!$A$9:$BF$63,MATCH(PDNam!$F1081,'TH CANAM'!$A$9:$A$63,0),48)</f>
        <v/>
      </c>
      <c r="F1062" s="73"/>
      <c r="I1062" s="64"/>
      <c r="J1062" s="64"/>
    </row>
    <row r="1063" spans="1:10" ht="21" customHeight="1">
      <c r="A1063" s="72" t="s">
        <v>209</v>
      </c>
      <c r="B1063" s="72" t="s">
        <v>206</v>
      </c>
      <c r="C1063" s="74" t="str">
        <f>IF(INDEX('TH CANAM'!$A$9:$BF$63,MATCH(PDNam!$F1081,'TH CANAM'!$A$9:$A$63,0),49)="Tb","Trung bình",INDEX('TH CANAM'!$A$9:$BF$63,MATCH(PDNam!$F1081,'TH CANAM'!$A$9:$A$63,0),49))</f>
        <v>Giỏi</v>
      </c>
      <c r="D1063" s="74" t="str">
        <f>IF(INDEX('TH CANAM'!$A$9:$BF$63,MATCH(PDNam!$F1081,'TH CANAM'!$A$9:$A$63,0),50)="Tb","Trung bình",INDEX('TH CANAM'!$A$9:$BF$63,MATCH(PDNam!$F1081,'TH CANAM'!$A$9:$A$63,0),50))</f>
        <v/>
      </c>
      <c r="E1063" s="74" t="str">
        <f>IF(INDEX('TH CANAM'!$A$9:$BF$63,MATCH(PDNam!$F1081,'TH CANAM'!$A$9:$A$63,0),51)="Tb","Trung bình",INDEX('TH CANAM'!$A$9:$BF$63,MATCH(PDNam!$F1081,'TH CANAM'!$A$9:$A$63,0),51))</f>
        <v/>
      </c>
      <c r="F1063" s="73"/>
    </row>
    <row r="1064" spans="1:10" ht="21" customHeight="1">
      <c r="A1064" s="72" t="s">
        <v>210</v>
      </c>
      <c r="B1064" s="72" t="s">
        <v>207</v>
      </c>
      <c r="C1064" s="74" t="str">
        <f>INDEX('TH CANAM'!$A$9:$BF$63,MATCH(PDNam!$F1081,'TH CANAM'!$A$9:$A$63,0),52)</f>
        <v>Tốt</v>
      </c>
      <c r="D1064" s="74" t="str">
        <f>INDEX('TH CANAM'!$A$9:$BF$63,MATCH(PDNam!$F1081,'TH CANAM'!$A$9:$A$63,0),53)</f>
        <v/>
      </c>
      <c r="E1064" s="74" t="str">
        <f>INDEX('TH CANAM'!$A$9:$BF$63,MATCH(PDNam!$F1081,'TH CANAM'!$A$9:$A$63,0),54)</f>
        <v/>
      </c>
      <c r="F1064" s="73"/>
    </row>
    <row r="1065" spans="1:10" ht="21" customHeight="1">
      <c r="A1065" s="72" t="s">
        <v>211</v>
      </c>
      <c r="B1065" s="72" t="s">
        <v>25</v>
      </c>
      <c r="C1065" s="74" t="str">
        <f>IF(INDEX('TH CANAM'!$A$9:$BF$63,MATCH(PDNam!$F1081,'TH CANAM'!$A$9:$A$63,0),57)&lt;&gt;"",INDEX('TH CANAM'!$A$9:$BF$63,MATCH(PDNam!$F1081,'TH CANAM'!$A$9:$A$63,0),57),"/")</f>
        <v>HSG</v>
      </c>
      <c r="D1065" s="74" t="str">
        <f>IF(INDEX('TH CANAM'!$A$9:$BF$63,MATCH(PDNam!$F1081,'TH CANAM'!$A$9:$A$63,0),58)&lt;&gt;"",INDEX('TH CANAM'!$A$9:$BF$63,MATCH(PDNam!$F1081,'TH CANAM'!$A$9:$A$63,0),58),"/")</f>
        <v>/</v>
      </c>
      <c r="E1065" s="74" t="str">
        <f>IF(INDEX('TH CANAM'!$A$9:$BF$63,MATCH(PDNam!$F1081,'TH CANAM'!$A$9:$A$63,0),55)&lt;&gt;"",INDEX('TH CANAM'!$A$9:$BF$63,MATCH(PDNam!$F1081,'TH CANAM'!$A$9:$A$63,0),55),"/")</f>
        <v>/</v>
      </c>
      <c r="F1065" s="73"/>
    </row>
    <row r="1066" spans="1:10" s="60" customFormat="1" ht="9" customHeight="1">
      <c r="A1066" s="67"/>
      <c r="B1066" s="67"/>
      <c r="C1066" s="1132"/>
      <c r="D1066" s="1132"/>
      <c r="E1066" s="67"/>
      <c r="F1066" s="67"/>
    </row>
    <row r="1067" spans="1:10" s="60" customFormat="1" ht="18.75" customHeight="1">
      <c r="A1067" s="58" t="s">
        <v>219</v>
      </c>
      <c r="B1067" s="57"/>
      <c r="C1067" s="57"/>
      <c r="D1067" s="57"/>
      <c r="E1067" s="57"/>
      <c r="F1067" s="475"/>
    </row>
    <row r="1068" spans="1:10" s="60" customFormat="1" ht="18.75" customHeight="1">
      <c r="A1068" s="59" t="str">
        <f>IF(F1081&lt;&gt;"",IF(INDEX(BDHK2,MATCH(F1081,DiemHKII!$B$4:$B$58,0),137)&lt;&gt;""," - "&amp;INDEX(BDHK2,MATCH(F1081,DiemHKII!$B$4:$B$58,0),137),""),"")</f>
        <v/>
      </c>
      <c r="B1068" s="57"/>
      <c r="C1068" s="57"/>
      <c r="D1068" s="57"/>
      <c r="E1068" s="57"/>
      <c r="F1068" s="475"/>
    </row>
    <row r="1069" spans="1:10" s="60" customFormat="1" ht="18.75" customHeight="1">
      <c r="A1069" s="59" t="str">
        <f>IF(F1081&lt;&gt;"",IF(INDEX(BDHK2,MATCH(F1081,DiemHKII!$B$4:$B$58,0),138)&lt;&gt;""," - "&amp;INDEX(BDHK2,MATCH(F1081,DiemHKII!$B$4:$B$58,0),138),""),"")</f>
        <v/>
      </c>
      <c r="B1069" s="57"/>
      <c r="C1069" s="57"/>
      <c r="D1069" s="57"/>
      <c r="E1069" s="57"/>
      <c r="F1069" s="475"/>
    </row>
    <row r="1070" spans="1:10" s="60" customFormat="1" ht="18.75" customHeight="1">
      <c r="A1070" s="59" t="str">
        <f>IF(F1081&lt;&gt;"",IF(INDEX(BDHK2,MATCH(F1081,DiemHKII!$B$4:$B$58,0),139)&lt;&gt;""," - "&amp;INDEX(BDHK2,MATCH(F1081,DiemHKII!$B$4:$B$58,0),139),""),"")</f>
        <v/>
      </c>
      <c r="B1070" s="57"/>
      <c r="C1070" s="57"/>
      <c r="D1070" s="57"/>
      <c r="E1070" s="57"/>
      <c r="F1070" s="475"/>
    </row>
    <row r="1071" spans="1:10" s="60" customFormat="1" ht="18.75" customHeight="1">
      <c r="A1071" s="59" t="str">
        <f>IF(F1081&lt;&gt;"",IF(INDEX(BDHK2,MATCH(F1081,DiemHKII!$B$4:$B$58,0),140)&lt;&gt;""," - "&amp;INDEX(BDHK2,MATCH(F1081,DiemHKII!$B$4:$B$58,0),140),""),"")</f>
        <v/>
      </c>
      <c r="B1071" s="57"/>
      <c r="C1071" s="57"/>
      <c r="D1071" s="57"/>
      <c r="E1071" s="57"/>
      <c r="F1071" s="67"/>
    </row>
    <row r="1072" spans="1:10" ht="6" customHeight="1">
      <c r="A1072" s="68"/>
      <c r="B1072" s="68"/>
      <c r="C1072" s="68"/>
      <c r="D1072" s="68"/>
      <c r="E1072" s="68"/>
      <c r="F1072" s="68"/>
    </row>
    <row r="1073" spans="1:10">
      <c r="A1073" s="68"/>
      <c r="B1073" s="68"/>
      <c r="C107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073" s="1060"/>
      <c r="E1073" s="1060"/>
      <c r="F1073" s="1060"/>
    </row>
    <row r="1074" spans="1:10" ht="20.25" customHeight="1">
      <c r="A1074" s="1012" t="str">
        <f>IF($D$39="Hiệu trưởng","Giáo viên Quản nhiệm","")</f>
        <v>Giáo viên Quản nhiệm</v>
      </c>
      <c r="B1074" s="1012"/>
      <c r="C1074" s="61"/>
      <c r="D1074" s="1012" t="str">
        <f>IF($H$7="","",$H$7)</f>
        <v>Hiệu trưởng</v>
      </c>
      <c r="E1074" s="1012"/>
      <c r="F1074" s="61"/>
    </row>
    <row r="1075" spans="1:10">
      <c r="A1075" s="68"/>
      <c r="B1075" s="68"/>
      <c r="C1075" s="68"/>
      <c r="D1075" s="68"/>
      <c r="E1075" s="68"/>
      <c r="F1075" s="68"/>
    </row>
    <row r="1076" spans="1:10">
      <c r="A1076" s="68"/>
      <c r="B1076" s="68"/>
      <c r="C1076" s="68"/>
      <c r="D1076" s="68"/>
      <c r="E1076" s="68"/>
      <c r="F1076" s="68"/>
    </row>
    <row r="1077" spans="1:10" ht="16.8">
      <c r="A1077" s="68"/>
      <c r="B1077" s="68"/>
      <c r="C1077" s="64"/>
      <c r="D1077" s="64"/>
      <c r="E1077" s="64"/>
      <c r="F1077" s="64"/>
      <c r="G1077" s="65"/>
      <c r="H1077" s="65"/>
      <c r="I1077" s="65"/>
      <c r="J1077" s="65"/>
    </row>
    <row r="1079" spans="1:10">
      <c r="A1079" s="1012" t="str">
        <f>IF($A$39="","",PROPER('Huong dan'!$C$4))</f>
        <v/>
      </c>
      <c r="B1079" s="1012"/>
      <c r="D1079" s="1130" t="str">
        <f>IFERROR(IF($D$39="Giáo Viên Quản nhiệm",PROPER('Huong dan'!$C$4),IF($D$39="Hiệu trưởng",PROPER('Huong dan'!$E$5),"")),"")</f>
        <v/>
      </c>
      <c r="E1079" s="1130"/>
    </row>
    <row r="1080" spans="1:10" ht="7.5" customHeight="1"/>
    <row r="1081" spans="1:10" ht="11.25" customHeight="1">
      <c r="A1081" s="75"/>
      <c r="B1081" s="75"/>
      <c r="C1081" s="75"/>
      <c r="D1081" s="75"/>
      <c r="E1081" s="75"/>
      <c r="F1081" s="76">
        <f>IF(F1036="","",IF(F1036&lt;MAX(DiemHKII!$B$4:$B$58),F1036+1,""))</f>
        <v>24</v>
      </c>
    </row>
    <row r="1082" spans="1:10" s="60" customFormat="1" ht="22.5" customHeight="1">
      <c r="A1082" s="1128" t="str">
        <f>IF('Huong dan'!$E$3&lt;&gt;"","SỞ GIÁO DỤC VÀ ĐÀO TẠO "&amp;UPPER('Huong dan'!$E$3),"")</f>
        <v>SỞ GIÁO DỤC VÀ ĐÀO TẠO TP. HỒ CHÍ MINH</v>
      </c>
      <c r="B1082" s="1128"/>
      <c r="C1082" s="1128"/>
      <c r="D1082" s="1129" t="s">
        <v>19</v>
      </c>
      <c r="E1082" s="1129"/>
      <c r="F1082" s="1129"/>
    </row>
    <row r="1083" spans="1:10" ht="17.25" customHeight="1">
      <c r="A1083" s="992" t="str">
        <f>IF('Huong dan'!$E$4&lt;&gt;"","TRƯỜNG "&amp;UPPER('Huong dan'!$E$4),"")</f>
        <v>TRƯỜNG THCS VÀ THPT NGUYỄN KHUYẾN</v>
      </c>
      <c r="B1083" s="992"/>
      <c r="C1083" s="992"/>
      <c r="D1083" s="1130" t="s">
        <v>179</v>
      </c>
      <c r="E1083" s="1130"/>
      <c r="F1083" s="1130"/>
    </row>
    <row r="1084" spans="1:10" ht="12" customHeight="1">
      <c r="A1084" s="69"/>
      <c r="B1084" s="69"/>
      <c r="C1084" s="30"/>
      <c r="D1084" s="30"/>
      <c r="E1084" s="30"/>
      <c r="F1084" s="30"/>
    </row>
    <row r="1085" spans="1:10" ht="18" customHeight="1">
      <c r="A1085" s="69"/>
      <c r="B1085" s="69"/>
      <c r="C1085" s="30"/>
      <c r="D1085" s="30"/>
      <c r="E1085" s="30"/>
      <c r="F1085" s="30"/>
    </row>
    <row r="1086" spans="1:10" ht="29.25" customHeight="1">
      <c r="A1086" s="1013" t="str">
        <f>"PHIẾU ĐIỂM NĂM HỌC "&amp;'Huong dan'!$C$5</f>
        <v>PHIẾU ĐIỂM NĂM HỌC 2021 - 2022</v>
      </c>
      <c r="B1086" s="1013"/>
      <c r="C1086" s="1013"/>
      <c r="D1086" s="1013"/>
      <c r="E1086" s="1013"/>
      <c r="F1086" s="1013"/>
    </row>
    <row r="1087" spans="1:10" ht="12.75" customHeight="1">
      <c r="A1087" s="70"/>
      <c r="B1087" s="66"/>
      <c r="C1087" s="66"/>
      <c r="D1087" s="66"/>
      <c r="E1087" s="66"/>
      <c r="F1087" s="66"/>
    </row>
    <row r="1088" spans="1:10" ht="20.25" customHeight="1">
      <c r="A1088" s="1131" t="s">
        <v>212</v>
      </c>
      <c r="B1088" s="1131"/>
      <c r="C1088" s="77" t="str">
        <f>IF(F1126="","",INDEX(DiemHKII!$E$4:$E$58,MATCH(F1126,DiemHKII!$B$4:$B$58,0),1)&amp;" "&amp;INDEX(DiemHKII!$F$4:$F$58,MATCH(F1126,DiemHKII!$B$4:$B$58,0),1))</f>
        <v>Nguyễn Thục Nhi</v>
      </c>
      <c r="D1088" s="77"/>
      <c r="E1088" s="77"/>
      <c r="F1088" s="71" t="str">
        <f>IF('Huong dan'!$C$3="","","Lớp: "&amp;'Huong dan'!$C$3)</f>
        <v>Lớp: 12A1</v>
      </c>
    </row>
    <row r="1089" spans="1:10" ht="24" customHeight="1">
      <c r="A1089" s="1131" t="s">
        <v>213</v>
      </c>
      <c r="B1089" s="1131"/>
      <c r="C1089" s="77" t="str">
        <f>IF(F1126="","",INDEX(DiemHKII!$G$4:$G$58,MATCH(F1126,DiemHKII!$B$4:$B$58,0),1))</f>
        <v>04/10/2004</v>
      </c>
      <c r="D1089" s="77"/>
      <c r="E1089" s="1133" t="str">
        <f>IF(F1126="","","Nơi sinh: "&amp;INDEX(DiemHKII!$H$4:$H$58,MATCH(F1126,DiemHKII!$B$4:$B$58,0),1))</f>
        <v xml:space="preserve">Nơi sinh: </v>
      </c>
      <c r="F1089" s="1133"/>
    </row>
    <row r="1090" spans="1:10" ht="15" customHeight="1">
      <c r="A1090" s="62"/>
      <c r="B1090" s="62"/>
      <c r="C1090" s="62"/>
      <c r="D1090" s="62"/>
      <c r="E1090" s="62"/>
      <c r="F1090" s="63"/>
    </row>
    <row r="1091" spans="1:10" ht="21" customHeight="1">
      <c r="A1091" s="1134" t="s">
        <v>0</v>
      </c>
      <c r="B1091" s="1134" t="s">
        <v>72</v>
      </c>
      <c r="C1091" s="1134" t="s">
        <v>216</v>
      </c>
      <c r="D1091" s="1134"/>
      <c r="E1091" s="1134"/>
      <c r="F1091" s="1134" t="s">
        <v>148</v>
      </c>
    </row>
    <row r="1092" spans="1:10" ht="21" customHeight="1">
      <c r="A1092" s="1134"/>
      <c r="B1092" s="1134"/>
      <c r="C1092" s="476" t="s">
        <v>188</v>
      </c>
      <c r="D1092" s="476" t="s">
        <v>189</v>
      </c>
      <c r="E1092" s="476" t="s">
        <v>190</v>
      </c>
      <c r="F1092" s="1134"/>
    </row>
    <row r="1093" spans="1:10" ht="21" customHeight="1">
      <c r="A1093" s="72" t="s">
        <v>191</v>
      </c>
      <c r="B1093" s="73" t="s">
        <v>26</v>
      </c>
      <c r="C1093" s="74" t="str">
        <f>INDEX('TH CANAM'!$A$9:$BF$63,MATCH(PDNam!$F1126,'TH CANAM'!$A$9:$A$63,0),INDEX($J$13:$M$30,MATCH($B1093,$J$13:$J$30,0),K$12))</f>
        <v/>
      </c>
      <c r="D1093" s="74" t="str">
        <f>INDEX('TH CANAM'!$A$9:$BF$63,MATCH(PDNam!$F1126,'TH CANAM'!$A$9:$A$63,0),INDEX($J$13:$M$30,MATCH($B1093,$J$13:$J$30,0),L$12))</f>
        <v/>
      </c>
      <c r="E1093" s="74" t="str">
        <f>INDEX('TH CANAM'!$A$9:$BF$63,MATCH(PDNam!$F1126,'TH CANAM'!$A$9:$A$63,0),INDEX($J$13:$M$30,MATCH($B1093,$J$13:$J$30,0),M$12))</f>
        <v/>
      </c>
      <c r="F1093" s="73"/>
      <c r="I1093" s="64"/>
      <c r="J1093" s="64"/>
    </row>
    <row r="1094" spans="1:10" ht="21" customHeight="1">
      <c r="A1094" s="72" t="s">
        <v>192</v>
      </c>
      <c r="B1094" s="73" t="s">
        <v>27</v>
      </c>
      <c r="C1094" s="74" t="str">
        <f>INDEX('TH CANAM'!$A$9:$BF$63,MATCH(PDNam!$F1126,'TH CANAM'!$A$9:$A$63,0),INDEX($J$13:$M$30,MATCH($B1094,$J$13:$J$30,0),K$12))</f>
        <v/>
      </c>
      <c r="D1094" s="74" t="str">
        <f>INDEX('TH CANAM'!$A$9:$BF$63,MATCH(PDNam!$F1126,'TH CANAM'!$A$9:$A$63,0),INDEX($J$13:$M$30,MATCH($B1094,$J$13:$J$30,0),L$12))</f>
        <v/>
      </c>
      <c r="E1094" s="74" t="str">
        <f>INDEX('TH CANAM'!$A$9:$BF$63,MATCH(PDNam!$F1126,'TH CANAM'!$A$9:$A$63,0),INDEX($J$13:$M$30,MATCH($B1094,$J$13:$J$30,0),M$12))</f>
        <v/>
      </c>
      <c r="F1094" s="73"/>
      <c r="I1094" s="64"/>
      <c r="J1094" s="64"/>
    </row>
    <row r="1095" spans="1:10" ht="21" customHeight="1">
      <c r="A1095" s="72" t="s">
        <v>193</v>
      </c>
      <c r="B1095" s="73" t="s">
        <v>28</v>
      </c>
      <c r="C1095" s="74" t="str">
        <f>INDEX('TH CANAM'!$A$9:$BF$63,MATCH(PDNam!$F1126,'TH CANAM'!$A$9:$A$63,0),INDEX($J$13:$M$30,MATCH($B1095,$J$13:$J$30,0),K$12))</f>
        <v/>
      </c>
      <c r="D1095" s="74" t="str">
        <f>INDEX('TH CANAM'!$A$9:$BF$63,MATCH(PDNam!$F1126,'TH CANAM'!$A$9:$A$63,0),INDEX($J$13:$M$30,MATCH($B1095,$J$13:$J$30,0),L$12))</f>
        <v/>
      </c>
      <c r="E1095" s="74" t="str">
        <f>INDEX('TH CANAM'!$A$9:$BF$63,MATCH(PDNam!$F1126,'TH CANAM'!$A$9:$A$63,0),INDEX($J$13:$M$30,MATCH($B1095,$J$13:$J$30,0),M$12))</f>
        <v/>
      </c>
      <c r="F1095" s="73"/>
      <c r="I1095" s="64"/>
      <c r="J1095" s="64"/>
    </row>
    <row r="1096" spans="1:10" ht="21" customHeight="1">
      <c r="A1096" s="72" t="s">
        <v>194</v>
      </c>
      <c r="B1096" s="73" t="s">
        <v>29</v>
      </c>
      <c r="C1096" s="74" t="str">
        <f>INDEX('TH CANAM'!$A$9:$BF$63,MATCH(PDNam!$F1126,'TH CANAM'!$A$9:$A$63,0),INDEX($J$13:$M$30,MATCH($B1096,$J$13:$J$30,0),K$12))</f>
        <v/>
      </c>
      <c r="D1096" s="74" t="str">
        <f>INDEX('TH CANAM'!$A$9:$BF$63,MATCH(PDNam!$F1126,'TH CANAM'!$A$9:$A$63,0),INDEX($J$13:$M$30,MATCH($B1096,$J$13:$J$30,0),L$12))</f>
        <v/>
      </c>
      <c r="E1096" s="74" t="str">
        <f>INDEX('TH CANAM'!$A$9:$BF$63,MATCH(PDNam!$F1126,'TH CANAM'!$A$9:$A$63,0),INDEX($J$13:$M$30,MATCH($B1096,$J$13:$J$30,0),M$12))</f>
        <v/>
      </c>
      <c r="F1096" s="73"/>
      <c r="I1096" s="64"/>
      <c r="J1096" s="64"/>
    </row>
    <row r="1097" spans="1:10" ht="21" customHeight="1">
      <c r="A1097" s="72" t="s">
        <v>195</v>
      </c>
      <c r="B1097" s="73" t="s">
        <v>120</v>
      </c>
      <c r="C1097" s="74" t="str">
        <f>INDEX('TH CANAM'!$A$9:$BF$63,MATCH(PDNam!$F1126,'TH CANAM'!$A$9:$A$63,0),INDEX($J$13:$M$30,MATCH($B1097,$J$13:$J$30,0),K$12))</f>
        <v/>
      </c>
      <c r="D1097" s="74" t="str">
        <f>INDEX('TH CANAM'!$A$9:$BF$63,MATCH(PDNam!$F1126,'TH CANAM'!$A$9:$A$63,0),INDEX($J$13:$M$30,MATCH($B1097,$J$13:$J$30,0),L$12))</f>
        <v/>
      </c>
      <c r="E1097" s="74" t="str">
        <f>INDEX('TH CANAM'!$A$9:$BF$63,MATCH(PDNam!$F1126,'TH CANAM'!$A$9:$A$63,0),INDEX($J$13:$M$30,MATCH($B1097,$J$13:$J$30,0),M$12))</f>
        <v/>
      </c>
      <c r="F1097" s="73"/>
      <c r="I1097" s="64"/>
      <c r="J1097" s="64"/>
    </row>
    <row r="1098" spans="1:10" ht="21" customHeight="1">
      <c r="A1098" s="72" t="s">
        <v>196</v>
      </c>
      <c r="B1098" s="73" t="s">
        <v>30</v>
      </c>
      <c r="C1098" s="74" t="str">
        <f>INDEX('TH CANAM'!$A$9:$BF$63,MATCH(PDNam!$F1126,'TH CANAM'!$A$9:$A$63,0),INDEX($J$13:$M$30,MATCH($B1098,$J$13:$J$30,0),K$12))</f>
        <v/>
      </c>
      <c r="D1098" s="74" t="str">
        <f>INDEX('TH CANAM'!$A$9:$BF$63,MATCH(PDNam!$F1126,'TH CANAM'!$A$9:$A$63,0),INDEX($J$13:$M$30,MATCH($B1098,$J$13:$J$30,0),L$12))</f>
        <v/>
      </c>
      <c r="E1098" s="74" t="str">
        <f>INDEX('TH CANAM'!$A$9:$BF$63,MATCH(PDNam!$F1126,'TH CANAM'!$A$9:$A$63,0),INDEX($J$13:$M$30,MATCH($B1098,$J$13:$J$30,0),M$12))</f>
        <v/>
      </c>
      <c r="F1098" s="73"/>
      <c r="I1098" s="64"/>
      <c r="J1098" s="64"/>
    </row>
    <row r="1099" spans="1:10" ht="21" customHeight="1">
      <c r="A1099" s="72" t="s">
        <v>197</v>
      </c>
      <c r="B1099" s="73" t="s">
        <v>31</v>
      </c>
      <c r="C1099" s="74" t="str">
        <f>INDEX('TH CANAM'!$A$9:$BF$63,MATCH(PDNam!$F1126,'TH CANAM'!$A$9:$A$63,0),INDEX($J$13:$M$30,MATCH($B1099,$J$13:$J$30,0),K$12))</f>
        <v/>
      </c>
      <c r="D1099" s="74" t="str">
        <f>INDEX('TH CANAM'!$A$9:$BF$63,MATCH(PDNam!$F1126,'TH CANAM'!$A$9:$A$63,0),INDEX($J$13:$M$30,MATCH($B1099,$J$13:$J$30,0),L$12))</f>
        <v/>
      </c>
      <c r="E1099" s="74" t="str">
        <f>INDEX('TH CANAM'!$A$9:$BF$63,MATCH(PDNam!$F1126,'TH CANAM'!$A$9:$A$63,0),INDEX($J$13:$M$30,MATCH($B1099,$J$13:$J$30,0),M$12))</f>
        <v/>
      </c>
      <c r="F1099" s="73"/>
      <c r="I1099" s="64"/>
      <c r="J1099" s="64"/>
    </row>
    <row r="1100" spans="1:10" ht="21" customHeight="1">
      <c r="A1100" s="72" t="s">
        <v>198</v>
      </c>
      <c r="B1100" s="73" t="s">
        <v>32</v>
      </c>
      <c r="C1100" s="74" t="str">
        <f>INDEX('TH CANAM'!$A$9:$BF$63,MATCH(PDNam!$F1126,'TH CANAM'!$A$9:$A$63,0),INDEX($J$13:$M$30,MATCH($B1100,$J$13:$J$30,0),K$12))</f>
        <v/>
      </c>
      <c r="D1100" s="74" t="str">
        <f>INDEX('TH CANAM'!$A$9:$BF$63,MATCH(PDNam!$F1126,'TH CANAM'!$A$9:$A$63,0),INDEX($J$13:$M$30,MATCH($B1100,$J$13:$J$30,0),L$12))</f>
        <v/>
      </c>
      <c r="E1100" s="74" t="str">
        <f>INDEX('TH CANAM'!$A$9:$BF$63,MATCH(PDNam!$F1126,'TH CANAM'!$A$9:$A$63,0),INDEX($J$13:$M$30,MATCH($B1100,$J$13:$J$30,0),M$12))</f>
        <v/>
      </c>
      <c r="F1100" s="73"/>
      <c r="I1100" s="64"/>
      <c r="J1100" s="64"/>
    </row>
    <row r="1101" spans="1:10" ht="21" customHeight="1">
      <c r="A1101" s="72" t="s">
        <v>199</v>
      </c>
      <c r="B1101" s="73" t="s">
        <v>33</v>
      </c>
      <c r="C1101" s="74" t="str">
        <f>INDEX('TH CANAM'!$A$9:$BF$63,MATCH(PDNam!$F1126,'TH CANAM'!$A$9:$A$63,0),INDEX($J$13:$M$30,MATCH($B1101,$J$13:$J$30,0),K$12))</f>
        <v/>
      </c>
      <c r="D1101" s="74" t="str">
        <f>INDEX('TH CANAM'!$A$9:$BF$63,MATCH(PDNam!$F1126,'TH CANAM'!$A$9:$A$63,0),INDEX($J$13:$M$30,MATCH($B1101,$J$13:$J$30,0),L$12))</f>
        <v/>
      </c>
      <c r="E1101" s="74" t="str">
        <f>INDEX('TH CANAM'!$A$9:$BF$63,MATCH(PDNam!$F1126,'TH CANAM'!$A$9:$A$63,0),INDEX($J$13:$M$30,MATCH($B1101,$J$13:$J$30,0),M$12))</f>
        <v/>
      </c>
      <c r="F1101" s="73"/>
      <c r="I1101" s="64"/>
      <c r="J1101" s="64"/>
    </row>
    <row r="1102" spans="1:10" ht="21" customHeight="1">
      <c r="A1102" s="72" t="s">
        <v>200</v>
      </c>
      <c r="B1102" s="73" t="s">
        <v>60</v>
      </c>
      <c r="C1102" s="74" t="str">
        <f>INDEX('TH CANAM'!$A$9:$BF$63,MATCH(PDNam!$F1126,'TH CANAM'!$A$9:$A$63,0),INDEX($J$13:$M$30,MATCH($B1102,$J$13:$J$30,0),K$12))</f>
        <v/>
      </c>
      <c r="D1102" s="74" t="str">
        <f>INDEX('TH CANAM'!$A$9:$BF$63,MATCH(PDNam!$F1126,'TH CANAM'!$A$9:$A$63,0),INDEX($J$13:$M$30,MATCH($B1102,$J$13:$J$30,0),L$12))</f>
        <v/>
      </c>
      <c r="E1102" s="74" t="str">
        <f>INDEX('TH CANAM'!$A$9:$BF$63,MATCH(PDNam!$F1126,'TH CANAM'!$A$9:$A$63,0),INDEX($J$13:$M$30,MATCH($B1102,$J$13:$J$30,0),M$12))</f>
        <v/>
      </c>
      <c r="F1102" s="73"/>
      <c r="I1102" s="64"/>
      <c r="J1102" s="64"/>
    </row>
    <row r="1103" spans="1:10" ht="21" customHeight="1">
      <c r="A1103" s="72" t="s">
        <v>201</v>
      </c>
      <c r="B1103" s="73" t="s">
        <v>34</v>
      </c>
      <c r="C1103" s="74" t="str">
        <f>INDEX('TH CANAM'!$A$9:$BF$63,MATCH(PDNam!$F1126,'TH CANAM'!$A$9:$A$63,0),INDEX($J$13:$M$30,MATCH($B1103,$J$13:$J$30,0),K$12))</f>
        <v/>
      </c>
      <c r="D1103" s="74" t="str">
        <f>INDEX('TH CANAM'!$A$9:$BF$63,MATCH(PDNam!$F1126,'TH CANAM'!$A$9:$A$63,0),INDEX($J$13:$M$30,MATCH($B1103,$J$13:$J$30,0),L$12))</f>
        <v/>
      </c>
      <c r="E1103" s="74" t="str">
        <f>INDEX('TH CANAM'!$A$9:$BF$63,MATCH(PDNam!$F1126,'TH CANAM'!$A$9:$A$63,0),INDEX($J$13:$M$30,MATCH($B1103,$J$13:$J$30,0),M$12))</f>
        <v/>
      </c>
      <c r="F1103" s="73"/>
      <c r="I1103" s="64"/>
      <c r="J1103" s="64"/>
    </row>
    <row r="1104" spans="1:10" ht="21" customHeight="1">
      <c r="A1104" s="72" t="s">
        <v>202</v>
      </c>
      <c r="B1104" s="73" t="s">
        <v>35</v>
      </c>
      <c r="C1104" s="74" t="str">
        <f>INDEX('TH CANAM'!$A$9:$BF$63,MATCH(PDNam!$F1126,'TH CANAM'!$A$9:$A$63,0),INDEX($J$13:$M$30,MATCH($B1104,$J$13:$J$30,0),K$12))</f>
        <v/>
      </c>
      <c r="D1104" s="74" t="str">
        <f>INDEX('TH CANAM'!$A$9:$BF$63,MATCH(PDNam!$F1126,'TH CANAM'!$A$9:$A$63,0),INDEX($J$13:$M$30,MATCH($B1104,$J$13:$J$30,0),L$12))</f>
        <v/>
      </c>
      <c r="E1104" s="74" t="str">
        <f>INDEX('TH CANAM'!$A$9:$BF$63,MATCH(PDNam!$F1126,'TH CANAM'!$A$9:$A$63,0),INDEX($J$13:$M$30,MATCH($B1104,$J$13:$J$30,0),M$12))</f>
        <v/>
      </c>
      <c r="F1104" s="73"/>
      <c r="I1104" s="64"/>
      <c r="J1104" s="64"/>
    </row>
    <row r="1105" spans="1:10" ht="21" customHeight="1">
      <c r="A1105" s="72" t="s">
        <v>203</v>
      </c>
      <c r="B1105" s="73" t="s">
        <v>121</v>
      </c>
      <c r="C1105" s="74" t="str">
        <f>INDEX('TH CANAM'!$A$9:$BF$63,MATCH(PDNam!$F1126,'TH CANAM'!$A$9:$A$63,0),INDEX($J$13:$M$30,MATCH($B1105,$J$13:$J$30,0),K$12))</f>
        <v/>
      </c>
      <c r="D1105" s="74" t="str">
        <f>INDEX('TH CANAM'!$A$9:$BF$63,MATCH(PDNam!$F1126,'TH CANAM'!$A$9:$A$63,0),INDEX($J$13:$M$30,MATCH($B1105,$J$13:$J$30,0),L$12))</f>
        <v/>
      </c>
      <c r="E1105" s="74" t="str">
        <f>INDEX('TH CANAM'!$A$9:$BF$63,MATCH(PDNam!$F1126,'TH CANAM'!$A$9:$A$63,0),INDEX($J$13:$M$30,MATCH($B1105,$J$13:$J$30,0),M$12))</f>
        <v/>
      </c>
      <c r="F1105" s="73"/>
      <c r="I1105" s="64"/>
      <c r="J1105" s="64"/>
    </row>
    <row r="1106" spans="1:10" ht="21" customHeight="1">
      <c r="A1106" s="72" t="s">
        <v>204</v>
      </c>
      <c r="B1106" s="73" t="s">
        <v>122</v>
      </c>
      <c r="C1106" s="74" t="str">
        <f>INDEX('TH CANAM'!$A$9:$BF$63,MATCH(PDNam!$F1126,'TH CANAM'!$A$9:$A$63,0),INDEX($J$13:$M$30,MATCH($B1106,$J$13:$J$30,0),K$12))</f>
        <v/>
      </c>
      <c r="D1106" s="74" t="str">
        <f>INDEX('TH CANAM'!$A$9:$BF$63,MATCH(PDNam!$F1126,'TH CANAM'!$A$9:$A$63,0),INDEX($J$13:$M$30,MATCH($B1106,$J$13:$J$30,0),L$12))</f>
        <v/>
      </c>
      <c r="E1106" s="74" t="str">
        <f>INDEX('TH CANAM'!$A$9:$BF$63,MATCH(PDNam!$F1126,'TH CANAM'!$A$9:$A$63,0),INDEX($J$13:$M$30,MATCH($B1106,$J$13:$J$30,0),M$12))</f>
        <v/>
      </c>
      <c r="F1106" s="73"/>
      <c r="I1106" s="64"/>
      <c r="J1106" s="64"/>
    </row>
    <row r="1107" spans="1:10" ht="21" customHeight="1">
      <c r="A1107" s="72" t="s">
        <v>208</v>
      </c>
      <c r="B1107" s="73" t="s">
        <v>205</v>
      </c>
      <c r="C1107" s="78">
        <f>INDEX('TH CANAM'!$A$9:$BF$63,MATCH(PDNam!$F1126,'TH CANAM'!$A$9:$A$63,0),46)</f>
        <v>9.5</v>
      </c>
      <c r="D1107" s="78" t="str">
        <f>INDEX('TH CANAM'!$A$9:$BF$63,MATCH(PDNam!$F1126,'TH CANAM'!$A$9:$A$63,0),47)</f>
        <v/>
      </c>
      <c r="E1107" s="78" t="str">
        <f>INDEX('TH CANAM'!$A$9:$BF$63,MATCH(PDNam!$F1126,'TH CANAM'!$A$9:$A$63,0),48)</f>
        <v/>
      </c>
      <c r="F1107" s="73"/>
      <c r="I1107" s="64"/>
      <c r="J1107" s="64"/>
    </row>
    <row r="1108" spans="1:10" ht="21" customHeight="1">
      <c r="A1108" s="72" t="s">
        <v>209</v>
      </c>
      <c r="B1108" s="72" t="s">
        <v>206</v>
      </c>
      <c r="C1108" s="74" t="str">
        <f>IF(INDEX('TH CANAM'!$A$9:$BF$63,MATCH(PDNam!$F1126,'TH CANAM'!$A$9:$A$63,0),49)="Tb","Trung bình",INDEX('TH CANAM'!$A$9:$BF$63,MATCH(PDNam!$F1126,'TH CANAM'!$A$9:$A$63,0),49))</f>
        <v>Giỏi</v>
      </c>
      <c r="D1108" s="74" t="str">
        <f>IF(INDEX('TH CANAM'!$A$9:$BF$63,MATCH(PDNam!$F1126,'TH CANAM'!$A$9:$A$63,0),50)="Tb","Trung bình",INDEX('TH CANAM'!$A$9:$BF$63,MATCH(PDNam!$F1126,'TH CANAM'!$A$9:$A$63,0),50))</f>
        <v/>
      </c>
      <c r="E1108" s="74" t="str">
        <f>IF(INDEX('TH CANAM'!$A$9:$BF$63,MATCH(PDNam!$F1126,'TH CANAM'!$A$9:$A$63,0),51)="Tb","Trung bình",INDEX('TH CANAM'!$A$9:$BF$63,MATCH(PDNam!$F1126,'TH CANAM'!$A$9:$A$63,0),51))</f>
        <v/>
      </c>
      <c r="F1108" s="73"/>
    </row>
    <row r="1109" spans="1:10" ht="21" customHeight="1">
      <c r="A1109" s="72" t="s">
        <v>210</v>
      </c>
      <c r="B1109" s="72" t="s">
        <v>207</v>
      </c>
      <c r="C1109" s="74" t="str">
        <f>INDEX('TH CANAM'!$A$9:$BF$63,MATCH(PDNam!$F1126,'TH CANAM'!$A$9:$A$63,0),52)</f>
        <v>Tốt</v>
      </c>
      <c r="D1109" s="74" t="str">
        <f>INDEX('TH CANAM'!$A$9:$BF$63,MATCH(PDNam!$F1126,'TH CANAM'!$A$9:$A$63,0),53)</f>
        <v/>
      </c>
      <c r="E1109" s="74" t="str">
        <f>INDEX('TH CANAM'!$A$9:$BF$63,MATCH(PDNam!$F1126,'TH CANAM'!$A$9:$A$63,0),54)</f>
        <v/>
      </c>
      <c r="F1109" s="73"/>
    </row>
    <row r="1110" spans="1:10" ht="21" customHeight="1">
      <c r="A1110" s="72" t="s">
        <v>211</v>
      </c>
      <c r="B1110" s="72" t="s">
        <v>25</v>
      </c>
      <c r="C1110" s="74" t="str">
        <f>IF(INDEX('TH CANAM'!$A$9:$BF$63,MATCH(PDNam!$F1126,'TH CANAM'!$A$9:$A$63,0),57)&lt;&gt;"",INDEX('TH CANAM'!$A$9:$BF$63,MATCH(PDNam!$F1126,'TH CANAM'!$A$9:$A$63,0),57),"/")</f>
        <v>HSG</v>
      </c>
      <c r="D1110" s="74" t="str">
        <f>IF(INDEX('TH CANAM'!$A$9:$BF$63,MATCH(PDNam!$F1126,'TH CANAM'!$A$9:$A$63,0),58)&lt;&gt;"",INDEX('TH CANAM'!$A$9:$BF$63,MATCH(PDNam!$F1126,'TH CANAM'!$A$9:$A$63,0),58),"/")</f>
        <v>/</v>
      </c>
      <c r="E1110" s="74" t="str">
        <f>IF(INDEX('TH CANAM'!$A$9:$BF$63,MATCH(PDNam!$F1126,'TH CANAM'!$A$9:$A$63,0),55)&lt;&gt;"",INDEX('TH CANAM'!$A$9:$BF$63,MATCH(PDNam!$F1126,'TH CANAM'!$A$9:$A$63,0),55),"/")</f>
        <v>/</v>
      </c>
      <c r="F1110" s="73"/>
    </row>
    <row r="1111" spans="1:10" s="60" customFormat="1" ht="9" customHeight="1">
      <c r="A1111" s="67"/>
      <c r="B1111" s="67"/>
      <c r="C1111" s="1132"/>
      <c r="D1111" s="1132"/>
      <c r="E1111" s="67"/>
      <c r="F1111" s="67"/>
    </row>
    <row r="1112" spans="1:10" s="60" customFormat="1" ht="18.75" customHeight="1">
      <c r="A1112" s="58" t="s">
        <v>219</v>
      </c>
      <c r="B1112" s="57"/>
      <c r="C1112" s="57"/>
      <c r="D1112" s="57"/>
      <c r="E1112" s="57"/>
      <c r="F1112" s="475"/>
    </row>
    <row r="1113" spans="1:10" s="60" customFormat="1" ht="18.75" customHeight="1">
      <c r="A1113" s="59" t="str">
        <f>IF(F1126&lt;&gt;"",IF(INDEX(BDHK2,MATCH(F1126,DiemHKII!$B$4:$B$58,0),137)&lt;&gt;""," - "&amp;INDEX(BDHK2,MATCH(F1126,DiemHKII!$B$4:$B$58,0),137),""),"")</f>
        <v/>
      </c>
      <c r="B1113" s="57"/>
      <c r="C1113" s="57"/>
      <c r="D1113" s="57"/>
      <c r="E1113" s="57"/>
      <c r="F1113" s="475"/>
    </row>
    <row r="1114" spans="1:10" s="60" customFormat="1" ht="18.75" customHeight="1">
      <c r="A1114" s="59" t="str">
        <f>IF(F1126&lt;&gt;"",IF(INDEX(BDHK2,MATCH(F1126,DiemHKII!$B$4:$B$58,0),138)&lt;&gt;""," - "&amp;INDEX(BDHK2,MATCH(F1126,DiemHKII!$B$4:$B$58,0),138),""),"")</f>
        <v/>
      </c>
      <c r="B1114" s="57"/>
      <c r="C1114" s="57"/>
      <c r="D1114" s="57"/>
      <c r="E1114" s="57"/>
      <c r="F1114" s="475"/>
    </row>
    <row r="1115" spans="1:10" s="60" customFormat="1" ht="18.75" customHeight="1">
      <c r="A1115" s="59" t="str">
        <f>IF(F1126&lt;&gt;"",IF(INDEX(BDHK2,MATCH(F1126,DiemHKII!$B$4:$B$58,0),139)&lt;&gt;""," - "&amp;INDEX(BDHK2,MATCH(F1126,DiemHKII!$B$4:$B$58,0),139),""),"")</f>
        <v/>
      </c>
      <c r="B1115" s="57"/>
      <c r="C1115" s="57"/>
      <c r="D1115" s="57"/>
      <c r="E1115" s="57"/>
      <c r="F1115" s="475"/>
    </row>
    <row r="1116" spans="1:10" s="60" customFormat="1" ht="18.75" customHeight="1">
      <c r="A1116" s="59" t="str">
        <f>IF(F1126&lt;&gt;"",IF(INDEX(BDHK2,MATCH(F1126,DiemHKII!$B$4:$B$58,0),140)&lt;&gt;""," - "&amp;INDEX(BDHK2,MATCH(F1126,DiemHKII!$B$4:$B$58,0),140),""),"")</f>
        <v/>
      </c>
      <c r="B1116" s="57"/>
      <c r="C1116" s="57"/>
      <c r="D1116" s="57"/>
      <c r="E1116" s="57"/>
      <c r="F1116" s="67"/>
    </row>
    <row r="1117" spans="1:10" ht="6" customHeight="1">
      <c r="A1117" s="68"/>
      <c r="B1117" s="68"/>
      <c r="C1117" s="68"/>
      <c r="D1117" s="68"/>
      <c r="E1117" s="68"/>
      <c r="F1117" s="68"/>
    </row>
    <row r="1118" spans="1:10">
      <c r="A1118" s="68"/>
      <c r="B1118" s="68"/>
      <c r="C111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118" s="1060"/>
      <c r="E1118" s="1060"/>
      <c r="F1118" s="1060"/>
    </row>
    <row r="1119" spans="1:10" ht="20.25" customHeight="1">
      <c r="A1119" s="1012" t="str">
        <f>IF($D$39="Hiệu trưởng","Giáo viên Quản nhiệm","")</f>
        <v>Giáo viên Quản nhiệm</v>
      </c>
      <c r="B1119" s="1012"/>
      <c r="C1119" s="61"/>
      <c r="D1119" s="1012" t="str">
        <f>IF($H$7="","",$H$7)</f>
        <v>Hiệu trưởng</v>
      </c>
      <c r="E1119" s="1012"/>
      <c r="F1119" s="61"/>
    </row>
    <row r="1120" spans="1:10">
      <c r="A1120" s="68"/>
      <c r="B1120" s="68"/>
      <c r="C1120" s="68"/>
      <c r="D1120" s="68"/>
      <c r="E1120" s="68"/>
      <c r="F1120" s="68"/>
    </row>
    <row r="1121" spans="1:10">
      <c r="A1121" s="68"/>
      <c r="B1121" s="68"/>
      <c r="C1121" s="68"/>
      <c r="D1121" s="68"/>
      <c r="E1121" s="68"/>
      <c r="F1121" s="68"/>
    </row>
    <row r="1122" spans="1:10" ht="16.8">
      <c r="A1122" s="68"/>
      <c r="B1122" s="68"/>
      <c r="C1122" s="64"/>
      <c r="D1122" s="64"/>
      <c r="E1122" s="64"/>
      <c r="F1122" s="64"/>
      <c r="G1122" s="65"/>
      <c r="H1122" s="65"/>
      <c r="I1122" s="65"/>
      <c r="J1122" s="65"/>
    </row>
    <row r="1124" spans="1:10">
      <c r="A1124" s="1012" t="str">
        <f>IF($A$39="","",PROPER('Huong dan'!$C$4))</f>
        <v/>
      </c>
      <c r="B1124" s="1012"/>
      <c r="D1124" s="1130" t="str">
        <f>IFERROR(IF($D$39="Giáo Viên Quản nhiệm",PROPER('Huong dan'!$C$4),IF($D$39="Hiệu trưởng",PROPER('Huong dan'!$E$5),"")),"")</f>
        <v/>
      </c>
      <c r="E1124" s="1130"/>
    </row>
    <row r="1125" spans="1:10" ht="7.5" customHeight="1"/>
    <row r="1126" spans="1:10" ht="11.25" customHeight="1">
      <c r="A1126" s="75"/>
      <c r="B1126" s="75"/>
      <c r="C1126" s="75"/>
      <c r="D1126" s="75"/>
      <c r="E1126" s="75"/>
      <c r="F1126" s="76">
        <f>IF(F1081="","",IF(F1081&lt;MAX(DiemHKII!$B$4:$B$58),F1081+1,""))</f>
        <v>25</v>
      </c>
    </row>
    <row r="1127" spans="1:10" s="60" customFormat="1" ht="22.5" customHeight="1">
      <c r="A1127" s="1128" t="str">
        <f>IF('Huong dan'!$E$3&lt;&gt;"","SỞ GIÁO DỤC VÀ ĐÀO TẠO "&amp;UPPER('Huong dan'!$E$3),"")</f>
        <v>SỞ GIÁO DỤC VÀ ĐÀO TẠO TP. HỒ CHÍ MINH</v>
      </c>
      <c r="B1127" s="1128"/>
      <c r="C1127" s="1128"/>
      <c r="D1127" s="1129" t="s">
        <v>19</v>
      </c>
      <c r="E1127" s="1129"/>
      <c r="F1127" s="1129"/>
    </row>
    <row r="1128" spans="1:10" ht="17.25" customHeight="1">
      <c r="A1128" s="992" t="str">
        <f>IF('Huong dan'!$E$4&lt;&gt;"","TRƯỜNG "&amp;UPPER('Huong dan'!$E$4),"")</f>
        <v>TRƯỜNG THCS VÀ THPT NGUYỄN KHUYẾN</v>
      </c>
      <c r="B1128" s="992"/>
      <c r="C1128" s="992"/>
      <c r="D1128" s="1130" t="s">
        <v>179</v>
      </c>
      <c r="E1128" s="1130"/>
      <c r="F1128" s="1130"/>
    </row>
    <row r="1129" spans="1:10" ht="12" customHeight="1">
      <c r="A1129" s="69"/>
      <c r="B1129" s="69"/>
      <c r="C1129" s="30"/>
      <c r="D1129" s="30"/>
      <c r="E1129" s="30"/>
      <c r="F1129" s="30"/>
    </row>
    <row r="1130" spans="1:10" ht="18" customHeight="1">
      <c r="A1130" s="69"/>
      <c r="B1130" s="69"/>
      <c r="C1130" s="30"/>
      <c r="D1130" s="30"/>
      <c r="E1130" s="30"/>
      <c r="F1130" s="30"/>
    </row>
    <row r="1131" spans="1:10" ht="29.25" customHeight="1">
      <c r="A1131" s="1013" t="str">
        <f>"PHIẾU ĐIỂM NĂM HỌC "&amp;'Huong dan'!$C$5</f>
        <v>PHIẾU ĐIỂM NĂM HỌC 2021 - 2022</v>
      </c>
      <c r="B1131" s="1013"/>
      <c r="C1131" s="1013"/>
      <c r="D1131" s="1013"/>
      <c r="E1131" s="1013"/>
      <c r="F1131" s="1013"/>
    </row>
    <row r="1132" spans="1:10" ht="12.75" customHeight="1">
      <c r="A1132" s="70"/>
      <c r="B1132" s="66"/>
      <c r="C1132" s="66"/>
      <c r="D1132" s="66"/>
      <c r="E1132" s="66"/>
      <c r="F1132" s="66"/>
    </row>
    <row r="1133" spans="1:10" ht="20.25" customHeight="1">
      <c r="A1133" s="1131" t="s">
        <v>212</v>
      </c>
      <c r="B1133" s="1131"/>
      <c r="C1133" s="77" t="str">
        <f>IF(F1171="","",INDEX(DiemHKII!$E$4:$E$58,MATCH(F1171,DiemHKII!$B$4:$B$58,0),1)&amp;" "&amp;INDEX(DiemHKII!$F$4:$F$58,MATCH(F1171,DiemHKII!$B$4:$B$58,0),1))</f>
        <v>Trần Thị Hải Như</v>
      </c>
      <c r="D1133" s="77"/>
      <c r="E1133" s="77"/>
      <c r="F1133" s="71" t="str">
        <f>IF('Huong dan'!$C$3="","","Lớp: "&amp;'Huong dan'!$C$3)</f>
        <v>Lớp: 12A1</v>
      </c>
    </row>
    <row r="1134" spans="1:10" ht="24" customHeight="1">
      <c r="A1134" s="1131" t="s">
        <v>213</v>
      </c>
      <c r="B1134" s="1131"/>
      <c r="C1134" s="77" t="str">
        <f>IF(F1171="","",INDEX(DiemHKII!$G$4:$G$58,MATCH(F1171,DiemHKII!$B$4:$B$58,0),1))</f>
        <v>17/08/2004</v>
      </c>
      <c r="D1134" s="77"/>
      <c r="E1134" s="1133" t="str">
        <f>IF(F1171="","","Nơi sinh: "&amp;INDEX(DiemHKII!$H$4:$H$58,MATCH(F1171,DiemHKII!$B$4:$B$58,0),1))</f>
        <v xml:space="preserve">Nơi sinh: </v>
      </c>
      <c r="F1134" s="1133"/>
    </row>
    <row r="1135" spans="1:10" ht="15" customHeight="1">
      <c r="A1135" s="62"/>
      <c r="B1135" s="62"/>
      <c r="C1135" s="62"/>
      <c r="D1135" s="62"/>
      <c r="E1135" s="62"/>
      <c r="F1135" s="63"/>
    </row>
    <row r="1136" spans="1:10" ht="21" customHeight="1">
      <c r="A1136" s="1134" t="s">
        <v>0</v>
      </c>
      <c r="B1136" s="1134" t="s">
        <v>72</v>
      </c>
      <c r="C1136" s="1134" t="s">
        <v>216</v>
      </c>
      <c r="D1136" s="1134"/>
      <c r="E1136" s="1134"/>
      <c r="F1136" s="1134" t="s">
        <v>148</v>
      </c>
    </row>
    <row r="1137" spans="1:10" ht="21" customHeight="1">
      <c r="A1137" s="1134"/>
      <c r="B1137" s="1134"/>
      <c r="C1137" s="476" t="s">
        <v>188</v>
      </c>
      <c r="D1137" s="476" t="s">
        <v>189</v>
      </c>
      <c r="E1137" s="476" t="s">
        <v>190</v>
      </c>
      <c r="F1137" s="1134"/>
    </row>
    <row r="1138" spans="1:10" ht="21" customHeight="1">
      <c r="A1138" s="72" t="s">
        <v>191</v>
      </c>
      <c r="B1138" s="73" t="s">
        <v>26</v>
      </c>
      <c r="C1138" s="74" t="str">
        <f>INDEX('TH CANAM'!$A$9:$BF$63,MATCH(PDNam!$F1171,'TH CANAM'!$A$9:$A$63,0),INDEX($J$13:$M$30,MATCH($B1138,$J$13:$J$30,0),K$12))</f>
        <v/>
      </c>
      <c r="D1138" s="74" t="str">
        <f>INDEX('TH CANAM'!$A$9:$BF$63,MATCH(PDNam!$F1171,'TH CANAM'!$A$9:$A$63,0),INDEX($J$13:$M$30,MATCH($B1138,$J$13:$J$30,0),L$12))</f>
        <v/>
      </c>
      <c r="E1138" s="74" t="str">
        <f>INDEX('TH CANAM'!$A$9:$BF$63,MATCH(PDNam!$F1171,'TH CANAM'!$A$9:$A$63,0),INDEX($J$13:$M$30,MATCH($B1138,$J$13:$J$30,0),M$12))</f>
        <v/>
      </c>
      <c r="F1138" s="73"/>
      <c r="I1138" s="64"/>
      <c r="J1138" s="64"/>
    </row>
    <row r="1139" spans="1:10" ht="21" customHeight="1">
      <c r="A1139" s="72" t="s">
        <v>192</v>
      </c>
      <c r="B1139" s="73" t="s">
        <v>27</v>
      </c>
      <c r="C1139" s="74" t="str">
        <f>INDEX('TH CANAM'!$A$9:$BF$63,MATCH(PDNam!$F1171,'TH CANAM'!$A$9:$A$63,0),INDEX($J$13:$M$30,MATCH($B1139,$J$13:$J$30,0),K$12))</f>
        <v/>
      </c>
      <c r="D1139" s="74" t="str">
        <f>INDEX('TH CANAM'!$A$9:$BF$63,MATCH(PDNam!$F1171,'TH CANAM'!$A$9:$A$63,0),INDEX($J$13:$M$30,MATCH($B1139,$J$13:$J$30,0),L$12))</f>
        <v/>
      </c>
      <c r="E1139" s="74" t="str">
        <f>INDEX('TH CANAM'!$A$9:$BF$63,MATCH(PDNam!$F1171,'TH CANAM'!$A$9:$A$63,0),INDEX($J$13:$M$30,MATCH($B1139,$J$13:$J$30,0),M$12))</f>
        <v/>
      </c>
      <c r="F1139" s="73"/>
      <c r="I1139" s="64"/>
      <c r="J1139" s="64"/>
    </row>
    <row r="1140" spans="1:10" ht="21" customHeight="1">
      <c r="A1140" s="72" t="s">
        <v>193</v>
      </c>
      <c r="B1140" s="73" t="s">
        <v>28</v>
      </c>
      <c r="C1140" s="74" t="str">
        <f>INDEX('TH CANAM'!$A$9:$BF$63,MATCH(PDNam!$F1171,'TH CANAM'!$A$9:$A$63,0),INDEX($J$13:$M$30,MATCH($B1140,$J$13:$J$30,0),K$12))</f>
        <v/>
      </c>
      <c r="D1140" s="74" t="str">
        <f>INDEX('TH CANAM'!$A$9:$BF$63,MATCH(PDNam!$F1171,'TH CANAM'!$A$9:$A$63,0),INDEX($J$13:$M$30,MATCH($B1140,$J$13:$J$30,0),L$12))</f>
        <v/>
      </c>
      <c r="E1140" s="74" t="str">
        <f>INDEX('TH CANAM'!$A$9:$BF$63,MATCH(PDNam!$F1171,'TH CANAM'!$A$9:$A$63,0),INDEX($J$13:$M$30,MATCH($B1140,$J$13:$J$30,0),M$12))</f>
        <v/>
      </c>
      <c r="F1140" s="73"/>
      <c r="I1140" s="64"/>
      <c r="J1140" s="64"/>
    </row>
    <row r="1141" spans="1:10" ht="21" customHeight="1">
      <c r="A1141" s="72" t="s">
        <v>194</v>
      </c>
      <c r="B1141" s="73" t="s">
        <v>29</v>
      </c>
      <c r="C1141" s="74" t="str">
        <f>INDEX('TH CANAM'!$A$9:$BF$63,MATCH(PDNam!$F1171,'TH CANAM'!$A$9:$A$63,0),INDEX($J$13:$M$30,MATCH($B1141,$J$13:$J$30,0),K$12))</f>
        <v/>
      </c>
      <c r="D1141" s="74" t="str">
        <f>INDEX('TH CANAM'!$A$9:$BF$63,MATCH(PDNam!$F1171,'TH CANAM'!$A$9:$A$63,0),INDEX($J$13:$M$30,MATCH($B1141,$J$13:$J$30,0),L$12))</f>
        <v/>
      </c>
      <c r="E1141" s="74" t="str">
        <f>INDEX('TH CANAM'!$A$9:$BF$63,MATCH(PDNam!$F1171,'TH CANAM'!$A$9:$A$63,0),INDEX($J$13:$M$30,MATCH($B1141,$J$13:$J$30,0),M$12))</f>
        <v/>
      </c>
      <c r="F1141" s="73"/>
      <c r="I1141" s="64"/>
      <c r="J1141" s="64"/>
    </row>
    <row r="1142" spans="1:10" ht="21" customHeight="1">
      <c r="A1142" s="72" t="s">
        <v>195</v>
      </c>
      <c r="B1142" s="73" t="s">
        <v>120</v>
      </c>
      <c r="C1142" s="74" t="str">
        <f>INDEX('TH CANAM'!$A$9:$BF$63,MATCH(PDNam!$F1171,'TH CANAM'!$A$9:$A$63,0),INDEX($J$13:$M$30,MATCH($B1142,$J$13:$J$30,0),K$12))</f>
        <v/>
      </c>
      <c r="D1142" s="74" t="str">
        <f>INDEX('TH CANAM'!$A$9:$BF$63,MATCH(PDNam!$F1171,'TH CANAM'!$A$9:$A$63,0),INDEX($J$13:$M$30,MATCH($B1142,$J$13:$J$30,0),L$12))</f>
        <v/>
      </c>
      <c r="E1142" s="74" t="str">
        <f>INDEX('TH CANAM'!$A$9:$BF$63,MATCH(PDNam!$F1171,'TH CANAM'!$A$9:$A$63,0),INDEX($J$13:$M$30,MATCH($B1142,$J$13:$J$30,0),M$12))</f>
        <v/>
      </c>
      <c r="F1142" s="73"/>
      <c r="I1142" s="64"/>
      <c r="J1142" s="64"/>
    </row>
    <row r="1143" spans="1:10" ht="21" customHeight="1">
      <c r="A1143" s="72" t="s">
        <v>196</v>
      </c>
      <c r="B1143" s="73" t="s">
        <v>30</v>
      </c>
      <c r="C1143" s="74" t="str">
        <f>INDEX('TH CANAM'!$A$9:$BF$63,MATCH(PDNam!$F1171,'TH CANAM'!$A$9:$A$63,0),INDEX($J$13:$M$30,MATCH($B1143,$J$13:$J$30,0),K$12))</f>
        <v/>
      </c>
      <c r="D1143" s="74" t="str">
        <f>INDEX('TH CANAM'!$A$9:$BF$63,MATCH(PDNam!$F1171,'TH CANAM'!$A$9:$A$63,0),INDEX($J$13:$M$30,MATCH($B1143,$J$13:$J$30,0),L$12))</f>
        <v/>
      </c>
      <c r="E1143" s="74" t="str">
        <f>INDEX('TH CANAM'!$A$9:$BF$63,MATCH(PDNam!$F1171,'TH CANAM'!$A$9:$A$63,0),INDEX($J$13:$M$30,MATCH($B1143,$J$13:$J$30,0),M$12))</f>
        <v/>
      </c>
      <c r="F1143" s="73"/>
      <c r="I1143" s="64"/>
      <c r="J1143" s="64"/>
    </row>
    <row r="1144" spans="1:10" ht="21" customHeight="1">
      <c r="A1144" s="72" t="s">
        <v>197</v>
      </c>
      <c r="B1144" s="73" t="s">
        <v>31</v>
      </c>
      <c r="C1144" s="74" t="str">
        <f>INDEX('TH CANAM'!$A$9:$BF$63,MATCH(PDNam!$F1171,'TH CANAM'!$A$9:$A$63,0),INDEX($J$13:$M$30,MATCH($B1144,$J$13:$J$30,0),K$12))</f>
        <v/>
      </c>
      <c r="D1144" s="74" t="str">
        <f>INDEX('TH CANAM'!$A$9:$BF$63,MATCH(PDNam!$F1171,'TH CANAM'!$A$9:$A$63,0),INDEX($J$13:$M$30,MATCH($B1144,$J$13:$J$30,0),L$12))</f>
        <v/>
      </c>
      <c r="E1144" s="74" t="str">
        <f>INDEX('TH CANAM'!$A$9:$BF$63,MATCH(PDNam!$F1171,'TH CANAM'!$A$9:$A$63,0),INDEX($J$13:$M$30,MATCH($B1144,$J$13:$J$30,0),M$12))</f>
        <v/>
      </c>
      <c r="F1144" s="73"/>
      <c r="I1144" s="64"/>
      <c r="J1144" s="64"/>
    </row>
    <row r="1145" spans="1:10" ht="21" customHeight="1">
      <c r="A1145" s="72" t="s">
        <v>198</v>
      </c>
      <c r="B1145" s="73" t="s">
        <v>32</v>
      </c>
      <c r="C1145" s="74" t="str">
        <f>INDEX('TH CANAM'!$A$9:$BF$63,MATCH(PDNam!$F1171,'TH CANAM'!$A$9:$A$63,0),INDEX($J$13:$M$30,MATCH($B1145,$J$13:$J$30,0),K$12))</f>
        <v/>
      </c>
      <c r="D1145" s="74" t="str">
        <f>INDEX('TH CANAM'!$A$9:$BF$63,MATCH(PDNam!$F1171,'TH CANAM'!$A$9:$A$63,0),INDEX($J$13:$M$30,MATCH($B1145,$J$13:$J$30,0),L$12))</f>
        <v/>
      </c>
      <c r="E1145" s="74" t="str">
        <f>INDEX('TH CANAM'!$A$9:$BF$63,MATCH(PDNam!$F1171,'TH CANAM'!$A$9:$A$63,0),INDEX($J$13:$M$30,MATCH($B1145,$J$13:$J$30,0),M$12))</f>
        <v/>
      </c>
      <c r="F1145" s="73"/>
      <c r="I1145" s="64"/>
      <c r="J1145" s="64"/>
    </row>
    <row r="1146" spans="1:10" ht="21" customHeight="1">
      <c r="A1146" s="72" t="s">
        <v>199</v>
      </c>
      <c r="B1146" s="73" t="s">
        <v>33</v>
      </c>
      <c r="C1146" s="74" t="str">
        <f>INDEX('TH CANAM'!$A$9:$BF$63,MATCH(PDNam!$F1171,'TH CANAM'!$A$9:$A$63,0),INDEX($J$13:$M$30,MATCH($B1146,$J$13:$J$30,0),K$12))</f>
        <v/>
      </c>
      <c r="D1146" s="74" t="str">
        <f>INDEX('TH CANAM'!$A$9:$BF$63,MATCH(PDNam!$F1171,'TH CANAM'!$A$9:$A$63,0),INDEX($J$13:$M$30,MATCH($B1146,$J$13:$J$30,0),L$12))</f>
        <v/>
      </c>
      <c r="E1146" s="74" t="str">
        <f>INDEX('TH CANAM'!$A$9:$BF$63,MATCH(PDNam!$F1171,'TH CANAM'!$A$9:$A$63,0),INDEX($J$13:$M$30,MATCH($B1146,$J$13:$J$30,0),M$12))</f>
        <v/>
      </c>
      <c r="F1146" s="73"/>
      <c r="I1146" s="64"/>
      <c r="J1146" s="64"/>
    </row>
    <row r="1147" spans="1:10" ht="21" customHeight="1">
      <c r="A1147" s="72" t="s">
        <v>200</v>
      </c>
      <c r="B1147" s="73" t="s">
        <v>60</v>
      </c>
      <c r="C1147" s="74" t="str">
        <f>INDEX('TH CANAM'!$A$9:$BF$63,MATCH(PDNam!$F1171,'TH CANAM'!$A$9:$A$63,0),INDEX($J$13:$M$30,MATCH($B1147,$J$13:$J$30,0),K$12))</f>
        <v/>
      </c>
      <c r="D1147" s="74" t="str">
        <f>INDEX('TH CANAM'!$A$9:$BF$63,MATCH(PDNam!$F1171,'TH CANAM'!$A$9:$A$63,0),INDEX($J$13:$M$30,MATCH($B1147,$J$13:$J$30,0),L$12))</f>
        <v/>
      </c>
      <c r="E1147" s="74" t="str">
        <f>INDEX('TH CANAM'!$A$9:$BF$63,MATCH(PDNam!$F1171,'TH CANAM'!$A$9:$A$63,0),INDEX($J$13:$M$30,MATCH($B1147,$J$13:$J$30,0),M$12))</f>
        <v/>
      </c>
      <c r="F1147" s="73"/>
      <c r="I1147" s="64"/>
      <c r="J1147" s="64"/>
    </row>
    <row r="1148" spans="1:10" ht="21" customHeight="1">
      <c r="A1148" s="72" t="s">
        <v>201</v>
      </c>
      <c r="B1148" s="73" t="s">
        <v>34</v>
      </c>
      <c r="C1148" s="74" t="str">
        <f>INDEX('TH CANAM'!$A$9:$BF$63,MATCH(PDNam!$F1171,'TH CANAM'!$A$9:$A$63,0),INDEX($J$13:$M$30,MATCH($B1148,$J$13:$J$30,0),K$12))</f>
        <v/>
      </c>
      <c r="D1148" s="74" t="str">
        <f>INDEX('TH CANAM'!$A$9:$BF$63,MATCH(PDNam!$F1171,'TH CANAM'!$A$9:$A$63,0),INDEX($J$13:$M$30,MATCH($B1148,$J$13:$J$30,0),L$12))</f>
        <v/>
      </c>
      <c r="E1148" s="74" t="str">
        <f>INDEX('TH CANAM'!$A$9:$BF$63,MATCH(PDNam!$F1171,'TH CANAM'!$A$9:$A$63,0),INDEX($J$13:$M$30,MATCH($B1148,$J$13:$J$30,0),M$12))</f>
        <v/>
      </c>
      <c r="F1148" s="73"/>
      <c r="I1148" s="64"/>
      <c r="J1148" s="64"/>
    </row>
    <row r="1149" spans="1:10" ht="21" customHeight="1">
      <c r="A1149" s="72" t="s">
        <v>202</v>
      </c>
      <c r="B1149" s="73" t="s">
        <v>35</v>
      </c>
      <c r="C1149" s="74" t="str">
        <f>INDEX('TH CANAM'!$A$9:$BF$63,MATCH(PDNam!$F1171,'TH CANAM'!$A$9:$A$63,0),INDEX($J$13:$M$30,MATCH($B1149,$J$13:$J$30,0),K$12))</f>
        <v/>
      </c>
      <c r="D1149" s="74" t="str">
        <f>INDEX('TH CANAM'!$A$9:$BF$63,MATCH(PDNam!$F1171,'TH CANAM'!$A$9:$A$63,0),INDEX($J$13:$M$30,MATCH($B1149,$J$13:$J$30,0),L$12))</f>
        <v/>
      </c>
      <c r="E1149" s="74" t="str">
        <f>INDEX('TH CANAM'!$A$9:$BF$63,MATCH(PDNam!$F1171,'TH CANAM'!$A$9:$A$63,0),INDEX($J$13:$M$30,MATCH($B1149,$J$13:$J$30,0),M$12))</f>
        <v/>
      </c>
      <c r="F1149" s="73"/>
      <c r="I1149" s="64"/>
      <c r="J1149" s="64"/>
    </row>
    <row r="1150" spans="1:10" ht="21" customHeight="1">
      <c r="A1150" s="72" t="s">
        <v>203</v>
      </c>
      <c r="B1150" s="73" t="s">
        <v>121</v>
      </c>
      <c r="C1150" s="74" t="str">
        <f>INDEX('TH CANAM'!$A$9:$BF$63,MATCH(PDNam!$F1171,'TH CANAM'!$A$9:$A$63,0),INDEX($J$13:$M$30,MATCH($B1150,$J$13:$J$30,0),K$12))</f>
        <v/>
      </c>
      <c r="D1150" s="74" t="str">
        <f>INDEX('TH CANAM'!$A$9:$BF$63,MATCH(PDNam!$F1171,'TH CANAM'!$A$9:$A$63,0),INDEX($J$13:$M$30,MATCH($B1150,$J$13:$J$30,0),L$12))</f>
        <v/>
      </c>
      <c r="E1150" s="74" t="str">
        <f>INDEX('TH CANAM'!$A$9:$BF$63,MATCH(PDNam!$F1171,'TH CANAM'!$A$9:$A$63,0),INDEX($J$13:$M$30,MATCH($B1150,$J$13:$J$30,0),M$12))</f>
        <v/>
      </c>
      <c r="F1150" s="73"/>
      <c r="I1150" s="64"/>
      <c r="J1150" s="64"/>
    </row>
    <row r="1151" spans="1:10" ht="21" customHeight="1">
      <c r="A1151" s="72" t="s">
        <v>204</v>
      </c>
      <c r="B1151" s="73" t="s">
        <v>122</v>
      </c>
      <c r="C1151" s="74" t="str">
        <f>INDEX('TH CANAM'!$A$9:$BF$63,MATCH(PDNam!$F1171,'TH CANAM'!$A$9:$A$63,0),INDEX($J$13:$M$30,MATCH($B1151,$J$13:$J$30,0),K$12))</f>
        <v/>
      </c>
      <c r="D1151" s="74" t="str">
        <f>INDEX('TH CANAM'!$A$9:$BF$63,MATCH(PDNam!$F1171,'TH CANAM'!$A$9:$A$63,0),INDEX($J$13:$M$30,MATCH($B1151,$J$13:$J$30,0),L$12))</f>
        <v/>
      </c>
      <c r="E1151" s="74" t="str">
        <f>INDEX('TH CANAM'!$A$9:$BF$63,MATCH(PDNam!$F1171,'TH CANAM'!$A$9:$A$63,0),INDEX($J$13:$M$30,MATCH($B1151,$J$13:$J$30,0),M$12))</f>
        <v/>
      </c>
      <c r="F1151" s="73"/>
      <c r="I1151" s="64"/>
      <c r="J1151" s="64"/>
    </row>
    <row r="1152" spans="1:10" ht="21" customHeight="1">
      <c r="A1152" s="72" t="s">
        <v>208</v>
      </c>
      <c r="B1152" s="73" t="s">
        <v>205</v>
      </c>
      <c r="C1152" s="78">
        <f>INDEX('TH CANAM'!$A$9:$BF$63,MATCH(PDNam!$F1171,'TH CANAM'!$A$9:$A$63,0),46)</f>
        <v>9.3000000000000007</v>
      </c>
      <c r="D1152" s="78" t="str">
        <f>INDEX('TH CANAM'!$A$9:$BF$63,MATCH(PDNam!$F1171,'TH CANAM'!$A$9:$A$63,0),47)</f>
        <v/>
      </c>
      <c r="E1152" s="78" t="str">
        <f>INDEX('TH CANAM'!$A$9:$BF$63,MATCH(PDNam!$F1171,'TH CANAM'!$A$9:$A$63,0),48)</f>
        <v/>
      </c>
      <c r="F1152" s="73"/>
      <c r="I1152" s="64"/>
      <c r="J1152" s="64"/>
    </row>
    <row r="1153" spans="1:10" ht="21" customHeight="1">
      <c r="A1153" s="72" t="s">
        <v>209</v>
      </c>
      <c r="B1153" s="72" t="s">
        <v>206</v>
      </c>
      <c r="C1153" s="74" t="str">
        <f>IF(INDEX('TH CANAM'!$A$9:$BF$63,MATCH(PDNam!$F1171,'TH CANAM'!$A$9:$A$63,0),49)="Tb","Trung bình",INDEX('TH CANAM'!$A$9:$BF$63,MATCH(PDNam!$F1171,'TH CANAM'!$A$9:$A$63,0),49))</f>
        <v>Giỏi</v>
      </c>
      <c r="D1153" s="74" t="str">
        <f>IF(INDEX('TH CANAM'!$A$9:$BF$63,MATCH(PDNam!$F1171,'TH CANAM'!$A$9:$A$63,0),50)="Tb","Trung bình",INDEX('TH CANAM'!$A$9:$BF$63,MATCH(PDNam!$F1171,'TH CANAM'!$A$9:$A$63,0),50))</f>
        <v/>
      </c>
      <c r="E1153" s="74" t="str">
        <f>IF(INDEX('TH CANAM'!$A$9:$BF$63,MATCH(PDNam!$F1171,'TH CANAM'!$A$9:$A$63,0),51)="Tb","Trung bình",INDEX('TH CANAM'!$A$9:$BF$63,MATCH(PDNam!$F1171,'TH CANAM'!$A$9:$A$63,0),51))</f>
        <v/>
      </c>
      <c r="F1153" s="73"/>
    </row>
    <row r="1154" spans="1:10" ht="21" customHeight="1">
      <c r="A1154" s="72" t="s">
        <v>210</v>
      </c>
      <c r="B1154" s="72" t="s">
        <v>207</v>
      </c>
      <c r="C1154" s="74" t="str">
        <f>INDEX('TH CANAM'!$A$9:$BF$63,MATCH(PDNam!$F1171,'TH CANAM'!$A$9:$A$63,0),52)</f>
        <v>Tốt</v>
      </c>
      <c r="D1154" s="74" t="str">
        <f>INDEX('TH CANAM'!$A$9:$BF$63,MATCH(PDNam!$F1171,'TH CANAM'!$A$9:$A$63,0),53)</f>
        <v/>
      </c>
      <c r="E1154" s="74" t="str">
        <f>INDEX('TH CANAM'!$A$9:$BF$63,MATCH(PDNam!$F1171,'TH CANAM'!$A$9:$A$63,0),54)</f>
        <v/>
      </c>
      <c r="F1154" s="73"/>
    </row>
    <row r="1155" spans="1:10" ht="21" customHeight="1">
      <c r="A1155" s="72" t="s">
        <v>211</v>
      </c>
      <c r="B1155" s="72" t="s">
        <v>25</v>
      </c>
      <c r="C1155" s="74" t="str">
        <f>IF(INDEX('TH CANAM'!$A$9:$BF$63,MATCH(PDNam!$F1171,'TH CANAM'!$A$9:$A$63,0),57)&lt;&gt;"",INDEX('TH CANAM'!$A$9:$BF$63,MATCH(PDNam!$F1171,'TH CANAM'!$A$9:$A$63,0),57),"/")</f>
        <v>HSG</v>
      </c>
      <c r="D1155" s="74" t="str">
        <f>IF(INDEX('TH CANAM'!$A$9:$BF$63,MATCH(PDNam!$F1171,'TH CANAM'!$A$9:$A$63,0),58)&lt;&gt;"",INDEX('TH CANAM'!$A$9:$BF$63,MATCH(PDNam!$F1171,'TH CANAM'!$A$9:$A$63,0),58),"/")</f>
        <v>/</v>
      </c>
      <c r="E1155" s="74" t="str">
        <f>IF(INDEX('TH CANAM'!$A$9:$BF$63,MATCH(PDNam!$F1171,'TH CANAM'!$A$9:$A$63,0),55)&lt;&gt;"",INDEX('TH CANAM'!$A$9:$BF$63,MATCH(PDNam!$F1171,'TH CANAM'!$A$9:$A$63,0),55),"/")</f>
        <v>/</v>
      </c>
      <c r="F1155" s="73"/>
    </row>
    <row r="1156" spans="1:10" s="60" customFormat="1" ht="9" customHeight="1">
      <c r="A1156" s="67"/>
      <c r="B1156" s="67"/>
      <c r="C1156" s="1132"/>
      <c r="D1156" s="1132"/>
      <c r="E1156" s="67"/>
      <c r="F1156" s="67"/>
    </row>
    <row r="1157" spans="1:10" s="60" customFormat="1" ht="18.75" customHeight="1">
      <c r="A1157" s="58" t="s">
        <v>219</v>
      </c>
      <c r="B1157" s="57"/>
      <c r="C1157" s="57"/>
      <c r="D1157" s="57"/>
      <c r="E1157" s="57"/>
      <c r="F1157" s="475"/>
    </row>
    <row r="1158" spans="1:10" s="60" customFormat="1" ht="18.75" customHeight="1">
      <c r="A1158" s="59" t="str">
        <f>IF(F1171&lt;&gt;"",IF(INDEX(BDHK2,MATCH(F1171,DiemHKII!$B$4:$B$58,0),137)&lt;&gt;""," - "&amp;INDEX(BDHK2,MATCH(F1171,DiemHKII!$B$4:$B$58,0),137),""),"")</f>
        <v/>
      </c>
      <c r="B1158" s="57"/>
      <c r="C1158" s="57"/>
      <c r="D1158" s="57"/>
      <c r="E1158" s="57"/>
      <c r="F1158" s="475"/>
    </row>
    <row r="1159" spans="1:10" s="60" customFormat="1" ht="18.75" customHeight="1">
      <c r="A1159" s="59" t="str">
        <f>IF(F1171&lt;&gt;"",IF(INDEX(BDHK2,MATCH(F1171,DiemHKII!$B$4:$B$58,0),138)&lt;&gt;""," - "&amp;INDEX(BDHK2,MATCH(F1171,DiemHKII!$B$4:$B$58,0),138),""),"")</f>
        <v/>
      </c>
      <c r="B1159" s="57"/>
      <c r="C1159" s="57"/>
      <c r="D1159" s="57"/>
      <c r="E1159" s="57"/>
      <c r="F1159" s="475"/>
    </row>
    <row r="1160" spans="1:10" s="60" customFormat="1" ht="18.75" customHeight="1">
      <c r="A1160" s="59" t="str">
        <f>IF(F1171&lt;&gt;"",IF(INDEX(BDHK2,MATCH(F1171,DiemHKII!$B$4:$B$58,0),139)&lt;&gt;""," - "&amp;INDEX(BDHK2,MATCH(F1171,DiemHKII!$B$4:$B$58,0),139),""),"")</f>
        <v/>
      </c>
      <c r="B1160" s="57"/>
      <c r="C1160" s="57"/>
      <c r="D1160" s="57"/>
      <c r="E1160" s="57"/>
      <c r="F1160" s="475"/>
    </row>
    <row r="1161" spans="1:10" s="60" customFormat="1" ht="18.75" customHeight="1">
      <c r="A1161" s="59" t="str">
        <f>IF(F1171&lt;&gt;"",IF(INDEX(BDHK2,MATCH(F1171,DiemHKII!$B$4:$B$58,0),140)&lt;&gt;""," - "&amp;INDEX(BDHK2,MATCH(F1171,DiemHKII!$B$4:$B$58,0),140),""),"")</f>
        <v/>
      </c>
      <c r="B1161" s="57"/>
      <c r="C1161" s="57"/>
      <c r="D1161" s="57"/>
      <c r="E1161" s="57"/>
      <c r="F1161" s="67"/>
    </row>
    <row r="1162" spans="1:10" ht="6" customHeight="1">
      <c r="A1162" s="68"/>
      <c r="B1162" s="68"/>
      <c r="C1162" s="68"/>
      <c r="D1162" s="68"/>
      <c r="E1162" s="68"/>
      <c r="F1162" s="68"/>
    </row>
    <row r="1163" spans="1:10">
      <c r="A1163" s="68"/>
      <c r="B1163" s="68"/>
      <c r="C116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163" s="1060"/>
      <c r="E1163" s="1060"/>
      <c r="F1163" s="1060"/>
    </row>
    <row r="1164" spans="1:10" ht="20.25" customHeight="1">
      <c r="A1164" s="1012" t="str">
        <f>IF($D$39="Hiệu trưởng","Giáo viên Quản nhiệm","")</f>
        <v>Giáo viên Quản nhiệm</v>
      </c>
      <c r="B1164" s="1012"/>
      <c r="C1164" s="61"/>
      <c r="D1164" s="1012" t="str">
        <f>IF($H$7="","",$H$7)</f>
        <v>Hiệu trưởng</v>
      </c>
      <c r="E1164" s="1012"/>
      <c r="F1164" s="61"/>
    </row>
    <row r="1165" spans="1:10">
      <c r="A1165" s="68"/>
      <c r="B1165" s="68"/>
      <c r="C1165" s="68"/>
      <c r="D1165" s="68"/>
      <c r="E1165" s="68"/>
      <c r="F1165" s="68"/>
    </row>
    <row r="1166" spans="1:10">
      <c r="A1166" s="68"/>
      <c r="B1166" s="68"/>
      <c r="C1166" s="68"/>
      <c r="D1166" s="68"/>
      <c r="E1166" s="68"/>
      <c r="F1166" s="68"/>
    </row>
    <row r="1167" spans="1:10" ht="16.8">
      <c r="A1167" s="68"/>
      <c r="B1167" s="68"/>
      <c r="C1167" s="64"/>
      <c r="D1167" s="64"/>
      <c r="E1167" s="64"/>
      <c r="F1167" s="64"/>
      <c r="G1167" s="65"/>
      <c r="H1167" s="65"/>
      <c r="I1167" s="65"/>
      <c r="J1167" s="65"/>
    </row>
    <row r="1169" spans="1:10">
      <c r="A1169" s="1012" t="str">
        <f>IF($A$39="","",PROPER('Huong dan'!$C$4))</f>
        <v/>
      </c>
      <c r="B1169" s="1012"/>
      <c r="D1169" s="1130" t="str">
        <f>IFERROR(IF($D$39="Giáo Viên Quản nhiệm",PROPER('Huong dan'!$C$4),IF($D$39="Hiệu trưởng",PROPER('Huong dan'!$E$5),"")),"")</f>
        <v/>
      </c>
      <c r="E1169" s="1130"/>
    </row>
    <row r="1170" spans="1:10" ht="7.5" customHeight="1"/>
    <row r="1171" spans="1:10" ht="11.25" customHeight="1">
      <c r="A1171" s="75"/>
      <c r="B1171" s="75"/>
      <c r="C1171" s="75"/>
      <c r="D1171" s="75"/>
      <c r="E1171" s="75"/>
      <c r="F1171" s="76">
        <f>IF(F1126="","",IF(F1126&lt;MAX(DiemHKII!$B$4:$B$58),F1126+1,""))</f>
        <v>26</v>
      </c>
    </row>
    <row r="1172" spans="1:10" s="60" customFormat="1" ht="22.5" customHeight="1">
      <c r="A1172" s="1128" t="str">
        <f>IF('Huong dan'!$E$3&lt;&gt;"","SỞ GIÁO DỤC VÀ ĐÀO TẠO "&amp;UPPER('Huong dan'!$E$3),"")</f>
        <v>SỞ GIÁO DỤC VÀ ĐÀO TẠO TP. HỒ CHÍ MINH</v>
      </c>
      <c r="B1172" s="1128"/>
      <c r="C1172" s="1128"/>
      <c r="D1172" s="1129" t="s">
        <v>19</v>
      </c>
      <c r="E1172" s="1129"/>
      <c r="F1172" s="1129"/>
    </row>
    <row r="1173" spans="1:10" ht="17.25" customHeight="1">
      <c r="A1173" s="992" t="str">
        <f>IF('Huong dan'!$E$4&lt;&gt;"","TRƯỜNG "&amp;UPPER('Huong dan'!$E$4),"")</f>
        <v>TRƯỜNG THCS VÀ THPT NGUYỄN KHUYẾN</v>
      </c>
      <c r="B1173" s="992"/>
      <c r="C1173" s="992"/>
      <c r="D1173" s="1130" t="s">
        <v>179</v>
      </c>
      <c r="E1173" s="1130"/>
      <c r="F1173" s="1130"/>
    </row>
    <row r="1174" spans="1:10" ht="12" customHeight="1">
      <c r="A1174" s="69"/>
      <c r="B1174" s="69"/>
      <c r="C1174" s="30"/>
      <c r="D1174" s="30"/>
      <c r="E1174" s="30"/>
      <c r="F1174" s="30"/>
    </row>
    <row r="1175" spans="1:10" ht="18" customHeight="1">
      <c r="A1175" s="69"/>
      <c r="B1175" s="69"/>
      <c r="C1175" s="30"/>
      <c r="D1175" s="30"/>
      <c r="E1175" s="30"/>
      <c r="F1175" s="30"/>
    </row>
    <row r="1176" spans="1:10" ht="29.25" customHeight="1">
      <c r="A1176" s="1013" t="str">
        <f>"PHIẾU ĐIỂM NĂM HỌC "&amp;'Huong dan'!$C$5</f>
        <v>PHIẾU ĐIỂM NĂM HỌC 2021 - 2022</v>
      </c>
      <c r="B1176" s="1013"/>
      <c r="C1176" s="1013"/>
      <c r="D1176" s="1013"/>
      <c r="E1176" s="1013"/>
      <c r="F1176" s="1013"/>
    </row>
    <row r="1177" spans="1:10" ht="12.75" customHeight="1">
      <c r="A1177" s="70"/>
      <c r="B1177" s="66"/>
      <c r="C1177" s="66"/>
      <c r="D1177" s="66"/>
      <c r="E1177" s="66"/>
      <c r="F1177" s="66"/>
    </row>
    <row r="1178" spans="1:10" ht="20.25" customHeight="1">
      <c r="A1178" s="1131" t="s">
        <v>212</v>
      </c>
      <c r="B1178" s="1131"/>
      <c r="C1178" s="77" t="str">
        <f>IF(F1216="","",INDEX(DiemHKII!$E$4:$E$58,MATCH(F1216,DiemHKII!$B$4:$B$58,0),1)&amp;" "&amp;INDEX(DiemHKII!$F$4:$F$58,MATCH(F1216,DiemHKII!$B$4:$B$58,0),1))</f>
        <v>Nguyễn Bá Nhật Quang</v>
      </c>
      <c r="D1178" s="77"/>
      <c r="E1178" s="77"/>
      <c r="F1178" s="71" t="str">
        <f>IF('Huong dan'!$C$3="","","Lớp: "&amp;'Huong dan'!$C$3)</f>
        <v>Lớp: 12A1</v>
      </c>
    </row>
    <row r="1179" spans="1:10" ht="24" customHeight="1">
      <c r="A1179" s="1131" t="s">
        <v>213</v>
      </c>
      <c r="B1179" s="1131"/>
      <c r="C1179" s="77" t="str">
        <f>IF(F1216="","",INDEX(DiemHKII!$G$4:$G$58,MATCH(F1216,DiemHKII!$B$4:$B$58,0),1))</f>
        <v>18/07/2004</v>
      </c>
      <c r="D1179" s="77"/>
      <c r="E1179" s="1133" t="str">
        <f>IF(F1216="","","Nơi sinh: "&amp;INDEX(DiemHKII!$H$4:$H$58,MATCH(F1216,DiemHKII!$B$4:$B$58,0),1))</f>
        <v xml:space="preserve">Nơi sinh: </v>
      </c>
      <c r="F1179" s="1133"/>
    </row>
    <row r="1180" spans="1:10" ht="15" customHeight="1">
      <c r="A1180" s="62"/>
      <c r="B1180" s="62"/>
      <c r="C1180" s="62"/>
      <c r="D1180" s="62"/>
      <c r="E1180" s="62"/>
      <c r="F1180" s="63"/>
    </row>
    <row r="1181" spans="1:10" ht="21" customHeight="1">
      <c r="A1181" s="1134" t="s">
        <v>0</v>
      </c>
      <c r="B1181" s="1134" t="s">
        <v>72</v>
      </c>
      <c r="C1181" s="1134" t="s">
        <v>216</v>
      </c>
      <c r="D1181" s="1134"/>
      <c r="E1181" s="1134"/>
      <c r="F1181" s="1134" t="s">
        <v>148</v>
      </c>
    </row>
    <row r="1182" spans="1:10" ht="21" customHeight="1">
      <c r="A1182" s="1134"/>
      <c r="B1182" s="1134"/>
      <c r="C1182" s="476" t="s">
        <v>188</v>
      </c>
      <c r="D1182" s="476" t="s">
        <v>189</v>
      </c>
      <c r="E1182" s="476" t="s">
        <v>190</v>
      </c>
      <c r="F1182" s="1134"/>
    </row>
    <row r="1183" spans="1:10" ht="21" customHeight="1">
      <c r="A1183" s="72" t="s">
        <v>191</v>
      </c>
      <c r="B1183" s="73" t="s">
        <v>26</v>
      </c>
      <c r="C1183" s="74" t="str">
        <f>INDEX('TH CANAM'!$A$9:$BF$63,MATCH(PDNam!$F1216,'TH CANAM'!$A$9:$A$63,0),INDEX($J$13:$M$30,MATCH($B1183,$J$13:$J$30,0),K$12))</f>
        <v/>
      </c>
      <c r="D1183" s="74" t="str">
        <f>INDEX('TH CANAM'!$A$9:$BF$63,MATCH(PDNam!$F1216,'TH CANAM'!$A$9:$A$63,0),INDEX($J$13:$M$30,MATCH($B1183,$J$13:$J$30,0),L$12))</f>
        <v/>
      </c>
      <c r="E1183" s="74" t="str">
        <f>INDEX('TH CANAM'!$A$9:$BF$63,MATCH(PDNam!$F1216,'TH CANAM'!$A$9:$A$63,0),INDEX($J$13:$M$30,MATCH($B1183,$J$13:$J$30,0),M$12))</f>
        <v/>
      </c>
      <c r="F1183" s="73"/>
      <c r="I1183" s="64"/>
      <c r="J1183" s="64"/>
    </row>
    <row r="1184" spans="1:10" ht="21" customHeight="1">
      <c r="A1184" s="72" t="s">
        <v>192</v>
      </c>
      <c r="B1184" s="73" t="s">
        <v>27</v>
      </c>
      <c r="C1184" s="74" t="str">
        <f>INDEX('TH CANAM'!$A$9:$BF$63,MATCH(PDNam!$F1216,'TH CANAM'!$A$9:$A$63,0),INDEX($J$13:$M$30,MATCH($B1184,$J$13:$J$30,0),K$12))</f>
        <v/>
      </c>
      <c r="D1184" s="74" t="str">
        <f>INDEX('TH CANAM'!$A$9:$BF$63,MATCH(PDNam!$F1216,'TH CANAM'!$A$9:$A$63,0),INDEX($J$13:$M$30,MATCH($B1184,$J$13:$J$30,0),L$12))</f>
        <v/>
      </c>
      <c r="E1184" s="74" t="str">
        <f>INDEX('TH CANAM'!$A$9:$BF$63,MATCH(PDNam!$F1216,'TH CANAM'!$A$9:$A$63,0),INDEX($J$13:$M$30,MATCH($B1184,$J$13:$J$30,0),M$12))</f>
        <v/>
      </c>
      <c r="F1184" s="73"/>
      <c r="I1184" s="64"/>
      <c r="J1184" s="64"/>
    </row>
    <row r="1185" spans="1:10" ht="21" customHeight="1">
      <c r="A1185" s="72" t="s">
        <v>193</v>
      </c>
      <c r="B1185" s="73" t="s">
        <v>28</v>
      </c>
      <c r="C1185" s="74" t="str">
        <f>INDEX('TH CANAM'!$A$9:$BF$63,MATCH(PDNam!$F1216,'TH CANAM'!$A$9:$A$63,0),INDEX($J$13:$M$30,MATCH($B1185,$J$13:$J$30,0),K$12))</f>
        <v/>
      </c>
      <c r="D1185" s="74" t="str">
        <f>INDEX('TH CANAM'!$A$9:$BF$63,MATCH(PDNam!$F1216,'TH CANAM'!$A$9:$A$63,0),INDEX($J$13:$M$30,MATCH($B1185,$J$13:$J$30,0),L$12))</f>
        <v/>
      </c>
      <c r="E1185" s="74" t="str">
        <f>INDEX('TH CANAM'!$A$9:$BF$63,MATCH(PDNam!$F1216,'TH CANAM'!$A$9:$A$63,0),INDEX($J$13:$M$30,MATCH($B1185,$J$13:$J$30,0),M$12))</f>
        <v/>
      </c>
      <c r="F1185" s="73"/>
      <c r="I1185" s="64"/>
      <c r="J1185" s="64"/>
    </row>
    <row r="1186" spans="1:10" ht="21" customHeight="1">
      <c r="A1186" s="72" t="s">
        <v>194</v>
      </c>
      <c r="B1186" s="73" t="s">
        <v>29</v>
      </c>
      <c r="C1186" s="74" t="str">
        <f>INDEX('TH CANAM'!$A$9:$BF$63,MATCH(PDNam!$F1216,'TH CANAM'!$A$9:$A$63,0),INDEX($J$13:$M$30,MATCH($B1186,$J$13:$J$30,0),K$12))</f>
        <v/>
      </c>
      <c r="D1186" s="74" t="str">
        <f>INDEX('TH CANAM'!$A$9:$BF$63,MATCH(PDNam!$F1216,'TH CANAM'!$A$9:$A$63,0),INDEX($J$13:$M$30,MATCH($B1186,$J$13:$J$30,0),L$12))</f>
        <v/>
      </c>
      <c r="E1186" s="74" t="str">
        <f>INDEX('TH CANAM'!$A$9:$BF$63,MATCH(PDNam!$F1216,'TH CANAM'!$A$9:$A$63,0),INDEX($J$13:$M$30,MATCH($B1186,$J$13:$J$30,0),M$12))</f>
        <v/>
      </c>
      <c r="F1186" s="73"/>
      <c r="I1186" s="64"/>
      <c r="J1186" s="64"/>
    </row>
    <row r="1187" spans="1:10" ht="21" customHeight="1">
      <c r="A1187" s="72" t="s">
        <v>195</v>
      </c>
      <c r="B1187" s="73" t="s">
        <v>120</v>
      </c>
      <c r="C1187" s="74" t="str">
        <f>INDEX('TH CANAM'!$A$9:$BF$63,MATCH(PDNam!$F1216,'TH CANAM'!$A$9:$A$63,0),INDEX($J$13:$M$30,MATCH($B1187,$J$13:$J$30,0),K$12))</f>
        <v/>
      </c>
      <c r="D1187" s="74" t="str">
        <f>INDEX('TH CANAM'!$A$9:$BF$63,MATCH(PDNam!$F1216,'TH CANAM'!$A$9:$A$63,0),INDEX($J$13:$M$30,MATCH($B1187,$J$13:$J$30,0),L$12))</f>
        <v/>
      </c>
      <c r="E1187" s="74" t="str">
        <f>INDEX('TH CANAM'!$A$9:$BF$63,MATCH(PDNam!$F1216,'TH CANAM'!$A$9:$A$63,0),INDEX($J$13:$M$30,MATCH($B1187,$J$13:$J$30,0),M$12))</f>
        <v/>
      </c>
      <c r="F1187" s="73"/>
      <c r="I1187" s="64"/>
      <c r="J1187" s="64"/>
    </row>
    <row r="1188" spans="1:10" ht="21" customHeight="1">
      <c r="A1188" s="72" t="s">
        <v>196</v>
      </c>
      <c r="B1188" s="73" t="s">
        <v>30</v>
      </c>
      <c r="C1188" s="74" t="str">
        <f>INDEX('TH CANAM'!$A$9:$BF$63,MATCH(PDNam!$F1216,'TH CANAM'!$A$9:$A$63,0),INDEX($J$13:$M$30,MATCH($B1188,$J$13:$J$30,0),K$12))</f>
        <v/>
      </c>
      <c r="D1188" s="74" t="str">
        <f>INDEX('TH CANAM'!$A$9:$BF$63,MATCH(PDNam!$F1216,'TH CANAM'!$A$9:$A$63,0),INDEX($J$13:$M$30,MATCH($B1188,$J$13:$J$30,0),L$12))</f>
        <v/>
      </c>
      <c r="E1188" s="74" t="str">
        <f>INDEX('TH CANAM'!$A$9:$BF$63,MATCH(PDNam!$F1216,'TH CANAM'!$A$9:$A$63,0),INDEX($J$13:$M$30,MATCH($B1188,$J$13:$J$30,0),M$12))</f>
        <v/>
      </c>
      <c r="F1188" s="73"/>
      <c r="I1188" s="64"/>
      <c r="J1188" s="64"/>
    </row>
    <row r="1189" spans="1:10" ht="21" customHeight="1">
      <c r="A1189" s="72" t="s">
        <v>197</v>
      </c>
      <c r="B1189" s="73" t="s">
        <v>31</v>
      </c>
      <c r="C1189" s="74" t="str">
        <f>INDEX('TH CANAM'!$A$9:$BF$63,MATCH(PDNam!$F1216,'TH CANAM'!$A$9:$A$63,0),INDEX($J$13:$M$30,MATCH($B1189,$J$13:$J$30,0),K$12))</f>
        <v/>
      </c>
      <c r="D1189" s="74" t="str">
        <f>INDEX('TH CANAM'!$A$9:$BF$63,MATCH(PDNam!$F1216,'TH CANAM'!$A$9:$A$63,0),INDEX($J$13:$M$30,MATCH($B1189,$J$13:$J$30,0),L$12))</f>
        <v/>
      </c>
      <c r="E1189" s="74" t="str">
        <f>INDEX('TH CANAM'!$A$9:$BF$63,MATCH(PDNam!$F1216,'TH CANAM'!$A$9:$A$63,0),INDEX($J$13:$M$30,MATCH($B1189,$J$13:$J$30,0),M$12))</f>
        <v/>
      </c>
      <c r="F1189" s="73"/>
      <c r="I1189" s="64"/>
      <c r="J1189" s="64"/>
    </row>
    <row r="1190" spans="1:10" ht="21" customHeight="1">
      <c r="A1190" s="72" t="s">
        <v>198</v>
      </c>
      <c r="B1190" s="73" t="s">
        <v>32</v>
      </c>
      <c r="C1190" s="74" t="str">
        <f>INDEX('TH CANAM'!$A$9:$BF$63,MATCH(PDNam!$F1216,'TH CANAM'!$A$9:$A$63,0),INDEX($J$13:$M$30,MATCH($B1190,$J$13:$J$30,0),K$12))</f>
        <v/>
      </c>
      <c r="D1190" s="74" t="str">
        <f>INDEX('TH CANAM'!$A$9:$BF$63,MATCH(PDNam!$F1216,'TH CANAM'!$A$9:$A$63,0),INDEX($J$13:$M$30,MATCH($B1190,$J$13:$J$30,0),L$12))</f>
        <v/>
      </c>
      <c r="E1190" s="74" t="str">
        <f>INDEX('TH CANAM'!$A$9:$BF$63,MATCH(PDNam!$F1216,'TH CANAM'!$A$9:$A$63,0),INDEX($J$13:$M$30,MATCH($B1190,$J$13:$J$30,0),M$12))</f>
        <v/>
      </c>
      <c r="F1190" s="73"/>
      <c r="I1190" s="64"/>
      <c r="J1190" s="64"/>
    </row>
    <row r="1191" spans="1:10" ht="21" customHeight="1">
      <c r="A1191" s="72" t="s">
        <v>199</v>
      </c>
      <c r="B1191" s="73" t="s">
        <v>33</v>
      </c>
      <c r="C1191" s="74" t="str">
        <f>INDEX('TH CANAM'!$A$9:$BF$63,MATCH(PDNam!$F1216,'TH CANAM'!$A$9:$A$63,0),INDEX($J$13:$M$30,MATCH($B1191,$J$13:$J$30,0),K$12))</f>
        <v/>
      </c>
      <c r="D1191" s="74" t="str">
        <f>INDEX('TH CANAM'!$A$9:$BF$63,MATCH(PDNam!$F1216,'TH CANAM'!$A$9:$A$63,0),INDEX($J$13:$M$30,MATCH($B1191,$J$13:$J$30,0),L$12))</f>
        <v/>
      </c>
      <c r="E1191" s="74" t="str">
        <f>INDEX('TH CANAM'!$A$9:$BF$63,MATCH(PDNam!$F1216,'TH CANAM'!$A$9:$A$63,0),INDEX($J$13:$M$30,MATCH($B1191,$J$13:$J$30,0),M$12))</f>
        <v/>
      </c>
      <c r="F1191" s="73"/>
      <c r="I1191" s="64"/>
      <c r="J1191" s="64"/>
    </row>
    <row r="1192" spans="1:10" ht="21" customHeight="1">
      <c r="A1192" s="72" t="s">
        <v>200</v>
      </c>
      <c r="B1192" s="73" t="s">
        <v>60</v>
      </c>
      <c r="C1192" s="74" t="str">
        <f>INDEX('TH CANAM'!$A$9:$BF$63,MATCH(PDNam!$F1216,'TH CANAM'!$A$9:$A$63,0),INDEX($J$13:$M$30,MATCH($B1192,$J$13:$J$30,0),K$12))</f>
        <v/>
      </c>
      <c r="D1192" s="74" t="str">
        <f>INDEX('TH CANAM'!$A$9:$BF$63,MATCH(PDNam!$F1216,'TH CANAM'!$A$9:$A$63,0),INDEX($J$13:$M$30,MATCH($B1192,$J$13:$J$30,0),L$12))</f>
        <v/>
      </c>
      <c r="E1192" s="74" t="str">
        <f>INDEX('TH CANAM'!$A$9:$BF$63,MATCH(PDNam!$F1216,'TH CANAM'!$A$9:$A$63,0),INDEX($J$13:$M$30,MATCH($B1192,$J$13:$J$30,0),M$12))</f>
        <v/>
      </c>
      <c r="F1192" s="73"/>
      <c r="I1192" s="64"/>
      <c r="J1192" s="64"/>
    </row>
    <row r="1193" spans="1:10" ht="21" customHeight="1">
      <c r="A1193" s="72" t="s">
        <v>201</v>
      </c>
      <c r="B1193" s="73" t="s">
        <v>34</v>
      </c>
      <c r="C1193" s="74" t="str">
        <f>INDEX('TH CANAM'!$A$9:$BF$63,MATCH(PDNam!$F1216,'TH CANAM'!$A$9:$A$63,0),INDEX($J$13:$M$30,MATCH($B1193,$J$13:$J$30,0),K$12))</f>
        <v/>
      </c>
      <c r="D1193" s="74" t="str">
        <f>INDEX('TH CANAM'!$A$9:$BF$63,MATCH(PDNam!$F1216,'TH CANAM'!$A$9:$A$63,0),INDEX($J$13:$M$30,MATCH($B1193,$J$13:$J$30,0),L$12))</f>
        <v/>
      </c>
      <c r="E1193" s="74" t="str">
        <f>INDEX('TH CANAM'!$A$9:$BF$63,MATCH(PDNam!$F1216,'TH CANAM'!$A$9:$A$63,0),INDEX($J$13:$M$30,MATCH($B1193,$J$13:$J$30,0),M$12))</f>
        <v/>
      </c>
      <c r="F1193" s="73"/>
      <c r="I1193" s="64"/>
      <c r="J1193" s="64"/>
    </row>
    <row r="1194" spans="1:10" ht="21" customHeight="1">
      <c r="A1194" s="72" t="s">
        <v>202</v>
      </c>
      <c r="B1194" s="73" t="s">
        <v>35</v>
      </c>
      <c r="C1194" s="74" t="str">
        <f>INDEX('TH CANAM'!$A$9:$BF$63,MATCH(PDNam!$F1216,'TH CANAM'!$A$9:$A$63,0),INDEX($J$13:$M$30,MATCH($B1194,$J$13:$J$30,0),K$12))</f>
        <v/>
      </c>
      <c r="D1194" s="74" t="str">
        <f>INDEX('TH CANAM'!$A$9:$BF$63,MATCH(PDNam!$F1216,'TH CANAM'!$A$9:$A$63,0),INDEX($J$13:$M$30,MATCH($B1194,$J$13:$J$30,0),L$12))</f>
        <v/>
      </c>
      <c r="E1194" s="74" t="str">
        <f>INDEX('TH CANAM'!$A$9:$BF$63,MATCH(PDNam!$F1216,'TH CANAM'!$A$9:$A$63,0),INDEX($J$13:$M$30,MATCH($B1194,$J$13:$J$30,0),M$12))</f>
        <v/>
      </c>
      <c r="F1194" s="73"/>
      <c r="I1194" s="64"/>
      <c r="J1194" s="64"/>
    </row>
    <row r="1195" spans="1:10" ht="21" customHeight="1">
      <c r="A1195" s="72" t="s">
        <v>203</v>
      </c>
      <c r="B1195" s="73" t="s">
        <v>121</v>
      </c>
      <c r="C1195" s="74" t="str">
        <f>INDEX('TH CANAM'!$A$9:$BF$63,MATCH(PDNam!$F1216,'TH CANAM'!$A$9:$A$63,0),INDEX($J$13:$M$30,MATCH($B1195,$J$13:$J$30,0),K$12))</f>
        <v/>
      </c>
      <c r="D1195" s="74" t="str">
        <f>INDEX('TH CANAM'!$A$9:$BF$63,MATCH(PDNam!$F1216,'TH CANAM'!$A$9:$A$63,0),INDEX($J$13:$M$30,MATCH($B1195,$J$13:$J$30,0),L$12))</f>
        <v/>
      </c>
      <c r="E1195" s="74" t="str">
        <f>INDEX('TH CANAM'!$A$9:$BF$63,MATCH(PDNam!$F1216,'TH CANAM'!$A$9:$A$63,0),INDEX($J$13:$M$30,MATCH($B1195,$J$13:$J$30,0),M$12))</f>
        <v/>
      </c>
      <c r="F1195" s="73"/>
      <c r="I1195" s="64"/>
      <c r="J1195" s="64"/>
    </row>
    <row r="1196" spans="1:10" ht="21" customHeight="1">
      <c r="A1196" s="72" t="s">
        <v>204</v>
      </c>
      <c r="B1196" s="73" t="s">
        <v>122</v>
      </c>
      <c r="C1196" s="74" t="str">
        <f>INDEX('TH CANAM'!$A$9:$BF$63,MATCH(PDNam!$F1216,'TH CANAM'!$A$9:$A$63,0),INDEX($J$13:$M$30,MATCH($B1196,$J$13:$J$30,0),K$12))</f>
        <v/>
      </c>
      <c r="D1196" s="74" t="str">
        <f>INDEX('TH CANAM'!$A$9:$BF$63,MATCH(PDNam!$F1216,'TH CANAM'!$A$9:$A$63,0),INDEX($J$13:$M$30,MATCH($B1196,$J$13:$J$30,0),L$12))</f>
        <v/>
      </c>
      <c r="E1196" s="74" t="str">
        <f>INDEX('TH CANAM'!$A$9:$BF$63,MATCH(PDNam!$F1216,'TH CANAM'!$A$9:$A$63,0),INDEX($J$13:$M$30,MATCH($B1196,$J$13:$J$30,0),M$12))</f>
        <v/>
      </c>
      <c r="F1196" s="73"/>
      <c r="I1196" s="64"/>
      <c r="J1196" s="64"/>
    </row>
    <row r="1197" spans="1:10" ht="21" customHeight="1">
      <c r="A1197" s="72" t="s">
        <v>208</v>
      </c>
      <c r="B1197" s="73" t="s">
        <v>205</v>
      </c>
      <c r="C1197" s="78">
        <f>INDEX('TH CANAM'!$A$9:$BF$63,MATCH(PDNam!$F1216,'TH CANAM'!$A$9:$A$63,0),46)</f>
        <v>9.5</v>
      </c>
      <c r="D1197" s="78" t="str">
        <f>INDEX('TH CANAM'!$A$9:$BF$63,MATCH(PDNam!$F1216,'TH CANAM'!$A$9:$A$63,0),47)</f>
        <v/>
      </c>
      <c r="E1197" s="78" t="str">
        <f>INDEX('TH CANAM'!$A$9:$BF$63,MATCH(PDNam!$F1216,'TH CANAM'!$A$9:$A$63,0),48)</f>
        <v/>
      </c>
      <c r="F1197" s="73"/>
      <c r="I1197" s="64"/>
      <c r="J1197" s="64"/>
    </row>
    <row r="1198" spans="1:10" ht="21" customHeight="1">
      <c r="A1198" s="72" t="s">
        <v>209</v>
      </c>
      <c r="B1198" s="72" t="s">
        <v>206</v>
      </c>
      <c r="C1198" s="74" t="str">
        <f>IF(INDEX('TH CANAM'!$A$9:$BF$63,MATCH(PDNam!$F1216,'TH CANAM'!$A$9:$A$63,0),49)="Tb","Trung bình",INDEX('TH CANAM'!$A$9:$BF$63,MATCH(PDNam!$F1216,'TH CANAM'!$A$9:$A$63,0),49))</f>
        <v>Giỏi</v>
      </c>
      <c r="D1198" s="74" t="str">
        <f>IF(INDEX('TH CANAM'!$A$9:$BF$63,MATCH(PDNam!$F1216,'TH CANAM'!$A$9:$A$63,0),50)="Tb","Trung bình",INDEX('TH CANAM'!$A$9:$BF$63,MATCH(PDNam!$F1216,'TH CANAM'!$A$9:$A$63,0),50))</f>
        <v/>
      </c>
      <c r="E1198" s="74" t="str">
        <f>IF(INDEX('TH CANAM'!$A$9:$BF$63,MATCH(PDNam!$F1216,'TH CANAM'!$A$9:$A$63,0),51)="Tb","Trung bình",INDEX('TH CANAM'!$A$9:$BF$63,MATCH(PDNam!$F1216,'TH CANAM'!$A$9:$A$63,0),51))</f>
        <v/>
      </c>
      <c r="F1198" s="73"/>
    </row>
    <row r="1199" spans="1:10" ht="21" customHeight="1">
      <c r="A1199" s="72" t="s">
        <v>210</v>
      </c>
      <c r="B1199" s="72" t="s">
        <v>207</v>
      </c>
      <c r="C1199" s="74" t="str">
        <f>INDEX('TH CANAM'!$A$9:$BF$63,MATCH(PDNam!$F1216,'TH CANAM'!$A$9:$A$63,0),52)</f>
        <v>Tốt</v>
      </c>
      <c r="D1199" s="74" t="str">
        <f>INDEX('TH CANAM'!$A$9:$BF$63,MATCH(PDNam!$F1216,'TH CANAM'!$A$9:$A$63,0),53)</f>
        <v/>
      </c>
      <c r="E1199" s="74" t="str">
        <f>INDEX('TH CANAM'!$A$9:$BF$63,MATCH(PDNam!$F1216,'TH CANAM'!$A$9:$A$63,0),54)</f>
        <v/>
      </c>
      <c r="F1199" s="73"/>
    </row>
    <row r="1200" spans="1:10" ht="21" customHeight="1">
      <c r="A1200" s="72" t="s">
        <v>211</v>
      </c>
      <c r="B1200" s="72" t="s">
        <v>25</v>
      </c>
      <c r="C1200" s="74" t="str">
        <f>IF(INDEX('TH CANAM'!$A$9:$BF$63,MATCH(PDNam!$F1216,'TH CANAM'!$A$9:$A$63,0),57)&lt;&gt;"",INDEX('TH CANAM'!$A$9:$BF$63,MATCH(PDNam!$F1216,'TH CANAM'!$A$9:$A$63,0),57),"/")</f>
        <v>HSG</v>
      </c>
      <c r="D1200" s="74" t="str">
        <f>IF(INDEX('TH CANAM'!$A$9:$BF$63,MATCH(PDNam!$F1216,'TH CANAM'!$A$9:$A$63,0),58)&lt;&gt;"",INDEX('TH CANAM'!$A$9:$BF$63,MATCH(PDNam!$F1216,'TH CANAM'!$A$9:$A$63,0),58),"/")</f>
        <v>/</v>
      </c>
      <c r="E1200" s="74" t="str">
        <f>IF(INDEX('TH CANAM'!$A$9:$BF$63,MATCH(PDNam!$F1216,'TH CANAM'!$A$9:$A$63,0),55)&lt;&gt;"",INDEX('TH CANAM'!$A$9:$BF$63,MATCH(PDNam!$F1216,'TH CANAM'!$A$9:$A$63,0),55),"/")</f>
        <v>/</v>
      </c>
      <c r="F1200" s="73"/>
    </row>
    <row r="1201" spans="1:10" s="60" customFormat="1" ht="9" customHeight="1">
      <c r="A1201" s="67"/>
      <c r="B1201" s="67"/>
      <c r="C1201" s="1132"/>
      <c r="D1201" s="1132"/>
      <c r="E1201" s="67"/>
      <c r="F1201" s="67"/>
    </row>
    <row r="1202" spans="1:10" s="60" customFormat="1" ht="18.75" customHeight="1">
      <c r="A1202" s="58" t="s">
        <v>219</v>
      </c>
      <c r="B1202" s="57"/>
      <c r="C1202" s="57"/>
      <c r="D1202" s="57"/>
      <c r="E1202" s="57"/>
      <c r="F1202" s="475"/>
    </row>
    <row r="1203" spans="1:10" s="60" customFormat="1" ht="18.75" customHeight="1">
      <c r="A1203" s="59" t="str">
        <f>IF(F1216&lt;&gt;"",IF(INDEX(BDHK2,MATCH(F1216,DiemHKII!$B$4:$B$58,0),137)&lt;&gt;""," - "&amp;INDEX(BDHK2,MATCH(F1216,DiemHKII!$B$4:$B$58,0),137),""),"")</f>
        <v/>
      </c>
      <c r="B1203" s="57"/>
      <c r="C1203" s="57"/>
      <c r="D1203" s="57"/>
      <c r="E1203" s="57"/>
      <c r="F1203" s="475"/>
    </row>
    <row r="1204" spans="1:10" s="60" customFormat="1" ht="18.75" customHeight="1">
      <c r="A1204" s="59" t="str">
        <f>IF(F1216&lt;&gt;"",IF(INDEX(BDHK2,MATCH(F1216,DiemHKII!$B$4:$B$58,0),138)&lt;&gt;""," - "&amp;INDEX(BDHK2,MATCH(F1216,DiemHKII!$B$4:$B$58,0),138),""),"")</f>
        <v/>
      </c>
      <c r="B1204" s="57"/>
      <c r="C1204" s="57"/>
      <c r="D1204" s="57"/>
      <c r="E1204" s="57"/>
      <c r="F1204" s="475"/>
    </row>
    <row r="1205" spans="1:10" s="60" customFormat="1" ht="18.75" customHeight="1">
      <c r="A1205" s="59" t="str">
        <f>IF(F1216&lt;&gt;"",IF(INDEX(BDHK2,MATCH(F1216,DiemHKII!$B$4:$B$58,0),139)&lt;&gt;""," - "&amp;INDEX(BDHK2,MATCH(F1216,DiemHKII!$B$4:$B$58,0),139),""),"")</f>
        <v/>
      </c>
      <c r="B1205" s="57"/>
      <c r="C1205" s="57"/>
      <c r="D1205" s="57"/>
      <c r="E1205" s="57"/>
      <c r="F1205" s="475"/>
    </row>
    <row r="1206" spans="1:10" s="60" customFormat="1" ht="18.75" customHeight="1">
      <c r="A1206" s="59" t="str">
        <f>IF(F1216&lt;&gt;"",IF(INDEX(BDHK2,MATCH(F1216,DiemHKII!$B$4:$B$58,0),140)&lt;&gt;""," - "&amp;INDEX(BDHK2,MATCH(F1216,DiemHKII!$B$4:$B$58,0),140),""),"")</f>
        <v/>
      </c>
      <c r="B1206" s="57"/>
      <c r="C1206" s="57"/>
      <c r="D1206" s="57"/>
      <c r="E1206" s="57"/>
      <c r="F1206" s="67"/>
    </row>
    <row r="1207" spans="1:10" ht="6" customHeight="1">
      <c r="A1207" s="68"/>
      <c r="B1207" s="68"/>
      <c r="C1207" s="68"/>
      <c r="D1207" s="68"/>
      <c r="E1207" s="68"/>
      <c r="F1207" s="68"/>
    </row>
    <row r="1208" spans="1:10">
      <c r="A1208" s="68"/>
      <c r="B1208" s="68"/>
      <c r="C120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208" s="1060"/>
      <c r="E1208" s="1060"/>
      <c r="F1208" s="1060"/>
    </row>
    <row r="1209" spans="1:10" ht="20.25" customHeight="1">
      <c r="A1209" s="1012" t="str">
        <f>IF($D$39="Hiệu trưởng","Giáo viên Quản nhiệm","")</f>
        <v>Giáo viên Quản nhiệm</v>
      </c>
      <c r="B1209" s="1012"/>
      <c r="C1209" s="61"/>
      <c r="D1209" s="1012" t="str">
        <f>IF($H$7="","",$H$7)</f>
        <v>Hiệu trưởng</v>
      </c>
      <c r="E1209" s="1012"/>
      <c r="F1209" s="61"/>
    </row>
    <row r="1210" spans="1:10">
      <c r="A1210" s="68"/>
      <c r="B1210" s="68"/>
      <c r="C1210" s="68"/>
      <c r="D1210" s="68"/>
      <c r="E1210" s="68"/>
      <c r="F1210" s="68"/>
    </row>
    <row r="1211" spans="1:10">
      <c r="A1211" s="68"/>
      <c r="B1211" s="68"/>
      <c r="C1211" s="68"/>
      <c r="D1211" s="68"/>
      <c r="E1211" s="68"/>
      <c r="F1211" s="68"/>
    </row>
    <row r="1212" spans="1:10" ht="16.8">
      <c r="A1212" s="68"/>
      <c r="B1212" s="68"/>
      <c r="C1212" s="64"/>
      <c r="D1212" s="64"/>
      <c r="E1212" s="64"/>
      <c r="F1212" s="64"/>
      <c r="G1212" s="65"/>
      <c r="H1212" s="65"/>
      <c r="I1212" s="65"/>
      <c r="J1212" s="65"/>
    </row>
    <row r="1214" spans="1:10">
      <c r="A1214" s="1012" t="str">
        <f>IF($A$39="","",PROPER('Huong dan'!$C$4))</f>
        <v/>
      </c>
      <c r="B1214" s="1012"/>
      <c r="D1214" s="1130" t="str">
        <f>IFERROR(IF($D$39="Giáo Viên Quản nhiệm",PROPER('Huong dan'!$C$4),IF($D$39="Hiệu trưởng",PROPER('Huong dan'!$E$5),"")),"")</f>
        <v/>
      </c>
      <c r="E1214" s="1130"/>
    </row>
    <row r="1215" spans="1:10" ht="7.5" customHeight="1"/>
    <row r="1216" spans="1:10" ht="11.25" customHeight="1">
      <c r="A1216" s="75"/>
      <c r="B1216" s="75"/>
      <c r="C1216" s="75"/>
      <c r="D1216" s="75"/>
      <c r="E1216" s="75"/>
      <c r="F1216" s="76">
        <f>IF(F1171="","",IF(F1171&lt;MAX(DiemHKII!$B$4:$B$58),F1171+1,""))</f>
        <v>27</v>
      </c>
    </row>
    <row r="1217" spans="1:10" s="60" customFormat="1" ht="22.5" customHeight="1">
      <c r="A1217" s="1128" t="str">
        <f>IF('Huong dan'!$E$3&lt;&gt;"","SỞ GIÁO DỤC VÀ ĐÀO TẠO "&amp;UPPER('Huong dan'!$E$3),"")</f>
        <v>SỞ GIÁO DỤC VÀ ĐÀO TẠO TP. HỒ CHÍ MINH</v>
      </c>
      <c r="B1217" s="1128"/>
      <c r="C1217" s="1128"/>
      <c r="D1217" s="1129" t="s">
        <v>19</v>
      </c>
      <c r="E1217" s="1129"/>
      <c r="F1217" s="1129"/>
    </row>
    <row r="1218" spans="1:10" ht="17.25" customHeight="1">
      <c r="A1218" s="992" t="str">
        <f>IF('Huong dan'!$E$4&lt;&gt;"","TRƯỜNG "&amp;UPPER('Huong dan'!$E$4),"")</f>
        <v>TRƯỜNG THCS VÀ THPT NGUYỄN KHUYẾN</v>
      </c>
      <c r="B1218" s="992"/>
      <c r="C1218" s="992"/>
      <c r="D1218" s="1130" t="s">
        <v>179</v>
      </c>
      <c r="E1218" s="1130"/>
      <c r="F1218" s="1130"/>
    </row>
    <row r="1219" spans="1:10" ht="12" customHeight="1">
      <c r="A1219" s="69"/>
      <c r="B1219" s="69"/>
      <c r="C1219" s="30"/>
      <c r="D1219" s="30"/>
      <c r="E1219" s="30"/>
      <c r="F1219" s="30"/>
    </row>
    <row r="1220" spans="1:10" ht="18" customHeight="1">
      <c r="A1220" s="69"/>
      <c r="B1220" s="69"/>
      <c r="C1220" s="30"/>
      <c r="D1220" s="30"/>
      <c r="E1220" s="30"/>
      <c r="F1220" s="30"/>
    </row>
    <row r="1221" spans="1:10" ht="29.25" customHeight="1">
      <c r="A1221" s="1013" t="str">
        <f>"PHIẾU ĐIỂM NĂM HỌC "&amp;'Huong dan'!$C$5</f>
        <v>PHIẾU ĐIỂM NĂM HỌC 2021 - 2022</v>
      </c>
      <c r="B1221" s="1013"/>
      <c r="C1221" s="1013"/>
      <c r="D1221" s="1013"/>
      <c r="E1221" s="1013"/>
      <c r="F1221" s="1013"/>
    </row>
    <row r="1222" spans="1:10" ht="12.75" customHeight="1">
      <c r="A1222" s="70"/>
      <c r="B1222" s="66"/>
      <c r="C1222" s="66"/>
      <c r="D1222" s="66"/>
      <c r="E1222" s="66"/>
      <c r="F1222" s="66"/>
    </row>
    <row r="1223" spans="1:10" ht="20.25" customHeight="1">
      <c r="A1223" s="1131" t="s">
        <v>212</v>
      </c>
      <c r="B1223" s="1131"/>
      <c r="C1223" s="77" t="str">
        <f>IF(F1261="","",INDEX(DiemHKII!$E$4:$E$58,MATCH(F1261,DiemHKII!$B$4:$B$58,0),1)&amp;" "&amp;INDEX(DiemHKII!$F$4:$F$58,MATCH(F1261,DiemHKII!$B$4:$B$58,0),1))</f>
        <v>Phan Trương Kiến Quốc</v>
      </c>
      <c r="D1223" s="77"/>
      <c r="E1223" s="77"/>
      <c r="F1223" s="71" t="str">
        <f>IF('Huong dan'!$C$3="","","Lớp: "&amp;'Huong dan'!$C$3)</f>
        <v>Lớp: 12A1</v>
      </c>
    </row>
    <row r="1224" spans="1:10" ht="24" customHeight="1">
      <c r="A1224" s="1131" t="s">
        <v>213</v>
      </c>
      <c r="B1224" s="1131"/>
      <c r="C1224" s="77" t="str">
        <f>IF(F1261="","",INDEX(DiemHKII!$G$4:$G$58,MATCH(F1261,DiemHKII!$B$4:$B$58,0),1))</f>
        <v>03/12/2004</v>
      </c>
      <c r="D1224" s="77"/>
      <c r="E1224" s="1133" t="str">
        <f>IF(F1261="","","Nơi sinh: "&amp;INDEX(DiemHKII!$H$4:$H$58,MATCH(F1261,DiemHKII!$B$4:$B$58,0),1))</f>
        <v xml:space="preserve">Nơi sinh: </v>
      </c>
      <c r="F1224" s="1133"/>
    </row>
    <row r="1225" spans="1:10" ht="15" customHeight="1">
      <c r="A1225" s="62"/>
      <c r="B1225" s="62"/>
      <c r="C1225" s="62"/>
      <c r="D1225" s="62"/>
      <c r="E1225" s="62"/>
      <c r="F1225" s="63"/>
    </row>
    <row r="1226" spans="1:10" ht="21" customHeight="1">
      <c r="A1226" s="1134" t="s">
        <v>0</v>
      </c>
      <c r="B1226" s="1134" t="s">
        <v>72</v>
      </c>
      <c r="C1226" s="1134" t="s">
        <v>216</v>
      </c>
      <c r="D1226" s="1134"/>
      <c r="E1226" s="1134"/>
      <c r="F1226" s="1134" t="s">
        <v>148</v>
      </c>
    </row>
    <row r="1227" spans="1:10" ht="21" customHeight="1">
      <c r="A1227" s="1134"/>
      <c r="B1227" s="1134"/>
      <c r="C1227" s="476" t="s">
        <v>188</v>
      </c>
      <c r="D1227" s="476" t="s">
        <v>189</v>
      </c>
      <c r="E1227" s="476" t="s">
        <v>190</v>
      </c>
      <c r="F1227" s="1134"/>
    </row>
    <row r="1228" spans="1:10" ht="21" customHeight="1">
      <c r="A1228" s="72" t="s">
        <v>191</v>
      </c>
      <c r="B1228" s="73" t="s">
        <v>26</v>
      </c>
      <c r="C1228" s="74" t="str">
        <f>INDEX('TH CANAM'!$A$9:$BF$63,MATCH(PDNam!$F1261,'TH CANAM'!$A$9:$A$63,0),INDEX($J$13:$M$30,MATCH($B1228,$J$13:$J$30,0),K$12))</f>
        <v/>
      </c>
      <c r="D1228" s="74" t="str">
        <f>INDEX('TH CANAM'!$A$9:$BF$63,MATCH(PDNam!$F1261,'TH CANAM'!$A$9:$A$63,0),INDEX($J$13:$M$30,MATCH($B1228,$J$13:$J$30,0),L$12))</f>
        <v/>
      </c>
      <c r="E1228" s="74" t="str">
        <f>INDEX('TH CANAM'!$A$9:$BF$63,MATCH(PDNam!$F1261,'TH CANAM'!$A$9:$A$63,0),INDEX($J$13:$M$30,MATCH($B1228,$J$13:$J$30,0),M$12))</f>
        <v/>
      </c>
      <c r="F1228" s="73"/>
      <c r="I1228" s="64"/>
      <c r="J1228" s="64"/>
    </row>
    <row r="1229" spans="1:10" ht="21" customHeight="1">
      <c r="A1229" s="72" t="s">
        <v>192</v>
      </c>
      <c r="B1229" s="73" t="s">
        <v>27</v>
      </c>
      <c r="C1229" s="74" t="str">
        <f>INDEX('TH CANAM'!$A$9:$BF$63,MATCH(PDNam!$F1261,'TH CANAM'!$A$9:$A$63,0),INDEX($J$13:$M$30,MATCH($B1229,$J$13:$J$30,0),K$12))</f>
        <v/>
      </c>
      <c r="D1229" s="74" t="str">
        <f>INDEX('TH CANAM'!$A$9:$BF$63,MATCH(PDNam!$F1261,'TH CANAM'!$A$9:$A$63,0),INDEX($J$13:$M$30,MATCH($B1229,$J$13:$J$30,0),L$12))</f>
        <v/>
      </c>
      <c r="E1229" s="74" t="str">
        <f>INDEX('TH CANAM'!$A$9:$BF$63,MATCH(PDNam!$F1261,'TH CANAM'!$A$9:$A$63,0),INDEX($J$13:$M$30,MATCH($B1229,$J$13:$J$30,0),M$12))</f>
        <v/>
      </c>
      <c r="F1229" s="73"/>
      <c r="I1229" s="64"/>
      <c r="J1229" s="64"/>
    </row>
    <row r="1230" spans="1:10" ht="21" customHeight="1">
      <c r="A1230" s="72" t="s">
        <v>193</v>
      </c>
      <c r="B1230" s="73" t="s">
        <v>28</v>
      </c>
      <c r="C1230" s="74" t="str">
        <f>INDEX('TH CANAM'!$A$9:$BF$63,MATCH(PDNam!$F1261,'TH CANAM'!$A$9:$A$63,0),INDEX($J$13:$M$30,MATCH($B1230,$J$13:$J$30,0),K$12))</f>
        <v/>
      </c>
      <c r="D1230" s="74" t="str">
        <f>INDEX('TH CANAM'!$A$9:$BF$63,MATCH(PDNam!$F1261,'TH CANAM'!$A$9:$A$63,0),INDEX($J$13:$M$30,MATCH($B1230,$J$13:$J$30,0),L$12))</f>
        <v/>
      </c>
      <c r="E1230" s="74" t="str">
        <f>INDEX('TH CANAM'!$A$9:$BF$63,MATCH(PDNam!$F1261,'TH CANAM'!$A$9:$A$63,0),INDEX($J$13:$M$30,MATCH($B1230,$J$13:$J$30,0),M$12))</f>
        <v/>
      </c>
      <c r="F1230" s="73"/>
      <c r="I1230" s="64"/>
      <c r="J1230" s="64"/>
    </row>
    <row r="1231" spans="1:10" ht="21" customHeight="1">
      <c r="A1231" s="72" t="s">
        <v>194</v>
      </c>
      <c r="B1231" s="73" t="s">
        <v>29</v>
      </c>
      <c r="C1231" s="74" t="str">
        <f>INDEX('TH CANAM'!$A$9:$BF$63,MATCH(PDNam!$F1261,'TH CANAM'!$A$9:$A$63,0),INDEX($J$13:$M$30,MATCH($B1231,$J$13:$J$30,0),K$12))</f>
        <v/>
      </c>
      <c r="D1231" s="74" t="str">
        <f>INDEX('TH CANAM'!$A$9:$BF$63,MATCH(PDNam!$F1261,'TH CANAM'!$A$9:$A$63,0),INDEX($J$13:$M$30,MATCH($B1231,$J$13:$J$30,0),L$12))</f>
        <v/>
      </c>
      <c r="E1231" s="74" t="str">
        <f>INDEX('TH CANAM'!$A$9:$BF$63,MATCH(PDNam!$F1261,'TH CANAM'!$A$9:$A$63,0),INDEX($J$13:$M$30,MATCH($B1231,$J$13:$J$30,0),M$12))</f>
        <v/>
      </c>
      <c r="F1231" s="73"/>
      <c r="I1231" s="64"/>
      <c r="J1231" s="64"/>
    </row>
    <row r="1232" spans="1:10" ht="21" customHeight="1">
      <c r="A1232" s="72" t="s">
        <v>195</v>
      </c>
      <c r="B1232" s="73" t="s">
        <v>120</v>
      </c>
      <c r="C1232" s="74" t="str">
        <f>INDEX('TH CANAM'!$A$9:$BF$63,MATCH(PDNam!$F1261,'TH CANAM'!$A$9:$A$63,0),INDEX($J$13:$M$30,MATCH($B1232,$J$13:$J$30,0),K$12))</f>
        <v/>
      </c>
      <c r="D1232" s="74" t="str">
        <f>INDEX('TH CANAM'!$A$9:$BF$63,MATCH(PDNam!$F1261,'TH CANAM'!$A$9:$A$63,0),INDEX($J$13:$M$30,MATCH($B1232,$J$13:$J$30,0),L$12))</f>
        <v/>
      </c>
      <c r="E1232" s="74" t="str">
        <f>INDEX('TH CANAM'!$A$9:$BF$63,MATCH(PDNam!$F1261,'TH CANAM'!$A$9:$A$63,0),INDEX($J$13:$M$30,MATCH($B1232,$J$13:$J$30,0),M$12))</f>
        <v/>
      </c>
      <c r="F1232" s="73"/>
      <c r="I1232" s="64"/>
      <c r="J1232" s="64"/>
    </row>
    <row r="1233" spans="1:10" ht="21" customHeight="1">
      <c r="A1233" s="72" t="s">
        <v>196</v>
      </c>
      <c r="B1233" s="73" t="s">
        <v>30</v>
      </c>
      <c r="C1233" s="74" t="str">
        <f>INDEX('TH CANAM'!$A$9:$BF$63,MATCH(PDNam!$F1261,'TH CANAM'!$A$9:$A$63,0),INDEX($J$13:$M$30,MATCH($B1233,$J$13:$J$30,0),K$12))</f>
        <v/>
      </c>
      <c r="D1233" s="74" t="str">
        <f>INDEX('TH CANAM'!$A$9:$BF$63,MATCH(PDNam!$F1261,'TH CANAM'!$A$9:$A$63,0),INDEX($J$13:$M$30,MATCH($B1233,$J$13:$J$30,0),L$12))</f>
        <v/>
      </c>
      <c r="E1233" s="74" t="str">
        <f>INDEX('TH CANAM'!$A$9:$BF$63,MATCH(PDNam!$F1261,'TH CANAM'!$A$9:$A$63,0),INDEX($J$13:$M$30,MATCH($B1233,$J$13:$J$30,0),M$12))</f>
        <v/>
      </c>
      <c r="F1233" s="73"/>
      <c r="I1233" s="64"/>
      <c r="J1233" s="64"/>
    </row>
    <row r="1234" spans="1:10" ht="21" customHeight="1">
      <c r="A1234" s="72" t="s">
        <v>197</v>
      </c>
      <c r="B1234" s="73" t="s">
        <v>31</v>
      </c>
      <c r="C1234" s="74" t="str">
        <f>INDEX('TH CANAM'!$A$9:$BF$63,MATCH(PDNam!$F1261,'TH CANAM'!$A$9:$A$63,0),INDEX($J$13:$M$30,MATCH($B1234,$J$13:$J$30,0),K$12))</f>
        <v/>
      </c>
      <c r="D1234" s="74" t="str">
        <f>INDEX('TH CANAM'!$A$9:$BF$63,MATCH(PDNam!$F1261,'TH CANAM'!$A$9:$A$63,0),INDEX($J$13:$M$30,MATCH($B1234,$J$13:$J$30,0),L$12))</f>
        <v/>
      </c>
      <c r="E1234" s="74" t="str">
        <f>INDEX('TH CANAM'!$A$9:$BF$63,MATCH(PDNam!$F1261,'TH CANAM'!$A$9:$A$63,0),INDEX($J$13:$M$30,MATCH($B1234,$J$13:$J$30,0),M$12))</f>
        <v/>
      </c>
      <c r="F1234" s="73"/>
      <c r="I1234" s="64"/>
      <c r="J1234" s="64"/>
    </row>
    <row r="1235" spans="1:10" ht="21" customHeight="1">
      <c r="A1235" s="72" t="s">
        <v>198</v>
      </c>
      <c r="B1235" s="73" t="s">
        <v>32</v>
      </c>
      <c r="C1235" s="74" t="str">
        <f>INDEX('TH CANAM'!$A$9:$BF$63,MATCH(PDNam!$F1261,'TH CANAM'!$A$9:$A$63,0),INDEX($J$13:$M$30,MATCH($B1235,$J$13:$J$30,0),K$12))</f>
        <v/>
      </c>
      <c r="D1235" s="74" t="str">
        <f>INDEX('TH CANAM'!$A$9:$BF$63,MATCH(PDNam!$F1261,'TH CANAM'!$A$9:$A$63,0),INDEX($J$13:$M$30,MATCH($B1235,$J$13:$J$30,0),L$12))</f>
        <v/>
      </c>
      <c r="E1235" s="74" t="str">
        <f>INDEX('TH CANAM'!$A$9:$BF$63,MATCH(PDNam!$F1261,'TH CANAM'!$A$9:$A$63,0),INDEX($J$13:$M$30,MATCH($B1235,$J$13:$J$30,0),M$12))</f>
        <v/>
      </c>
      <c r="F1235" s="73"/>
      <c r="I1235" s="64"/>
      <c r="J1235" s="64"/>
    </row>
    <row r="1236" spans="1:10" ht="21" customHeight="1">
      <c r="A1236" s="72" t="s">
        <v>199</v>
      </c>
      <c r="B1236" s="73" t="s">
        <v>33</v>
      </c>
      <c r="C1236" s="74" t="str">
        <f>INDEX('TH CANAM'!$A$9:$BF$63,MATCH(PDNam!$F1261,'TH CANAM'!$A$9:$A$63,0),INDEX($J$13:$M$30,MATCH($B1236,$J$13:$J$30,0),K$12))</f>
        <v/>
      </c>
      <c r="D1236" s="74" t="str">
        <f>INDEX('TH CANAM'!$A$9:$BF$63,MATCH(PDNam!$F1261,'TH CANAM'!$A$9:$A$63,0),INDEX($J$13:$M$30,MATCH($B1236,$J$13:$J$30,0),L$12))</f>
        <v/>
      </c>
      <c r="E1236" s="74" t="str">
        <f>INDEX('TH CANAM'!$A$9:$BF$63,MATCH(PDNam!$F1261,'TH CANAM'!$A$9:$A$63,0),INDEX($J$13:$M$30,MATCH($B1236,$J$13:$J$30,0),M$12))</f>
        <v/>
      </c>
      <c r="F1236" s="73"/>
      <c r="I1236" s="64"/>
      <c r="J1236" s="64"/>
    </row>
    <row r="1237" spans="1:10" ht="21" customHeight="1">
      <c r="A1237" s="72" t="s">
        <v>200</v>
      </c>
      <c r="B1237" s="73" t="s">
        <v>60</v>
      </c>
      <c r="C1237" s="74" t="str">
        <f>INDEX('TH CANAM'!$A$9:$BF$63,MATCH(PDNam!$F1261,'TH CANAM'!$A$9:$A$63,0),INDEX($J$13:$M$30,MATCH($B1237,$J$13:$J$30,0),K$12))</f>
        <v/>
      </c>
      <c r="D1237" s="74" t="str">
        <f>INDEX('TH CANAM'!$A$9:$BF$63,MATCH(PDNam!$F1261,'TH CANAM'!$A$9:$A$63,0),INDEX($J$13:$M$30,MATCH($B1237,$J$13:$J$30,0),L$12))</f>
        <v/>
      </c>
      <c r="E1237" s="74" t="str">
        <f>INDEX('TH CANAM'!$A$9:$BF$63,MATCH(PDNam!$F1261,'TH CANAM'!$A$9:$A$63,0),INDEX($J$13:$M$30,MATCH($B1237,$J$13:$J$30,0),M$12))</f>
        <v/>
      </c>
      <c r="F1237" s="73"/>
      <c r="I1237" s="64"/>
      <c r="J1237" s="64"/>
    </row>
    <row r="1238" spans="1:10" ht="21" customHeight="1">
      <c r="A1238" s="72" t="s">
        <v>201</v>
      </c>
      <c r="B1238" s="73" t="s">
        <v>34</v>
      </c>
      <c r="C1238" s="74" t="str">
        <f>INDEX('TH CANAM'!$A$9:$BF$63,MATCH(PDNam!$F1261,'TH CANAM'!$A$9:$A$63,0),INDEX($J$13:$M$30,MATCH($B1238,$J$13:$J$30,0),K$12))</f>
        <v/>
      </c>
      <c r="D1238" s="74" t="str">
        <f>INDEX('TH CANAM'!$A$9:$BF$63,MATCH(PDNam!$F1261,'TH CANAM'!$A$9:$A$63,0),INDEX($J$13:$M$30,MATCH($B1238,$J$13:$J$30,0),L$12))</f>
        <v/>
      </c>
      <c r="E1238" s="74" t="str">
        <f>INDEX('TH CANAM'!$A$9:$BF$63,MATCH(PDNam!$F1261,'TH CANAM'!$A$9:$A$63,0),INDEX($J$13:$M$30,MATCH($B1238,$J$13:$J$30,0),M$12))</f>
        <v/>
      </c>
      <c r="F1238" s="73"/>
      <c r="I1238" s="64"/>
      <c r="J1238" s="64"/>
    </row>
    <row r="1239" spans="1:10" ht="21" customHeight="1">
      <c r="A1239" s="72" t="s">
        <v>202</v>
      </c>
      <c r="B1239" s="73" t="s">
        <v>35</v>
      </c>
      <c r="C1239" s="74" t="str">
        <f>INDEX('TH CANAM'!$A$9:$BF$63,MATCH(PDNam!$F1261,'TH CANAM'!$A$9:$A$63,0),INDEX($J$13:$M$30,MATCH($B1239,$J$13:$J$30,0),K$12))</f>
        <v/>
      </c>
      <c r="D1239" s="74" t="str">
        <f>INDEX('TH CANAM'!$A$9:$BF$63,MATCH(PDNam!$F1261,'TH CANAM'!$A$9:$A$63,0),INDEX($J$13:$M$30,MATCH($B1239,$J$13:$J$30,0),L$12))</f>
        <v/>
      </c>
      <c r="E1239" s="74" t="str">
        <f>INDEX('TH CANAM'!$A$9:$BF$63,MATCH(PDNam!$F1261,'TH CANAM'!$A$9:$A$63,0),INDEX($J$13:$M$30,MATCH($B1239,$J$13:$J$30,0),M$12))</f>
        <v/>
      </c>
      <c r="F1239" s="73"/>
      <c r="I1239" s="64"/>
      <c r="J1239" s="64"/>
    </row>
    <row r="1240" spans="1:10" ht="21" customHeight="1">
      <c r="A1240" s="72" t="s">
        <v>203</v>
      </c>
      <c r="B1240" s="73" t="s">
        <v>121</v>
      </c>
      <c r="C1240" s="74" t="str">
        <f>INDEX('TH CANAM'!$A$9:$BF$63,MATCH(PDNam!$F1261,'TH CANAM'!$A$9:$A$63,0),INDEX($J$13:$M$30,MATCH($B1240,$J$13:$J$30,0),K$12))</f>
        <v/>
      </c>
      <c r="D1240" s="74" t="str">
        <f>INDEX('TH CANAM'!$A$9:$BF$63,MATCH(PDNam!$F1261,'TH CANAM'!$A$9:$A$63,0),INDEX($J$13:$M$30,MATCH($B1240,$J$13:$J$30,0),L$12))</f>
        <v/>
      </c>
      <c r="E1240" s="74" t="str">
        <f>INDEX('TH CANAM'!$A$9:$BF$63,MATCH(PDNam!$F1261,'TH CANAM'!$A$9:$A$63,0),INDEX($J$13:$M$30,MATCH($B1240,$J$13:$J$30,0),M$12))</f>
        <v/>
      </c>
      <c r="F1240" s="73"/>
      <c r="I1240" s="64"/>
      <c r="J1240" s="64"/>
    </row>
    <row r="1241" spans="1:10" ht="21" customHeight="1">
      <c r="A1241" s="72" t="s">
        <v>204</v>
      </c>
      <c r="B1241" s="73" t="s">
        <v>122</v>
      </c>
      <c r="C1241" s="74" t="str">
        <f>INDEX('TH CANAM'!$A$9:$BF$63,MATCH(PDNam!$F1261,'TH CANAM'!$A$9:$A$63,0),INDEX($J$13:$M$30,MATCH($B1241,$J$13:$J$30,0),K$12))</f>
        <v/>
      </c>
      <c r="D1241" s="74" t="str">
        <f>INDEX('TH CANAM'!$A$9:$BF$63,MATCH(PDNam!$F1261,'TH CANAM'!$A$9:$A$63,0),INDEX($J$13:$M$30,MATCH($B1241,$J$13:$J$30,0),L$12))</f>
        <v/>
      </c>
      <c r="E1241" s="74" t="str">
        <f>INDEX('TH CANAM'!$A$9:$BF$63,MATCH(PDNam!$F1261,'TH CANAM'!$A$9:$A$63,0),INDEX($J$13:$M$30,MATCH($B1241,$J$13:$J$30,0),M$12))</f>
        <v/>
      </c>
      <c r="F1241" s="73"/>
      <c r="I1241" s="64"/>
      <c r="J1241" s="64"/>
    </row>
    <row r="1242" spans="1:10" ht="21" customHeight="1">
      <c r="A1242" s="72" t="s">
        <v>208</v>
      </c>
      <c r="B1242" s="73" t="s">
        <v>205</v>
      </c>
      <c r="C1242" s="78">
        <f>INDEX('TH CANAM'!$A$9:$BF$63,MATCH(PDNam!$F1261,'TH CANAM'!$A$9:$A$63,0),46)</f>
        <v>9.1999999999999993</v>
      </c>
      <c r="D1242" s="78" t="str">
        <f>INDEX('TH CANAM'!$A$9:$BF$63,MATCH(PDNam!$F1261,'TH CANAM'!$A$9:$A$63,0),47)</f>
        <v/>
      </c>
      <c r="E1242" s="78" t="str">
        <f>INDEX('TH CANAM'!$A$9:$BF$63,MATCH(PDNam!$F1261,'TH CANAM'!$A$9:$A$63,0),48)</f>
        <v/>
      </c>
      <c r="F1242" s="73"/>
      <c r="I1242" s="64"/>
      <c r="J1242" s="64"/>
    </row>
    <row r="1243" spans="1:10" ht="21" customHeight="1">
      <c r="A1243" s="72" t="s">
        <v>209</v>
      </c>
      <c r="B1243" s="72" t="s">
        <v>206</v>
      </c>
      <c r="C1243" s="74" t="str">
        <f>IF(INDEX('TH CANAM'!$A$9:$BF$63,MATCH(PDNam!$F1261,'TH CANAM'!$A$9:$A$63,0),49)="Tb","Trung bình",INDEX('TH CANAM'!$A$9:$BF$63,MATCH(PDNam!$F1261,'TH CANAM'!$A$9:$A$63,0),49))</f>
        <v>Giỏi</v>
      </c>
      <c r="D1243" s="74" t="str">
        <f>IF(INDEX('TH CANAM'!$A$9:$BF$63,MATCH(PDNam!$F1261,'TH CANAM'!$A$9:$A$63,0),50)="Tb","Trung bình",INDEX('TH CANAM'!$A$9:$BF$63,MATCH(PDNam!$F1261,'TH CANAM'!$A$9:$A$63,0),50))</f>
        <v/>
      </c>
      <c r="E1243" s="74" t="str">
        <f>IF(INDEX('TH CANAM'!$A$9:$BF$63,MATCH(PDNam!$F1261,'TH CANAM'!$A$9:$A$63,0),51)="Tb","Trung bình",INDEX('TH CANAM'!$A$9:$BF$63,MATCH(PDNam!$F1261,'TH CANAM'!$A$9:$A$63,0),51))</f>
        <v/>
      </c>
      <c r="F1243" s="73"/>
    </row>
    <row r="1244" spans="1:10" ht="21" customHeight="1">
      <c r="A1244" s="72" t="s">
        <v>210</v>
      </c>
      <c r="B1244" s="72" t="s">
        <v>207</v>
      </c>
      <c r="C1244" s="74" t="str">
        <f>INDEX('TH CANAM'!$A$9:$BF$63,MATCH(PDNam!$F1261,'TH CANAM'!$A$9:$A$63,0),52)</f>
        <v>Tốt</v>
      </c>
      <c r="D1244" s="74" t="str">
        <f>INDEX('TH CANAM'!$A$9:$BF$63,MATCH(PDNam!$F1261,'TH CANAM'!$A$9:$A$63,0),53)</f>
        <v/>
      </c>
      <c r="E1244" s="74" t="str">
        <f>INDEX('TH CANAM'!$A$9:$BF$63,MATCH(PDNam!$F1261,'TH CANAM'!$A$9:$A$63,0),54)</f>
        <v/>
      </c>
      <c r="F1244" s="73"/>
    </row>
    <row r="1245" spans="1:10" ht="21" customHeight="1">
      <c r="A1245" s="72" t="s">
        <v>211</v>
      </c>
      <c r="B1245" s="72" t="s">
        <v>25</v>
      </c>
      <c r="C1245" s="74" t="str">
        <f>IF(INDEX('TH CANAM'!$A$9:$BF$63,MATCH(PDNam!$F1261,'TH CANAM'!$A$9:$A$63,0),57)&lt;&gt;"",INDEX('TH CANAM'!$A$9:$BF$63,MATCH(PDNam!$F1261,'TH CANAM'!$A$9:$A$63,0),57),"/")</f>
        <v>HSG</v>
      </c>
      <c r="D1245" s="74" t="str">
        <f>IF(INDEX('TH CANAM'!$A$9:$BF$63,MATCH(PDNam!$F1261,'TH CANAM'!$A$9:$A$63,0),58)&lt;&gt;"",INDEX('TH CANAM'!$A$9:$BF$63,MATCH(PDNam!$F1261,'TH CANAM'!$A$9:$A$63,0),58),"/")</f>
        <v>/</v>
      </c>
      <c r="E1245" s="74" t="str">
        <f>IF(INDEX('TH CANAM'!$A$9:$BF$63,MATCH(PDNam!$F1261,'TH CANAM'!$A$9:$A$63,0),55)&lt;&gt;"",INDEX('TH CANAM'!$A$9:$BF$63,MATCH(PDNam!$F1261,'TH CANAM'!$A$9:$A$63,0),55),"/")</f>
        <v>/</v>
      </c>
      <c r="F1245" s="73"/>
    </row>
    <row r="1246" spans="1:10" s="60" customFormat="1" ht="9" customHeight="1">
      <c r="A1246" s="67"/>
      <c r="B1246" s="67"/>
      <c r="C1246" s="1132"/>
      <c r="D1246" s="1132"/>
      <c r="E1246" s="67"/>
      <c r="F1246" s="67"/>
    </row>
    <row r="1247" spans="1:10" s="60" customFormat="1" ht="18.75" customHeight="1">
      <c r="A1247" s="58" t="s">
        <v>219</v>
      </c>
      <c r="B1247" s="57"/>
      <c r="C1247" s="57"/>
      <c r="D1247" s="57"/>
      <c r="E1247" s="57"/>
      <c r="F1247" s="475"/>
    </row>
    <row r="1248" spans="1:10" s="60" customFormat="1" ht="18.75" customHeight="1">
      <c r="A1248" s="59" t="str">
        <f>IF(F1261&lt;&gt;"",IF(INDEX(BDHK2,MATCH(F1261,DiemHKII!$B$4:$B$58,0),137)&lt;&gt;""," - "&amp;INDEX(BDHK2,MATCH(F1261,DiemHKII!$B$4:$B$58,0),137),""),"")</f>
        <v/>
      </c>
      <c r="B1248" s="57"/>
      <c r="C1248" s="57"/>
      <c r="D1248" s="57"/>
      <c r="E1248" s="57"/>
      <c r="F1248" s="475"/>
    </row>
    <row r="1249" spans="1:10" s="60" customFormat="1" ht="18.75" customHeight="1">
      <c r="A1249" s="59" t="str">
        <f>IF(F1261&lt;&gt;"",IF(INDEX(BDHK2,MATCH(F1261,DiemHKII!$B$4:$B$58,0),138)&lt;&gt;""," - "&amp;INDEX(BDHK2,MATCH(F1261,DiemHKII!$B$4:$B$58,0),138),""),"")</f>
        <v/>
      </c>
      <c r="B1249" s="57"/>
      <c r="C1249" s="57"/>
      <c r="D1249" s="57"/>
      <c r="E1249" s="57"/>
      <c r="F1249" s="475"/>
    </row>
    <row r="1250" spans="1:10" s="60" customFormat="1" ht="18.75" customHeight="1">
      <c r="A1250" s="59" t="str">
        <f>IF(F1261&lt;&gt;"",IF(INDEX(BDHK2,MATCH(F1261,DiemHKII!$B$4:$B$58,0),139)&lt;&gt;""," - "&amp;INDEX(BDHK2,MATCH(F1261,DiemHKII!$B$4:$B$58,0),139),""),"")</f>
        <v/>
      </c>
      <c r="B1250" s="57"/>
      <c r="C1250" s="57"/>
      <c r="D1250" s="57"/>
      <c r="E1250" s="57"/>
      <c r="F1250" s="475"/>
    </row>
    <row r="1251" spans="1:10" s="60" customFormat="1" ht="18.75" customHeight="1">
      <c r="A1251" s="59" t="str">
        <f>IF(F1261&lt;&gt;"",IF(INDEX(BDHK2,MATCH(F1261,DiemHKII!$B$4:$B$58,0),140)&lt;&gt;""," - "&amp;INDEX(BDHK2,MATCH(F1261,DiemHKII!$B$4:$B$58,0),140),""),"")</f>
        <v/>
      </c>
      <c r="B1251" s="57"/>
      <c r="C1251" s="57"/>
      <c r="D1251" s="57"/>
      <c r="E1251" s="57"/>
      <c r="F1251" s="67"/>
    </row>
    <row r="1252" spans="1:10" ht="6" customHeight="1">
      <c r="A1252" s="68"/>
      <c r="B1252" s="68"/>
      <c r="C1252" s="68"/>
      <c r="D1252" s="68"/>
      <c r="E1252" s="68"/>
      <c r="F1252" s="68"/>
    </row>
    <row r="1253" spans="1:10">
      <c r="A1253" s="68"/>
      <c r="B1253" s="68"/>
      <c r="C125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253" s="1060"/>
      <c r="E1253" s="1060"/>
      <c r="F1253" s="1060"/>
    </row>
    <row r="1254" spans="1:10" ht="20.25" customHeight="1">
      <c r="A1254" s="1012" t="str">
        <f>IF($D$39="Hiệu trưởng","Giáo viên Quản nhiệm","")</f>
        <v>Giáo viên Quản nhiệm</v>
      </c>
      <c r="B1254" s="1012"/>
      <c r="C1254" s="61"/>
      <c r="D1254" s="1012" t="str">
        <f>IF($H$7="","",$H$7)</f>
        <v>Hiệu trưởng</v>
      </c>
      <c r="E1254" s="1012"/>
      <c r="F1254" s="61"/>
    </row>
    <row r="1255" spans="1:10">
      <c r="A1255" s="68"/>
      <c r="B1255" s="68"/>
      <c r="C1255" s="68"/>
      <c r="D1255" s="68"/>
      <c r="E1255" s="68"/>
      <c r="F1255" s="68"/>
    </row>
    <row r="1256" spans="1:10">
      <c r="A1256" s="68"/>
      <c r="B1256" s="68"/>
      <c r="C1256" s="68"/>
      <c r="D1256" s="68"/>
      <c r="E1256" s="68"/>
      <c r="F1256" s="68"/>
    </row>
    <row r="1257" spans="1:10" ht="16.8">
      <c r="A1257" s="68"/>
      <c r="B1257" s="68"/>
      <c r="C1257" s="64"/>
      <c r="D1257" s="64"/>
      <c r="E1257" s="64"/>
      <c r="F1257" s="64"/>
      <c r="G1257" s="65"/>
      <c r="H1257" s="65"/>
      <c r="I1257" s="65"/>
      <c r="J1257" s="65"/>
    </row>
    <row r="1259" spans="1:10">
      <c r="A1259" s="1012" t="str">
        <f>IF($A$39="","",PROPER('Huong dan'!$C$4))</f>
        <v/>
      </c>
      <c r="B1259" s="1012"/>
      <c r="D1259" s="1130" t="str">
        <f>IFERROR(IF($D$39="Giáo Viên Quản nhiệm",PROPER('Huong dan'!$C$4),IF($D$39="Hiệu trưởng",PROPER('Huong dan'!$E$5),"")),"")</f>
        <v/>
      </c>
      <c r="E1259" s="1130"/>
    </row>
    <row r="1260" spans="1:10" ht="7.5" customHeight="1"/>
    <row r="1261" spans="1:10" ht="11.25" customHeight="1">
      <c r="A1261" s="75"/>
      <c r="B1261" s="75"/>
      <c r="C1261" s="75"/>
      <c r="D1261" s="75"/>
      <c r="E1261" s="75"/>
      <c r="F1261" s="76">
        <f>IF(F1216="","",IF(F1216&lt;MAX(DiemHKII!$B$4:$B$58),F1216+1,""))</f>
        <v>28</v>
      </c>
    </row>
    <row r="1262" spans="1:10" s="60" customFormat="1" ht="22.5" customHeight="1">
      <c r="A1262" s="1128" t="str">
        <f>IF('Huong dan'!$E$3&lt;&gt;"","SỞ GIÁO DỤC VÀ ĐÀO TẠO "&amp;UPPER('Huong dan'!$E$3),"")</f>
        <v>SỞ GIÁO DỤC VÀ ĐÀO TẠO TP. HỒ CHÍ MINH</v>
      </c>
      <c r="B1262" s="1128"/>
      <c r="C1262" s="1128"/>
      <c r="D1262" s="1129" t="s">
        <v>19</v>
      </c>
      <c r="E1262" s="1129"/>
      <c r="F1262" s="1129"/>
    </row>
    <row r="1263" spans="1:10" ht="17.25" customHeight="1">
      <c r="A1263" s="992" t="str">
        <f>IF('Huong dan'!$E$4&lt;&gt;"","TRƯỜNG "&amp;UPPER('Huong dan'!$E$4),"")</f>
        <v>TRƯỜNG THCS VÀ THPT NGUYỄN KHUYẾN</v>
      </c>
      <c r="B1263" s="992"/>
      <c r="C1263" s="992"/>
      <c r="D1263" s="1130" t="s">
        <v>179</v>
      </c>
      <c r="E1263" s="1130"/>
      <c r="F1263" s="1130"/>
    </row>
    <row r="1264" spans="1:10" ht="12" customHeight="1">
      <c r="A1264" s="69"/>
      <c r="B1264" s="69"/>
      <c r="C1264" s="30"/>
      <c r="D1264" s="30"/>
      <c r="E1264" s="30"/>
      <c r="F1264" s="30"/>
    </row>
    <row r="1265" spans="1:10" ht="18" customHeight="1">
      <c r="A1265" s="69"/>
      <c r="B1265" s="69"/>
      <c r="C1265" s="30"/>
      <c r="D1265" s="30"/>
      <c r="E1265" s="30"/>
      <c r="F1265" s="30"/>
    </row>
    <row r="1266" spans="1:10" ht="29.25" customHeight="1">
      <c r="A1266" s="1013" t="str">
        <f>"PHIẾU ĐIỂM NĂM HỌC "&amp;'Huong dan'!$C$5</f>
        <v>PHIẾU ĐIỂM NĂM HỌC 2021 - 2022</v>
      </c>
      <c r="B1266" s="1013"/>
      <c r="C1266" s="1013"/>
      <c r="D1266" s="1013"/>
      <c r="E1266" s="1013"/>
      <c r="F1266" s="1013"/>
    </row>
    <row r="1267" spans="1:10" ht="12.75" customHeight="1">
      <c r="A1267" s="70"/>
      <c r="B1267" s="66"/>
      <c r="C1267" s="66"/>
      <c r="D1267" s="66"/>
      <c r="E1267" s="66"/>
      <c r="F1267" s="66"/>
    </row>
    <row r="1268" spans="1:10" ht="20.25" customHeight="1">
      <c r="A1268" s="1131" t="s">
        <v>212</v>
      </c>
      <c r="B1268" s="1131"/>
      <c r="C1268" s="77" t="str">
        <f>IF(F1306="","",INDEX(DiemHKII!$E$4:$E$58,MATCH(F1306,DiemHKII!$B$4:$B$58,0),1)&amp;" "&amp;INDEX(DiemHKII!$F$4:$F$58,MATCH(F1306,DiemHKII!$B$4:$B$58,0),1))</f>
        <v>Trần Thị Như Quỳnh</v>
      </c>
      <c r="D1268" s="77"/>
      <c r="E1268" s="77"/>
      <c r="F1268" s="71" t="str">
        <f>IF('Huong dan'!$C$3="","","Lớp: "&amp;'Huong dan'!$C$3)</f>
        <v>Lớp: 12A1</v>
      </c>
    </row>
    <row r="1269" spans="1:10" ht="24" customHeight="1">
      <c r="A1269" s="1131" t="s">
        <v>213</v>
      </c>
      <c r="B1269" s="1131"/>
      <c r="C1269" s="77" t="str">
        <f>IF(F1306="","",INDEX(DiemHKII!$G$4:$G$58,MATCH(F1306,DiemHKII!$B$4:$B$58,0),1))</f>
        <v>28/01/2004</v>
      </c>
      <c r="D1269" s="77"/>
      <c r="E1269" s="1133" t="str">
        <f>IF(F1306="","","Nơi sinh: "&amp;INDEX(DiemHKII!$H$4:$H$58,MATCH(F1306,DiemHKII!$B$4:$B$58,0),1))</f>
        <v xml:space="preserve">Nơi sinh: </v>
      </c>
      <c r="F1269" s="1133"/>
    </row>
    <row r="1270" spans="1:10" ht="15" customHeight="1">
      <c r="A1270" s="62"/>
      <c r="B1270" s="62"/>
      <c r="C1270" s="62"/>
      <c r="D1270" s="62"/>
      <c r="E1270" s="62"/>
      <c r="F1270" s="63"/>
    </row>
    <row r="1271" spans="1:10" ht="21" customHeight="1">
      <c r="A1271" s="1134" t="s">
        <v>0</v>
      </c>
      <c r="B1271" s="1134" t="s">
        <v>72</v>
      </c>
      <c r="C1271" s="1134" t="s">
        <v>216</v>
      </c>
      <c r="D1271" s="1134"/>
      <c r="E1271" s="1134"/>
      <c r="F1271" s="1134" t="s">
        <v>148</v>
      </c>
    </row>
    <row r="1272" spans="1:10" ht="21" customHeight="1">
      <c r="A1272" s="1134"/>
      <c r="B1272" s="1134"/>
      <c r="C1272" s="476" t="s">
        <v>188</v>
      </c>
      <c r="D1272" s="476" t="s">
        <v>189</v>
      </c>
      <c r="E1272" s="476" t="s">
        <v>190</v>
      </c>
      <c r="F1272" s="1134"/>
    </row>
    <row r="1273" spans="1:10" ht="21" customHeight="1">
      <c r="A1273" s="72" t="s">
        <v>191</v>
      </c>
      <c r="B1273" s="73" t="s">
        <v>26</v>
      </c>
      <c r="C1273" s="74" t="str">
        <f>INDEX('TH CANAM'!$A$9:$BF$63,MATCH(PDNam!$F1306,'TH CANAM'!$A$9:$A$63,0),INDEX($J$13:$M$30,MATCH($B1273,$J$13:$J$30,0),K$12))</f>
        <v/>
      </c>
      <c r="D1273" s="74" t="str">
        <f>INDEX('TH CANAM'!$A$9:$BF$63,MATCH(PDNam!$F1306,'TH CANAM'!$A$9:$A$63,0),INDEX($J$13:$M$30,MATCH($B1273,$J$13:$J$30,0),L$12))</f>
        <v/>
      </c>
      <c r="E1273" s="74" t="str">
        <f>INDEX('TH CANAM'!$A$9:$BF$63,MATCH(PDNam!$F1306,'TH CANAM'!$A$9:$A$63,0),INDEX($J$13:$M$30,MATCH($B1273,$J$13:$J$30,0),M$12))</f>
        <v/>
      </c>
      <c r="F1273" s="73"/>
      <c r="I1273" s="64"/>
      <c r="J1273" s="64"/>
    </row>
    <row r="1274" spans="1:10" ht="21" customHeight="1">
      <c r="A1274" s="72" t="s">
        <v>192</v>
      </c>
      <c r="B1274" s="73" t="s">
        <v>27</v>
      </c>
      <c r="C1274" s="74" t="str">
        <f>INDEX('TH CANAM'!$A$9:$BF$63,MATCH(PDNam!$F1306,'TH CANAM'!$A$9:$A$63,0),INDEX($J$13:$M$30,MATCH($B1274,$J$13:$J$30,0),K$12))</f>
        <v/>
      </c>
      <c r="D1274" s="74" t="str">
        <f>INDEX('TH CANAM'!$A$9:$BF$63,MATCH(PDNam!$F1306,'TH CANAM'!$A$9:$A$63,0),INDEX($J$13:$M$30,MATCH($B1274,$J$13:$J$30,0),L$12))</f>
        <v/>
      </c>
      <c r="E1274" s="74" t="str">
        <f>INDEX('TH CANAM'!$A$9:$BF$63,MATCH(PDNam!$F1306,'TH CANAM'!$A$9:$A$63,0),INDEX($J$13:$M$30,MATCH($B1274,$J$13:$J$30,0),M$12))</f>
        <v/>
      </c>
      <c r="F1274" s="73"/>
      <c r="I1274" s="64"/>
      <c r="J1274" s="64"/>
    </row>
    <row r="1275" spans="1:10" ht="21" customHeight="1">
      <c r="A1275" s="72" t="s">
        <v>193</v>
      </c>
      <c r="B1275" s="73" t="s">
        <v>28</v>
      </c>
      <c r="C1275" s="74" t="str">
        <f>INDEX('TH CANAM'!$A$9:$BF$63,MATCH(PDNam!$F1306,'TH CANAM'!$A$9:$A$63,0),INDEX($J$13:$M$30,MATCH($B1275,$J$13:$J$30,0),K$12))</f>
        <v/>
      </c>
      <c r="D1275" s="74" t="str">
        <f>INDEX('TH CANAM'!$A$9:$BF$63,MATCH(PDNam!$F1306,'TH CANAM'!$A$9:$A$63,0),INDEX($J$13:$M$30,MATCH($B1275,$J$13:$J$30,0),L$12))</f>
        <v/>
      </c>
      <c r="E1275" s="74" t="str">
        <f>INDEX('TH CANAM'!$A$9:$BF$63,MATCH(PDNam!$F1306,'TH CANAM'!$A$9:$A$63,0),INDEX($J$13:$M$30,MATCH($B1275,$J$13:$J$30,0),M$12))</f>
        <v/>
      </c>
      <c r="F1275" s="73"/>
      <c r="I1275" s="64"/>
      <c r="J1275" s="64"/>
    </row>
    <row r="1276" spans="1:10" ht="21" customHeight="1">
      <c r="A1276" s="72" t="s">
        <v>194</v>
      </c>
      <c r="B1276" s="73" t="s">
        <v>29</v>
      </c>
      <c r="C1276" s="74" t="str">
        <f>INDEX('TH CANAM'!$A$9:$BF$63,MATCH(PDNam!$F1306,'TH CANAM'!$A$9:$A$63,0),INDEX($J$13:$M$30,MATCH($B1276,$J$13:$J$30,0),K$12))</f>
        <v/>
      </c>
      <c r="D1276" s="74" t="str">
        <f>INDEX('TH CANAM'!$A$9:$BF$63,MATCH(PDNam!$F1306,'TH CANAM'!$A$9:$A$63,0),INDEX($J$13:$M$30,MATCH($B1276,$J$13:$J$30,0),L$12))</f>
        <v/>
      </c>
      <c r="E1276" s="74" t="str">
        <f>INDEX('TH CANAM'!$A$9:$BF$63,MATCH(PDNam!$F1306,'TH CANAM'!$A$9:$A$63,0),INDEX($J$13:$M$30,MATCH($B1276,$J$13:$J$30,0),M$12))</f>
        <v/>
      </c>
      <c r="F1276" s="73"/>
      <c r="I1276" s="64"/>
      <c r="J1276" s="64"/>
    </row>
    <row r="1277" spans="1:10" ht="21" customHeight="1">
      <c r="A1277" s="72" t="s">
        <v>195</v>
      </c>
      <c r="B1277" s="73" t="s">
        <v>120</v>
      </c>
      <c r="C1277" s="74" t="str">
        <f>INDEX('TH CANAM'!$A$9:$BF$63,MATCH(PDNam!$F1306,'TH CANAM'!$A$9:$A$63,0),INDEX($J$13:$M$30,MATCH($B1277,$J$13:$J$30,0),K$12))</f>
        <v/>
      </c>
      <c r="D1277" s="74" t="str">
        <f>INDEX('TH CANAM'!$A$9:$BF$63,MATCH(PDNam!$F1306,'TH CANAM'!$A$9:$A$63,0),INDEX($J$13:$M$30,MATCH($B1277,$J$13:$J$30,0),L$12))</f>
        <v/>
      </c>
      <c r="E1277" s="74" t="str">
        <f>INDEX('TH CANAM'!$A$9:$BF$63,MATCH(PDNam!$F1306,'TH CANAM'!$A$9:$A$63,0),INDEX($J$13:$M$30,MATCH($B1277,$J$13:$J$30,0),M$12))</f>
        <v/>
      </c>
      <c r="F1277" s="73"/>
      <c r="I1277" s="64"/>
      <c r="J1277" s="64"/>
    </row>
    <row r="1278" spans="1:10" ht="21" customHeight="1">
      <c r="A1278" s="72" t="s">
        <v>196</v>
      </c>
      <c r="B1278" s="73" t="s">
        <v>30</v>
      </c>
      <c r="C1278" s="74" t="str">
        <f>INDEX('TH CANAM'!$A$9:$BF$63,MATCH(PDNam!$F1306,'TH CANAM'!$A$9:$A$63,0),INDEX($J$13:$M$30,MATCH($B1278,$J$13:$J$30,0),K$12))</f>
        <v/>
      </c>
      <c r="D1278" s="74" t="str">
        <f>INDEX('TH CANAM'!$A$9:$BF$63,MATCH(PDNam!$F1306,'TH CANAM'!$A$9:$A$63,0),INDEX($J$13:$M$30,MATCH($B1278,$J$13:$J$30,0),L$12))</f>
        <v/>
      </c>
      <c r="E1278" s="74" t="str">
        <f>INDEX('TH CANAM'!$A$9:$BF$63,MATCH(PDNam!$F1306,'TH CANAM'!$A$9:$A$63,0),INDEX($J$13:$M$30,MATCH($B1278,$J$13:$J$30,0),M$12))</f>
        <v/>
      </c>
      <c r="F1278" s="73"/>
      <c r="I1278" s="64"/>
      <c r="J1278" s="64"/>
    </row>
    <row r="1279" spans="1:10" ht="21" customHeight="1">
      <c r="A1279" s="72" t="s">
        <v>197</v>
      </c>
      <c r="B1279" s="73" t="s">
        <v>31</v>
      </c>
      <c r="C1279" s="74" t="str">
        <f>INDEX('TH CANAM'!$A$9:$BF$63,MATCH(PDNam!$F1306,'TH CANAM'!$A$9:$A$63,0),INDEX($J$13:$M$30,MATCH($B1279,$J$13:$J$30,0),K$12))</f>
        <v/>
      </c>
      <c r="D1279" s="74" t="str">
        <f>INDEX('TH CANAM'!$A$9:$BF$63,MATCH(PDNam!$F1306,'TH CANAM'!$A$9:$A$63,0),INDEX($J$13:$M$30,MATCH($B1279,$J$13:$J$30,0),L$12))</f>
        <v/>
      </c>
      <c r="E1279" s="74" t="str">
        <f>INDEX('TH CANAM'!$A$9:$BF$63,MATCH(PDNam!$F1306,'TH CANAM'!$A$9:$A$63,0),INDEX($J$13:$M$30,MATCH($B1279,$J$13:$J$30,0),M$12))</f>
        <v/>
      </c>
      <c r="F1279" s="73"/>
      <c r="I1279" s="64"/>
      <c r="J1279" s="64"/>
    </row>
    <row r="1280" spans="1:10" ht="21" customHeight="1">
      <c r="A1280" s="72" t="s">
        <v>198</v>
      </c>
      <c r="B1280" s="73" t="s">
        <v>32</v>
      </c>
      <c r="C1280" s="74" t="str">
        <f>INDEX('TH CANAM'!$A$9:$BF$63,MATCH(PDNam!$F1306,'TH CANAM'!$A$9:$A$63,0),INDEX($J$13:$M$30,MATCH($B1280,$J$13:$J$30,0),K$12))</f>
        <v/>
      </c>
      <c r="D1280" s="74" t="str">
        <f>INDEX('TH CANAM'!$A$9:$BF$63,MATCH(PDNam!$F1306,'TH CANAM'!$A$9:$A$63,0),INDEX($J$13:$M$30,MATCH($B1280,$J$13:$J$30,0),L$12))</f>
        <v/>
      </c>
      <c r="E1280" s="74" t="str">
        <f>INDEX('TH CANAM'!$A$9:$BF$63,MATCH(PDNam!$F1306,'TH CANAM'!$A$9:$A$63,0),INDEX($J$13:$M$30,MATCH($B1280,$J$13:$J$30,0),M$12))</f>
        <v/>
      </c>
      <c r="F1280" s="73"/>
      <c r="I1280" s="64"/>
      <c r="J1280" s="64"/>
    </row>
    <row r="1281" spans="1:10" ht="21" customHeight="1">
      <c r="A1281" s="72" t="s">
        <v>199</v>
      </c>
      <c r="B1281" s="73" t="s">
        <v>33</v>
      </c>
      <c r="C1281" s="74" t="str">
        <f>INDEX('TH CANAM'!$A$9:$BF$63,MATCH(PDNam!$F1306,'TH CANAM'!$A$9:$A$63,0),INDEX($J$13:$M$30,MATCH($B1281,$J$13:$J$30,0),K$12))</f>
        <v/>
      </c>
      <c r="D1281" s="74" t="str">
        <f>INDEX('TH CANAM'!$A$9:$BF$63,MATCH(PDNam!$F1306,'TH CANAM'!$A$9:$A$63,0),INDEX($J$13:$M$30,MATCH($B1281,$J$13:$J$30,0),L$12))</f>
        <v/>
      </c>
      <c r="E1281" s="74" t="str">
        <f>INDEX('TH CANAM'!$A$9:$BF$63,MATCH(PDNam!$F1306,'TH CANAM'!$A$9:$A$63,0),INDEX($J$13:$M$30,MATCH($B1281,$J$13:$J$30,0),M$12))</f>
        <v/>
      </c>
      <c r="F1281" s="73"/>
      <c r="I1281" s="64"/>
      <c r="J1281" s="64"/>
    </row>
    <row r="1282" spans="1:10" ht="21" customHeight="1">
      <c r="A1282" s="72" t="s">
        <v>200</v>
      </c>
      <c r="B1282" s="73" t="s">
        <v>60</v>
      </c>
      <c r="C1282" s="74" t="str">
        <f>INDEX('TH CANAM'!$A$9:$BF$63,MATCH(PDNam!$F1306,'TH CANAM'!$A$9:$A$63,0),INDEX($J$13:$M$30,MATCH($B1282,$J$13:$J$30,0),K$12))</f>
        <v/>
      </c>
      <c r="D1282" s="74" t="str">
        <f>INDEX('TH CANAM'!$A$9:$BF$63,MATCH(PDNam!$F1306,'TH CANAM'!$A$9:$A$63,0),INDEX($J$13:$M$30,MATCH($B1282,$J$13:$J$30,0),L$12))</f>
        <v/>
      </c>
      <c r="E1282" s="74" t="str">
        <f>INDEX('TH CANAM'!$A$9:$BF$63,MATCH(PDNam!$F1306,'TH CANAM'!$A$9:$A$63,0),INDEX($J$13:$M$30,MATCH($B1282,$J$13:$J$30,0),M$12))</f>
        <v/>
      </c>
      <c r="F1282" s="73"/>
      <c r="I1282" s="64"/>
      <c r="J1282" s="64"/>
    </row>
    <row r="1283" spans="1:10" ht="21" customHeight="1">
      <c r="A1283" s="72" t="s">
        <v>201</v>
      </c>
      <c r="B1283" s="73" t="s">
        <v>34</v>
      </c>
      <c r="C1283" s="74" t="str">
        <f>INDEX('TH CANAM'!$A$9:$BF$63,MATCH(PDNam!$F1306,'TH CANAM'!$A$9:$A$63,0),INDEX($J$13:$M$30,MATCH($B1283,$J$13:$J$30,0),K$12))</f>
        <v/>
      </c>
      <c r="D1283" s="74" t="str">
        <f>INDEX('TH CANAM'!$A$9:$BF$63,MATCH(PDNam!$F1306,'TH CANAM'!$A$9:$A$63,0),INDEX($J$13:$M$30,MATCH($B1283,$J$13:$J$30,0),L$12))</f>
        <v/>
      </c>
      <c r="E1283" s="74" t="str">
        <f>INDEX('TH CANAM'!$A$9:$BF$63,MATCH(PDNam!$F1306,'TH CANAM'!$A$9:$A$63,0),INDEX($J$13:$M$30,MATCH($B1283,$J$13:$J$30,0),M$12))</f>
        <v/>
      </c>
      <c r="F1283" s="73"/>
      <c r="I1283" s="64"/>
      <c r="J1283" s="64"/>
    </row>
    <row r="1284" spans="1:10" ht="21" customHeight="1">
      <c r="A1284" s="72" t="s">
        <v>202</v>
      </c>
      <c r="B1284" s="73" t="s">
        <v>35</v>
      </c>
      <c r="C1284" s="74" t="str">
        <f>INDEX('TH CANAM'!$A$9:$BF$63,MATCH(PDNam!$F1306,'TH CANAM'!$A$9:$A$63,0),INDEX($J$13:$M$30,MATCH($B1284,$J$13:$J$30,0),K$12))</f>
        <v/>
      </c>
      <c r="D1284" s="74" t="str">
        <f>INDEX('TH CANAM'!$A$9:$BF$63,MATCH(PDNam!$F1306,'TH CANAM'!$A$9:$A$63,0),INDEX($J$13:$M$30,MATCH($B1284,$J$13:$J$30,0),L$12))</f>
        <v/>
      </c>
      <c r="E1284" s="74" t="str">
        <f>INDEX('TH CANAM'!$A$9:$BF$63,MATCH(PDNam!$F1306,'TH CANAM'!$A$9:$A$63,0),INDEX($J$13:$M$30,MATCH($B1284,$J$13:$J$30,0),M$12))</f>
        <v/>
      </c>
      <c r="F1284" s="73"/>
      <c r="I1284" s="64"/>
      <c r="J1284" s="64"/>
    </row>
    <row r="1285" spans="1:10" ht="21" customHeight="1">
      <c r="A1285" s="72" t="s">
        <v>203</v>
      </c>
      <c r="B1285" s="73" t="s">
        <v>121</v>
      </c>
      <c r="C1285" s="74" t="str">
        <f>INDEX('TH CANAM'!$A$9:$BF$63,MATCH(PDNam!$F1306,'TH CANAM'!$A$9:$A$63,0),INDEX($J$13:$M$30,MATCH($B1285,$J$13:$J$30,0),K$12))</f>
        <v/>
      </c>
      <c r="D1285" s="74" t="str">
        <f>INDEX('TH CANAM'!$A$9:$BF$63,MATCH(PDNam!$F1306,'TH CANAM'!$A$9:$A$63,0),INDEX($J$13:$M$30,MATCH($B1285,$J$13:$J$30,0),L$12))</f>
        <v/>
      </c>
      <c r="E1285" s="74" t="str">
        <f>INDEX('TH CANAM'!$A$9:$BF$63,MATCH(PDNam!$F1306,'TH CANAM'!$A$9:$A$63,0),INDEX($J$13:$M$30,MATCH($B1285,$J$13:$J$30,0),M$12))</f>
        <v/>
      </c>
      <c r="F1285" s="73"/>
      <c r="I1285" s="64"/>
      <c r="J1285" s="64"/>
    </row>
    <row r="1286" spans="1:10" ht="21" customHeight="1">
      <c r="A1286" s="72" t="s">
        <v>204</v>
      </c>
      <c r="B1286" s="73" t="s">
        <v>122</v>
      </c>
      <c r="C1286" s="74" t="str">
        <f>INDEX('TH CANAM'!$A$9:$BF$63,MATCH(PDNam!$F1306,'TH CANAM'!$A$9:$A$63,0),INDEX($J$13:$M$30,MATCH($B1286,$J$13:$J$30,0),K$12))</f>
        <v/>
      </c>
      <c r="D1286" s="74" t="str">
        <f>INDEX('TH CANAM'!$A$9:$BF$63,MATCH(PDNam!$F1306,'TH CANAM'!$A$9:$A$63,0),INDEX($J$13:$M$30,MATCH($B1286,$J$13:$J$30,0),L$12))</f>
        <v/>
      </c>
      <c r="E1286" s="74" t="str">
        <f>INDEX('TH CANAM'!$A$9:$BF$63,MATCH(PDNam!$F1306,'TH CANAM'!$A$9:$A$63,0),INDEX($J$13:$M$30,MATCH($B1286,$J$13:$J$30,0),M$12))</f>
        <v/>
      </c>
      <c r="F1286" s="73"/>
      <c r="I1286" s="64"/>
      <c r="J1286" s="64"/>
    </row>
    <row r="1287" spans="1:10" ht="21" customHeight="1">
      <c r="A1287" s="72" t="s">
        <v>208</v>
      </c>
      <c r="B1287" s="73" t="s">
        <v>205</v>
      </c>
      <c r="C1287" s="78">
        <f>INDEX('TH CANAM'!$A$9:$BF$63,MATCH(PDNam!$F1306,'TH CANAM'!$A$9:$A$63,0),46)</f>
        <v>9.4</v>
      </c>
      <c r="D1287" s="78" t="str">
        <f>INDEX('TH CANAM'!$A$9:$BF$63,MATCH(PDNam!$F1306,'TH CANAM'!$A$9:$A$63,0),47)</f>
        <v/>
      </c>
      <c r="E1287" s="78" t="str">
        <f>INDEX('TH CANAM'!$A$9:$BF$63,MATCH(PDNam!$F1306,'TH CANAM'!$A$9:$A$63,0),48)</f>
        <v/>
      </c>
      <c r="F1287" s="73"/>
      <c r="I1287" s="64"/>
      <c r="J1287" s="64"/>
    </row>
    <row r="1288" spans="1:10" ht="21" customHeight="1">
      <c r="A1288" s="72" t="s">
        <v>209</v>
      </c>
      <c r="B1288" s="72" t="s">
        <v>206</v>
      </c>
      <c r="C1288" s="74" t="str">
        <f>IF(INDEX('TH CANAM'!$A$9:$BF$63,MATCH(PDNam!$F1306,'TH CANAM'!$A$9:$A$63,0),49)="Tb","Trung bình",INDEX('TH CANAM'!$A$9:$BF$63,MATCH(PDNam!$F1306,'TH CANAM'!$A$9:$A$63,0),49))</f>
        <v>Giỏi</v>
      </c>
      <c r="D1288" s="74" t="str">
        <f>IF(INDEX('TH CANAM'!$A$9:$BF$63,MATCH(PDNam!$F1306,'TH CANAM'!$A$9:$A$63,0),50)="Tb","Trung bình",INDEX('TH CANAM'!$A$9:$BF$63,MATCH(PDNam!$F1306,'TH CANAM'!$A$9:$A$63,0),50))</f>
        <v/>
      </c>
      <c r="E1288" s="74" t="str">
        <f>IF(INDEX('TH CANAM'!$A$9:$BF$63,MATCH(PDNam!$F1306,'TH CANAM'!$A$9:$A$63,0),51)="Tb","Trung bình",INDEX('TH CANAM'!$A$9:$BF$63,MATCH(PDNam!$F1306,'TH CANAM'!$A$9:$A$63,0),51))</f>
        <v/>
      </c>
      <c r="F1288" s="73"/>
    </row>
    <row r="1289" spans="1:10" ht="21" customHeight="1">
      <c r="A1289" s="72" t="s">
        <v>210</v>
      </c>
      <c r="B1289" s="72" t="s">
        <v>207</v>
      </c>
      <c r="C1289" s="74" t="str">
        <f>INDEX('TH CANAM'!$A$9:$BF$63,MATCH(PDNam!$F1306,'TH CANAM'!$A$9:$A$63,0),52)</f>
        <v>Tốt</v>
      </c>
      <c r="D1289" s="74" t="str">
        <f>INDEX('TH CANAM'!$A$9:$BF$63,MATCH(PDNam!$F1306,'TH CANAM'!$A$9:$A$63,0),53)</f>
        <v/>
      </c>
      <c r="E1289" s="74" t="str">
        <f>INDEX('TH CANAM'!$A$9:$BF$63,MATCH(PDNam!$F1306,'TH CANAM'!$A$9:$A$63,0),54)</f>
        <v/>
      </c>
      <c r="F1289" s="73"/>
    </row>
    <row r="1290" spans="1:10" ht="21" customHeight="1">
      <c r="A1290" s="72" t="s">
        <v>211</v>
      </c>
      <c r="B1290" s="72" t="s">
        <v>25</v>
      </c>
      <c r="C1290" s="74" t="str">
        <f>IF(INDEX('TH CANAM'!$A$9:$BF$63,MATCH(PDNam!$F1306,'TH CANAM'!$A$9:$A$63,0),57)&lt;&gt;"",INDEX('TH CANAM'!$A$9:$BF$63,MATCH(PDNam!$F1306,'TH CANAM'!$A$9:$A$63,0),57),"/")</f>
        <v>HSG</v>
      </c>
      <c r="D1290" s="74" t="str">
        <f>IF(INDEX('TH CANAM'!$A$9:$BF$63,MATCH(PDNam!$F1306,'TH CANAM'!$A$9:$A$63,0),58)&lt;&gt;"",INDEX('TH CANAM'!$A$9:$BF$63,MATCH(PDNam!$F1306,'TH CANAM'!$A$9:$A$63,0),58),"/")</f>
        <v>/</v>
      </c>
      <c r="E1290" s="74" t="str">
        <f>IF(INDEX('TH CANAM'!$A$9:$BF$63,MATCH(PDNam!$F1306,'TH CANAM'!$A$9:$A$63,0),55)&lt;&gt;"",INDEX('TH CANAM'!$A$9:$BF$63,MATCH(PDNam!$F1306,'TH CANAM'!$A$9:$A$63,0),55),"/")</f>
        <v>/</v>
      </c>
      <c r="F1290" s="73"/>
    </row>
    <row r="1291" spans="1:10" s="60" customFormat="1" ht="9" customHeight="1">
      <c r="A1291" s="67"/>
      <c r="B1291" s="67"/>
      <c r="C1291" s="1132"/>
      <c r="D1291" s="1132"/>
      <c r="E1291" s="67"/>
      <c r="F1291" s="67"/>
    </row>
    <row r="1292" spans="1:10" s="60" customFormat="1" ht="18.75" customHeight="1">
      <c r="A1292" s="58" t="s">
        <v>219</v>
      </c>
      <c r="B1292" s="57"/>
      <c r="C1292" s="57"/>
      <c r="D1292" s="57"/>
      <c r="E1292" s="57"/>
      <c r="F1292" s="475"/>
    </row>
    <row r="1293" spans="1:10" s="60" customFormat="1" ht="18.75" customHeight="1">
      <c r="A1293" s="59" t="str">
        <f>IF(F1306&lt;&gt;"",IF(INDEX(BDHK2,MATCH(F1306,DiemHKII!$B$4:$B$58,0),137)&lt;&gt;""," - "&amp;INDEX(BDHK2,MATCH(F1306,DiemHKII!$B$4:$B$58,0),137),""),"")</f>
        <v/>
      </c>
      <c r="B1293" s="57"/>
      <c r="C1293" s="57"/>
      <c r="D1293" s="57"/>
      <c r="E1293" s="57"/>
      <c r="F1293" s="475"/>
    </row>
    <row r="1294" spans="1:10" s="60" customFormat="1" ht="18.75" customHeight="1">
      <c r="A1294" s="59" t="str">
        <f>IF(F1306&lt;&gt;"",IF(INDEX(BDHK2,MATCH(F1306,DiemHKII!$B$4:$B$58,0),138)&lt;&gt;""," - "&amp;INDEX(BDHK2,MATCH(F1306,DiemHKII!$B$4:$B$58,0),138),""),"")</f>
        <v/>
      </c>
      <c r="B1294" s="57"/>
      <c r="C1294" s="57"/>
      <c r="D1294" s="57"/>
      <c r="E1294" s="57"/>
      <c r="F1294" s="475"/>
    </row>
    <row r="1295" spans="1:10" s="60" customFormat="1" ht="18.75" customHeight="1">
      <c r="A1295" s="59" t="str">
        <f>IF(F1306&lt;&gt;"",IF(INDEX(BDHK2,MATCH(F1306,DiemHKII!$B$4:$B$58,0),139)&lt;&gt;""," - "&amp;INDEX(BDHK2,MATCH(F1306,DiemHKII!$B$4:$B$58,0),139),""),"")</f>
        <v/>
      </c>
      <c r="B1295" s="57"/>
      <c r="C1295" s="57"/>
      <c r="D1295" s="57"/>
      <c r="E1295" s="57"/>
      <c r="F1295" s="475"/>
    </row>
    <row r="1296" spans="1:10" s="60" customFormat="1" ht="18.75" customHeight="1">
      <c r="A1296" s="59" t="str">
        <f>IF(F1306&lt;&gt;"",IF(INDEX(BDHK2,MATCH(F1306,DiemHKII!$B$4:$B$58,0),140)&lt;&gt;""," - "&amp;INDEX(BDHK2,MATCH(F1306,DiemHKII!$B$4:$B$58,0),140),""),"")</f>
        <v/>
      </c>
      <c r="B1296" s="57"/>
      <c r="C1296" s="57"/>
      <c r="D1296" s="57"/>
      <c r="E1296" s="57"/>
      <c r="F1296" s="67"/>
    </row>
    <row r="1297" spans="1:10" ht="6" customHeight="1">
      <c r="A1297" s="68"/>
      <c r="B1297" s="68"/>
      <c r="C1297" s="68"/>
      <c r="D1297" s="68"/>
      <c r="E1297" s="68"/>
      <c r="F1297" s="68"/>
    </row>
    <row r="1298" spans="1:10">
      <c r="A1298" s="68"/>
      <c r="B1298" s="68"/>
      <c r="C129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298" s="1060"/>
      <c r="E1298" s="1060"/>
      <c r="F1298" s="1060"/>
    </row>
    <row r="1299" spans="1:10" ht="20.25" customHeight="1">
      <c r="A1299" s="1012" t="str">
        <f>IF($D$39="Hiệu trưởng","Giáo viên Quản nhiệm","")</f>
        <v>Giáo viên Quản nhiệm</v>
      </c>
      <c r="B1299" s="1012"/>
      <c r="C1299" s="61"/>
      <c r="D1299" s="1012" t="str">
        <f>IF($H$7="","",$H$7)</f>
        <v>Hiệu trưởng</v>
      </c>
      <c r="E1299" s="1012"/>
      <c r="F1299" s="61"/>
    </row>
    <row r="1300" spans="1:10">
      <c r="A1300" s="68"/>
      <c r="B1300" s="68"/>
      <c r="C1300" s="68"/>
      <c r="D1300" s="68"/>
      <c r="E1300" s="68"/>
      <c r="F1300" s="68"/>
    </row>
    <row r="1301" spans="1:10">
      <c r="A1301" s="68"/>
      <c r="B1301" s="68"/>
      <c r="C1301" s="68"/>
      <c r="D1301" s="68"/>
      <c r="E1301" s="68"/>
      <c r="F1301" s="68"/>
    </row>
    <row r="1302" spans="1:10" ht="16.8">
      <c r="A1302" s="68"/>
      <c r="B1302" s="68"/>
      <c r="C1302" s="64"/>
      <c r="D1302" s="64"/>
      <c r="E1302" s="64"/>
      <c r="F1302" s="64"/>
      <c r="G1302" s="65"/>
      <c r="H1302" s="65"/>
      <c r="I1302" s="65"/>
      <c r="J1302" s="65"/>
    </row>
    <row r="1304" spans="1:10">
      <c r="A1304" s="1012" t="str">
        <f>IF($A$39="","",PROPER('Huong dan'!$C$4))</f>
        <v/>
      </c>
      <c r="B1304" s="1012"/>
      <c r="D1304" s="1130" t="str">
        <f>IFERROR(IF($D$39="Giáo Viên Quản nhiệm",PROPER('Huong dan'!$C$4),IF($D$39="Hiệu trưởng",PROPER('Huong dan'!$E$5),"")),"")</f>
        <v/>
      </c>
      <c r="E1304" s="1130"/>
    </row>
    <row r="1305" spans="1:10" ht="7.5" customHeight="1"/>
    <row r="1306" spans="1:10" ht="11.25" customHeight="1">
      <c r="A1306" s="75"/>
      <c r="B1306" s="75"/>
      <c r="C1306" s="75"/>
      <c r="D1306" s="75"/>
      <c r="E1306" s="75"/>
      <c r="F1306" s="76">
        <f>IF(F1261="","",IF(F1261&lt;MAX(DiemHKII!$B$4:$B$58),F1261+1,""))</f>
        <v>29</v>
      </c>
    </row>
    <row r="1307" spans="1:10" s="60" customFormat="1" ht="22.5" customHeight="1">
      <c r="A1307" s="1128" t="str">
        <f>IF('Huong dan'!$E$3&lt;&gt;"","SỞ GIÁO DỤC VÀ ĐÀO TẠO "&amp;UPPER('Huong dan'!$E$3),"")</f>
        <v>SỞ GIÁO DỤC VÀ ĐÀO TẠO TP. HỒ CHÍ MINH</v>
      </c>
      <c r="B1307" s="1128"/>
      <c r="C1307" s="1128"/>
      <c r="D1307" s="1129" t="s">
        <v>19</v>
      </c>
      <c r="E1307" s="1129"/>
      <c r="F1307" s="1129"/>
    </row>
    <row r="1308" spans="1:10" ht="17.25" customHeight="1">
      <c r="A1308" s="992" t="str">
        <f>IF('Huong dan'!$E$4&lt;&gt;"","TRƯỜNG "&amp;UPPER('Huong dan'!$E$4),"")</f>
        <v>TRƯỜNG THCS VÀ THPT NGUYỄN KHUYẾN</v>
      </c>
      <c r="B1308" s="992"/>
      <c r="C1308" s="992"/>
      <c r="D1308" s="1130" t="s">
        <v>179</v>
      </c>
      <c r="E1308" s="1130"/>
      <c r="F1308" s="1130"/>
    </row>
    <row r="1309" spans="1:10" ht="12" customHeight="1">
      <c r="A1309" s="69"/>
      <c r="B1309" s="69"/>
      <c r="C1309" s="30"/>
      <c r="D1309" s="30"/>
      <c r="E1309" s="30"/>
      <c r="F1309" s="30"/>
    </row>
    <row r="1310" spans="1:10" ht="18" customHeight="1">
      <c r="A1310" s="69"/>
      <c r="B1310" s="69"/>
      <c r="C1310" s="30"/>
      <c r="D1310" s="30"/>
      <c r="E1310" s="30"/>
      <c r="F1310" s="30"/>
    </row>
    <row r="1311" spans="1:10" ht="29.25" customHeight="1">
      <c r="A1311" s="1013" t="str">
        <f>"PHIẾU ĐIỂM NĂM HỌC "&amp;'Huong dan'!$C$5</f>
        <v>PHIẾU ĐIỂM NĂM HỌC 2021 - 2022</v>
      </c>
      <c r="B1311" s="1013"/>
      <c r="C1311" s="1013"/>
      <c r="D1311" s="1013"/>
      <c r="E1311" s="1013"/>
      <c r="F1311" s="1013"/>
    </row>
    <row r="1312" spans="1:10" ht="12.75" customHeight="1">
      <c r="A1312" s="70"/>
      <c r="B1312" s="66"/>
      <c r="C1312" s="66"/>
      <c r="D1312" s="66"/>
      <c r="E1312" s="66"/>
      <c r="F1312" s="66"/>
    </row>
    <row r="1313" spans="1:10" ht="20.25" customHeight="1">
      <c r="A1313" s="1131" t="s">
        <v>212</v>
      </c>
      <c r="B1313" s="1131"/>
      <c r="C1313" s="77" t="str">
        <f>IF(F1351="","",INDEX(DiemHKII!$E$4:$E$58,MATCH(F1351,DiemHKII!$B$4:$B$58,0),1)&amp;" "&amp;INDEX(DiemHKII!$F$4:$F$58,MATCH(F1351,DiemHKII!$B$4:$B$58,0),1))</f>
        <v>Nguyễn Thái Sơn</v>
      </c>
      <c r="D1313" s="77"/>
      <c r="E1313" s="77"/>
      <c r="F1313" s="71" t="str">
        <f>IF('Huong dan'!$C$3="","","Lớp: "&amp;'Huong dan'!$C$3)</f>
        <v>Lớp: 12A1</v>
      </c>
    </row>
    <row r="1314" spans="1:10" ht="24" customHeight="1">
      <c r="A1314" s="1131" t="s">
        <v>213</v>
      </c>
      <c r="B1314" s="1131"/>
      <c r="C1314" s="77" t="str">
        <f>IF(F1351="","",INDEX(DiemHKII!$G$4:$G$58,MATCH(F1351,DiemHKII!$B$4:$B$58,0),1))</f>
        <v>14/04/2004</v>
      </c>
      <c r="D1314" s="77"/>
      <c r="E1314" s="1133" t="str">
        <f>IF(F1351="","","Nơi sinh: "&amp;INDEX(DiemHKII!$H$4:$H$58,MATCH(F1351,DiemHKII!$B$4:$B$58,0),1))</f>
        <v xml:space="preserve">Nơi sinh: </v>
      </c>
      <c r="F1314" s="1133"/>
    </row>
    <row r="1315" spans="1:10" ht="15" customHeight="1">
      <c r="A1315" s="62"/>
      <c r="B1315" s="62"/>
      <c r="C1315" s="62"/>
      <c r="D1315" s="62"/>
      <c r="E1315" s="62"/>
      <c r="F1315" s="63"/>
    </row>
    <row r="1316" spans="1:10" ht="21" customHeight="1">
      <c r="A1316" s="1134" t="s">
        <v>0</v>
      </c>
      <c r="B1316" s="1134" t="s">
        <v>72</v>
      </c>
      <c r="C1316" s="1134" t="s">
        <v>216</v>
      </c>
      <c r="D1316" s="1134"/>
      <c r="E1316" s="1134"/>
      <c r="F1316" s="1134" t="s">
        <v>148</v>
      </c>
    </row>
    <row r="1317" spans="1:10" ht="21" customHeight="1">
      <c r="A1317" s="1134"/>
      <c r="B1317" s="1134"/>
      <c r="C1317" s="476" t="s">
        <v>188</v>
      </c>
      <c r="D1317" s="476" t="s">
        <v>189</v>
      </c>
      <c r="E1317" s="476" t="s">
        <v>190</v>
      </c>
      <c r="F1317" s="1134"/>
    </row>
    <row r="1318" spans="1:10" ht="21" customHeight="1">
      <c r="A1318" s="72" t="s">
        <v>191</v>
      </c>
      <c r="B1318" s="73" t="s">
        <v>26</v>
      </c>
      <c r="C1318" s="74" t="str">
        <f>INDEX('TH CANAM'!$A$9:$BF$63,MATCH(PDNam!$F1351,'TH CANAM'!$A$9:$A$63,0),INDEX($J$13:$M$30,MATCH($B1318,$J$13:$J$30,0),K$12))</f>
        <v/>
      </c>
      <c r="D1318" s="74" t="str">
        <f>INDEX('TH CANAM'!$A$9:$BF$63,MATCH(PDNam!$F1351,'TH CANAM'!$A$9:$A$63,0),INDEX($J$13:$M$30,MATCH($B1318,$J$13:$J$30,0),L$12))</f>
        <v/>
      </c>
      <c r="E1318" s="74" t="str">
        <f>INDEX('TH CANAM'!$A$9:$BF$63,MATCH(PDNam!$F1351,'TH CANAM'!$A$9:$A$63,0),INDEX($J$13:$M$30,MATCH($B1318,$J$13:$J$30,0),M$12))</f>
        <v/>
      </c>
      <c r="F1318" s="73"/>
      <c r="I1318" s="64"/>
      <c r="J1318" s="64"/>
    </row>
    <row r="1319" spans="1:10" ht="21" customHeight="1">
      <c r="A1319" s="72" t="s">
        <v>192</v>
      </c>
      <c r="B1319" s="73" t="s">
        <v>27</v>
      </c>
      <c r="C1319" s="74" t="str">
        <f>INDEX('TH CANAM'!$A$9:$BF$63,MATCH(PDNam!$F1351,'TH CANAM'!$A$9:$A$63,0),INDEX($J$13:$M$30,MATCH($B1319,$J$13:$J$30,0),K$12))</f>
        <v/>
      </c>
      <c r="D1319" s="74" t="str">
        <f>INDEX('TH CANAM'!$A$9:$BF$63,MATCH(PDNam!$F1351,'TH CANAM'!$A$9:$A$63,0),INDEX($J$13:$M$30,MATCH($B1319,$J$13:$J$30,0),L$12))</f>
        <v/>
      </c>
      <c r="E1319" s="74" t="str">
        <f>INDEX('TH CANAM'!$A$9:$BF$63,MATCH(PDNam!$F1351,'TH CANAM'!$A$9:$A$63,0),INDEX($J$13:$M$30,MATCH($B1319,$J$13:$J$30,0),M$12))</f>
        <v/>
      </c>
      <c r="F1319" s="73"/>
      <c r="I1319" s="64"/>
      <c r="J1319" s="64"/>
    </row>
    <row r="1320" spans="1:10" ht="21" customHeight="1">
      <c r="A1320" s="72" t="s">
        <v>193</v>
      </c>
      <c r="B1320" s="73" t="s">
        <v>28</v>
      </c>
      <c r="C1320" s="74" t="str">
        <f>INDEX('TH CANAM'!$A$9:$BF$63,MATCH(PDNam!$F1351,'TH CANAM'!$A$9:$A$63,0),INDEX($J$13:$M$30,MATCH($B1320,$J$13:$J$30,0),K$12))</f>
        <v/>
      </c>
      <c r="D1320" s="74" t="str">
        <f>INDEX('TH CANAM'!$A$9:$BF$63,MATCH(PDNam!$F1351,'TH CANAM'!$A$9:$A$63,0),INDEX($J$13:$M$30,MATCH($B1320,$J$13:$J$30,0),L$12))</f>
        <v/>
      </c>
      <c r="E1320" s="74" t="str">
        <f>INDEX('TH CANAM'!$A$9:$BF$63,MATCH(PDNam!$F1351,'TH CANAM'!$A$9:$A$63,0),INDEX($J$13:$M$30,MATCH($B1320,$J$13:$J$30,0),M$12))</f>
        <v/>
      </c>
      <c r="F1320" s="73"/>
      <c r="I1320" s="64"/>
      <c r="J1320" s="64"/>
    </row>
    <row r="1321" spans="1:10" ht="21" customHeight="1">
      <c r="A1321" s="72" t="s">
        <v>194</v>
      </c>
      <c r="B1321" s="73" t="s">
        <v>29</v>
      </c>
      <c r="C1321" s="74" t="str">
        <f>INDEX('TH CANAM'!$A$9:$BF$63,MATCH(PDNam!$F1351,'TH CANAM'!$A$9:$A$63,0),INDEX($J$13:$M$30,MATCH($B1321,$J$13:$J$30,0),K$12))</f>
        <v/>
      </c>
      <c r="D1321" s="74" t="str">
        <f>INDEX('TH CANAM'!$A$9:$BF$63,MATCH(PDNam!$F1351,'TH CANAM'!$A$9:$A$63,0),INDEX($J$13:$M$30,MATCH($B1321,$J$13:$J$30,0),L$12))</f>
        <v/>
      </c>
      <c r="E1321" s="74" t="str">
        <f>INDEX('TH CANAM'!$A$9:$BF$63,MATCH(PDNam!$F1351,'TH CANAM'!$A$9:$A$63,0),INDEX($J$13:$M$30,MATCH($B1321,$J$13:$J$30,0),M$12))</f>
        <v/>
      </c>
      <c r="F1321" s="73"/>
      <c r="I1321" s="64"/>
      <c r="J1321" s="64"/>
    </row>
    <row r="1322" spans="1:10" ht="21" customHeight="1">
      <c r="A1322" s="72" t="s">
        <v>195</v>
      </c>
      <c r="B1322" s="73" t="s">
        <v>120</v>
      </c>
      <c r="C1322" s="74" t="str">
        <f>INDEX('TH CANAM'!$A$9:$BF$63,MATCH(PDNam!$F1351,'TH CANAM'!$A$9:$A$63,0),INDEX($J$13:$M$30,MATCH($B1322,$J$13:$J$30,0),K$12))</f>
        <v/>
      </c>
      <c r="D1322" s="74" t="str">
        <f>INDEX('TH CANAM'!$A$9:$BF$63,MATCH(PDNam!$F1351,'TH CANAM'!$A$9:$A$63,0),INDEX($J$13:$M$30,MATCH($B1322,$J$13:$J$30,0),L$12))</f>
        <v/>
      </c>
      <c r="E1322" s="74" t="str">
        <f>INDEX('TH CANAM'!$A$9:$BF$63,MATCH(PDNam!$F1351,'TH CANAM'!$A$9:$A$63,0),INDEX($J$13:$M$30,MATCH($B1322,$J$13:$J$30,0),M$12))</f>
        <v/>
      </c>
      <c r="F1322" s="73"/>
      <c r="I1322" s="64"/>
      <c r="J1322" s="64"/>
    </row>
    <row r="1323" spans="1:10" ht="21" customHeight="1">
      <c r="A1323" s="72" t="s">
        <v>196</v>
      </c>
      <c r="B1323" s="73" t="s">
        <v>30</v>
      </c>
      <c r="C1323" s="74" t="str">
        <f>INDEX('TH CANAM'!$A$9:$BF$63,MATCH(PDNam!$F1351,'TH CANAM'!$A$9:$A$63,0),INDEX($J$13:$M$30,MATCH($B1323,$J$13:$J$30,0),K$12))</f>
        <v/>
      </c>
      <c r="D1323" s="74" t="str">
        <f>INDEX('TH CANAM'!$A$9:$BF$63,MATCH(PDNam!$F1351,'TH CANAM'!$A$9:$A$63,0),INDEX($J$13:$M$30,MATCH($B1323,$J$13:$J$30,0),L$12))</f>
        <v/>
      </c>
      <c r="E1323" s="74" t="str">
        <f>INDEX('TH CANAM'!$A$9:$BF$63,MATCH(PDNam!$F1351,'TH CANAM'!$A$9:$A$63,0),INDEX($J$13:$M$30,MATCH($B1323,$J$13:$J$30,0),M$12))</f>
        <v/>
      </c>
      <c r="F1323" s="73"/>
      <c r="I1323" s="64"/>
      <c r="J1323" s="64"/>
    </row>
    <row r="1324" spans="1:10" ht="21" customHeight="1">
      <c r="A1324" s="72" t="s">
        <v>197</v>
      </c>
      <c r="B1324" s="73" t="s">
        <v>31</v>
      </c>
      <c r="C1324" s="74" t="str">
        <f>INDEX('TH CANAM'!$A$9:$BF$63,MATCH(PDNam!$F1351,'TH CANAM'!$A$9:$A$63,0),INDEX($J$13:$M$30,MATCH($B1324,$J$13:$J$30,0),K$12))</f>
        <v/>
      </c>
      <c r="D1324" s="74" t="str">
        <f>INDEX('TH CANAM'!$A$9:$BF$63,MATCH(PDNam!$F1351,'TH CANAM'!$A$9:$A$63,0),INDEX($J$13:$M$30,MATCH($B1324,$J$13:$J$30,0),L$12))</f>
        <v/>
      </c>
      <c r="E1324" s="74" t="str">
        <f>INDEX('TH CANAM'!$A$9:$BF$63,MATCH(PDNam!$F1351,'TH CANAM'!$A$9:$A$63,0),INDEX($J$13:$M$30,MATCH($B1324,$J$13:$J$30,0),M$12))</f>
        <v/>
      </c>
      <c r="F1324" s="73"/>
      <c r="I1324" s="64"/>
      <c r="J1324" s="64"/>
    </row>
    <row r="1325" spans="1:10" ht="21" customHeight="1">
      <c r="A1325" s="72" t="s">
        <v>198</v>
      </c>
      <c r="B1325" s="73" t="s">
        <v>32</v>
      </c>
      <c r="C1325" s="74" t="str">
        <f>INDEX('TH CANAM'!$A$9:$BF$63,MATCH(PDNam!$F1351,'TH CANAM'!$A$9:$A$63,0),INDEX($J$13:$M$30,MATCH($B1325,$J$13:$J$30,0),K$12))</f>
        <v/>
      </c>
      <c r="D1325" s="74" t="str">
        <f>INDEX('TH CANAM'!$A$9:$BF$63,MATCH(PDNam!$F1351,'TH CANAM'!$A$9:$A$63,0),INDEX($J$13:$M$30,MATCH($B1325,$J$13:$J$30,0),L$12))</f>
        <v/>
      </c>
      <c r="E1325" s="74" t="str">
        <f>INDEX('TH CANAM'!$A$9:$BF$63,MATCH(PDNam!$F1351,'TH CANAM'!$A$9:$A$63,0),INDEX($J$13:$M$30,MATCH($B1325,$J$13:$J$30,0),M$12))</f>
        <v/>
      </c>
      <c r="F1325" s="73"/>
      <c r="I1325" s="64"/>
      <c r="J1325" s="64"/>
    </row>
    <row r="1326" spans="1:10" ht="21" customHeight="1">
      <c r="A1326" s="72" t="s">
        <v>199</v>
      </c>
      <c r="B1326" s="73" t="s">
        <v>33</v>
      </c>
      <c r="C1326" s="74" t="str">
        <f>INDEX('TH CANAM'!$A$9:$BF$63,MATCH(PDNam!$F1351,'TH CANAM'!$A$9:$A$63,0),INDEX($J$13:$M$30,MATCH($B1326,$J$13:$J$30,0),K$12))</f>
        <v/>
      </c>
      <c r="D1326" s="74" t="str">
        <f>INDEX('TH CANAM'!$A$9:$BF$63,MATCH(PDNam!$F1351,'TH CANAM'!$A$9:$A$63,0),INDEX($J$13:$M$30,MATCH($B1326,$J$13:$J$30,0),L$12))</f>
        <v/>
      </c>
      <c r="E1326" s="74" t="str">
        <f>INDEX('TH CANAM'!$A$9:$BF$63,MATCH(PDNam!$F1351,'TH CANAM'!$A$9:$A$63,0),INDEX($J$13:$M$30,MATCH($B1326,$J$13:$J$30,0),M$12))</f>
        <v/>
      </c>
      <c r="F1326" s="73"/>
      <c r="I1326" s="64"/>
      <c r="J1326" s="64"/>
    </row>
    <row r="1327" spans="1:10" ht="21" customHeight="1">
      <c r="A1327" s="72" t="s">
        <v>200</v>
      </c>
      <c r="B1327" s="73" t="s">
        <v>60</v>
      </c>
      <c r="C1327" s="74" t="str">
        <f>INDEX('TH CANAM'!$A$9:$BF$63,MATCH(PDNam!$F1351,'TH CANAM'!$A$9:$A$63,0),INDEX($J$13:$M$30,MATCH($B1327,$J$13:$J$30,0),K$12))</f>
        <v/>
      </c>
      <c r="D1327" s="74" t="str">
        <f>INDEX('TH CANAM'!$A$9:$BF$63,MATCH(PDNam!$F1351,'TH CANAM'!$A$9:$A$63,0),INDEX($J$13:$M$30,MATCH($B1327,$J$13:$J$30,0),L$12))</f>
        <v/>
      </c>
      <c r="E1327" s="74" t="str">
        <f>INDEX('TH CANAM'!$A$9:$BF$63,MATCH(PDNam!$F1351,'TH CANAM'!$A$9:$A$63,0),INDEX($J$13:$M$30,MATCH($B1327,$J$13:$J$30,0),M$12))</f>
        <v/>
      </c>
      <c r="F1327" s="73"/>
      <c r="I1327" s="64"/>
      <c r="J1327" s="64"/>
    </row>
    <row r="1328" spans="1:10" ht="21" customHeight="1">
      <c r="A1328" s="72" t="s">
        <v>201</v>
      </c>
      <c r="B1328" s="73" t="s">
        <v>34</v>
      </c>
      <c r="C1328" s="74" t="str">
        <f>INDEX('TH CANAM'!$A$9:$BF$63,MATCH(PDNam!$F1351,'TH CANAM'!$A$9:$A$63,0),INDEX($J$13:$M$30,MATCH($B1328,$J$13:$J$30,0),K$12))</f>
        <v/>
      </c>
      <c r="D1328" s="74" t="str">
        <f>INDEX('TH CANAM'!$A$9:$BF$63,MATCH(PDNam!$F1351,'TH CANAM'!$A$9:$A$63,0),INDEX($J$13:$M$30,MATCH($B1328,$J$13:$J$30,0),L$12))</f>
        <v/>
      </c>
      <c r="E1328" s="74" t="str">
        <f>INDEX('TH CANAM'!$A$9:$BF$63,MATCH(PDNam!$F1351,'TH CANAM'!$A$9:$A$63,0),INDEX($J$13:$M$30,MATCH($B1328,$J$13:$J$30,0),M$12))</f>
        <v/>
      </c>
      <c r="F1328" s="73"/>
      <c r="I1328" s="64"/>
      <c r="J1328" s="64"/>
    </row>
    <row r="1329" spans="1:10" ht="21" customHeight="1">
      <c r="A1329" s="72" t="s">
        <v>202</v>
      </c>
      <c r="B1329" s="73" t="s">
        <v>35</v>
      </c>
      <c r="C1329" s="74" t="str">
        <f>INDEX('TH CANAM'!$A$9:$BF$63,MATCH(PDNam!$F1351,'TH CANAM'!$A$9:$A$63,0),INDEX($J$13:$M$30,MATCH($B1329,$J$13:$J$30,0),K$12))</f>
        <v/>
      </c>
      <c r="D1329" s="74" t="str">
        <f>INDEX('TH CANAM'!$A$9:$BF$63,MATCH(PDNam!$F1351,'TH CANAM'!$A$9:$A$63,0),INDEX($J$13:$M$30,MATCH($B1329,$J$13:$J$30,0),L$12))</f>
        <v/>
      </c>
      <c r="E1329" s="74" t="str">
        <f>INDEX('TH CANAM'!$A$9:$BF$63,MATCH(PDNam!$F1351,'TH CANAM'!$A$9:$A$63,0),INDEX($J$13:$M$30,MATCH($B1329,$J$13:$J$30,0),M$12))</f>
        <v/>
      </c>
      <c r="F1329" s="73"/>
      <c r="I1329" s="64"/>
      <c r="J1329" s="64"/>
    </row>
    <row r="1330" spans="1:10" ht="21" customHeight="1">
      <c r="A1330" s="72" t="s">
        <v>203</v>
      </c>
      <c r="B1330" s="73" t="s">
        <v>121</v>
      </c>
      <c r="C1330" s="74" t="str">
        <f>INDEX('TH CANAM'!$A$9:$BF$63,MATCH(PDNam!$F1351,'TH CANAM'!$A$9:$A$63,0),INDEX($J$13:$M$30,MATCH($B1330,$J$13:$J$30,0),K$12))</f>
        <v/>
      </c>
      <c r="D1330" s="74" t="str">
        <f>INDEX('TH CANAM'!$A$9:$BF$63,MATCH(PDNam!$F1351,'TH CANAM'!$A$9:$A$63,0),INDEX($J$13:$M$30,MATCH($B1330,$J$13:$J$30,0),L$12))</f>
        <v/>
      </c>
      <c r="E1330" s="74" t="str">
        <f>INDEX('TH CANAM'!$A$9:$BF$63,MATCH(PDNam!$F1351,'TH CANAM'!$A$9:$A$63,0),INDEX($J$13:$M$30,MATCH($B1330,$J$13:$J$30,0),M$12))</f>
        <v/>
      </c>
      <c r="F1330" s="73"/>
      <c r="I1330" s="64"/>
      <c r="J1330" s="64"/>
    </row>
    <row r="1331" spans="1:10" ht="21" customHeight="1">
      <c r="A1331" s="72" t="s">
        <v>204</v>
      </c>
      <c r="B1331" s="73" t="s">
        <v>122</v>
      </c>
      <c r="C1331" s="74" t="str">
        <f>INDEX('TH CANAM'!$A$9:$BF$63,MATCH(PDNam!$F1351,'TH CANAM'!$A$9:$A$63,0),INDEX($J$13:$M$30,MATCH($B1331,$J$13:$J$30,0),K$12))</f>
        <v/>
      </c>
      <c r="D1331" s="74" t="str">
        <f>INDEX('TH CANAM'!$A$9:$BF$63,MATCH(PDNam!$F1351,'TH CANAM'!$A$9:$A$63,0),INDEX($J$13:$M$30,MATCH($B1331,$J$13:$J$30,0),L$12))</f>
        <v/>
      </c>
      <c r="E1331" s="74" t="str">
        <f>INDEX('TH CANAM'!$A$9:$BF$63,MATCH(PDNam!$F1351,'TH CANAM'!$A$9:$A$63,0),INDEX($J$13:$M$30,MATCH($B1331,$J$13:$J$30,0),M$12))</f>
        <v/>
      </c>
      <c r="F1331" s="73"/>
      <c r="I1331" s="64"/>
      <c r="J1331" s="64"/>
    </row>
    <row r="1332" spans="1:10" ht="21" customHeight="1">
      <c r="A1332" s="72" t="s">
        <v>208</v>
      </c>
      <c r="B1332" s="73" t="s">
        <v>205</v>
      </c>
      <c r="C1332" s="78">
        <f>INDEX('TH CANAM'!$A$9:$BF$63,MATCH(PDNam!$F1351,'TH CANAM'!$A$9:$A$63,0),46)</f>
        <v>9.1999999999999993</v>
      </c>
      <c r="D1332" s="78" t="str">
        <f>INDEX('TH CANAM'!$A$9:$BF$63,MATCH(PDNam!$F1351,'TH CANAM'!$A$9:$A$63,0),47)</f>
        <v/>
      </c>
      <c r="E1332" s="78" t="str">
        <f>INDEX('TH CANAM'!$A$9:$BF$63,MATCH(PDNam!$F1351,'TH CANAM'!$A$9:$A$63,0),48)</f>
        <v/>
      </c>
      <c r="F1332" s="73"/>
      <c r="I1332" s="64"/>
      <c r="J1332" s="64"/>
    </row>
    <row r="1333" spans="1:10" ht="21" customHeight="1">
      <c r="A1333" s="72" t="s">
        <v>209</v>
      </c>
      <c r="B1333" s="72" t="s">
        <v>206</v>
      </c>
      <c r="C1333" s="74" t="str">
        <f>IF(INDEX('TH CANAM'!$A$9:$BF$63,MATCH(PDNam!$F1351,'TH CANAM'!$A$9:$A$63,0),49)="Tb","Trung bình",INDEX('TH CANAM'!$A$9:$BF$63,MATCH(PDNam!$F1351,'TH CANAM'!$A$9:$A$63,0),49))</f>
        <v>Giỏi</v>
      </c>
      <c r="D1333" s="74" t="str">
        <f>IF(INDEX('TH CANAM'!$A$9:$BF$63,MATCH(PDNam!$F1351,'TH CANAM'!$A$9:$A$63,0),50)="Tb","Trung bình",INDEX('TH CANAM'!$A$9:$BF$63,MATCH(PDNam!$F1351,'TH CANAM'!$A$9:$A$63,0),50))</f>
        <v/>
      </c>
      <c r="E1333" s="74" t="str">
        <f>IF(INDEX('TH CANAM'!$A$9:$BF$63,MATCH(PDNam!$F1351,'TH CANAM'!$A$9:$A$63,0),51)="Tb","Trung bình",INDEX('TH CANAM'!$A$9:$BF$63,MATCH(PDNam!$F1351,'TH CANAM'!$A$9:$A$63,0),51))</f>
        <v/>
      </c>
      <c r="F1333" s="73"/>
    </row>
    <row r="1334" spans="1:10" ht="21" customHeight="1">
      <c r="A1334" s="72" t="s">
        <v>210</v>
      </c>
      <c r="B1334" s="72" t="s">
        <v>207</v>
      </c>
      <c r="C1334" s="74" t="str">
        <f>INDEX('TH CANAM'!$A$9:$BF$63,MATCH(PDNam!$F1351,'TH CANAM'!$A$9:$A$63,0),52)</f>
        <v>Tốt</v>
      </c>
      <c r="D1334" s="74" t="str">
        <f>INDEX('TH CANAM'!$A$9:$BF$63,MATCH(PDNam!$F1351,'TH CANAM'!$A$9:$A$63,0),53)</f>
        <v/>
      </c>
      <c r="E1334" s="74" t="str">
        <f>INDEX('TH CANAM'!$A$9:$BF$63,MATCH(PDNam!$F1351,'TH CANAM'!$A$9:$A$63,0),54)</f>
        <v/>
      </c>
      <c r="F1334" s="73"/>
    </row>
    <row r="1335" spans="1:10" ht="21" customHeight="1">
      <c r="A1335" s="72" t="s">
        <v>211</v>
      </c>
      <c r="B1335" s="72" t="s">
        <v>25</v>
      </c>
      <c r="C1335" s="74" t="str">
        <f>IF(INDEX('TH CANAM'!$A$9:$BF$63,MATCH(PDNam!$F1351,'TH CANAM'!$A$9:$A$63,0),57)&lt;&gt;"",INDEX('TH CANAM'!$A$9:$BF$63,MATCH(PDNam!$F1351,'TH CANAM'!$A$9:$A$63,0),57),"/")</f>
        <v>HSG</v>
      </c>
      <c r="D1335" s="74" t="str">
        <f>IF(INDEX('TH CANAM'!$A$9:$BF$63,MATCH(PDNam!$F1351,'TH CANAM'!$A$9:$A$63,0),58)&lt;&gt;"",INDEX('TH CANAM'!$A$9:$BF$63,MATCH(PDNam!$F1351,'TH CANAM'!$A$9:$A$63,0),58),"/")</f>
        <v>/</v>
      </c>
      <c r="E1335" s="74" t="str">
        <f>IF(INDEX('TH CANAM'!$A$9:$BF$63,MATCH(PDNam!$F1351,'TH CANAM'!$A$9:$A$63,0),55)&lt;&gt;"",INDEX('TH CANAM'!$A$9:$BF$63,MATCH(PDNam!$F1351,'TH CANAM'!$A$9:$A$63,0),55),"/")</f>
        <v>/</v>
      </c>
      <c r="F1335" s="73"/>
    </row>
    <row r="1336" spans="1:10" s="60" customFormat="1" ht="9" customHeight="1">
      <c r="A1336" s="67"/>
      <c r="B1336" s="67"/>
      <c r="C1336" s="1132"/>
      <c r="D1336" s="1132"/>
      <c r="E1336" s="67"/>
      <c r="F1336" s="67"/>
    </row>
    <row r="1337" spans="1:10" s="60" customFormat="1" ht="18.75" customHeight="1">
      <c r="A1337" s="58" t="s">
        <v>219</v>
      </c>
      <c r="B1337" s="57"/>
      <c r="C1337" s="57"/>
      <c r="D1337" s="57"/>
      <c r="E1337" s="57"/>
      <c r="F1337" s="475"/>
    </row>
    <row r="1338" spans="1:10" s="60" customFormat="1" ht="18.75" customHeight="1">
      <c r="A1338" s="59" t="str">
        <f>IF(F1351&lt;&gt;"",IF(INDEX(BDHK2,MATCH(F1351,DiemHKII!$B$4:$B$58,0),137)&lt;&gt;""," - "&amp;INDEX(BDHK2,MATCH(F1351,DiemHKII!$B$4:$B$58,0),137),""),"")</f>
        <v/>
      </c>
      <c r="B1338" s="57"/>
      <c r="C1338" s="57"/>
      <c r="D1338" s="57"/>
      <c r="E1338" s="57"/>
      <c r="F1338" s="475"/>
    </row>
    <row r="1339" spans="1:10" s="60" customFormat="1" ht="18.75" customHeight="1">
      <c r="A1339" s="59" t="str">
        <f>IF(F1351&lt;&gt;"",IF(INDEX(BDHK2,MATCH(F1351,DiemHKII!$B$4:$B$58,0),138)&lt;&gt;""," - "&amp;INDEX(BDHK2,MATCH(F1351,DiemHKII!$B$4:$B$58,0),138),""),"")</f>
        <v/>
      </c>
      <c r="B1339" s="57"/>
      <c r="C1339" s="57"/>
      <c r="D1339" s="57"/>
      <c r="E1339" s="57"/>
      <c r="F1339" s="475"/>
    </row>
    <row r="1340" spans="1:10" s="60" customFormat="1" ht="18.75" customHeight="1">
      <c r="A1340" s="59" t="str">
        <f>IF(F1351&lt;&gt;"",IF(INDEX(BDHK2,MATCH(F1351,DiemHKII!$B$4:$B$58,0),139)&lt;&gt;""," - "&amp;INDEX(BDHK2,MATCH(F1351,DiemHKII!$B$4:$B$58,0),139),""),"")</f>
        <v/>
      </c>
      <c r="B1340" s="57"/>
      <c r="C1340" s="57"/>
      <c r="D1340" s="57"/>
      <c r="E1340" s="57"/>
      <c r="F1340" s="475"/>
    </row>
    <row r="1341" spans="1:10" s="60" customFormat="1" ht="18.75" customHeight="1">
      <c r="A1341" s="59" t="str">
        <f>IF(F1351&lt;&gt;"",IF(INDEX(BDHK2,MATCH(F1351,DiemHKII!$B$4:$B$58,0),140)&lt;&gt;""," - "&amp;INDEX(BDHK2,MATCH(F1351,DiemHKII!$B$4:$B$58,0),140),""),"")</f>
        <v/>
      </c>
      <c r="B1341" s="57"/>
      <c r="C1341" s="57"/>
      <c r="D1341" s="57"/>
      <c r="E1341" s="57"/>
      <c r="F1341" s="67"/>
    </row>
    <row r="1342" spans="1:10" ht="6" customHeight="1">
      <c r="A1342" s="68"/>
      <c r="B1342" s="68"/>
      <c r="C1342" s="68"/>
      <c r="D1342" s="68"/>
      <c r="E1342" s="68"/>
      <c r="F1342" s="68"/>
    </row>
    <row r="1343" spans="1:10">
      <c r="A1343" s="68"/>
      <c r="B1343" s="68"/>
      <c r="C134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343" s="1060"/>
      <c r="E1343" s="1060"/>
      <c r="F1343" s="1060"/>
    </row>
    <row r="1344" spans="1:10" ht="20.25" customHeight="1">
      <c r="A1344" s="1012" t="str">
        <f>IF($D$39="Hiệu trưởng","Giáo viên Quản nhiệm","")</f>
        <v>Giáo viên Quản nhiệm</v>
      </c>
      <c r="B1344" s="1012"/>
      <c r="C1344" s="61"/>
      <c r="D1344" s="1012" t="str">
        <f>IF($H$7="","",$H$7)</f>
        <v>Hiệu trưởng</v>
      </c>
      <c r="E1344" s="1012"/>
      <c r="F1344" s="61"/>
    </row>
    <row r="1345" spans="1:10">
      <c r="A1345" s="68"/>
      <c r="B1345" s="68"/>
      <c r="C1345" s="68"/>
      <c r="D1345" s="68"/>
      <c r="E1345" s="68"/>
      <c r="F1345" s="68"/>
    </row>
    <row r="1346" spans="1:10">
      <c r="A1346" s="68"/>
      <c r="B1346" s="68"/>
      <c r="C1346" s="68"/>
      <c r="D1346" s="68"/>
      <c r="E1346" s="68"/>
      <c r="F1346" s="68"/>
    </row>
    <row r="1347" spans="1:10" ht="16.8">
      <c r="A1347" s="68"/>
      <c r="B1347" s="68"/>
      <c r="C1347" s="64"/>
      <c r="D1347" s="64"/>
      <c r="E1347" s="64"/>
      <c r="F1347" s="64"/>
      <c r="G1347" s="65"/>
      <c r="H1347" s="65"/>
      <c r="I1347" s="65"/>
      <c r="J1347" s="65"/>
    </row>
    <row r="1349" spans="1:10">
      <c r="A1349" s="1012" t="str">
        <f>IF($A$39="","",PROPER('Huong dan'!$C$4))</f>
        <v/>
      </c>
      <c r="B1349" s="1012"/>
      <c r="D1349" s="1130" t="str">
        <f>IFERROR(IF($D$39="Giáo Viên Quản nhiệm",PROPER('Huong dan'!$C$4),IF($D$39="Hiệu trưởng",PROPER('Huong dan'!$E$5),"")),"")</f>
        <v/>
      </c>
      <c r="E1349" s="1130"/>
    </row>
    <row r="1350" spans="1:10" ht="7.5" customHeight="1"/>
    <row r="1351" spans="1:10" ht="11.25" customHeight="1">
      <c r="A1351" s="75"/>
      <c r="B1351" s="75"/>
      <c r="C1351" s="75"/>
      <c r="D1351" s="75"/>
      <c r="E1351" s="75"/>
      <c r="F1351" s="76">
        <f>IF(F1306="","",IF(F1306&lt;MAX(DiemHKII!$B$4:$B$58),F1306+1,""))</f>
        <v>30</v>
      </c>
    </row>
    <row r="1352" spans="1:10" s="60" customFormat="1" ht="22.5" customHeight="1">
      <c r="A1352" s="1128" t="str">
        <f>IF('Huong dan'!$E$3&lt;&gt;"","SỞ GIÁO DỤC VÀ ĐÀO TẠO "&amp;UPPER('Huong dan'!$E$3),"")</f>
        <v>SỞ GIÁO DỤC VÀ ĐÀO TẠO TP. HỒ CHÍ MINH</v>
      </c>
      <c r="B1352" s="1128"/>
      <c r="C1352" s="1128"/>
      <c r="D1352" s="1129" t="s">
        <v>19</v>
      </c>
      <c r="E1352" s="1129"/>
      <c r="F1352" s="1129"/>
    </row>
    <row r="1353" spans="1:10" ht="17.25" customHeight="1">
      <c r="A1353" s="992" t="str">
        <f>IF('Huong dan'!$E$4&lt;&gt;"","TRƯỜNG "&amp;UPPER('Huong dan'!$E$4),"")</f>
        <v>TRƯỜNG THCS VÀ THPT NGUYỄN KHUYẾN</v>
      </c>
      <c r="B1353" s="992"/>
      <c r="C1353" s="992"/>
      <c r="D1353" s="1130" t="s">
        <v>179</v>
      </c>
      <c r="E1353" s="1130"/>
      <c r="F1353" s="1130"/>
    </row>
    <row r="1354" spans="1:10" ht="12" customHeight="1">
      <c r="A1354" s="69"/>
      <c r="B1354" s="69"/>
      <c r="C1354" s="30"/>
      <c r="D1354" s="30"/>
      <c r="E1354" s="30"/>
      <c r="F1354" s="30"/>
    </row>
    <row r="1355" spans="1:10" ht="18" customHeight="1">
      <c r="A1355" s="69"/>
      <c r="B1355" s="69"/>
      <c r="C1355" s="30"/>
      <c r="D1355" s="30"/>
      <c r="E1355" s="30"/>
      <c r="F1355" s="30"/>
    </row>
    <row r="1356" spans="1:10" ht="29.25" customHeight="1">
      <c r="A1356" s="1013" t="str">
        <f>"PHIẾU ĐIỂM NĂM HỌC "&amp;'Huong dan'!$C$5</f>
        <v>PHIẾU ĐIỂM NĂM HỌC 2021 - 2022</v>
      </c>
      <c r="B1356" s="1013"/>
      <c r="C1356" s="1013"/>
      <c r="D1356" s="1013"/>
      <c r="E1356" s="1013"/>
      <c r="F1356" s="1013"/>
    </row>
    <row r="1357" spans="1:10" ht="12.75" customHeight="1">
      <c r="A1357" s="70"/>
      <c r="B1357" s="66"/>
      <c r="C1357" s="66"/>
      <c r="D1357" s="66"/>
      <c r="E1357" s="66"/>
      <c r="F1357" s="66"/>
    </row>
    <row r="1358" spans="1:10" ht="20.25" customHeight="1">
      <c r="A1358" s="1131" t="s">
        <v>212</v>
      </c>
      <c r="B1358" s="1131"/>
      <c r="C1358" s="77" t="str">
        <f>IF(F1396="","",INDEX(DiemHKII!$E$4:$E$58,MATCH(F1396,DiemHKII!$B$4:$B$58,0),1)&amp;" "&amp;INDEX(DiemHKII!$F$4:$F$58,MATCH(F1396,DiemHKII!$B$4:$B$58,0),1))</f>
        <v>Đặng Hoàng Tân</v>
      </c>
      <c r="D1358" s="77"/>
      <c r="E1358" s="77"/>
      <c r="F1358" s="71" t="str">
        <f>IF('Huong dan'!$C$3="","","Lớp: "&amp;'Huong dan'!$C$3)</f>
        <v>Lớp: 12A1</v>
      </c>
    </row>
    <row r="1359" spans="1:10" ht="24" customHeight="1">
      <c r="A1359" s="1131" t="s">
        <v>213</v>
      </c>
      <c r="B1359" s="1131"/>
      <c r="C1359" s="77" t="str">
        <f>IF(F1396="","",INDEX(DiemHKII!$G$4:$G$58,MATCH(F1396,DiemHKII!$B$4:$B$58,0),1))</f>
        <v>26/09/2004</v>
      </c>
      <c r="D1359" s="77"/>
      <c r="E1359" s="1133" t="str">
        <f>IF(F1396="","","Nơi sinh: "&amp;INDEX(DiemHKII!$H$4:$H$58,MATCH(F1396,DiemHKII!$B$4:$B$58,0),1))</f>
        <v xml:space="preserve">Nơi sinh: </v>
      </c>
      <c r="F1359" s="1133"/>
    </row>
    <row r="1360" spans="1:10" ht="15" customHeight="1">
      <c r="A1360" s="62"/>
      <c r="B1360" s="62"/>
      <c r="C1360" s="62"/>
      <c r="D1360" s="62"/>
      <c r="E1360" s="62"/>
      <c r="F1360" s="63"/>
    </row>
    <row r="1361" spans="1:10" ht="21" customHeight="1">
      <c r="A1361" s="1134" t="s">
        <v>0</v>
      </c>
      <c r="B1361" s="1134" t="s">
        <v>72</v>
      </c>
      <c r="C1361" s="1134" t="s">
        <v>216</v>
      </c>
      <c r="D1361" s="1134"/>
      <c r="E1361" s="1134"/>
      <c r="F1361" s="1134" t="s">
        <v>148</v>
      </c>
    </row>
    <row r="1362" spans="1:10" ht="21" customHeight="1">
      <c r="A1362" s="1134"/>
      <c r="B1362" s="1134"/>
      <c r="C1362" s="476" t="s">
        <v>188</v>
      </c>
      <c r="D1362" s="476" t="s">
        <v>189</v>
      </c>
      <c r="E1362" s="476" t="s">
        <v>190</v>
      </c>
      <c r="F1362" s="1134"/>
    </row>
    <row r="1363" spans="1:10" ht="21" customHeight="1">
      <c r="A1363" s="72" t="s">
        <v>191</v>
      </c>
      <c r="B1363" s="73" t="s">
        <v>26</v>
      </c>
      <c r="C1363" s="74" t="str">
        <f>INDEX('TH CANAM'!$A$9:$BF$63,MATCH(PDNam!$F1396,'TH CANAM'!$A$9:$A$63,0),INDEX($J$13:$M$30,MATCH($B1363,$J$13:$J$30,0),K$12))</f>
        <v/>
      </c>
      <c r="D1363" s="74" t="str">
        <f>INDEX('TH CANAM'!$A$9:$BF$63,MATCH(PDNam!$F1396,'TH CANAM'!$A$9:$A$63,0),INDEX($J$13:$M$30,MATCH($B1363,$J$13:$J$30,0),L$12))</f>
        <v/>
      </c>
      <c r="E1363" s="74" t="str">
        <f>INDEX('TH CANAM'!$A$9:$BF$63,MATCH(PDNam!$F1396,'TH CANAM'!$A$9:$A$63,0),INDEX($J$13:$M$30,MATCH($B1363,$J$13:$J$30,0),M$12))</f>
        <v/>
      </c>
      <c r="F1363" s="73"/>
      <c r="I1363" s="64"/>
      <c r="J1363" s="64"/>
    </row>
    <row r="1364" spans="1:10" ht="21" customHeight="1">
      <c r="A1364" s="72" t="s">
        <v>192</v>
      </c>
      <c r="B1364" s="73" t="s">
        <v>27</v>
      </c>
      <c r="C1364" s="74" t="str">
        <f>INDEX('TH CANAM'!$A$9:$BF$63,MATCH(PDNam!$F1396,'TH CANAM'!$A$9:$A$63,0),INDEX($J$13:$M$30,MATCH($B1364,$J$13:$J$30,0),K$12))</f>
        <v/>
      </c>
      <c r="D1364" s="74" t="str">
        <f>INDEX('TH CANAM'!$A$9:$BF$63,MATCH(PDNam!$F1396,'TH CANAM'!$A$9:$A$63,0),INDEX($J$13:$M$30,MATCH($B1364,$J$13:$J$30,0),L$12))</f>
        <v/>
      </c>
      <c r="E1364" s="74" t="str">
        <f>INDEX('TH CANAM'!$A$9:$BF$63,MATCH(PDNam!$F1396,'TH CANAM'!$A$9:$A$63,0),INDEX($J$13:$M$30,MATCH($B1364,$J$13:$J$30,0),M$12))</f>
        <v/>
      </c>
      <c r="F1364" s="73"/>
      <c r="I1364" s="64"/>
      <c r="J1364" s="64"/>
    </row>
    <row r="1365" spans="1:10" ht="21" customHeight="1">
      <c r="A1365" s="72" t="s">
        <v>193</v>
      </c>
      <c r="B1365" s="73" t="s">
        <v>28</v>
      </c>
      <c r="C1365" s="74" t="str">
        <f>INDEX('TH CANAM'!$A$9:$BF$63,MATCH(PDNam!$F1396,'TH CANAM'!$A$9:$A$63,0),INDEX($J$13:$M$30,MATCH($B1365,$J$13:$J$30,0),K$12))</f>
        <v/>
      </c>
      <c r="D1365" s="74" t="str">
        <f>INDEX('TH CANAM'!$A$9:$BF$63,MATCH(PDNam!$F1396,'TH CANAM'!$A$9:$A$63,0),INDEX($J$13:$M$30,MATCH($B1365,$J$13:$J$30,0),L$12))</f>
        <v/>
      </c>
      <c r="E1365" s="74" t="str">
        <f>INDEX('TH CANAM'!$A$9:$BF$63,MATCH(PDNam!$F1396,'TH CANAM'!$A$9:$A$63,0),INDEX($J$13:$M$30,MATCH($B1365,$J$13:$J$30,0),M$12))</f>
        <v/>
      </c>
      <c r="F1365" s="73"/>
      <c r="I1365" s="64"/>
      <c r="J1365" s="64"/>
    </row>
    <row r="1366" spans="1:10" ht="21" customHeight="1">
      <c r="A1366" s="72" t="s">
        <v>194</v>
      </c>
      <c r="B1366" s="73" t="s">
        <v>29</v>
      </c>
      <c r="C1366" s="74" t="str">
        <f>INDEX('TH CANAM'!$A$9:$BF$63,MATCH(PDNam!$F1396,'TH CANAM'!$A$9:$A$63,0),INDEX($J$13:$M$30,MATCH($B1366,$J$13:$J$30,0),K$12))</f>
        <v/>
      </c>
      <c r="D1366" s="74" t="str">
        <f>INDEX('TH CANAM'!$A$9:$BF$63,MATCH(PDNam!$F1396,'TH CANAM'!$A$9:$A$63,0),INDEX($J$13:$M$30,MATCH($B1366,$J$13:$J$30,0),L$12))</f>
        <v/>
      </c>
      <c r="E1366" s="74" t="str">
        <f>INDEX('TH CANAM'!$A$9:$BF$63,MATCH(PDNam!$F1396,'TH CANAM'!$A$9:$A$63,0),INDEX($J$13:$M$30,MATCH($B1366,$J$13:$J$30,0),M$12))</f>
        <v/>
      </c>
      <c r="F1366" s="73"/>
      <c r="I1366" s="64"/>
      <c r="J1366" s="64"/>
    </row>
    <row r="1367" spans="1:10" ht="21" customHeight="1">
      <c r="A1367" s="72" t="s">
        <v>195</v>
      </c>
      <c r="B1367" s="73" t="s">
        <v>120</v>
      </c>
      <c r="C1367" s="74" t="str">
        <f>INDEX('TH CANAM'!$A$9:$BF$63,MATCH(PDNam!$F1396,'TH CANAM'!$A$9:$A$63,0),INDEX($J$13:$M$30,MATCH($B1367,$J$13:$J$30,0),K$12))</f>
        <v/>
      </c>
      <c r="D1367" s="74" t="str">
        <f>INDEX('TH CANAM'!$A$9:$BF$63,MATCH(PDNam!$F1396,'TH CANAM'!$A$9:$A$63,0),INDEX($J$13:$M$30,MATCH($B1367,$J$13:$J$30,0),L$12))</f>
        <v/>
      </c>
      <c r="E1367" s="74" t="str">
        <f>INDEX('TH CANAM'!$A$9:$BF$63,MATCH(PDNam!$F1396,'TH CANAM'!$A$9:$A$63,0),INDEX($J$13:$M$30,MATCH($B1367,$J$13:$J$30,0),M$12))</f>
        <v/>
      </c>
      <c r="F1367" s="73"/>
      <c r="I1367" s="64"/>
      <c r="J1367" s="64"/>
    </row>
    <row r="1368" spans="1:10" ht="21" customHeight="1">
      <c r="A1368" s="72" t="s">
        <v>196</v>
      </c>
      <c r="B1368" s="73" t="s">
        <v>30</v>
      </c>
      <c r="C1368" s="74" t="str">
        <f>INDEX('TH CANAM'!$A$9:$BF$63,MATCH(PDNam!$F1396,'TH CANAM'!$A$9:$A$63,0),INDEX($J$13:$M$30,MATCH($B1368,$J$13:$J$30,0),K$12))</f>
        <v/>
      </c>
      <c r="D1368" s="74" t="str">
        <f>INDEX('TH CANAM'!$A$9:$BF$63,MATCH(PDNam!$F1396,'TH CANAM'!$A$9:$A$63,0),INDEX($J$13:$M$30,MATCH($B1368,$J$13:$J$30,0),L$12))</f>
        <v/>
      </c>
      <c r="E1368" s="74" t="str">
        <f>INDEX('TH CANAM'!$A$9:$BF$63,MATCH(PDNam!$F1396,'TH CANAM'!$A$9:$A$63,0),INDEX($J$13:$M$30,MATCH($B1368,$J$13:$J$30,0),M$12))</f>
        <v/>
      </c>
      <c r="F1368" s="73"/>
      <c r="I1368" s="64"/>
      <c r="J1368" s="64"/>
    </row>
    <row r="1369" spans="1:10" ht="21" customHeight="1">
      <c r="A1369" s="72" t="s">
        <v>197</v>
      </c>
      <c r="B1369" s="73" t="s">
        <v>31</v>
      </c>
      <c r="C1369" s="74" t="str">
        <f>INDEX('TH CANAM'!$A$9:$BF$63,MATCH(PDNam!$F1396,'TH CANAM'!$A$9:$A$63,0),INDEX($J$13:$M$30,MATCH($B1369,$J$13:$J$30,0),K$12))</f>
        <v/>
      </c>
      <c r="D1369" s="74" t="str">
        <f>INDEX('TH CANAM'!$A$9:$BF$63,MATCH(PDNam!$F1396,'TH CANAM'!$A$9:$A$63,0),INDEX($J$13:$M$30,MATCH($B1369,$J$13:$J$30,0),L$12))</f>
        <v/>
      </c>
      <c r="E1369" s="74" t="str">
        <f>INDEX('TH CANAM'!$A$9:$BF$63,MATCH(PDNam!$F1396,'TH CANAM'!$A$9:$A$63,0),INDEX($J$13:$M$30,MATCH($B1369,$J$13:$J$30,0),M$12))</f>
        <v/>
      </c>
      <c r="F1369" s="73"/>
      <c r="I1369" s="64"/>
      <c r="J1369" s="64"/>
    </row>
    <row r="1370" spans="1:10" ht="21" customHeight="1">
      <c r="A1370" s="72" t="s">
        <v>198</v>
      </c>
      <c r="B1370" s="73" t="s">
        <v>32</v>
      </c>
      <c r="C1370" s="74" t="str">
        <f>INDEX('TH CANAM'!$A$9:$BF$63,MATCH(PDNam!$F1396,'TH CANAM'!$A$9:$A$63,0),INDEX($J$13:$M$30,MATCH($B1370,$J$13:$J$30,0),K$12))</f>
        <v/>
      </c>
      <c r="D1370" s="74" t="str">
        <f>INDEX('TH CANAM'!$A$9:$BF$63,MATCH(PDNam!$F1396,'TH CANAM'!$A$9:$A$63,0),INDEX($J$13:$M$30,MATCH($B1370,$J$13:$J$30,0),L$12))</f>
        <v/>
      </c>
      <c r="E1370" s="74" t="str">
        <f>INDEX('TH CANAM'!$A$9:$BF$63,MATCH(PDNam!$F1396,'TH CANAM'!$A$9:$A$63,0),INDEX($J$13:$M$30,MATCH($B1370,$J$13:$J$30,0),M$12))</f>
        <v/>
      </c>
      <c r="F1370" s="73"/>
      <c r="I1370" s="64"/>
      <c r="J1370" s="64"/>
    </row>
    <row r="1371" spans="1:10" ht="21" customHeight="1">
      <c r="A1371" s="72" t="s">
        <v>199</v>
      </c>
      <c r="B1371" s="73" t="s">
        <v>33</v>
      </c>
      <c r="C1371" s="74" t="str">
        <f>INDEX('TH CANAM'!$A$9:$BF$63,MATCH(PDNam!$F1396,'TH CANAM'!$A$9:$A$63,0),INDEX($J$13:$M$30,MATCH($B1371,$J$13:$J$30,0),K$12))</f>
        <v/>
      </c>
      <c r="D1371" s="74" t="str">
        <f>INDEX('TH CANAM'!$A$9:$BF$63,MATCH(PDNam!$F1396,'TH CANAM'!$A$9:$A$63,0),INDEX($J$13:$M$30,MATCH($B1371,$J$13:$J$30,0),L$12))</f>
        <v/>
      </c>
      <c r="E1371" s="74" t="str">
        <f>INDEX('TH CANAM'!$A$9:$BF$63,MATCH(PDNam!$F1396,'TH CANAM'!$A$9:$A$63,0),INDEX($J$13:$M$30,MATCH($B1371,$J$13:$J$30,0),M$12))</f>
        <v/>
      </c>
      <c r="F1371" s="73"/>
      <c r="I1371" s="64"/>
      <c r="J1371" s="64"/>
    </row>
    <row r="1372" spans="1:10" ht="21" customHeight="1">
      <c r="A1372" s="72" t="s">
        <v>200</v>
      </c>
      <c r="B1372" s="73" t="s">
        <v>60</v>
      </c>
      <c r="C1372" s="74" t="str">
        <f>INDEX('TH CANAM'!$A$9:$BF$63,MATCH(PDNam!$F1396,'TH CANAM'!$A$9:$A$63,0),INDEX($J$13:$M$30,MATCH($B1372,$J$13:$J$30,0),K$12))</f>
        <v/>
      </c>
      <c r="D1372" s="74" t="str">
        <f>INDEX('TH CANAM'!$A$9:$BF$63,MATCH(PDNam!$F1396,'TH CANAM'!$A$9:$A$63,0),INDEX($J$13:$M$30,MATCH($B1372,$J$13:$J$30,0),L$12))</f>
        <v/>
      </c>
      <c r="E1372" s="74" t="str">
        <f>INDEX('TH CANAM'!$A$9:$BF$63,MATCH(PDNam!$F1396,'TH CANAM'!$A$9:$A$63,0),INDEX($J$13:$M$30,MATCH($B1372,$J$13:$J$30,0),M$12))</f>
        <v/>
      </c>
      <c r="F1372" s="73"/>
      <c r="I1372" s="64"/>
      <c r="J1372" s="64"/>
    </row>
    <row r="1373" spans="1:10" ht="21" customHeight="1">
      <c r="A1373" s="72" t="s">
        <v>201</v>
      </c>
      <c r="B1373" s="73" t="s">
        <v>34</v>
      </c>
      <c r="C1373" s="74" t="str">
        <f>INDEX('TH CANAM'!$A$9:$BF$63,MATCH(PDNam!$F1396,'TH CANAM'!$A$9:$A$63,0),INDEX($J$13:$M$30,MATCH($B1373,$J$13:$J$30,0),K$12))</f>
        <v/>
      </c>
      <c r="D1373" s="74" t="str">
        <f>INDEX('TH CANAM'!$A$9:$BF$63,MATCH(PDNam!$F1396,'TH CANAM'!$A$9:$A$63,0),INDEX($J$13:$M$30,MATCH($B1373,$J$13:$J$30,0),L$12))</f>
        <v/>
      </c>
      <c r="E1373" s="74" t="str">
        <f>INDEX('TH CANAM'!$A$9:$BF$63,MATCH(PDNam!$F1396,'TH CANAM'!$A$9:$A$63,0),INDEX($J$13:$M$30,MATCH($B1373,$J$13:$J$30,0),M$12))</f>
        <v/>
      </c>
      <c r="F1373" s="73"/>
      <c r="I1373" s="64"/>
      <c r="J1373" s="64"/>
    </row>
    <row r="1374" spans="1:10" ht="21" customHeight="1">
      <c r="A1374" s="72" t="s">
        <v>202</v>
      </c>
      <c r="B1374" s="73" t="s">
        <v>35</v>
      </c>
      <c r="C1374" s="74" t="str">
        <f>INDEX('TH CANAM'!$A$9:$BF$63,MATCH(PDNam!$F1396,'TH CANAM'!$A$9:$A$63,0),INDEX($J$13:$M$30,MATCH($B1374,$J$13:$J$30,0),K$12))</f>
        <v/>
      </c>
      <c r="D1374" s="74" t="str">
        <f>INDEX('TH CANAM'!$A$9:$BF$63,MATCH(PDNam!$F1396,'TH CANAM'!$A$9:$A$63,0),INDEX($J$13:$M$30,MATCH($B1374,$J$13:$J$30,0),L$12))</f>
        <v/>
      </c>
      <c r="E1374" s="74" t="str">
        <f>INDEX('TH CANAM'!$A$9:$BF$63,MATCH(PDNam!$F1396,'TH CANAM'!$A$9:$A$63,0),INDEX($J$13:$M$30,MATCH($B1374,$J$13:$J$30,0),M$12))</f>
        <v/>
      </c>
      <c r="F1374" s="73"/>
      <c r="I1374" s="64"/>
      <c r="J1374" s="64"/>
    </row>
    <row r="1375" spans="1:10" ht="21" customHeight="1">
      <c r="A1375" s="72" t="s">
        <v>203</v>
      </c>
      <c r="B1375" s="73" t="s">
        <v>121</v>
      </c>
      <c r="C1375" s="74" t="str">
        <f>INDEX('TH CANAM'!$A$9:$BF$63,MATCH(PDNam!$F1396,'TH CANAM'!$A$9:$A$63,0),INDEX($J$13:$M$30,MATCH($B1375,$J$13:$J$30,0),K$12))</f>
        <v/>
      </c>
      <c r="D1375" s="74" t="str">
        <f>INDEX('TH CANAM'!$A$9:$BF$63,MATCH(PDNam!$F1396,'TH CANAM'!$A$9:$A$63,0),INDEX($J$13:$M$30,MATCH($B1375,$J$13:$J$30,0),L$12))</f>
        <v/>
      </c>
      <c r="E1375" s="74" t="str">
        <f>INDEX('TH CANAM'!$A$9:$BF$63,MATCH(PDNam!$F1396,'TH CANAM'!$A$9:$A$63,0),INDEX($J$13:$M$30,MATCH($B1375,$J$13:$J$30,0),M$12))</f>
        <v/>
      </c>
      <c r="F1375" s="73"/>
      <c r="I1375" s="64"/>
      <c r="J1375" s="64"/>
    </row>
    <row r="1376" spans="1:10" ht="21" customHeight="1">
      <c r="A1376" s="72" t="s">
        <v>204</v>
      </c>
      <c r="B1376" s="73" t="s">
        <v>122</v>
      </c>
      <c r="C1376" s="74" t="str">
        <f>INDEX('TH CANAM'!$A$9:$BF$63,MATCH(PDNam!$F1396,'TH CANAM'!$A$9:$A$63,0),INDEX($J$13:$M$30,MATCH($B1376,$J$13:$J$30,0),K$12))</f>
        <v/>
      </c>
      <c r="D1376" s="74" t="str">
        <f>INDEX('TH CANAM'!$A$9:$BF$63,MATCH(PDNam!$F1396,'TH CANAM'!$A$9:$A$63,0),INDEX($J$13:$M$30,MATCH($B1376,$J$13:$J$30,0),L$12))</f>
        <v/>
      </c>
      <c r="E1376" s="74" t="str">
        <f>INDEX('TH CANAM'!$A$9:$BF$63,MATCH(PDNam!$F1396,'TH CANAM'!$A$9:$A$63,0),INDEX($J$13:$M$30,MATCH($B1376,$J$13:$J$30,0),M$12))</f>
        <v/>
      </c>
      <c r="F1376" s="73"/>
      <c r="I1376" s="64"/>
      <c r="J1376" s="64"/>
    </row>
    <row r="1377" spans="1:10" ht="21" customHeight="1">
      <c r="A1377" s="72" t="s">
        <v>208</v>
      </c>
      <c r="B1377" s="73" t="s">
        <v>205</v>
      </c>
      <c r="C1377" s="78">
        <f>INDEX('TH CANAM'!$A$9:$BF$63,MATCH(PDNam!$F1396,'TH CANAM'!$A$9:$A$63,0),46)</f>
        <v>9.1999999999999993</v>
      </c>
      <c r="D1377" s="78" t="str">
        <f>INDEX('TH CANAM'!$A$9:$BF$63,MATCH(PDNam!$F1396,'TH CANAM'!$A$9:$A$63,0),47)</f>
        <v/>
      </c>
      <c r="E1377" s="78" t="str">
        <f>INDEX('TH CANAM'!$A$9:$BF$63,MATCH(PDNam!$F1396,'TH CANAM'!$A$9:$A$63,0),48)</f>
        <v/>
      </c>
      <c r="F1377" s="73"/>
      <c r="I1377" s="64"/>
      <c r="J1377" s="64"/>
    </row>
    <row r="1378" spans="1:10" ht="21" customHeight="1">
      <c r="A1378" s="72" t="s">
        <v>209</v>
      </c>
      <c r="B1378" s="72" t="s">
        <v>206</v>
      </c>
      <c r="C1378" s="74" t="str">
        <f>IF(INDEX('TH CANAM'!$A$9:$BF$63,MATCH(PDNam!$F1396,'TH CANAM'!$A$9:$A$63,0),49)="Tb","Trung bình",INDEX('TH CANAM'!$A$9:$BF$63,MATCH(PDNam!$F1396,'TH CANAM'!$A$9:$A$63,0),49))</f>
        <v>Giỏi</v>
      </c>
      <c r="D1378" s="74" t="str">
        <f>IF(INDEX('TH CANAM'!$A$9:$BF$63,MATCH(PDNam!$F1396,'TH CANAM'!$A$9:$A$63,0),50)="Tb","Trung bình",INDEX('TH CANAM'!$A$9:$BF$63,MATCH(PDNam!$F1396,'TH CANAM'!$A$9:$A$63,0),50))</f>
        <v/>
      </c>
      <c r="E1378" s="74" t="str">
        <f>IF(INDEX('TH CANAM'!$A$9:$BF$63,MATCH(PDNam!$F1396,'TH CANAM'!$A$9:$A$63,0),51)="Tb","Trung bình",INDEX('TH CANAM'!$A$9:$BF$63,MATCH(PDNam!$F1396,'TH CANAM'!$A$9:$A$63,0),51))</f>
        <v/>
      </c>
      <c r="F1378" s="73"/>
    </row>
    <row r="1379" spans="1:10" ht="21" customHeight="1">
      <c r="A1379" s="72" t="s">
        <v>210</v>
      </c>
      <c r="B1379" s="72" t="s">
        <v>207</v>
      </c>
      <c r="C1379" s="74" t="str">
        <f>INDEX('TH CANAM'!$A$9:$BF$63,MATCH(PDNam!$F1396,'TH CANAM'!$A$9:$A$63,0),52)</f>
        <v>Tốt</v>
      </c>
      <c r="D1379" s="74" t="str">
        <f>INDEX('TH CANAM'!$A$9:$BF$63,MATCH(PDNam!$F1396,'TH CANAM'!$A$9:$A$63,0),53)</f>
        <v/>
      </c>
      <c r="E1379" s="74" t="str">
        <f>INDEX('TH CANAM'!$A$9:$BF$63,MATCH(PDNam!$F1396,'TH CANAM'!$A$9:$A$63,0),54)</f>
        <v/>
      </c>
      <c r="F1379" s="73"/>
    </row>
    <row r="1380" spans="1:10" ht="21" customHeight="1">
      <c r="A1380" s="72" t="s">
        <v>211</v>
      </c>
      <c r="B1380" s="72" t="s">
        <v>25</v>
      </c>
      <c r="C1380" s="74" t="str">
        <f>IF(INDEX('TH CANAM'!$A$9:$BF$63,MATCH(PDNam!$F1396,'TH CANAM'!$A$9:$A$63,0),57)&lt;&gt;"",INDEX('TH CANAM'!$A$9:$BF$63,MATCH(PDNam!$F1396,'TH CANAM'!$A$9:$A$63,0),57),"/")</f>
        <v>HSG</v>
      </c>
      <c r="D1380" s="74" t="str">
        <f>IF(INDEX('TH CANAM'!$A$9:$BF$63,MATCH(PDNam!$F1396,'TH CANAM'!$A$9:$A$63,0),58)&lt;&gt;"",INDEX('TH CANAM'!$A$9:$BF$63,MATCH(PDNam!$F1396,'TH CANAM'!$A$9:$A$63,0),58),"/")</f>
        <v>/</v>
      </c>
      <c r="E1380" s="74" t="str">
        <f>IF(INDEX('TH CANAM'!$A$9:$BF$63,MATCH(PDNam!$F1396,'TH CANAM'!$A$9:$A$63,0),55)&lt;&gt;"",INDEX('TH CANAM'!$A$9:$BF$63,MATCH(PDNam!$F1396,'TH CANAM'!$A$9:$A$63,0),55),"/")</f>
        <v>/</v>
      </c>
      <c r="F1380" s="73"/>
    </row>
    <row r="1381" spans="1:10" s="60" customFormat="1" ht="9" customHeight="1">
      <c r="A1381" s="67"/>
      <c r="B1381" s="67"/>
      <c r="C1381" s="1132"/>
      <c r="D1381" s="1132"/>
      <c r="E1381" s="67"/>
      <c r="F1381" s="67"/>
    </row>
    <row r="1382" spans="1:10" s="60" customFormat="1" ht="18.75" customHeight="1">
      <c r="A1382" s="58" t="s">
        <v>219</v>
      </c>
      <c r="B1382" s="57"/>
      <c r="C1382" s="57"/>
      <c r="D1382" s="57"/>
      <c r="E1382" s="57"/>
      <c r="F1382" s="475"/>
    </row>
    <row r="1383" spans="1:10" s="60" customFormat="1" ht="18.75" customHeight="1">
      <c r="A1383" s="59" t="str">
        <f>IF(F1396&lt;&gt;"",IF(INDEX(BDHK2,MATCH(F1396,DiemHKII!$B$4:$B$58,0),137)&lt;&gt;""," - "&amp;INDEX(BDHK2,MATCH(F1396,DiemHKII!$B$4:$B$58,0),137),""),"")</f>
        <v/>
      </c>
      <c r="B1383" s="57"/>
      <c r="C1383" s="57"/>
      <c r="D1383" s="57"/>
      <c r="E1383" s="57"/>
      <c r="F1383" s="475"/>
    </row>
    <row r="1384" spans="1:10" s="60" customFormat="1" ht="18.75" customHeight="1">
      <c r="A1384" s="59" t="str">
        <f>IF(F1396&lt;&gt;"",IF(INDEX(BDHK2,MATCH(F1396,DiemHKII!$B$4:$B$58,0),138)&lt;&gt;""," - "&amp;INDEX(BDHK2,MATCH(F1396,DiemHKII!$B$4:$B$58,0),138),""),"")</f>
        <v/>
      </c>
      <c r="B1384" s="57"/>
      <c r="C1384" s="57"/>
      <c r="D1384" s="57"/>
      <c r="E1384" s="57"/>
      <c r="F1384" s="475"/>
    </row>
    <row r="1385" spans="1:10" s="60" customFormat="1" ht="18.75" customHeight="1">
      <c r="A1385" s="59" t="str">
        <f>IF(F1396&lt;&gt;"",IF(INDEX(BDHK2,MATCH(F1396,DiemHKII!$B$4:$B$58,0),139)&lt;&gt;""," - "&amp;INDEX(BDHK2,MATCH(F1396,DiemHKII!$B$4:$B$58,0),139),""),"")</f>
        <v/>
      </c>
      <c r="B1385" s="57"/>
      <c r="C1385" s="57"/>
      <c r="D1385" s="57"/>
      <c r="E1385" s="57"/>
      <c r="F1385" s="475"/>
    </row>
    <row r="1386" spans="1:10" s="60" customFormat="1" ht="18.75" customHeight="1">
      <c r="A1386" s="59" t="str">
        <f>IF(F1396&lt;&gt;"",IF(INDEX(BDHK2,MATCH(F1396,DiemHKII!$B$4:$B$58,0),140)&lt;&gt;""," - "&amp;INDEX(BDHK2,MATCH(F1396,DiemHKII!$B$4:$B$58,0),140),""),"")</f>
        <v/>
      </c>
      <c r="B1386" s="57"/>
      <c r="C1386" s="57"/>
      <c r="D1386" s="57"/>
      <c r="E1386" s="57"/>
      <c r="F1386" s="67"/>
    </row>
    <row r="1387" spans="1:10" ht="6" customHeight="1">
      <c r="A1387" s="68"/>
      <c r="B1387" s="68"/>
      <c r="C1387" s="68"/>
      <c r="D1387" s="68"/>
      <c r="E1387" s="68"/>
      <c r="F1387" s="68"/>
    </row>
    <row r="1388" spans="1:10">
      <c r="A1388" s="68"/>
      <c r="B1388" s="68"/>
      <c r="C138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388" s="1060"/>
      <c r="E1388" s="1060"/>
      <c r="F1388" s="1060"/>
    </row>
    <row r="1389" spans="1:10" ht="20.25" customHeight="1">
      <c r="A1389" s="1012" t="str">
        <f>IF($D$39="Hiệu trưởng","Giáo viên Quản nhiệm","")</f>
        <v>Giáo viên Quản nhiệm</v>
      </c>
      <c r="B1389" s="1012"/>
      <c r="C1389" s="61"/>
      <c r="D1389" s="1012" t="str">
        <f>IF($H$7="","",$H$7)</f>
        <v>Hiệu trưởng</v>
      </c>
      <c r="E1389" s="1012"/>
      <c r="F1389" s="61"/>
    </row>
    <row r="1390" spans="1:10">
      <c r="A1390" s="68"/>
      <c r="B1390" s="68"/>
      <c r="C1390" s="68"/>
      <c r="D1390" s="68"/>
      <c r="E1390" s="68"/>
      <c r="F1390" s="68"/>
    </row>
    <row r="1391" spans="1:10">
      <c r="A1391" s="68"/>
      <c r="B1391" s="68"/>
      <c r="C1391" s="68"/>
      <c r="D1391" s="68"/>
      <c r="E1391" s="68"/>
      <c r="F1391" s="68"/>
    </row>
    <row r="1392" spans="1:10" ht="16.8">
      <c r="A1392" s="68"/>
      <c r="B1392" s="68"/>
      <c r="C1392" s="64"/>
      <c r="D1392" s="64"/>
      <c r="E1392" s="64"/>
      <c r="F1392" s="64"/>
      <c r="G1392" s="65"/>
      <c r="H1392" s="65"/>
      <c r="I1392" s="65"/>
      <c r="J1392" s="65"/>
    </row>
    <row r="1394" spans="1:10">
      <c r="A1394" s="1012" t="str">
        <f>IF($A$39="","",PROPER('Huong dan'!$C$4))</f>
        <v/>
      </c>
      <c r="B1394" s="1012"/>
      <c r="D1394" s="1130" t="str">
        <f>IFERROR(IF($D$39="Giáo Viên Quản nhiệm",PROPER('Huong dan'!$C$4),IF($D$39="Hiệu trưởng",PROPER('Huong dan'!$E$5),"")),"")</f>
        <v/>
      </c>
      <c r="E1394" s="1130"/>
    </row>
    <row r="1395" spans="1:10" ht="7.5" customHeight="1"/>
    <row r="1396" spans="1:10" ht="11.25" customHeight="1">
      <c r="A1396" s="75"/>
      <c r="B1396" s="75"/>
      <c r="C1396" s="75"/>
      <c r="D1396" s="75"/>
      <c r="E1396" s="75"/>
      <c r="F1396" s="76">
        <f>IF(F1351="","",IF(F1351&lt;MAX(DiemHKII!$B$4:$B$58),F1351+1,""))</f>
        <v>31</v>
      </c>
    </row>
    <row r="1397" spans="1:10" s="60" customFormat="1" ht="22.5" customHeight="1">
      <c r="A1397" s="1128" t="str">
        <f>IF('Huong dan'!$E$3&lt;&gt;"","SỞ GIÁO DỤC VÀ ĐÀO TẠO "&amp;UPPER('Huong dan'!$E$3),"")</f>
        <v>SỞ GIÁO DỤC VÀ ĐÀO TẠO TP. HỒ CHÍ MINH</v>
      </c>
      <c r="B1397" s="1128"/>
      <c r="C1397" s="1128"/>
      <c r="D1397" s="1129" t="s">
        <v>19</v>
      </c>
      <c r="E1397" s="1129"/>
      <c r="F1397" s="1129"/>
    </row>
    <row r="1398" spans="1:10" ht="17.25" customHeight="1">
      <c r="A1398" s="992" t="str">
        <f>IF('Huong dan'!$E$4&lt;&gt;"","TRƯỜNG "&amp;UPPER('Huong dan'!$E$4),"")</f>
        <v>TRƯỜNG THCS VÀ THPT NGUYỄN KHUYẾN</v>
      </c>
      <c r="B1398" s="992"/>
      <c r="C1398" s="992"/>
      <c r="D1398" s="1130" t="s">
        <v>179</v>
      </c>
      <c r="E1398" s="1130"/>
      <c r="F1398" s="1130"/>
    </row>
    <row r="1399" spans="1:10" ht="12" customHeight="1">
      <c r="A1399" s="69"/>
      <c r="B1399" s="69"/>
      <c r="C1399" s="30"/>
      <c r="D1399" s="30"/>
      <c r="E1399" s="30"/>
      <c r="F1399" s="30"/>
    </row>
    <row r="1400" spans="1:10" ht="18" customHeight="1">
      <c r="A1400" s="69"/>
      <c r="B1400" s="69"/>
      <c r="C1400" s="30"/>
      <c r="D1400" s="30"/>
      <c r="E1400" s="30"/>
      <c r="F1400" s="30"/>
    </row>
    <row r="1401" spans="1:10" ht="29.25" customHeight="1">
      <c r="A1401" s="1013" t="str">
        <f>"PHIẾU ĐIỂM NĂM HỌC "&amp;'Huong dan'!$C$5</f>
        <v>PHIẾU ĐIỂM NĂM HỌC 2021 - 2022</v>
      </c>
      <c r="B1401" s="1013"/>
      <c r="C1401" s="1013"/>
      <c r="D1401" s="1013"/>
      <c r="E1401" s="1013"/>
      <c r="F1401" s="1013"/>
    </row>
    <row r="1402" spans="1:10" ht="12.75" customHeight="1">
      <c r="A1402" s="70"/>
      <c r="B1402" s="66"/>
      <c r="C1402" s="66"/>
      <c r="D1402" s="66"/>
      <c r="E1402" s="66"/>
      <c r="F1402" s="66"/>
    </row>
    <row r="1403" spans="1:10" ht="20.25" customHeight="1">
      <c r="A1403" s="1131" t="s">
        <v>212</v>
      </c>
      <c r="B1403" s="1131"/>
      <c r="C1403" s="77" t="str">
        <f>IF(F1441="","",INDEX(DiemHKII!$E$4:$E$58,MATCH(F1441,DiemHKII!$B$4:$B$58,0),1)&amp;" "&amp;INDEX(DiemHKII!$F$4:$F$58,MATCH(F1441,DiemHKII!$B$4:$B$58,0),1))</f>
        <v>Hồ Quang Thành</v>
      </c>
      <c r="D1403" s="77"/>
      <c r="E1403" s="77"/>
      <c r="F1403" s="71" t="str">
        <f>IF('Huong dan'!$C$3="","","Lớp: "&amp;'Huong dan'!$C$3)</f>
        <v>Lớp: 12A1</v>
      </c>
    </row>
    <row r="1404" spans="1:10" ht="24" customHeight="1">
      <c r="A1404" s="1131" t="s">
        <v>213</v>
      </c>
      <c r="B1404" s="1131"/>
      <c r="C1404" s="77" t="str">
        <f>IF(F1441="","",INDEX(DiemHKII!$G$4:$G$58,MATCH(F1441,DiemHKII!$B$4:$B$58,0),1))</f>
        <v>28/02/2004</v>
      </c>
      <c r="D1404" s="77"/>
      <c r="E1404" s="1133" t="str">
        <f>IF(F1441="","","Nơi sinh: "&amp;INDEX(DiemHKII!$H$4:$H$58,MATCH(F1441,DiemHKII!$B$4:$B$58,0),1))</f>
        <v xml:space="preserve">Nơi sinh: </v>
      </c>
      <c r="F1404" s="1133"/>
    </row>
    <row r="1405" spans="1:10" ht="15" customHeight="1">
      <c r="A1405" s="62"/>
      <c r="B1405" s="62"/>
      <c r="C1405" s="62"/>
      <c r="D1405" s="62"/>
      <c r="E1405" s="62"/>
      <c r="F1405" s="63"/>
    </row>
    <row r="1406" spans="1:10" ht="21" customHeight="1">
      <c r="A1406" s="1134" t="s">
        <v>0</v>
      </c>
      <c r="B1406" s="1134" t="s">
        <v>72</v>
      </c>
      <c r="C1406" s="1134" t="s">
        <v>216</v>
      </c>
      <c r="D1406" s="1134"/>
      <c r="E1406" s="1134"/>
      <c r="F1406" s="1134" t="s">
        <v>148</v>
      </c>
    </row>
    <row r="1407" spans="1:10" ht="21" customHeight="1">
      <c r="A1407" s="1134"/>
      <c r="B1407" s="1134"/>
      <c r="C1407" s="476" t="s">
        <v>188</v>
      </c>
      <c r="D1407" s="476" t="s">
        <v>189</v>
      </c>
      <c r="E1407" s="476" t="s">
        <v>190</v>
      </c>
      <c r="F1407" s="1134"/>
    </row>
    <row r="1408" spans="1:10" ht="21" customHeight="1">
      <c r="A1408" s="72" t="s">
        <v>191</v>
      </c>
      <c r="B1408" s="73" t="s">
        <v>26</v>
      </c>
      <c r="C1408" s="74" t="str">
        <f>INDEX('TH CANAM'!$A$9:$BF$63,MATCH(PDNam!$F1441,'TH CANAM'!$A$9:$A$63,0),INDEX($J$13:$M$30,MATCH($B1408,$J$13:$J$30,0),K$12))</f>
        <v/>
      </c>
      <c r="D1408" s="74" t="str">
        <f>INDEX('TH CANAM'!$A$9:$BF$63,MATCH(PDNam!$F1441,'TH CANAM'!$A$9:$A$63,0),INDEX($J$13:$M$30,MATCH($B1408,$J$13:$J$30,0),L$12))</f>
        <v/>
      </c>
      <c r="E1408" s="74" t="str">
        <f>INDEX('TH CANAM'!$A$9:$BF$63,MATCH(PDNam!$F1441,'TH CANAM'!$A$9:$A$63,0),INDEX($J$13:$M$30,MATCH($B1408,$J$13:$J$30,0),M$12))</f>
        <v/>
      </c>
      <c r="F1408" s="73"/>
      <c r="I1408" s="64"/>
      <c r="J1408" s="64"/>
    </row>
    <row r="1409" spans="1:10" ht="21" customHeight="1">
      <c r="A1409" s="72" t="s">
        <v>192</v>
      </c>
      <c r="B1409" s="73" t="s">
        <v>27</v>
      </c>
      <c r="C1409" s="74" t="str">
        <f>INDEX('TH CANAM'!$A$9:$BF$63,MATCH(PDNam!$F1441,'TH CANAM'!$A$9:$A$63,0),INDEX($J$13:$M$30,MATCH($B1409,$J$13:$J$30,0),K$12))</f>
        <v/>
      </c>
      <c r="D1409" s="74" t="str">
        <f>INDEX('TH CANAM'!$A$9:$BF$63,MATCH(PDNam!$F1441,'TH CANAM'!$A$9:$A$63,0),INDEX($J$13:$M$30,MATCH($B1409,$J$13:$J$30,0),L$12))</f>
        <v/>
      </c>
      <c r="E1409" s="74" t="str">
        <f>INDEX('TH CANAM'!$A$9:$BF$63,MATCH(PDNam!$F1441,'TH CANAM'!$A$9:$A$63,0),INDEX($J$13:$M$30,MATCH($B1409,$J$13:$J$30,0),M$12))</f>
        <v/>
      </c>
      <c r="F1409" s="73"/>
      <c r="I1409" s="64"/>
      <c r="J1409" s="64"/>
    </row>
    <row r="1410" spans="1:10" ht="21" customHeight="1">
      <c r="A1410" s="72" t="s">
        <v>193</v>
      </c>
      <c r="B1410" s="73" t="s">
        <v>28</v>
      </c>
      <c r="C1410" s="74" t="str">
        <f>INDEX('TH CANAM'!$A$9:$BF$63,MATCH(PDNam!$F1441,'TH CANAM'!$A$9:$A$63,0),INDEX($J$13:$M$30,MATCH($B1410,$J$13:$J$30,0),K$12))</f>
        <v/>
      </c>
      <c r="D1410" s="74" t="str">
        <f>INDEX('TH CANAM'!$A$9:$BF$63,MATCH(PDNam!$F1441,'TH CANAM'!$A$9:$A$63,0),INDEX($J$13:$M$30,MATCH($B1410,$J$13:$J$30,0),L$12))</f>
        <v/>
      </c>
      <c r="E1410" s="74" t="str">
        <f>INDEX('TH CANAM'!$A$9:$BF$63,MATCH(PDNam!$F1441,'TH CANAM'!$A$9:$A$63,0),INDEX($J$13:$M$30,MATCH($B1410,$J$13:$J$30,0),M$12))</f>
        <v/>
      </c>
      <c r="F1410" s="73"/>
      <c r="I1410" s="64"/>
      <c r="J1410" s="64"/>
    </row>
    <row r="1411" spans="1:10" ht="21" customHeight="1">
      <c r="A1411" s="72" t="s">
        <v>194</v>
      </c>
      <c r="B1411" s="73" t="s">
        <v>29</v>
      </c>
      <c r="C1411" s="74" t="str">
        <f>INDEX('TH CANAM'!$A$9:$BF$63,MATCH(PDNam!$F1441,'TH CANAM'!$A$9:$A$63,0),INDEX($J$13:$M$30,MATCH($B1411,$J$13:$J$30,0),K$12))</f>
        <v/>
      </c>
      <c r="D1411" s="74" t="str">
        <f>INDEX('TH CANAM'!$A$9:$BF$63,MATCH(PDNam!$F1441,'TH CANAM'!$A$9:$A$63,0),INDEX($J$13:$M$30,MATCH($B1411,$J$13:$J$30,0),L$12))</f>
        <v/>
      </c>
      <c r="E1411" s="74" t="str">
        <f>INDEX('TH CANAM'!$A$9:$BF$63,MATCH(PDNam!$F1441,'TH CANAM'!$A$9:$A$63,0),INDEX($J$13:$M$30,MATCH($B1411,$J$13:$J$30,0),M$12))</f>
        <v/>
      </c>
      <c r="F1411" s="73"/>
      <c r="I1411" s="64"/>
      <c r="J1411" s="64"/>
    </row>
    <row r="1412" spans="1:10" ht="21" customHeight="1">
      <c r="A1412" s="72" t="s">
        <v>195</v>
      </c>
      <c r="B1412" s="73" t="s">
        <v>120</v>
      </c>
      <c r="C1412" s="74" t="str">
        <f>INDEX('TH CANAM'!$A$9:$BF$63,MATCH(PDNam!$F1441,'TH CANAM'!$A$9:$A$63,0),INDEX($J$13:$M$30,MATCH($B1412,$J$13:$J$30,0),K$12))</f>
        <v/>
      </c>
      <c r="D1412" s="74" t="str">
        <f>INDEX('TH CANAM'!$A$9:$BF$63,MATCH(PDNam!$F1441,'TH CANAM'!$A$9:$A$63,0),INDEX($J$13:$M$30,MATCH($B1412,$J$13:$J$30,0),L$12))</f>
        <v/>
      </c>
      <c r="E1412" s="74" t="str">
        <f>INDEX('TH CANAM'!$A$9:$BF$63,MATCH(PDNam!$F1441,'TH CANAM'!$A$9:$A$63,0),INDEX($J$13:$M$30,MATCH($B1412,$J$13:$J$30,0),M$12))</f>
        <v/>
      </c>
      <c r="F1412" s="73"/>
      <c r="I1412" s="64"/>
      <c r="J1412" s="64"/>
    </row>
    <row r="1413" spans="1:10" ht="21" customHeight="1">
      <c r="A1413" s="72" t="s">
        <v>196</v>
      </c>
      <c r="B1413" s="73" t="s">
        <v>30</v>
      </c>
      <c r="C1413" s="74" t="str">
        <f>INDEX('TH CANAM'!$A$9:$BF$63,MATCH(PDNam!$F1441,'TH CANAM'!$A$9:$A$63,0),INDEX($J$13:$M$30,MATCH($B1413,$J$13:$J$30,0),K$12))</f>
        <v/>
      </c>
      <c r="D1413" s="74" t="str">
        <f>INDEX('TH CANAM'!$A$9:$BF$63,MATCH(PDNam!$F1441,'TH CANAM'!$A$9:$A$63,0),INDEX($J$13:$M$30,MATCH($B1413,$J$13:$J$30,0),L$12))</f>
        <v/>
      </c>
      <c r="E1413" s="74" t="str">
        <f>INDEX('TH CANAM'!$A$9:$BF$63,MATCH(PDNam!$F1441,'TH CANAM'!$A$9:$A$63,0),INDEX($J$13:$M$30,MATCH($B1413,$J$13:$J$30,0),M$12))</f>
        <v/>
      </c>
      <c r="F1413" s="73"/>
      <c r="I1413" s="64"/>
      <c r="J1413" s="64"/>
    </row>
    <row r="1414" spans="1:10" ht="21" customHeight="1">
      <c r="A1414" s="72" t="s">
        <v>197</v>
      </c>
      <c r="B1414" s="73" t="s">
        <v>31</v>
      </c>
      <c r="C1414" s="74" t="str">
        <f>INDEX('TH CANAM'!$A$9:$BF$63,MATCH(PDNam!$F1441,'TH CANAM'!$A$9:$A$63,0),INDEX($J$13:$M$30,MATCH($B1414,$J$13:$J$30,0),K$12))</f>
        <v/>
      </c>
      <c r="D1414" s="74" t="str">
        <f>INDEX('TH CANAM'!$A$9:$BF$63,MATCH(PDNam!$F1441,'TH CANAM'!$A$9:$A$63,0),INDEX($J$13:$M$30,MATCH($B1414,$J$13:$J$30,0),L$12))</f>
        <v/>
      </c>
      <c r="E1414" s="74" t="str">
        <f>INDEX('TH CANAM'!$A$9:$BF$63,MATCH(PDNam!$F1441,'TH CANAM'!$A$9:$A$63,0),INDEX($J$13:$M$30,MATCH($B1414,$J$13:$J$30,0),M$12))</f>
        <v/>
      </c>
      <c r="F1414" s="73"/>
      <c r="I1414" s="64"/>
      <c r="J1414" s="64"/>
    </row>
    <row r="1415" spans="1:10" ht="21" customHeight="1">
      <c r="A1415" s="72" t="s">
        <v>198</v>
      </c>
      <c r="B1415" s="73" t="s">
        <v>32</v>
      </c>
      <c r="C1415" s="74" t="str">
        <f>INDEX('TH CANAM'!$A$9:$BF$63,MATCH(PDNam!$F1441,'TH CANAM'!$A$9:$A$63,0),INDEX($J$13:$M$30,MATCH($B1415,$J$13:$J$30,0),K$12))</f>
        <v/>
      </c>
      <c r="D1415" s="74" t="str">
        <f>INDEX('TH CANAM'!$A$9:$BF$63,MATCH(PDNam!$F1441,'TH CANAM'!$A$9:$A$63,0),INDEX($J$13:$M$30,MATCH($B1415,$J$13:$J$30,0),L$12))</f>
        <v/>
      </c>
      <c r="E1415" s="74" t="str">
        <f>INDEX('TH CANAM'!$A$9:$BF$63,MATCH(PDNam!$F1441,'TH CANAM'!$A$9:$A$63,0),INDEX($J$13:$M$30,MATCH($B1415,$J$13:$J$30,0),M$12))</f>
        <v/>
      </c>
      <c r="F1415" s="73"/>
      <c r="I1415" s="64"/>
      <c r="J1415" s="64"/>
    </row>
    <row r="1416" spans="1:10" ht="21" customHeight="1">
      <c r="A1416" s="72" t="s">
        <v>199</v>
      </c>
      <c r="B1416" s="73" t="s">
        <v>33</v>
      </c>
      <c r="C1416" s="74" t="str">
        <f>INDEX('TH CANAM'!$A$9:$BF$63,MATCH(PDNam!$F1441,'TH CANAM'!$A$9:$A$63,0),INDEX($J$13:$M$30,MATCH($B1416,$J$13:$J$30,0),K$12))</f>
        <v/>
      </c>
      <c r="D1416" s="74" t="str">
        <f>INDEX('TH CANAM'!$A$9:$BF$63,MATCH(PDNam!$F1441,'TH CANAM'!$A$9:$A$63,0),INDEX($J$13:$M$30,MATCH($B1416,$J$13:$J$30,0),L$12))</f>
        <v/>
      </c>
      <c r="E1416" s="74" t="str">
        <f>INDEX('TH CANAM'!$A$9:$BF$63,MATCH(PDNam!$F1441,'TH CANAM'!$A$9:$A$63,0),INDEX($J$13:$M$30,MATCH($B1416,$J$13:$J$30,0),M$12))</f>
        <v/>
      </c>
      <c r="F1416" s="73"/>
      <c r="I1416" s="64"/>
      <c r="J1416" s="64"/>
    </row>
    <row r="1417" spans="1:10" ht="21" customHeight="1">
      <c r="A1417" s="72" t="s">
        <v>200</v>
      </c>
      <c r="B1417" s="73" t="s">
        <v>60</v>
      </c>
      <c r="C1417" s="74" t="str">
        <f>INDEX('TH CANAM'!$A$9:$BF$63,MATCH(PDNam!$F1441,'TH CANAM'!$A$9:$A$63,0),INDEX($J$13:$M$30,MATCH($B1417,$J$13:$J$30,0),K$12))</f>
        <v/>
      </c>
      <c r="D1417" s="74" t="str">
        <f>INDEX('TH CANAM'!$A$9:$BF$63,MATCH(PDNam!$F1441,'TH CANAM'!$A$9:$A$63,0),INDEX($J$13:$M$30,MATCH($B1417,$J$13:$J$30,0),L$12))</f>
        <v/>
      </c>
      <c r="E1417" s="74" t="str">
        <f>INDEX('TH CANAM'!$A$9:$BF$63,MATCH(PDNam!$F1441,'TH CANAM'!$A$9:$A$63,0),INDEX($J$13:$M$30,MATCH($B1417,$J$13:$J$30,0),M$12))</f>
        <v/>
      </c>
      <c r="F1417" s="73"/>
      <c r="I1417" s="64"/>
      <c r="J1417" s="64"/>
    </row>
    <row r="1418" spans="1:10" ht="21" customHeight="1">
      <c r="A1418" s="72" t="s">
        <v>201</v>
      </c>
      <c r="B1418" s="73" t="s">
        <v>34</v>
      </c>
      <c r="C1418" s="74" t="str">
        <f>INDEX('TH CANAM'!$A$9:$BF$63,MATCH(PDNam!$F1441,'TH CANAM'!$A$9:$A$63,0),INDEX($J$13:$M$30,MATCH($B1418,$J$13:$J$30,0),K$12))</f>
        <v/>
      </c>
      <c r="D1418" s="74" t="str">
        <f>INDEX('TH CANAM'!$A$9:$BF$63,MATCH(PDNam!$F1441,'TH CANAM'!$A$9:$A$63,0),INDEX($J$13:$M$30,MATCH($B1418,$J$13:$J$30,0),L$12))</f>
        <v/>
      </c>
      <c r="E1418" s="74" t="str">
        <f>INDEX('TH CANAM'!$A$9:$BF$63,MATCH(PDNam!$F1441,'TH CANAM'!$A$9:$A$63,0),INDEX($J$13:$M$30,MATCH($B1418,$J$13:$J$30,0),M$12))</f>
        <v/>
      </c>
      <c r="F1418" s="73"/>
      <c r="I1418" s="64"/>
      <c r="J1418" s="64"/>
    </row>
    <row r="1419" spans="1:10" ht="21" customHeight="1">
      <c r="A1419" s="72" t="s">
        <v>202</v>
      </c>
      <c r="B1419" s="73" t="s">
        <v>35</v>
      </c>
      <c r="C1419" s="74" t="str">
        <f>INDEX('TH CANAM'!$A$9:$BF$63,MATCH(PDNam!$F1441,'TH CANAM'!$A$9:$A$63,0),INDEX($J$13:$M$30,MATCH($B1419,$J$13:$J$30,0),K$12))</f>
        <v/>
      </c>
      <c r="D1419" s="74" t="str">
        <f>INDEX('TH CANAM'!$A$9:$BF$63,MATCH(PDNam!$F1441,'TH CANAM'!$A$9:$A$63,0),INDEX($J$13:$M$30,MATCH($B1419,$J$13:$J$30,0),L$12))</f>
        <v/>
      </c>
      <c r="E1419" s="74" t="str">
        <f>INDEX('TH CANAM'!$A$9:$BF$63,MATCH(PDNam!$F1441,'TH CANAM'!$A$9:$A$63,0),INDEX($J$13:$M$30,MATCH($B1419,$J$13:$J$30,0),M$12))</f>
        <v/>
      </c>
      <c r="F1419" s="73"/>
      <c r="I1419" s="64"/>
      <c r="J1419" s="64"/>
    </row>
    <row r="1420" spans="1:10" ht="21" customHeight="1">
      <c r="A1420" s="72" t="s">
        <v>203</v>
      </c>
      <c r="B1420" s="73" t="s">
        <v>121</v>
      </c>
      <c r="C1420" s="74" t="str">
        <f>INDEX('TH CANAM'!$A$9:$BF$63,MATCH(PDNam!$F1441,'TH CANAM'!$A$9:$A$63,0),INDEX($J$13:$M$30,MATCH($B1420,$J$13:$J$30,0),K$12))</f>
        <v/>
      </c>
      <c r="D1420" s="74" t="str">
        <f>INDEX('TH CANAM'!$A$9:$BF$63,MATCH(PDNam!$F1441,'TH CANAM'!$A$9:$A$63,0),INDEX($J$13:$M$30,MATCH($B1420,$J$13:$J$30,0),L$12))</f>
        <v/>
      </c>
      <c r="E1420" s="74" t="str">
        <f>INDEX('TH CANAM'!$A$9:$BF$63,MATCH(PDNam!$F1441,'TH CANAM'!$A$9:$A$63,0),INDEX($J$13:$M$30,MATCH($B1420,$J$13:$J$30,0),M$12))</f>
        <v/>
      </c>
      <c r="F1420" s="73"/>
      <c r="I1420" s="64"/>
      <c r="J1420" s="64"/>
    </row>
    <row r="1421" spans="1:10" ht="21" customHeight="1">
      <c r="A1421" s="72" t="s">
        <v>204</v>
      </c>
      <c r="B1421" s="73" t="s">
        <v>122</v>
      </c>
      <c r="C1421" s="74" t="str">
        <f>INDEX('TH CANAM'!$A$9:$BF$63,MATCH(PDNam!$F1441,'TH CANAM'!$A$9:$A$63,0),INDEX($J$13:$M$30,MATCH($B1421,$J$13:$J$30,0),K$12))</f>
        <v/>
      </c>
      <c r="D1421" s="74" t="str">
        <f>INDEX('TH CANAM'!$A$9:$BF$63,MATCH(PDNam!$F1441,'TH CANAM'!$A$9:$A$63,0),INDEX($J$13:$M$30,MATCH($B1421,$J$13:$J$30,0),L$12))</f>
        <v/>
      </c>
      <c r="E1421" s="74" t="str">
        <f>INDEX('TH CANAM'!$A$9:$BF$63,MATCH(PDNam!$F1441,'TH CANAM'!$A$9:$A$63,0),INDEX($J$13:$M$30,MATCH($B1421,$J$13:$J$30,0),M$12))</f>
        <v/>
      </c>
      <c r="F1421" s="73"/>
      <c r="I1421" s="64"/>
      <c r="J1421" s="64"/>
    </row>
    <row r="1422" spans="1:10" ht="21" customHeight="1">
      <c r="A1422" s="72" t="s">
        <v>208</v>
      </c>
      <c r="B1422" s="73" t="s">
        <v>205</v>
      </c>
      <c r="C1422" s="78">
        <f>INDEX('TH CANAM'!$A$9:$BF$63,MATCH(PDNam!$F1441,'TH CANAM'!$A$9:$A$63,0),46)</f>
        <v>9.4</v>
      </c>
      <c r="D1422" s="78" t="str">
        <f>INDEX('TH CANAM'!$A$9:$BF$63,MATCH(PDNam!$F1441,'TH CANAM'!$A$9:$A$63,0),47)</f>
        <v/>
      </c>
      <c r="E1422" s="78" t="str">
        <f>INDEX('TH CANAM'!$A$9:$BF$63,MATCH(PDNam!$F1441,'TH CANAM'!$A$9:$A$63,0),48)</f>
        <v/>
      </c>
      <c r="F1422" s="73"/>
      <c r="I1422" s="64"/>
      <c r="J1422" s="64"/>
    </row>
    <row r="1423" spans="1:10" ht="21" customHeight="1">
      <c r="A1423" s="72" t="s">
        <v>209</v>
      </c>
      <c r="B1423" s="72" t="s">
        <v>206</v>
      </c>
      <c r="C1423" s="74" t="str">
        <f>IF(INDEX('TH CANAM'!$A$9:$BF$63,MATCH(PDNam!$F1441,'TH CANAM'!$A$9:$A$63,0),49)="Tb","Trung bình",INDEX('TH CANAM'!$A$9:$BF$63,MATCH(PDNam!$F1441,'TH CANAM'!$A$9:$A$63,0),49))</f>
        <v>Giỏi</v>
      </c>
      <c r="D1423" s="74" t="str">
        <f>IF(INDEX('TH CANAM'!$A$9:$BF$63,MATCH(PDNam!$F1441,'TH CANAM'!$A$9:$A$63,0),50)="Tb","Trung bình",INDEX('TH CANAM'!$A$9:$BF$63,MATCH(PDNam!$F1441,'TH CANAM'!$A$9:$A$63,0),50))</f>
        <v/>
      </c>
      <c r="E1423" s="74" t="str">
        <f>IF(INDEX('TH CANAM'!$A$9:$BF$63,MATCH(PDNam!$F1441,'TH CANAM'!$A$9:$A$63,0),51)="Tb","Trung bình",INDEX('TH CANAM'!$A$9:$BF$63,MATCH(PDNam!$F1441,'TH CANAM'!$A$9:$A$63,0),51))</f>
        <v/>
      </c>
      <c r="F1423" s="73"/>
    </row>
    <row r="1424" spans="1:10" ht="21" customHeight="1">
      <c r="A1424" s="72" t="s">
        <v>210</v>
      </c>
      <c r="B1424" s="72" t="s">
        <v>207</v>
      </c>
      <c r="C1424" s="74" t="str">
        <f>INDEX('TH CANAM'!$A$9:$BF$63,MATCH(PDNam!$F1441,'TH CANAM'!$A$9:$A$63,0),52)</f>
        <v>Tốt</v>
      </c>
      <c r="D1424" s="74" t="str">
        <f>INDEX('TH CANAM'!$A$9:$BF$63,MATCH(PDNam!$F1441,'TH CANAM'!$A$9:$A$63,0),53)</f>
        <v/>
      </c>
      <c r="E1424" s="74" t="str">
        <f>INDEX('TH CANAM'!$A$9:$BF$63,MATCH(PDNam!$F1441,'TH CANAM'!$A$9:$A$63,0),54)</f>
        <v/>
      </c>
      <c r="F1424" s="73"/>
    </row>
    <row r="1425" spans="1:10" ht="21" customHeight="1">
      <c r="A1425" s="72" t="s">
        <v>211</v>
      </c>
      <c r="B1425" s="72" t="s">
        <v>25</v>
      </c>
      <c r="C1425" s="74" t="str">
        <f>IF(INDEX('TH CANAM'!$A$9:$BF$63,MATCH(PDNam!$F1441,'TH CANAM'!$A$9:$A$63,0),57)&lt;&gt;"",INDEX('TH CANAM'!$A$9:$BF$63,MATCH(PDNam!$F1441,'TH CANAM'!$A$9:$A$63,0),57),"/")</f>
        <v>HSG</v>
      </c>
      <c r="D1425" s="74" t="str">
        <f>IF(INDEX('TH CANAM'!$A$9:$BF$63,MATCH(PDNam!$F1441,'TH CANAM'!$A$9:$A$63,0),58)&lt;&gt;"",INDEX('TH CANAM'!$A$9:$BF$63,MATCH(PDNam!$F1441,'TH CANAM'!$A$9:$A$63,0),58),"/")</f>
        <v>/</v>
      </c>
      <c r="E1425" s="74" t="str">
        <f>IF(INDEX('TH CANAM'!$A$9:$BF$63,MATCH(PDNam!$F1441,'TH CANAM'!$A$9:$A$63,0),55)&lt;&gt;"",INDEX('TH CANAM'!$A$9:$BF$63,MATCH(PDNam!$F1441,'TH CANAM'!$A$9:$A$63,0),55),"/")</f>
        <v>/</v>
      </c>
      <c r="F1425" s="73"/>
    </row>
    <row r="1426" spans="1:10" s="60" customFormat="1" ht="9" customHeight="1">
      <c r="A1426" s="67"/>
      <c r="B1426" s="67"/>
      <c r="C1426" s="1132"/>
      <c r="D1426" s="1132"/>
      <c r="E1426" s="67"/>
      <c r="F1426" s="67"/>
    </row>
    <row r="1427" spans="1:10" s="60" customFormat="1" ht="18.75" customHeight="1">
      <c r="A1427" s="58" t="s">
        <v>219</v>
      </c>
      <c r="B1427" s="57"/>
      <c r="C1427" s="57"/>
      <c r="D1427" s="57"/>
      <c r="E1427" s="57"/>
      <c r="F1427" s="475"/>
    </row>
    <row r="1428" spans="1:10" s="60" customFormat="1" ht="18.75" customHeight="1">
      <c r="A1428" s="59" t="str">
        <f>IF(F1441&lt;&gt;"",IF(INDEX(BDHK2,MATCH(F1441,DiemHKII!$B$4:$B$58,0),137)&lt;&gt;""," - "&amp;INDEX(BDHK2,MATCH(F1441,DiemHKII!$B$4:$B$58,0),137),""),"")</f>
        <v/>
      </c>
      <c r="B1428" s="57"/>
      <c r="C1428" s="57"/>
      <c r="D1428" s="57"/>
      <c r="E1428" s="57"/>
      <c r="F1428" s="475"/>
    </row>
    <row r="1429" spans="1:10" s="60" customFormat="1" ht="18.75" customHeight="1">
      <c r="A1429" s="59" t="str">
        <f>IF(F1441&lt;&gt;"",IF(INDEX(BDHK2,MATCH(F1441,DiemHKII!$B$4:$B$58,0),138)&lt;&gt;""," - "&amp;INDEX(BDHK2,MATCH(F1441,DiemHKII!$B$4:$B$58,0),138),""),"")</f>
        <v/>
      </c>
      <c r="B1429" s="57"/>
      <c r="C1429" s="57"/>
      <c r="D1429" s="57"/>
      <c r="E1429" s="57"/>
      <c r="F1429" s="475"/>
    </row>
    <row r="1430" spans="1:10" s="60" customFormat="1" ht="18.75" customHeight="1">
      <c r="A1430" s="59" t="str">
        <f>IF(F1441&lt;&gt;"",IF(INDEX(BDHK2,MATCH(F1441,DiemHKII!$B$4:$B$58,0),139)&lt;&gt;""," - "&amp;INDEX(BDHK2,MATCH(F1441,DiemHKII!$B$4:$B$58,0),139),""),"")</f>
        <v/>
      </c>
      <c r="B1430" s="57"/>
      <c r="C1430" s="57"/>
      <c r="D1430" s="57"/>
      <c r="E1430" s="57"/>
      <c r="F1430" s="475"/>
    </row>
    <row r="1431" spans="1:10" s="60" customFormat="1" ht="18.75" customHeight="1">
      <c r="A1431" s="59" t="str">
        <f>IF(F1441&lt;&gt;"",IF(INDEX(BDHK2,MATCH(F1441,DiemHKII!$B$4:$B$58,0),140)&lt;&gt;""," - "&amp;INDEX(BDHK2,MATCH(F1441,DiemHKII!$B$4:$B$58,0),140),""),"")</f>
        <v/>
      </c>
      <c r="B1431" s="57"/>
      <c r="C1431" s="57"/>
      <c r="D1431" s="57"/>
      <c r="E1431" s="57"/>
      <c r="F1431" s="67"/>
    </row>
    <row r="1432" spans="1:10" ht="6" customHeight="1">
      <c r="A1432" s="68"/>
      <c r="B1432" s="68"/>
      <c r="C1432" s="68"/>
      <c r="D1432" s="68"/>
      <c r="E1432" s="68"/>
      <c r="F1432" s="68"/>
    </row>
    <row r="1433" spans="1:10">
      <c r="A1433" s="68"/>
      <c r="B1433" s="68"/>
      <c r="C143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433" s="1060"/>
      <c r="E1433" s="1060"/>
      <c r="F1433" s="1060"/>
    </row>
    <row r="1434" spans="1:10" ht="20.25" customHeight="1">
      <c r="A1434" s="1012" t="str">
        <f>IF($D$39="Hiệu trưởng","Giáo viên Quản nhiệm","")</f>
        <v>Giáo viên Quản nhiệm</v>
      </c>
      <c r="B1434" s="1012"/>
      <c r="C1434" s="61"/>
      <c r="D1434" s="1012" t="str">
        <f>IF($H$7="","",$H$7)</f>
        <v>Hiệu trưởng</v>
      </c>
      <c r="E1434" s="1012"/>
      <c r="F1434" s="61"/>
    </row>
    <row r="1435" spans="1:10">
      <c r="A1435" s="68"/>
      <c r="B1435" s="68"/>
      <c r="C1435" s="68"/>
      <c r="D1435" s="68"/>
      <c r="E1435" s="68"/>
      <c r="F1435" s="68"/>
    </row>
    <row r="1436" spans="1:10">
      <c r="A1436" s="68"/>
      <c r="B1436" s="68"/>
      <c r="C1436" s="68"/>
      <c r="D1436" s="68"/>
      <c r="E1436" s="68"/>
      <c r="F1436" s="68"/>
    </row>
    <row r="1437" spans="1:10" ht="16.8">
      <c r="A1437" s="68"/>
      <c r="B1437" s="68"/>
      <c r="C1437" s="64"/>
      <c r="D1437" s="64"/>
      <c r="E1437" s="64"/>
      <c r="F1437" s="64"/>
      <c r="G1437" s="65"/>
      <c r="H1437" s="65"/>
      <c r="I1437" s="65"/>
      <c r="J1437" s="65"/>
    </row>
    <row r="1439" spans="1:10">
      <c r="A1439" s="1012" t="str">
        <f>IF($A$39="","",PROPER('Huong dan'!$C$4))</f>
        <v/>
      </c>
      <c r="B1439" s="1012"/>
      <c r="D1439" s="1130" t="str">
        <f>IFERROR(IF($D$39="Giáo Viên Quản nhiệm",PROPER('Huong dan'!$C$4),IF($D$39="Hiệu trưởng",PROPER('Huong dan'!$E$5),"")),"")</f>
        <v/>
      </c>
      <c r="E1439" s="1130"/>
    </row>
    <row r="1440" spans="1:10" ht="7.5" customHeight="1"/>
    <row r="1441" spans="1:10" ht="11.25" customHeight="1">
      <c r="A1441" s="75"/>
      <c r="B1441" s="75"/>
      <c r="C1441" s="75"/>
      <c r="D1441" s="75"/>
      <c r="E1441" s="75"/>
      <c r="F1441" s="76">
        <f>IF(F1396="","",IF(F1396&lt;MAX(DiemHKII!$B$4:$B$58),F1396+1,""))</f>
        <v>32</v>
      </c>
    </row>
    <row r="1442" spans="1:10" s="60" customFormat="1" ht="22.5" customHeight="1">
      <c r="A1442" s="1128" t="str">
        <f>IF('Huong dan'!$E$3&lt;&gt;"","SỞ GIÁO DỤC VÀ ĐÀO TẠO "&amp;UPPER('Huong dan'!$E$3),"")</f>
        <v>SỞ GIÁO DỤC VÀ ĐÀO TẠO TP. HỒ CHÍ MINH</v>
      </c>
      <c r="B1442" s="1128"/>
      <c r="C1442" s="1128"/>
      <c r="D1442" s="1129" t="s">
        <v>19</v>
      </c>
      <c r="E1442" s="1129"/>
      <c r="F1442" s="1129"/>
    </row>
    <row r="1443" spans="1:10" ht="17.25" customHeight="1">
      <c r="A1443" s="992" t="str">
        <f>IF('Huong dan'!$E$4&lt;&gt;"","TRƯỜNG "&amp;UPPER('Huong dan'!$E$4),"")</f>
        <v>TRƯỜNG THCS VÀ THPT NGUYỄN KHUYẾN</v>
      </c>
      <c r="B1443" s="992"/>
      <c r="C1443" s="992"/>
      <c r="D1443" s="1130" t="s">
        <v>179</v>
      </c>
      <c r="E1443" s="1130"/>
      <c r="F1443" s="1130"/>
    </row>
    <row r="1444" spans="1:10" ht="12" customHeight="1">
      <c r="A1444" s="69"/>
      <c r="B1444" s="69"/>
      <c r="C1444" s="30"/>
      <c r="D1444" s="30"/>
      <c r="E1444" s="30"/>
      <c r="F1444" s="30"/>
    </row>
    <row r="1445" spans="1:10" ht="18" customHeight="1">
      <c r="A1445" s="69"/>
      <c r="B1445" s="69"/>
      <c r="C1445" s="30"/>
      <c r="D1445" s="30"/>
      <c r="E1445" s="30"/>
      <c r="F1445" s="30"/>
    </row>
    <row r="1446" spans="1:10" ht="29.25" customHeight="1">
      <c r="A1446" s="1013" t="str">
        <f>"PHIẾU ĐIỂM NĂM HỌC "&amp;'Huong dan'!$C$5</f>
        <v>PHIẾU ĐIỂM NĂM HỌC 2021 - 2022</v>
      </c>
      <c r="B1446" s="1013"/>
      <c r="C1446" s="1013"/>
      <c r="D1446" s="1013"/>
      <c r="E1446" s="1013"/>
      <c r="F1446" s="1013"/>
    </row>
    <row r="1447" spans="1:10" ht="12.75" customHeight="1">
      <c r="A1447" s="70"/>
      <c r="B1447" s="66"/>
      <c r="C1447" s="66"/>
      <c r="D1447" s="66"/>
      <c r="E1447" s="66"/>
      <c r="F1447" s="66"/>
    </row>
    <row r="1448" spans="1:10" ht="20.25" customHeight="1">
      <c r="A1448" s="1131" t="s">
        <v>212</v>
      </c>
      <c r="B1448" s="1131"/>
      <c r="C1448" s="77" t="str">
        <f>IF(F1486="","",INDEX(DiemHKII!$E$4:$E$58,MATCH(F1486,DiemHKII!$B$4:$B$58,0),1)&amp;" "&amp;INDEX(DiemHKII!$F$4:$F$58,MATCH(F1486,DiemHKII!$B$4:$B$58,0),1))</f>
        <v>Trần Thịnh Thịnh</v>
      </c>
      <c r="D1448" s="77"/>
      <c r="E1448" s="77"/>
      <c r="F1448" s="71" t="str">
        <f>IF('Huong dan'!$C$3="","","Lớp: "&amp;'Huong dan'!$C$3)</f>
        <v>Lớp: 12A1</v>
      </c>
    </row>
    <row r="1449" spans="1:10" ht="24" customHeight="1">
      <c r="A1449" s="1131" t="s">
        <v>213</v>
      </c>
      <c r="B1449" s="1131"/>
      <c r="C1449" s="77" t="str">
        <f>IF(F1486="","",INDEX(DiemHKII!$G$4:$G$58,MATCH(F1486,DiemHKII!$B$4:$B$58,0),1))</f>
        <v>18/08/2004</v>
      </c>
      <c r="D1449" s="77"/>
      <c r="E1449" s="1133" t="str">
        <f>IF(F1486="","","Nơi sinh: "&amp;INDEX(DiemHKII!$H$4:$H$58,MATCH(F1486,DiemHKII!$B$4:$B$58,0),1))</f>
        <v xml:space="preserve">Nơi sinh: </v>
      </c>
      <c r="F1449" s="1133"/>
    </row>
    <row r="1450" spans="1:10" ht="15" customHeight="1">
      <c r="A1450" s="62"/>
      <c r="B1450" s="62"/>
      <c r="C1450" s="62"/>
      <c r="D1450" s="62"/>
      <c r="E1450" s="62"/>
      <c r="F1450" s="63"/>
    </row>
    <row r="1451" spans="1:10" ht="21" customHeight="1">
      <c r="A1451" s="1134" t="s">
        <v>0</v>
      </c>
      <c r="B1451" s="1134" t="s">
        <v>72</v>
      </c>
      <c r="C1451" s="1134" t="s">
        <v>216</v>
      </c>
      <c r="D1451" s="1134"/>
      <c r="E1451" s="1134"/>
      <c r="F1451" s="1134" t="s">
        <v>148</v>
      </c>
    </row>
    <row r="1452" spans="1:10" ht="21" customHeight="1">
      <c r="A1452" s="1134"/>
      <c r="B1452" s="1134"/>
      <c r="C1452" s="476" t="s">
        <v>188</v>
      </c>
      <c r="D1452" s="476" t="s">
        <v>189</v>
      </c>
      <c r="E1452" s="476" t="s">
        <v>190</v>
      </c>
      <c r="F1452" s="1134"/>
    </row>
    <row r="1453" spans="1:10" ht="21" customHeight="1">
      <c r="A1453" s="72" t="s">
        <v>191</v>
      </c>
      <c r="B1453" s="73" t="s">
        <v>26</v>
      </c>
      <c r="C1453" s="74" t="str">
        <f>INDEX('TH CANAM'!$A$9:$BF$63,MATCH(PDNam!$F1486,'TH CANAM'!$A$9:$A$63,0),INDEX($J$13:$M$30,MATCH($B1453,$J$13:$J$30,0),K$12))</f>
        <v/>
      </c>
      <c r="D1453" s="74" t="str">
        <f>INDEX('TH CANAM'!$A$9:$BF$63,MATCH(PDNam!$F1486,'TH CANAM'!$A$9:$A$63,0),INDEX($J$13:$M$30,MATCH($B1453,$J$13:$J$30,0),L$12))</f>
        <v/>
      </c>
      <c r="E1453" s="74" t="str">
        <f>INDEX('TH CANAM'!$A$9:$BF$63,MATCH(PDNam!$F1486,'TH CANAM'!$A$9:$A$63,0),INDEX($J$13:$M$30,MATCH($B1453,$J$13:$J$30,0),M$12))</f>
        <v/>
      </c>
      <c r="F1453" s="73"/>
      <c r="I1453" s="64"/>
      <c r="J1453" s="64"/>
    </row>
    <row r="1454" spans="1:10" ht="21" customHeight="1">
      <c r="A1454" s="72" t="s">
        <v>192</v>
      </c>
      <c r="B1454" s="73" t="s">
        <v>27</v>
      </c>
      <c r="C1454" s="74" t="str">
        <f>INDEX('TH CANAM'!$A$9:$BF$63,MATCH(PDNam!$F1486,'TH CANAM'!$A$9:$A$63,0),INDEX($J$13:$M$30,MATCH($B1454,$J$13:$J$30,0),K$12))</f>
        <v/>
      </c>
      <c r="D1454" s="74" t="str">
        <f>INDEX('TH CANAM'!$A$9:$BF$63,MATCH(PDNam!$F1486,'TH CANAM'!$A$9:$A$63,0),INDEX($J$13:$M$30,MATCH($B1454,$J$13:$J$30,0),L$12))</f>
        <v/>
      </c>
      <c r="E1454" s="74" t="str">
        <f>INDEX('TH CANAM'!$A$9:$BF$63,MATCH(PDNam!$F1486,'TH CANAM'!$A$9:$A$63,0),INDEX($J$13:$M$30,MATCH($B1454,$J$13:$J$30,0),M$12))</f>
        <v/>
      </c>
      <c r="F1454" s="73"/>
      <c r="I1454" s="64"/>
      <c r="J1454" s="64"/>
    </row>
    <row r="1455" spans="1:10" ht="21" customHeight="1">
      <c r="A1455" s="72" t="s">
        <v>193</v>
      </c>
      <c r="B1455" s="73" t="s">
        <v>28</v>
      </c>
      <c r="C1455" s="74" t="str">
        <f>INDEX('TH CANAM'!$A$9:$BF$63,MATCH(PDNam!$F1486,'TH CANAM'!$A$9:$A$63,0),INDEX($J$13:$M$30,MATCH($B1455,$J$13:$J$30,0),K$12))</f>
        <v/>
      </c>
      <c r="D1455" s="74" t="str">
        <f>INDEX('TH CANAM'!$A$9:$BF$63,MATCH(PDNam!$F1486,'TH CANAM'!$A$9:$A$63,0),INDEX($J$13:$M$30,MATCH($B1455,$J$13:$J$30,0),L$12))</f>
        <v/>
      </c>
      <c r="E1455" s="74" t="str">
        <f>INDEX('TH CANAM'!$A$9:$BF$63,MATCH(PDNam!$F1486,'TH CANAM'!$A$9:$A$63,0),INDEX($J$13:$M$30,MATCH($B1455,$J$13:$J$30,0),M$12))</f>
        <v/>
      </c>
      <c r="F1455" s="73"/>
      <c r="I1455" s="64"/>
      <c r="J1455" s="64"/>
    </row>
    <row r="1456" spans="1:10" ht="21" customHeight="1">
      <c r="A1456" s="72" t="s">
        <v>194</v>
      </c>
      <c r="B1456" s="73" t="s">
        <v>29</v>
      </c>
      <c r="C1456" s="74" t="str">
        <f>INDEX('TH CANAM'!$A$9:$BF$63,MATCH(PDNam!$F1486,'TH CANAM'!$A$9:$A$63,0),INDEX($J$13:$M$30,MATCH($B1456,$J$13:$J$30,0),K$12))</f>
        <v/>
      </c>
      <c r="D1456" s="74" t="str">
        <f>INDEX('TH CANAM'!$A$9:$BF$63,MATCH(PDNam!$F1486,'TH CANAM'!$A$9:$A$63,0),INDEX($J$13:$M$30,MATCH($B1456,$J$13:$J$30,0),L$12))</f>
        <v/>
      </c>
      <c r="E1456" s="74" t="str">
        <f>INDEX('TH CANAM'!$A$9:$BF$63,MATCH(PDNam!$F1486,'TH CANAM'!$A$9:$A$63,0),INDEX($J$13:$M$30,MATCH($B1456,$J$13:$J$30,0),M$12))</f>
        <v/>
      </c>
      <c r="F1456" s="73"/>
      <c r="I1456" s="64"/>
      <c r="J1456" s="64"/>
    </row>
    <row r="1457" spans="1:10" ht="21" customHeight="1">
      <c r="A1457" s="72" t="s">
        <v>195</v>
      </c>
      <c r="B1457" s="73" t="s">
        <v>120</v>
      </c>
      <c r="C1457" s="74" t="str">
        <f>INDEX('TH CANAM'!$A$9:$BF$63,MATCH(PDNam!$F1486,'TH CANAM'!$A$9:$A$63,0),INDEX($J$13:$M$30,MATCH($B1457,$J$13:$J$30,0),K$12))</f>
        <v/>
      </c>
      <c r="D1457" s="74" t="str">
        <f>INDEX('TH CANAM'!$A$9:$BF$63,MATCH(PDNam!$F1486,'TH CANAM'!$A$9:$A$63,0),INDEX($J$13:$M$30,MATCH($B1457,$J$13:$J$30,0),L$12))</f>
        <v/>
      </c>
      <c r="E1457" s="74" t="str">
        <f>INDEX('TH CANAM'!$A$9:$BF$63,MATCH(PDNam!$F1486,'TH CANAM'!$A$9:$A$63,0),INDEX($J$13:$M$30,MATCH($B1457,$J$13:$J$30,0),M$12))</f>
        <v/>
      </c>
      <c r="F1457" s="73"/>
      <c r="I1457" s="64"/>
      <c r="J1457" s="64"/>
    </row>
    <row r="1458" spans="1:10" ht="21" customHeight="1">
      <c r="A1458" s="72" t="s">
        <v>196</v>
      </c>
      <c r="B1458" s="73" t="s">
        <v>30</v>
      </c>
      <c r="C1458" s="74" t="str">
        <f>INDEX('TH CANAM'!$A$9:$BF$63,MATCH(PDNam!$F1486,'TH CANAM'!$A$9:$A$63,0),INDEX($J$13:$M$30,MATCH($B1458,$J$13:$J$30,0),K$12))</f>
        <v/>
      </c>
      <c r="D1458" s="74" t="str">
        <f>INDEX('TH CANAM'!$A$9:$BF$63,MATCH(PDNam!$F1486,'TH CANAM'!$A$9:$A$63,0),INDEX($J$13:$M$30,MATCH($B1458,$J$13:$J$30,0),L$12))</f>
        <v/>
      </c>
      <c r="E1458" s="74" t="str">
        <f>INDEX('TH CANAM'!$A$9:$BF$63,MATCH(PDNam!$F1486,'TH CANAM'!$A$9:$A$63,0),INDEX($J$13:$M$30,MATCH($B1458,$J$13:$J$30,0),M$12))</f>
        <v/>
      </c>
      <c r="F1458" s="73"/>
      <c r="I1458" s="64"/>
      <c r="J1458" s="64"/>
    </row>
    <row r="1459" spans="1:10" ht="21" customHeight="1">
      <c r="A1459" s="72" t="s">
        <v>197</v>
      </c>
      <c r="B1459" s="73" t="s">
        <v>31</v>
      </c>
      <c r="C1459" s="74" t="str">
        <f>INDEX('TH CANAM'!$A$9:$BF$63,MATCH(PDNam!$F1486,'TH CANAM'!$A$9:$A$63,0),INDEX($J$13:$M$30,MATCH($B1459,$J$13:$J$30,0),K$12))</f>
        <v/>
      </c>
      <c r="D1459" s="74" t="str">
        <f>INDEX('TH CANAM'!$A$9:$BF$63,MATCH(PDNam!$F1486,'TH CANAM'!$A$9:$A$63,0),INDEX($J$13:$M$30,MATCH($B1459,$J$13:$J$30,0),L$12))</f>
        <v/>
      </c>
      <c r="E1459" s="74" t="str">
        <f>INDEX('TH CANAM'!$A$9:$BF$63,MATCH(PDNam!$F1486,'TH CANAM'!$A$9:$A$63,0),INDEX($J$13:$M$30,MATCH($B1459,$J$13:$J$30,0),M$12))</f>
        <v/>
      </c>
      <c r="F1459" s="73"/>
      <c r="I1459" s="64"/>
      <c r="J1459" s="64"/>
    </row>
    <row r="1460" spans="1:10" ht="21" customHeight="1">
      <c r="A1460" s="72" t="s">
        <v>198</v>
      </c>
      <c r="B1460" s="73" t="s">
        <v>32</v>
      </c>
      <c r="C1460" s="74" t="str">
        <f>INDEX('TH CANAM'!$A$9:$BF$63,MATCH(PDNam!$F1486,'TH CANAM'!$A$9:$A$63,0),INDEX($J$13:$M$30,MATCH($B1460,$J$13:$J$30,0),K$12))</f>
        <v/>
      </c>
      <c r="D1460" s="74" t="str">
        <f>INDEX('TH CANAM'!$A$9:$BF$63,MATCH(PDNam!$F1486,'TH CANAM'!$A$9:$A$63,0),INDEX($J$13:$M$30,MATCH($B1460,$J$13:$J$30,0),L$12))</f>
        <v/>
      </c>
      <c r="E1460" s="74" t="str">
        <f>INDEX('TH CANAM'!$A$9:$BF$63,MATCH(PDNam!$F1486,'TH CANAM'!$A$9:$A$63,0),INDEX($J$13:$M$30,MATCH($B1460,$J$13:$J$30,0),M$12))</f>
        <v/>
      </c>
      <c r="F1460" s="73"/>
      <c r="I1460" s="64"/>
      <c r="J1460" s="64"/>
    </row>
    <row r="1461" spans="1:10" ht="21" customHeight="1">
      <c r="A1461" s="72" t="s">
        <v>199</v>
      </c>
      <c r="B1461" s="73" t="s">
        <v>33</v>
      </c>
      <c r="C1461" s="74" t="str">
        <f>INDEX('TH CANAM'!$A$9:$BF$63,MATCH(PDNam!$F1486,'TH CANAM'!$A$9:$A$63,0),INDEX($J$13:$M$30,MATCH($B1461,$J$13:$J$30,0),K$12))</f>
        <v/>
      </c>
      <c r="D1461" s="74" t="str">
        <f>INDEX('TH CANAM'!$A$9:$BF$63,MATCH(PDNam!$F1486,'TH CANAM'!$A$9:$A$63,0),INDEX($J$13:$M$30,MATCH($B1461,$J$13:$J$30,0),L$12))</f>
        <v/>
      </c>
      <c r="E1461" s="74" t="str">
        <f>INDEX('TH CANAM'!$A$9:$BF$63,MATCH(PDNam!$F1486,'TH CANAM'!$A$9:$A$63,0),INDEX($J$13:$M$30,MATCH($B1461,$J$13:$J$30,0),M$12))</f>
        <v/>
      </c>
      <c r="F1461" s="73"/>
      <c r="I1461" s="64"/>
      <c r="J1461" s="64"/>
    </row>
    <row r="1462" spans="1:10" ht="21" customHeight="1">
      <c r="A1462" s="72" t="s">
        <v>200</v>
      </c>
      <c r="B1462" s="73" t="s">
        <v>60</v>
      </c>
      <c r="C1462" s="74" t="str">
        <f>INDEX('TH CANAM'!$A$9:$BF$63,MATCH(PDNam!$F1486,'TH CANAM'!$A$9:$A$63,0),INDEX($J$13:$M$30,MATCH($B1462,$J$13:$J$30,0),K$12))</f>
        <v/>
      </c>
      <c r="D1462" s="74" t="str">
        <f>INDEX('TH CANAM'!$A$9:$BF$63,MATCH(PDNam!$F1486,'TH CANAM'!$A$9:$A$63,0),INDEX($J$13:$M$30,MATCH($B1462,$J$13:$J$30,0),L$12))</f>
        <v/>
      </c>
      <c r="E1462" s="74" t="str">
        <f>INDEX('TH CANAM'!$A$9:$BF$63,MATCH(PDNam!$F1486,'TH CANAM'!$A$9:$A$63,0),INDEX($J$13:$M$30,MATCH($B1462,$J$13:$J$30,0),M$12))</f>
        <v/>
      </c>
      <c r="F1462" s="73"/>
      <c r="I1462" s="64"/>
      <c r="J1462" s="64"/>
    </row>
    <row r="1463" spans="1:10" ht="21" customHeight="1">
      <c r="A1463" s="72" t="s">
        <v>201</v>
      </c>
      <c r="B1463" s="73" t="s">
        <v>34</v>
      </c>
      <c r="C1463" s="74" t="str">
        <f>INDEX('TH CANAM'!$A$9:$BF$63,MATCH(PDNam!$F1486,'TH CANAM'!$A$9:$A$63,0),INDEX($J$13:$M$30,MATCH($B1463,$J$13:$J$30,0),K$12))</f>
        <v/>
      </c>
      <c r="D1463" s="74" t="str">
        <f>INDEX('TH CANAM'!$A$9:$BF$63,MATCH(PDNam!$F1486,'TH CANAM'!$A$9:$A$63,0),INDEX($J$13:$M$30,MATCH($B1463,$J$13:$J$30,0),L$12))</f>
        <v/>
      </c>
      <c r="E1463" s="74" t="str">
        <f>INDEX('TH CANAM'!$A$9:$BF$63,MATCH(PDNam!$F1486,'TH CANAM'!$A$9:$A$63,0),INDEX($J$13:$M$30,MATCH($B1463,$J$13:$J$30,0),M$12))</f>
        <v/>
      </c>
      <c r="F1463" s="73"/>
      <c r="I1463" s="64"/>
      <c r="J1463" s="64"/>
    </row>
    <row r="1464" spans="1:10" ht="21" customHeight="1">
      <c r="A1464" s="72" t="s">
        <v>202</v>
      </c>
      <c r="B1464" s="73" t="s">
        <v>35</v>
      </c>
      <c r="C1464" s="74" t="str">
        <f>INDEX('TH CANAM'!$A$9:$BF$63,MATCH(PDNam!$F1486,'TH CANAM'!$A$9:$A$63,0),INDEX($J$13:$M$30,MATCH($B1464,$J$13:$J$30,0),K$12))</f>
        <v/>
      </c>
      <c r="D1464" s="74" t="str">
        <f>INDEX('TH CANAM'!$A$9:$BF$63,MATCH(PDNam!$F1486,'TH CANAM'!$A$9:$A$63,0),INDEX($J$13:$M$30,MATCH($B1464,$J$13:$J$30,0),L$12))</f>
        <v/>
      </c>
      <c r="E1464" s="74" t="str">
        <f>INDEX('TH CANAM'!$A$9:$BF$63,MATCH(PDNam!$F1486,'TH CANAM'!$A$9:$A$63,0),INDEX($J$13:$M$30,MATCH($B1464,$J$13:$J$30,0),M$12))</f>
        <v/>
      </c>
      <c r="F1464" s="73"/>
      <c r="I1464" s="64"/>
      <c r="J1464" s="64"/>
    </row>
    <row r="1465" spans="1:10" ht="21" customHeight="1">
      <c r="A1465" s="72" t="s">
        <v>203</v>
      </c>
      <c r="B1465" s="73" t="s">
        <v>121</v>
      </c>
      <c r="C1465" s="74" t="str">
        <f>INDEX('TH CANAM'!$A$9:$BF$63,MATCH(PDNam!$F1486,'TH CANAM'!$A$9:$A$63,0),INDEX($J$13:$M$30,MATCH($B1465,$J$13:$J$30,0),K$12))</f>
        <v/>
      </c>
      <c r="D1465" s="74" t="str">
        <f>INDEX('TH CANAM'!$A$9:$BF$63,MATCH(PDNam!$F1486,'TH CANAM'!$A$9:$A$63,0),INDEX($J$13:$M$30,MATCH($B1465,$J$13:$J$30,0),L$12))</f>
        <v/>
      </c>
      <c r="E1465" s="74" t="str">
        <f>INDEX('TH CANAM'!$A$9:$BF$63,MATCH(PDNam!$F1486,'TH CANAM'!$A$9:$A$63,0),INDEX($J$13:$M$30,MATCH($B1465,$J$13:$J$30,0),M$12))</f>
        <v/>
      </c>
      <c r="F1465" s="73"/>
      <c r="I1465" s="64"/>
      <c r="J1465" s="64"/>
    </row>
    <row r="1466" spans="1:10" ht="21" customHeight="1">
      <c r="A1466" s="72" t="s">
        <v>204</v>
      </c>
      <c r="B1466" s="73" t="s">
        <v>122</v>
      </c>
      <c r="C1466" s="74" t="str">
        <f>INDEX('TH CANAM'!$A$9:$BF$63,MATCH(PDNam!$F1486,'TH CANAM'!$A$9:$A$63,0),INDEX($J$13:$M$30,MATCH($B1466,$J$13:$J$30,0),K$12))</f>
        <v/>
      </c>
      <c r="D1466" s="74" t="str">
        <f>INDEX('TH CANAM'!$A$9:$BF$63,MATCH(PDNam!$F1486,'TH CANAM'!$A$9:$A$63,0),INDEX($J$13:$M$30,MATCH($B1466,$J$13:$J$30,0),L$12))</f>
        <v/>
      </c>
      <c r="E1466" s="74" t="str">
        <f>INDEX('TH CANAM'!$A$9:$BF$63,MATCH(PDNam!$F1486,'TH CANAM'!$A$9:$A$63,0),INDEX($J$13:$M$30,MATCH($B1466,$J$13:$J$30,0),M$12))</f>
        <v/>
      </c>
      <c r="F1466" s="73"/>
      <c r="I1466" s="64"/>
      <c r="J1466" s="64"/>
    </row>
    <row r="1467" spans="1:10" ht="21" customHeight="1">
      <c r="A1467" s="72" t="s">
        <v>208</v>
      </c>
      <c r="B1467" s="73" t="s">
        <v>205</v>
      </c>
      <c r="C1467" s="78">
        <f>INDEX('TH CANAM'!$A$9:$BF$63,MATCH(PDNam!$F1486,'TH CANAM'!$A$9:$A$63,0),46)</f>
        <v>9.3000000000000007</v>
      </c>
      <c r="D1467" s="78" t="str">
        <f>INDEX('TH CANAM'!$A$9:$BF$63,MATCH(PDNam!$F1486,'TH CANAM'!$A$9:$A$63,0),47)</f>
        <v/>
      </c>
      <c r="E1467" s="78" t="str">
        <f>INDEX('TH CANAM'!$A$9:$BF$63,MATCH(PDNam!$F1486,'TH CANAM'!$A$9:$A$63,0),48)</f>
        <v/>
      </c>
      <c r="F1467" s="73"/>
      <c r="I1467" s="64"/>
      <c r="J1467" s="64"/>
    </row>
    <row r="1468" spans="1:10" ht="21" customHeight="1">
      <c r="A1468" s="72" t="s">
        <v>209</v>
      </c>
      <c r="B1468" s="72" t="s">
        <v>206</v>
      </c>
      <c r="C1468" s="74" t="str">
        <f>IF(INDEX('TH CANAM'!$A$9:$BF$63,MATCH(PDNam!$F1486,'TH CANAM'!$A$9:$A$63,0),49)="Tb","Trung bình",INDEX('TH CANAM'!$A$9:$BF$63,MATCH(PDNam!$F1486,'TH CANAM'!$A$9:$A$63,0),49))</f>
        <v>Giỏi</v>
      </c>
      <c r="D1468" s="74" t="str">
        <f>IF(INDEX('TH CANAM'!$A$9:$BF$63,MATCH(PDNam!$F1486,'TH CANAM'!$A$9:$A$63,0),50)="Tb","Trung bình",INDEX('TH CANAM'!$A$9:$BF$63,MATCH(PDNam!$F1486,'TH CANAM'!$A$9:$A$63,0),50))</f>
        <v/>
      </c>
      <c r="E1468" s="74" t="str">
        <f>IF(INDEX('TH CANAM'!$A$9:$BF$63,MATCH(PDNam!$F1486,'TH CANAM'!$A$9:$A$63,0),51)="Tb","Trung bình",INDEX('TH CANAM'!$A$9:$BF$63,MATCH(PDNam!$F1486,'TH CANAM'!$A$9:$A$63,0),51))</f>
        <v/>
      </c>
      <c r="F1468" s="73"/>
    </row>
    <row r="1469" spans="1:10" ht="21" customHeight="1">
      <c r="A1469" s="72" t="s">
        <v>210</v>
      </c>
      <c r="B1469" s="72" t="s">
        <v>207</v>
      </c>
      <c r="C1469" s="74" t="str">
        <f>INDEX('TH CANAM'!$A$9:$BF$63,MATCH(PDNam!$F1486,'TH CANAM'!$A$9:$A$63,0),52)</f>
        <v>Tốt</v>
      </c>
      <c r="D1469" s="74" t="str">
        <f>INDEX('TH CANAM'!$A$9:$BF$63,MATCH(PDNam!$F1486,'TH CANAM'!$A$9:$A$63,0),53)</f>
        <v/>
      </c>
      <c r="E1469" s="74" t="str">
        <f>INDEX('TH CANAM'!$A$9:$BF$63,MATCH(PDNam!$F1486,'TH CANAM'!$A$9:$A$63,0),54)</f>
        <v/>
      </c>
      <c r="F1469" s="73"/>
    </row>
    <row r="1470" spans="1:10" ht="21" customHeight="1">
      <c r="A1470" s="72" t="s">
        <v>211</v>
      </c>
      <c r="B1470" s="72" t="s">
        <v>25</v>
      </c>
      <c r="C1470" s="74" t="str">
        <f>IF(INDEX('TH CANAM'!$A$9:$BF$63,MATCH(PDNam!$F1486,'TH CANAM'!$A$9:$A$63,0),57)&lt;&gt;"",INDEX('TH CANAM'!$A$9:$BF$63,MATCH(PDNam!$F1486,'TH CANAM'!$A$9:$A$63,0),57),"/")</f>
        <v>HSG</v>
      </c>
      <c r="D1470" s="74" t="str">
        <f>IF(INDEX('TH CANAM'!$A$9:$BF$63,MATCH(PDNam!$F1486,'TH CANAM'!$A$9:$A$63,0),58)&lt;&gt;"",INDEX('TH CANAM'!$A$9:$BF$63,MATCH(PDNam!$F1486,'TH CANAM'!$A$9:$A$63,0),58),"/")</f>
        <v>/</v>
      </c>
      <c r="E1470" s="74" t="str">
        <f>IF(INDEX('TH CANAM'!$A$9:$BF$63,MATCH(PDNam!$F1486,'TH CANAM'!$A$9:$A$63,0),55)&lt;&gt;"",INDEX('TH CANAM'!$A$9:$BF$63,MATCH(PDNam!$F1486,'TH CANAM'!$A$9:$A$63,0),55),"/")</f>
        <v>/</v>
      </c>
      <c r="F1470" s="73"/>
    </row>
    <row r="1471" spans="1:10" s="60" customFormat="1" ht="9" customHeight="1">
      <c r="A1471" s="67"/>
      <c r="B1471" s="67"/>
      <c r="C1471" s="1132"/>
      <c r="D1471" s="1132"/>
      <c r="E1471" s="67"/>
      <c r="F1471" s="67"/>
    </row>
    <row r="1472" spans="1:10" s="60" customFormat="1" ht="18.75" customHeight="1">
      <c r="A1472" s="58" t="s">
        <v>219</v>
      </c>
      <c r="B1472" s="57"/>
      <c r="C1472" s="57"/>
      <c r="D1472" s="57"/>
      <c r="E1472" s="57"/>
      <c r="F1472" s="475"/>
    </row>
    <row r="1473" spans="1:10" s="60" customFormat="1" ht="18.75" customHeight="1">
      <c r="A1473" s="59" t="str">
        <f>IF(F1486&lt;&gt;"",IF(INDEX(BDHK2,MATCH(F1486,DiemHKII!$B$4:$B$58,0),137)&lt;&gt;""," - "&amp;INDEX(BDHK2,MATCH(F1486,DiemHKII!$B$4:$B$58,0),137),""),"")</f>
        <v/>
      </c>
      <c r="B1473" s="57"/>
      <c r="C1473" s="57"/>
      <c r="D1473" s="57"/>
      <c r="E1473" s="57"/>
      <c r="F1473" s="475"/>
    </row>
    <row r="1474" spans="1:10" s="60" customFormat="1" ht="18.75" customHeight="1">
      <c r="A1474" s="59" t="str">
        <f>IF(F1486&lt;&gt;"",IF(INDEX(BDHK2,MATCH(F1486,DiemHKII!$B$4:$B$58,0),138)&lt;&gt;""," - "&amp;INDEX(BDHK2,MATCH(F1486,DiemHKII!$B$4:$B$58,0),138),""),"")</f>
        <v/>
      </c>
      <c r="B1474" s="57"/>
      <c r="C1474" s="57"/>
      <c r="D1474" s="57"/>
      <c r="E1474" s="57"/>
      <c r="F1474" s="475"/>
    </row>
    <row r="1475" spans="1:10" s="60" customFormat="1" ht="18.75" customHeight="1">
      <c r="A1475" s="59" t="str">
        <f>IF(F1486&lt;&gt;"",IF(INDEX(BDHK2,MATCH(F1486,DiemHKII!$B$4:$B$58,0),139)&lt;&gt;""," - "&amp;INDEX(BDHK2,MATCH(F1486,DiemHKII!$B$4:$B$58,0),139),""),"")</f>
        <v/>
      </c>
      <c r="B1475" s="57"/>
      <c r="C1475" s="57"/>
      <c r="D1475" s="57"/>
      <c r="E1475" s="57"/>
      <c r="F1475" s="475"/>
    </row>
    <row r="1476" spans="1:10" s="60" customFormat="1" ht="18.75" customHeight="1">
      <c r="A1476" s="59" t="str">
        <f>IF(F1486&lt;&gt;"",IF(INDEX(BDHK2,MATCH(F1486,DiemHKII!$B$4:$B$58,0),140)&lt;&gt;""," - "&amp;INDEX(BDHK2,MATCH(F1486,DiemHKII!$B$4:$B$58,0),140),""),"")</f>
        <v/>
      </c>
      <c r="B1476" s="57"/>
      <c r="C1476" s="57"/>
      <c r="D1476" s="57"/>
      <c r="E1476" s="57"/>
      <c r="F1476" s="67"/>
    </row>
    <row r="1477" spans="1:10" ht="6" customHeight="1">
      <c r="A1477" s="68"/>
      <c r="B1477" s="68"/>
      <c r="C1477" s="68"/>
      <c r="D1477" s="68"/>
      <c r="E1477" s="68"/>
      <c r="F1477" s="68"/>
    </row>
    <row r="1478" spans="1:10">
      <c r="A1478" s="68"/>
      <c r="B1478" s="68"/>
      <c r="C147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478" s="1060"/>
      <c r="E1478" s="1060"/>
      <c r="F1478" s="1060"/>
    </row>
    <row r="1479" spans="1:10" ht="20.25" customHeight="1">
      <c r="A1479" s="1012" t="str">
        <f>IF($D$39="Hiệu trưởng","Giáo viên Quản nhiệm","")</f>
        <v>Giáo viên Quản nhiệm</v>
      </c>
      <c r="B1479" s="1012"/>
      <c r="C1479" s="61"/>
      <c r="D1479" s="1012" t="str">
        <f>IF($H$7="","",$H$7)</f>
        <v>Hiệu trưởng</v>
      </c>
      <c r="E1479" s="1012"/>
      <c r="F1479" s="61"/>
    </row>
    <row r="1480" spans="1:10">
      <c r="A1480" s="68"/>
      <c r="B1480" s="68"/>
      <c r="C1480" s="68"/>
      <c r="D1480" s="68"/>
      <c r="E1480" s="68"/>
      <c r="F1480" s="68"/>
    </row>
    <row r="1481" spans="1:10">
      <c r="A1481" s="68"/>
      <c r="B1481" s="68"/>
      <c r="C1481" s="68"/>
      <c r="D1481" s="68"/>
      <c r="E1481" s="68"/>
      <c r="F1481" s="68"/>
    </row>
    <row r="1482" spans="1:10" ht="16.8">
      <c r="A1482" s="68"/>
      <c r="B1482" s="68"/>
      <c r="C1482" s="64"/>
      <c r="D1482" s="64"/>
      <c r="E1482" s="64"/>
      <c r="F1482" s="64"/>
      <c r="G1482" s="65"/>
      <c r="H1482" s="65"/>
      <c r="I1482" s="65"/>
      <c r="J1482" s="65"/>
    </row>
    <row r="1484" spans="1:10">
      <c r="A1484" s="1012" t="str">
        <f>IF($A$39="","",PROPER('Huong dan'!$C$4))</f>
        <v/>
      </c>
      <c r="B1484" s="1012"/>
      <c r="D1484" s="1130" t="str">
        <f>IFERROR(IF($D$39="Giáo Viên Quản nhiệm",PROPER('Huong dan'!$C$4),IF($D$39="Hiệu trưởng",PROPER('Huong dan'!$E$5),"")),"")</f>
        <v/>
      </c>
      <c r="E1484" s="1130"/>
    </row>
    <row r="1485" spans="1:10" ht="7.5" customHeight="1"/>
    <row r="1486" spans="1:10" ht="11.25" customHeight="1">
      <c r="A1486" s="75"/>
      <c r="B1486" s="75"/>
      <c r="C1486" s="75"/>
      <c r="D1486" s="75"/>
      <c r="E1486" s="75"/>
      <c r="F1486" s="76">
        <f>IF(F1441="","",IF(F1441&lt;MAX(DiemHKII!$B$4:$B$58),F1441+1,""))</f>
        <v>33</v>
      </c>
    </row>
    <row r="1487" spans="1:10" s="60" customFormat="1" ht="22.5" customHeight="1">
      <c r="A1487" s="1128" t="str">
        <f>IF('Huong dan'!$E$3&lt;&gt;"","SỞ GIÁO DỤC VÀ ĐÀO TẠO "&amp;UPPER('Huong dan'!$E$3),"")</f>
        <v>SỞ GIÁO DỤC VÀ ĐÀO TẠO TP. HỒ CHÍ MINH</v>
      </c>
      <c r="B1487" s="1128"/>
      <c r="C1487" s="1128"/>
      <c r="D1487" s="1129" t="s">
        <v>19</v>
      </c>
      <c r="E1487" s="1129"/>
      <c r="F1487" s="1129"/>
    </row>
    <row r="1488" spans="1:10" ht="17.25" customHeight="1">
      <c r="A1488" s="992" t="str">
        <f>IF('Huong dan'!$E$4&lt;&gt;"","TRƯỜNG "&amp;UPPER('Huong dan'!$E$4),"")</f>
        <v>TRƯỜNG THCS VÀ THPT NGUYỄN KHUYẾN</v>
      </c>
      <c r="B1488" s="992"/>
      <c r="C1488" s="992"/>
      <c r="D1488" s="1130" t="s">
        <v>179</v>
      </c>
      <c r="E1488" s="1130"/>
      <c r="F1488" s="1130"/>
    </row>
    <row r="1489" spans="1:10" ht="12" customHeight="1">
      <c r="A1489" s="69"/>
      <c r="B1489" s="69"/>
      <c r="C1489" s="30"/>
      <c r="D1489" s="30"/>
      <c r="E1489" s="30"/>
      <c r="F1489" s="30"/>
    </row>
    <row r="1490" spans="1:10" ht="18" customHeight="1">
      <c r="A1490" s="69"/>
      <c r="B1490" s="69"/>
      <c r="C1490" s="30"/>
      <c r="D1490" s="30"/>
      <c r="E1490" s="30"/>
      <c r="F1490" s="30"/>
    </row>
    <row r="1491" spans="1:10" ht="29.25" customHeight="1">
      <c r="A1491" s="1013" t="str">
        <f>"PHIẾU ĐIỂM NĂM HỌC "&amp;'Huong dan'!$C$5</f>
        <v>PHIẾU ĐIỂM NĂM HỌC 2021 - 2022</v>
      </c>
      <c r="B1491" s="1013"/>
      <c r="C1491" s="1013"/>
      <c r="D1491" s="1013"/>
      <c r="E1491" s="1013"/>
      <c r="F1491" s="1013"/>
    </row>
    <row r="1492" spans="1:10" ht="12.75" customHeight="1">
      <c r="A1492" s="70"/>
      <c r="B1492" s="66"/>
      <c r="C1492" s="66"/>
      <c r="D1492" s="66"/>
      <c r="E1492" s="66"/>
      <c r="F1492" s="66"/>
    </row>
    <row r="1493" spans="1:10" ht="20.25" customHeight="1">
      <c r="A1493" s="1131" t="s">
        <v>212</v>
      </c>
      <c r="B1493" s="1131"/>
      <c r="C1493" s="77" t="str">
        <f>IF(F1531="","",INDEX(DiemHKII!$E$4:$E$58,MATCH(F1531,DiemHKII!$B$4:$B$58,0),1)&amp;" "&amp;INDEX(DiemHKII!$F$4:$F$58,MATCH(F1531,DiemHKII!$B$4:$B$58,0),1))</f>
        <v>Trần Kim Bảo Trân</v>
      </c>
      <c r="D1493" s="77"/>
      <c r="E1493" s="77"/>
      <c r="F1493" s="71" t="str">
        <f>IF('Huong dan'!$C$3="","","Lớp: "&amp;'Huong dan'!$C$3)</f>
        <v>Lớp: 12A1</v>
      </c>
    </row>
    <row r="1494" spans="1:10" ht="24" customHeight="1">
      <c r="A1494" s="1131" t="s">
        <v>213</v>
      </c>
      <c r="B1494" s="1131"/>
      <c r="C1494" s="77" t="str">
        <f>IF(F1531="","",INDEX(DiemHKII!$G$4:$G$58,MATCH(F1531,DiemHKII!$B$4:$B$58,0),1))</f>
        <v>05/06/2004</v>
      </c>
      <c r="D1494" s="77"/>
      <c r="E1494" s="1133" t="str">
        <f>IF(F1531="","","Nơi sinh: "&amp;INDEX(DiemHKII!$H$4:$H$58,MATCH(F1531,DiemHKII!$B$4:$B$58,0),1))</f>
        <v xml:space="preserve">Nơi sinh: </v>
      </c>
      <c r="F1494" s="1133"/>
    </row>
    <row r="1495" spans="1:10" ht="15" customHeight="1">
      <c r="A1495" s="62"/>
      <c r="B1495" s="62"/>
      <c r="C1495" s="62"/>
      <c r="D1495" s="62"/>
      <c r="E1495" s="62"/>
      <c r="F1495" s="63"/>
    </row>
    <row r="1496" spans="1:10" ht="21" customHeight="1">
      <c r="A1496" s="1134" t="s">
        <v>0</v>
      </c>
      <c r="B1496" s="1134" t="s">
        <v>72</v>
      </c>
      <c r="C1496" s="1134" t="s">
        <v>216</v>
      </c>
      <c r="D1496" s="1134"/>
      <c r="E1496" s="1134"/>
      <c r="F1496" s="1134" t="s">
        <v>148</v>
      </c>
    </row>
    <row r="1497" spans="1:10" ht="21" customHeight="1">
      <c r="A1497" s="1134"/>
      <c r="B1497" s="1134"/>
      <c r="C1497" s="476" t="s">
        <v>188</v>
      </c>
      <c r="D1497" s="476" t="s">
        <v>189</v>
      </c>
      <c r="E1497" s="476" t="s">
        <v>190</v>
      </c>
      <c r="F1497" s="1134"/>
    </row>
    <row r="1498" spans="1:10" ht="21" customHeight="1">
      <c r="A1498" s="72" t="s">
        <v>191</v>
      </c>
      <c r="B1498" s="73" t="s">
        <v>26</v>
      </c>
      <c r="C1498" s="74" t="str">
        <f>INDEX('TH CANAM'!$A$9:$BF$63,MATCH(PDNam!$F1531,'TH CANAM'!$A$9:$A$63,0),INDEX($J$13:$M$30,MATCH($B1498,$J$13:$J$30,0),K$12))</f>
        <v/>
      </c>
      <c r="D1498" s="74" t="str">
        <f>INDEX('TH CANAM'!$A$9:$BF$63,MATCH(PDNam!$F1531,'TH CANAM'!$A$9:$A$63,0),INDEX($J$13:$M$30,MATCH($B1498,$J$13:$J$30,0),L$12))</f>
        <v/>
      </c>
      <c r="E1498" s="74" t="str">
        <f>INDEX('TH CANAM'!$A$9:$BF$63,MATCH(PDNam!$F1531,'TH CANAM'!$A$9:$A$63,0),INDEX($J$13:$M$30,MATCH($B1498,$J$13:$J$30,0),M$12))</f>
        <v/>
      </c>
      <c r="F1498" s="73"/>
      <c r="I1498" s="64"/>
      <c r="J1498" s="64"/>
    </row>
    <row r="1499" spans="1:10" ht="21" customHeight="1">
      <c r="A1499" s="72" t="s">
        <v>192</v>
      </c>
      <c r="B1499" s="73" t="s">
        <v>27</v>
      </c>
      <c r="C1499" s="74" t="str">
        <f>INDEX('TH CANAM'!$A$9:$BF$63,MATCH(PDNam!$F1531,'TH CANAM'!$A$9:$A$63,0),INDEX($J$13:$M$30,MATCH($B1499,$J$13:$J$30,0),K$12))</f>
        <v/>
      </c>
      <c r="D1499" s="74" t="str">
        <f>INDEX('TH CANAM'!$A$9:$BF$63,MATCH(PDNam!$F1531,'TH CANAM'!$A$9:$A$63,0),INDEX($J$13:$M$30,MATCH($B1499,$J$13:$J$30,0),L$12))</f>
        <v/>
      </c>
      <c r="E1499" s="74" t="str">
        <f>INDEX('TH CANAM'!$A$9:$BF$63,MATCH(PDNam!$F1531,'TH CANAM'!$A$9:$A$63,0),INDEX($J$13:$M$30,MATCH($B1499,$J$13:$J$30,0),M$12))</f>
        <v/>
      </c>
      <c r="F1499" s="73"/>
      <c r="I1499" s="64"/>
      <c r="J1499" s="64"/>
    </row>
    <row r="1500" spans="1:10" ht="21" customHeight="1">
      <c r="A1500" s="72" t="s">
        <v>193</v>
      </c>
      <c r="B1500" s="73" t="s">
        <v>28</v>
      </c>
      <c r="C1500" s="74" t="str">
        <f>INDEX('TH CANAM'!$A$9:$BF$63,MATCH(PDNam!$F1531,'TH CANAM'!$A$9:$A$63,0),INDEX($J$13:$M$30,MATCH($B1500,$J$13:$J$30,0),K$12))</f>
        <v/>
      </c>
      <c r="D1500" s="74" t="str">
        <f>INDEX('TH CANAM'!$A$9:$BF$63,MATCH(PDNam!$F1531,'TH CANAM'!$A$9:$A$63,0),INDEX($J$13:$M$30,MATCH($B1500,$J$13:$J$30,0),L$12))</f>
        <v/>
      </c>
      <c r="E1500" s="74" t="str">
        <f>INDEX('TH CANAM'!$A$9:$BF$63,MATCH(PDNam!$F1531,'TH CANAM'!$A$9:$A$63,0),INDEX($J$13:$M$30,MATCH($B1500,$J$13:$J$30,0),M$12))</f>
        <v/>
      </c>
      <c r="F1500" s="73"/>
      <c r="I1500" s="64"/>
      <c r="J1500" s="64"/>
    </row>
    <row r="1501" spans="1:10" ht="21" customHeight="1">
      <c r="A1501" s="72" t="s">
        <v>194</v>
      </c>
      <c r="B1501" s="73" t="s">
        <v>29</v>
      </c>
      <c r="C1501" s="74" t="str">
        <f>INDEX('TH CANAM'!$A$9:$BF$63,MATCH(PDNam!$F1531,'TH CANAM'!$A$9:$A$63,0),INDEX($J$13:$M$30,MATCH($B1501,$J$13:$J$30,0),K$12))</f>
        <v/>
      </c>
      <c r="D1501" s="74" t="str">
        <f>INDEX('TH CANAM'!$A$9:$BF$63,MATCH(PDNam!$F1531,'TH CANAM'!$A$9:$A$63,0),INDEX($J$13:$M$30,MATCH($B1501,$J$13:$J$30,0),L$12))</f>
        <v/>
      </c>
      <c r="E1501" s="74" t="str">
        <f>INDEX('TH CANAM'!$A$9:$BF$63,MATCH(PDNam!$F1531,'TH CANAM'!$A$9:$A$63,0),INDEX($J$13:$M$30,MATCH($B1501,$J$13:$J$30,0),M$12))</f>
        <v/>
      </c>
      <c r="F1501" s="73"/>
      <c r="I1501" s="64"/>
      <c r="J1501" s="64"/>
    </row>
    <row r="1502" spans="1:10" ht="21" customHeight="1">
      <c r="A1502" s="72" t="s">
        <v>195</v>
      </c>
      <c r="B1502" s="73" t="s">
        <v>120</v>
      </c>
      <c r="C1502" s="74" t="str">
        <f>INDEX('TH CANAM'!$A$9:$BF$63,MATCH(PDNam!$F1531,'TH CANAM'!$A$9:$A$63,0),INDEX($J$13:$M$30,MATCH($B1502,$J$13:$J$30,0),K$12))</f>
        <v/>
      </c>
      <c r="D1502" s="74" t="str">
        <f>INDEX('TH CANAM'!$A$9:$BF$63,MATCH(PDNam!$F1531,'TH CANAM'!$A$9:$A$63,0),INDEX($J$13:$M$30,MATCH($B1502,$J$13:$J$30,0),L$12))</f>
        <v/>
      </c>
      <c r="E1502" s="74" t="str">
        <f>INDEX('TH CANAM'!$A$9:$BF$63,MATCH(PDNam!$F1531,'TH CANAM'!$A$9:$A$63,0),INDEX($J$13:$M$30,MATCH($B1502,$J$13:$J$30,0),M$12))</f>
        <v/>
      </c>
      <c r="F1502" s="73"/>
      <c r="I1502" s="64"/>
      <c r="J1502" s="64"/>
    </row>
    <row r="1503" spans="1:10" ht="21" customHeight="1">
      <c r="A1503" s="72" t="s">
        <v>196</v>
      </c>
      <c r="B1503" s="73" t="s">
        <v>30</v>
      </c>
      <c r="C1503" s="74" t="str">
        <f>INDEX('TH CANAM'!$A$9:$BF$63,MATCH(PDNam!$F1531,'TH CANAM'!$A$9:$A$63,0),INDEX($J$13:$M$30,MATCH($B1503,$J$13:$J$30,0),K$12))</f>
        <v/>
      </c>
      <c r="D1503" s="74" t="str">
        <f>INDEX('TH CANAM'!$A$9:$BF$63,MATCH(PDNam!$F1531,'TH CANAM'!$A$9:$A$63,0),INDEX($J$13:$M$30,MATCH($B1503,$J$13:$J$30,0),L$12))</f>
        <v/>
      </c>
      <c r="E1503" s="74" t="str">
        <f>INDEX('TH CANAM'!$A$9:$BF$63,MATCH(PDNam!$F1531,'TH CANAM'!$A$9:$A$63,0),INDEX($J$13:$M$30,MATCH($B1503,$J$13:$J$30,0),M$12))</f>
        <v/>
      </c>
      <c r="F1503" s="73"/>
      <c r="I1503" s="64"/>
      <c r="J1503" s="64"/>
    </row>
    <row r="1504" spans="1:10" ht="21" customHeight="1">
      <c r="A1504" s="72" t="s">
        <v>197</v>
      </c>
      <c r="B1504" s="73" t="s">
        <v>31</v>
      </c>
      <c r="C1504" s="74" t="str">
        <f>INDEX('TH CANAM'!$A$9:$BF$63,MATCH(PDNam!$F1531,'TH CANAM'!$A$9:$A$63,0),INDEX($J$13:$M$30,MATCH($B1504,$J$13:$J$30,0),K$12))</f>
        <v/>
      </c>
      <c r="D1504" s="74" t="str">
        <f>INDEX('TH CANAM'!$A$9:$BF$63,MATCH(PDNam!$F1531,'TH CANAM'!$A$9:$A$63,0),INDEX($J$13:$M$30,MATCH($B1504,$J$13:$J$30,0),L$12))</f>
        <v/>
      </c>
      <c r="E1504" s="74" t="str">
        <f>INDEX('TH CANAM'!$A$9:$BF$63,MATCH(PDNam!$F1531,'TH CANAM'!$A$9:$A$63,0),INDEX($J$13:$M$30,MATCH($B1504,$J$13:$J$30,0),M$12))</f>
        <v/>
      </c>
      <c r="F1504" s="73"/>
      <c r="I1504" s="64"/>
      <c r="J1504" s="64"/>
    </row>
    <row r="1505" spans="1:10" ht="21" customHeight="1">
      <c r="A1505" s="72" t="s">
        <v>198</v>
      </c>
      <c r="B1505" s="73" t="s">
        <v>32</v>
      </c>
      <c r="C1505" s="74" t="str">
        <f>INDEX('TH CANAM'!$A$9:$BF$63,MATCH(PDNam!$F1531,'TH CANAM'!$A$9:$A$63,0),INDEX($J$13:$M$30,MATCH($B1505,$J$13:$J$30,0),K$12))</f>
        <v/>
      </c>
      <c r="D1505" s="74" t="str">
        <f>INDEX('TH CANAM'!$A$9:$BF$63,MATCH(PDNam!$F1531,'TH CANAM'!$A$9:$A$63,0),INDEX($J$13:$M$30,MATCH($B1505,$J$13:$J$30,0),L$12))</f>
        <v/>
      </c>
      <c r="E1505" s="74" t="str">
        <f>INDEX('TH CANAM'!$A$9:$BF$63,MATCH(PDNam!$F1531,'TH CANAM'!$A$9:$A$63,0),INDEX($J$13:$M$30,MATCH($B1505,$J$13:$J$30,0),M$12))</f>
        <v/>
      </c>
      <c r="F1505" s="73"/>
      <c r="I1505" s="64"/>
      <c r="J1505" s="64"/>
    </row>
    <row r="1506" spans="1:10" ht="21" customHeight="1">
      <c r="A1506" s="72" t="s">
        <v>199</v>
      </c>
      <c r="B1506" s="73" t="s">
        <v>33</v>
      </c>
      <c r="C1506" s="74" t="str">
        <f>INDEX('TH CANAM'!$A$9:$BF$63,MATCH(PDNam!$F1531,'TH CANAM'!$A$9:$A$63,0),INDEX($J$13:$M$30,MATCH($B1506,$J$13:$J$30,0),K$12))</f>
        <v/>
      </c>
      <c r="D1506" s="74" t="str">
        <f>INDEX('TH CANAM'!$A$9:$BF$63,MATCH(PDNam!$F1531,'TH CANAM'!$A$9:$A$63,0),INDEX($J$13:$M$30,MATCH($B1506,$J$13:$J$30,0),L$12))</f>
        <v/>
      </c>
      <c r="E1506" s="74" t="str">
        <f>INDEX('TH CANAM'!$A$9:$BF$63,MATCH(PDNam!$F1531,'TH CANAM'!$A$9:$A$63,0),INDEX($J$13:$M$30,MATCH($B1506,$J$13:$J$30,0),M$12))</f>
        <v/>
      </c>
      <c r="F1506" s="73"/>
      <c r="I1506" s="64"/>
      <c r="J1506" s="64"/>
    </row>
    <row r="1507" spans="1:10" ht="21" customHeight="1">
      <c r="A1507" s="72" t="s">
        <v>200</v>
      </c>
      <c r="B1507" s="73" t="s">
        <v>60</v>
      </c>
      <c r="C1507" s="74" t="str">
        <f>INDEX('TH CANAM'!$A$9:$BF$63,MATCH(PDNam!$F1531,'TH CANAM'!$A$9:$A$63,0),INDEX($J$13:$M$30,MATCH($B1507,$J$13:$J$30,0),K$12))</f>
        <v/>
      </c>
      <c r="D1507" s="74" t="str">
        <f>INDEX('TH CANAM'!$A$9:$BF$63,MATCH(PDNam!$F1531,'TH CANAM'!$A$9:$A$63,0),INDEX($J$13:$M$30,MATCH($B1507,$J$13:$J$30,0),L$12))</f>
        <v/>
      </c>
      <c r="E1507" s="74" t="str">
        <f>INDEX('TH CANAM'!$A$9:$BF$63,MATCH(PDNam!$F1531,'TH CANAM'!$A$9:$A$63,0),INDEX($J$13:$M$30,MATCH($B1507,$J$13:$J$30,0),M$12))</f>
        <v/>
      </c>
      <c r="F1507" s="73"/>
      <c r="I1507" s="64"/>
      <c r="J1507" s="64"/>
    </row>
    <row r="1508" spans="1:10" ht="21" customHeight="1">
      <c r="A1508" s="72" t="s">
        <v>201</v>
      </c>
      <c r="B1508" s="73" t="s">
        <v>34</v>
      </c>
      <c r="C1508" s="74" t="str">
        <f>INDEX('TH CANAM'!$A$9:$BF$63,MATCH(PDNam!$F1531,'TH CANAM'!$A$9:$A$63,0),INDEX($J$13:$M$30,MATCH($B1508,$J$13:$J$30,0),K$12))</f>
        <v/>
      </c>
      <c r="D1508" s="74" t="str">
        <f>INDEX('TH CANAM'!$A$9:$BF$63,MATCH(PDNam!$F1531,'TH CANAM'!$A$9:$A$63,0),INDEX($J$13:$M$30,MATCH($B1508,$J$13:$J$30,0),L$12))</f>
        <v/>
      </c>
      <c r="E1508" s="74" t="str">
        <f>INDEX('TH CANAM'!$A$9:$BF$63,MATCH(PDNam!$F1531,'TH CANAM'!$A$9:$A$63,0),INDEX($J$13:$M$30,MATCH($B1508,$J$13:$J$30,0),M$12))</f>
        <v/>
      </c>
      <c r="F1508" s="73"/>
      <c r="I1508" s="64"/>
      <c r="J1508" s="64"/>
    </row>
    <row r="1509" spans="1:10" ht="21" customHeight="1">
      <c r="A1509" s="72" t="s">
        <v>202</v>
      </c>
      <c r="B1509" s="73" t="s">
        <v>35</v>
      </c>
      <c r="C1509" s="74" t="str">
        <f>INDEX('TH CANAM'!$A$9:$BF$63,MATCH(PDNam!$F1531,'TH CANAM'!$A$9:$A$63,0),INDEX($J$13:$M$30,MATCH($B1509,$J$13:$J$30,0),K$12))</f>
        <v/>
      </c>
      <c r="D1509" s="74" t="str">
        <f>INDEX('TH CANAM'!$A$9:$BF$63,MATCH(PDNam!$F1531,'TH CANAM'!$A$9:$A$63,0),INDEX($J$13:$M$30,MATCH($B1509,$J$13:$J$30,0),L$12))</f>
        <v/>
      </c>
      <c r="E1509" s="74" t="str">
        <f>INDEX('TH CANAM'!$A$9:$BF$63,MATCH(PDNam!$F1531,'TH CANAM'!$A$9:$A$63,0),INDEX($J$13:$M$30,MATCH($B1509,$J$13:$J$30,0),M$12))</f>
        <v/>
      </c>
      <c r="F1509" s="73"/>
      <c r="I1509" s="64"/>
      <c r="J1509" s="64"/>
    </row>
    <row r="1510" spans="1:10" ht="21" customHeight="1">
      <c r="A1510" s="72" t="s">
        <v>203</v>
      </c>
      <c r="B1510" s="73" t="s">
        <v>121</v>
      </c>
      <c r="C1510" s="74" t="str">
        <f>INDEX('TH CANAM'!$A$9:$BF$63,MATCH(PDNam!$F1531,'TH CANAM'!$A$9:$A$63,0),INDEX($J$13:$M$30,MATCH($B1510,$J$13:$J$30,0),K$12))</f>
        <v/>
      </c>
      <c r="D1510" s="74" t="str">
        <f>INDEX('TH CANAM'!$A$9:$BF$63,MATCH(PDNam!$F1531,'TH CANAM'!$A$9:$A$63,0),INDEX($J$13:$M$30,MATCH($B1510,$J$13:$J$30,0),L$12))</f>
        <v/>
      </c>
      <c r="E1510" s="74" t="str">
        <f>INDEX('TH CANAM'!$A$9:$BF$63,MATCH(PDNam!$F1531,'TH CANAM'!$A$9:$A$63,0),INDEX($J$13:$M$30,MATCH($B1510,$J$13:$J$30,0),M$12))</f>
        <v/>
      </c>
      <c r="F1510" s="73"/>
      <c r="I1510" s="64"/>
      <c r="J1510" s="64"/>
    </row>
    <row r="1511" spans="1:10" ht="21" customHeight="1">
      <c r="A1511" s="72" t="s">
        <v>204</v>
      </c>
      <c r="B1511" s="73" t="s">
        <v>122</v>
      </c>
      <c r="C1511" s="74" t="str">
        <f>INDEX('TH CANAM'!$A$9:$BF$63,MATCH(PDNam!$F1531,'TH CANAM'!$A$9:$A$63,0),INDEX($J$13:$M$30,MATCH($B1511,$J$13:$J$30,0),K$12))</f>
        <v/>
      </c>
      <c r="D1511" s="74" t="str">
        <f>INDEX('TH CANAM'!$A$9:$BF$63,MATCH(PDNam!$F1531,'TH CANAM'!$A$9:$A$63,0),INDEX($J$13:$M$30,MATCH($B1511,$J$13:$J$30,0),L$12))</f>
        <v/>
      </c>
      <c r="E1511" s="74" t="str">
        <f>INDEX('TH CANAM'!$A$9:$BF$63,MATCH(PDNam!$F1531,'TH CANAM'!$A$9:$A$63,0),INDEX($J$13:$M$30,MATCH($B1511,$J$13:$J$30,0),M$12))</f>
        <v/>
      </c>
      <c r="F1511" s="73"/>
      <c r="I1511" s="64"/>
      <c r="J1511" s="64"/>
    </row>
    <row r="1512" spans="1:10" ht="21" customHeight="1">
      <c r="A1512" s="72" t="s">
        <v>208</v>
      </c>
      <c r="B1512" s="73" t="s">
        <v>205</v>
      </c>
      <c r="C1512" s="78">
        <f>INDEX('TH CANAM'!$A$9:$BF$63,MATCH(PDNam!$F1531,'TH CANAM'!$A$9:$A$63,0),46)</f>
        <v>9.3000000000000007</v>
      </c>
      <c r="D1512" s="78" t="str">
        <f>INDEX('TH CANAM'!$A$9:$BF$63,MATCH(PDNam!$F1531,'TH CANAM'!$A$9:$A$63,0),47)</f>
        <v/>
      </c>
      <c r="E1512" s="78" t="str">
        <f>INDEX('TH CANAM'!$A$9:$BF$63,MATCH(PDNam!$F1531,'TH CANAM'!$A$9:$A$63,0),48)</f>
        <v/>
      </c>
      <c r="F1512" s="73"/>
      <c r="I1512" s="64"/>
      <c r="J1512" s="64"/>
    </row>
    <row r="1513" spans="1:10" ht="21" customHeight="1">
      <c r="A1513" s="72" t="s">
        <v>209</v>
      </c>
      <c r="B1513" s="72" t="s">
        <v>206</v>
      </c>
      <c r="C1513" s="74" t="str">
        <f>IF(INDEX('TH CANAM'!$A$9:$BF$63,MATCH(PDNam!$F1531,'TH CANAM'!$A$9:$A$63,0),49)="Tb","Trung bình",INDEX('TH CANAM'!$A$9:$BF$63,MATCH(PDNam!$F1531,'TH CANAM'!$A$9:$A$63,0),49))</f>
        <v>Giỏi</v>
      </c>
      <c r="D1513" s="74" t="str">
        <f>IF(INDEX('TH CANAM'!$A$9:$BF$63,MATCH(PDNam!$F1531,'TH CANAM'!$A$9:$A$63,0),50)="Tb","Trung bình",INDEX('TH CANAM'!$A$9:$BF$63,MATCH(PDNam!$F1531,'TH CANAM'!$A$9:$A$63,0),50))</f>
        <v/>
      </c>
      <c r="E1513" s="74" t="str">
        <f>IF(INDEX('TH CANAM'!$A$9:$BF$63,MATCH(PDNam!$F1531,'TH CANAM'!$A$9:$A$63,0),51)="Tb","Trung bình",INDEX('TH CANAM'!$A$9:$BF$63,MATCH(PDNam!$F1531,'TH CANAM'!$A$9:$A$63,0),51))</f>
        <v/>
      </c>
      <c r="F1513" s="73"/>
    </row>
    <row r="1514" spans="1:10" ht="21" customHeight="1">
      <c r="A1514" s="72" t="s">
        <v>210</v>
      </c>
      <c r="B1514" s="72" t="s">
        <v>207</v>
      </c>
      <c r="C1514" s="74" t="str">
        <f>INDEX('TH CANAM'!$A$9:$BF$63,MATCH(PDNam!$F1531,'TH CANAM'!$A$9:$A$63,0),52)</f>
        <v>Tốt</v>
      </c>
      <c r="D1514" s="74" t="str">
        <f>INDEX('TH CANAM'!$A$9:$BF$63,MATCH(PDNam!$F1531,'TH CANAM'!$A$9:$A$63,0),53)</f>
        <v/>
      </c>
      <c r="E1514" s="74" t="str">
        <f>INDEX('TH CANAM'!$A$9:$BF$63,MATCH(PDNam!$F1531,'TH CANAM'!$A$9:$A$63,0),54)</f>
        <v/>
      </c>
      <c r="F1514" s="73"/>
    </row>
    <row r="1515" spans="1:10" ht="21" customHeight="1">
      <c r="A1515" s="72" t="s">
        <v>211</v>
      </c>
      <c r="B1515" s="72" t="s">
        <v>25</v>
      </c>
      <c r="C1515" s="74" t="str">
        <f>IF(INDEX('TH CANAM'!$A$9:$BF$63,MATCH(PDNam!$F1531,'TH CANAM'!$A$9:$A$63,0),57)&lt;&gt;"",INDEX('TH CANAM'!$A$9:$BF$63,MATCH(PDNam!$F1531,'TH CANAM'!$A$9:$A$63,0),57),"/")</f>
        <v>HSG</v>
      </c>
      <c r="D1515" s="74" t="str">
        <f>IF(INDEX('TH CANAM'!$A$9:$BF$63,MATCH(PDNam!$F1531,'TH CANAM'!$A$9:$A$63,0),58)&lt;&gt;"",INDEX('TH CANAM'!$A$9:$BF$63,MATCH(PDNam!$F1531,'TH CANAM'!$A$9:$A$63,0),58),"/")</f>
        <v>/</v>
      </c>
      <c r="E1515" s="74" t="str">
        <f>IF(INDEX('TH CANAM'!$A$9:$BF$63,MATCH(PDNam!$F1531,'TH CANAM'!$A$9:$A$63,0),55)&lt;&gt;"",INDEX('TH CANAM'!$A$9:$BF$63,MATCH(PDNam!$F1531,'TH CANAM'!$A$9:$A$63,0),55),"/")</f>
        <v>/</v>
      </c>
      <c r="F1515" s="73"/>
    </row>
    <row r="1516" spans="1:10" s="60" customFormat="1" ht="9" customHeight="1">
      <c r="A1516" s="67"/>
      <c r="B1516" s="67"/>
      <c r="C1516" s="1132"/>
      <c r="D1516" s="1132"/>
      <c r="E1516" s="67"/>
      <c r="F1516" s="67"/>
    </row>
    <row r="1517" spans="1:10" s="60" customFormat="1" ht="18.75" customHeight="1">
      <c r="A1517" s="58" t="s">
        <v>219</v>
      </c>
      <c r="B1517" s="57"/>
      <c r="C1517" s="57"/>
      <c r="D1517" s="57"/>
      <c r="E1517" s="57"/>
      <c r="F1517" s="475"/>
    </row>
    <row r="1518" spans="1:10" s="60" customFormat="1" ht="18.75" customHeight="1">
      <c r="A1518" s="59" t="str">
        <f>IF(F1531&lt;&gt;"",IF(INDEX(BDHK2,MATCH(F1531,DiemHKII!$B$4:$B$58,0),137)&lt;&gt;""," - "&amp;INDEX(BDHK2,MATCH(F1531,DiemHKII!$B$4:$B$58,0),137),""),"")</f>
        <v/>
      </c>
      <c r="B1518" s="57"/>
      <c r="C1518" s="57"/>
      <c r="D1518" s="57"/>
      <c r="E1518" s="57"/>
      <c r="F1518" s="475"/>
    </row>
    <row r="1519" spans="1:10" s="60" customFormat="1" ht="18.75" customHeight="1">
      <c r="A1519" s="59" t="str">
        <f>IF(F1531&lt;&gt;"",IF(INDEX(BDHK2,MATCH(F1531,DiemHKII!$B$4:$B$58,0),138)&lt;&gt;""," - "&amp;INDEX(BDHK2,MATCH(F1531,DiemHKII!$B$4:$B$58,0),138),""),"")</f>
        <v/>
      </c>
      <c r="B1519" s="57"/>
      <c r="C1519" s="57"/>
      <c r="D1519" s="57"/>
      <c r="E1519" s="57"/>
      <c r="F1519" s="475"/>
    </row>
    <row r="1520" spans="1:10" s="60" customFormat="1" ht="18.75" customHeight="1">
      <c r="A1520" s="59" t="str">
        <f>IF(F1531&lt;&gt;"",IF(INDEX(BDHK2,MATCH(F1531,DiemHKII!$B$4:$B$58,0),139)&lt;&gt;""," - "&amp;INDEX(BDHK2,MATCH(F1531,DiemHKII!$B$4:$B$58,0),139),""),"")</f>
        <v/>
      </c>
      <c r="B1520" s="57"/>
      <c r="C1520" s="57"/>
      <c r="D1520" s="57"/>
      <c r="E1520" s="57"/>
      <c r="F1520" s="475"/>
    </row>
    <row r="1521" spans="1:10" s="60" customFormat="1" ht="18.75" customHeight="1">
      <c r="A1521" s="59" t="str">
        <f>IF(F1531&lt;&gt;"",IF(INDEX(BDHK2,MATCH(F1531,DiemHKII!$B$4:$B$58,0),140)&lt;&gt;""," - "&amp;INDEX(BDHK2,MATCH(F1531,DiemHKII!$B$4:$B$58,0),140),""),"")</f>
        <v/>
      </c>
      <c r="B1521" s="57"/>
      <c r="C1521" s="57"/>
      <c r="D1521" s="57"/>
      <c r="E1521" s="57"/>
      <c r="F1521" s="67"/>
    </row>
    <row r="1522" spans="1:10" ht="6" customHeight="1">
      <c r="A1522" s="68"/>
      <c r="B1522" s="68"/>
      <c r="C1522" s="68"/>
      <c r="D1522" s="68"/>
      <c r="E1522" s="68"/>
      <c r="F1522" s="68"/>
    </row>
    <row r="1523" spans="1:10">
      <c r="A1523" s="68"/>
      <c r="B1523" s="68"/>
      <c r="C152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523" s="1060"/>
      <c r="E1523" s="1060"/>
      <c r="F1523" s="1060"/>
    </row>
    <row r="1524" spans="1:10" ht="20.25" customHeight="1">
      <c r="A1524" s="1012" t="str">
        <f>IF($D$39="Hiệu trưởng","Giáo viên Quản nhiệm","")</f>
        <v>Giáo viên Quản nhiệm</v>
      </c>
      <c r="B1524" s="1012"/>
      <c r="C1524" s="61"/>
      <c r="D1524" s="1012" t="str">
        <f>IF($H$7="","",$H$7)</f>
        <v>Hiệu trưởng</v>
      </c>
      <c r="E1524" s="1012"/>
      <c r="F1524" s="61"/>
    </row>
    <row r="1525" spans="1:10">
      <c r="A1525" s="68"/>
      <c r="B1525" s="68"/>
      <c r="C1525" s="68"/>
      <c r="D1525" s="68"/>
      <c r="E1525" s="68"/>
      <c r="F1525" s="68"/>
    </row>
    <row r="1526" spans="1:10">
      <c r="A1526" s="68"/>
      <c r="B1526" s="68"/>
      <c r="C1526" s="68"/>
      <c r="D1526" s="68"/>
      <c r="E1526" s="68"/>
      <c r="F1526" s="68"/>
    </row>
    <row r="1527" spans="1:10" ht="16.8">
      <c r="A1527" s="68"/>
      <c r="B1527" s="68"/>
      <c r="C1527" s="64"/>
      <c r="D1527" s="64"/>
      <c r="E1527" s="64"/>
      <c r="F1527" s="64"/>
      <c r="G1527" s="65"/>
      <c r="H1527" s="65"/>
      <c r="I1527" s="65"/>
      <c r="J1527" s="65"/>
    </row>
    <row r="1529" spans="1:10">
      <c r="A1529" s="1012" t="str">
        <f>IF($A$39="","",PROPER('Huong dan'!$C$4))</f>
        <v/>
      </c>
      <c r="B1529" s="1012"/>
      <c r="D1529" s="1130" t="str">
        <f>IFERROR(IF($D$39="Giáo Viên Quản nhiệm",PROPER('Huong dan'!$C$4),IF($D$39="Hiệu trưởng",PROPER('Huong dan'!$E$5),"")),"")</f>
        <v/>
      </c>
      <c r="E1529" s="1130"/>
    </row>
    <row r="1530" spans="1:10" ht="7.5" customHeight="1"/>
    <row r="1531" spans="1:10" ht="11.25" customHeight="1">
      <c r="A1531" s="75"/>
      <c r="B1531" s="75"/>
      <c r="C1531" s="75"/>
      <c r="D1531" s="75"/>
      <c r="E1531" s="75"/>
      <c r="F1531" s="76">
        <f>IF(F1486="","",IF(F1486&lt;MAX(DiemHKII!$B$4:$B$58),F1486+1,""))</f>
        <v>34</v>
      </c>
    </row>
    <row r="1532" spans="1:10" s="60" customFormat="1" ht="22.5" customHeight="1">
      <c r="A1532" s="1128" t="str">
        <f>IF('Huong dan'!$E$3&lt;&gt;"","SỞ GIÁO DỤC VÀ ĐÀO TẠO "&amp;UPPER('Huong dan'!$E$3),"")</f>
        <v>SỞ GIÁO DỤC VÀ ĐÀO TẠO TP. HỒ CHÍ MINH</v>
      </c>
      <c r="B1532" s="1128"/>
      <c r="C1532" s="1128"/>
      <c r="D1532" s="1129" t="s">
        <v>19</v>
      </c>
      <c r="E1532" s="1129"/>
      <c r="F1532" s="1129"/>
    </row>
    <row r="1533" spans="1:10" ht="17.25" customHeight="1">
      <c r="A1533" s="992" t="str">
        <f>IF('Huong dan'!$E$4&lt;&gt;"","TRƯỜNG "&amp;UPPER('Huong dan'!$E$4),"")</f>
        <v>TRƯỜNG THCS VÀ THPT NGUYỄN KHUYẾN</v>
      </c>
      <c r="B1533" s="992"/>
      <c r="C1533" s="992"/>
      <c r="D1533" s="1130" t="s">
        <v>179</v>
      </c>
      <c r="E1533" s="1130"/>
      <c r="F1533" s="1130"/>
    </row>
    <row r="1534" spans="1:10" ht="12" customHeight="1">
      <c r="A1534" s="69"/>
      <c r="B1534" s="69"/>
      <c r="C1534" s="30"/>
      <c r="D1534" s="30"/>
      <c r="E1534" s="30"/>
      <c r="F1534" s="30"/>
    </row>
    <row r="1535" spans="1:10" ht="18" customHeight="1">
      <c r="A1535" s="69"/>
      <c r="B1535" s="69"/>
      <c r="C1535" s="30"/>
      <c r="D1535" s="30"/>
      <c r="E1535" s="30"/>
      <c r="F1535" s="30"/>
    </row>
    <row r="1536" spans="1:10" ht="29.25" customHeight="1">
      <c r="A1536" s="1013" t="str">
        <f>"PHIẾU ĐIỂM NĂM HỌC "&amp;'Huong dan'!$C$5</f>
        <v>PHIẾU ĐIỂM NĂM HỌC 2021 - 2022</v>
      </c>
      <c r="B1536" s="1013"/>
      <c r="C1536" s="1013"/>
      <c r="D1536" s="1013"/>
      <c r="E1536" s="1013"/>
      <c r="F1536" s="1013"/>
    </row>
    <row r="1537" spans="1:10" ht="12.75" customHeight="1">
      <c r="A1537" s="70"/>
      <c r="B1537" s="66"/>
      <c r="C1537" s="66"/>
      <c r="D1537" s="66"/>
      <c r="E1537" s="66"/>
      <c r="F1537" s="66"/>
    </row>
    <row r="1538" spans="1:10" ht="20.25" customHeight="1">
      <c r="A1538" s="1131" t="s">
        <v>212</v>
      </c>
      <c r="B1538" s="1131"/>
      <c r="C1538" s="77" t="str">
        <f>IF(F1576="","",INDEX(DiemHKII!$E$4:$E$58,MATCH(F1576,DiemHKII!$B$4:$B$58,0),1)&amp;" "&amp;INDEX(DiemHKII!$F$4:$F$58,MATCH(F1576,DiemHKII!$B$4:$B$58,0),1))</f>
        <v>Phạm Đức Trung</v>
      </c>
      <c r="D1538" s="77"/>
      <c r="E1538" s="77"/>
      <c r="F1538" s="71" t="str">
        <f>IF('Huong dan'!$C$3="","","Lớp: "&amp;'Huong dan'!$C$3)</f>
        <v>Lớp: 12A1</v>
      </c>
    </row>
    <row r="1539" spans="1:10" ht="24" customHeight="1">
      <c r="A1539" s="1131" t="s">
        <v>213</v>
      </c>
      <c r="B1539" s="1131"/>
      <c r="C1539" s="77" t="str">
        <f>IF(F1576="","",INDEX(DiemHKII!$G$4:$G$58,MATCH(F1576,DiemHKII!$B$4:$B$58,0),1))</f>
        <v>07/10/2004</v>
      </c>
      <c r="D1539" s="77"/>
      <c r="E1539" s="1133" t="str">
        <f>IF(F1576="","","Nơi sinh: "&amp;INDEX(DiemHKII!$H$4:$H$58,MATCH(F1576,DiemHKII!$B$4:$B$58,0),1))</f>
        <v xml:space="preserve">Nơi sinh: </v>
      </c>
      <c r="F1539" s="1133"/>
    </row>
    <row r="1540" spans="1:10" ht="15" customHeight="1">
      <c r="A1540" s="62"/>
      <c r="B1540" s="62"/>
      <c r="C1540" s="62"/>
      <c r="D1540" s="62"/>
      <c r="E1540" s="62"/>
      <c r="F1540" s="63"/>
    </row>
    <row r="1541" spans="1:10" ht="21" customHeight="1">
      <c r="A1541" s="1134" t="s">
        <v>0</v>
      </c>
      <c r="B1541" s="1134" t="s">
        <v>72</v>
      </c>
      <c r="C1541" s="1134" t="s">
        <v>216</v>
      </c>
      <c r="D1541" s="1134"/>
      <c r="E1541" s="1134"/>
      <c r="F1541" s="1134" t="s">
        <v>148</v>
      </c>
    </row>
    <row r="1542" spans="1:10" ht="21" customHeight="1">
      <c r="A1542" s="1134"/>
      <c r="B1542" s="1134"/>
      <c r="C1542" s="476" t="s">
        <v>188</v>
      </c>
      <c r="D1542" s="476" t="s">
        <v>189</v>
      </c>
      <c r="E1542" s="476" t="s">
        <v>190</v>
      </c>
      <c r="F1542" s="1134"/>
    </row>
    <row r="1543" spans="1:10" ht="21" customHeight="1">
      <c r="A1543" s="72" t="s">
        <v>191</v>
      </c>
      <c r="B1543" s="73" t="s">
        <v>26</v>
      </c>
      <c r="C1543" s="74" t="str">
        <f>INDEX('TH CANAM'!$A$9:$BF$63,MATCH(PDNam!$F1576,'TH CANAM'!$A$9:$A$63,0),INDEX($J$13:$M$30,MATCH($B1543,$J$13:$J$30,0),K$12))</f>
        <v/>
      </c>
      <c r="D1543" s="74" t="str">
        <f>INDEX('TH CANAM'!$A$9:$BF$63,MATCH(PDNam!$F1576,'TH CANAM'!$A$9:$A$63,0),INDEX($J$13:$M$30,MATCH($B1543,$J$13:$J$30,0),L$12))</f>
        <v/>
      </c>
      <c r="E1543" s="74" t="str">
        <f>INDEX('TH CANAM'!$A$9:$BF$63,MATCH(PDNam!$F1576,'TH CANAM'!$A$9:$A$63,0),INDEX($J$13:$M$30,MATCH($B1543,$J$13:$J$30,0),M$12))</f>
        <v/>
      </c>
      <c r="F1543" s="73"/>
      <c r="I1543" s="64"/>
      <c r="J1543" s="64"/>
    </row>
    <row r="1544" spans="1:10" ht="21" customHeight="1">
      <c r="A1544" s="72" t="s">
        <v>192</v>
      </c>
      <c r="B1544" s="73" t="s">
        <v>27</v>
      </c>
      <c r="C1544" s="74" t="str">
        <f>INDEX('TH CANAM'!$A$9:$BF$63,MATCH(PDNam!$F1576,'TH CANAM'!$A$9:$A$63,0),INDEX($J$13:$M$30,MATCH($B1544,$J$13:$J$30,0),K$12))</f>
        <v/>
      </c>
      <c r="D1544" s="74" t="str">
        <f>INDEX('TH CANAM'!$A$9:$BF$63,MATCH(PDNam!$F1576,'TH CANAM'!$A$9:$A$63,0),INDEX($J$13:$M$30,MATCH($B1544,$J$13:$J$30,0),L$12))</f>
        <v/>
      </c>
      <c r="E1544" s="74" t="str">
        <f>INDEX('TH CANAM'!$A$9:$BF$63,MATCH(PDNam!$F1576,'TH CANAM'!$A$9:$A$63,0),INDEX($J$13:$M$30,MATCH($B1544,$J$13:$J$30,0),M$12))</f>
        <v/>
      </c>
      <c r="F1544" s="73"/>
      <c r="I1544" s="64"/>
      <c r="J1544" s="64"/>
    </row>
    <row r="1545" spans="1:10" ht="21" customHeight="1">
      <c r="A1545" s="72" t="s">
        <v>193</v>
      </c>
      <c r="B1545" s="73" t="s">
        <v>28</v>
      </c>
      <c r="C1545" s="74" t="str">
        <f>INDEX('TH CANAM'!$A$9:$BF$63,MATCH(PDNam!$F1576,'TH CANAM'!$A$9:$A$63,0),INDEX($J$13:$M$30,MATCH($B1545,$J$13:$J$30,0),K$12))</f>
        <v/>
      </c>
      <c r="D1545" s="74" t="str">
        <f>INDEX('TH CANAM'!$A$9:$BF$63,MATCH(PDNam!$F1576,'TH CANAM'!$A$9:$A$63,0),INDEX($J$13:$M$30,MATCH($B1545,$J$13:$J$30,0),L$12))</f>
        <v/>
      </c>
      <c r="E1545" s="74" t="str">
        <f>INDEX('TH CANAM'!$A$9:$BF$63,MATCH(PDNam!$F1576,'TH CANAM'!$A$9:$A$63,0),INDEX($J$13:$M$30,MATCH($B1545,$J$13:$J$30,0),M$12))</f>
        <v/>
      </c>
      <c r="F1545" s="73"/>
      <c r="I1545" s="64"/>
      <c r="J1545" s="64"/>
    </row>
    <row r="1546" spans="1:10" ht="21" customHeight="1">
      <c r="A1546" s="72" t="s">
        <v>194</v>
      </c>
      <c r="B1546" s="73" t="s">
        <v>29</v>
      </c>
      <c r="C1546" s="74" t="str">
        <f>INDEX('TH CANAM'!$A$9:$BF$63,MATCH(PDNam!$F1576,'TH CANAM'!$A$9:$A$63,0),INDEX($J$13:$M$30,MATCH($B1546,$J$13:$J$30,0),K$12))</f>
        <v/>
      </c>
      <c r="D1546" s="74" t="str">
        <f>INDEX('TH CANAM'!$A$9:$BF$63,MATCH(PDNam!$F1576,'TH CANAM'!$A$9:$A$63,0),INDEX($J$13:$M$30,MATCH($B1546,$J$13:$J$30,0),L$12))</f>
        <v/>
      </c>
      <c r="E1546" s="74" t="str">
        <f>INDEX('TH CANAM'!$A$9:$BF$63,MATCH(PDNam!$F1576,'TH CANAM'!$A$9:$A$63,0),INDEX($J$13:$M$30,MATCH($B1546,$J$13:$J$30,0),M$12))</f>
        <v/>
      </c>
      <c r="F1546" s="73"/>
      <c r="I1546" s="64"/>
      <c r="J1546" s="64"/>
    </row>
    <row r="1547" spans="1:10" ht="21" customHeight="1">
      <c r="A1547" s="72" t="s">
        <v>195</v>
      </c>
      <c r="B1547" s="73" t="s">
        <v>120</v>
      </c>
      <c r="C1547" s="74" t="str">
        <f>INDEX('TH CANAM'!$A$9:$BF$63,MATCH(PDNam!$F1576,'TH CANAM'!$A$9:$A$63,0),INDEX($J$13:$M$30,MATCH($B1547,$J$13:$J$30,0),K$12))</f>
        <v/>
      </c>
      <c r="D1547" s="74" t="str">
        <f>INDEX('TH CANAM'!$A$9:$BF$63,MATCH(PDNam!$F1576,'TH CANAM'!$A$9:$A$63,0),INDEX($J$13:$M$30,MATCH($B1547,$J$13:$J$30,0),L$12))</f>
        <v/>
      </c>
      <c r="E1547" s="74" t="str">
        <f>INDEX('TH CANAM'!$A$9:$BF$63,MATCH(PDNam!$F1576,'TH CANAM'!$A$9:$A$63,0),INDEX($J$13:$M$30,MATCH($B1547,$J$13:$J$30,0),M$12))</f>
        <v/>
      </c>
      <c r="F1547" s="73"/>
      <c r="I1547" s="64"/>
      <c r="J1547" s="64"/>
    </row>
    <row r="1548" spans="1:10" ht="21" customHeight="1">
      <c r="A1548" s="72" t="s">
        <v>196</v>
      </c>
      <c r="B1548" s="73" t="s">
        <v>30</v>
      </c>
      <c r="C1548" s="74" t="str">
        <f>INDEX('TH CANAM'!$A$9:$BF$63,MATCH(PDNam!$F1576,'TH CANAM'!$A$9:$A$63,0),INDEX($J$13:$M$30,MATCH($B1548,$J$13:$J$30,0),K$12))</f>
        <v/>
      </c>
      <c r="D1548" s="74" t="str">
        <f>INDEX('TH CANAM'!$A$9:$BF$63,MATCH(PDNam!$F1576,'TH CANAM'!$A$9:$A$63,0),INDEX($J$13:$M$30,MATCH($B1548,$J$13:$J$30,0),L$12))</f>
        <v/>
      </c>
      <c r="E1548" s="74" t="str">
        <f>INDEX('TH CANAM'!$A$9:$BF$63,MATCH(PDNam!$F1576,'TH CANAM'!$A$9:$A$63,0),INDEX($J$13:$M$30,MATCH($B1548,$J$13:$J$30,0),M$12))</f>
        <v/>
      </c>
      <c r="F1548" s="73"/>
      <c r="I1548" s="64"/>
      <c r="J1548" s="64"/>
    </row>
    <row r="1549" spans="1:10" ht="21" customHeight="1">
      <c r="A1549" s="72" t="s">
        <v>197</v>
      </c>
      <c r="B1549" s="73" t="s">
        <v>31</v>
      </c>
      <c r="C1549" s="74" t="str">
        <f>INDEX('TH CANAM'!$A$9:$BF$63,MATCH(PDNam!$F1576,'TH CANAM'!$A$9:$A$63,0),INDEX($J$13:$M$30,MATCH($B1549,$J$13:$J$30,0),K$12))</f>
        <v/>
      </c>
      <c r="D1549" s="74" t="str">
        <f>INDEX('TH CANAM'!$A$9:$BF$63,MATCH(PDNam!$F1576,'TH CANAM'!$A$9:$A$63,0),INDEX($J$13:$M$30,MATCH($B1549,$J$13:$J$30,0),L$12))</f>
        <v/>
      </c>
      <c r="E1549" s="74" t="str">
        <f>INDEX('TH CANAM'!$A$9:$BF$63,MATCH(PDNam!$F1576,'TH CANAM'!$A$9:$A$63,0),INDEX($J$13:$M$30,MATCH($B1549,$J$13:$J$30,0),M$12))</f>
        <v/>
      </c>
      <c r="F1549" s="73"/>
      <c r="I1549" s="64"/>
      <c r="J1549" s="64"/>
    </row>
    <row r="1550" spans="1:10" ht="21" customHeight="1">
      <c r="A1550" s="72" t="s">
        <v>198</v>
      </c>
      <c r="B1550" s="73" t="s">
        <v>32</v>
      </c>
      <c r="C1550" s="74" t="str">
        <f>INDEX('TH CANAM'!$A$9:$BF$63,MATCH(PDNam!$F1576,'TH CANAM'!$A$9:$A$63,0),INDEX($J$13:$M$30,MATCH($B1550,$J$13:$J$30,0),K$12))</f>
        <v/>
      </c>
      <c r="D1550" s="74" t="str">
        <f>INDEX('TH CANAM'!$A$9:$BF$63,MATCH(PDNam!$F1576,'TH CANAM'!$A$9:$A$63,0),INDEX($J$13:$M$30,MATCH($B1550,$J$13:$J$30,0),L$12))</f>
        <v/>
      </c>
      <c r="E1550" s="74" t="str">
        <f>INDEX('TH CANAM'!$A$9:$BF$63,MATCH(PDNam!$F1576,'TH CANAM'!$A$9:$A$63,0),INDEX($J$13:$M$30,MATCH($B1550,$J$13:$J$30,0),M$12))</f>
        <v/>
      </c>
      <c r="F1550" s="73"/>
      <c r="I1550" s="64"/>
      <c r="J1550" s="64"/>
    </row>
    <row r="1551" spans="1:10" ht="21" customHeight="1">
      <c r="A1551" s="72" t="s">
        <v>199</v>
      </c>
      <c r="B1551" s="73" t="s">
        <v>33</v>
      </c>
      <c r="C1551" s="74" t="str">
        <f>INDEX('TH CANAM'!$A$9:$BF$63,MATCH(PDNam!$F1576,'TH CANAM'!$A$9:$A$63,0),INDEX($J$13:$M$30,MATCH($B1551,$J$13:$J$30,0),K$12))</f>
        <v/>
      </c>
      <c r="D1551" s="74" t="str">
        <f>INDEX('TH CANAM'!$A$9:$BF$63,MATCH(PDNam!$F1576,'TH CANAM'!$A$9:$A$63,0),INDEX($J$13:$M$30,MATCH($B1551,$J$13:$J$30,0),L$12))</f>
        <v/>
      </c>
      <c r="E1551" s="74" t="str">
        <f>INDEX('TH CANAM'!$A$9:$BF$63,MATCH(PDNam!$F1576,'TH CANAM'!$A$9:$A$63,0),INDEX($J$13:$M$30,MATCH($B1551,$J$13:$J$30,0),M$12))</f>
        <v/>
      </c>
      <c r="F1551" s="73"/>
      <c r="I1551" s="64"/>
      <c r="J1551" s="64"/>
    </row>
    <row r="1552" spans="1:10" ht="21" customHeight="1">
      <c r="A1552" s="72" t="s">
        <v>200</v>
      </c>
      <c r="B1552" s="73" t="s">
        <v>60</v>
      </c>
      <c r="C1552" s="74" t="str">
        <f>INDEX('TH CANAM'!$A$9:$BF$63,MATCH(PDNam!$F1576,'TH CANAM'!$A$9:$A$63,0),INDEX($J$13:$M$30,MATCH($B1552,$J$13:$J$30,0),K$12))</f>
        <v/>
      </c>
      <c r="D1552" s="74" t="str">
        <f>INDEX('TH CANAM'!$A$9:$BF$63,MATCH(PDNam!$F1576,'TH CANAM'!$A$9:$A$63,0),INDEX($J$13:$M$30,MATCH($B1552,$J$13:$J$30,0),L$12))</f>
        <v/>
      </c>
      <c r="E1552" s="74" t="str">
        <f>INDEX('TH CANAM'!$A$9:$BF$63,MATCH(PDNam!$F1576,'TH CANAM'!$A$9:$A$63,0),INDEX($J$13:$M$30,MATCH($B1552,$J$13:$J$30,0),M$12))</f>
        <v/>
      </c>
      <c r="F1552" s="73"/>
      <c r="I1552" s="64"/>
      <c r="J1552" s="64"/>
    </row>
    <row r="1553" spans="1:10" ht="21" customHeight="1">
      <c r="A1553" s="72" t="s">
        <v>201</v>
      </c>
      <c r="B1553" s="73" t="s">
        <v>34</v>
      </c>
      <c r="C1553" s="74" t="str">
        <f>INDEX('TH CANAM'!$A$9:$BF$63,MATCH(PDNam!$F1576,'TH CANAM'!$A$9:$A$63,0),INDEX($J$13:$M$30,MATCH($B1553,$J$13:$J$30,0),K$12))</f>
        <v/>
      </c>
      <c r="D1553" s="74" t="str">
        <f>INDEX('TH CANAM'!$A$9:$BF$63,MATCH(PDNam!$F1576,'TH CANAM'!$A$9:$A$63,0),INDEX($J$13:$M$30,MATCH($B1553,$J$13:$J$30,0),L$12))</f>
        <v/>
      </c>
      <c r="E1553" s="74" t="str">
        <f>INDEX('TH CANAM'!$A$9:$BF$63,MATCH(PDNam!$F1576,'TH CANAM'!$A$9:$A$63,0),INDEX($J$13:$M$30,MATCH($B1553,$J$13:$J$30,0),M$12))</f>
        <v/>
      </c>
      <c r="F1553" s="73"/>
      <c r="I1553" s="64"/>
      <c r="J1553" s="64"/>
    </row>
    <row r="1554" spans="1:10" ht="21" customHeight="1">
      <c r="A1554" s="72" t="s">
        <v>202</v>
      </c>
      <c r="B1554" s="73" t="s">
        <v>35</v>
      </c>
      <c r="C1554" s="74" t="str">
        <f>INDEX('TH CANAM'!$A$9:$BF$63,MATCH(PDNam!$F1576,'TH CANAM'!$A$9:$A$63,0),INDEX($J$13:$M$30,MATCH($B1554,$J$13:$J$30,0),K$12))</f>
        <v/>
      </c>
      <c r="D1554" s="74" t="str">
        <f>INDEX('TH CANAM'!$A$9:$BF$63,MATCH(PDNam!$F1576,'TH CANAM'!$A$9:$A$63,0),INDEX($J$13:$M$30,MATCH($B1554,$J$13:$J$30,0),L$12))</f>
        <v/>
      </c>
      <c r="E1554" s="74" t="str">
        <f>INDEX('TH CANAM'!$A$9:$BF$63,MATCH(PDNam!$F1576,'TH CANAM'!$A$9:$A$63,0),INDEX($J$13:$M$30,MATCH($B1554,$J$13:$J$30,0),M$12))</f>
        <v/>
      </c>
      <c r="F1554" s="73"/>
      <c r="I1554" s="64"/>
      <c r="J1554" s="64"/>
    </row>
    <row r="1555" spans="1:10" ht="21" customHeight="1">
      <c r="A1555" s="72" t="s">
        <v>203</v>
      </c>
      <c r="B1555" s="73" t="s">
        <v>121</v>
      </c>
      <c r="C1555" s="74" t="str">
        <f>INDEX('TH CANAM'!$A$9:$BF$63,MATCH(PDNam!$F1576,'TH CANAM'!$A$9:$A$63,0),INDEX($J$13:$M$30,MATCH($B1555,$J$13:$J$30,0),K$12))</f>
        <v/>
      </c>
      <c r="D1555" s="74" t="str">
        <f>INDEX('TH CANAM'!$A$9:$BF$63,MATCH(PDNam!$F1576,'TH CANAM'!$A$9:$A$63,0),INDEX($J$13:$M$30,MATCH($B1555,$J$13:$J$30,0),L$12))</f>
        <v/>
      </c>
      <c r="E1555" s="74" t="str">
        <f>INDEX('TH CANAM'!$A$9:$BF$63,MATCH(PDNam!$F1576,'TH CANAM'!$A$9:$A$63,0),INDEX($J$13:$M$30,MATCH($B1555,$J$13:$J$30,0),M$12))</f>
        <v/>
      </c>
      <c r="F1555" s="73"/>
      <c r="I1555" s="64"/>
      <c r="J1555" s="64"/>
    </row>
    <row r="1556" spans="1:10" ht="21" customHeight="1">
      <c r="A1556" s="72" t="s">
        <v>204</v>
      </c>
      <c r="B1556" s="73" t="s">
        <v>122</v>
      </c>
      <c r="C1556" s="74" t="str">
        <f>INDEX('TH CANAM'!$A$9:$BF$63,MATCH(PDNam!$F1576,'TH CANAM'!$A$9:$A$63,0),INDEX($J$13:$M$30,MATCH($B1556,$J$13:$J$30,0),K$12))</f>
        <v/>
      </c>
      <c r="D1556" s="74" t="str">
        <f>INDEX('TH CANAM'!$A$9:$BF$63,MATCH(PDNam!$F1576,'TH CANAM'!$A$9:$A$63,0),INDEX($J$13:$M$30,MATCH($B1556,$J$13:$J$30,0),L$12))</f>
        <v/>
      </c>
      <c r="E1556" s="74" t="str">
        <f>INDEX('TH CANAM'!$A$9:$BF$63,MATCH(PDNam!$F1576,'TH CANAM'!$A$9:$A$63,0),INDEX($J$13:$M$30,MATCH($B1556,$J$13:$J$30,0),M$12))</f>
        <v/>
      </c>
      <c r="F1556" s="73"/>
      <c r="I1556" s="64"/>
      <c r="J1556" s="64"/>
    </row>
    <row r="1557" spans="1:10" ht="21" customHeight="1">
      <c r="A1557" s="72" t="s">
        <v>208</v>
      </c>
      <c r="B1557" s="73" t="s">
        <v>205</v>
      </c>
      <c r="C1557" s="78">
        <f>INDEX('TH CANAM'!$A$9:$BF$63,MATCH(PDNam!$F1576,'TH CANAM'!$A$9:$A$63,0),46)</f>
        <v>9.4</v>
      </c>
      <c r="D1557" s="78" t="str">
        <f>INDEX('TH CANAM'!$A$9:$BF$63,MATCH(PDNam!$F1576,'TH CANAM'!$A$9:$A$63,0),47)</f>
        <v/>
      </c>
      <c r="E1557" s="78" t="str">
        <f>INDEX('TH CANAM'!$A$9:$BF$63,MATCH(PDNam!$F1576,'TH CANAM'!$A$9:$A$63,0),48)</f>
        <v/>
      </c>
      <c r="F1557" s="73"/>
      <c r="I1557" s="64"/>
      <c r="J1557" s="64"/>
    </row>
    <row r="1558" spans="1:10" ht="21" customHeight="1">
      <c r="A1558" s="72" t="s">
        <v>209</v>
      </c>
      <c r="B1558" s="72" t="s">
        <v>206</v>
      </c>
      <c r="C1558" s="74" t="str">
        <f>IF(INDEX('TH CANAM'!$A$9:$BF$63,MATCH(PDNam!$F1576,'TH CANAM'!$A$9:$A$63,0),49)="Tb","Trung bình",INDEX('TH CANAM'!$A$9:$BF$63,MATCH(PDNam!$F1576,'TH CANAM'!$A$9:$A$63,0),49))</f>
        <v>Giỏi</v>
      </c>
      <c r="D1558" s="74" t="str">
        <f>IF(INDEX('TH CANAM'!$A$9:$BF$63,MATCH(PDNam!$F1576,'TH CANAM'!$A$9:$A$63,0),50)="Tb","Trung bình",INDEX('TH CANAM'!$A$9:$BF$63,MATCH(PDNam!$F1576,'TH CANAM'!$A$9:$A$63,0),50))</f>
        <v/>
      </c>
      <c r="E1558" s="74" t="str">
        <f>IF(INDEX('TH CANAM'!$A$9:$BF$63,MATCH(PDNam!$F1576,'TH CANAM'!$A$9:$A$63,0),51)="Tb","Trung bình",INDEX('TH CANAM'!$A$9:$BF$63,MATCH(PDNam!$F1576,'TH CANAM'!$A$9:$A$63,0),51))</f>
        <v/>
      </c>
      <c r="F1558" s="73"/>
    </row>
    <row r="1559" spans="1:10" ht="21" customHeight="1">
      <c r="A1559" s="72" t="s">
        <v>210</v>
      </c>
      <c r="B1559" s="72" t="s">
        <v>207</v>
      </c>
      <c r="C1559" s="74" t="str">
        <f>INDEX('TH CANAM'!$A$9:$BF$63,MATCH(PDNam!$F1576,'TH CANAM'!$A$9:$A$63,0),52)</f>
        <v>Tốt</v>
      </c>
      <c r="D1559" s="74" t="str">
        <f>INDEX('TH CANAM'!$A$9:$BF$63,MATCH(PDNam!$F1576,'TH CANAM'!$A$9:$A$63,0),53)</f>
        <v/>
      </c>
      <c r="E1559" s="74" t="str">
        <f>INDEX('TH CANAM'!$A$9:$BF$63,MATCH(PDNam!$F1576,'TH CANAM'!$A$9:$A$63,0),54)</f>
        <v/>
      </c>
      <c r="F1559" s="73"/>
    </row>
    <row r="1560" spans="1:10" ht="21" customHeight="1">
      <c r="A1560" s="72" t="s">
        <v>211</v>
      </c>
      <c r="B1560" s="72" t="s">
        <v>25</v>
      </c>
      <c r="C1560" s="74" t="str">
        <f>IF(INDEX('TH CANAM'!$A$9:$BF$63,MATCH(PDNam!$F1576,'TH CANAM'!$A$9:$A$63,0),57)&lt;&gt;"",INDEX('TH CANAM'!$A$9:$BF$63,MATCH(PDNam!$F1576,'TH CANAM'!$A$9:$A$63,0),57),"/")</f>
        <v>HSG</v>
      </c>
      <c r="D1560" s="74" t="str">
        <f>IF(INDEX('TH CANAM'!$A$9:$BF$63,MATCH(PDNam!$F1576,'TH CANAM'!$A$9:$A$63,0),58)&lt;&gt;"",INDEX('TH CANAM'!$A$9:$BF$63,MATCH(PDNam!$F1576,'TH CANAM'!$A$9:$A$63,0),58),"/")</f>
        <v>/</v>
      </c>
      <c r="E1560" s="74" t="str">
        <f>IF(INDEX('TH CANAM'!$A$9:$BF$63,MATCH(PDNam!$F1576,'TH CANAM'!$A$9:$A$63,0),55)&lt;&gt;"",INDEX('TH CANAM'!$A$9:$BF$63,MATCH(PDNam!$F1576,'TH CANAM'!$A$9:$A$63,0),55),"/")</f>
        <v>/</v>
      </c>
      <c r="F1560" s="73"/>
    </row>
    <row r="1561" spans="1:10" s="60" customFormat="1" ht="9" customHeight="1">
      <c r="A1561" s="67"/>
      <c r="B1561" s="67"/>
      <c r="C1561" s="1132"/>
      <c r="D1561" s="1132"/>
      <c r="E1561" s="67"/>
      <c r="F1561" s="67"/>
    </row>
    <row r="1562" spans="1:10" s="60" customFormat="1" ht="18.75" customHeight="1">
      <c r="A1562" s="58" t="s">
        <v>219</v>
      </c>
      <c r="B1562" s="57"/>
      <c r="C1562" s="57"/>
      <c r="D1562" s="57"/>
      <c r="E1562" s="57"/>
      <c r="F1562" s="475"/>
    </row>
    <row r="1563" spans="1:10" s="60" customFormat="1" ht="18.75" customHeight="1">
      <c r="A1563" s="59" t="str">
        <f>IF(F1576&lt;&gt;"",IF(INDEX(BDHK2,MATCH(F1576,DiemHKII!$B$4:$B$58,0),137)&lt;&gt;""," - "&amp;INDEX(BDHK2,MATCH(F1576,DiemHKII!$B$4:$B$58,0),137),""),"")</f>
        <v/>
      </c>
      <c r="B1563" s="57"/>
      <c r="C1563" s="57"/>
      <c r="D1563" s="57"/>
      <c r="E1563" s="57"/>
      <c r="F1563" s="475"/>
    </row>
    <row r="1564" spans="1:10" s="60" customFormat="1" ht="18.75" customHeight="1">
      <c r="A1564" s="59" t="str">
        <f>IF(F1576&lt;&gt;"",IF(INDEX(BDHK2,MATCH(F1576,DiemHKII!$B$4:$B$58,0),138)&lt;&gt;""," - "&amp;INDEX(BDHK2,MATCH(F1576,DiemHKII!$B$4:$B$58,0),138),""),"")</f>
        <v/>
      </c>
      <c r="B1564" s="57"/>
      <c r="C1564" s="57"/>
      <c r="D1564" s="57"/>
      <c r="E1564" s="57"/>
      <c r="F1564" s="475"/>
    </row>
    <row r="1565" spans="1:10" s="60" customFormat="1" ht="18.75" customHeight="1">
      <c r="A1565" s="59" t="str">
        <f>IF(F1576&lt;&gt;"",IF(INDEX(BDHK2,MATCH(F1576,DiemHKII!$B$4:$B$58,0),139)&lt;&gt;""," - "&amp;INDEX(BDHK2,MATCH(F1576,DiemHKII!$B$4:$B$58,0),139),""),"")</f>
        <v/>
      </c>
      <c r="B1565" s="57"/>
      <c r="C1565" s="57"/>
      <c r="D1565" s="57"/>
      <c r="E1565" s="57"/>
      <c r="F1565" s="475"/>
    </row>
    <row r="1566" spans="1:10" s="60" customFormat="1" ht="18.75" customHeight="1">
      <c r="A1566" s="59" t="str">
        <f>IF(F1576&lt;&gt;"",IF(INDEX(BDHK2,MATCH(F1576,DiemHKII!$B$4:$B$58,0),140)&lt;&gt;""," - "&amp;INDEX(BDHK2,MATCH(F1576,DiemHKII!$B$4:$B$58,0),140),""),"")</f>
        <v/>
      </c>
      <c r="B1566" s="57"/>
      <c r="C1566" s="57"/>
      <c r="D1566" s="57"/>
      <c r="E1566" s="57"/>
      <c r="F1566" s="67"/>
    </row>
    <row r="1567" spans="1:10" ht="6" customHeight="1">
      <c r="A1567" s="68"/>
      <c r="B1567" s="68"/>
      <c r="C1567" s="68"/>
      <c r="D1567" s="68"/>
      <c r="E1567" s="68"/>
      <c r="F1567" s="68"/>
    </row>
    <row r="1568" spans="1:10">
      <c r="A1568" s="68"/>
      <c r="B1568" s="68"/>
      <c r="C156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568" s="1060"/>
      <c r="E1568" s="1060"/>
      <c r="F1568" s="1060"/>
    </row>
    <row r="1569" spans="1:10" ht="20.25" customHeight="1">
      <c r="A1569" s="1012" t="str">
        <f>IF($D$39="Hiệu trưởng","Giáo viên Quản nhiệm","")</f>
        <v>Giáo viên Quản nhiệm</v>
      </c>
      <c r="B1569" s="1012"/>
      <c r="C1569" s="61"/>
      <c r="D1569" s="1012" t="str">
        <f>IF($H$7="","",$H$7)</f>
        <v>Hiệu trưởng</v>
      </c>
      <c r="E1569" s="1012"/>
      <c r="F1569" s="61"/>
    </row>
    <row r="1570" spans="1:10">
      <c r="A1570" s="68"/>
      <c r="B1570" s="68"/>
      <c r="C1570" s="68"/>
      <c r="D1570" s="68"/>
      <c r="E1570" s="68"/>
      <c r="F1570" s="68"/>
    </row>
    <row r="1571" spans="1:10">
      <c r="A1571" s="68"/>
      <c r="B1571" s="68"/>
      <c r="C1571" s="68"/>
      <c r="D1571" s="68"/>
      <c r="E1571" s="68"/>
      <c r="F1571" s="68"/>
    </row>
    <row r="1572" spans="1:10" ht="16.8">
      <c r="A1572" s="68"/>
      <c r="B1572" s="68"/>
      <c r="C1572" s="64"/>
      <c r="D1572" s="64"/>
      <c r="E1572" s="64"/>
      <c r="F1572" s="64"/>
      <c r="G1572" s="65"/>
      <c r="H1572" s="65"/>
      <c r="I1572" s="65"/>
      <c r="J1572" s="65"/>
    </row>
    <row r="1574" spans="1:10">
      <c r="A1574" s="1012" t="str">
        <f>IF($A$39="","",PROPER('Huong dan'!$C$4))</f>
        <v/>
      </c>
      <c r="B1574" s="1012"/>
      <c r="D1574" s="1130" t="str">
        <f>IFERROR(IF($D$39="Giáo Viên Quản nhiệm",PROPER('Huong dan'!$C$4),IF($D$39="Hiệu trưởng",PROPER('Huong dan'!$E$5),"")),"")</f>
        <v/>
      </c>
      <c r="E1574" s="1130"/>
    </row>
    <row r="1575" spans="1:10" ht="7.5" customHeight="1"/>
    <row r="1576" spans="1:10" ht="11.25" customHeight="1">
      <c r="A1576" s="75"/>
      <c r="B1576" s="75"/>
      <c r="C1576" s="75"/>
      <c r="D1576" s="75"/>
      <c r="E1576" s="75"/>
      <c r="F1576" s="76">
        <f>IF(F1531="","",IF(F1531&lt;MAX(DiemHKII!$B$4:$B$58),F1531+1,""))</f>
        <v>35</v>
      </c>
    </row>
    <row r="1577" spans="1:10" s="60" customFormat="1" ht="22.5" customHeight="1">
      <c r="A1577" s="1128" t="str">
        <f>IF('Huong dan'!$E$3&lt;&gt;"","SỞ GIÁO DỤC VÀ ĐÀO TẠO "&amp;UPPER('Huong dan'!$E$3),"")</f>
        <v>SỞ GIÁO DỤC VÀ ĐÀO TẠO TP. HỒ CHÍ MINH</v>
      </c>
      <c r="B1577" s="1128"/>
      <c r="C1577" s="1128"/>
      <c r="D1577" s="1129" t="s">
        <v>19</v>
      </c>
      <c r="E1577" s="1129"/>
      <c r="F1577" s="1129"/>
    </row>
    <row r="1578" spans="1:10" ht="17.25" customHeight="1">
      <c r="A1578" s="992" t="str">
        <f>IF('Huong dan'!$E$4&lt;&gt;"","TRƯỜNG "&amp;UPPER('Huong dan'!$E$4),"")</f>
        <v>TRƯỜNG THCS VÀ THPT NGUYỄN KHUYẾN</v>
      </c>
      <c r="B1578" s="992"/>
      <c r="C1578" s="992"/>
      <c r="D1578" s="1130" t="s">
        <v>179</v>
      </c>
      <c r="E1578" s="1130"/>
      <c r="F1578" s="1130"/>
    </row>
    <row r="1579" spans="1:10" ht="12" customHeight="1">
      <c r="A1579" s="69"/>
      <c r="B1579" s="69"/>
      <c r="C1579" s="30"/>
      <c r="D1579" s="30"/>
      <c r="E1579" s="30"/>
      <c r="F1579" s="30"/>
    </row>
    <row r="1580" spans="1:10" ht="18" customHeight="1">
      <c r="A1580" s="69"/>
      <c r="B1580" s="69"/>
      <c r="C1580" s="30"/>
      <c r="D1580" s="30"/>
      <c r="E1580" s="30"/>
      <c r="F1580" s="30"/>
    </row>
    <row r="1581" spans="1:10" ht="29.25" customHeight="1">
      <c r="A1581" s="1013" t="str">
        <f>"PHIẾU ĐIỂM NĂM HỌC "&amp;'Huong dan'!$C$5</f>
        <v>PHIẾU ĐIỂM NĂM HỌC 2021 - 2022</v>
      </c>
      <c r="B1581" s="1013"/>
      <c r="C1581" s="1013"/>
      <c r="D1581" s="1013"/>
      <c r="E1581" s="1013"/>
      <c r="F1581" s="1013"/>
    </row>
    <row r="1582" spans="1:10" ht="12.75" customHeight="1">
      <c r="A1582" s="70"/>
      <c r="B1582" s="66"/>
      <c r="C1582" s="66"/>
      <c r="D1582" s="66"/>
      <c r="E1582" s="66"/>
      <c r="F1582" s="66"/>
    </row>
    <row r="1583" spans="1:10" ht="20.25" customHeight="1">
      <c r="A1583" s="1131" t="s">
        <v>212</v>
      </c>
      <c r="B1583" s="1131"/>
      <c r="C1583" s="77" t="str">
        <f>IF(F1621="","",INDEX(DiemHKII!$E$4:$E$58,MATCH(F1621,DiemHKII!$B$4:$B$58,0),1)&amp;" "&amp;INDEX(DiemHKII!$F$4:$F$58,MATCH(F1621,DiemHKII!$B$4:$B$58,0),1))</f>
        <v>Võ Thủy Vân</v>
      </c>
      <c r="D1583" s="77"/>
      <c r="E1583" s="77"/>
      <c r="F1583" s="71" t="str">
        <f>IF('Huong dan'!$C$3="","","Lớp: "&amp;'Huong dan'!$C$3)</f>
        <v>Lớp: 12A1</v>
      </c>
    </row>
    <row r="1584" spans="1:10" ht="24" customHeight="1">
      <c r="A1584" s="1131" t="s">
        <v>213</v>
      </c>
      <c r="B1584" s="1131"/>
      <c r="C1584" s="77" t="str">
        <f>IF(F1621="","",INDEX(DiemHKII!$G$4:$G$58,MATCH(F1621,DiemHKII!$B$4:$B$58,0),1))</f>
        <v>30/10/2004</v>
      </c>
      <c r="D1584" s="77"/>
      <c r="E1584" s="1133" t="str">
        <f>IF(F1621="","","Nơi sinh: "&amp;INDEX(DiemHKII!$H$4:$H$58,MATCH(F1621,DiemHKII!$B$4:$B$58,0),1))</f>
        <v xml:space="preserve">Nơi sinh: </v>
      </c>
      <c r="F1584" s="1133"/>
    </row>
    <row r="1585" spans="1:10" ht="15" customHeight="1">
      <c r="A1585" s="62"/>
      <c r="B1585" s="62"/>
      <c r="C1585" s="62"/>
      <c r="D1585" s="62"/>
      <c r="E1585" s="62"/>
      <c r="F1585" s="63"/>
    </row>
    <row r="1586" spans="1:10" ht="21" customHeight="1">
      <c r="A1586" s="1134" t="s">
        <v>0</v>
      </c>
      <c r="B1586" s="1134" t="s">
        <v>72</v>
      </c>
      <c r="C1586" s="1134" t="s">
        <v>216</v>
      </c>
      <c r="D1586" s="1134"/>
      <c r="E1586" s="1134"/>
      <c r="F1586" s="1134" t="s">
        <v>148</v>
      </c>
    </row>
    <row r="1587" spans="1:10" ht="21" customHeight="1">
      <c r="A1587" s="1134"/>
      <c r="B1587" s="1134"/>
      <c r="C1587" s="476" t="s">
        <v>188</v>
      </c>
      <c r="D1587" s="476" t="s">
        <v>189</v>
      </c>
      <c r="E1587" s="476" t="s">
        <v>190</v>
      </c>
      <c r="F1587" s="1134"/>
    </row>
    <row r="1588" spans="1:10" ht="21" customHeight="1">
      <c r="A1588" s="72" t="s">
        <v>191</v>
      </c>
      <c r="B1588" s="73" t="s">
        <v>26</v>
      </c>
      <c r="C1588" s="74" t="str">
        <f>INDEX('TH CANAM'!$A$9:$BF$63,MATCH(PDNam!$F1621,'TH CANAM'!$A$9:$A$63,0),INDEX($J$13:$M$30,MATCH($B1588,$J$13:$J$30,0),K$12))</f>
        <v/>
      </c>
      <c r="D1588" s="74" t="str">
        <f>INDEX('TH CANAM'!$A$9:$BF$63,MATCH(PDNam!$F1621,'TH CANAM'!$A$9:$A$63,0),INDEX($J$13:$M$30,MATCH($B1588,$J$13:$J$30,0),L$12))</f>
        <v/>
      </c>
      <c r="E1588" s="74" t="str">
        <f>INDEX('TH CANAM'!$A$9:$BF$63,MATCH(PDNam!$F1621,'TH CANAM'!$A$9:$A$63,0),INDEX($J$13:$M$30,MATCH($B1588,$J$13:$J$30,0),M$12))</f>
        <v/>
      </c>
      <c r="F1588" s="73"/>
      <c r="I1588" s="64"/>
      <c r="J1588" s="64"/>
    </row>
    <row r="1589" spans="1:10" ht="21" customHeight="1">
      <c r="A1589" s="72" t="s">
        <v>192</v>
      </c>
      <c r="B1589" s="73" t="s">
        <v>27</v>
      </c>
      <c r="C1589" s="74" t="str">
        <f>INDEX('TH CANAM'!$A$9:$BF$63,MATCH(PDNam!$F1621,'TH CANAM'!$A$9:$A$63,0),INDEX($J$13:$M$30,MATCH($B1589,$J$13:$J$30,0),K$12))</f>
        <v/>
      </c>
      <c r="D1589" s="74" t="str">
        <f>INDEX('TH CANAM'!$A$9:$BF$63,MATCH(PDNam!$F1621,'TH CANAM'!$A$9:$A$63,0),INDEX($J$13:$M$30,MATCH($B1589,$J$13:$J$30,0),L$12))</f>
        <v/>
      </c>
      <c r="E1589" s="74" t="str">
        <f>INDEX('TH CANAM'!$A$9:$BF$63,MATCH(PDNam!$F1621,'TH CANAM'!$A$9:$A$63,0),INDEX($J$13:$M$30,MATCH($B1589,$J$13:$J$30,0),M$12))</f>
        <v/>
      </c>
      <c r="F1589" s="73"/>
      <c r="I1589" s="64"/>
      <c r="J1589" s="64"/>
    </row>
    <row r="1590" spans="1:10" ht="21" customHeight="1">
      <c r="A1590" s="72" t="s">
        <v>193</v>
      </c>
      <c r="B1590" s="73" t="s">
        <v>28</v>
      </c>
      <c r="C1590" s="74" t="str">
        <f>INDEX('TH CANAM'!$A$9:$BF$63,MATCH(PDNam!$F1621,'TH CANAM'!$A$9:$A$63,0),INDEX($J$13:$M$30,MATCH($B1590,$J$13:$J$30,0),K$12))</f>
        <v/>
      </c>
      <c r="D1590" s="74" t="str">
        <f>INDEX('TH CANAM'!$A$9:$BF$63,MATCH(PDNam!$F1621,'TH CANAM'!$A$9:$A$63,0),INDEX($J$13:$M$30,MATCH($B1590,$J$13:$J$30,0),L$12))</f>
        <v/>
      </c>
      <c r="E1590" s="74" t="str">
        <f>INDEX('TH CANAM'!$A$9:$BF$63,MATCH(PDNam!$F1621,'TH CANAM'!$A$9:$A$63,0),INDEX($J$13:$M$30,MATCH($B1590,$J$13:$J$30,0),M$12))</f>
        <v/>
      </c>
      <c r="F1590" s="73"/>
      <c r="I1590" s="64"/>
      <c r="J1590" s="64"/>
    </row>
    <row r="1591" spans="1:10" ht="21" customHeight="1">
      <c r="A1591" s="72" t="s">
        <v>194</v>
      </c>
      <c r="B1591" s="73" t="s">
        <v>29</v>
      </c>
      <c r="C1591" s="74" t="str">
        <f>INDEX('TH CANAM'!$A$9:$BF$63,MATCH(PDNam!$F1621,'TH CANAM'!$A$9:$A$63,0),INDEX($J$13:$M$30,MATCH($B1591,$J$13:$J$30,0),K$12))</f>
        <v/>
      </c>
      <c r="D1591" s="74" t="str">
        <f>INDEX('TH CANAM'!$A$9:$BF$63,MATCH(PDNam!$F1621,'TH CANAM'!$A$9:$A$63,0),INDEX($J$13:$M$30,MATCH($B1591,$J$13:$J$30,0),L$12))</f>
        <v/>
      </c>
      <c r="E1591" s="74" t="str">
        <f>INDEX('TH CANAM'!$A$9:$BF$63,MATCH(PDNam!$F1621,'TH CANAM'!$A$9:$A$63,0),INDEX($J$13:$M$30,MATCH($B1591,$J$13:$J$30,0),M$12))</f>
        <v/>
      </c>
      <c r="F1591" s="73"/>
      <c r="I1591" s="64"/>
      <c r="J1591" s="64"/>
    </row>
    <row r="1592" spans="1:10" ht="21" customHeight="1">
      <c r="A1592" s="72" t="s">
        <v>195</v>
      </c>
      <c r="B1592" s="73" t="s">
        <v>120</v>
      </c>
      <c r="C1592" s="74" t="str">
        <f>INDEX('TH CANAM'!$A$9:$BF$63,MATCH(PDNam!$F1621,'TH CANAM'!$A$9:$A$63,0),INDEX($J$13:$M$30,MATCH($B1592,$J$13:$J$30,0),K$12))</f>
        <v/>
      </c>
      <c r="D1592" s="74" t="str">
        <f>INDEX('TH CANAM'!$A$9:$BF$63,MATCH(PDNam!$F1621,'TH CANAM'!$A$9:$A$63,0),INDEX($J$13:$M$30,MATCH($B1592,$J$13:$J$30,0),L$12))</f>
        <v/>
      </c>
      <c r="E1592" s="74" t="str">
        <f>INDEX('TH CANAM'!$A$9:$BF$63,MATCH(PDNam!$F1621,'TH CANAM'!$A$9:$A$63,0),INDEX($J$13:$M$30,MATCH($B1592,$J$13:$J$30,0),M$12))</f>
        <v/>
      </c>
      <c r="F1592" s="73"/>
      <c r="I1592" s="64"/>
      <c r="J1592" s="64"/>
    </row>
    <row r="1593" spans="1:10" ht="21" customHeight="1">
      <c r="A1593" s="72" t="s">
        <v>196</v>
      </c>
      <c r="B1593" s="73" t="s">
        <v>30</v>
      </c>
      <c r="C1593" s="74" t="str">
        <f>INDEX('TH CANAM'!$A$9:$BF$63,MATCH(PDNam!$F1621,'TH CANAM'!$A$9:$A$63,0),INDEX($J$13:$M$30,MATCH($B1593,$J$13:$J$30,0),K$12))</f>
        <v/>
      </c>
      <c r="D1593" s="74" t="str">
        <f>INDEX('TH CANAM'!$A$9:$BF$63,MATCH(PDNam!$F1621,'TH CANAM'!$A$9:$A$63,0),INDEX($J$13:$M$30,MATCH($B1593,$J$13:$J$30,0),L$12))</f>
        <v/>
      </c>
      <c r="E1593" s="74" t="str">
        <f>INDEX('TH CANAM'!$A$9:$BF$63,MATCH(PDNam!$F1621,'TH CANAM'!$A$9:$A$63,0),INDEX($J$13:$M$30,MATCH($B1593,$J$13:$J$30,0),M$12))</f>
        <v/>
      </c>
      <c r="F1593" s="73"/>
      <c r="I1593" s="64"/>
      <c r="J1593" s="64"/>
    </row>
    <row r="1594" spans="1:10" ht="21" customHeight="1">
      <c r="A1594" s="72" t="s">
        <v>197</v>
      </c>
      <c r="B1594" s="73" t="s">
        <v>31</v>
      </c>
      <c r="C1594" s="74" t="str">
        <f>INDEX('TH CANAM'!$A$9:$BF$63,MATCH(PDNam!$F1621,'TH CANAM'!$A$9:$A$63,0),INDEX($J$13:$M$30,MATCH($B1594,$J$13:$J$30,0),K$12))</f>
        <v/>
      </c>
      <c r="D1594" s="74" t="str">
        <f>INDEX('TH CANAM'!$A$9:$BF$63,MATCH(PDNam!$F1621,'TH CANAM'!$A$9:$A$63,0),INDEX($J$13:$M$30,MATCH($B1594,$J$13:$J$30,0),L$12))</f>
        <v/>
      </c>
      <c r="E1594" s="74" t="str">
        <f>INDEX('TH CANAM'!$A$9:$BF$63,MATCH(PDNam!$F1621,'TH CANAM'!$A$9:$A$63,0),INDEX($J$13:$M$30,MATCH($B1594,$J$13:$J$30,0),M$12))</f>
        <v/>
      </c>
      <c r="F1594" s="73"/>
      <c r="I1594" s="64"/>
      <c r="J1594" s="64"/>
    </row>
    <row r="1595" spans="1:10" ht="21" customHeight="1">
      <c r="A1595" s="72" t="s">
        <v>198</v>
      </c>
      <c r="B1595" s="73" t="s">
        <v>32</v>
      </c>
      <c r="C1595" s="74" t="str">
        <f>INDEX('TH CANAM'!$A$9:$BF$63,MATCH(PDNam!$F1621,'TH CANAM'!$A$9:$A$63,0),INDEX($J$13:$M$30,MATCH($B1595,$J$13:$J$30,0),K$12))</f>
        <v/>
      </c>
      <c r="D1595" s="74" t="str">
        <f>INDEX('TH CANAM'!$A$9:$BF$63,MATCH(PDNam!$F1621,'TH CANAM'!$A$9:$A$63,0),INDEX($J$13:$M$30,MATCH($B1595,$J$13:$J$30,0),L$12))</f>
        <v/>
      </c>
      <c r="E1595" s="74" t="str">
        <f>INDEX('TH CANAM'!$A$9:$BF$63,MATCH(PDNam!$F1621,'TH CANAM'!$A$9:$A$63,0),INDEX($J$13:$M$30,MATCH($B1595,$J$13:$J$30,0),M$12))</f>
        <v/>
      </c>
      <c r="F1595" s="73"/>
      <c r="I1595" s="64"/>
      <c r="J1595" s="64"/>
    </row>
    <row r="1596" spans="1:10" ht="21" customHeight="1">
      <c r="A1596" s="72" t="s">
        <v>199</v>
      </c>
      <c r="B1596" s="73" t="s">
        <v>33</v>
      </c>
      <c r="C1596" s="74" t="str">
        <f>INDEX('TH CANAM'!$A$9:$BF$63,MATCH(PDNam!$F1621,'TH CANAM'!$A$9:$A$63,0),INDEX($J$13:$M$30,MATCH($B1596,$J$13:$J$30,0),K$12))</f>
        <v/>
      </c>
      <c r="D1596" s="74" t="str">
        <f>INDEX('TH CANAM'!$A$9:$BF$63,MATCH(PDNam!$F1621,'TH CANAM'!$A$9:$A$63,0),INDEX($J$13:$M$30,MATCH($B1596,$J$13:$J$30,0),L$12))</f>
        <v/>
      </c>
      <c r="E1596" s="74" t="str">
        <f>INDEX('TH CANAM'!$A$9:$BF$63,MATCH(PDNam!$F1621,'TH CANAM'!$A$9:$A$63,0),INDEX($J$13:$M$30,MATCH($B1596,$J$13:$J$30,0),M$12))</f>
        <v/>
      </c>
      <c r="F1596" s="73"/>
      <c r="I1596" s="64"/>
      <c r="J1596" s="64"/>
    </row>
    <row r="1597" spans="1:10" ht="21" customHeight="1">
      <c r="A1597" s="72" t="s">
        <v>200</v>
      </c>
      <c r="B1597" s="73" t="s">
        <v>60</v>
      </c>
      <c r="C1597" s="74" t="str">
        <f>INDEX('TH CANAM'!$A$9:$BF$63,MATCH(PDNam!$F1621,'TH CANAM'!$A$9:$A$63,0),INDEX($J$13:$M$30,MATCH($B1597,$J$13:$J$30,0),K$12))</f>
        <v/>
      </c>
      <c r="D1597" s="74" t="str">
        <f>INDEX('TH CANAM'!$A$9:$BF$63,MATCH(PDNam!$F1621,'TH CANAM'!$A$9:$A$63,0),INDEX($J$13:$M$30,MATCH($B1597,$J$13:$J$30,0),L$12))</f>
        <v/>
      </c>
      <c r="E1597" s="74" t="str">
        <f>INDEX('TH CANAM'!$A$9:$BF$63,MATCH(PDNam!$F1621,'TH CANAM'!$A$9:$A$63,0),INDEX($J$13:$M$30,MATCH($B1597,$J$13:$J$30,0),M$12))</f>
        <v/>
      </c>
      <c r="F1597" s="73"/>
      <c r="I1597" s="64"/>
      <c r="J1597" s="64"/>
    </row>
    <row r="1598" spans="1:10" ht="21" customHeight="1">
      <c r="A1598" s="72" t="s">
        <v>201</v>
      </c>
      <c r="B1598" s="73" t="s">
        <v>34</v>
      </c>
      <c r="C1598" s="74" t="str">
        <f>INDEX('TH CANAM'!$A$9:$BF$63,MATCH(PDNam!$F1621,'TH CANAM'!$A$9:$A$63,0),INDEX($J$13:$M$30,MATCH($B1598,$J$13:$J$30,0),K$12))</f>
        <v/>
      </c>
      <c r="D1598" s="74" t="str">
        <f>INDEX('TH CANAM'!$A$9:$BF$63,MATCH(PDNam!$F1621,'TH CANAM'!$A$9:$A$63,0),INDEX($J$13:$M$30,MATCH($B1598,$J$13:$J$30,0),L$12))</f>
        <v/>
      </c>
      <c r="E1598" s="74" t="str">
        <f>INDEX('TH CANAM'!$A$9:$BF$63,MATCH(PDNam!$F1621,'TH CANAM'!$A$9:$A$63,0),INDEX($J$13:$M$30,MATCH($B1598,$J$13:$J$30,0),M$12))</f>
        <v/>
      </c>
      <c r="F1598" s="73"/>
      <c r="I1598" s="64"/>
      <c r="J1598" s="64"/>
    </row>
    <row r="1599" spans="1:10" ht="21" customHeight="1">
      <c r="A1599" s="72" t="s">
        <v>202</v>
      </c>
      <c r="B1599" s="73" t="s">
        <v>35</v>
      </c>
      <c r="C1599" s="74" t="str">
        <f>INDEX('TH CANAM'!$A$9:$BF$63,MATCH(PDNam!$F1621,'TH CANAM'!$A$9:$A$63,0),INDEX($J$13:$M$30,MATCH($B1599,$J$13:$J$30,0),K$12))</f>
        <v/>
      </c>
      <c r="D1599" s="74" t="str">
        <f>INDEX('TH CANAM'!$A$9:$BF$63,MATCH(PDNam!$F1621,'TH CANAM'!$A$9:$A$63,0),INDEX($J$13:$M$30,MATCH($B1599,$J$13:$J$30,0),L$12))</f>
        <v/>
      </c>
      <c r="E1599" s="74" t="str">
        <f>INDEX('TH CANAM'!$A$9:$BF$63,MATCH(PDNam!$F1621,'TH CANAM'!$A$9:$A$63,0),INDEX($J$13:$M$30,MATCH($B1599,$J$13:$J$30,0),M$12))</f>
        <v/>
      </c>
      <c r="F1599" s="73"/>
      <c r="I1599" s="64"/>
      <c r="J1599" s="64"/>
    </row>
    <row r="1600" spans="1:10" ht="21" customHeight="1">
      <c r="A1600" s="72" t="s">
        <v>203</v>
      </c>
      <c r="B1600" s="73" t="s">
        <v>121</v>
      </c>
      <c r="C1600" s="74" t="str">
        <f>INDEX('TH CANAM'!$A$9:$BF$63,MATCH(PDNam!$F1621,'TH CANAM'!$A$9:$A$63,0),INDEX($J$13:$M$30,MATCH($B1600,$J$13:$J$30,0),K$12))</f>
        <v/>
      </c>
      <c r="D1600" s="74" t="str">
        <f>INDEX('TH CANAM'!$A$9:$BF$63,MATCH(PDNam!$F1621,'TH CANAM'!$A$9:$A$63,0),INDEX($J$13:$M$30,MATCH($B1600,$J$13:$J$30,0),L$12))</f>
        <v/>
      </c>
      <c r="E1600" s="74" t="str">
        <f>INDEX('TH CANAM'!$A$9:$BF$63,MATCH(PDNam!$F1621,'TH CANAM'!$A$9:$A$63,0),INDEX($J$13:$M$30,MATCH($B1600,$J$13:$J$30,0),M$12))</f>
        <v/>
      </c>
      <c r="F1600" s="73"/>
      <c r="I1600" s="64"/>
      <c r="J1600" s="64"/>
    </row>
    <row r="1601" spans="1:10" ht="21" customHeight="1">
      <c r="A1601" s="72" t="s">
        <v>204</v>
      </c>
      <c r="B1601" s="73" t="s">
        <v>122</v>
      </c>
      <c r="C1601" s="74" t="str">
        <f>INDEX('TH CANAM'!$A$9:$BF$63,MATCH(PDNam!$F1621,'TH CANAM'!$A$9:$A$63,0),INDEX($J$13:$M$30,MATCH($B1601,$J$13:$J$30,0),K$12))</f>
        <v/>
      </c>
      <c r="D1601" s="74" t="str">
        <f>INDEX('TH CANAM'!$A$9:$BF$63,MATCH(PDNam!$F1621,'TH CANAM'!$A$9:$A$63,0),INDEX($J$13:$M$30,MATCH($B1601,$J$13:$J$30,0),L$12))</f>
        <v/>
      </c>
      <c r="E1601" s="74" t="str">
        <f>INDEX('TH CANAM'!$A$9:$BF$63,MATCH(PDNam!$F1621,'TH CANAM'!$A$9:$A$63,0),INDEX($J$13:$M$30,MATCH($B1601,$J$13:$J$30,0),M$12))</f>
        <v/>
      </c>
      <c r="F1601" s="73"/>
      <c r="I1601" s="64"/>
      <c r="J1601" s="64"/>
    </row>
    <row r="1602" spans="1:10" ht="21" customHeight="1">
      <c r="A1602" s="72" t="s">
        <v>208</v>
      </c>
      <c r="B1602" s="73" t="s">
        <v>205</v>
      </c>
      <c r="C1602" s="78">
        <f>INDEX('TH CANAM'!$A$9:$BF$63,MATCH(PDNam!$F1621,'TH CANAM'!$A$9:$A$63,0),46)</f>
        <v>9.6</v>
      </c>
      <c r="D1602" s="78" t="str">
        <f>INDEX('TH CANAM'!$A$9:$BF$63,MATCH(PDNam!$F1621,'TH CANAM'!$A$9:$A$63,0),47)</f>
        <v/>
      </c>
      <c r="E1602" s="78" t="str">
        <f>INDEX('TH CANAM'!$A$9:$BF$63,MATCH(PDNam!$F1621,'TH CANAM'!$A$9:$A$63,0),48)</f>
        <v/>
      </c>
      <c r="F1602" s="73"/>
      <c r="I1602" s="64"/>
      <c r="J1602" s="64"/>
    </row>
    <row r="1603" spans="1:10" ht="21" customHeight="1">
      <c r="A1603" s="72" t="s">
        <v>209</v>
      </c>
      <c r="B1603" s="72" t="s">
        <v>206</v>
      </c>
      <c r="C1603" s="74" t="str">
        <f>IF(INDEX('TH CANAM'!$A$9:$BF$63,MATCH(PDNam!$F1621,'TH CANAM'!$A$9:$A$63,0),49)="Tb","Trung bình",INDEX('TH CANAM'!$A$9:$BF$63,MATCH(PDNam!$F1621,'TH CANAM'!$A$9:$A$63,0),49))</f>
        <v>Giỏi</v>
      </c>
      <c r="D1603" s="74" t="str">
        <f>IF(INDEX('TH CANAM'!$A$9:$BF$63,MATCH(PDNam!$F1621,'TH CANAM'!$A$9:$A$63,0),50)="Tb","Trung bình",INDEX('TH CANAM'!$A$9:$BF$63,MATCH(PDNam!$F1621,'TH CANAM'!$A$9:$A$63,0),50))</f>
        <v/>
      </c>
      <c r="E1603" s="74" t="str">
        <f>IF(INDEX('TH CANAM'!$A$9:$BF$63,MATCH(PDNam!$F1621,'TH CANAM'!$A$9:$A$63,0),51)="Tb","Trung bình",INDEX('TH CANAM'!$A$9:$BF$63,MATCH(PDNam!$F1621,'TH CANAM'!$A$9:$A$63,0),51))</f>
        <v/>
      </c>
      <c r="F1603" s="73"/>
    </row>
    <row r="1604" spans="1:10" ht="21" customHeight="1">
      <c r="A1604" s="72" t="s">
        <v>210</v>
      </c>
      <c r="B1604" s="72" t="s">
        <v>207</v>
      </c>
      <c r="C1604" s="74" t="str">
        <f>INDEX('TH CANAM'!$A$9:$BF$63,MATCH(PDNam!$F1621,'TH CANAM'!$A$9:$A$63,0),52)</f>
        <v>Tốt</v>
      </c>
      <c r="D1604" s="74" t="str">
        <f>INDEX('TH CANAM'!$A$9:$BF$63,MATCH(PDNam!$F1621,'TH CANAM'!$A$9:$A$63,0),53)</f>
        <v/>
      </c>
      <c r="E1604" s="74" t="str">
        <f>INDEX('TH CANAM'!$A$9:$BF$63,MATCH(PDNam!$F1621,'TH CANAM'!$A$9:$A$63,0),54)</f>
        <v/>
      </c>
      <c r="F1604" s="73"/>
    </row>
    <row r="1605" spans="1:10" ht="21" customHeight="1">
      <c r="A1605" s="72" t="s">
        <v>211</v>
      </c>
      <c r="B1605" s="72" t="s">
        <v>25</v>
      </c>
      <c r="C1605" s="74" t="str">
        <f>IF(INDEX('TH CANAM'!$A$9:$BF$63,MATCH(PDNam!$F1621,'TH CANAM'!$A$9:$A$63,0),57)&lt;&gt;"",INDEX('TH CANAM'!$A$9:$BF$63,MATCH(PDNam!$F1621,'TH CANAM'!$A$9:$A$63,0),57),"/")</f>
        <v>HSG</v>
      </c>
      <c r="D1605" s="74" t="str">
        <f>IF(INDEX('TH CANAM'!$A$9:$BF$63,MATCH(PDNam!$F1621,'TH CANAM'!$A$9:$A$63,0),58)&lt;&gt;"",INDEX('TH CANAM'!$A$9:$BF$63,MATCH(PDNam!$F1621,'TH CANAM'!$A$9:$A$63,0),58),"/")</f>
        <v>/</v>
      </c>
      <c r="E1605" s="74" t="str">
        <f>IF(INDEX('TH CANAM'!$A$9:$BF$63,MATCH(PDNam!$F1621,'TH CANAM'!$A$9:$A$63,0),55)&lt;&gt;"",INDEX('TH CANAM'!$A$9:$BF$63,MATCH(PDNam!$F1621,'TH CANAM'!$A$9:$A$63,0),55),"/")</f>
        <v>/</v>
      </c>
      <c r="F1605" s="73"/>
    </row>
    <row r="1606" spans="1:10" s="60" customFormat="1" ht="9" customHeight="1">
      <c r="A1606" s="67"/>
      <c r="B1606" s="67"/>
      <c r="C1606" s="1132"/>
      <c r="D1606" s="1132"/>
      <c r="E1606" s="67"/>
      <c r="F1606" s="67"/>
    </row>
    <row r="1607" spans="1:10" s="60" customFormat="1" ht="18.75" customHeight="1">
      <c r="A1607" s="58" t="s">
        <v>219</v>
      </c>
      <c r="B1607" s="57"/>
      <c r="C1607" s="57"/>
      <c r="D1607" s="57"/>
      <c r="E1607" s="57"/>
      <c r="F1607" s="475"/>
    </row>
    <row r="1608" spans="1:10" s="60" customFormat="1" ht="18.75" customHeight="1">
      <c r="A1608" s="59" t="str">
        <f>IF(F1621&lt;&gt;"",IF(INDEX(BDHK2,MATCH(F1621,DiemHKII!$B$4:$B$58,0),137)&lt;&gt;""," - "&amp;INDEX(BDHK2,MATCH(F1621,DiemHKII!$B$4:$B$58,0),137),""),"")</f>
        <v/>
      </c>
      <c r="B1608" s="57"/>
      <c r="C1608" s="57"/>
      <c r="D1608" s="57"/>
      <c r="E1608" s="57"/>
      <c r="F1608" s="475"/>
    </row>
    <row r="1609" spans="1:10" s="60" customFormat="1" ht="18.75" customHeight="1">
      <c r="A1609" s="59" t="str">
        <f>IF(F1621&lt;&gt;"",IF(INDEX(BDHK2,MATCH(F1621,DiemHKII!$B$4:$B$58,0),138)&lt;&gt;""," - "&amp;INDEX(BDHK2,MATCH(F1621,DiemHKII!$B$4:$B$58,0),138),""),"")</f>
        <v/>
      </c>
      <c r="B1609" s="57"/>
      <c r="C1609" s="57"/>
      <c r="D1609" s="57"/>
      <c r="E1609" s="57"/>
      <c r="F1609" s="475"/>
    </row>
    <row r="1610" spans="1:10" s="60" customFormat="1" ht="18.75" customHeight="1">
      <c r="A1610" s="59" t="str">
        <f>IF(F1621&lt;&gt;"",IF(INDEX(BDHK2,MATCH(F1621,DiemHKII!$B$4:$B$58,0),139)&lt;&gt;""," - "&amp;INDEX(BDHK2,MATCH(F1621,DiemHKII!$B$4:$B$58,0),139),""),"")</f>
        <v/>
      </c>
      <c r="B1610" s="57"/>
      <c r="C1610" s="57"/>
      <c r="D1610" s="57"/>
      <c r="E1610" s="57"/>
      <c r="F1610" s="475"/>
    </row>
    <row r="1611" spans="1:10" s="60" customFormat="1" ht="18.75" customHeight="1">
      <c r="A1611" s="59" t="str">
        <f>IF(F1621&lt;&gt;"",IF(INDEX(BDHK2,MATCH(F1621,DiemHKII!$B$4:$B$58,0),140)&lt;&gt;""," - "&amp;INDEX(BDHK2,MATCH(F1621,DiemHKII!$B$4:$B$58,0),140),""),"")</f>
        <v/>
      </c>
      <c r="B1611" s="57"/>
      <c r="C1611" s="57"/>
      <c r="D1611" s="57"/>
      <c r="E1611" s="57"/>
      <c r="F1611" s="67"/>
    </row>
    <row r="1612" spans="1:10" ht="6" customHeight="1">
      <c r="A1612" s="68"/>
      <c r="B1612" s="68"/>
      <c r="C1612" s="68"/>
      <c r="D1612" s="68"/>
      <c r="E1612" s="68"/>
      <c r="F1612" s="68"/>
    </row>
    <row r="1613" spans="1:10">
      <c r="A1613" s="68"/>
      <c r="B1613" s="68"/>
      <c r="C161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613" s="1060"/>
      <c r="E1613" s="1060"/>
      <c r="F1613" s="1060"/>
    </row>
    <row r="1614" spans="1:10" ht="20.25" customHeight="1">
      <c r="A1614" s="1012" t="str">
        <f>IF($D$39="Hiệu trưởng","Giáo viên Quản nhiệm","")</f>
        <v>Giáo viên Quản nhiệm</v>
      </c>
      <c r="B1614" s="1012"/>
      <c r="C1614" s="61"/>
      <c r="D1614" s="1012" t="str">
        <f>IF($H$7="","",$H$7)</f>
        <v>Hiệu trưởng</v>
      </c>
      <c r="E1614" s="1012"/>
      <c r="F1614" s="61"/>
    </row>
    <row r="1615" spans="1:10">
      <c r="A1615" s="68"/>
      <c r="B1615" s="68"/>
      <c r="C1615" s="68"/>
      <c r="D1615" s="68"/>
      <c r="E1615" s="68"/>
      <c r="F1615" s="68"/>
    </row>
    <row r="1616" spans="1:10">
      <c r="A1616" s="68"/>
      <c r="B1616" s="68"/>
      <c r="C1616" s="68"/>
      <c r="D1616" s="68"/>
      <c r="E1616" s="68"/>
      <c r="F1616" s="68"/>
    </row>
    <row r="1617" spans="1:10" ht="16.8">
      <c r="A1617" s="68"/>
      <c r="B1617" s="68"/>
      <c r="C1617" s="64"/>
      <c r="D1617" s="64"/>
      <c r="E1617" s="64"/>
      <c r="F1617" s="64"/>
      <c r="G1617" s="65"/>
      <c r="H1617" s="65"/>
      <c r="I1617" s="65"/>
      <c r="J1617" s="65"/>
    </row>
    <row r="1619" spans="1:10">
      <c r="A1619" s="1012" t="str">
        <f>IF($A$39="","",PROPER('Huong dan'!$C$4))</f>
        <v/>
      </c>
      <c r="B1619" s="1012"/>
      <c r="D1619" s="1130" t="str">
        <f>IFERROR(IF($D$39="Giáo Viên Quản nhiệm",PROPER('Huong dan'!$C$4),IF($D$39="Hiệu trưởng",PROPER('Huong dan'!$E$5),"")),"")</f>
        <v/>
      </c>
      <c r="E1619" s="1130"/>
    </row>
    <row r="1620" spans="1:10" ht="7.5" customHeight="1"/>
    <row r="1621" spans="1:10" ht="11.25" customHeight="1">
      <c r="A1621" s="75"/>
      <c r="B1621" s="75"/>
      <c r="C1621" s="75"/>
      <c r="D1621" s="75"/>
      <c r="E1621" s="75"/>
      <c r="F1621" s="76">
        <f>IF(F1576="","",IF(F1576&lt;MAX(DiemHKII!$B$4:$B$58),F1576+1,""))</f>
        <v>36</v>
      </c>
    </row>
    <row r="1622" spans="1:10" s="60" customFormat="1" ht="22.5" customHeight="1">
      <c r="A1622" s="1128" t="str">
        <f>IF('Huong dan'!$E$3&lt;&gt;"","SỞ GIÁO DỤC VÀ ĐÀO TẠO "&amp;UPPER('Huong dan'!$E$3),"")</f>
        <v>SỞ GIÁO DỤC VÀ ĐÀO TẠO TP. HỒ CHÍ MINH</v>
      </c>
      <c r="B1622" s="1128"/>
      <c r="C1622" s="1128"/>
      <c r="D1622" s="1129" t="s">
        <v>19</v>
      </c>
      <c r="E1622" s="1129"/>
      <c r="F1622" s="1129"/>
    </row>
    <row r="1623" spans="1:10" ht="17.25" customHeight="1">
      <c r="A1623" s="992" t="str">
        <f>IF('Huong dan'!$E$4&lt;&gt;"","TRƯỜNG "&amp;UPPER('Huong dan'!$E$4),"")</f>
        <v>TRƯỜNG THCS VÀ THPT NGUYỄN KHUYẾN</v>
      </c>
      <c r="B1623" s="992"/>
      <c r="C1623" s="992"/>
      <c r="D1623" s="1130" t="s">
        <v>179</v>
      </c>
      <c r="E1623" s="1130"/>
      <c r="F1623" s="1130"/>
    </row>
    <row r="1624" spans="1:10" ht="12" customHeight="1">
      <c r="A1624" s="69"/>
      <c r="B1624" s="69"/>
      <c r="C1624" s="30"/>
      <c r="D1624" s="30"/>
      <c r="E1624" s="30"/>
      <c r="F1624" s="30"/>
    </row>
    <row r="1625" spans="1:10" ht="18" customHeight="1">
      <c r="A1625" s="69"/>
      <c r="B1625" s="69"/>
      <c r="C1625" s="30"/>
      <c r="D1625" s="30"/>
      <c r="E1625" s="30"/>
      <c r="F1625" s="30"/>
    </row>
    <row r="1626" spans="1:10" ht="29.25" customHeight="1">
      <c r="A1626" s="1013" t="str">
        <f>"PHIẾU ĐIỂM NĂM HỌC "&amp;'Huong dan'!$C$5</f>
        <v>PHIẾU ĐIỂM NĂM HỌC 2021 - 2022</v>
      </c>
      <c r="B1626" s="1013"/>
      <c r="C1626" s="1013"/>
      <c r="D1626" s="1013"/>
      <c r="E1626" s="1013"/>
      <c r="F1626" s="1013"/>
    </row>
    <row r="1627" spans="1:10" ht="12.75" customHeight="1">
      <c r="A1627" s="70"/>
      <c r="B1627" s="66"/>
      <c r="C1627" s="66"/>
      <c r="D1627" s="66"/>
      <c r="E1627" s="66"/>
      <c r="F1627" s="66"/>
    </row>
    <row r="1628" spans="1:10" ht="20.25" customHeight="1">
      <c r="A1628" s="1131" t="s">
        <v>212</v>
      </c>
      <c r="B1628" s="1131"/>
      <c r="C1628" s="77" t="str">
        <f>IF(F1666="","",INDEX(DiemHKII!$E$4:$E$58,MATCH(F1666,DiemHKII!$B$4:$B$58,0),1)&amp;" "&amp;INDEX(DiemHKII!$F$4:$F$58,MATCH(F1666,DiemHKII!$B$4:$B$58,0),1))</f>
        <v/>
      </c>
      <c r="D1628" s="77"/>
      <c r="E1628" s="77"/>
      <c r="F1628" s="71" t="str">
        <f>IF('Huong dan'!$C$3="","","Lớp: "&amp;'Huong dan'!$C$3)</f>
        <v>Lớp: 12A1</v>
      </c>
    </row>
    <row r="1629" spans="1:10" ht="24" customHeight="1">
      <c r="A1629" s="1131" t="s">
        <v>213</v>
      </c>
      <c r="B1629" s="1131"/>
      <c r="C1629" s="77" t="str">
        <f>IF(F1666="","",INDEX(DiemHKII!$G$4:$G$58,MATCH(F1666,DiemHKII!$B$4:$B$58,0),1))</f>
        <v/>
      </c>
      <c r="D1629" s="77"/>
      <c r="E1629" s="1133" t="str">
        <f>IF(F1666="","","Nơi sinh: "&amp;INDEX(DiemHKII!$H$4:$H$58,MATCH(F1666,DiemHKII!$B$4:$B$58,0),1))</f>
        <v/>
      </c>
      <c r="F1629" s="1133"/>
    </row>
    <row r="1630" spans="1:10" ht="15" customHeight="1">
      <c r="A1630" s="62"/>
      <c r="B1630" s="62"/>
      <c r="C1630" s="62"/>
      <c r="D1630" s="62"/>
      <c r="E1630" s="62"/>
      <c r="F1630" s="63"/>
    </row>
    <row r="1631" spans="1:10" ht="21" customHeight="1">
      <c r="A1631" s="1134" t="s">
        <v>0</v>
      </c>
      <c r="B1631" s="1134" t="s">
        <v>72</v>
      </c>
      <c r="C1631" s="1134" t="s">
        <v>216</v>
      </c>
      <c r="D1631" s="1134"/>
      <c r="E1631" s="1134"/>
      <c r="F1631" s="1134" t="s">
        <v>148</v>
      </c>
    </row>
    <row r="1632" spans="1:10" ht="21" customHeight="1">
      <c r="A1632" s="1134"/>
      <c r="B1632" s="1134"/>
      <c r="C1632" s="476" t="s">
        <v>188</v>
      </c>
      <c r="D1632" s="476" t="s">
        <v>189</v>
      </c>
      <c r="E1632" s="476" t="s">
        <v>190</v>
      </c>
      <c r="F1632" s="1134"/>
    </row>
    <row r="1633" spans="1:10" ht="21" customHeight="1">
      <c r="A1633" s="72" t="s">
        <v>191</v>
      </c>
      <c r="B1633" s="73" t="s">
        <v>26</v>
      </c>
      <c r="C1633" s="74" t="str">
        <f>INDEX('TH CANAM'!$A$9:$BF$63,MATCH(PDNam!$F1666,'TH CANAM'!$A$9:$A$63,0),INDEX($J$13:$M$30,MATCH($B1633,$J$13:$J$30,0),K$12))</f>
        <v/>
      </c>
      <c r="D1633" s="74" t="str">
        <f>INDEX('TH CANAM'!$A$9:$BF$63,MATCH(PDNam!$F1666,'TH CANAM'!$A$9:$A$63,0),INDEX($J$13:$M$30,MATCH($B1633,$J$13:$J$30,0),L$12))</f>
        <v/>
      </c>
      <c r="E1633" s="74" t="str">
        <f>INDEX('TH CANAM'!$A$9:$BF$63,MATCH(PDNam!$F1666,'TH CANAM'!$A$9:$A$63,0),INDEX($J$13:$M$30,MATCH($B1633,$J$13:$J$30,0),M$12))</f>
        <v/>
      </c>
      <c r="F1633" s="73"/>
      <c r="I1633" s="64"/>
      <c r="J1633" s="64"/>
    </row>
    <row r="1634" spans="1:10" ht="21" customHeight="1">
      <c r="A1634" s="72" t="s">
        <v>192</v>
      </c>
      <c r="B1634" s="73" t="s">
        <v>27</v>
      </c>
      <c r="C1634" s="74" t="str">
        <f>INDEX('TH CANAM'!$A$9:$BF$63,MATCH(PDNam!$F1666,'TH CANAM'!$A$9:$A$63,0),INDEX($J$13:$M$30,MATCH($B1634,$J$13:$J$30,0),K$12))</f>
        <v/>
      </c>
      <c r="D1634" s="74" t="str">
        <f>INDEX('TH CANAM'!$A$9:$BF$63,MATCH(PDNam!$F1666,'TH CANAM'!$A$9:$A$63,0),INDEX($J$13:$M$30,MATCH($B1634,$J$13:$J$30,0),L$12))</f>
        <v/>
      </c>
      <c r="E1634" s="74" t="str">
        <f>INDEX('TH CANAM'!$A$9:$BF$63,MATCH(PDNam!$F1666,'TH CANAM'!$A$9:$A$63,0),INDEX($J$13:$M$30,MATCH($B1634,$J$13:$J$30,0),M$12))</f>
        <v/>
      </c>
      <c r="F1634" s="73"/>
      <c r="I1634" s="64"/>
      <c r="J1634" s="64"/>
    </row>
    <row r="1635" spans="1:10" ht="21" customHeight="1">
      <c r="A1635" s="72" t="s">
        <v>193</v>
      </c>
      <c r="B1635" s="73" t="s">
        <v>28</v>
      </c>
      <c r="C1635" s="74" t="str">
        <f>INDEX('TH CANAM'!$A$9:$BF$63,MATCH(PDNam!$F1666,'TH CANAM'!$A$9:$A$63,0),INDEX($J$13:$M$30,MATCH($B1635,$J$13:$J$30,0),K$12))</f>
        <v/>
      </c>
      <c r="D1635" s="74" t="str">
        <f>INDEX('TH CANAM'!$A$9:$BF$63,MATCH(PDNam!$F1666,'TH CANAM'!$A$9:$A$63,0),INDEX($J$13:$M$30,MATCH($B1635,$J$13:$J$30,0),L$12))</f>
        <v/>
      </c>
      <c r="E1635" s="74" t="str">
        <f>INDEX('TH CANAM'!$A$9:$BF$63,MATCH(PDNam!$F1666,'TH CANAM'!$A$9:$A$63,0),INDEX($J$13:$M$30,MATCH($B1635,$J$13:$J$30,0),M$12))</f>
        <v/>
      </c>
      <c r="F1635" s="73"/>
      <c r="I1635" s="64"/>
      <c r="J1635" s="64"/>
    </row>
    <row r="1636" spans="1:10" ht="21" customHeight="1">
      <c r="A1636" s="72" t="s">
        <v>194</v>
      </c>
      <c r="B1636" s="73" t="s">
        <v>29</v>
      </c>
      <c r="C1636" s="74" t="str">
        <f>INDEX('TH CANAM'!$A$9:$BF$63,MATCH(PDNam!$F1666,'TH CANAM'!$A$9:$A$63,0),INDEX($J$13:$M$30,MATCH($B1636,$J$13:$J$30,0),K$12))</f>
        <v/>
      </c>
      <c r="D1636" s="74" t="str">
        <f>INDEX('TH CANAM'!$A$9:$BF$63,MATCH(PDNam!$F1666,'TH CANAM'!$A$9:$A$63,0),INDEX($J$13:$M$30,MATCH($B1636,$J$13:$J$30,0),L$12))</f>
        <v/>
      </c>
      <c r="E1636" s="74" t="str">
        <f>INDEX('TH CANAM'!$A$9:$BF$63,MATCH(PDNam!$F1666,'TH CANAM'!$A$9:$A$63,0),INDEX($J$13:$M$30,MATCH($B1636,$J$13:$J$30,0),M$12))</f>
        <v/>
      </c>
      <c r="F1636" s="73"/>
      <c r="I1636" s="64"/>
      <c r="J1636" s="64"/>
    </row>
    <row r="1637" spans="1:10" ht="21" customHeight="1">
      <c r="A1637" s="72" t="s">
        <v>195</v>
      </c>
      <c r="B1637" s="73" t="s">
        <v>120</v>
      </c>
      <c r="C1637" s="74" t="str">
        <f>INDEX('TH CANAM'!$A$9:$BF$63,MATCH(PDNam!$F1666,'TH CANAM'!$A$9:$A$63,0),INDEX($J$13:$M$30,MATCH($B1637,$J$13:$J$30,0),K$12))</f>
        <v/>
      </c>
      <c r="D1637" s="74" t="str">
        <f>INDEX('TH CANAM'!$A$9:$BF$63,MATCH(PDNam!$F1666,'TH CANAM'!$A$9:$A$63,0),INDEX($J$13:$M$30,MATCH($B1637,$J$13:$J$30,0),L$12))</f>
        <v/>
      </c>
      <c r="E1637" s="74" t="str">
        <f>INDEX('TH CANAM'!$A$9:$BF$63,MATCH(PDNam!$F1666,'TH CANAM'!$A$9:$A$63,0),INDEX($J$13:$M$30,MATCH($B1637,$J$13:$J$30,0),M$12))</f>
        <v/>
      </c>
      <c r="F1637" s="73"/>
      <c r="I1637" s="64"/>
      <c r="J1637" s="64"/>
    </row>
    <row r="1638" spans="1:10" ht="21" customHeight="1">
      <c r="A1638" s="72" t="s">
        <v>196</v>
      </c>
      <c r="B1638" s="73" t="s">
        <v>30</v>
      </c>
      <c r="C1638" s="74" t="str">
        <f>INDEX('TH CANAM'!$A$9:$BF$63,MATCH(PDNam!$F1666,'TH CANAM'!$A$9:$A$63,0),INDEX($J$13:$M$30,MATCH($B1638,$J$13:$J$30,0),K$12))</f>
        <v/>
      </c>
      <c r="D1638" s="74" t="str">
        <f>INDEX('TH CANAM'!$A$9:$BF$63,MATCH(PDNam!$F1666,'TH CANAM'!$A$9:$A$63,0),INDEX($J$13:$M$30,MATCH($B1638,$J$13:$J$30,0),L$12))</f>
        <v/>
      </c>
      <c r="E1638" s="74" t="str">
        <f>INDEX('TH CANAM'!$A$9:$BF$63,MATCH(PDNam!$F1666,'TH CANAM'!$A$9:$A$63,0),INDEX($J$13:$M$30,MATCH($B1638,$J$13:$J$30,0),M$12))</f>
        <v/>
      </c>
      <c r="F1638" s="73"/>
      <c r="I1638" s="64"/>
      <c r="J1638" s="64"/>
    </row>
    <row r="1639" spans="1:10" ht="21" customHeight="1">
      <c r="A1639" s="72" t="s">
        <v>197</v>
      </c>
      <c r="B1639" s="73" t="s">
        <v>31</v>
      </c>
      <c r="C1639" s="74" t="str">
        <f>INDEX('TH CANAM'!$A$9:$BF$63,MATCH(PDNam!$F1666,'TH CANAM'!$A$9:$A$63,0),INDEX($J$13:$M$30,MATCH($B1639,$J$13:$J$30,0),K$12))</f>
        <v/>
      </c>
      <c r="D1639" s="74" t="str">
        <f>INDEX('TH CANAM'!$A$9:$BF$63,MATCH(PDNam!$F1666,'TH CANAM'!$A$9:$A$63,0),INDEX($J$13:$M$30,MATCH($B1639,$J$13:$J$30,0),L$12))</f>
        <v/>
      </c>
      <c r="E1639" s="74" t="str">
        <f>INDEX('TH CANAM'!$A$9:$BF$63,MATCH(PDNam!$F1666,'TH CANAM'!$A$9:$A$63,0),INDEX($J$13:$M$30,MATCH($B1639,$J$13:$J$30,0),M$12))</f>
        <v/>
      </c>
      <c r="F1639" s="73"/>
      <c r="I1639" s="64"/>
      <c r="J1639" s="64"/>
    </row>
    <row r="1640" spans="1:10" ht="21" customHeight="1">
      <c r="A1640" s="72" t="s">
        <v>198</v>
      </c>
      <c r="B1640" s="73" t="s">
        <v>32</v>
      </c>
      <c r="C1640" s="74" t="str">
        <f>INDEX('TH CANAM'!$A$9:$BF$63,MATCH(PDNam!$F1666,'TH CANAM'!$A$9:$A$63,0),INDEX($J$13:$M$30,MATCH($B1640,$J$13:$J$30,0),K$12))</f>
        <v/>
      </c>
      <c r="D1640" s="74" t="str">
        <f>INDEX('TH CANAM'!$A$9:$BF$63,MATCH(PDNam!$F1666,'TH CANAM'!$A$9:$A$63,0),INDEX($J$13:$M$30,MATCH($B1640,$J$13:$J$30,0),L$12))</f>
        <v/>
      </c>
      <c r="E1640" s="74" t="str">
        <f>INDEX('TH CANAM'!$A$9:$BF$63,MATCH(PDNam!$F1666,'TH CANAM'!$A$9:$A$63,0),INDEX($J$13:$M$30,MATCH($B1640,$J$13:$J$30,0),M$12))</f>
        <v/>
      </c>
      <c r="F1640" s="73"/>
      <c r="I1640" s="64"/>
      <c r="J1640" s="64"/>
    </row>
    <row r="1641" spans="1:10" ht="21" customHeight="1">
      <c r="A1641" s="72" t="s">
        <v>199</v>
      </c>
      <c r="B1641" s="73" t="s">
        <v>33</v>
      </c>
      <c r="C1641" s="74" t="str">
        <f>INDEX('TH CANAM'!$A$9:$BF$63,MATCH(PDNam!$F1666,'TH CANAM'!$A$9:$A$63,0),INDEX($J$13:$M$30,MATCH($B1641,$J$13:$J$30,0),K$12))</f>
        <v/>
      </c>
      <c r="D1641" s="74" t="str">
        <f>INDEX('TH CANAM'!$A$9:$BF$63,MATCH(PDNam!$F1666,'TH CANAM'!$A$9:$A$63,0),INDEX($J$13:$M$30,MATCH($B1641,$J$13:$J$30,0),L$12))</f>
        <v/>
      </c>
      <c r="E1641" s="74" t="str">
        <f>INDEX('TH CANAM'!$A$9:$BF$63,MATCH(PDNam!$F1666,'TH CANAM'!$A$9:$A$63,0),INDEX($J$13:$M$30,MATCH($B1641,$J$13:$J$30,0),M$12))</f>
        <v/>
      </c>
      <c r="F1641" s="73"/>
      <c r="I1641" s="64"/>
      <c r="J1641" s="64"/>
    </row>
    <row r="1642" spans="1:10" ht="21" customHeight="1">
      <c r="A1642" s="72" t="s">
        <v>200</v>
      </c>
      <c r="B1642" s="73" t="s">
        <v>60</v>
      </c>
      <c r="C1642" s="74" t="str">
        <f>INDEX('TH CANAM'!$A$9:$BF$63,MATCH(PDNam!$F1666,'TH CANAM'!$A$9:$A$63,0),INDEX($J$13:$M$30,MATCH($B1642,$J$13:$J$30,0),K$12))</f>
        <v/>
      </c>
      <c r="D1642" s="74" t="str">
        <f>INDEX('TH CANAM'!$A$9:$BF$63,MATCH(PDNam!$F1666,'TH CANAM'!$A$9:$A$63,0),INDEX($J$13:$M$30,MATCH($B1642,$J$13:$J$30,0),L$12))</f>
        <v/>
      </c>
      <c r="E1642" s="74" t="str">
        <f>INDEX('TH CANAM'!$A$9:$BF$63,MATCH(PDNam!$F1666,'TH CANAM'!$A$9:$A$63,0),INDEX($J$13:$M$30,MATCH($B1642,$J$13:$J$30,0),M$12))</f>
        <v/>
      </c>
      <c r="F1642" s="73"/>
      <c r="I1642" s="64"/>
      <c r="J1642" s="64"/>
    </row>
    <row r="1643" spans="1:10" ht="21" customHeight="1">
      <c r="A1643" s="72" t="s">
        <v>201</v>
      </c>
      <c r="B1643" s="73" t="s">
        <v>34</v>
      </c>
      <c r="C1643" s="74" t="str">
        <f>INDEX('TH CANAM'!$A$9:$BF$63,MATCH(PDNam!$F1666,'TH CANAM'!$A$9:$A$63,0),INDEX($J$13:$M$30,MATCH($B1643,$J$13:$J$30,0),K$12))</f>
        <v/>
      </c>
      <c r="D1643" s="74" t="str">
        <f>INDEX('TH CANAM'!$A$9:$BF$63,MATCH(PDNam!$F1666,'TH CANAM'!$A$9:$A$63,0),INDEX($J$13:$M$30,MATCH($B1643,$J$13:$J$30,0),L$12))</f>
        <v/>
      </c>
      <c r="E1643" s="74" t="str">
        <f>INDEX('TH CANAM'!$A$9:$BF$63,MATCH(PDNam!$F1666,'TH CANAM'!$A$9:$A$63,0),INDEX($J$13:$M$30,MATCH($B1643,$J$13:$J$30,0),M$12))</f>
        <v/>
      </c>
      <c r="F1643" s="73"/>
      <c r="I1643" s="64"/>
      <c r="J1643" s="64"/>
    </row>
    <row r="1644" spans="1:10" ht="21" customHeight="1">
      <c r="A1644" s="72" t="s">
        <v>202</v>
      </c>
      <c r="B1644" s="73" t="s">
        <v>35</v>
      </c>
      <c r="C1644" s="74" t="str">
        <f>INDEX('TH CANAM'!$A$9:$BF$63,MATCH(PDNam!$F1666,'TH CANAM'!$A$9:$A$63,0),INDEX($J$13:$M$30,MATCH($B1644,$J$13:$J$30,0),K$12))</f>
        <v/>
      </c>
      <c r="D1644" s="74" t="str">
        <f>INDEX('TH CANAM'!$A$9:$BF$63,MATCH(PDNam!$F1666,'TH CANAM'!$A$9:$A$63,0),INDEX($J$13:$M$30,MATCH($B1644,$J$13:$J$30,0),L$12))</f>
        <v/>
      </c>
      <c r="E1644" s="74" t="str">
        <f>INDEX('TH CANAM'!$A$9:$BF$63,MATCH(PDNam!$F1666,'TH CANAM'!$A$9:$A$63,0),INDEX($J$13:$M$30,MATCH($B1644,$J$13:$J$30,0),M$12))</f>
        <v/>
      </c>
      <c r="F1644" s="73"/>
      <c r="I1644" s="64"/>
      <c r="J1644" s="64"/>
    </row>
    <row r="1645" spans="1:10" ht="21" customHeight="1">
      <c r="A1645" s="72" t="s">
        <v>203</v>
      </c>
      <c r="B1645" s="73" t="s">
        <v>121</v>
      </c>
      <c r="C1645" s="74" t="str">
        <f>INDEX('TH CANAM'!$A$9:$BF$63,MATCH(PDNam!$F1666,'TH CANAM'!$A$9:$A$63,0),INDEX($J$13:$M$30,MATCH($B1645,$J$13:$J$30,0),K$12))</f>
        <v/>
      </c>
      <c r="D1645" s="74" t="str">
        <f>INDEX('TH CANAM'!$A$9:$BF$63,MATCH(PDNam!$F1666,'TH CANAM'!$A$9:$A$63,0),INDEX($J$13:$M$30,MATCH($B1645,$J$13:$J$30,0),L$12))</f>
        <v/>
      </c>
      <c r="E1645" s="74" t="str">
        <f>INDEX('TH CANAM'!$A$9:$BF$63,MATCH(PDNam!$F1666,'TH CANAM'!$A$9:$A$63,0),INDEX($J$13:$M$30,MATCH($B1645,$J$13:$J$30,0),M$12))</f>
        <v/>
      </c>
      <c r="F1645" s="73"/>
      <c r="I1645" s="64"/>
      <c r="J1645" s="64"/>
    </row>
    <row r="1646" spans="1:10" ht="21" customHeight="1">
      <c r="A1646" s="72" t="s">
        <v>204</v>
      </c>
      <c r="B1646" s="73" t="s">
        <v>122</v>
      </c>
      <c r="C1646" s="74" t="str">
        <f>INDEX('TH CANAM'!$A$9:$BF$63,MATCH(PDNam!$F1666,'TH CANAM'!$A$9:$A$63,0),INDEX($J$13:$M$30,MATCH($B1646,$J$13:$J$30,0),K$12))</f>
        <v/>
      </c>
      <c r="D1646" s="74" t="str">
        <f>INDEX('TH CANAM'!$A$9:$BF$63,MATCH(PDNam!$F1666,'TH CANAM'!$A$9:$A$63,0),INDEX($J$13:$M$30,MATCH($B1646,$J$13:$J$30,0),L$12))</f>
        <v/>
      </c>
      <c r="E1646" s="74" t="str">
        <f>INDEX('TH CANAM'!$A$9:$BF$63,MATCH(PDNam!$F1666,'TH CANAM'!$A$9:$A$63,0),INDEX($J$13:$M$30,MATCH($B1646,$J$13:$J$30,0),M$12))</f>
        <v/>
      </c>
      <c r="F1646" s="73"/>
      <c r="I1646" s="64"/>
      <c r="J1646" s="64"/>
    </row>
    <row r="1647" spans="1:10" ht="21" customHeight="1">
      <c r="A1647" s="72" t="s">
        <v>208</v>
      </c>
      <c r="B1647" s="73" t="s">
        <v>205</v>
      </c>
      <c r="C1647" s="78" t="str">
        <f>INDEX('TH CANAM'!$A$9:$BF$63,MATCH(PDNam!$F1666,'TH CANAM'!$A$9:$A$63,0),46)</f>
        <v/>
      </c>
      <c r="D1647" s="78" t="str">
        <f>INDEX('TH CANAM'!$A$9:$BF$63,MATCH(PDNam!$F1666,'TH CANAM'!$A$9:$A$63,0),47)</f>
        <v/>
      </c>
      <c r="E1647" s="78" t="str">
        <f>INDEX('TH CANAM'!$A$9:$BF$63,MATCH(PDNam!$F1666,'TH CANAM'!$A$9:$A$63,0),48)</f>
        <v/>
      </c>
      <c r="F1647" s="73"/>
      <c r="I1647" s="64"/>
      <c r="J1647" s="64"/>
    </row>
    <row r="1648" spans="1:10" ht="21" customHeight="1">
      <c r="A1648" s="72" t="s">
        <v>209</v>
      </c>
      <c r="B1648" s="72" t="s">
        <v>206</v>
      </c>
      <c r="C1648" s="74" t="str">
        <f>IF(INDEX('TH CANAM'!$A$9:$BF$63,MATCH(PDNam!$F1666,'TH CANAM'!$A$9:$A$63,0),49)="Tb","Trung bình",INDEX('TH CANAM'!$A$9:$BF$63,MATCH(PDNam!$F1666,'TH CANAM'!$A$9:$A$63,0),49))</f>
        <v/>
      </c>
      <c r="D1648" s="74" t="str">
        <f>IF(INDEX('TH CANAM'!$A$9:$BF$63,MATCH(PDNam!$F1666,'TH CANAM'!$A$9:$A$63,0),50)="Tb","Trung bình",INDEX('TH CANAM'!$A$9:$BF$63,MATCH(PDNam!$F1666,'TH CANAM'!$A$9:$A$63,0),50))</f>
        <v/>
      </c>
      <c r="E1648" s="74" t="str">
        <f>IF(INDEX('TH CANAM'!$A$9:$BF$63,MATCH(PDNam!$F1666,'TH CANAM'!$A$9:$A$63,0),51)="Tb","Trung bình",INDEX('TH CANAM'!$A$9:$BF$63,MATCH(PDNam!$F1666,'TH CANAM'!$A$9:$A$63,0),51))</f>
        <v/>
      </c>
      <c r="F1648" s="73"/>
    </row>
    <row r="1649" spans="1:10" ht="21" customHeight="1">
      <c r="A1649" s="72" t="s">
        <v>210</v>
      </c>
      <c r="B1649" s="72" t="s">
        <v>207</v>
      </c>
      <c r="C1649" s="74" t="str">
        <f>INDEX('TH CANAM'!$A$9:$BF$63,MATCH(PDNam!$F1666,'TH CANAM'!$A$9:$A$63,0),52)</f>
        <v/>
      </c>
      <c r="D1649" s="74" t="str">
        <f>INDEX('TH CANAM'!$A$9:$BF$63,MATCH(PDNam!$F1666,'TH CANAM'!$A$9:$A$63,0),53)</f>
        <v/>
      </c>
      <c r="E1649" s="74" t="str">
        <f>INDEX('TH CANAM'!$A$9:$BF$63,MATCH(PDNam!$F1666,'TH CANAM'!$A$9:$A$63,0),54)</f>
        <v/>
      </c>
      <c r="F1649" s="73"/>
    </row>
    <row r="1650" spans="1:10" ht="21" customHeight="1">
      <c r="A1650" s="72" t="s">
        <v>211</v>
      </c>
      <c r="B1650" s="72" t="s">
        <v>25</v>
      </c>
      <c r="C1650" s="74" t="str">
        <f>IF(INDEX('TH CANAM'!$A$9:$BF$63,MATCH(PDNam!$F1666,'TH CANAM'!$A$9:$A$63,0),57)&lt;&gt;"",INDEX('TH CANAM'!$A$9:$BF$63,MATCH(PDNam!$F1666,'TH CANAM'!$A$9:$A$63,0),57),"/")</f>
        <v>/</v>
      </c>
      <c r="D1650" s="74" t="str">
        <f>IF(INDEX('TH CANAM'!$A$9:$BF$63,MATCH(PDNam!$F1666,'TH CANAM'!$A$9:$A$63,0),58)&lt;&gt;"",INDEX('TH CANAM'!$A$9:$BF$63,MATCH(PDNam!$F1666,'TH CANAM'!$A$9:$A$63,0),58),"/")</f>
        <v>/</v>
      </c>
      <c r="E1650" s="74" t="str">
        <f>IF(INDEX('TH CANAM'!$A$9:$BF$63,MATCH(PDNam!$F1666,'TH CANAM'!$A$9:$A$63,0),55)&lt;&gt;"",INDEX('TH CANAM'!$A$9:$BF$63,MATCH(PDNam!$F1666,'TH CANAM'!$A$9:$A$63,0),55),"/")</f>
        <v>/</v>
      </c>
      <c r="F1650" s="73"/>
    </row>
    <row r="1651" spans="1:10" s="60" customFormat="1" ht="9" customHeight="1">
      <c r="A1651" s="67"/>
      <c r="B1651" s="67"/>
      <c r="C1651" s="1132"/>
      <c r="D1651" s="1132"/>
      <c r="E1651" s="67"/>
      <c r="F1651" s="67"/>
    </row>
    <row r="1652" spans="1:10" s="60" customFormat="1" ht="18.75" customHeight="1">
      <c r="A1652" s="58" t="s">
        <v>219</v>
      </c>
      <c r="B1652" s="57"/>
      <c r="C1652" s="57"/>
      <c r="D1652" s="57"/>
      <c r="E1652" s="57"/>
      <c r="F1652" s="475"/>
    </row>
    <row r="1653" spans="1:10" s="60" customFormat="1" ht="18.75" customHeight="1">
      <c r="A1653" s="59" t="str">
        <f>IF(F1666&lt;&gt;"",IF(INDEX(BDHK2,MATCH(F1666,DiemHKII!$B$4:$B$58,0),137)&lt;&gt;""," - "&amp;INDEX(BDHK2,MATCH(F1666,DiemHKII!$B$4:$B$58,0),137),""),"")</f>
        <v/>
      </c>
      <c r="B1653" s="57"/>
      <c r="C1653" s="57"/>
      <c r="D1653" s="57"/>
      <c r="E1653" s="57"/>
      <c r="F1653" s="475"/>
    </row>
    <row r="1654" spans="1:10" s="60" customFormat="1" ht="18.75" customHeight="1">
      <c r="A1654" s="59" t="str">
        <f>IF(F1666&lt;&gt;"",IF(INDEX(BDHK2,MATCH(F1666,DiemHKII!$B$4:$B$58,0),138)&lt;&gt;""," - "&amp;INDEX(BDHK2,MATCH(F1666,DiemHKII!$B$4:$B$58,0),138),""),"")</f>
        <v/>
      </c>
      <c r="B1654" s="57"/>
      <c r="C1654" s="57"/>
      <c r="D1654" s="57"/>
      <c r="E1654" s="57"/>
      <c r="F1654" s="475"/>
    </row>
    <row r="1655" spans="1:10" s="60" customFormat="1" ht="18.75" customHeight="1">
      <c r="A1655" s="59" t="str">
        <f>IF(F1666&lt;&gt;"",IF(INDEX(BDHK2,MATCH(F1666,DiemHKII!$B$4:$B$58,0),139)&lt;&gt;""," - "&amp;INDEX(BDHK2,MATCH(F1666,DiemHKII!$B$4:$B$58,0),139),""),"")</f>
        <v/>
      </c>
      <c r="B1655" s="57"/>
      <c r="C1655" s="57"/>
      <c r="D1655" s="57"/>
      <c r="E1655" s="57"/>
      <c r="F1655" s="475"/>
    </row>
    <row r="1656" spans="1:10" s="60" customFormat="1" ht="18.75" customHeight="1">
      <c r="A1656" s="59" t="str">
        <f>IF(F1666&lt;&gt;"",IF(INDEX(BDHK2,MATCH(F1666,DiemHKII!$B$4:$B$58,0),140)&lt;&gt;""," - "&amp;INDEX(BDHK2,MATCH(F1666,DiemHKII!$B$4:$B$58,0),140),""),"")</f>
        <v/>
      </c>
      <c r="B1656" s="57"/>
      <c r="C1656" s="57"/>
      <c r="D1656" s="57"/>
      <c r="E1656" s="57"/>
      <c r="F1656" s="67"/>
    </row>
    <row r="1657" spans="1:10" ht="6" customHeight="1">
      <c r="A1657" s="68"/>
      <c r="B1657" s="68"/>
      <c r="C1657" s="68"/>
      <c r="D1657" s="68"/>
      <c r="E1657" s="68"/>
      <c r="F1657" s="68"/>
    </row>
    <row r="1658" spans="1:10">
      <c r="A1658" s="68"/>
      <c r="B1658" s="68"/>
      <c r="C165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658" s="1060"/>
      <c r="E1658" s="1060"/>
      <c r="F1658" s="1060"/>
    </row>
    <row r="1659" spans="1:10" ht="20.25" customHeight="1">
      <c r="A1659" s="1012" t="str">
        <f>IF($D$39="Hiệu trưởng","Giáo viên Quản nhiệm","")</f>
        <v>Giáo viên Quản nhiệm</v>
      </c>
      <c r="B1659" s="1012"/>
      <c r="C1659" s="61"/>
      <c r="D1659" s="1012" t="str">
        <f>IF($H$7="","",$H$7)</f>
        <v>Hiệu trưởng</v>
      </c>
      <c r="E1659" s="1012"/>
      <c r="F1659" s="61"/>
    </row>
    <row r="1660" spans="1:10">
      <c r="A1660" s="68"/>
      <c r="B1660" s="68"/>
      <c r="C1660" s="68"/>
      <c r="D1660" s="68"/>
      <c r="E1660" s="68"/>
      <c r="F1660" s="68"/>
    </row>
    <row r="1661" spans="1:10">
      <c r="A1661" s="68"/>
      <c r="B1661" s="68"/>
      <c r="C1661" s="68"/>
      <c r="D1661" s="68"/>
      <c r="E1661" s="68"/>
      <c r="F1661" s="68"/>
    </row>
    <row r="1662" spans="1:10" ht="16.8">
      <c r="A1662" s="68"/>
      <c r="B1662" s="68"/>
      <c r="C1662" s="64"/>
      <c r="D1662" s="64"/>
      <c r="E1662" s="64"/>
      <c r="F1662" s="64"/>
      <c r="G1662" s="65"/>
      <c r="H1662" s="65"/>
      <c r="I1662" s="65"/>
      <c r="J1662" s="65"/>
    </row>
    <row r="1664" spans="1:10">
      <c r="A1664" s="1012" t="str">
        <f>IF($A$39="","",PROPER('Huong dan'!$C$4))</f>
        <v/>
      </c>
      <c r="B1664" s="1012"/>
      <c r="D1664" s="1130" t="str">
        <f>IFERROR(IF($D$39="Giáo Viên Quản nhiệm",PROPER('Huong dan'!$C$4),IF($D$39="Hiệu trưởng",PROPER('Huong dan'!$E$5),"")),"")</f>
        <v/>
      </c>
      <c r="E1664" s="1130"/>
    </row>
    <row r="1665" spans="1:10" ht="7.5" customHeight="1"/>
    <row r="1666" spans="1:10" ht="11.25" customHeight="1">
      <c r="A1666" s="75"/>
      <c r="B1666" s="75"/>
      <c r="C1666" s="75"/>
      <c r="D1666" s="75"/>
      <c r="E1666" s="75"/>
      <c r="F1666" s="76" t="str">
        <f>IF(F1621="","",IF(F1621&lt;MAX(DiemHKII!$B$4:$B$58),F1621+1,""))</f>
        <v/>
      </c>
    </row>
    <row r="1667" spans="1:10" s="60" customFormat="1" ht="22.5" customHeight="1">
      <c r="A1667" s="1128" t="str">
        <f>IF('Huong dan'!$E$3&lt;&gt;"","SỞ GIÁO DỤC VÀ ĐÀO TẠO "&amp;UPPER('Huong dan'!$E$3),"")</f>
        <v>SỞ GIÁO DỤC VÀ ĐÀO TẠO TP. HỒ CHÍ MINH</v>
      </c>
      <c r="B1667" s="1128"/>
      <c r="C1667" s="1128"/>
      <c r="D1667" s="1129" t="s">
        <v>19</v>
      </c>
      <c r="E1667" s="1129"/>
      <c r="F1667" s="1129"/>
    </row>
    <row r="1668" spans="1:10" ht="17.25" customHeight="1">
      <c r="A1668" s="992" t="str">
        <f>IF('Huong dan'!$E$4&lt;&gt;"","TRƯỜNG "&amp;UPPER('Huong dan'!$E$4),"")</f>
        <v>TRƯỜNG THCS VÀ THPT NGUYỄN KHUYẾN</v>
      </c>
      <c r="B1668" s="992"/>
      <c r="C1668" s="992"/>
      <c r="D1668" s="1130" t="s">
        <v>179</v>
      </c>
      <c r="E1668" s="1130"/>
      <c r="F1668" s="1130"/>
    </row>
    <row r="1669" spans="1:10" ht="12" customHeight="1">
      <c r="A1669" s="69"/>
      <c r="B1669" s="69"/>
      <c r="C1669" s="30"/>
      <c r="D1669" s="30"/>
      <c r="E1669" s="30"/>
      <c r="F1669" s="30"/>
    </row>
    <row r="1670" spans="1:10" ht="18" customHeight="1">
      <c r="A1670" s="69"/>
      <c r="B1670" s="69"/>
      <c r="C1670" s="30"/>
      <c r="D1670" s="30"/>
      <c r="E1670" s="30"/>
      <c r="F1670" s="30"/>
    </row>
    <row r="1671" spans="1:10" ht="29.25" customHeight="1">
      <c r="A1671" s="1013" t="str">
        <f>"PHIẾU ĐIỂM NĂM HỌC "&amp;'Huong dan'!$C$5</f>
        <v>PHIẾU ĐIỂM NĂM HỌC 2021 - 2022</v>
      </c>
      <c r="B1671" s="1013"/>
      <c r="C1671" s="1013"/>
      <c r="D1671" s="1013"/>
      <c r="E1671" s="1013"/>
      <c r="F1671" s="1013"/>
    </row>
    <row r="1672" spans="1:10" ht="12.75" customHeight="1">
      <c r="A1672" s="70"/>
      <c r="B1672" s="66"/>
      <c r="C1672" s="66"/>
      <c r="D1672" s="66"/>
      <c r="E1672" s="66"/>
      <c r="F1672" s="66"/>
    </row>
    <row r="1673" spans="1:10" ht="20.25" customHeight="1">
      <c r="A1673" s="1131" t="s">
        <v>212</v>
      </c>
      <c r="B1673" s="1131"/>
      <c r="C1673" s="77" t="str">
        <f>IF(F1711="","",INDEX(DiemHKII!$E$4:$E$58,MATCH(F1711,DiemHKII!$B$4:$B$58,0),1)&amp;" "&amp;INDEX(DiemHKII!$F$4:$F$58,MATCH(F1711,DiemHKII!$B$4:$B$58,0),1))</f>
        <v/>
      </c>
      <c r="D1673" s="77"/>
      <c r="E1673" s="77"/>
      <c r="F1673" s="71" t="str">
        <f>IF('Huong dan'!$C$3="","","Lớp: "&amp;'Huong dan'!$C$3)</f>
        <v>Lớp: 12A1</v>
      </c>
    </row>
    <row r="1674" spans="1:10" ht="24" customHeight="1">
      <c r="A1674" s="1131" t="s">
        <v>213</v>
      </c>
      <c r="B1674" s="1131"/>
      <c r="C1674" s="77" t="str">
        <f>IF(F1711="","",INDEX(DiemHKII!$G$4:$G$58,MATCH(F1711,DiemHKII!$B$4:$B$58,0),1))</f>
        <v/>
      </c>
      <c r="D1674" s="77"/>
      <c r="E1674" s="1133" t="str">
        <f>IF(F1711="","","Nơi sinh: "&amp;INDEX(DiemHKII!$H$4:$H$58,MATCH(F1711,DiemHKII!$B$4:$B$58,0),1))</f>
        <v/>
      </c>
      <c r="F1674" s="1133"/>
    </row>
    <row r="1675" spans="1:10" ht="15" customHeight="1">
      <c r="A1675" s="62"/>
      <c r="B1675" s="62"/>
      <c r="C1675" s="62"/>
      <c r="D1675" s="62"/>
      <c r="E1675" s="62"/>
      <c r="F1675" s="63"/>
    </row>
    <row r="1676" spans="1:10" ht="21" customHeight="1">
      <c r="A1676" s="1134" t="s">
        <v>0</v>
      </c>
      <c r="B1676" s="1134" t="s">
        <v>72</v>
      </c>
      <c r="C1676" s="1134" t="s">
        <v>216</v>
      </c>
      <c r="D1676" s="1134"/>
      <c r="E1676" s="1134"/>
      <c r="F1676" s="1134" t="s">
        <v>148</v>
      </c>
    </row>
    <row r="1677" spans="1:10" ht="21" customHeight="1">
      <c r="A1677" s="1134"/>
      <c r="B1677" s="1134"/>
      <c r="C1677" s="476" t="s">
        <v>188</v>
      </c>
      <c r="D1677" s="476" t="s">
        <v>189</v>
      </c>
      <c r="E1677" s="476" t="s">
        <v>190</v>
      </c>
      <c r="F1677" s="1134"/>
    </row>
    <row r="1678" spans="1:10" ht="21" customHeight="1">
      <c r="A1678" s="72" t="s">
        <v>191</v>
      </c>
      <c r="B1678" s="73" t="s">
        <v>26</v>
      </c>
      <c r="C1678" s="74" t="str">
        <f>INDEX('TH CANAM'!$A$9:$BF$63,MATCH(PDNam!$F1711,'TH CANAM'!$A$9:$A$63,0),INDEX($J$13:$M$30,MATCH($B1678,$J$13:$J$30,0),K$12))</f>
        <v/>
      </c>
      <c r="D1678" s="74" t="str">
        <f>INDEX('TH CANAM'!$A$9:$BF$63,MATCH(PDNam!$F1711,'TH CANAM'!$A$9:$A$63,0),INDEX($J$13:$M$30,MATCH($B1678,$J$13:$J$30,0),L$12))</f>
        <v/>
      </c>
      <c r="E1678" s="74" t="str">
        <f>INDEX('TH CANAM'!$A$9:$BF$63,MATCH(PDNam!$F1711,'TH CANAM'!$A$9:$A$63,0),INDEX($J$13:$M$30,MATCH($B1678,$J$13:$J$30,0),M$12))</f>
        <v/>
      </c>
      <c r="F1678" s="73"/>
      <c r="I1678" s="64"/>
      <c r="J1678" s="64"/>
    </row>
    <row r="1679" spans="1:10" ht="21" customHeight="1">
      <c r="A1679" s="72" t="s">
        <v>192</v>
      </c>
      <c r="B1679" s="73" t="s">
        <v>27</v>
      </c>
      <c r="C1679" s="74" t="str">
        <f>INDEX('TH CANAM'!$A$9:$BF$63,MATCH(PDNam!$F1711,'TH CANAM'!$A$9:$A$63,0),INDEX($J$13:$M$30,MATCH($B1679,$J$13:$J$30,0),K$12))</f>
        <v/>
      </c>
      <c r="D1679" s="74" t="str">
        <f>INDEX('TH CANAM'!$A$9:$BF$63,MATCH(PDNam!$F1711,'TH CANAM'!$A$9:$A$63,0),INDEX($J$13:$M$30,MATCH($B1679,$J$13:$J$30,0),L$12))</f>
        <v/>
      </c>
      <c r="E1679" s="74" t="str">
        <f>INDEX('TH CANAM'!$A$9:$BF$63,MATCH(PDNam!$F1711,'TH CANAM'!$A$9:$A$63,0),INDEX($J$13:$M$30,MATCH($B1679,$J$13:$J$30,0),M$12))</f>
        <v/>
      </c>
      <c r="F1679" s="73"/>
      <c r="I1679" s="64"/>
      <c r="J1679" s="64"/>
    </row>
    <row r="1680" spans="1:10" ht="21" customHeight="1">
      <c r="A1680" s="72" t="s">
        <v>193</v>
      </c>
      <c r="B1680" s="73" t="s">
        <v>28</v>
      </c>
      <c r="C1680" s="74" t="str">
        <f>INDEX('TH CANAM'!$A$9:$BF$63,MATCH(PDNam!$F1711,'TH CANAM'!$A$9:$A$63,0),INDEX($J$13:$M$30,MATCH($B1680,$J$13:$J$30,0),K$12))</f>
        <v/>
      </c>
      <c r="D1680" s="74" t="str">
        <f>INDEX('TH CANAM'!$A$9:$BF$63,MATCH(PDNam!$F1711,'TH CANAM'!$A$9:$A$63,0),INDEX($J$13:$M$30,MATCH($B1680,$J$13:$J$30,0),L$12))</f>
        <v/>
      </c>
      <c r="E1680" s="74" t="str">
        <f>INDEX('TH CANAM'!$A$9:$BF$63,MATCH(PDNam!$F1711,'TH CANAM'!$A$9:$A$63,0),INDEX($J$13:$M$30,MATCH($B1680,$J$13:$J$30,0),M$12))</f>
        <v/>
      </c>
      <c r="F1680" s="73"/>
      <c r="I1680" s="64"/>
      <c r="J1680" s="64"/>
    </row>
    <row r="1681" spans="1:10" ht="21" customHeight="1">
      <c r="A1681" s="72" t="s">
        <v>194</v>
      </c>
      <c r="B1681" s="73" t="s">
        <v>29</v>
      </c>
      <c r="C1681" s="74" t="str">
        <f>INDEX('TH CANAM'!$A$9:$BF$63,MATCH(PDNam!$F1711,'TH CANAM'!$A$9:$A$63,0),INDEX($J$13:$M$30,MATCH($B1681,$J$13:$J$30,0),K$12))</f>
        <v/>
      </c>
      <c r="D1681" s="74" t="str">
        <f>INDEX('TH CANAM'!$A$9:$BF$63,MATCH(PDNam!$F1711,'TH CANAM'!$A$9:$A$63,0),INDEX($J$13:$M$30,MATCH($B1681,$J$13:$J$30,0),L$12))</f>
        <v/>
      </c>
      <c r="E1681" s="74" t="str">
        <f>INDEX('TH CANAM'!$A$9:$BF$63,MATCH(PDNam!$F1711,'TH CANAM'!$A$9:$A$63,0),INDEX($J$13:$M$30,MATCH($B1681,$J$13:$J$30,0),M$12))</f>
        <v/>
      </c>
      <c r="F1681" s="73"/>
      <c r="I1681" s="64"/>
      <c r="J1681" s="64"/>
    </row>
    <row r="1682" spans="1:10" ht="21" customHeight="1">
      <c r="A1682" s="72" t="s">
        <v>195</v>
      </c>
      <c r="B1682" s="73" t="s">
        <v>120</v>
      </c>
      <c r="C1682" s="74" t="str">
        <f>INDEX('TH CANAM'!$A$9:$BF$63,MATCH(PDNam!$F1711,'TH CANAM'!$A$9:$A$63,0),INDEX($J$13:$M$30,MATCH($B1682,$J$13:$J$30,0),K$12))</f>
        <v/>
      </c>
      <c r="D1682" s="74" t="str">
        <f>INDEX('TH CANAM'!$A$9:$BF$63,MATCH(PDNam!$F1711,'TH CANAM'!$A$9:$A$63,0),INDEX($J$13:$M$30,MATCH($B1682,$J$13:$J$30,0),L$12))</f>
        <v/>
      </c>
      <c r="E1682" s="74" t="str">
        <f>INDEX('TH CANAM'!$A$9:$BF$63,MATCH(PDNam!$F1711,'TH CANAM'!$A$9:$A$63,0),INDEX($J$13:$M$30,MATCH($B1682,$J$13:$J$30,0),M$12))</f>
        <v/>
      </c>
      <c r="F1682" s="73"/>
      <c r="I1682" s="64"/>
      <c r="J1682" s="64"/>
    </row>
    <row r="1683" spans="1:10" ht="21" customHeight="1">
      <c r="A1683" s="72" t="s">
        <v>196</v>
      </c>
      <c r="B1683" s="73" t="s">
        <v>30</v>
      </c>
      <c r="C1683" s="74" t="str">
        <f>INDEX('TH CANAM'!$A$9:$BF$63,MATCH(PDNam!$F1711,'TH CANAM'!$A$9:$A$63,0),INDEX($J$13:$M$30,MATCH($B1683,$J$13:$J$30,0),K$12))</f>
        <v/>
      </c>
      <c r="D1683" s="74" t="str">
        <f>INDEX('TH CANAM'!$A$9:$BF$63,MATCH(PDNam!$F1711,'TH CANAM'!$A$9:$A$63,0),INDEX($J$13:$M$30,MATCH($B1683,$J$13:$J$30,0),L$12))</f>
        <v/>
      </c>
      <c r="E1683" s="74" t="str">
        <f>INDEX('TH CANAM'!$A$9:$BF$63,MATCH(PDNam!$F1711,'TH CANAM'!$A$9:$A$63,0),INDEX($J$13:$M$30,MATCH($B1683,$J$13:$J$30,0),M$12))</f>
        <v/>
      </c>
      <c r="F1683" s="73"/>
      <c r="I1683" s="64"/>
      <c r="J1683" s="64"/>
    </row>
    <row r="1684" spans="1:10" ht="21" customHeight="1">
      <c r="A1684" s="72" t="s">
        <v>197</v>
      </c>
      <c r="B1684" s="73" t="s">
        <v>31</v>
      </c>
      <c r="C1684" s="74" t="str">
        <f>INDEX('TH CANAM'!$A$9:$BF$63,MATCH(PDNam!$F1711,'TH CANAM'!$A$9:$A$63,0),INDEX($J$13:$M$30,MATCH($B1684,$J$13:$J$30,0),K$12))</f>
        <v/>
      </c>
      <c r="D1684" s="74" t="str">
        <f>INDEX('TH CANAM'!$A$9:$BF$63,MATCH(PDNam!$F1711,'TH CANAM'!$A$9:$A$63,0),INDEX($J$13:$M$30,MATCH($B1684,$J$13:$J$30,0),L$12))</f>
        <v/>
      </c>
      <c r="E1684" s="74" t="str">
        <f>INDEX('TH CANAM'!$A$9:$BF$63,MATCH(PDNam!$F1711,'TH CANAM'!$A$9:$A$63,0),INDEX($J$13:$M$30,MATCH($B1684,$J$13:$J$30,0),M$12))</f>
        <v/>
      </c>
      <c r="F1684" s="73"/>
      <c r="I1684" s="64"/>
      <c r="J1684" s="64"/>
    </row>
    <row r="1685" spans="1:10" ht="21" customHeight="1">
      <c r="A1685" s="72" t="s">
        <v>198</v>
      </c>
      <c r="B1685" s="73" t="s">
        <v>32</v>
      </c>
      <c r="C1685" s="74" t="str">
        <f>INDEX('TH CANAM'!$A$9:$BF$63,MATCH(PDNam!$F1711,'TH CANAM'!$A$9:$A$63,0),INDEX($J$13:$M$30,MATCH($B1685,$J$13:$J$30,0),K$12))</f>
        <v/>
      </c>
      <c r="D1685" s="74" t="str">
        <f>INDEX('TH CANAM'!$A$9:$BF$63,MATCH(PDNam!$F1711,'TH CANAM'!$A$9:$A$63,0),INDEX($J$13:$M$30,MATCH($B1685,$J$13:$J$30,0),L$12))</f>
        <v/>
      </c>
      <c r="E1685" s="74" t="str">
        <f>INDEX('TH CANAM'!$A$9:$BF$63,MATCH(PDNam!$F1711,'TH CANAM'!$A$9:$A$63,0),INDEX($J$13:$M$30,MATCH($B1685,$J$13:$J$30,0),M$12))</f>
        <v/>
      </c>
      <c r="F1685" s="73"/>
      <c r="I1685" s="64"/>
      <c r="J1685" s="64"/>
    </row>
    <row r="1686" spans="1:10" ht="21" customHeight="1">
      <c r="A1686" s="72" t="s">
        <v>199</v>
      </c>
      <c r="B1686" s="73" t="s">
        <v>33</v>
      </c>
      <c r="C1686" s="74" t="str">
        <f>INDEX('TH CANAM'!$A$9:$BF$63,MATCH(PDNam!$F1711,'TH CANAM'!$A$9:$A$63,0),INDEX($J$13:$M$30,MATCH($B1686,$J$13:$J$30,0),K$12))</f>
        <v/>
      </c>
      <c r="D1686" s="74" t="str">
        <f>INDEX('TH CANAM'!$A$9:$BF$63,MATCH(PDNam!$F1711,'TH CANAM'!$A$9:$A$63,0),INDEX($J$13:$M$30,MATCH($B1686,$J$13:$J$30,0),L$12))</f>
        <v/>
      </c>
      <c r="E1686" s="74" t="str">
        <f>INDEX('TH CANAM'!$A$9:$BF$63,MATCH(PDNam!$F1711,'TH CANAM'!$A$9:$A$63,0),INDEX($J$13:$M$30,MATCH($B1686,$J$13:$J$30,0),M$12))</f>
        <v/>
      </c>
      <c r="F1686" s="73"/>
      <c r="I1686" s="64"/>
      <c r="J1686" s="64"/>
    </row>
    <row r="1687" spans="1:10" ht="21" customHeight="1">
      <c r="A1687" s="72" t="s">
        <v>200</v>
      </c>
      <c r="B1687" s="73" t="s">
        <v>60</v>
      </c>
      <c r="C1687" s="74" t="str">
        <f>INDEX('TH CANAM'!$A$9:$BF$63,MATCH(PDNam!$F1711,'TH CANAM'!$A$9:$A$63,0),INDEX($J$13:$M$30,MATCH($B1687,$J$13:$J$30,0),K$12))</f>
        <v/>
      </c>
      <c r="D1687" s="74" t="str">
        <f>INDEX('TH CANAM'!$A$9:$BF$63,MATCH(PDNam!$F1711,'TH CANAM'!$A$9:$A$63,0),INDEX($J$13:$M$30,MATCH($B1687,$J$13:$J$30,0),L$12))</f>
        <v/>
      </c>
      <c r="E1687" s="74" t="str">
        <f>INDEX('TH CANAM'!$A$9:$BF$63,MATCH(PDNam!$F1711,'TH CANAM'!$A$9:$A$63,0),INDEX($J$13:$M$30,MATCH($B1687,$J$13:$J$30,0),M$12))</f>
        <v/>
      </c>
      <c r="F1687" s="73"/>
      <c r="I1687" s="64"/>
      <c r="J1687" s="64"/>
    </row>
    <row r="1688" spans="1:10" ht="21" customHeight="1">
      <c r="A1688" s="72" t="s">
        <v>201</v>
      </c>
      <c r="B1688" s="73" t="s">
        <v>34</v>
      </c>
      <c r="C1688" s="74" t="str">
        <f>INDEX('TH CANAM'!$A$9:$BF$63,MATCH(PDNam!$F1711,'TH CANAM'!$A$9:$A$63,0),INDEX($J$13:$M$30,MATCH($B1688,$J$13:$J$30,0),K$12))</f>
        <v/>
      </c>
      <c r="D1688" s="74" t="str">
        <f>INDEX('TH CANAM'!$A$9:$BF$63,MATCH(PDNam!$F1711,'TH CANAM'!$A$9:$A$63,0),INDEX($J$13:$M$30,MATCH($B1688,$J$13:$J$30,0),L$12))</f>
        <v/>
      </c>
      <c r="E1688" s="74" t="str">
        <f>INDEX('TH CANAM'!$A$9:$BF$63,MATCH(PDNam!$F1711,'TH CANAM'!$A$9:$A$63,0),INDEX($J$13:$M$30,MATCH($B1688,$J$13:$J$30,0),M$12))</f>
        <v/>
      </c>
      <c r="F1688" s="73"/>
      <c r="I1688" s="64"/>
      <c r="J1688" s="64"/>
    </row>
    <row r="1689" spans="1:10" ht="21" customHeight="1">
      <c r="A1689" s="72" t="s">
        <v>202</v>
      </c>
      <c r="B1689" s="73" t="s">
        <v>35</v>
      </c>
      <c r="C1689" s="74" t="str">
        <f>INDEX('TH CANAM'!$A$9:$BF$63,MATCH(PDNam!$F1711,'TH CANAM'!$A$9:$A$63,0),INDEX($J$13:$M$30,MATCH($B1689,$J$13:$J$30,0),K$12))</f>
        <v/>
      </c>
      <c r="D1689" s="74" t="str">
        <f>INDEX('TH CANAM'!$A$9:$BF$63,MATCH(PDNam!$F1711,'TH CANAM'!$A$9:$A$63,0),INDEX($J$13:$M$30,MATCH($B1689,$J$13:$J$30,0),L$12))</f>
        <v/>
      </c>
      <c r="E1689" s="74" t="str">
        <f>INDEX('TH CANAM'!$A$9:$BF$63,MATCH(PDNam!$F1711,'TH CANAM'!$A$9:$A$63,0),INDEX($J$13:$M$30,MATCH($B1689,$J$13:$J$30,0),M$12))</f>
        <v/>
      </c>
      <c r="F1689" s="73"/>
      <c r="I1689" s="64"/>
      <c r="J1689" s="64"/>
    </row>
    <row r="1690" spans="1:10" ht="21" customHeight="1">
      <c r="A1690" s="72" t="s">
        <v>203</v>
      </c>
      <c r="B1690" s="73" t="s">
        <v>121</v>
      </c>
      <c r="C1690" s="74" t="str">
        <f>INDEX('TH CANAM'!$A$9:$BF$63,MATCH(PDNam!$F1711,'TH CANAM'!$A$9:$A$63,0),INDEX($J$13:$M$30,MATCH($B1690,$J$13:$J$30,0),K$12))</f>
        <v/>
      </c>
      <c r="D1690" s="74" t="str">
        <f>INDEX('TH CANAM'!$A$9:$BF$63,MATCH(PDNam!$F1711,'TH CANAM'!$A$9:$A$63,0),INDEX($J$13:$M$30,MATCH($B1690,$J$13:$J$30,0),L$12))</f>
        <v/>
      </c>
      <c r="E1690" s="74" t="str">
        <f>INDEX('TH CANAM'!$A$9:$BF$63,MATCH(PDNam!$F1711,'TH CANAM'!$A$9:$A$63,0),INDEX($J$13:$M$30,MATCH($B1690,$J$13:$J$30,0),M$12))</f>
        <v/>
      </c>
      <c r="F1690" s="73"/>
      <c r="I1690" s="64"/>
      <c r="J1690" s="64"/>
    </row>
    <row r="1691" spans="1:10" ht="21" customHeight="1">
      <c r="A1691" s="72" t="s">
        <v>204</v>
      </c>
      <c r="B1691" s="73" t="s">
        <v>122</v>
      </c>
      <c r="C1691" s="74" t="str">
        <f>INDEX('TH CANAM'!$A$9:$BF$63,MATCH(PDNam!$F1711,'TH CANAM'!$A$9:$A$63,0),INDEX($J$13:$M$30,MATCH($B1691,$J$13:$J$30,0),K$12))</f>
        <v/>
      </c>
      <c r="D1691" s="74" t="str">
        <f>INDEX('TH CANAM'!$A$9:$BF$63,MATCH(PDNam!$F1711,'TH CANAM'!$A$9:$A$63,0),INDEX($J$13:$M$30,MATCH($B1691,$J$13:$J$30,0),L$12))</f>
        <v/>
      </c>
      <c r="E1691" s="74" t="str">
        <f>INDEX('TH CANAM'!$A$9:$BF$63,MATCH(PDNam!$F1711,'TH CANAM'!$A$9:$A$63,0),INDEX($J$13:$M$30,MATCH($B1691,$J$13:$J$30,0),M$12))</f>
        <v/>
      </c>
      <c r="F1691" s="73"/>
      <c r="I1691" s="64"/>
      <c r="J1691" s="64"/>
    </row>
    <row r="1692" spans="1:10" ht="21" customHeight="1">
      <c r="A1692" s="72" t="s">
        <v>208</v>
      </c>
      <c r="B1692" s="73" t="s">
        <v>205</v>
      </c>
      <c r="C1692" s="78" t="str">
        <f>INDEX('TH CANAM'!$A$9:$BF$63,MATCH(PDNam!$F1711,'TH CANAM'!$A$9:$A$63,0),46)</f>
        <v/>
      </c>
      <c r="D1692" s="78" t="str">
        <f>INDEX('TH CANAM'!$A$9:$BF$63,MATCH(PDNam!$F1711,'TH CANAM'!$A$9:$A$63,0),47)</f>
        <v/>
      </c>
      <c r="E1692" s="78" t="str">
        <f>INDEX('TH CANAM'!$A$9:$BF$63,MATCH(PDNam!$F1711,'TH CANAM'!$A$9:$A$63,0),48)</f>
        <v/>
      </c>
      <c r="F1692" s="73"/>
      <c r="I1692" s="64"/>
      <c r="J1692" s="64"/>
    </row>
    <row r="1693" spans="1:10" ht="21" customHeight="1">
      <c r="A1693" s="72" t="s">
        <v>209</v>
      </c>
      <c r="B1693" s="72" t="s">
        <v>206</v>
      </c>
      <c r="C1693" s="74" t="str">
        <f>IF(INDEX('TH CANAM'!$A$9:$BF$63,MATCH(PDNam!$F1711,'TH CANAM'!$A$9:$A$63,0),49)="Tb","Trung bình",INDEX('TH CANAM'!$A$9:$BF$63,MATCH(PDNam!$F1711,'TH CANAM'!$A$9:$A$63,0),49))</f>
        <v/>
      </c>
      <c r="D1693" s="74" t="str">
        <f>IF(INDEX('TH CANAM'!$A$9:$BF$63,MATCH(PDNam!$F1711,'TH CANAM'!$A$9:$A$63,0),50)="Tb","Trung bình",INDEX('TH CANAM'!$A$9:$BF$63,MATCH(PDNam!$F1711,'TH CANAM'!$A$9:$A$63,0),50))</f>
        <v/>
      </c>
      <c r="E1693" s="74" t="str">
        <f>IF(INDEX('TH CANAM'!$A$9:$BF$63,MATCH(PDNam!$F1711,'TH CANAM'!$A$9:$A$63,0),51)="Tb","Trung bình",INDEX('TH CANAM'!$A$9:$BF$63,MATCH(PDNam!$F1711,'TH CANAM'!$A$9:$A$63,0),51))</f>
        <v/>
      </c>
      <c r="F1693" s="73"/>
    </row>
    <row r="1694" spans="1:10" ht="21" customHeight="1">
      <c r="A1694" s="72" t="s">
        <v>210</v>
      </c>
      <c r="B1694" s="72" t="s">
        <v>207</v>
      </c>
      <c r="C1694" s="74" t="str">
        <f>INDEX('TH CANAM'!$A$9:$BF$63,MATCH(PDNam!$F1711,'TH CANAM'!$A$9:$A$63,0),52)</f>
        <v/>
      </c>
      <c r="D1694" s="74" t="str">
        <f>INDEX('TH CANAM'!$A$9:$BF$63,MATCH(PDNam!$F1711,'TH CANAM'!$A$9:$A$63,0),53)</f>
        <v/>
      </c>
      <c r="E1694" s="74" t="str">
        <f>INDEX('TH CANAM'!$A$9:$BF$63,MATCH(PDNam!$F1711,'TH CANAM'!$A$9:$A$63,0),54)</f>
        <v/>
      </c>
      <c r="F1694" s="73"/>
    </row>
    <row r="1695" spans="1:10" ht="21" customHeight="1">
      <c r="A1695" s="72" t="s">
        <v>211</v>
      </c>
      <c r="B1695" s="72" t="s">
        <v>25</v>
      </c>
      <c r="C1695" s="74" t="str">
        <f>IF(INDEX('TH CANAM'!$A$9:$BF$63,MATCH(PDNam!$F1711,'TH CANAM'!$A$9:$A$63,0),57)&lt;&gt;"",INDEX('TH CANAM'!$A$9:$BF$63,MATCH(PDNam!$F1711,'TH CANAM'!$A$9:$A$63,0),57),"/")</f>
        <v>/</v>
      </c>
      <c r="D1695" s="74" t="str">
        <f>IF(INDEX('TH CANAM'!$A$9:$BF$63,MATCH(PDNam!$F1711,'TH CANAM'!$A$9:$A$63,0),58)&lt;&gt;"",INDEX('TH CANAM'!$A$9:$BF$63,MATCH(PDNam!$F1711,'TH CANAM'!$A$9:$A$63,0),58),"/")</f>
        <v>/</v>
      </c>
      <c r="E1695" s="74" t="str">
        <f>IF(INDEX('TH CANAM'!$A$9:$BF$63,MATCH(PDNam!$F1711,'TH CANAM'!$A$9:$A$63,0),55)&lt;&gt;"",INDEX('TH CANAM'!$A$9:$BF$63,MATCH(PDNam!$F1711,'TH CANAM'!$A$9:$A$63,0),55),"/")</f>
        <v>/</v>
      </c>
      <c r="F1695" s="73"/>
    </row>
    <row r="1696" spans="1:10" s="60" customFormat="1" ht="9" customHeight="1">
      <c r="A1696" s="67"/>
      <c r="B1696" s="67"/>
      <c r="C1696" s="1132"/>
      <c r="D1696" s="1132"/>
      <c r="E1696" s="67"/>
      <c r="F1696" s="67"/>
    </row>
    <row r="1697" spans="1:10" s="60" customFormat="1" ht="18.75" customHeight="1">
      <c r="A1697" s="58" t="s">
        <v>219</v>
      </c>
      <c r="B1697" s="57"/>
      <c r="C1697" s="57"/>
      <c r="D1697" s="57"/>
      <c r="E1697" s="57"/>
      <c r="F1697" s="475"/>
    </row>
    <row r="1698" spans="1:10" s="60" customFormat="1" ht="18.75" customHeight="1">
      <c r="A1698" s="59" t="str">
        <f>IF(F1711&lt;&gt;"",IF(INDEX(BDHK2,MATCH(F1711,DiemHKII!$B$4:$B$58,0),137)&lt;&gt;""," - "&amp;INDEX(BDHK2,MATCH(F1711,DiemHKII!$B$4:$B$58,0),137),""),"")</f>
        <v/>
      </c>
      <c r="B1698" s="57"/>
      <c r="C1698" s="57"/>
      <c r="D1698" s="57"/>
      <c r="E1698" s="57"/>
      <c r="F1698" s="475"/>
    </row>
    <row r="1699" spans="1:10" s="60" customFormat="1" ht="18.75" customHeight="1">
      <c r="A1699" s="59" t="str">
        <f>IF(F1711&lt;&gt;"",IF(INDEX(BDHK2,MATCH(F1711,DiemHKII!$B$4:$B$58,0),138)&lt;&gt;""," - "&amp;INDEX(BDHK2,MATCH(F1711,DiemHKII!$B$4:$B$58,0),138),""),"")</f>
        <v/>
      </c>
      <c r="B1699" s="57"/>
      <c r="C1699" s="57"/>
      <c r="D1699" s="57"/>
      <c r="E1699" s="57"/>
      <c r="F1699" s="475"/>
    </row>
    <row r="1700" spans="1:10" s="60" customFormat="1" ht="18.75" customHeight="1">
      <c r="A1700" s="59" t="str">
        <f>IF(F1711&lt;&gt;"",IF(INDEX(BDHK2,MATCH(F1711,DiemHKII!$B$4:$B$58,0),139)&lt;&gt;""," - "&amp;INDEX(BDHK2,MATCH(F1711,DiemHKII!$B$4:$B$58,0),139),""),"")</f>
        <v/>
      </c>
      <c r="B1700" s="57"/>
      <c r="C1700" s="57"/>
      <c r="D1700" s="57"/>
      <c r="E1700" s="57"/>
      <c r="F1700" s="475"/>
    </row>
    <row r="1701" spans="1:10" s="60" customFormat="1" ht="18.75" customHeight="1">
      <c r="A1701" s="59" t="str">
        <f>IF(F1711&lt;&gt;"",IF(INDEX(BDHK2,MATCH(F1711,DiemHKII!$B$4:$B$58,0),140)&lt;&gt;""," - "&amp;INDEX(BDHK2,MATCH(F1711,DiemHKII!$B$4:$B$58,0),140),""),"")</f>
        <v/>
      </c>
      <c r="B1701" s="57"/>
      <c r="C1701" s="57"/>
      <c r="D1701" s="57"/>
      <c r="E1701" s="57"/>
      <c r="F1701" s="67"/>
    </row>
    <row r="1702" spans="1:10" ht="6" customHeight="1">
      <c r="A1702" s="68"/>
      <c r="B1702" s="68"/>
      <c r="C1702" s="68"/>
      <c r="D1702" s="68"/>
      <c r="E1702" s="68"/>
      <c r="F1702" s="68"/>
    </row>
    <row r="1703" spans="1:10">
      <c r="A1703" s="68"/>
      <c r="B1703" s="68"/>
      <c r="C170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703" s="1060"/>
      <c r="E1703" s="1060"/>
      <c r="F1703" s="1060"/>
    </row>
    <row r="1704" spans="1:10" ht="20.25" customHeight="1">
      <c r="A1704" s="1012" t="str">
        <f>IF($D$39="Hiệu trưởng","Giáo viên Quản nhiệm","")</f>
        <v>Giáo viên Quản nhiệm</v>
      </c>
      <c r="B1704" s="1012"/>
      <c r="C1704" s="61"/>
      <c r="D1704" s="1012" t="str">
        <f>IF($H$7="","",$H$7)</f>
        <v>Hiệu trưởng</v>
      </c>
      <c r="E1704" s="1012"/>
      <c r="F1704" s="61"/>
    </row>
    <row r="1705" spans="1:10">
      <c r="A1705" s="68"/>
      <c r="B1705" s="68"/>
      <c r="C1705" s="68"/>
      <c r="D1705" s="68"/>
      <c r="E1705" s="68"/>
      <c r="F1705" s="68"/>
    </row>
    <row r="1706" spans="1:10">
      <c r="A1706" s="68"/>
      <c r="B1706" s="68"/>
      <c r="C1706" s="68"/>
      <c r="D1706" s="68"/>
      <c r="E1706" s="68"/>
      <c r="F1706" s="68"/>
    </row>
    <row r="1707" spans="1:10" ht="16.8">
      <c r="A1707" s="68"/>
      <c r="B1707" s="68"/>
      <c r="C1707" s="64"/>
      <c r="D1707" s="64"/>
      <c r="E1707" s="64"/>
      <c r="F1707" s="64"/>
      <c r="G1707" s="65"/>
      <c r="H1707" s="65"/>
      <c r="I1707" s="65"/>
      <c r="J1707" s="65"/>
    </row>
    <row r="1709" spans="1:10">
      <c r="A1709" s="1012" t="str">
        <f>IF($A$39="","",PROPER('Huong dan'!$C$4))</f>
        <v/>
      </c>
      <c r="B1709" s="1012"/>
      <c r="D1709" s="1130" t="str">
        <f>IFERROR(IF($D$39="Giáo Viên Quản nhiệm",PROPER('Huong dan'!$C$4),IF($D$39="Hiệu trưởng",PROPER('Huong dan'!$E$5),"")),"")</f>
        <v/>
      </c>
      <c r="E1709" s="1130"/>
    </row>
    <row r="1710" spans="1:10" ht="7.5" customHeight="1"/>
    <row r="1711" spans="1:10" ht="11.25" customHeight="1">
      <c r="A1711" s="75"/>
      <c r="B1711" s="75"/>
      <c r="C1711" s="75"/>
      <c r="D1711" s="75"/>
      <c r="E1711" s="75"/>
      <c r="F1711" s="76" t="str">
        <f>IF(F1666="","",IF(F1666&lt;MAX(DiemHKII!$B$4:$B$58),F1666+1,""))</f>
        <v/>
      </c>
    </row>
    <row r="1712" spans="1:10" s="60" customFormat="1" ht="22.5" customHeight="1">
      <c r="A1712" s="1128" t="str">
        <f>IF('Huong dan'!$E$3&lt;&gt;"","SỞ GIÁO DỤC VÀ ĐÀO TẠO "&amp;UPPER('Huong dan'!$E$3),"")</f>
        <v>SỞ GIÁO DỤC VÀ ĐÀO TẠO TP. HỒ CHÍ MINH</v>
      </c>
      <c r="B1712" s="1128"/>
      <c r="C1712" s="1128"/>
      <c r="D1712" s="1129" t="s">
        <v>19</v>
      </c>
      <c r="E1712" s="1129"/>
      <c r="F1712" s="1129"/>
    </row>
    <row r="1713" spans="1:10" ht="17.25" customHeight="1">
      <c r="A1713" s="992" t="str">
        <f>IF('Huong dan'!$E$4&lt;&gt;"","TRƯỜNG "&amp;UPPER('Huong dan'!$E$4),"")</f>
        <v>TRƯỜNG THCS VÀ THPT NGUYỄN KHUYẾN</v>
      </c>
      <c r="B1713" s="992"/>
      <c r="C1713" s="992"/>
      <c r="D1713" s="1130" t="s">
        <v>179</v>
      </c>
      <c r="E1713" s="1130"/>
      <c r="F1713" s="1130"/>
    </row>
    <row r="1714" spans="1:10" ht="12" customHeight="1">
      <c r="A1714" s="69"/>
      <c r="B1714" s="69"/>
      <c r="C1714" s="30"/>
      <c r="D1714" s="30"/>
      <c r="E1714" s="30"/>
      <c r="F1714" s="30"/>
    </row>
    <row r="1715" spans="1:10" ht="18" customHeight="1">
      <c r="A1715" s="69"/>
      <c r="B1715" s="69"/>
      <c r="C1715" s="30"/>
      <c r="D1715" s="30"/>
      <c r="E1715" s="30"/>
      <c r="F1715" s="30"/>
    </row>
    <row r="1716" spans="1:10" ht="29.25" customHeight="1">
      <c r="A1716" s="1013" t="str">
        <f>"PHIẾU ĐIỂM NĂM HỌC "&amp;'Huong dan'!$C$5</f>
        <v>PHIẾU ĐIỂM NĂM HỌC 2021 - 2022</v>
      </c>
      <c r="B1716" s="1013"/>
      <c r="C1716" s="1013"/>
      <c r="D1716" s="1013"/>
      <c r="E1716" s="1013"/>
      <c r="F1716" s="1013"/>
    </row>
    <row r="1717" spans="1:10" ht="12.75" customHeight="1">
      <c r="A1717" s="70"/>
      <c r="B1717" s="66"/>
      <c r="C1717" s="66"/>
      <c r="D1717" s="66"/>
      <c r="E1717" s="66"/>
      <c r="F1717" s="66"/>
    </row>
    <row r="1718" spans="1:10" ht="20.25" customHeight="1">
      <c r="A1718" s="1131" t="s">
        <v>212</v>
      </c>
      <c r="B1718" s="1131"/>
      <c r="C1718" s="77" t="str">
        <f>IF(F1756="","",INDEX(DiemHKII!$E$4:$E$58,MATCH(F1756,DiemHKII!$B$4:$B$58,0),1)&amp;" "&amp;INDEX(DiemHKII!$F$4:$F$58,MATCH(F1756,DiemHKII!$B$4:$B$58,0),1))</f>
        <v/>
      </c>
      <c r="D1718" s="77"/>
      <c r="E1718" s="77"/>
      <c r="F1718" s="71" t="str">
        <f>IF('Huong dan'!$C$3="","","Lớp: "&amp;'Huong dan'!$C$3)</f>
        <v>Lớp: 12A1</v>
      </c>
    </row>
    <row r="1719" spans="1:10" ht="24" customHeight="1">
      <c r="A1719" s="1131" t="s">
        <v>213</v>
      </c>
      <c r="B1719" s="1131"/>
      <c r="C1719" s="77" t="str">
        <f>IF(F1756="","",INDEX(DiemHKII!$G$4:$G$58,MATCH(F1756,DiemHKII!$B$4:$B$58,0),1))</f>
        <v/>
      </c>
      <c r="D1719" s="77"/>
      <c r="E1719" s="1133" t="str">
        <f>IF(F1756="","","Nơi sinh: "&amp;INDEX(DiemHKII!$H$4:$H$58,MATCH(F1756,DiemHKII!$B$4:$B$58,0),1))</f>
        <v/>
      </c>
      <c r="F1719" s="1133"/>
    </row>
    <row r="1720" spans="1:10" ht="15" customHeight="1">
      <c r="A1720" s="62"/>
      <c r="B1720" s="62"/>
      <c r="C1720" s="62"/>
      <c r="D1720" s="62"/>
      <c r="E1720" s="62"/>
      <c r="F1720" s="63"/>
    </row>
    <row r="1721" spans="1:10" ht="21" customHeight="1">
      <c r="A1721" s="1134" t="s">
        <v>0</v>
      </c>
      <c r="B1721" s="1134" t="s">
        <v>72</v>
      </c>
      <c r="C1721" s="1134" t="s">
        <v>216</v>
      </c>
      <c r="D1721" s="1134"/>
      <c r="E1721" s="1134"/>
      <c r="F1721" s="1134" t="s">
        <v>148</v>
      </c>
    </row>
    <row r="1722" spans="1:10" ht="21" customHeight="1">
      <c r="A1722" s="1134"/>
      <c r="B1722" s="1134"/>
      <c r="C1722" s="476" t="s">
        <v>188</v>
      </c>
      <c r="D1722" s="476" t="s">
        <v>189</v>
      </c>
      <c r="E1722" s="476" t="s">
        <v>190</v>
      </c>
      <c r="F1722" s="1134"/>
    </row>
    <row r="1723" spans="1:10" ht="21" customHeight="1">
      <c r="A1723" s="72" t="s">
        <v>191</v>
      </c>
      <c r="B1723" s="73" t="s">
        <v>26</v>
      </c>
      <c r="C1723" s="74" t="str">
        <f>INDEX('TH CANAM'!$A$9:$BF$63,MATCH(PDNam!$F1756,'TH CANAM'!$A$9:$A$63,0),INDEX($J$13:$M$30,MATCH($B1723,$J$13:$J$30,0),K$12))</f>
        <v/>
      </c>
      <c r="D1723" s="74" t="str">
        <f>INDEX('TH CANAM'!$A$9:$BF$63,MATCH(PDNam!$F1756,'TH CANAM'!$A$9:$A$63,0),INDEX($J$13:$M$30,MATCH($B1723,$J$13:$J$30,0),L$12))</f>
        <v/>
      </c>
      <c r="E1723" s="74" t="str">
        <f>INDEX('TH CANAM'!$A$9:$BF$63,MATCH(PDNam!$F1756,'TH CANAM'!$A$9:$A$63,0),INDEX($J$13:$M$30,MATCH($B1723,$J$13:$J$30,0),M$12))</f>
        <v/>
      </c>
      <c r="F1723" s="73"/>
      <c r="I1723" s="64"/>
      <c r="J1723" s="64"/>
    </row>
    <row r="1724" spans="1:10" ht="21" customHeight="1">
      <c r="A1724" s="72" t="s">
        <v>192</v>
      </c>
      <c r="B1724" s="73" t="s">
        <v>27</v>
      </c>
      <c r="C1724" s="74" t="str">
        <f>INDEX('TH CANAM'!$A$9:$BF$63,MATCH(PDNam!$F1756,'TH CANAM'!$A$9:$A$63,0),INDEX($J$13:$M$30,MATCH($B1724,$J$13:$J$30,0),K$12))</f>
        <v/>
      </c>
      <c r="D1724" s="74" t="str">
        <f>INDEX('TH CANAM'!$A$9:$BF$63,MATCH(PDNam!$F1756,'TH CANAM'!$A$9:$A$63,0),INDEX($J$13:$M$30,MATCH($B1724,$J$13:$J$30,0),L$12))</f>
        <v/>
      </c>
      <c r="E1724" s="74" t="str">
        <f>INDEX('TH CANAM'!$A$9:$BF$63,MATCH(PDNam!$F1756,'TH CANAM'!$A$9:$A$63,0),INDEX($J$13:$M$30,MATCH($B1724,$J$13:$J$30,0),M$12))</f>
        <v/>
      </c>
      <c r="F1724" s="73"/>
      <c r="I1724" s="64"/>
      <c r="J1724" s="64"/>
    </row>
    <row r="1725" spans="1:10" ht="21" customHeight="1">
      <c r="A1725" s="72" t="s">
        <v>193</v>
      </c>
      <c r="B1725" s="73" t="s">
        <v>28</v>
      </c>
      <c r="C1725" s="74" t="str">
        <f>INDEX('TH CANAM'!$A$9:$BF$63,MATCH(PDNam!$F1756,'TH CANAM'!$A$9:$A$63,0),INDEX($J$13:$M$30,MATCH($B1725,$J$13:$J$30,0),K$12))</f>
        <v/>
      </c>
      <c r="D1725" s="74" t="str">
        <f>INDEX('TH CANAM'!$A$9:$BF$63,MATCH(PDNam!$F1756,'TH CANAM'!$A$9:$A$63,0),INDEX($J$13:$M$30,MATCH($B1725,$J$13:$J$30,0),L$12))</f>
        <v/>
      </c>
      <c r="E1725" s="74" t="str">
        <f>INDEX('TH CANAM'!$A$9:$BF$63,MATCH(PDNam!$F1756,'TH CANAM'!$A$9:$A$63,0),INDEX($J$13:$M$30,MATCH($B1725,$J$13:$J$30,0),M$12))</f>
        <v/>
      </c>
      <c r="F1725" s="73"/>
      <c r="I1725" s="64"/>
      <c r="J1725" s="64"/>
    </row>
    <row r="1726" spans="1:10" ht="21" customHeight="1">
      <c r="A1726" s="72" t="s">
        <v>194</v>
      </c>
      <c r="B1726" s="73" t="s">
        <v>29</v>
      </c>
      <c r="C1726" s="74" t="str">
        <f>INDEX('TH CANAM'!$A$9:$BF$63,MATCH(PDNam!$F1756,'TH CANAM'!$A$9:$A$63,0),INDEX($J$13:$M$30,MATCH($B1726,$J$13:$J$30,0),K$12))</f>
        <v/>
      </c>
      <c r="D1726" s="74" t="str">
        <f>INDEX('TH CANAM'!$A$9:$BF$63,MATCH(PDNam!$F1756,'TH CANAM'!$A$9:$A$63,0),INDEX($J$13:$M$30,MATCH($B1726,$J$13:$J$30,0),L$12))</f>
        <v/>
      </c>
      <c r="E1726" s="74" t="str">
        <f>INDEX('TH CANAM'!$A$9:$BF$63,MATCH(PDNam!$F1756,'TH CANAM'!$A$9:$A$63,0),INDEX($J$13:$M$30,MATCH($B1726,$J$13:$J$30,0),M$12))</f>
        <v/>
      </c>
      <c r="F1726" s="73"/>
      <c r="I1726" s="64"/>
      <c r="J1726" s="64"/>
    </row>
    <row r="1727" spans="1:10" ht="21" customHeight="1">
      <c r="A1727" s="72" t="s">
        <v>195</v>
      </c>
      <c r="B1727" s="73" t="s">
        <v>120</v>
      </c>
      <c r="C1727" s="74" t="str">
        <f>INDEX('TH CANAM'!$A$9:$BF$63,MATCH(PDNam!$F1756,'TH CANAM'!$A$9:$A$63,0),INDEX($J$13:$M$30,MATCH($B1727,$J$13:$J$30,0),K$12))</f>
        <v/>
      </c>
      <c r="D1727" s="74" t="str">
        <f>INDEX('TH CANAM'!$A$9:$BF$63,MATCH(PDNam!$F1756,'TH CANAM'!$A$9:$A$63,0),INDEX($J$13:$M$30,MATCH($B1727,$J$13:$J$30,0),L$12))</f>
        <v/>
      </c>
      <c r="E1727" s="74" t="str">
        <f>INDEX('TH CANAM'!$A$9:$BF$63,MATCH(PDNam!$F1756,'TH CANAM'!$A$9:$A$63,0),INDEX($J$13:$M$30,MATCH($B1727,$J$13:$J$30,0),M$12))</f>
        <v/>
      </c>
      <c r="F1727" s="73"/>
      <c r="I1727" s="64"/>
      <c r="J1727" s="64"/>
    </row>
    <row r="1728" spans="1:10" ht="21" customHeight="1">
      <c r="A1728" s="72" t="s">
        <v>196</v>
      </c>
      <c r="B1728" s="73" t="s">
        <v>30</v>
      </c>
      <c r="C1728" s="74" t="str">
        <f>INDEX('TH CANAM'!$A$9:$BF$63,MATCH(PDNam!$F1756,'TH CANAM'!$A$9:$A$63,0),INDEX($J$13:$M$30,MATCH($B1728,$J$13:$J$30,0),K$12))</f>
        <v/>
      </c>
      <c r="D1728" s="74" t="str">
        <f>INDEX('TH CANAM'!$A$9:$BF$63,MATCH(PDNam!$F1756,'TH CANAM'!$A$9:$A$63,0),INDEX($J$13:$M$30,MATCH($B1728,$J$13:$J$30,0),L$12))</f>
        <v/>
      </c>
      <c r="E1728" s="74" t="str">
        <f>INDEX('TH CANAM'!$A$9:$BF$63,MATCH(PDNam!$F1756,'TH CANAM'!$A$9:$A$63,0),INDEX($J$13:$M$30,MATCH($B1728,$J$13:$J$30,0),M$12))</f>
        <v/>
      </c>
      <c r="F1728" s="73"/>
      <c r="I1728" s="64"/>
      <c r="J1728" s="64"/>
    </row>
    <row r="1729" spans="1:10" ht="21" customHeight="1">
      <c r="A1729" s="72" t="s">
        <v>197</v>
      </c>
      <c r="B1729" s="73" t="s">
        <v>31</v>
      </c>
      <c r="C1729" s="74" t="str">
        <f>INDEX('TH CANAM'!$A$9:$BF$63,MATCH(PDNam!$F1756,'TH CANAM'!$A$9:$A$63,0),INDEX($J$13:$M$30,MATCH($B1729,$J$13:$J$30,0),K$12))</f>
        <v/>
      </c>
      <c r="D1729" s="74" t="str">
        <f>INDEX('TH CANAM'!$A$9:$BF$63,MATCH(PDNam!$F1756,'TH CANAM'!$A$9:$A$63,0),INDEX($J$13:$M$30,MATCH($B1729,$J$13:$J$30,0),L$12))</f>
        <v/>
      </c>
      <c r="E1729" s="74" t="str">
        <f>INDEX('TH CANAM'!$A$9:$BF$63,MATCH(PDNam!$F1756,'TH CANAM'!$A$9:$A$63,0),INDEX($J$13:$M$30,MATCH($B1729,$J$13:$J$30,0),M$12))</f>
        <v/>
      </c>
      <c r="F1729" s="73"/>
      <c r="I1729" s="64"/>
      <c r="J1729" s="64"/>
    </row>
    <row r="1730" spans="1:10" ht="21" customHeight="1">
      <c r="A1730" s="72" t="s">
        <v>198</v>
      </c>
      <c r="B1730" s="73" t="s">
        <v>32</v>
      </c>
      <c r="C1730" s="74" t="str">
        <f>INDEX('TH CANAM'!$A$9:$BF$63,MATCH(PDNam!$F1756,'TH CANAM'!$A$9:$A$63,0),INDEX($J$13:$M$30,MATCH($B1730,$J$13:$J$30,0),K$12))</f>
        <v/>
      </c>
      <c r="D1730" s="74" t="str">
        <f>INDEX('TH CANAM'!$A$9:$BF$63,MATCH(PDNam!$F1756,'TH CANAM'!$A$9:$A$63,0),INDEX($J$13:$M$30,MATCH($B1730,$J$13:$J$30,0),L$12))</f>
        <v/>
      </c>
      <c r="E1730" s="74" t="str">
        <f>INDEX('TH CANAM'!$A$9:$BF$63,MATCH(PDNam!$F1756,'TH CANAM'!$A$9:$A$63,0),INDEX($J$13:$M$30,MATCH($B1730,$J$13:$J$30,0),M$12))</f>
        <v/>
      </c>
      <c r="F1730" s="73"/>
      <c r="I1730" s="64"/>
      <c r="J1730" s="64"/>
    </row>
    <row r="1731" spans="1:10" ht="21" customHeight="1">
      <c r="A1731" s="72" t="s">
        <v>199</v>
      </c>
      <c r="B1731" s="73" t="s">
        <v>33</v>
      </c>
      <c r="C1731" s="74" t="str">
        <f>INDEX('TH CANAM'!$A$9:$BF$63,MATCH(PDNam!$F1756,'TH CANAM'!$A$9:$A$63,0),INDEX($J$13:$M$30,MATCH($B1731,$J$13:$J$30,0),K$12))</f>
        <v/>
      </c>
      <c r="D1731" s="74" t="str">
        <f>INDEX('TH CANAM'!$A$9:$BF$63,MATCH(PDNam!$F1756,'TH CANAM'!$A$9:$A$63,0),INDEX($J$13:$M$30,MATCH($B1731,$J$13:$J$30,0),L$12))</f>
        <v/>
      </c>
      <c r="E1731" s="74" t="str">
        <f>INDEX('TH CANAM'!$A$9:$BF$63,MATCH(PDNam!$F1756,'TH CANAM'!$A$9:$A$63,0),INDEX($J$13:$M$30,MATCH($B1731,$J$13:$J$30,0),M$12))</f>
        <v/>
      </c>
      <c r="F1731" s="73"/>
      <c r="I1731" s="64"/>
      <c r="J1731" s="64"/>
    </row>
    <row r="1732" spans="1:10" ht="21" customHeight="1">
      <c r="A1732" s="72" t="s">
        <v>200</v>
      </c>
      <c r="B1732" s="73" t="s">
        <v>60</v>
      </c>
      <c r="C1732" s="74" t="str">
        <f>INDEX('TH CANAM'!$A$9:$BF$63,MATCH(PDNam!$F1756,'TH CANAM'!$A$9:$A$63,0),INDEX($J$13:$M$30,MATCH($B1732,$J$13:$J$30,0),K$12))</f>
        <v/>
      </c>
      <c r="D1732" s="74" t="str">
        <f>INDEX('TH CANAM'!$A$9:$BF$63,MATCH(PDNam!$F1756,'TH CANAM'!$A$9:$A$63,0),INDEX($J$13:$M$30,MATCH($B1732,$J$13:$J$30,0),L$12))</f>
        <v/>
      </c>
      <c r="E1732" s="74" t="str">
        <f>INDEX('TH CANAM'!$A$9:$BF$63,MATCH(PDNam!$F1756,'TH CANAM'!$A$9:$A$63,0),INDEX($J$13:$M$30,MATCH($B1732,$J$13:$J$30,0),M$12))</f>
        <v/>
      </c>
      <c r="F1732" s="73"/>
      <c r="I1732" s="64"/>
      <c r="J1732" s="64"/>
    </row>
    <row r="1733" spans="1:10" ht="21" customHeight="1">
      <c r="A1733" s="72" t="s">
        <v>201</v>
      </c>
      <c r="B1733" s="73" t="s">
        <v>34</v>
      </c>
      <c r="C1733" s="74" t="str">
        <f>INDEX('TH CANAM'!$A$9:$BF$63,MATCH(PDNam!$F1756,'TH CANAM'!$A$9:$A$63,0),INDEX($J$13:$M$30,MATCH($B1733,$J$13:$J$30,0),K$12))</f>
        <v/>
      </c>
      <c r="D1733" s="74" t="str">
        <f>INDEX('TH CANAM'!$A$9:$BF$63,MATCH(PDNam!$F1756,'TH CANAM'!$A$9:$A$63,0),INDEX($J$13:$M$30,MATCH($B1733,$J$13:$J$30,0),L$12))</f>
        <v/>
      </c>
      <c r="E1733" s="74" t="str">
        <f>INDEX('TH CANAM'!$A$9:$BF$63,MATCH(PDNam!$F1756,'TH CANAM'!$A$9:$A$63,0),INDEX($J$13:$M$30,MATCH($B1733,$J$13:$J$30,0),M$12))</f>
        <v/>
      </c>
      <c r="F1733" s="73"/>
      <c r="I1733" s="64"/>
      <c r="J1733" s="64"/>
    </row>
    <row r="1734" spans="1:10" ht="21" customHeight="1">
      <c r="A1734" s="72" t="s">
        <v>202</v>
      </c>
      <c r="B1734" s="73" t="s">
        <v>35</v>
      </c>
      <c r="C1734" s="74" t="str">
        <f>INDEX('TH CANAM'!$A$9:$BF$63,MATCH(PDNam!$F1756,'TH CANAM'!$A$9:$A$63,0),INDEX($J$13:$M$30,MATCH($B1734,$J$13:$J$30,0),K$12))</f>
        <v/>
      </c>
      <c r="D1734" s="74" t="str">
        <f>INDEX('TH CANAM'!$A$9:$BF$63,MATCH(PDNam!$F1756,'TH CANAM'!$A$9:$A$63,0),INDEX($J$13:$M$30,MATCH($B1734,$J$13:$J$30,0),L$12))</f>
        <v/>
      </c>
      <c r="E1734" s="74" t="str">
        <f>INDEX('TH CANAM'!$A$9:$BF$63,MATCH(PDNam!$F1756,'TH CANAM'!$A$9:$A$63,0),INDEX($J$13:$M$30,MATCH($B1734,$J$13:$J$30,0),M$12))</f>
        <v/>
      </c>
      <c r="F1734" s="73"/>
      <c r="I1734" s="64"/>
      <c r="J1734" s="64"/>
    </row>
    <row r="1735" spans="1:10" ht="21" customHeight="1">
      <c r="A1735" s="72" t="s">
        <v>203</v>
      </c>
      <c r="B1735" s="73" t="s">
        <v>121</v>
      </c>
      <c r="C1735" s="74" t="str">
        <f>INDEX('TH CANAM'!$A$9:$BF$63,MATCH(PDNam!$F1756,'TH CANAM'!$A$9:$A$63,0),INDEX($J$13:$M$30,MATCH($B1735,$J$13:$J$30,0),K$12))</f>
        <v/>
      </c>
      <c r="D1735" s="74" t="str">
        <f>INDEX('TH CANAM'!$A$9:$BF$63,MATCH(PDNam!$F1756,'TH CANAM'!$A$9:$A$63,0),INDEX($J$13:$M$30,MATCH($B1735,$J$13:$J$30,0),L$12))</f>
        <v/>
      </c>
      <c r="E1735" s="74" t="str">
        <f>INDEX('TH CANAM'!$A$9:$BF$63,MATCH(PDNam!$F1756,'TH CANAM'!$A$9:$A$63,0),INDEX($J$13:$M$30,MATCH($B1735,$J$13:$J$30,0),M$12))</f>
        <v/>
      </c>
      <c r="F1735" s="73"/>
      <c r="I1735" s="64"/>
      <c r="J1735" s="64"/>
    </row>
    <row r="1736" spans="1:10" ht="21" customHeight="1">
      <c r="A1736" s="72" t="s">
        <v>204</v>
      </c>
      <c r="B1736" s="73" t="s">
        <v>122</v>
      </c>
      <c r="C1736" s="74" t="str">
        <f>INDEX('TH CANAM'!$A$9:$BF$63,MATCH(PDNam!$F1756,'TH CANAM'!$A$9:$A$63,0),INDEX($J$13:$M$30,MATCH($B1736,$J$13:$J$30,0),K$12))</f>
        <v/>
      </c>
      <c r="D1736" s="74" t="str">
        <f>INDEX('TH CANAM'!$A$9:$BF$63,MATCH(PDNam!$F1756,'TH CANAM'!$A$9:$A$63,0),INDEX($J$13:$M$30,MATCH($B1736,$J$13:$J$30,0),L$12))</f>
        <v/>
      </c>
      <c r="E1736" s="74" t="str">
        <f>INDEX('TH CANAM'!$A$9:$BF$63,MATCH(PDNam!$F1756,'TH CANAM'!$A$9:$A$63,0),INDEX($J$13:$M$30,MATCH($B1736,$J$13:$J$30,0),M$12))</f>
        <v/>
      </c>
      <c r="F1736" s="73"/>
      <c r="I1736" s="64"/>
      <c r="J1736" s="64"/>
    </row>
    <row r="1737" spans="1:10" ht="21" customHeight="1">
      <c r="A1737" s="72" t="s">
        <v>208</v>
      </c>
      <c r="B1737" s="73" t="s">
        <v>205</v>
      </c>
      <c r="C1737" s="78" t="str">
        <f>INDEX('TH CANAM'!$A$9:$BF$63,MATCH(PDNam!$F1756,'TH CANAM'!$A$9:$A$63,0),46)</f>
        <v/>
      </c>
      <c r="D1737" s="78" t="str">
        <f>INDEX('TH CANAM'!$A$9:$BF$63,MATCH(PDNam!$F1756,'TH CANAM'!$A$9:$A$63,0),47)</f>
        <v/>
      </c>
      <c r="E1737" s="78" t="str">
        <f>INDEX('TH CANAM'!$A$9:$BF$63,MATCH(PDNam!$F1756,'TH CANAM'!$A$9:$A$63,0),48)</f>
        <v/>
      </c>
      <c r="F1737" s="73"/>
      <c r="I1737" s="64"/>
      <c r="J1737" s="64"/>
    </row>
    <row r="1738" spans="1:10" ht="21" customHeight="1">
      <c r="A1738" s="72" t="s">
        <v>209</v>
      </c>
      <c r="B1738" s="72" t="s">
        <v>206</v>
      </c>
      <c r="C1738" s="74" t="str">
        <f>IF(INDEX('TH CANAM'!$A$9:$BF$63,MATCH(PDNam!$F1756,'TH CANAM'!$A$9:$A$63,0),49)="Tb","Trung bình",INDEX('TH CANAM'!$A$9:$BF$63,MATCH(PDNam!$F1756,'TH CANAM'!$A$9:$A$63,0),49))</f>
        <v/>
      </c>
      <c r="D1738" s="74" t="str">
        <f>IF(INDEX('TH CANAM'!$A$9:$BF$63,MATCH(PDNam!$F1756,'TH CANAM'!$A$9:$A$63,0),50)="Tb","Trung bình",INDEX('TH CANAM'!$A$9:$BF$63,MATCH(PDNam!$F1756,'TH CANAM'!$A$9:$A$63,0),50))</f>
        <v/>
      </c>
      <c r="E1738" s="74" t="str">
        <f>IF(INDEX('TH CANAM'!$A$9:$BF$63,MATCH(PDNam!$F1756,'TH CANAM'!$A$9:$A$63,0),51)="Tb","Trung bình",INDEX('TH CANAM'!$A$9:$BF$63,MATCH(PDNam!$F1756,'TH CANAM'!$A$9:$A$63,0),51))</f>
        <v/>
      </c>
      <c r="F1738" s="73"/>
    </row>
    <row r="1739" spans="1:10" ht="21" customHeight="1">
      <c r="A1739" s="72" t="s">
        <v>210</v>
      </c>
      <c r="B1739" s="72" t="s">
        <v>207</v>
      </c>
      <c r="C1739" s="74" t="str">
        <f>INDEX('TH CANAM'!$A$9:$BF$63,MATCH(PDNam!$F1756,'TH CANAM'!$A$9:$A$63,0),52)</f>
        <v/>
      </c>
      <c r="D1739" s="74" t="str">
        <f>INDEX('TH CANAM'!$A$9:$BF$63,MATCH(PDNam!$F1756,'TH CANAM'!$A$9:$A$63,0),53)</f>
        <v/>
      </c>
      <c r="E1739" s="74" t="str">
        <f>INDEX('TH CANAM'!$A$9:$BF$63,MATCH(PDNam!$F1756,'TH CANAM'!$A$9:$A$63,0),54)</f>
        <v/>
      </c>
      <c r="F1739" s="73"/>
    </row>
    <row r="1740" spans="1:10" ht="21" customHeight="1">
      <c r="A1740" s="72" t="s">
        <v>211</v>
      </c>
      <c r="B1740" s="72" t="s">
        <v>25</v>
      </c>
      <c r="C1740" s="74" t="str">
        <f>IF(INDEX('TH CANAM'!$A$9:$BF$63,MATCH(PDNam!$F1756,'TH CANAM'!$A$9:$A$63,0),57)&lt;&gt;"",INDEX('TH CANAM'!$A$9:$BF$63,MATCH(PDNam!$F1756,'TH CANAM'!$A$9:$A$63,0),57),"/")</f>
        <v>/</v>
      </c>
      <c r="D1740" s="74" t="str">
        <f>IF(INDEX('TH CANAM'!$A$9:$BF$63,MATCH(PDNam!$F1756,'TH CANAM'!$A$9:$A$63,0),58)&lt;&gt;"",INDEX('TH CANAM'!$A$9:$BF$63,MATCH(PDNam!$F1756,'TH CANAM'!$A$9:$A$63,0),58),"/")</f>
        <v>/</v>
      </c>
      <c r="E1740" s="74" t="str">
        <f>IF(INDEX('TH CANAM'!$A$9:$BF$63,MATCH(PDNam!$F1756,'TH CANAM'!$A$9:$A$63,0),55)&lt;&gt;"",INDEX('TH CANAM'!$A$9:$BF$63,MATCH(PDNam!$F1756,'TH CANAM'!$A$9:$A$63,0),55),"/")</f>
        <v>/</v>
      </c>
      <c r="F1740" s="73"/>
    </row>
    <row r="1741" spans="1:10" s="60" customFormat="1" ht="9" customHeight="1">
      <c r="A1741" s="67"/>
      <c r="B1741" s="67"/>
      <c r="C1741" s="1132"/>
      <c r="D1741" s="1132"/>
      <c r="E1741" s="67"/>
      <c r="F1741" s="67"/>
    </row>
    <row r="1742" spans="1:10" s="60" customFormat="1" ht="18.75" customHeight="1">
      <c r="A1742" s="58" t="s">
        <v>219</v>
      </c>
      <c r="B1742" s="57"/>
      <c r="C1742" s="57"/>
      <c r="D1742" s="57"/>
      <c r="E1742" s="57"/>
      <c r="F1742" s="475"/>
    </row>
    <row r="1743" spans="1:10" s="60" customFormat="1" ht="18.75" customHeight="1">
      <c r="A1743" s="59" t="str">
        <f>IF(F1756&lt;&gt;"",IF(INDEX(BDHK2,MATCH(F1756,DiemHKII!$B$4:$B$58,0),137)&lt;&gt;""," - "&amp;INDEX(BDHK2,MATCH(F1756,DiemHKII!$B$4:$B$58,0),137),""),"")</f>
        <v/>
      </c>
      <c r="B1743" s="57"/>
      <c r="C1743" s="57"/>
      <c r="D1743" s="57"/>
      <c r="E1743" s="57"/>
      <c r="F1743" s="475"/>
    </row>
    <row r="1744" spans="1:10" s="60" customFormat="1" ht="18.75" customHeight="1">
      <c r="A1744" s="59" t="str">
        <f>IF(F1756&lt;&gt;"",IF(INDEX(BDHK2,MATCH(F1756,DiemHKII!$B$4:$B$58,0),138)&lt;&gt;""," - "&amp;INDEX(BDHK2,MATCH(F1756,DiemHKII!$B$4:$B$58,0),138),""),"")</f>
        <v/>
      </c>
      <c r="B1744" s="57"/>
      <c r="C1744" s="57"/>
      <c r="D1744" s="57"/>
      <c r="E1744" s="57"/>
      <c r="F1744" s="475"/>
    </row>
    <row r="1745" spans="1:10" s="60" customFormat="1" ht="18.75" customHeight="1">
      <c r="A1745" s="59" t="str">
        <f>IF(F1756&lt;&gt;"",IF(INDEX(BDHK2,MATCH(F1756,DiemHKII!$B$4:$B$58,0),139)&lt;&gt;""," - "&amp;INDEX(BDHK2,MATCH(F1756,DiemHKII!$B$4:$B$58,0),139),""),"")</f>
        <v/>
      </c>
      <c r="B1745" s="57"/>
      <c r="C1745" s="57"/>
      <c r="D1745" s="57"/>
      <c r="E1745" s="57"/>
      <c r="F1745" s="475"/>
    </row>
    <row r="1746" spans="1:10" s="60" customFormat="1" ht="18.75" customHeight="1">
      <c r="A1746" s="59" t="str">
        <f>IF(F1756&lt;&gt;"",IF(INDEX(BDHK2,MATCH(F1756,DiemHKII!$B$4:$B$58,0),140)&lt;&gt;""," - "&amp;INDEX(BDHK2,MATCH(F1756,DiemHKII!$B$4:$B$58,0),140),""),"")</f>
        <v/>
      </c>
      <c r="B1746" s="57"/>
      <c r="C1746" s="57"/>
      <c r="D1746" s="57"/>
      <c r="E1746" s="57"/>
      <c r="F1746" s="67"/>
    </row>
    <row r="1747" spans="1:10" ht="6" customHeight="1">
      <c r="A1747" s="68"/>
      <c r="B1747" s="68"/>
      <c r="C1747" s="68"/>
      <c r="D1747" s="68"/>
      <c r="E1747" s="68"/>
      <c r="F1747" s="68"/>
    </row>
    <row r="1748" spans="1:10">
      <c r="A1748" s="68"/>
      <c r="B1748" s="68"/>
      <c r="C174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748" s="1060"/>
      <c r="E1748" s="1060"/>
      <c r="F1748" s="1060"/>
    </row>
    <row r="1749" spans="1:10" ht="20.25" customHeight="1">
      <c r="A1749" s="1012" t="str">
        <f>IF($D$39="Hiệu trưởng","Giáo viên Quản nhiệm","")</f>
        <v>Giáo viên Quản nhiệm</v>
      </c>
      <c r="B1749" s="1012"/>
      <c r="C1749" s="61"/>
      <c r="D1749" s="1012" t="str">
        <f>IF($H$7="","",$H$7)</f>
        <v>Hiệu trưởng</v>
      </c>
      <c r="E1749" s="1012"/>
      <c r="F1749" s="61"/>
    </row>
    <row r="1750" spans="1:10">
      <c r="A1750" s="68"/>
      <c r="B1750" s="68"/>
      <c r="C1750" s="68"/>
      <c r="D1750" s="68"/>
      <c r="E1750" s="68"/>
      <c r="F1750" s="68"/>
    </row>
    <row r="1751" spans="1:10">
      <c r="A1751" s="68"/>
      <c r="B1751" s="68"/>
      <c r="C1751" s="68"/>
      <c r="D1751" s="68"/>
      <c r="E1751" s="68"/>
      <c r="F1751" s="68"/>
    </row>
    <row r="1752" spans="1:10" ht="16.8">
      <c r="A1752" s="68"/>
      <c r="B1752" s="68"/>
      <c r="C1752" s="64"/>
      <c r="D1752" s="64"/>
      <c r="E1752" s="64"/>
      <c r="F1752" s="64"/>
      <c r="G1752" s="65"/>
      <c r="H1752" s="65"/>
      <c r="I1752" s="65"/>
      <c r="J1752" s="65"/>
    </row>
    <row r="1754" spans="1:10">
      <c r="A1754" s="1012" t="str">
        <f>IF($A$39="","",PROPER('Huong dan'!$C$4))</f>
        <v/>
      </c>
      <c r="B1754" s="1012"/>
      <c r="D1754" s="1130" t="str">
        <f>IFERROR(IF($D$39="Giáo Viên Quản nhiệm",PROPER('Huong dan'!$C$4),IF($D$39="Hiệu trưởng",PROPER('Huong dan'!$E$5),"")),"")</f>
        <v/>
      </c>
      <c r="E1754" s="1130"/>
    </row>
    <row r="1755" spans="1:10" ht="7.5" customHeight="1"/>
    <row r="1756" spans="1:10" ht="11.25" customHeight="1">
      <c r="A1756" s="75"/>
      <c r="B1756" s="75"/>
      <c r="C1756" s="75"/>
      <c r="D1756" s="75"/>
      <c r="E1756" s="75"/>
      <c r="F1756" s="76" t="str">
        <f>IF(F1711="","",IF(F1711&lt;MAX(DiemHKII!$B$4:$B$58),F1711+1,""))</f>
        <v/>
      </c>
    </row>
    <row r="1757" spans="1:10" s="60" customFormat="1" ht="22.5" customHeight="1">
      <c r="A1757" s="1128" t="str">
        <f>IF('Huong dan'!$E$3&lt;&gt;"","SỞ GIÁO DỤC VÀ ĐÀO TẠO "&amp;UPPER('Huong dan'!$E$3),"")</f>
        <v>SỞ GIÁO DỤC VÀ ĐÀO TẠO TP. HỒ CHÍ MINH</v>
      </c>
      <c r="B1757" s="1128"/>
      <c r="C1757" s="1128"/>
      <c r="D1757" s="1129" t="s">
        <v>19</v>
      </c>
      <c r="E1757" s="1129"/>
      <c r="F1757" s="1129"/>
    </row>
    <row r="1758" spans="1:10" ht="17.25" customHeight="1">
      <c r="A1758" s="992" t="str">
        <f>IF('Huong dan'!$E$4&lt;&gt;"","TRƯỜNG "&amp;UPPER('Huong dan'!$E$4),"")</f>
        <v>TRƯỜNG THCS VÀ THPT NGUYỄN KHUYẾN</v>
      </c>
      <c r="B1758" s="992"/>
      <c r="C1758" s="992"/>
      <c r="D1758" s="1130" t="s">
        <v>179</v>
      </c>
      <c r="E1758" s="1130"/>
      <c r="F1758" s="1130"/>
    </row>
    <row r="1759" spans="1:10" ht="12" customHeight="1">
      <c r="A1759" s="69"/>
      <c r="B1759" s="69"/>
      <c r="C1759" s="30"/>
      <c r="D1759" s="30"/>
      <c r="E1759" s="30"/>
      <c r="F1759" s="30"/>
    </row>
    <row r="1760" spans="1:10" ht="18" customHeight="1">
      <c r="A1760" s="69"/>
      <c r="B1760" s="69"/>
      <c r="C1760" s="30"/>
      <c r="D1760" s="30"/>
      <c r="E1760" s="30"/>
      <c r="F1760" s="30"/>
    </row>
    <row r="1761" spans="1:10" ht="29.25" customHeight="1">
      <c r="A1761" s="1013" t="str">
        <f>"PHIẾU ĐIỂM NĂM HỌC "&amp;'Huong dan'!$C$5</f>
        <v>PHIẾU ĐIỂM NĂM HỌC 2021 - 2022</v>
      </c>
      <c r="B1761" s="1013"/>
      <c r="C1761" s="1013"/>
      <c r="D1761" s="1013"/>
      <c r="E1761" s="1013"/>
      <c r="F1761" s="1013"/>
    </row>
    <row r="1762" spans="1:10" ht="12.75" customHeight="1">
      <c r="A1762" s="70"/>
      <c r="B1762" s="66"/>
      <c r="C1762" s="66"/>
      <c r="D1762" s="66"/>
      <c r="E1762" s="66"/>
      <c r="F1762" s="66"/>
    </row>
    <row r="1763" spans="1:10" ht="20.25" customHeight="1">
      <c r="A1763" s="1131" t="s">
        <v>212</v>
      </c>
      <c r="B1763" s="1131"/>
      <c r="C1763" s="77" t="str">
        <f>IF(F1801="","",INDEX(DiemHKII!$E$4:$E$58,MATCH(F1801,DiemHKII!$B$4:$B$58,0),1)&amp;" "&amp;INDEX(DiemHKII!$F$4:$F$58,MATCH(F1801,DiemHKII!$B$4:$B$58,0),1))</f>
        <v/>
      </c>
      <c r="D1763" s="77"/>
      <c r="E1763" s="77"/>
      <c r="F1763" s="71" t="str">
        <f>IF('Huong dan'!$C$3="","","Lớp: "&amp;'Huong dan'!$C$3)</f>
        <v>Lớp: 12A1</v>
      </c>
    </row>
    <row r="1764" spans="1:10" ht="24" customHeight="1">
      <c r="A1764" s="1131" t="s">
        <v>213</v>
      </c>
      <c r="B1764" s="1131"/>
      <c r="C1764" s="77" t="str">
        <f>IF(F1801="","",INDEX(DiemHKII!$G$4:$G$58,MATCH(F1801,DiemHKII!$B$4:$B$58,0),1))</f>
        <v/>
      </c>
      <c r="D1764" s="77"/>
      <c r="E1764" s="1133" t="str">
        <f>IF(F1801="","","Nơi sinh: "&amp;INDEX(DiemHKII!$H$4:$H$58,MATCH(F1801,DiemHKII!$B$4:$B$58,0),1))</f>
        <v/>
      </c>
      <c r="F1764" s="1133"/>
    </row>
    <row r="1765" spans="1:10" ht="15" customHeight="1">
      <c r="A1765" s="62"/>
      <c r="B1765" s="62"/>
      <c r="C1765" s="62"/>
      <c r="D1765" s="62"/>
      <c r="E1765" s="62"/>
      <c r="F1765" s="63"/>
    </row>
    <row r="1766" spans="1:10" ht="21" customHeight="1">
      <c r="A1766" s="1134" t="s">
        <v>0</v>
      </c>
      <c r="B1766" s="1134" t="s">
        <v>72</v>
      </c>
      <c r="C1766" s="1134" t="s">
        <v>216</v>
      </c>
      <c r="D1766" s="1134"/>
      <c r="E1766" s="1134"/>
      <c r="F1766" s="1134" t="s">
        <v>148</v>
      </c>
    </row>
    <row r="1767" spans="1:10" ht="21" customHeight="1">
      <c r="A1767" s="1134"/>
      <c r="B1767" s="1134"/>
      <c r="C1767" s="476" t="s">
        <v>188</v>
      </c>
      <c r="D1767" s="476" t="s">
        <v>189</v>
      </c>
      <c r="E1767" s="476" t="s">
        <v>190</v>
      </c>
      <c r="F1767" s="1134"/>
    </row>
    <row r="1768" spans="1:10" ht="21" customHeight="1">
      <c r="A1768" s="72" t="s">
        <v>191</v>
      </c>
      <c r="B1768" s="73" t="s">
        <v>26</v>
      </c>
      <c r="C1768" s="74" t="str">
        <f>INDEX('TH CANAM'!$A$9:$BF$63,MATCH(PDNam!$F1801,'TH CANAM'!$A$9:$A$63,0),INDEX($J$13:$M$30,MATCH($B1768,$J$13:$J$30,0),K$12))</f>
        <v/>
      </c>
      <c r="D1768" s="74" t="str">
        <f>INDEX('TH CANAM'!$A$9:$BF$63,MATCH(PDNam!$F1801,'TH CANAM'!$A$9:$A$63,0),INDEX($J$13:$M$30,MATCH($B1768,$J$13:$J$30,0),L$12))</f>
        <v/>
      </c>
      <c r="E1768" s="74" t="str">
        <f>INDEX('TH CANAM'!$A$9:$BF$63,MATCH(PDNam!$F1801,'TH CANAM'!$A$9:$A$63,0),INDEX($J$13:$M$30,MATCH($B1768,$J$13:$J$30,0),M$12))</f>
        <v/>
      </c>
      <c r="F1768" s="73"/>
      <c r="I1768" s="64"/>
      <c r="J1768" s="64"/>
    </row>
    <row r="1769" spans="1:10" ht="21" customHeight="1">
      <c r="A1769" s="72" t="s">
        <v>192</v>
      </c>
      <c r="B1769" s="73" t="s">
        <v>27</v>
      </c>
      <c r="C1769" s="74" t="str">
        <f>INDEX('TH CANAM'!$A$9:$BF$63,MATCH(PDNam!$F1801,'TH CANAM'!$A$9:$A$63,0),INDEX($J$13:$M$30,MATCH($B1769,$J$13:$J$30,0),K$12))</f>
        <v/>
      </c>
      <c r="D1769" s="74" t="str">
        <f>INDEX('TH CANAM'!$A$9:$BF$63,MATCH(PDNam!$F1801,'TH CANAM'!$A$9:$A$63,0),INDEX($J$13:$M$30,MATCH($B1769,$J$13:$J$30,0),L$12))</f>
        <v/>
      </c>
      <c r="E1769" s="74" t="str">
        <f>INDEX('TH CANAM'!$A$9:$BF$63,MATCH(PDNam!$F1801,'TH CANAM'!$A$9:$A$63,0),INDEX($J$13:$M$30,MATCH($B1769,$J$13:$J$30,0),M$12))</f>
        <v/>
      </c>
      <c r="F1769" s="73"/>
      <c r="I1769" s="64"/>
      <c r="J1769" s="64"/>
    </row>
    <row r="1770" spans="1:10" ht="21" customHeight="1">
      <c r="A1770" s="72" t="s">
        <v>193</v>
      </c>
      <c r="B1770" s="73" t="s">
        <v>28</v>
      </c>
      <c r="C1770" s="74" t="str">
        <f>INDEX('TH CANAM'!$A$9:$BF$63,MATCH(PDNam!$F1801,'TH CANAM'!$A$9:$A$63,0),INDEX($J$13:$M$30,MATCH($B1770,$J$13:$J$30,0),K$12))</f>
        <v/>
      </c>
      <c r="D1770" s="74" t="str">
        <f>INDEX('TH CANAM'!$A$9:$BF$63,MATCH(PDNam!$F1801,'TH CANAM'!$A$9:$A$63,0),INDEX($J$13:$M$30,MATCH($B1770,$J$13:$J$30,0),L$12))</f>
        <v/>
      </c>
      <c r="E1770" s="74" t="str">
        <f>INDEX('TH CANAM'!$A$9:$BF$63,MATCH(PDNam!$F1801,'TH CANAM'!$A$9:$A$63,0),INDEX($J$13:$M$30,MATCH($B1770,$J$13:$J$30,0),M$12))</f>
        <v/>
      </c>
      <c r="F1770" s="73"/>
      <c r="I1770" s="64"/>
      <c r="J1770" s="64"/>
    </row>
    <row r="1771" spans="1:10" ht="21" customHeight="1">
      <c r="A1771" s="72" t="s">
        <v>194</v>
      </c>
      <c r="B1771" s="73" t="s">
        <v>29</v>
      </c>
      <c r="C1771" s="74" t="str">
        <f>INDEX('TH CANAM'!$A$9:$BF$63,MATCH(PDNam!$F1801,'TH CANAM'!$A$9:$A$63,0),INDEX($J$13:$M$30,MATCH($B1771,$J$13:$J$30,0),K$12))</f>
        <v/>
      </c>
      <c r="D1771" s="74" t="str">
        <f>INDEX('TH CANAM'!$A$9:$BF$63,MATCH(PDNam!$F1801,'TH CANAM'!$A$9:$A$63,0),INDEX($J$13:$M$30,MATCH($B1771,$J$13:$J$30,0),L$12))</f>
        <v/>
      </c>
      <c r="E1771" s="74" t="str">
        <f>INDEX('TH CANAM'!$A$9:$BF$63,MATCH(PDNam!$F1801,'TH CANAM'!$A$9:$A$63,0),INDEX($J$13:$M$30,MATCH($B1771,$J$13:$J$30,0),M$12))</f>
        <v/>
      </c>
      <c r="F1771" s="73"/>
      <c r="I1771" s="64"/>
      <c r="J1771" s="64"/>
    </row>
    <row r="1772" spans="1:10" ht="21" customHeight="1">
      <c r="A1772" s="72" t="s">
        <v>195</v>
      </c>
      <c r="B1772" s="73" t="s">
        <v>120</v>
      </c>
      <c r="C1772" s="74" t="str">
        <f>INDEX('TH CANAM'!$A$9:$BF$63,MATCH(PDNam!$F1801,'TH CANAM'!$A$9:$A$63,0),INDEX($J$13:$M$30,MATCH($B1772,$J$13:$J$30,0),K$12))</f>
        <v/>
      </c>
      <c r="D1772" s="74" t="str">
        <f>INDEX('TH CANAM'!$A$9:$BF$63,MATCH(PDNam!$F1801,'TH CANAM'!$A$9:$A$63,0),INDEX($J$13:$M$30,MATCH($B1772,$J$13:$J$30,0),L$12))</f>
        <v/>
      </c>
      <c r="E1772" s="74" t="str">
        <f>INDEX('TH CANAM'!$A$9:$BF$63,MATCH(PDNam!$F1801,'TH CANAM'!$A$9:$A$63,0),INDEX($J$13:$M$30,MATCH($B1772,$J$13:$J$30,0),M$12))</f>
        <v/>
      </c>
      <c r="F1772" s="73"/>
      <c r="I1772" s="64"/>
      <c r="J1772" s="64"/>
    </row>
    <row r="1773" spans="1:10" ht="21" customHeight="1">
      <c r="A1773" s="72" t="s">
        <v>196</v>
      </c>
      <c r="B1773" s="73" t="s">
        <v>30</v>
      </c>
      <c r="C1773" s="74" t="str">
        <f>INDEX('TH CANAM'!$A$9:$BF$63,MATCH(PDNam!$F1801,'TH CANAM'!$A$9:$A$63,0),INDEX($J$13:$M$30,MATCH($B1773,$J$13:$J$30,0),K$12))</f>
        <v/>
      </c>
      <c r="D1773" s="74" t="str">
        <f>INDEX('TH CANAM'!$A$9:$BF$63,MATCH(PDNam!$F1801,'TH CANAM'!$A$9:$A$63,0),INDEX($J$13:$M$30,MATCH($B1773,$J$13:$J$30,0),L$12))</f>
        <v/>
      </c>
      <c r="E1773" s="74" t="str">
        <f>INDEX('TH CANAM'!$A$9:$BF$63,MATCH(PDNam!$F1801,'TH CANAM'!$A$9:$A$63,0),INDEX($J$13:$M$30,MATCH($B1773,$J$13:$J$30,0),M$12))</f>
        <v/>
      </c>
      <c r="F1773" s="73"/>
      <c r="I1773" s="64"/>
      <c r="J1773" s="64"/>
    </row>
    <row r="1774" spans="1:10" ht="21" customHeight="1">
      <c r="A1774" s="72" t="s">
        <v>197</v>
      </c>
      <c r="B1774" s="73" t="s">
        <v>31</v>
      </c>
      <c r="C1774" s="74" t="str">
        <f>INDEX('TH CANAM'!$A$9:$BF$63,MATCH(PDNam!$F1801,'TH CANAM'!$A$9:$A$63,0),INDEX($J$13:$M$30,MATCH($B1774,$J$13:$J$30,0),K$12))</f>
        <v/>
      </c>
      <c r="D1774" s="74" t="str">
        <f>INDEX('TH CANAM'!$A$9:$BF$63,MATCH(PDNam!$F1801,'TH CANAM'!$A$9:$A$63,0),INDEX($J$13:$M$30,MATCH($B1774,$J$13:$J$30,0),L$12))</f>
        <v/>
      </c>
      <c r="E1774" s="74" t="str">
        <f>INDEX('TH CANAM'!$A$9:$BF$63,MATCH(PDNam!$F1801,'TH CANAM'!$A$9:$A$63,0),INDEX($J$13:$M$30,MATCH($B1774,$J$13:$J$30,0),M$12))</f>
        <v/>
      </c>
      <c r="F1774" s="73"/>
      <c r="I1774" s="64"/>
      <c r="J1774" s="64"/>
    </row>
    <row r="1775" spans="1:10" ht="21" customHeight="1">
      <c r="A1775" s="72" t="s">
        <v>198</v>
      </c>
      <c r="B1775" s="73" t="s">
        <v>32</v>
      </c>
      <c r="C1775" s="74" t="str">
        <f>INDEX('TH CANAM'!$A$9:$BF$63,MATCH(PDNam!$F1801,'TH CANAM'!$A$9:$A$63,0),INDEX($J$13:$M$30,MATCH($B1775,$J$13:$J$30,0),K$12))</f>
        <v/>
      </c>
      <c r="D1775" s="74" t="str">
        <f>INDEX('TH CANAM'!$A$9:$BF$63,MATCH(PDNam!$F1801,'TH CANAM'!$A$9:$A$63,0),INDEX($J$13:$M$30,MATCH($B1775,$J$13:$J$30,0),L$12))</f>
        <v/>
      </c>
      <c r="E1775" s="74" t="str">
        <f>INDEX('TH CANAM'!$A$9:$BF$63,MATCH(PDNam!$F1801,'TH CANAM'!$A$9:$A$63,0),INDEX($J$13:$M$30,MATCH($B1775,$J$13:$J$30,0),M$12))</f>
        <v/>
      </c>
      <c r="F1775" s="73"/>
      <c r="I1775" s="64"/>
      <c r="J1775" s="64"/>
    </row>
    <row r="1776" spans="1:10" ht="21" customHeight="1">
      <c r="A1776" s="72" t="s">
        <v>199</v>
      </c>
      <c r="B1776" s="73" t="s">
        <v>33</v>
      </c>
      <c r="C1776" s="74" t="str">
        <f>INDEX('TH CANAM'!$A$9:$BF$63,MATCH(PDNam!$F1801,'TH CANAM'!$A$9:$A$63,0),INDEX($J$13:$M$30,MATCH($B1776,$J$13:$J$30,0),K$12))</f>
        <v/>
      </c>
      <c r="D1776" s="74" t="str">
        <f>INDEX('TH CANAM'!$A$9:$BF$63,MATCH(PDNam!$F1801,'TH CANAM'!$A$9:$A$63,0),INDEX($J$13:$M$30,MATCH($B1776,$J$13:$J$30,0),L$12))</f>
        <v/>
      </c>
      <c r="E1776" s="74" t="str">
        <f>INDEX('TH CANAM'!$A$9:$BF$63,MATCH(PDNam!$F1801,'TH CANAM'!$A$9:$A$63,0),INDEX($J$13:$M$30,MATCH($B1776,$J$13:$J$30,0),M$12))</f>
        <v/>
      </c>
      <c r="F1776" s="73"/>
      <c r="I1776" s="64"/>
      <c r="J1776" s="64"/>
    </row>
    <row r="1777" spans="1:10" ht="21" customHeight="1">
      <c r="A1777" s="72" t="s">
        <v>200</v>
      </c>
      <c r="B1777" s="73" t="s">
        <v>60</v>
      </c>
      <c r="C1777" s="74" t="str">
        <f>INDEX('TH CANAM'!$A$9:$BF$63,MATCH(PDNam!$F1801,'TH CANAM'!$A$9:$A$63,0),INDEX($J$13:$M$30,MATCH($B1777,$J$13:$J$30,0),K$12))</f>
        <v/>
      </c>
      <c r="D1777" s="74" t="str">
        <f>INDEX('TH CANAM'!$A$9:$BF$63,MATCH(PDNam!$F1801,'TH CANAM'!$A$9:$A$63,0),INDEX($J$13:$M$30,MATCH($B1777,$J$13:$J$30,0),L$12))</f>
        <v/>
      </c>
      <c r="E1777" s="74" t="str">
        <f>INDEX('TH CANAM'!$A$9:$BF$63,MATCH(PDNam!$F1801,'TH CANAM'!$A$9:$A$63,0),INDEX($J$13:$M$30,MATCH($B1777,$J$13:$J$30,0),M$12))</f>
        <v/>
      </c>
      <c r="F1777" s="73"/>
      <c r="I1777" s="64"/>
      <c r="J1777" s="64"/>
    </row>
    <row r="1778" spans="1:10" ht="21" customHeight="1">
      <c r="A1778" s="72" t="s">
        <v>201</v>
      </c>
      <c r="B1778" s="73" t="s">
        <v>34</v>
      </c>
      <c r="C1778" s="74" t="str">
        <f>INDEX('TH CANAM'!$A$9:$BF$63,MATCH(PDNam!$F1801,'TH CANAM'!$A$9:$A$63,0),INDEX($J$13:$M$30,MATCH($B1778,$J$13:$J$30,0),K$12))</f>
        <v/>
      </c>
      <c r="D1778" s="74" t="str">
        <f>INDEX('TH CANAM'!$A$9:$BF$63,MATCH(PDNam!$F1801,'TH CANAM'!$A$9:$A$63,0),INDEX($J$13:$M$30,MATCH($B1778,$J$13:$J$30,0),L$12))</f>
        <v/>
      </c>
      <c r="E1778" s="74" t="str">
        <f>INDEX('TH CANAM'!$A$9:$BF$63,MATCH(PDNam!$F1801,'TH CANAM'!$A$9:$A$63,0),INDEX($J$13:$M$30,MATCH($B1778,$J$13:$J$30,0),M$12))</f>
        <v/>
      </c>
      <c r="F1778" s="73"/>
      <c r="I1778" s="64"/>
      <c r="J1778" s="64"/>
    </row>
    <row r="1779" spans="1:10" ht="21" customHeight="1">
      <c r="A1779" s="72" t="s">
        <v>202</v>
      </c>
      <c r="B1779" s="73" t="s">
        <v>35</v>
      </c>
      <c r="C1779" s="74" t="str">
        <f>INDEX('TH CANAM'!$A$9:$BF$63,MATCH(PDNam!$F1801,'TH CANAM'!$A$9:$A$63,0),INDEX($J$13:$M$30,MATCH($B1779,$J$13:$J$30,0),K$12))</f>
        <v/>
      </c>
      <c r="D1779" s="74" t="str">
        <f>INDEX('TH CANAM'!$A$9:$BF$63,MATCH(PDNam!$F1801,'TH CANAM'!$A$9:$A$63,0),INDEX($J$13:$M$30,MATCH($B1779,$J$13:$J$30,0),L$12))</f>
        <v/>
      </c>
      <c r="E1779" s="74" t="str">
        <f>INDEX('TH CANAM'!$A$9:$BF$63,MATCH(PDNam!$F1801,'TH CANAM'!$A$9:$A$63,0),INDEX($J$13:$M$30,MATCH($B1779,$J$13:$J$30,0),M$12))</f>
        <v/>
      </c>
      <c r="F1779" s="73"/>
      <c r="I1779" s="64"/>
      <c r="J1779" s="64"/>
    </row>
    <row r="1780" spans="1:10" ht="21" customHeight="1">
      <c r="A1780" s="72" t="s">
        <v>203</v>
      </c>
      <c r="B1780" s="73" t="s">
        <v>121</v>
      </c>
      <c r="C1780" s="74" t="str">
        <f>INDEX('TH CANAM'!$A$9:$BF$63,MATCH(PDNam!$F1801,'TH CANAM'!$A$9:$A$63,0),INDEX($J$13:$M$30,MATCH($B1780,$J$13:$J$30,0),K$12))</f>
        <v/>
      </c>
      <c r="D1780" s="74" t="str">
        <f>INDEX('TH CANAM'!$A$9:$BF$63,MATCH(PDNam!$F1801,'TH CANAM'!$A$9:$A$63,0),INDEX($J$13:$M$30,MATCH($B1780,$J$13:$J$30,0),L$12))</f>
        <v/>
      </c>
      <c r="E1780" s="74" t="str">
        <f>INDEX('TH CANAM'!$A$9:$BF$63,MATCH(PDNam!$F1801,'TH CANAM'!$A$9:$A$63,0),INDEX($J$13:$M$30,MATCH($B1780,$J$13:$J$30,0),M$12))</f>
        <v/>
      </c>
      <c r="F1780" s="73"/>
      <c r="I1780" s="64"/>
      <c r="J1780" s="64"/>
    </row>
    <row r="1781" spans="1:10" ht="21" customHeight="1">
      <c r="A1781" s="72" t="s">
        <v>204</v>
      </c>
      <c r="B1781" s="73" t="s">
        <v>122</v>
      </c>
      <c r="C1781" s="74" t="str">
        <f>INDEX('TH CANAM'!$A$9:$BF$63,MATCH(PDNam!$F1801,'TH CANAM'!$A$9:$A$63,0),INDEX($J$13:$M$30,MATCH($B1781,$J$13:$J$30,0),K$12))</f>
        <v/>
      </c>
      <c r="D1781" s="74" t="str">
        <f>INDEX('TH CANAM'!$A$9:$BF$63,MATCH(PDNam!$F1801,'TH CANAM'!$A$9:$A$63,0),INDEX($J$13:$M$30,MATCH($B1781,$J$13:$J$30,0),L$12))</f>
        <v/>
      </c>
      <c r="E1781" s="74" t="str">
        <f>INDEX('TH CANAM'!$A$9:$BF$63,MATCH(PDNam!$F1801,'TH CANAM'!$A$9:$A$63,0),INDEX($J$13:$M$30,MATCH($B1781,$J$13:$J$30,0),M$12))</f>
        <v/>
      </c>
      <c r="F1781" s="73"/>
      <c r="I1781" s="64"/>
      <c r="J1781" s="64"/>
    </row>
    <row r="1782" spans="1:10" ht="21" customHeight="1">
      <c r="A1782" s="72" t="s">
        <v>208</v>
      </c>
      <c r="B1782" s="73" t="s">
        <v>205</v>
      </c>
      <c r="C1782" s="78" t="str">
        <f>INDEX('TH CANAM'!$A$9:$BF$63,MATCH(PDNam!$F1801,'TH CANAM'!$A$9:$A$63,0),46)</f>
        <v/>
      </c>
      <c r="D1782" s="78" t="str">
        <f>INDEX('TH CANAM'!$A$9:$BF$63,MATCH(PDNam!$F1801,'TH CANAM'!$A$9:$A$63,0),47)</f>
        <v/>
      </c>
      <c r="E1782" s="78" t="str">
        <f>INDEX('TH CANAM'!$A$9:$BF$63,MATCH(PDNam!$F1801,'TH CANAM'!$A$9:$A$63,0),48)</f>
        <v/>
      </c>
      <c r="F1782" s="73"/>
      <c r="I1782" s="64"/>
      <c r="J1782" s="64"/>
    </row>
    <row r="1783" spans="1:10" ht="21" customHeight="1">
      <c r="A1783" s="72" t="s">
        <v>209</v>
      </c>
      <c r="B1783" s="72" t="s">
        <v>206</v>
      </c>
      <c r="C1783" s="74" t="str">
        <f>IF(INDEX('TH CANAM'!$A$9:$BF$63,MATCH(PDNam!$F1801,'TH CANAM'!$A$9:$A$63,0),49)="Tb","Trung bình",INDEX('TH CANAM'!$A$9:$BF$63,MATCH(PDNam!$F1801,'TH CANAM'!$A$9:$A$63,0),49))</f>
        <v/>
      </c>
      <c r="D1783" s="74" t="str">
        <f>IF(INDEX('TH CANAM'!$A$9:$BF$63,MATCH(PDNam!$F1801,'TH CANAM'!$A$9:$A$63,0),50)="Tb","Trung bình",INDEX('TH CANAM'!$A$9:$BF$63,MATCH(PDNam!$F1801,'TH CANAM'!$A$9:$A$63,0),50))</f>
        <v/>
      </c>
      <c r="E1783" s="74" t="str">
        <f>IF(INDEX('TH CANAM'!$A$9:$BF$63,MATCH(PDNam!$F1801,'TH CANAM'!$A$9:$A$63,0),51)="Tb","Trung bình",INDEX('TH CANAM'!$A$9:$BF$63,MATCH(PDNam!$F1801,'TH CANAM'!$A$9:$A$63,0),51))</f>
        <v/>
      </c>
      <c r="F1783" s="73"/>
    </row>
    <row r="1784" spans="1:10" ht="21" customHeight="1">
      <c r="A1784" s="72" t="s">
        <v>210</v>
      </c>
      <c r="B1784" s="72" t="s">
        <v>207</v>
      </c>
      <c r="C1784" s="74" t="str">
        <f>INDEX('TH CANAM'!$A$9:$BF$63,MATCH(PDNam!$F1801,'TH CANAM'!$A$9:$A$63,0),52)</f>
        <v/>
      </c>
      <c r="D1784" s="74" t="str">
        <f>INDEX('TH CANAM'!$A$9:$BF$63,MATCH(PDNam!$F1801,'TH CANAM'!$A$9:$A$63,0),53)</f>
        <v/>
      </c>
      <c r="E1784" s="74" t="str">
        <f>INDEX('TH CANAM'!$A$9:$BF$63,MATCH(PDNam!$F1801,'TH CANAM'!$A$9:$A$63,0),54)</f>
        <v/>
      </c>
      <c r="F1784" s="73"/>
    </row>
    <row r="1785" spans="1:10" ht="21" customHeight="1">
      <c r="A1785" s="72" t="s">
        <v>211</v>
      </c>
      <c r="B1785" s="72" t="s">
        <v>25</v>
      </c>
      <c r="C1785" s="74" t="str">
        <f>IF(INDEX('TH CANAM'!$A$9:$BF$63,MATCH(PDNam!$F1801,'TH CANAM'!$A$9:$A$63,0),57)&lt;&gt;"",INDEX('TH CANAM'!$A$9:$BF$63,MATCH(PDNam!$F1801,'TH CANAM'!$A$9:$A$63,0),57),"/")</f>
        <v>/</v>
      </c>
      <c r="D1785" s="74" t="str">
        <f>IF(INDEX('TH CANAM'!$A$9:$BF$63,MATCH(PDNam!$F1801,'TH CANAM'!$A$9:$A$63,0),58)&lt;&gt;"",INDEX('TH CANAM'!$A$9:$BF$63,MATCH(PDNam!$F1801,'TH CANAM'!$A$9:$A$63,0),58),"/")</f>
        <v>/</v>
      </c>
      <c r="E1785" s="74" t="str">
        <f>IF(INDEX('TH CANAM'!$A$9:$BF$63,MATCH(PDNam!$F1801,'TH CANAM'!$A$9:$A$63,0),55)&lt;&gt;"",INDEX('TH CANAM'!$A$9:$BF$63,MATCH(PDNam!$F1801,'TH CANAM'!$A$9:$A$63,0),55),"/")</f>
        <v>/</v>
      </c>
      <c r="F1785" s="73"/>
    </row>
    <row r="1786" spans="1:10" s="60" customFormat="1" ht="9" customHeight="1">
      <c r="A1786" s="67"/>
      <c r="B1786" s="67"/>
      <c r="C1786" s="1132"/>
      <c r="D1786" s="1132"/>
      <c r="E1786" s="67"/>
      <c r="F1786" s="67"/>
    </row>
    <row r="1787" spans="1:10" s="60" customFormat="1" ht="18.75" customHeight="1">
      <c r="A1787" s="58" t="s">
        <v>219</v>
      </c>
      <c r="B1787" s="57"/>
      <c r="C1787" s="57"/>
      <c r="D1787" s="57"/>
      <c r="E1787" s="57"/>
      <c r="F1787" s="475"/>
    </row>
    <row r="1788" spans="1:10" s="60" customFormat="1" ht="18.75" customHeight="1">
      <c r="A1788" s="59" t="str">
        <f>IF(F1801&lt;&gt;"",IF(INDEX(BDHK2,MATCH(F1801,DiemHKII!$B$4:$B$58,0),137)&lt;&gt;""," - "&amp;INDEX(BDHK2,MATCH(F1801,DiemHKII!$B$4:$B$58,0),137),""),"")</f>
        <v/>
      </c>
      <c r="B1788" s="57"/>
      <c r="C1788" s="57"/>
      <c r="D1788" s="57"/>
      <c r="E1788" s="57"/>
      <c r="F1788" s="475"/>
    </row>
    <row r="1789" spans="1:10" s="60" customFormat="1" ht="18.75" customHeight="1">
      <c r="A1789" s="59" t="str">
        <f>IF(F1801&lt;&gt;"",IF(INDEX(BDHK2,MATCH(F1801,DiemHKII!$B$4:$B$58,0),138)&lt;&gt;""," - "&amp;INDEX(BDHK2,MATCH(F1801,DiemHKII!$B$4:$B$58,0),138),""),"")</f>
        <v/>
      </c>
      <c r="B1789" s="57"/>
      <c r="C1789" s="57"/>
      <c r="D1789" s="57"/>
      <c r="E1789" s="57"/>
      <c r="F1789" s="475"/>
    </row>
    <row r="1790" spans="1:10" s="60" customFormat="1" ht="18.75" customHeight="1">
      <c r="A1790" s="59" t="str">
        <f>IF(F1801&lt;&gt;"",IF(INDEX(BDHK2,MATCH(F1801,DiemHKII!$B$4:$B$58,0),139)&lt;&gt;""," - "&amp;INDEX(BDHK2,MATCH(F1801,DiemHKII!$B$4:$B$58,0),139),""),"")</f>
        <v/>
      </c>
      <c r="B1790" s="57"/>
      <c r="C1790" s="57"/>
      <c r="D1790" s="57"/>
      <c r="E1790" s="57"/>
      <c r="F1790" s="475"/>
    </row>
    <row r="1791" spans="1:10" s="60" customFormat="1" ht="18.75" customHeight="1">
      <c r="A1791" s="59" t="str">
        <f>IF(F1801&lt;&gt;"",IF(INDEX(BDHK2,MATCH(F1801,DiemHKII!$B$4:$B$58,0),140)&lt;&gt;""," - "&amp;INDEX(BDHK2,MATCH(F1801,DiemHKII!$B$4:$B$58,0),140),""),"")</f>
        <v/>
      </c>
      <c r="B1791" s="57"/>
      <c r="C1791" s="57"/>
      <c r="D1791" s="57"/>
      <c r="E1791" s="57"/>
      <c r="F1791" s="67"/>
    </row>
    <row r="1792" spans="1:10" ht="6" customHeight="1">
      <c r="A1792" s="68"/>
      <c r="B1792" s="68"/>
      <c r="C1792" s="68"/>
      <c r="D1792" s="68"/>
      <c r="E1792" s="68"/>
      <c r="F1792" s="68"/>
    </row>
    <row r="1793" spans="1:10">
      <c r="A1793" s="68"/>
      <c r="B1793" s="68"/>
      <c r="C179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793" s="1060"/>
      <c r="E1793" s="1060"/>
      <c r="F1793" s="1060"/>
    </row>
    <row r="1794" spans="1:10" ht="20.25" customHeight="1">
      <c r="A1794" s="1012" t="str">
        <f>IF($D$39="Hiệu trưởng","Giáo viên Quản nhiệm","")</f>
        <v>Giáo viên Quản nhiệm</v>
      </c>
      <c r="B1794" s="1012"/>
      <c r="C1794" s="61"/>
      <c r="D1794" s="1012" t="str">
        <f>IF($H$7="","",$H$7)</f>
        <v>Hiệu trưởng</v>
      </c>
      <c r="E1794" s="1012"/>
      <c r="F1794" s="61"/>
    </row>
    <row r="1795" spans="1:10">
      <c r="A1795" s="68"/>
      <c r="B1795" s="68"/>
      <c r="C1795" s="68"/>
      <c r="D1795" s="68"/>
      <c r="E1795" s="68"/>
      <c r="F1795" s="68"/>
    </row>
    <row r="1796" spans="1:10">
      <c r="A1796" s="68"/>
      <c r="B1796" s="68"/>
      <c r="C1796" s="68"/>
      <c r="D1796" s="68"/>
      <c r="E1796" s="68"/>
      <c r="F1796" s="68"/>
    </row>
    <row r="1797" spans="1:10" ht="16.8">
      <c r="A1797" s="68"/>
      <c r="B1797" s="68"/>
      <c r="C1797" s="64"/>
      <c r="D1797" s="64"/>
      <c r="E1797" s="64"/>
      <c r="F1797" s="64"/>
      <c r="G1797" s="65"/>
      <c r="H1797" s="65"/>
      <c r="I1797" s="65"/>
      <c r="J1797" s="65"/>
    </row>
    <row r="1799" spans="1:10">
      <c r="A1799" s="1012" t="str">
        <f>IF($A$39="","",PROPER('Huong dan'!$C$4))</f>
        <v/>
      </c>
      <c r="B1799" s="1012"/>
      <c r="D1799" s="1130" t="str">
        <f>IFERROR(IF($D$39="Giáo Viên Quản nhiệm",PROPER('Huong dan'!$C$4),IF($D$39="Hiệu trưởng",PROPER('Huong dan'!$E$5),"")),"")</f>
        <v/>
      </c>
      <c r="E1799" s="1130"/>
    </row>
    <row r="1800" spans="1:10" ht="7.5" customHeight="1"/>
    <row r="1801" spans="1:10" ht="11.25" customHeight="1">
      <c r="A1801" s="75"/>
      <c r="B1801" s="75"/>
      <c r="C1801" s="75"/>
      <c r="D1801" s="75"/>
      <c r="E1801" s="75"/>
      <c r="F1801" s="76" t="str">
        <f>IF(F1756="","",IF(F1756&lt;MAX(DiemHKII!$B$4:$B$58),F1756+1,""))</f>
        <v/>
      </c>
    </row>
    <row r="1802" spans="1:10" s="60" customFormat="1" ht="22.5" customHeight="1">
      <c r="A1802" s="1128" t="str">
        <f>IF('Huong dan'!$E$3&lt;&gt;"","SỞ GIÁO DỤC VÀ ĐÀO TẠO "&amp;UPPER('Huong dan'!$E$3),"")</f>
        <v>SỞ GIÁO DỤC VÀ ĐÀO TẠO TP. HỒ CHÍ MINH</v>
      </c>
      <c r="B1802" s="1128"/>
      <c r="C1802" s="1128"/>
      <c r="D1802" s="1129" t="s">
        <v>19</v>
      </c>
      <c r="E1802" s="1129"/>
      <c r="F1802" s="1129"/>
    </row>
    <row r="1803" spans="1:10" ht="17.25" customHeight="1">
      <c r="A1803" s="992" t="str">
        <f>IF('Huong dan'!$E$4&lt;&gt;"","TRƯỜNG "&amp;UPPER('Huong dan'!$E$4),"")</f>
        <v>TRƯỜNG THCS VÀ THPT NGUYỄN KHUYẾN</v>
      </c>
      <c r="B1803" s="992"/>
      <c r="C1803" s="992"/>
      <c r="D1803" s="1130" t="s">
        <v>179</v>
      </c>
      <c r="E1803" s="1130"/>
      <c r="F1803" s="1130"/>
    </row>
    <row r="1804" spans="1:10" ht="12" customHeight="1">
      <c r="A1804" s="69"/>
      <c r="B1804" s="69"/>
      <c r="C1804" s="30"/>
      <c r="D1804" s="30"/>
      <c r="E1804" s="30"/>
      <c r="F1804" s="30"/>
    </row>
    <row r="1805" spans="1:10" ht="18" customHeight="1">
      <c r="A1805" s="69"/>
      <c r="B1805" s="69"/>
      <c r="C1805" s="30"/>
      <c r="D1805" s="30"/>
      <c r="E1805" s="30"/>
      <c r="F1805" s="30"/>
    </row>
    <row r="1806" spans="1:10" ht="29.25" customHeight="1">
      <c r="A1806" s="1013" t="str">
        <f>"PHIẾU ĐIỂM NĂM HỌC "&amp;'Huong dan'!$C$5</f>
        <v>PHIẾU ĐIỂM NĂM HỌC 2021 - 2022</v>
      </c>
      <c r="B1806" s="1013"/>
      <c r="C1806" s="1013"/>
      <c r="D1806" s="1013"/>
      <c r="E1806" s="1013"/>
      <c r="F1806" s="1013"/>
    </row>
    <row r="1807" spans="1:10" ht="12.75" customHeight="1">
      <c r="A1807" s="70"/>
      <c r="B1807" s="66"/>
      <c r="C1807" s="66"/>
      <c r="D1807" s="66"/>
      <c r="E1807" s="66"/>
      <c r="F1807" s="66"/>
    </row>
    <row r="1808" spans="1:10" ht="20.25" customHeight="1">
      <c r="A1808" s="1131" t="s">
        <v>212</v>
      </c>
      <c r="B1808" s="1131"/>
      <c r="C1808" s="77" t="str">
        <f>IF(F1846="","",INDEX(DiemHKII!$E$4:$E$58,MATCH(F1846,DiemHKII!$B$4:$B$58,0),1)&amp;" "&amp;INDEX(DiemHKII!$F$4:$F$58,MATCH(F1846,DiemHKII!$B$4:$B$58,0),1))</f>
        <v/>
      </c>
      <c r="D1808" s="77"/>
      <c r="E1808" s="77"/>
      <c r="F1808" s="71" t="str">
        <f>IF('Huong dan'!$C$3="","","Lớp: "&amp;'Huong dan'!$C$3)</f>
        <v>Lớp: 12A1</v>
      </c>
    </row>
    <row r="1809" spans="1:10" ht="24" customHeight="1">
      <c r="A1809" s="1131" t="s">
        <v>213</v>
      </c>
      <c r="B1809" s="1131"/>
      <c r="C1809" s="77" t="str">
        <f>IF(F1846="","",INDEX(DiemHKII!$G$4:$G$58,MATCH(F1846,DiemHKII!$B$4:$B$58,0),1))</f>
        <v/>
      </c>
      <c r="D1809" s="77"/>
      <c r="E1809" s="1133" t="str">
        <f>IF(F1846="","","Nơi sinh: "&amp;INDEX(DiemHKII!$H$4:$H$58,MATCH(F1846,DiemHKII!$B$4:$B$58,0),1))</f>
        <v/>
      </c>
      <c r="F1809" s="1133"/>
    </row>
    <row r="1810" spans="1:10" ht="15" customHeight="1">
      <c r="A1810" s="62"/>
      <c r="B1810" s="62"/>
      <c r="C1810" s="62"/>
      <c r="D1810" s="62"/>
      <c r="E1810" s="62"/>
      <c r="F1810" s="63"/>
    </row>
    <row r="1811" spans="1:10" ht="21" customHeight="1">
      <c r="A1811" s="1134" t="s">
        <v>0</v>
      </c>
      <c r="B1811" s="1134" t="s">
        <v>72</v>
      </c>
      <c r="C1811" s="1134" t="s">
        <v>216</v>
      </c>
      <c r="D1811" s="1134"/>
      <c r="E1811" s="1134"/>
      <c r="F1811" s="1134" t="s">
        <v>148</v>
      </c>
    </row>
    <row r="1812" spans="1:10" ht="21" customHeight="1">
      <c r="A1812" s="1134"/>
      <c r="B1812" s="1134"/>
      <c r="C1812" s="476" t="s">
        <v>188</v>
      </c>
      <c r="D1812" s="476" t="s">
        <v>189</v>
      </c>
      <c r="E1812" s="476" t="s">
        <v>190</v>
      </c>
      <c r="F1812" s="1134"/>
    </row>
    <row r="1813" spans="1:10" ht="21" customHeight="1">
      <c r="A1813" s="72" t="s">
        <v>191</v>
      </c>
      <c r="B1813" s="73" t="s">
        <v>26</v>
      </c>
      <c r="C1813" s="74" t="str">
        <f>INDEX('TH CANAM'!$A$9:$BF$63,MATCH(PDNam!$F1846,'TH CANAM'!$A$9:$A$63,0),INDEX($J$13:$M$30,MATCH($B1813,$J$13:$J$30,0),K$12))</f>
        <v/>
      </c>
      <c r="D1813" s="74" t="str">
        <f>INDEX('TH CANAM'!$A$9:$BF$63,MATCH(PDNam!$F1846,'TH CANAM'!$A$9:$A$63,0),INDEX($J$13:$M$30,MATCH($B1813,$J$13:$J$30,0),L$12))</f>
        <v/>
      </c>
      <c r="E1813" s="74" t="str">
        <f>INDEX('TH CANAM'!$A$9:$BF$63,MATCH(PDNam!$F1846,'TH CANAM'!$A$9:$A$63,0),INDEX($J$13:$M$30,MATCH($B1813,$J$13:$J$30,0),M$12))</f>
        <v/>
      </c>
      <c r="F1813" s="73"/>
      <c r="I1813" s="64"/>
      <c r="J1813" s="64"/>
    </row>
    <row r="1814" spans="1:10" ht="21" customHeight="1">
      <c r="A1814" s="72" t="s">
        <v>192</v>
      </c>
      <c r="B1814" s="73" t="s">
        <v>27</v>
      </c>
      <c r="C1814" s="74" t="str">
        <f>INDEX('TH CANAM'!$A$9:$BF$63,MATCH(PDNam!$F1846,'TH CANAM'!$A$9:$A$63,0),INDEX($J$13:$M$30,MATCH($B1814,$J$13:$J$30,0),K$12))</f>
        <v/>
      </c>
      <c r="D1814" s="74" t="str">
        <f>INDEX('TH CANAM'!$A$9:$BF$63,MATCH(PDNam!$F1846,'TH CANAM'!$A$9:$A$63,0),INDEX($J$13:$M$30,MATCH($B1814,$J$13:$J$30,0),L$12))</f>
        <v/>
      </c>
      <c r="E1814" s="74" t="str">
        <f>INDEX('TH CANAM'!$A$9:$BF$63,MATCH(PDNam!$F1846,'TH CANAM'!$A$9:$A$63,0),INDEX($J$13:$M$30,MATCH($B1814,$J$13:$J$30,0),M$12))</f>
        <v/>
      </c>
      <c r="F1814" s="73"/>
      <c r="I1814" s="64"/>
      <c r="J1814" s="64"/>
    </row>
    <row r="1815" spans="1:10" ht="21" customHeight="1">
      <c r="A1815" s="72" t="s">
        <v>193</v>
      </c>
      <c r="B1815" s="73" t="s">
        <v>28</v>
      </c>
      <c r="C1815" s="74" t="str">
        <f>INDEX('TH CANAM'!$A$9:$BF$63,MATCH(PDNam!$F1846,'TH CANAM'!$A$9:$A$63,0),INDEX($J$13:$M$30,MATCH($B1815,$J$13:$J$30,0),K$12))</f>
        <v/>
      </c>
      <c r="D1815" s="74" t="str">
        <f>INDEX('TH CANAM'!$A$9:$BF$63,MATCH(PDNam!$F1846,'TH CANAM'!$A$9:$A$63,0),INDEX($J$13:$M$30,MATCH($B1815,$J$13:$J$30,0),L$12))</f>
        <v/>
      </c>
      <c r="E1815" s="74" t="str">
        <f>INDEX('TH CANAM'!$A$9:$BF$63,MATCH(PDNam!$F1846,'TH CANAM'!$A$9:$A$63,0),INDEX($J$13:$M$30,MATCH($B1815,$J$13:$J$30,0),M$12))</f>
        <v/>
      </c>
      <c r="F1815" s="73"/>
      <c r="I1815" s="64"/>
      <c r="J1815" s="64"/>
    </row>
    <row r="1816" spans="1:10" ht="21" customHeight="1">
      <c r="A1816" s="72" t="s">
        <v>194</v>
      </c>
      <c r="B1816" s="73" t="s">
        <v>29</v>
      </c>
      <c r="C1816" s="74" t="str">
        <f>INDEX('TH CANAM'!$A$9:$BF$63,MATCH(PDNam!$F1846,'TH CANAM'!$A$9:$A$63,0),INDEX($J$13:$M$30,MATCH($B1816,$J$13:$J$30,0),K$12))</f>
        <v/>
      </c>
      <c r="D1816" s="74" t="str">
        <f>INDEX('TH CANAM'!$A$9:$BF$63,MATCH(PDNam!$F1846,'TH CANAM'!$A$9:$A$63,0),INDEX($J$13:$M$30,MATCH($B1816,$J$13:$J$30,0),L$12))</f>
        <v/>
      </c>
      <c r="E1816" s="74" t="str">
        <f>INDEX('TH CANAM'!$A$9:$BF$63,MATCH(PDNam!$F1846,'TH CANAM'!$A$9:$A$63,0),INDEX($J$13:$M$30,MATCH($B1816,$J$13:$J$30,0),M$12))</f>
        <v/>
      </c>
      <c r="F1816" s="73"/>
      <c r="I1816" s="64"/>
      <c r="J1816" s="64"/>
    </row>
    <row r="1817" spans="1:10" ht="21" customHeight="1">
      <c r="A1817" s="72" t="s">
        <v>195</v>
      </c>
      <c r="B1817" s="73" t="s">
        <v>120</v>
      </c>
      <c r="C1817" s="74" t="str">
        <f>INDEX('TH CANAM'!$A$9:$BF$63,MATCH(PDNam!$F1846,'TH CANAM'!$A$9:$A$63,0),INDEX($J$13:$M$30,MATCH($B1817,$J$13:$J$30,0),K$12))</f>
        <v/>
      </c>
      <c r="D1817" s="74" t="str">
        <f>INDEX('TH CANAM'!$A$9:$BF$63,MATCH(PDNam!$F1846,'TH CANAM'!$A$9:$A$63,0),INDEX($J$13:$M$30,MATCH($B1817,$J$13:$J$30,0),L$12))</f>
        <v/>
      </c>
      <c r="E1817" s="74" t="str">
        <f>INDEX('TH CANAM'!$A$9:$BF$63,MATCH(PDNam!$F1846,'TH CANAM'!$A$9:$A$63,0),INDEX($J$13:$M$30,MATCH($B1817,$J$13:$J$30,0),M$12))</f>
        <v/>
      </c>
      <c r="F1817" s="73"/>
      <c r="I1817" s="64"/>
      <c r="J1817" s="64"/>
    </row>
    <row r="1818" spans="1:10" ht="21" customHeight="1">
      <c r="A1818" s="72" t="s">
        <v>196</v>
      </c>
      <c r="B1818" s="73" t="s">
        <v>30</v>
      </c>
      <c r="C1818" s="74" t="str">
        <f>INDEX('TH CANAM'!$A$9:$BF$63,MATCH(PDNam!$F1846,'TH CANAM'!$A$9:$A$63,0),INDEX($J$13:$M$30,MATCH($B1818,$J$13:$J$30,0),K$12))</f>
        <v/>
      </c>
      <c r="D1818" s="74" t="str">
        <f>INDEX('TH CANAM'!$A$9:$BF$63,MATCH(PDNam!$F1846,'TH CANAM'!$A$9:$A$63,0),INDEX($J$13:$M$30,MATCH($B1818,$J$13:$J$30,0),L$12))</f>
        <v/>
      </c>
      <c r="E1818" s="74" t="str">
        <f>INDEX('TH CANAM'!$A$9:$BF$63,MATCH(PDNam!$F1846,'TH CANAM'!$A$9:$A$63,0),INDEX($J$13:$M$30,MATCH($B1818,$J$13:$J$30,0),M$12))</f>
        <v/>
      </c>
      <c r="F1818" s="73"/>
      <c r="I1818" s="64"/>
      <c r="J1818" s="64"/>
    </row>
    <row r="1819" spans="1:10" ht="21" customHeight="1">
      <c r="A1819" s="72" t="s">
        <v>197</v>
      </c>
      <c r="B1819" s="73" t="s">
        <v>31</v>
      </c>
      <c r="C1819" s="74" t="str">
        <f>INDEX('TH CANAM'!$A$9:$BF$63,MATCH(PDNam!$F1846,'TH CANAM'!$A$9:$A$63,0),INDEX($J$13:$M$30,MATCH($B1819,$J$13:$J$30,0),K$12))</f>
        <v/>
      </c>
      <c r="D1819" s="74" t="str">
        <f>INDEX('TH CANAM'!$A$9:$BF$63,MATCH(PDNam!$F1846,'TH CANAM'!$A$9:$A$63,0),INDEX($J$13:$M$30,MATCH($B1819,$J$13:$J$30,0),L$12))</f>
        <v/>
      </c>
      <c r="E1819" s="74" t="str">
        <f>INDEX('TH CANAM'!$A$9:$BF$63,MATCH(PDNam!$F1846,'TH CANAM'!$A$9:$A$63,0),INDEX($J$13:$M$30,MATCH($B1819,$J$13:$J$30,0),M$12))</f>
        <v/>
      </c>
      <c r="F1819" s="73"/>
      <c r="I1819" s="64"/>
      <c r="J1819" s="64"/>
    </row>
    <row r="1820" spans="1:10" ht="21" customHeight="1">
      <c r="A1820" s="72" t="s">
        <v>198</v>
      </c>
      <c r="B1820" s="73" t="s">
        <v>32</v>
      </c>
      <c r="C1820" s="74" t="str">
        <f>INDEX('TH CANAM'!$A$9:$BF$63,MATCH(PDNam!$F1846,'TH CANAM'!$A$9:$A$63,0),INDEX($J$13:$M$30,MATCH($B1820,$J$13:$J$30,0),K$12))</f>
        <v/>
      </c>
      <c r="D1820" s="74" t="str">
        <f>INDEX('TH CANAM'!$A$9:$BF$63,MATCH(PDNam!$F1846,'TH CANAM'!$A$9:$A$63,0),INDEX($J$13:$M$30,MATCH($B1820,$J$13:$J$30,0),L$12))</f>
        <v/>
      </c>
      <c r="E1820" s="74" t="str">
        <f>INDEX('TH CANAM'!$A$9:$BF$63,MATCH(PDNam!$F1846,'TH CANAM'!$A$9:$A$63,0),INDEX($J$13:$M$30,MATCH($B1820,$J$13:$J$30,0),M$12))</f>
        <v/>
      </c>
      <c r="F1820" s="73"/>
      <c r="I1820" s="64"/>
      <c r="J1820" s="64"/>
    </row>
    <row r="1821" spans="1:10" ht="21" customHeight="1">
      <c r="A1821" s="72" t="s">
        <v>199</v>
      </c>
      <c r="B1821" s="73" t="s">
        <v>33</v>
      </c>
      <c r="C1821" s="74" t="str">
        <f>INDEX('TH CANAM'!$A$9:$BF$63,MATCH(PDNam!$F1846,'TH CANAM'!$A$9:$A$63,0),INDEX($J$13:$M$30,MATCH($B1821,$J$13:$J$30,0),K$12))</f>
        <v/>
      </c>
      <c r="D1821" s="74" t="str">
        <f>INDEX('TH CANAM'!$A$9:$BF$63,MATCH(PDNam!$F1846,'TH CANAM'!$A$9:$A$63,0),INDEX($J$13:$M$30,MATCH($B1821,$J$13:$J$30,0),L$12))</f>
        <v/>
      </c>
      <c r="E1821" s="74" t="str">
        <f>INDEX('TH CANAM'!$A$9:$BF$63,MATCH(PDNam!$F1846,'TH CANAM'!$A$9:$A$63,0),INDEX($J$13:$M$30,MATCH($B1821,$J$13:$J$30,0),M$12))</f>
        <v/>
      </c>
      <c r="F1821" s="73"/>
      <c r="I1821" s="64"/>
      <c r="J1821" s="64"/>
    </row>
    <row r="1822" spans="1:10" ht="21" customHeight="1">
      <c r="A1822" s="72" t="s">
        <v>200</v>
      </c>
      <c r="B1822" s="73" t="s">
        <v>60</v>
      </c>
      <c r="C1822" s="74" t="str">
        <f>INDEX('TH CANAM'!$A$9:$BF$63,MATCH(PDNam!$F1846,'TH CANAM'!$A$9:$A$63,0),INDEX($J$13:$M$30,MATCH($B1822,$J$13:$J$30,0),K$12))</f>
        <v/>
      </c>
      <c r="D1822" s="74" t="str">
        <f>INDEX('TH CANAM'!$A$9:$BF$63,MATCH(PDNam!$F1846,'TH CANAM'!$A$9:$A$63,0),INDEX($J$13:$M$30,MATCH($B1822,$J$13:$J$30,0),L$12))</f>
        <v/>
      </c>
      <c r="E1822" s="74" t="str">
        <f>INDEX('TH CANAM'!$A$9:$BF$63,MATCH(PDNam!$F1846,'TH CANAM'!$A$9:$A$63,0),INDEX($J$13:$M$30,MATCH($B1822,$J$13:$J$30,0),M$12))</f>
        <v/>
      </c>
      <c r="F1822" s="73"/>
      <c r="I1822" s="64"/>
      <c r="J1822" s="64"/>
    </row>
    <row r="1823" spans="1:10" ht="21" customHeight="1">
      <c r="A1823" s="72" t="s">
        <v>201</v>
      </c>
      <c r="B1823" s="73" t="s">
        <v>34</v>
      </c>
      <c r="C1823" s="74" t="str">
        <f>INDEX('TH CANAM'!$A$9:$BF$63,MATCH(PDNam!$F1846,'TH CANAM'!$A$9:$A$63,0),INDEX($J$13:$M$30,MATCH($B1823,$J$13:$J$30,0),K$12))</f>
        <v/>
      </c>
      <c r="D1823" s="74" t="str">
        <f>INDEX('TH CANAM'!$A$9:$BF$63,MATCH(PDNam!$F1846,'TH CANAM'!$A$9:$A$63,0),INDEX($J$13:$M$30,MATCH($B1823,$J$13:$J$30,0),L$12))</f>
        <v/>
      </c>
      <c r="E1823" s="74" t="str">
        <f>INDEX('TH CANAM'!$A$9:$BF$63,MATCH(PDNam!$F1846,'TH CANAM'!$A$9:$A$63,0),INDEX($J$13:$M$30,MATCH($B1823,$J$13:$J$30,0),M$12))</f>
        <v/>
      </c>
      <c r="F1823" s="73"/>
      <c r="I1823" s="64"/>
      <c r="J1823" s="64"/>
    </row>
    <row r="1824" spans="1:10" ht="21" customHeight="1">
      <c r="A1824" s="72" t="s">
        <v>202</v>
      </c>
      <c r="B1824" s="73" t="s">
        <v>35</v>
      </c>
      <c r="C1824" s="74" t="str">
        <f>INDEX('TH CANAM'!$A$9:$BF$63,MATCH(PDNam!$F1846,'TH CANAM'!$A$9:$A$63,0),INDEX($J$13:$M$30,MATCH($B1824,$J$13:$J$30,0),K$12))</f>
        <v/>
      </c>
      <c r="D1824" s="74" t="str">
        <f>INDEX('TH CANAM'!$A$9:$BF$63,MATCH(PDNam!$F1846,'TH CANAM'!$A$9:$A$63,0),INDEX($J$13:$M$30,MATCH($B1824,$J$13:$J$30,0),L$12))</f>
        <v/>
      </c>
      <c r="E1824" s="74" t="str">
        <f>INDEX('TH CANAM'!$A$9:$BF$63,MATCH(PDNam!$F1846,'TH CANAM'!$A$9:$A$63,0),INDEX($J$13:$M$30,MATCH($B1824,$J$13:$J$30,0),M$12))</f>
        <v/>
      </c>
      <c r="F1824" s="73"/>
      <c r="I1824" s="64"/>
      <c r="J1824" s="64"/>
    </row>
    <row r="1825" spans="1:10" ht="21" customHeight="1">
      <c r="A1825" s="72" t="s">
        <v>203</v>
      </c>
      <c r="B1825" s="73" t="s">
        <v>121</v>
      </c>
      <c r="C1825" s="74" t="str">
        <f>INDEX('TH CANAM'!$A$9:$BF$63,MATCH(PDNam!$F1846,'TH CANAM'!$A$9:$A$63,0),INDEX($J$13:$M$30,MATCH($B1825,$J$13:$J$30,0),K$12))</f>
        <v/>
      </c>
      <c r="D1825" s="74" t="str">
        <f>INDEX('TH CANAM'!$A$9:$BF$63,MATCH(PDNam!$F1846,'TH CANAM'!$A$9:$A$63,0),INDEX($J$13:$M$30,MATCH($B1825,$J$13:$J$30,0),L$12))</f>
        <v/>
      </c>
      <c r="E1825" s="74" t="str">
        <f>INDEX('TH CANAM'!$A$9:$BF$63,MATCH(PDNam!$F1846,'TH CANAM'!$A$9:$A$63,0),INDEX($J$13:$M$30,MATCH($B1825,$J$13:$J$30,0),M$12))</f>
        <v/>
      </c>
      <c r="F1825" s="73"/>
      <c r="I1825" s="64"/>
      <c r="J1825" s="64"/>
    </row>
    <row r="1826" spans="1:10" ht="21" customHeight="1">
      <c r="A1826" s="72" t="s">
        <v>204</v>
      </c>
      <c r="B1826" s="73" t="s">
        <v>122</v>
      </c>
      <c r="C1826" s="74" t="str">
        <f>INDEX('TH CANAM'!$A$9:$BF$63,MATCH(PDNam!$F1846,'TH CANAM'!$A$9:$A$63,0),INDEX($J$13:$M$30,MATCH($B1826,$J$13:$J$30,0),K$12))</f>
        <v/>
      </c>
      <c r="D1826" s="74" t="str">
        <f>INDEX('TH CANAM'!$A$9:$BF$63,MATCH(PDNam!$F1846,'TH CANAM'!$A$9:$A$63,0),INDEX($J$13:$M$30,MATCH($B1826,$J$13:$J$30,0),L$12))</f>
        <v/>
      </c>
      <c r="E1826" s="74" t="str">
        <f>INDEX('TH CANAM'!$A$9:$BF$63,MATCH(PDNam!$F1846,'TH CANAM'!$A$9:$A$63,0),INDEX($J$13:$M$30,MATCH($B1826,$J$13:$J$30,0),M$12))</f>
        <v/>
      </c>
      <c r="F1826" s="73"/>
      <c r="I1826" s="64"/>
      <c r="J1826" s="64"/>
    </row>
    <row r="1827" spans="1:10" ht="21" customHeight="1">
      <c r="A1827" s="72" t="s">
        <v>208</v>
      </c>
      <c r="B1827" s="73" t="s">
        <v>205</v>
      </c>
      <c r="C1827" s="78" t="str">
        <f>INDEX('TH CANAM'!$A$9:$BF$63,MATCH(PDNam!$F1846,'TH CANAM'!$A$9:$A$63,0),46)</f>
        <v/>
      </c>
      <c r="D1827" s="78" t="str">
        <f>INDEX('TH CANAM'!$A$9:$BF$63,MATCH(PDNam!$F1846,'TH CANAM'!$A$9:$A$63,0),47)</f>
        <v/>
      </c>
      <c r="E1827" s="78" t="str">
        <f>INDEX('TH CANAM'!$A$9:$BF$63,MATCH(PDNam!$F1846,'TH CANAM'!$A$9:$A$63,0),48)</f>
        <v/>
      </c>
      <c r="F1827" s="73"/>
      <c r="I1827" s="64"/>
      <c r="J1827" s="64"/>
    </row>
    <row r="1828" spans="1:10" ht="21" customHeight="1">
      <c r="A1828" s="72" t="s">
        <v>209</v>
      </c>
      <c r="B1828" s="72" t="s">
        <v>206</v>
      </c>
      <c r="C1828" s="74" t="str">
        <f>IF(INDEX('TH CANAM'!$A$9:$BF$63,MATCH(PDNam!$F1846,'TH CANAM'!$A$9:$A$63,0),49)="Tb","Trung bình",INDEX('TH CANAM'!$A$9:$BF$63,MATCH(PDNam!$F1846,'TH CANAM'!$A$9:$A$63,0),49))</f>
        <v/>
      </c>
      <c r="D1828" s="74" t="str">
        <f>IF(INDEX('TH CANAM'!$A$9:$BF$63,MATCH(PDNam!$F1846,'TH CANAM'!$A$9:$A$63,0),50)="Tb","Trung bình",INDEX('TH CANAM'!$A$9:$BF$63,MATCH(PDNam!$F1846,'TH CANAM'!$A$9:$A$63,0),50))</f>
        <v/>
      </c>
      <c r="E1828" s="74" t="str">
        <f>IF(INDEX('TH CANAM'!$A$9:$BF$63,MATCH(PDNam!$F1846,'TH CANAM'!$A$9:$A$63,0),51)="Tb","Trung bình",INDEX('TH CANAM'!$A$9:$BF$63,MATCH(PDNam!$F1846,'TH CANAM'!$A$9:$A$63,0),51))</f>
        <v/>
      </c>
      <c r="F1828" s="73"/>
    </row>
    <row r="1829" spans="1:10" ht="21" customHeight="1">
      <c r="A1829" s="72" t="s">
        <v>210</v>
      </c>
      <c r="B1829" s="72" t="s">
        <v>207</v>
      </c>
      <c r="C1829" s="74" t="str">
        <f>INDEX('TH CANAM'!$A$9:$BF$63,MATCH(PDNam!$F1846,'TH CANAM'!$A$9:$A$63,0),52)</f>
        <v/>
      </c>
      <c r="D1829" s="74" t="str">
        <f>INDEX('TH CANAM'!$A$9:$BF$63,MATCH(PDNam!$F1846,'TH CANAM'!$A$9:$A$63,0),53)</f>
        <v/>
      </c>
      <c r="E1829" s="74" t="str">
        <f>INDEX('TH CANAM'!$A$9:$BF$63,MATCH(PDNam!$F1846,'TH CANAM'!$A$9:$A$63,0),54)</f>
        <v/>
      </c>
      <c r="F1829" s="73"/>
    </row>
    <row r="1830" spans="1:10" ht="21" customHeight="1">
      <c r="A1830" s="72" t="s">
        <v>211</v>
      </c>
      <c r="B1830" s="72" t="s">
        <v>25</v>
      </c>
      <c r="C1830" s="74" t="str">
        <f>IF(INDEX('TH CANAM'!$A$9:$BF$63,MATCH(PDNam!$F1846,'TH CANAM'!$A$9:$A$63,0),57)&lt;&gt;"",INDEX('TH CANAM'!$A$9:$BF$63,MATCH(PDNam!$F1846,'TH CANAM'!$A$9:$A$63,0),57),"/")</f>
        <v>/</v>
      </c>
      <c r="D1830" s="74" t="str">
        <f>IF(INDEX('TH CANAM'!$A$9:$BF$63,MATCH(PDNam!$F1846,'TH CANAM'!$A$9:$A$63,0),58)&lt;&gt;"",INDEX('TH CANAM'!$A$9:$BF$63,MATCH(PDNam!$F1846,'TH CANAM'!$A$9:$A$63,0),58),"/")</f>
        <v>/</v>
      </c>
      <c r="E1830" s="74" t="str">
        <f>IF(INDEX('TH CANAM'!$A$9:$BF$63,MATCH(PDNam!$F1846,'TH CANAM'!$A$9:$A$63,0),55)&lt;&gt;"",INDEX('TH CANAM'!$A$9:$BF$63,MATCH(PDNam!$F1846,'TH CANAM'!$A$9:$A$63,0),55),"/")</f>
        <v>/</v>
      </c>
      <c r="F1830" s="73"/>
    </row>
    <row r="1831" spans="1:10" s="60" customFormat="1" ht="9" customHeight="1">
      <c r="A1831" s="67"/>
      <c r="B1831" s="67"/>
      <c r="C1831" s="1132"/>
      <c r="D1831" s="1132"/>
      <c r="E1831" s="67"/>
      <c r="F1831" s="67"/>
    </row>
    <row r="1832" spans="1:10" s="60" customFormat="1" ht="18.75" customHeight="1">
      <c r="A1832" s="58" t="s">
        <v>219</v>
      </c>
      <c r="B1832" s="57"/>
      <c r="C1832" s="57"/>
      <c r="D1832" s="57"/>
      <c r="E1832" s="57"/>
      <c r="F1832" s="475"/>
    </row>
    <row r="1833" spans="1:10" s="60" customFormat="1" ht="18.75" customHeight="1">
      <c r="A1833" s="59" t="str">
        <f>IF(F1846&lt;&gt;"",IF(INDEX(BDHK2,MATCH(F1846,DiemHKII!$B$4:$B$58,0),137)&lt;&gt;""," - "&amp;INDEX(BDHK2,MATCH(F1846,DiemHKII!$B$4:$B$58,0),137),""),"")</f>
        <v/>
      </c>
      <c r="B1833" s="57"/>
      <c r="C1833" s="57"/>
      <c r="D1833" s="57"/>
      <c r="E1833" s="57"/>
      <c r="F1833" s="475"/>
    </row>
    <row r="1834" spans="1:10" s="60" customFormat="1" ht="18.75" customHeight="1">
      <c r="A1834" s="59" t="str">
        <f>IF(F1846&lt;&gt;"",IF(INDEX(BDHK2,MATCH(F1846,DiemHKII!$B$4:$B$58,0),138)&lt;&gt;""," - "&amp;INDEX(BDHK2,MATCH(F1846,DiemHKII!$B$4:$B$58,0),138),""),"")</f>
        <v/>
      </c>
      <c r="B1834" s="57"/>
      <c r="C1834" s="57"/>
      <c r="D1834" s="57"/>
      <c r="E1834" s="57"/>
      <c r="F1834" s="475"/>
    </row>
    <row r="1835" spans="1:10" s="60" customFormat="1" ht="18.75" customHeight="1">
      <c r="A1835" s="59" t="str">
        <f>IF(F1846&lt;&gt;"",IF(INDEX(BDHK2,MATCH(F1846,DiemHKII!$B$4:$B$58,0),139)&lt;&gt;""," - "&amp;INDEX(BDHK2,MATCH(F1846,DiemHKII!$B$4:$B$58,0),139),""),"")</f>
        <v/>
      </c>
      <c r="B1835" s="57"/>
      <c r="C1835" s="57"/>
      <c r="D1835" s="57"/>
      <c r="E1835" s="57"/>
      <c r="F1835" s="475"/>
    </row>
    <row r="1836" spans="1:10" s="60" customFormat="1" ht="18.75" customHeight="1">
      <c r="A1836" s="59" t="str">
        <f>IF(F1846&lt;&gt;"",IF(INDEX(BDHK2,MATCH(F1846,DiemHKII!$B$4:$B$58,0),140)&lt;&gt;""," - "&amp;INDEX(BDHK2,MATCH(F1846,DiemHKII!$B$4:$B$58,0),140),""),"")</f>
        <v/>
      </c>
      <c r="B1836" s="57"/>
      <c r="C1836" s="57"/>
      <c r="D1836" s="57"/>
      <c r="E1836" s="57"/>
      <c r="F1836" s="67"/>
    </row>
    <row r="1837" spans="1:10" ht="6" customHeight="1">
      <c r="A1837" s="68"/>
      <c r="B1837" s="68"/>
      <c r="C1837" s="68"/>
      <c r="D1837" s="68"/>
      <c r="E1837" s="68"/>
      <c r="F1837" s="68"/>
    </row>
    <row r="1838" spans="1:10">
      <c r="A1838" s="68"/>
      <c r="B1838" s="68"/>
      <c r="C183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838" s="1060"/>
      <c r="E1838" s="1060"/>
      <c r="F1838" s="1060"/>
    </row>
    <row r="1839" spans="1:10" ht="20.25" customHeight="1">
      <c r="A1839" s="1012" t="str">
        <f>IF($D$39="Hiệu trưởng","Giáo viên Quản nhiệm","")</f>
        <v>Giáo viên Quản nhiệm</v>
      </c>
      <c r="B1839" s="1012"/>
      <c r="C1839" s="61"/>
      <c r="D1839" s="1012" t="str">
        <f>IF($H$7="","",$H$7)</f>
        <v>Hiệu trưởng</v>
      </c>
      <c r="E1839" s="1012"/>
      <c r="F1839" s="61"/>
    </row>
    <row r="1840" spans="1:10">
      <c r="A1840" s="68"/>
      <c r="B1840" s="68"/>
      <c r="C1840" s="68"/>
      <c r="D1840" s="68"/>
      <c r="E1840" s="68"/>
      <c r="F1840" s="68"/>
    </row>
    <row r="1841" spans="1:10">
      <c r="A1841" s="68"/>
      <c r="B1841" s="68"/>
      <c r="C1841" s="68"/>
      <c r="D1841" s="68"/>
      <c r="E1841" s="68"/>
      <c r="F1841" s="68"/>
    </row>
    <row r="1842" spans="1:10" ht="16.8">
      <c r="A1842" s="68"/>
      <c r="B1842" s="68"/>
      <c r="C1842" s="64"/>
      <c r="D1842" s="64"/>
      <c r="E1842" s="64"/>
      <c r="F1842" s="64"/>
      <c r="G1842" s="65"/>
      <c r="H1842" s="65"/>
      <c r="I1842" s="65"/>
      <c r="J1842" s="65"/>
    </row>
    <row r="1844" spans="1:10">
      <c r="A1844" s="1012" t="str">
        <f>IF($A$39="","",PROPER('Huong dan'!$C$4))</f>
        <v/>
      </c>
      <c r="B1844" s="1012"/>
      <c r="D1844" s="1130" t="str">
        <f>IFERROR(IF($D$39="Giáo Viên Quản nhiệm",PROPER('Huong dan'!$C$4),IF($D$39="Hiệu trưởng",PROPER('Huong dan'!$E$5),"")),"")</f>
        <v/>
      </c>
      <c r="E1844" s="1130"/>
    </row>
    <row r="1845" spans="1:10" ht="7.5" customHeight="1"/>
    <row r="1846" spans="1:10" ht="11.25" customHeight="1">
      <c r="A1846" s="75"/>
      <c r="B1846" s="75"/>
      <c r="C1846" s="75"/>
      <c r="D1846" s="75"/>
      <c r="E1846" s="75"/>
      <c r="F1846" s="76" t="str">
        <f>IF(F1801="","",IF(F1801&lt;MAX(DiemHKII!$B$4:$B$58),F1801+1,""))</f>
        <v/>
      </c>
    </row>
    <row r="1847" spans="1:10" s="60" customFormat="1" ht="22.5" customHeight="1">
      <c r="A1847" s="1128" t="str">
        <f>IF('Huong dan'!$E$3&lt;&gt;"","SỞ GIÁO DỤC VÀ ĐÀO TẠO "&amp;UPPER('Huong dan'!$E$3),"")</f>
        <v>SỞ GIÁO DỤC VÀ ĐÀO TẠO TP. HỒ CHÍ MINH</v>
      </c>
      <c r="B1847" s="1128"/>
      <c r="C1847" s="1128"/>
      <c r="D1847" s="1129" t="s">
        <v>19</v>
      </c>
      <c r="E1847" s="1129"/>
      <c r="F1847" s="1129"/>
    </row>
    <row r="1848" spans="1:10" ht="17.25" customHeight="1">
      <c r="A1848" s="992" t="str">
        <f>IF('Huong dan'!$E$4&lt;&gt;"","TRƯỜNG "&amp;UPPER('Huong dan'!$E$4),"")</f>
        <v>TRƯỜNG THCS VÀ THPT NGUYỄN KHUYẾN</v>
      </c>
      <c r="B1848" s="992"/>
      <c r="C1848" s="992"/>
      <c r="D1848" s="1130" t="s">
        <v>179</v>
      </c>
      <c r="E1848" s="1130"/>
      <c r="F1848" s="1130"/>
    </row>
    <row r="1849" spans="1:10" ht="12" customHeight="1">
      <c r="A1849" s="69"/>
      <c r="B1849" s="69"/>
      <c r="C1849" s="30"/>
      <c r="D1849" s="30"/>
      <c r="E1849" s="30"/>
      <c r="F1849" s="30"/>
    </row>
    <row r="1850" spans="1:10" ht="18" customHeight="1">
      <c r="A1850" s="69"/>
      <c r="B1850" s="69"/>
      <c r="C1850" s="30"/>
      <c r="D1850" s="30"/>
      <c r="E1850" s="30"/>
      <c r="F1850" s="30"/>
    </row>
    <row r="1851" spans="1:10" ht="29.25" customHeight="1">
      <c r="A1851" s="1013" t="str">
        <f>"PHIẾU ĐIỂM NĂM HỌC "&amp;'Huong dan'!$C$5</f>
        <v>PHIẾU ĐIỂM NĂM HỌC 2021 - 2022</v>
      </c>
      <c r="B1851" s="1013"/>
      <c r="C1851" s="1013"/>
      <c r="D1851" s="1013"/>
      <c r="E1851" s="1013"/>
      <c r="F1851" s="1013"/>
    </row>
    <row r="1852" spans="1:10" ht="12.75" customHeight="1">
      <c r="A1852" s="70"/>
      <c r="B1852" s="66"/>
      <c r="C1852" s="66"/>
      <c r="D1852" s="66"/>
      <c r="E1852" s="66"/>
      <c r="F1852" s="66"/>
    </row>
    <row r="1853" spans="1:10" ht="20.25" customHeight="1">
      <c r="A1853" s="1131" t="s">
        <v>212</v>
      </c>
      <c r="B1853" s="1131"/>
      <c r="C1853" s="77" t="str">
        <f>IF(F1891="","",INDEX(DiemHKII!$E$4:$E$58,MATCH(F1891,DiemHKII!$B$4:$B$58,0),1)&amp;" "&amp;INDEX(DiemHKII!$F$4:$F$58,MATCH(F1891,DiemHKII!$B$4:$B$58,0),1))</f>
        <v/>
      </c>
      <c r="D1853" s="77"/>
      <c r="E1853" s="77"/>
      <c r="F1853" s="71" t="str">
        <f>IF('Huong dan'!$C$3="","","Lớp: "&amp;'Huong dan'!$C$3)</f>
        <v>Lớp: 12A1</v>
      </c>
    </row>
    <row r="1854" spans="1:10" ht="24" customHeight="1">
      <c r="A1854" s="1131" t="s">
        <v>213</v>
      </c>
      <c r="B1854" s="1131"/>
      <c r="C1854" s="77" t="str">
        <f>IF(F1891="","",INDEX(DiemHKII!$G$4:$G$58,MATCH(F1891,DiemHKII!$B$4:$B$58,0),1))</f>
        <v/>
      </c>
      <c r="D1854" s="77"/>
      <c r="E1854" s="1133" t="str">
        <f>IF(F1891="","","Nơi sinh: "&amp;INDEX(DiemHKII!$H$4:$H$58,MATCH(F1891,DiemHKII!$B$4:$B$58,0),1))</f>
        <v/>
      </c>
      <c r="F1854" s="1133"/>
    </row>
    <row r="1855" spans="1:10" ht="15" customHeight="1">
      <c r="A1855" s="62"/>
      <c r="B1855" s="62"/>
      <c r="C1855" s="62"/>
      <c r="D1855" s="62"/>
      <c r="E1855" s="62"/>
      <c r="F1855" s="63"/>
    </row>
    <row r="1856" spans="1:10" ht="21" customHeight="1">
      <c r="A1856" s="1134" t="s">
        <v>0</v>
      </c>
      <c r="B1856" s="1134" t="s">
        <v>72</v>
      </c>
      <c r="C1856" s="1134" t="s">
        <v>216</v>
      </c>
      <c r="D1856" s="1134"/>
      <c r="E1856" s="1134"/>
      <c r="F1856" s="1134" t="s">
        <v>148</v>
      </c>
    </row>
    <row r="1857" spans="1:10" ht="21" customHeight="1">
      <c r="A1857" s="1134"/>
      <c r="B1857" s="1134"/>
      <c r="C1857" s="476" t="s">
        <v>188</v>
      </c>
      <c r="D1857" s="476" t="s">
        <v>189</v>
      </c>
      <c r="E1857" s="476" t="s">
        <v>190</v>
      </c>
      <c r="F1857" s="1134"/>
    </row>
    <row r="1858" spans="1:10" ht="21" customHeight="1">
      <c r="A1858" s="72" t="s">
        <v>191</v>
      </c>
      <c r="B1858" s="73" t="s">
        <v>26</v>
      </c>
      <c r="C1858" s="74" t="str">
        <f>INDEX('TH CANAM'!$A$9:$BF$63,MATCH(PDNam!$F1891,'TH CANAM'!$A$9:$A$63,0),INDEX($J$13:$M$30,MATCH($B1858,$J$13:$J$30,0),K$12))</f>
        <v/>
      </c>
      <c r="D1858" s="74" t="str">
        <f>INDEX('TH CANAM'!$A$9:$BF$63,MATCH(PDNam!$F1891,'TH CANAM'!$A$9:$A$63,0),INDEX($J$13:$M$30,MATCH($B1858,$J$13:$J$30,0),L$12))</f>
        <v/>
      </c>
      <c r="E1858" s="74" t="str">
        <f>INDEX('TH CANAM'!$A$9:$BF$63,MATCH(PDNam!$F1891,'TH CANAM'!$A$9:$A$63,0),INDEX($J$13:$M$30,MATCH($B1858,$J$13:$J$30,0),M$12))</f>
        <v/>
      </c>
      <c r="F1858" s="73"/>
      <c r="I1858" s="64"/>
      <c r="J1858" s="64"/>
    </row>
    <row r="1859" spans="1:10" ht="21" customHeight="1">
      <c r="A1859" s="72" t="s">
        <v>192</v>
      </c>
      <c r="B1859" s="73" t="s">
        <v>27</v>
      </c>
      <c r="C1859" s="74" t="str">
        <f>INDEX('TH CANAM'!$A$9:$BF$63,MATCH(PDNam!$F1891,'TH CANAM'!$A$9:$A$63,0),INDEX($J$13:$M$30,MATCH($B1859,$J$13:$J$30,0),K$12))</f>
        <v/>
      </c>
      <c r="D1859" s="74" t="str">
        <f>INDEX('TH CANAM'!$A$9:$BF$63,MATCH(PDNam!$F1891,'TH CANAM'!$A$9:$A$63,0),INDEX($J$13:$M$30,MATCH($B1859,$J$13:$J$30,0),L$12))</f>
        <v/>
      </c>
      <c r="E1859" s="74" t="str">
        <f>INDEX('TH CANAM'!$A$9:$BF$63,MATCH(PDNam!$F1891,'TH CANAM'!$A$9:$A$63,0),INDEX($J$13:$M$30,MATCH($B1859,$J$13:$J$30,0),M$12))</f>
        <v/>
      </c>
      <c r="F1859" s="73"/>
      <c r="I1859" s="64"/>
      <c r="J1859" s="64"/>
    </row>
    <row r="1860" spans="1:10" ht="21" customHeight="1">
      <c r="A1860" s="72" t="s">
        <v>193</v>
      </c>
      <c r="B1860" s="73" t="s">
        <v>28</v>
      </c>
      <c r="C1860" s="74" t="str">
        <f>INDEX('TH CANAM'!$A$9:$BF$63,MATCH(PDNam!$F1891,'TH CANAM'!$A$9:$A$63,0),INDEX($J$13:$M$30,MATCH($B1860,$J$13:$J$30,0),K$12))</f>
        <v/>
      </c>
      <c r="D1860" s="74" t="str">
        <f>INDEX('TH CANAM'!$A$9:$BF$63,MATCH(PDNam!$F1891,'TH CANAM'!$A$9:$A$63,0),INDEX($J$13:$M$30,MATCH($B1860,$J$13:$J$30,0),L$12))</f>
        <v/>
      </c>
      <c r="E1860" s="74" t="str">
        <f>INDEX('TH CANAM'!$A$9:$BF$63,MATCH(PDNam!$F1891,'TH CANAM'!$A$9:$A$63,0),INDEX($J$13:$M$30,MATCH($B1860,$J$13:$J$30,0),M$12))</f>
        <v/>
      </c>
      <c r="F1860" s="73"/>
      <c r="I1860" s="64"/>
      <c r="J1860" s="64"/>
    </row>
    <row r="1861" spans="1:10" ht="21" customHeight="1">
      <c r="A1861" s="72" t="s">
        <v>194</v>
      </c>
      <c r="B1861" s="73" t="s">
        <v>29</v>
      </c>
      <c r="C1861" s="74" t="str">
        <f>INDEX('TH CANAM'!$A$9:$BF$63,MATCH(PDNam!$F1891,'TH CANAM'!$A$9:$A$63,0),INDEX($J$13:$M$30,MATCH($B1861,$J$13:$J$30,0),K$12))</f>
        <v/>
      </c>
      <c r="D1861" s="74" t="str">
        <f>INDEX('TH CANAM'!$A$9:$BF$63,MATCH(PDNam!$F1891,'TH CANAM'!$A$9:$A$63,0),INDEX($J$13:$M$30,MATCH($B1861,$J$13:$J$30,0),L$12))</f>
        <v/>
      </c>
      <c r="E1861" s="74" t="str">
        <f>INDEX('TH CANAM'!$A$9:$BF$63,MATCH(PDNam!$F1891,'TH CANAM'!$A$9:$A$63,0),INDEX($J$13:$M$30,MATCH($B1861,$J$13:$J$30,0),M$12))</f>
        <v/>
      </c>
      <c r="F1861" s="73"/>
      <c r="I1861" s="64"/>
      <c r="J1861" s="64"/>
    </row>
    <row r="1862" spans="1:10" ht="21" customHeight="1">
      <c r="A1862" s="72" t="s">
        <v>195</v>
      </c>
      <c r="B1862" s="73" t="s">
        <v>120</v>
      </c>
      <c r="C1862" s="74" t="str">
        <f>INDEX('TH CANAM'!$A$9:$BF$63,MATCH(PDNam!$F1891,'TH CANAM'!$A$9:$A$63,0),INDEX($J$13:$M$30,MATCH($B1862,$J$13:$J$30,0),K$12))</f>
        <v/>
      </c>
      <c r="D1862" s="74" t="str">
        <f>INDEX('TH CANAM'!$A$9:$BF$63,MATCH(PDNam!$F1891,'TH CANAM'!$A$9:$A$63,0),INDEX($J$13:$M$30,MATCH($B1862,$J$13:$J$30,0),L$12))</f>
        <v/>
      </c>
      <c r="E1862" s="74" t="str">
        <f>INDEX('TH CANAM'!$A$9:$BF$63,MATCH(PDNam!$F1891,'TH CANAM'!$A$9:$A$63,0),INDEX($J$13:$M$30,MATCH($B1862,$J$13:$J$30,0),M$12))</f>
        <v/>
      </c>
      <c r="F1862" s="73"/>
      <c r="I1862" s="64"/>
      <c r="J1862" s="64"/>
    </row>
    <row r="1863" spans="1:10" ht="21" customHeight="1">
      <c r="A1863" s="72" t="s">
        <v>196</v>
      </c>
      <c r="B1863" s="73" t="s">
        <v>30</v>
      </c>
      <c r="C1863" s="74" t="str">
        <f>INDEX('TH CANAM'!$A$9:$BF$63,MATCH(PDNam!$F1891,'TH CANAM'!$A$9:$A$63,0),INDEX($J$13:$M$30,MATCH($B1863,$J$13:$J$30,0),K$12))</f>
        <v/>
      </c>
      <c r="D1863" s="74" t="str">
        <f>INDEX('TH CANAM'!$A$9:$BF$63,MATCH(PDNam!$F1891,'TH CANAM'!$A$9:$A$63,0),INDEX($J$13:$M$30,MATCH($B1863,$J$13:$J$30,0),L$12))</f>
        <v/>
      </c>
      <c r="E1863" s="74" t="str">
        <f>INDEX('TH CANAM'!$A$9:$BF$63,MATCH(PDNam!$F1891,'TH CANAM'!$A$9:$A$63,0),INDEX($J$13:$M$30,MATCH($B1863,$J$13:$J$30,0),M$12))</f>
        <v/>
      </c>
      <c r="F1863" s="73"/>
      <c r="I1863" s="64"/>
      <c r="J1863" s="64"/>
    </row>
    <row r="1864" spans="1:10" ht="21" customHeight="1">
      <c r="A1864" s="72" t="s">
        <v>197</v>
      </c>
      <c r="B1864" s="73" t="s">
        <v>31</v>
      </c>
      <c r="C1864" s="74" t="str">
        <f>INDEX('TH CANAM'!$A$9:$BF$63,MATCH(PDNam!$F1891,'TH CANAM'!$A$9:$A$63,0),INDEX($J$13:$M$30,MATCH($B1864,$J$13:$J$30,0),K$12))</f>
        <v/>
      </c>
      <c r="D1864" s="74" t="str">
        <f>INDEX('TH CANAM'!$A$9:$BF$63,MATCH(PDNam!$F1891,'TH CANAM'!$A$9:$A$63,0),INDEX($J$13:$M$30,MATCH($B1864,$J$13:$J$30,0),L$12))</f>
        <v/>
      </c>
      <c r="E1864" s="74" t="str">
        <f>INDEX('TH CANAM'!$A$9:$BF$63,MATCH(PDNam!$F1891,'TH CANAM'!$A$9:$A$63,0),INDEX($J$13:$M$30,MATCH($B1864,$J$13:$J$30,0),M$12))</f>
        <v/>
      </c>
      <c r="F1864" s="73"/>
      <c r="I1864" s="64"/>
      <c r="J1864" s="64"/>
    </row>
    <row r="1865" spans="1:10" ht="21" customHeight="1">
      <c r="A1865" s="72" t="s">
        <v>198</v>
      </c>
      <c r="B1865" s="73" t="s">
        <v>32</v>
      </c>
      <c r="C1865" s="74" t="str">
        <f>INDEX('TH CANAM'!$A$9:$BF$63,MATCH(PDNam!$F1891,'TH CANAM'!$A$9:$A$63,0),INDEX($J$13:$M$30,MATCH($B1865,$J$13:$J$30,0),K$12))</f>
        <v/>
      </c>
      <c r="D1865" s="74" t="str">
        <f>INDEX('TH CANAM'!$A$9:$BF$63,MATCH(PDNam!$F1891,'TH CANAM'!$A$9:$A$63,0),INDEX($J$13:$M$30,MATCH($B1865,$J$13:$J$30,0),L$12))</f>
        <v/>
      </c>
      <c r="E1865" s="74" t="str">
        <f>INDEX('TH CANAM'!$A$9:$BF$63,MATCH(PDNam!$F1891,'TH CANAM'!$A$9:$A$63,0),INDEX($J$13:$M$30,MATCH($B1865,$J$13:$J$30,0),M$12))</f>
        <v/>
      </c>
      <c r="F1865" s="73"/>
      <c r="I1865" s="64"/>
      <c r="J1865" s="64"/>
    </row>
    <row r="1866" spans="1:10" ht="21" customHeight="1">
      <c r="A1866" s="72" t="s">
        <v>199</v>
      </c>
      <c r="B1866" s="73" t="s">
        <v>33</v>
      </c>
      <c r="C1866" s="74" t="str">
        <f>INDEX('TH CANAM'!$A$9:$BF$63,MATCH(PDNam!$F1891,'TH CANAM'!$A$9:$A$63,0),INDEX($J$13:$M$30,MATCH($B1866,$J$13:$J$30,0),K$12))</f>
        <v/>
      </c>
      <c r="D1866" s="74" t="str">
        <f>INDEX('TH CANAM'!$A$9:$BF$63,MATCH(PDNam!$F1891,'TH CANAM'!$A$9:$A$63,0),INDEX($J$13:$M$30,MATCH($B1866,$J$13:$J$30,0),L$12))</f>
        <v/>
      </c>
      <c r="E1866" s="74" t="str">
        <f>INDEX('TH CANAM'!$A$9:$BF$63,MATCH(PDNam!$F1891,'TH CANAM'!$A$9:$A$63,0),INDEX($J$13:$M$30,MATCH($B1866,$J$13:$J$30,0),M$12))</f>
        <v/>
      </c>
      <c r="F1866" s="73"/>
      <c r="I1866" s="64"/>
      <c r="J1866" s="64"/>
    </row>
    <row r="1867" spans="1:10" ht="21" customHeight="1">
      <c r="A1867" s="72" t="s">
        <v>200</v>
      </c>
      <c r="B1867" s="73" t="s">
        <v>60</v>
      </c>
      <c r="C1867" s="74" t="str">
        <f>INDEX('TH CANAM'!$A$9:$BF$63,MATCH(PDNam!$F1891,'TH CANAM'!$A$9:$A$63,0),INDEX($J$13:$M$30,MATCH($B1867,$J$13:$J$30,0),K$12))</f>
        <v/>
      </c>
      <c r="D1867" s="74" t="str">
        <f>INDEX('TH CANAM'!$A$9:$BF$63,MATCH(PDNam!$F1891,'TH CANAM'!$A$9:$A$63,0),INDEX($J$13:$M$30,MATCH($B1867,$J$13:$J$30,0),L$12))</f>
        <v/>
      </c>
      <c r="E1867" s="74" t="str">
        <f>INDEX('TH CANAM'!$A$9:$BF$63,MATCH(PDNam!$F1891,'TH CANAM'!$A$9:$A$63,0),INDEX($J$13:$M$30,MATCH($B1867,$J$13:$J$30,0),M$12))</f>
        <v/>
      </c>
      <c r="F1867" s="73"/>
      <c r="I1867" s="64"/>
      <c r="J1867" s="64"/>
    </row>
    <row r="1868" spans="1:10" ht="21" customHeight="1">
      <c r="A1868" s="72" t="s">
        <v>201</v>
      </c>
      <c r="B1868" s="73" t="s">
        <v>34</v>
      </c>
      <c r="C1868" s="74" t="str">
        <f>INDEX('TH CANAM'!$A$9:$BF$63,MATCH(PDNam!$F1891,'TH CANAM'!$A$9:$A$63,0),INDEX($J$13:$M$30,MATCH($B1868,$J$13:$J$30,0),K$12))</f>
        <v/>
      </c>
      <c r="D1868" s="74" t="str">
        <f>INDEX('TH CANAM'!$A$9:$BF$63,MATCH(PDNam!$F1891,'TH CANAM'!$A$9:$A$63,0),INDEX($J$13:$M$30,MATCH($B1868,$J$13:$J$30,0),L$12))</f>
        <v/>
      </c>
      <c r="E1868" s="74" t="str">
        <f>INDEX('TH CANAM'!$A$9:$BF$63,MATCH(PDNam!$F1891,'TH CANAM'!$A$9:$A$63,0),INDEX($J$13:$M$30,MATCH($B1868,$J$13:$J$30,0),M$12))</f>
        <v/>
      </c>
      <c r="F1868" s="73"/>
      <c r="I1868" s="64"/>
      <c r="J1868" s="64"/>
    </row>
    <row r="1869" spans="1:10" ht="21" customHeight="1">
      <c r="A1869" s="72" t="s">
        <v>202</v>
      </c>
      <c r="B1869" s="73" t="s">
        <v>35</v>
      </c>
      <c r="C1869" s="74" t="str">
        <f>INDEX('TH CANAM'!$A$9:$BF$63,MATCH(PDNam!$F1891,'TH CANAM'!$A$9:$A$63,0),INDEX($J$13:$M$30,MATCH($B1869,$J$13:$J$30,0),K$12))</f>
        <v/>
      </c>
      <c r="D1869" s="74" t="str">
        <f>INDEX('TH CANAM'!$A$9:$BF$63,MATCH(PDNam!$F1891,'TH CANAM'!$A$9:$A$63,0),INDEX($J$13:$M$30,MATCH($B1869,$J$13:$J$30,0),L$12))</f>
        <v/>
      </c>
      <c r="E1869" s="74" t="str">
        <f>INDEX('TH CANAM'!$A$9:$BF$63,MATCH(PDNam!$F1891,'TH CANAM'!$A$9:$A$63,0),INDEX($J$13:$M$30,MATCH($B1869,$J$13:$J$30,0),M$12))</f>
        <v/>
      </c>
      <c r="F1869" s="73"/>
      <c r="I1869" s="64"/>
      <c r="J1869" s="64"/>
    </row>
    <row r="1870" spans="1:10" ht="21" customHeight="1">
      <c r="A1870" s="72" t="s">
        <v>203</v>
      </c>
      <c r="B1870" s="73" t="s">
        <v>121</v>
      </c>
      <c r="C1870" s="74" t="str">
        <f>INDEX('TH CANAM'!$A$9:$BF$63,MATCH(PDNam!$F1891,'TH CANAM'!$A$9:$A$63,0),INDEX($J$13:$M$30,MATCH($B1870,$J$13:$J$30,0),K$12))</f>
        <v/>
      </c>
      <c r="D1870" s="74" t="str">
        <f>INDEX('TH CANAM'!$A$9:$BF$63,MATCH(PDNam!$F1891,'TH CANAM'!$A$9:$A$63,0),INDEX($J$13:$M$30,MATCH($B1870,$J$13:$J$30,0),L$12))</f>
        <v/>
      </c>
      <c r="E1870" s="74" t="str">
        <f>INDEX('TH CANAM'!$A$9:$BF$63,MATCH(PDNam!$F1891,'TH CANAM'!$A$9:$A$63,0),INDEX($J$13:$M$30,MATCH($B1870,$J$13:$J$30,0),M$12))</f>
        <v/>
      </c>
      <c r="F1870" s="73"/>
      <c r="I1870" s="64"/>
      <c r="J1870" s="64"/>
    </row>
    <row r="1871" spans="1:10" ht="21" customHeight="1">
      <c r="A1871" s="72" t="s">
        <v>204</v>
      </c>
      <c r="B1871" s="73" t="s">
        <v>122</v>
      </c>
      <c r="C1871" s="74" t="str">
        <f>INDEX('TH CANAM'!$A$9:$BF$63,MATCH(PDNam!$F1891,'TH CANAM'!$A$9:$A$63,0),INDEX($J$13:$M$30,MATCH($B1871,$J$13:$J$30,0),K$12))</f>
        <v/>
      </c>
      <c r="D1871" s="74" t="str">
        <f>INDEX('TH CANAM'!$A$9:$BF$63,MATCH(PDNam!$F1891,'TH CANAM'!$A$9:$A$63,0),INDEX($J$13:$M$30,MATCH($B1871,$J$13:$J$30,0),L$12))</f>
        <v/>
      </c>
      <c r="E1871" s="74" t="str">
        <f>INDEX('TH CANAM'!$A$9:$BF$63,MATCH(PDNam!$F1891,'TH CANAM'!$A$9:$A$63,0),INDEX($J$13:$M$30,MATCH($B1871,$J$13:$J$30,0),M$12))</f>
        <v/>
      </c>
      <c r="F1871" s="73"/>
      <c r="I1871" s="64"/>
      <c r="J1871" s="64"/>
    </row>
    <row r="1872" spans="1:10" ht="21" customHeight="1">
      <c r="A1872" s="72" t="s">
        <v>208</v>
      </c>
      <c r="B1872" s="73" t="s">
        <v>205</v>
      </c>
      <c r="C1872" s="78" t="str">
        <f>INDEX('TH CANAM'!$A$9:$BF$63,MATCH(PDNam!$F1891,'TH CANAM'!$A$9:$A$63,0),46)</f>
        <v/>
      </c>
      <c r="D1872" s="78" t="str">
        <f>INDEX('TH CANAM'!$A$9:$BF$63,MATCH(PDNam!$F1891,'TH CANAM'!$A$9:$A$63,0),47)</f>
        <v/>
      </c>
      <c r="E1872" s="78" t="str">
        <f>INDEX('TH CANAM'!$A$9:$BF$63,MATCH(PDNam!$F1891,'TH CANAM'!$A$9:$A$63,0),48)</f>
        <v/>
      </c>
      <c r="F1872" s="73"/>
      <c r="I1872" s="64"/>
      <c r="J1872" s="64"/>
    </row>
    <row r="1873" spans="1:10" ht="21" customHeight="1">
      <c r="A1873" s="72" t="s">
        <v>209</v>
      </c>
      <c r="B1873" s="72" t="s">
        <v>206</v>
      </c>
      <c r="C1873" s="74" t="str">
        <f>IF(INDEX('TH CANAM'!$A$9:$BF$63,MATCH(PDNam!$F1891,'TH CANAM'!$A$9:$A$63,0),49)="Tb","Trung bình",INDEX('TH CANAM'!$A$9:$BF$63,MATCH(PDNam!$F1891,'TH CANAM'!$A$9:$A$63,0),49))</f>
        <v/>
      </c>
      <c r="D1873" s="74" t="str">
        <f>IF(INDEX('TH CANAM'!$A$9:$BF$63,MATCH(PDNam!$F1891,'TH CANAM'!$A$9:$A$63,0),50)="Tb","Trung bình",INDEX('TH CANAM'!$A$9:$BF$63,MATCH(PDNam!$F1891,'TH CANAM'!$A$9:$A$63,0),50))</f>
        <v/>
      </c>
      <c r="E1873" s="74" t="str">
        <f>IF(INDEX('TH CANAM'!$A$9:$BF$63,MATCH(PDNam!$F1891,'TH CANAM'!$A$9:$A$63,0),51)="Tb","Trung bình",INDEX('TH CANAM'!$A$9:$BF$63,MATCH(PDNam!$F1891,'TH CANAM'!$A$9:$A$63,0),51))</f>
        <v/>
      </c>
      <c r="F1873" s="73"/>
    </row>
    <row r="1874" spans="1:10" ht="21" customHeight="1">
      <c r="A1874" s="72" t="s">
        <v>210</v>
      </c>
      <c r="B1874" s="72" t="s">
        <v>207</v>
      </c>
      <c r="C1874" s="74" t="str">
        <f>INDEX('TH CANAM'!$A$9:$BF$63,MATCH(PDNam!$F1891,'TH CANAM'!$A$9:$A$63,0),52)</f>
        <v/>
      </c>
      <c r="D1874" s="74" t="str">
        <f>INDEX('TH CANAM'!$A$9:$BF$63,MATCH(PDNam!$F1891,'TH CANAM'!$A$9:$A$63,0),53)</f>
        <v/>
      </c>
      <c r="E1874" s="74" t="str">
        <f>INDEX('TH CANAM'!$A$9:$BF$63,MATCH(PDNam!$F1891,'TH CANAM'!$A$9:$A$63,0),54)</f>
        <v/>
      </c>
      <c r="F1874" s="73"/>
    </row>
    <row r="1875" spans="1:10" ht="21" customHeight="1">
      <c r="A1875" s="72" t="s">
        <v>211</v>
      </c>
      <c r="B1875" s="72" t="s">
        <v>25</v>
      </c>
      <c r="C1875" s="74" t="str">
        <f>IF(INDEX('TH CANAM'!$A$9:$BF$63,MATCH(PDNam!$F1891,'TH CANAM'!$A$9:$A$63,0),57)&lt;&gt;"",INDEX('TH CANAM'!$A$9:$BF$63,MATCH(PDNam!$F1891,'TH CANAM'!$A$9:$A$63,0),57),"/")</f>
        <v>/</v>
      </c>
      <c r="D1875" s="74" t="str">
        <f>IF(INDEX('TH CANAM'!$A$9:$BF$63,MATCH(PDNam!$F1891,'TH CANAM'!$A$9:$A$63,0),58)&lt;&gt;"",INDEX('TH CANAM'!$A$9:$BF$63,MATCH(PDNam!$F1891,'TH CANAM'!$A$9:$A$63,0),58),"/")</f>
        <v>/</v>
      </c>
      <c r="E1875" s="74" t="str">
        <f>IF(INDEX('TH CANAM'!$A$9:$BF$63,MATCH(PDNam!$F1891,'TH CANAM'!$A$9:$A$63,0),55)&lt;&gt;"",INDEX('TH CANAM'!$A$9:$BF$63,MATCH(PDNam!$F1891,'TH CANAM'!$A$9:$A$63,0),55),"/")</f>
        <v>/</v>
      </c>
      <c r="F1875" s="73"/>
    </row>
    <row r="1876" spans="1:10" s="60" customFormat="1" ht="9" customHeight="1">
      <c r="A1876" s="67"/>
      <c r="B1876" s="67"/>
      <c r="C1876" s="1132"/>
      <c r="D1876" s="1132"/>
      <c r="E1876" s="67"/>
      <c r="F1876" s="67"/>
    </row>
    <row r="1877" spans="1:10" s="60" customFormat="1" ht="18.75" customHeight="1">
      <c r="A1877" s="58" t="s">
        <v>219</v>
      </c>
      <c r="B1877" s="57"/>
      <c r="C1877" s="57"/>
      <c r="D1877" s="57"/>
      <c r="E1877" s="57"/>
      <c r="F1877" s="475"/>
    </row>
    <row r="1878" spans="1:10" s="60" customFormat="1" ht="18.75" customHeight="1">
      <c r="A1878" s="59" t="str">
        <f>IF(F1891&lt;&gt;"",IF(INDEX(BDHK2,MATCH(F1891,DiemHKII!$B$4:$B$58,0),137)&lt;&gt;""," - "&amp;INDEX(BDHK2,MATCH(F1891,DiemHKII!$B$4:$B$58,0),137),""),"")</f>
        <v/>
      </c>
      <c r="B1878" s="57"/>
      <c r="C1878" s="57"/>
      <c r="D1878" s="57"/>
      <c r="E1878" s="57"/>
      <c r="F1878" s="475"/>
    </row>
    <row r="1879" spans="1:10" s="60" customFormat="1" ht="18.75" customHeight="1">
      <c r="A1879" s="59" t="str">
        <f>IF(F1891&lt;&gt;"",IF(INDEX(BDHK2,MATCH(F1891,DiemHKII!$B$4:$B$58,0),138)&lt;&gt;""," - "&amp;INDEX(BDHK2,MATCH(F1891,DiemHKII!$B$4:$B$58,0),138),""),"")</f>
        <v/>
      </c>
      <c r="B1879" s="57"/>
      <c r="C1879" s="57"/>
      <c r="D1879" s="57"/>
      <c r="E1879" s="57"/>
      <c r="F1879" s="475"/>
    </row>
    <row r="1880" spans="1:10" s="60" customFormat="1" ht="18.75" customHeight="1">
      <c r="A1880" s="59" t="str">
        <f>IF(F1891&lt;&gt;"",IF(INDEX(BDHK2,MATCH(F1891,DiemHKII!$B$4:$B$58,0),139)&lt;&gt;""," - "&amp;INDEX(BDHK2,MATCH(F1891,DiemHKII!$B$4:$B$58,0),139),""),"")</f>
        <v/>
      </c>
      <c r="B1880" s="57"/>
      <c r="C1880" s="57"/>
      <c r="D1880" s="57"/>
      <c r="E1880" s="57"/>
      <c r="F1880" s="475"/>
    </row>
    <row r="1881" spans="1:10" s="60" customFormat="1" ht="18.75" customHeight="1">
      <c r="A1881" s="59" t="str">
        <f>IF(F1891&lt;&gt;"",IF(INDEX(BDHK2,MATCH(F1891,DiemHKII!$B$4:$B$58,0),140)&lt;&gt;""," - "&amp;INDEX(BDHK2,MATCH(F1891,DiemHKII!$B$4:$B$58,0),140),""),"")</f>
        <v/>
      </c>
      <c r="B1881" s="57"/>
      <c r="C1881" s="57"/>
      <c r="D1881" s="57"/>
      <c r="E1881" s="57"/>
      <c r="F1881" s="67"/>
    </row>
    <row r="1882" spans="1:10" ht="6" customHeight="1">
      <c r="A1882" s="68"/>
      <c r="B1882" s="68"/>
      <c r="C1882" s="68"/>
      <c r="D1882" s="68"/>
      <c r="E1882" s="68"/>
      <c r="F1882" s="68"/>
    </row>
    <row r="1883" spans="1:10">
      <c r="A1883" s="68"/>
      <c r="B1883" s="68"/>
      <c r="C188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883" s="1060"/>
      <c r="E1883" s="1060"/>
      <c r="F1883" s="1060"/>
    </row>
    <row r="1884" spans="1:10" ht="20.25" customHeight="1">
      <c r="A1884" s="1012" t="str">
        <f>IF($D$39="Hiệu trưởng","Giáo viên Quản nhiệm","")</f>
        <v>Giáo viên Quản nhiệm</v>
      </c>
      <c r="B1884" s="1012"/>
      <c r="C1884" s="61"/>
      <c r="D1884" s="1012" t="str">
        <f>IF($H$7="","",$H$7)</f>
        <v>Hiệu trưởng</v>
      </c>
      <c r="E1884" s="1012"/>
      <c r="F1884" s="61"/>
    </row>
    <row r="1885" spans="1:10">
      <c r="A1885" s="68"/>
      <c r="B1885" s="68"/>
      <c r="C1885" s="68"/>
      <c r="D1885" s="68"/>
      <c r="E1885" s="68"/>
      <c r="F1885" s="68"/>
    </row>
    <row r="1886" spans="1:10">
      <c r="A1886" s="68"/>
      <c r="B1886" s="68"/>
      <c r="C1886" s="68"/>
      <c r="D1886" s="68"/>
      <c r="E1886" s="68"/>
      <c r="F1886" s="68"/>
    </row>
    <row r="1887" spans="1:10" ht="16.8">
      <c r="A1887" s="68"/>
      <c r="B1887" s="68"/>
      <c r="C1887" s="64"/>
      <c r="D1887" s="64"/>
      <c r="E1887" s="64"/>
      <c r="F1887" s="64"/>
      <c r="G1887" s="65"/>
      <c r="H1887" s="65"/>
      <c r="I1887" s="65"/>
      <c r="J1887" s="65"/>
    </row>
    <row r="1889" spans="1:10">
      <c r="A1889" s="1012" t="str">
        <f>IF($A$39="","",PROPER('Huong dan'!$C$4))</f>
        <v/>
      </c>
      <c r="B1889" s="1012"/>
      <c r="D1889" s="1130" t="str">
        <f>IFERROR(IF($D$39="Giáo Viên Quản nhiệm",PROPER('Huong dan'!$C$4),IF($D$39="Hiệu trưởng",PROPER('Huong dan'!$E$5),"")),"")</f>
        <v/>
      </c>
      <c r="E1889" s="1130"/>
    </row>
    <row r="1890" spans="1:10" ht="7.5" customHeight="1"/>
    <row r="1891" spans="1:10" ht="11.25" customHeight="1">
      <c r="A1891" s="75"/>
      <c r="B1891" s="75"/>
      <c r="C1891" s="75"/>
      <c r="D1891" s="75"/>
      <c r="E1891" s="75"/>
      <c r="F1891" s="76" t="str">
        <f>IF(F1846="","",IF(F1846&lt;MAX(DiemHKII!$B$4:$B$58),F1846+1,""))</f>
        <v/>
      </c>
    </row>
    <row r="1892" spans="1:10" s="60" customFormat="1" ht="22.5" customHeight="1">
      <c r="A1892" s="1128" t="str">
        <f>IF('Huong dan'!$E$3&lt;&gt;"","SỞ GIÁO DỤC VÀ ĐÀO TẠO "&amp;UPPER('Huong dan'!$E$3),"")</f>
        <v>SỞ GIÁO DỤC VÀ ĐÀO TẠO TP. HỒ CHÍ MINH</v>
      </c>
      <c r="B1892" s="1128"/>
      <c r="C1892" s="1128"/>
      <c r="D1892" s="1129" t="s">
        <v>19</v>
      </c>
      <c r="E1892" s="1129"/>
      <c r="F1892" s="1129"/>
    </row>
    <row r="1893" spans="1:10" ht="17.25" customHeight="1">
      <c r="A1893" s="992" t="str">
        <f>IF('Huong dan'!$E$4&lt;&gt;"","TRƯỜNG "&amp;UPPER('Huong dan'!$E$4),"")</f>
        <v>TRƯỜNG THCS VÀ THPT NGUYỄN KHUYẾN</v>
      </c>
      <c r="B1893" s="992"/>
      <c r="C1893" s="992"/>
      <c r="D1893" s="1130" t="s">
        <v>179</v>
      </c>
      <c r="E1893" s="1130"/>
      <c r="F1893" s="1130"/>
    </row>
    <row r="1894" spans="1:10" ht="12" customHeight="1">
      <c r="A1894" s="69"/>
      <c r="B1894" s="69"/>
      <c r="C1894" s="30"/>
      <c r="D1894" s="30"/>
      <c r="E1894" s="30"/>
      <c r="F1894" s="30"/>
    </row>
    <row r="1895" spans="1:10" ht="18" customHeight="1">
      <c r="A1895" s="69"/>
      <c r="B1895" s="69"/>
      <c r="C1895" s="30"/>
      <c r="D1895" s="30"/>
      <c r="E1895" s="30"/>
      <c r="F1895" s="30"/>
    </row>
    <row r="1896" spans="1:10" ht="29.25" customHeight="1">
      <c r="A1896" s="1013" t="str">
        <f>"PHIẾU ĐIỂM NĂM HỌC "&amp;'Huong dan'!$C$5</f>
        <v>PHIẾU ĐIỂM NĂM HỌC 2021 - 2022</v>
      </c>
      <c r="B1896" s="1013"/>
      <c r="C1896" s="1013"/>
      <c r="D1896" s="1013"/>
      <c r="E1896" s="1013"/>
      <c r="F1896" s="1013"/>
    </row>
    <row r="1897" spans="1:10" ht="12.75" customHeight="1">
      <c r="A1897" s="70"/>
      <c r="B1897" s="66"/>
      <c r="C1897" s="66"/>
      <c r="D1897" s="66"/>
      <c r="E1897" s="66"/>
      <c r="F1897" s="66"/>
    </row>
    <row r="1898" spans="1:10" ht="20.25" customHeight="1">
      <c r="A1898" s="1131" t="s">
        <v>212</v>
      </c>
      <c r="B1898" s="1131"/>
      <c r="C1898" s="77" t="str">
        <f>IF(F1936="","",INDEX(DiemHKII!$E$4:$E$58,MATCH(F1936,DiemHKII!$B$4:$B$58,0),1)&amp;" "&amp;INDEX(DiemHKII!$F$4:$F$58,MATCH(F1936,DiemHKII!$B$4:$B$58,0),1))</f>
        <v/>
      </c>
      <c r="D1898" s="77"/>
      <c r="E1898" s="77"/>
      <c r="F1898" s="71" t="str">
        <f>IF('Huong dan'!$C$3="","","Lớp: "&amp;'Huong dan'!$C$3)</f>
        <v>Lớp: 12A1</v>
      </c>
    </row>
    <row r="1899" spans="1:10" ht="24" customHeight="1">
      <c r="A1899" s="1131" t="s">
        <v>213</v>
      </c>
      <c r="B1899" s="1131"/>
      <c r="C1899" s="77" t="str">
        <f>IF(F1936="","",INDEX(DiemHKII!$G$4:$G$58,MATCH(F1936,DiemHKII!$B$4:$B$58,0),1))</f>
        <v/>
      </c>
      <c r="D1899" s="77"/>
      <c r="E1899" s="1133" t="str">
        <f>IF(F1936="","","Nơi sinh: "&amp;INDEX(DiemHKII!$H$4:$H$58,MATCH(F1936,DiemHKII!$B$4:$B$58,0),1))</f>
        <v/>
      </c>
      <c r="F1899" s="1133"/>
    </row>
    <row r="1900" spans="1:10" ht="15" customHeight="1">
      <c r="A1900" s="62"/>
      <c r="B1900" s="62"/>
      <c r="C1900" s="62"/>
      <c r="D1900" s="62"/>
      <c r="E1900" s="62"/>
      <c r="F1900" s="63"/>
    </row>
    <row r="1901" spans="1:10" ht="21" customHeight="1">
      <c r="A1901" s="1134" t="s">
        <v>0</v>
      </c>
      <c r="B1901" s="1134" t="s">
        <v>72</v>
      </c>
      <c r="C1901" s="1134" t="s">
        <v>216</v>
      </c>
      <c r="D1901" s="1134"/>
      <c r="E1901" s="1134"/>
      <c r="F1901" s="1134" t="s">
        <v>148</v>
      </c>
    </row>
    <row r="1902" spans="1:10" ht="21" customHeight="1">
      <c r="A1902" s="1134"/>
      <c r="B1902" s="1134"/>
      <c r="C1902" s="476" t="s">
        <v>188</v>
      </c>
      <c r="D1902" s="476" t="s">
        <v>189</v>
      </c>
      <c r="E1902" s="476" t="s">
        <v>190</v>
      </c>
      <c r="F1902" s="1134"/>
    </row>
    <row r="1903" spans="1:10" ht="21" customHeight="1">
      <c r="A1903" s="72" t="s">
        <v>191</v>
      </c>
      <c r="B1903" s="73" t="s">
        <v>26</v>
      </c>
      <c r="C1903" s="74" t="str">
        <f>INDEX('TH CANAM'!$A$9:$BF$63,MATCH(PDNam!$F1936,'TH CANAM'!$A$9:$A$63,0),INDEX($J$13:$M$30,MATCH($B1903,$J$13:$J$30,0),K$12))</f>
        <v/>
      </c>
      <c r="D1903" s="74" t="str">
        <f>INDEX('TH CANAM'!$A$9:$BF$63,MATCH(PDNam!$F1936,'TH CANAM'!$A$9:$A$63,0),INDEX($J$13:$M$30,MATCH($B1903,$J$13:$J$30,0),L$12))</f>
        <v/>
      </c>
      <c r="E1903" s="74" t="str">
        <f>INDEX('TH CANAM'!$A$9:$BF$63,MATCH(PDNam!$F1936,'TH CANAM'!$A$9:$A$63,0),INDEX($J$13:$M$30,MATCH($B1903,$J$13:$J$30,0),M$12))</f>
        <v/>
      </c>
      <c r="F1903" s="73"/>
      <c r="I1903" s="64"/>
      <c r="J1903" s="64"/>
    </row>
    <row r="1904" spans="1:10" ht="21" customHeight="1">
      <c r="A1904" s="72" t="s">
        <v>192</v>
      </c>
      <c r="B1904" s="73" t="s">
        <v>27</v>
      </c>
      <c r="C1904" s="74" t="str">
        <f>INDEX('TH CANAM'!$A$9:$BF$63,MATCH(PDNam!$F1936,'TH CANAM'!$A$9:$A$63,0),INDEX($J$13:$M$30,MATCH($B1904,$J$13:$J$30,0),K$12))</f>
        <v/>
      </c>
      <c r="D1904" s="74" t="str">
        <f>INDEX('TH CANAM'!$A$9:$BF$63,MATCH(PDNam!$F1936,'TH CANAM'!$A$9:$A$63,0),INDEX($J$13:$M$30,MATCH($B1904,$J$13:$J$30,0),L$12))</f>
        <v/>
      </c>
      <c r="E1904" s="74" t="str">
        <f>INDEX('TH CANAM'!$A$9:$BF$63,MATCH(PDNam!$F1936,'TH CANAM'!$A$9:$A$63,0),INDEX($J$13:$M$30,MATCH($B1904,$J$13:$J$30,0),M$12))</f>
        <v/>
      </c>
      <c r="F1904" s="73"/>
      <c r="I1904" s="64"/>
      <c r="J1904" s="64"/>
    </row>
    <row r="1905" spans="1:10" ht="21" customHeight="1">
      <c r="A1905" s="72" t="s">
        <v>193</v>
      </c>
      <c r="B1905" s="73" t="s">
        <v>28</v>
      </c>
      <c r="C1905" s="74" t="str">
        <f>INDEX('TH CANAM'!$A$9:$BF$63,MATCH(PDNam!$F1936,'TH CANAM'!$A$9:$A$63,0),INDEX($J$13:$M$30,MATCH($B1905,$J$13:$J$30,0),K$12))</f>
        <v/>
      </c>
      <c r="D1905" s="74" t="str">
        <f>INDEX('TH CANAM'!$A$9:$BF$63,MATCH(PDNam!$F1936,'TH CANAM'!$A$9:$A$63,0),INDEX($J$13:$M$30,MATCH($B1905,$J$13:$J$30,0),L$12))</f>
        <v/>
      </c>
      <c r="E1905" s="74" t="str">
        <f>INDEX('TH CANAM'!$A$9:$BF$63,MATCH(PDNam!$F1936,'TH CANAM'!$A$9:$A$63,0),INDEX($J$13:$M$30,MATCH($B1905,$J$13:$J$30,0),M$12))</f>
        <v/>
      </c>
      <c r="F1905" s="73"/>
      <c r="I1905" s="64"/>
      <c r="J1905" s="64"/>
    </row>
    <row r="1906" spans="1:10" ht="21" customHeight="1">
      <c r="A1906" s="72" t="s">
        <v>194</v>
      </c>
      <c r="B1906" s="73" t="s">
        <v>29</v>
      </c>
      <c r="C1906" s="74" t="str">
        <f>INDEX('TH CANAM'!$A$9:$BF$63,MATCH(PDNam!$F1936,'TH CANAM'!$A$9:$A$63,0),INDEX($J$13:$M$30,MATCH($B1906,$J$13:$J$30,0),K$12))</f>
        <v/>
      </c>
      <c r="D1906" s="74" t="str">
        <f>INDEX('TH CANAM'!$A$9:$BF$63,MATCH(PDNam!$F1936,'TH CANAM'!$A$9:$A$63,0),INDEX($J$13:$M$30,MATCH($B1906,$J$13:$J$30,0),L$12))</f>
        <v/>
      </c>
      <c r="E1906" s="74" t="str">
        <f>INDEX('TH CANAM'!$A$9:$BF$63,MATCH(PDNam!$F1936,'TH CANAM'!$A$9:$A$63,0),INDEX($J$13:$M$30,MATCH($B1906,$J$13:$J$30,0),M$12))</f>
        <v/>
      </c>
      <c r="F1906" s="73"/>
      <c r="I1906" s="64"/>
      <c r="J1906" s="64"/>
    </row>
    <row r="1907" spans="1:10" ht="21" customHeight="1">
      <c r="A1907" s="72" t="s">
        <v>195</v>
      </c>
      <c r="B1907" s="73" t="s">
        <v>120</v>
      </c>
      <c r="C1907" s="74" t="str">
        <f>INDEX('TH CANAM'!$A$9:$BF$63,MATCH(PDNam!$F1936,'TH CANAM'!$A$9:$A$63,0),INDEX($J$13:$M$30,MATCH($B1907,$J$13:$J$30,0),K$12))</f>
        <v/>
      </c>
      <c r="D1907" s="74" t="str">
        <f>INDEX('TH CANAM'!$A$9:$BF$63,MATCH(PDNam!$F1936,'TH CANAM'!$A$9:$A$63,0),INDEX($J$13:$M$30,MATCH($B1907,$J$13:$J$30,0),L$12))</f>
        <v/>
      </c>
      <c r="E1907" s="74" t="str">
        <f>INDEX('TH CANAM'!$A$9:$BF$63,MATCH(PDNam!$F1936,'TH CANAM'!$A$9:$A$63,0),INDEX($J$13:$M$30,MATCH($B1907,$J$13:$J$30,0),M$12))</f>
        <v/>
      </c>
      <c r="F1907" s="73"/>
      <c r="I1907" s="64"/>
      <c r="J1907" s="64"/>
    </row>
    <row r="1908" spans="1:10" ht="21" customHeight="1">
      <c r="A1908" s="72" t="s">
        <v>196</v>
      </c>
      <c r="B1908" s="73" t="s">
        <v>30</v>
      </c>
      <c r="C1908" s="74" t="str">
        <f>INDEX('TH CANAM'!$A$9:$BF$63,MATCH(PDNam!$F1936,'TH CANAM'!$A$9:$A$63,0),INDEX($J$13:$M$30,MATCH($B1908,$J$13:$J$30,0),K$12))</f>
        <v/>
      </c>
      <c r="D1908" s="74" t="str">
        <f>INDEX('TH CANAM'!$A$9:$BF$63,MATCH(PDNam!$F1936,'TH CANAM'!$A$9:$A$63,0),INDEX($J$13:$M$30,MATCH($B1908,$J$13:$J$30,0),L$12))</f>
        <v/>
      </c>
      <c r="E1908" s="74" t="str">
        <f>INDEX('TH CANAM'!$A$9:$BF$63,MATCH(PDNam!$F1936,'TH CANAM'!$A$9:$A$63,0),INDEX($J$13:$M$30,MATCH($B1908,$J$13:$J$30,0),M$12))</f>
        <v/>
      </c>
      <c r="F1908" s="73"/>
      <c r="I1908" s="64"/>
      <c r="J1908" s="64"/>
    </row>
    <row r="1909" spans="1:10" ht="21" customHeight="1">
      <c r="A1909" s="72" t="s">
        <v>197</v>
      </c>
      <c r="B1909" s="73" t="s">
        <v>31</v>
      </c>
      <c r="C1909" s="74" t="str">
        <f>INDEX('TH CANAM'!$A$9:$BF$63,MATCH(PDNam!$F1936,'TH CANAM'!$A$9:$A$63,0),INDEX($J$13:$M$30,MATCH($B1909,$J$13:$J$30,0),K$12))</f>
        <v/>
      </c>
      <c r="D1909" s="74" t="str">
        <f>INDEX('TH CANAM'!$A$9:$BF$63,MATCH(PDNam!$F1936,'TH CANAM'!$A$9:$A$63,0),INDEX($J$13:$M$30,MATCH($B1909,$J$13:$J$30,0),L$12))</f>
        <v/>
      </c>
      <c r="E1909" s="74" t="str">
        <f>INDEX('TH CANAM'!$A$9:$BF$63,MATCH(PDNam!$F1936,'TH CANAM'!$A$9:$A$63,0),INDEX($J$13:$M$30,MATCH($B1909,$J$13:$J$30,0),M$12))</f>
        <v/>
      </c>
      <c r="F1909" s="73"/>
      <c r="I1909" s="64"/>
      <c r="J1909" s="64"/>
    </row>
    <row r="1910" spans="1:10" ht="21" customHeight="1">
      <c r="A1910" s="72" t="s">
        <v>198</v>
      </c>
      <c r="B1910" s="73" t="s">
        <v>32</v>
      </c>
      <c r="C1910" s="74" t="str">
        <f>INDEX('TH CANAM'!$A$9:$BF$63,MATCH(PDNam!$F1936,'TH CANAM'!$A$9:$A$63,0),INDEX($J$13:$M$30,MATCH($B1910,$J$13:$J$30,0),K$12))</f>
        <v/>
      </c>
      <c r="D1910" s="74" t="str">
        <f>INDEX('TH CANAM'!$A$9:$BF$63,MATCH(PDNam!$F1936,'TH CANAM'!$A$9:$A$63,0),INDEX($J$13:$M$30,MATCH($B1910,$J$13:$J$30,0),L$12))</f>
        <v/>
      </c>
      <c r="E1910" s="74" t="str">
        <f>INDEX('TH CANAM'!$A$9:$BF$63,MATCH(PDNam!$F1936,'TH CANAM'!$A$9:$A$63,0),INDEX($J$13:$M$30,MATCH($B1910,$J$13:$J$30,0),M$12))</f>
        <v/>
      </c>
      <c r="F1910" s="73"/>
      <c r="I1910" s="64"/>
      <c r="J1910" s="64"/>
    </row>
    <row r="1911" spans="1:10" ht="21" customHeight="1">
      <c r="A1911" s="72" t="s">
        <v>199</v>
      </c>
      <c r="B1911" s="73" t="s">
        <v>33</v>
      </c>
      <c r="C1911" s="74" t="str">
        <f>INDEX('TH CANAM'!$A$9:$BF$63,MATCH(PDNam!$F1936,'TH CANAM'!$A$9:$A$63,0),INDEX($J$13:$M$30,MATCH($B1911,$J$13:$J$30,0),K$12))</f>
        <v/>
      </c>
      <c r="D1911" s="74" t="str">
        <f>INDEX('TH CANAM'!$A$9:$BF$63,MATCH(PDNam!$F1936,'TH CANAM'!$A$9:$A$63,0),INDEX($J$13:$M$30,MATCH($B1911,$J$13:$J$30,0),L$12))</f>
        <v/>
      </c>
      <c r="E1911" s="74" t="str">
        <f>INDEX('TH CANAM'!$A$9:$BF$63,MATCH(PDNam!$F1936,'TH CANAM'!$A$9:$A$63,0),INDEX($J$13:$M$30,MATCH($B1911,$J$13:$J$30,0),M$12))</f>
        <v/>
      </c>
      <c r="F1911" s="73"/>
      <c r="I1911" s="64"/>
      <c r="J1911" s="64"/>
    </row>
    <row r="1912" spans="1:10" ht="21" customHeight="1">
      <c r="A1912" s="72" t="s">
        <v>200</v>
      </c>
      <c r="B1912" s="73" t="s">
        <v>60</v>
      </c>
      <c r="C1912" s="74" t="str">
        <f>INDEX('TH CANAM'!$A$9:$BF$63,MATCH(PDNam!$F1936,'TH CANAM'!$A$9:$A$63,0),INDEX($J$13:$M$30,MATCH($B1912,$J$13:$J$30,0),K$12))</f>
        <v/>
      </c>
      <c r="D1912" s="74" t="str">
        <f>INDEX('TH CANAM'!$A$9:$BF$63,MATCH(PDNam!$F1936,'TH CANAM'!$A$9:$A$63,0),INDEX($J$13:$M$30,MATCH($B1912,$J$13:$J$30,0),L$12))</f>
        <v/>
      </c>
      <c r="E1912" s="74" t="str">
        <f>INDEX('TH CANAM'!$A$9:$BF$63,MATCH(PDNam!$F1936,'TH CANAM'!$A$9:$A$63,0),INDEX($J$13:$M$30,MATCH($B1912,$J$13:$J$30,0),M$12))</f>
        <v/>
      </c>
      <c r="F1912" s="73"/>
      <c r="I1912" s="64"/>
      <c r="J1912" s="64"/>
    </row>
    <row r="1913" spans="1:10" ht="21" customHeight="1">
      <c r="A1913" s="72" t="s">
        <v>201</v>
      </c>
      <c r="B1913" s="73" t="s">
        <v>34</v>
      </c>
      <c r="C1913" s="74" t="str">
        <f>INDEX('TH CANAM'!$A$9:$BF$63,MATCH(PDNam!$F1936,'TH CANAM'!$A$9:$A$63,0),INDEX($J$13:$M$30,MATCH($B1913,$J$13:$J$30,0),K$12))</f>
        <v/>
      </c>
      <c r="D1913" s="74" t="str">
        <f>INDEX('TH CANAM'!$A$9:$BF$63,MATCH(PDNam!$F1936,'TH CANAM'!$A$9:$A$63,0),INDEX($J$13:$M$30,MATCH($B1913,$J$13:$J$30,0),L$12))</f>
        <v/>
      </c>
      <c r="E1913" s="74" t="str">
        <f>INDEX('TH CANAM'!$A$9:$BF$63,MATCH(PDNam!$F1936,'TH CANAM'!$A$9:$A$63,0),INDEX($J$13:$M$30,MATCH($B1913,$J$13:$J$30,0),M$12))</f>
        <v/>
      </c>
      <c r="F1913" s="73"/>
      <c r="I1913" s="64"/>
      <c r="J1913" s="64"/>
    </row>
    <row r="1914" spans="1:10" ht="21" customHeight="1">
      <c r="A1914" s="72" t="s">
        <v>202</v>
      </c>
      <c r="B1914" s="73" t="s">
        <v>35</v>
      </c>
      <c r="C1914" s="74" t="str">
        <f>INDEX('TH CANAM'!$A$9:$BF$63,MATCH(PDNam!$F1936,'TH CANAM'!$A$9:$A$63,0),INDEX($J$13:$M$30,MATCH($B1914,$J$13:$J$30,0),K$12))</f>
        <v/>
      </c>
      <c r="D1914" s="74" t="str">
        <f>INDEX('TH CANAM'!$A$9:$BF$63,MATCH(PDNam!$F1936,'TH CANAM'!$A$9:$A$63,0),INDEX($J$13:$M$30,MATCH($B1914,$J$13:$J$30,0),L$12))</f>
        <v/>
      </c>
      <c r="E1914" s="74" t="str">
        <f>INDEX('TH CANAM'!$A$9:$BF$63,MATCH(PDNam!$F1936,'TH CANAM'!$A$9:$A$63,0),INDEX($J$13:$M$30,MATCH($B1914,$J$13:$J$30,0),M$12))</f>
        <v/>
      </c>
      <c r="F1914" s="73"/>
      <c r="I1914" s="64"/>
      <c r="J1914" s="64"/>
    </row>
    <row r="1915" spans="1:10" ht="21" customHeight="1">
      <c r="A1915" s="72" t="s">
        <v>203</v>
      </c>
      <c r="B1915" s="73" t="s">
        <v>121</v>
      </c>
      <c r="C1915" s="74" t="str">
        <f>INDEX('TH CANAM'!$A$9:$BF$63,MATCH(PDNam!$F1936,'TH CANAM'!$A$9:$A$63,0),INDEX($J$13:$M$30,MATCH($B1915,$J$13:$J$30,0),K$12))</f>
        <v/>
      </c>
      <c r="D1915" s="74" t="str">
        <f>INDEX('TH CANAM'!$A$9:$BF$63,MATCH(PDNam!$F1936,'TH CANAM'!$A$9:$A$63,0),INDEX($J$13:$M$30,MATCH($B1915,$J$13:$J$30,0),L$12))</f>
        <v/>
      </c>
      <c r="E1915" s="74" t="str">
        <f>INDEX('TH CANAM'!$A$9:$BF$63,MATCH(PDNam!$F1936,'TH CANAM'!$A$9:$A$63,0),INDEX($J$13:$M$30,MATCH($B1915,$J$13:$J$30,0),M$12))</f>
        <v/>
      </c>
      <c r="F1915" s="73"/>
      <c r="I1915" s="64"/>
      <c r="J1915" s="64"/>
    </row>
    <row r="1916" spans="1:10" ht="21" customHeight="1">
      <c r="A1916" s="72" t="s">
        <v>204</v>
      </c>
      <c r="B1916" s="73" t="s">
        <v>122</v>
      </c>
      <c r="C1916" s="74" t="str">
        <f>INDEX('TH CANAM'!$A$9:$BF$63,MATCH(PDNam!$F1936,'TH CANAM'!$A$9:$A$63,0),INDEX($J$13:$M$30,MATCH($B1916,$J$13:$J$30,0),K$12))</f>
        <v/>
      </c>
      <c r="D1916" s="74" t="str">
        <f>INDEX('TH CANAM'!$A$9:$BF$63,MATCH(PDNam!$F1936,'TH CANAM'!$A$9:$A$63,0),INDEX($J$13:$M$30,MATCH($B1916,$J$13:$J$30,0),L$12))</f>
        <v/>
      </c>
      <c r="E1916" s="74" t="str">
        <f>INDEX('TH CANAM'!$A$9:$BF$63,MATCH(PDNam!$F1936,'TH CANAM'!$A$9:$A$63,0),INDEX($J$13:$M$30,MATCH($B1916,$J$13:$J$30,0),M$12))</f>
        <v/>
      </c>
      <c r="F1916" s="73"/>
      <c r="I1916" s="64"/>
      <c r="J1916" s="64"/>
    </row>
    <row r="1917" spans="1:10" ht="21" customHeight="1">
      <c r="A1917" s="72" t="s">
        <v>208</v>
      </c>
      <c r="B1917" s="73" t="s">
        <v>205</v>
      </c>
      <c r="C1917" s="78" t="str">
        <f>INDEX('TH CANAM'!$A$9:$BF$63,MATCH(PDNam!$F1936,'TH CANAM'!$A$9:$A$63,0),46)</f>
        <v/>
      </c>
      <c r="D1917" s="78" t="str">
        <f>INDEX('TH CANAM'!$A$9:$BF$63,MATCH(PDNam!$F1936,'TH CANAM'!$A$9:$A$63,0),47)</f>
        <v/>
      </c>
      <c r="E1917" s="78" t="str">
        <f>INDEX('TH CANAM'!$A$9:$BF$63,MATCH(PDNam!$F1936,'TH CANAM'!$A$9:$A$63,0),48)</f>
        <v/>
      </c>
      <c r="F1917" s="73"/>
      <c r="I1917" s="64"/>
      <c r="J1917" s="64"/>
    </row>
    <row r="1918" spans="1:10" ht="21" customHeight="1">
      <c r="A1918" s="72" t="s">
        <v>209</v>
      </c>
      <c r="B1918" s="72" t="s">
        <v>206</v>
      </c>
      <c r="C1918" s="74" t="str">
        <f>IF(INDEX('TH CANAM'!$A$9:$BF$63,MATCH(PDNam!$F1936,'TH CANAM'!$A$9:$A$63,0),49)="Tb","Trung bình",INDEX('TH CANAM'!$A$9:$BF$63,MATCH(PDNam!$F1936,'TH CANAM'!$A$9:$A$63,0),49))</f>
        <v/>
      </c>
      <c r="D1918" s="74" t="str">
        <f>IF(INDEX('TH CANAM'!$A$9:$BF$63,MATCH(PDNam!$F1936,'TH CANAM'!$A$9:$A$63,0),50)="Tb","Trung bình",INDEX('TH CANAM'!$A$9:$BF$63,MATCH(PDNam!$F1936,'TH CANAM'!$A$9:$A$63,0),50))</f>
        <v/>
      </c>
      <c r="E1918" s="74" t="str">
        <f>IF(INDEX('TH CANAM'!$A$9:$BF$63,MATCH(PDNam!$F1936,'TH CANAM'!$A$9:$A$63,0),51)="Tb","Trung bình",INDEX('TH CANAM'!$A$9:$BF$63,MATCH(PDNam!$F1936,'TH CANAM'!$A$9:$A$63,0),51))</f>
        <v/>
      </c>
      <c r="F1918" s="73"/>
    </row>
    <row r="1919" spans="1:10" ht="21" customHeight="1">
      <c r="A1919" s="72" t="s">
        <v>210</v>
      </c>
      <c r="B1919" s="72" t="s">
        <v>207</v>
      </c>
      <c r="C1919" s="74" t="str">
        <f>INDEX('TH CANAM'!$A$9:$BF$63,MATCH(PDNam!$F1936,'TH CANAM'!$A$9:$A$63,0),52)</f>
        <v/>
      </c>
      <c r="D1919" s="74" t="str">
        <f>INDEX('TH CANAM'!$A$9:$BF$63,MATCH(PDNam!$F1936,'TH CANAM'!$A$9:$A$63,0),53)</f>
        <v/>
      </c>
      <c r="E1919" s="74" t="str">
        <f>INDEX('TH CANAM'!$A$9:$BF$63,MATCH(PDNam!$F1936,'TH CANAM'!$A$9:$A$63,0),54)</f>
        <v/>
      </c>
      <c r="F1919" s="73"/>
    </row>
    <row r="1920" spans="1:10" ht="21" customHeight="1">
      <c r="A1920" s="72" t="s">
        <v>211</v>
      </c>
      <c r="B1920" s="72" t="s">
        <v>25</v>
      </c>
      <c r="C1920" s="74" t="str">
        <f>IF(INDEX('TH CANAM'!$A$9:$BF$63,MATCH(PDNam!$F1936,'TH CANAM'!$A$9:$A$63,0),57)&lt;&gt;"",INDEX('TH CANAM'!$A$9:$BF$63,MATCH(PDNam!$F1936,'TH CANAM'!$A$9:$A$63,0),57),"/")</f>
        <v>/</v>
      </c>
      <c r="D1920" s="74" t="str">
        <f>IF(INDEX('TH CANAM'!$A$9:$BF$63,MATCH(PDNam!$F1936,'TH CANAM'!$A$9:$A$63,0),58)&lt;&gt;"",INDEX('TH CANAM'!$A$9:$BF$63,MATCH(PDNam!$F1936,'TH CANAM'!$A$9:$A$63,0),58),"/")</f>
        <v>/</v>
      </c>
      <c r="E1920" s="74" t="str">
        <f>IF(INDEX('TH CANAM'!$A$9:$BF$63,MATCH(PDNam!$F1936,'TH CANAM'!$A$9:$A$63,0),55)&lt;&gt;"",INDEX('TH CANAM'!$A$9:$BF$63,MATCH(PDNam!$F1936,'TH CANAM'!$A$9:$A$63,0),55),"/")</f>
        <v>/</v>
      </c>
      <c r="F1920" s="73"/>
    </row>
    <row r="1921" spans="1:10" s="60" customFormat="1" ht="9" customHeight="1">
      <c r="A1921" s="67"/>
      <c r="B1921" s="67"/>
      <c r="C1921" s="1132"/>
      <c r="D1921" s="1132"/>
      <c r="E1921" s="67"/>
      <c r="F1921" s="67"/>
    </row>
    <row r="1922" spans="1:10" s="60" customFormat="1" ht="18.75" customHeight="1">
      <c r="A1922" s="58" t="s">
        <v>219</v>
      </c>
      <c r="B1922" s="57"/>
      <c r="C1922" s="57"/>
      <c r="D1922" s="57"/>
      <c r="E1922" s="57"/>
      <c r="F1922" s="475"/>
    </row>
    <row r="1923" spans="1:10" s="60" customFormat="1" ht="18.75" customHeight="1">
      <c r="A1923" s="59" t="str">
        <f>IF(F1936&lt;&gt;"",IF(INDEX(BDHK2,MATCH(F1936,DiemHKII!$B$4:$B$58,0),137)&lt;&gt;""," - "&amp;INDEX(BDHK2,MATCH(F1936,DiemHKII!$B$4:$B$58,0),137),""),"")</f>
        <v/>
      </c>
      <c r="B1923" s="57"/>
      <c r="C1923" s="57"/>
      <c r="D1923" s="57"/>
      <c r="E1923" s="57"/>
      <c r="F1923" s="475"/>
    </row>
    <row r="1924" spans="1:10" s="60" customFormat="1" ht="18.75" customHeight="1">
      <c r="A1924" s="59" t="str">
        <f>IF(F1936&lt;&gt;"",IF(INDEX(BDHK2,MATCH(F1936,DiemHKII!$B$4:$B$58,0),138)&lt;&gt;""," - "&amp;INDEX(BDHK2,MATCH(F1936,DiemHKII!$B$4:$B$58,0),138),""),"")</f>
        <v/>
      </c>
      <c r="B1924" s="57"/>
      <c r="C1924" s="57"/>
      <c r="D1924" s="57"/>
      <c r="E1924" s="57"/>
      <c r="F1924" s="475"/>
    </row>
    <row r="1925" spans="1:10" s="60" customFormat="1" ht="18.75" customHeight="1">
      <c r="A1925" s="59" t="str">
        <f>IF(F1936&lt;&gt;"",IF(INDEX(BDHK2,MATCH(F1936,DiemHKII!$B$4:$B$58,0),139)&lt;&gt;""," - "&amp;INDEX(BDHK2,MATCH(F1936,DiemHKII!$B$4:$B$58,0),139),""),"")</f>
        <v/>
      </c>
      <c r="B1925" s="57"/>
      <c r="C1925" s="57"/>
      <c r="D1925" s="57"/>
      <c r="E1925" s="57"/>
      <c r="F1925" s="475"/>
    </row>
    <row r="1926" spans="1:10" s="60" customFormat="1" ht="18.75" customHeight="1">
      <c r="A1926" s="59" t="str">
        <f>IF(F1936&lt;&gt;"",IF(INDEX(BDHK2,MATCH(F1936,DiemHKII!$B$4:$B$58,0),140)&lt;&gt;""," - "&amp;INDEX(BDHK2,MATCH(F1936,DiemHKII!$B$4:$B$58,0),140),""),"")</f>
        <v/>
      </c>
      <c r="B1926" s="57"/>
      <c r="C1926" s="57"/>
      <c r="D1926" s="57"/>
      <c r="E1926" s="57"/>
      <c r="F1926" s="67"/>
    </row>
    <row r="1927" spans="1:10" ht="6" customHeight="1">
      <c r="A1927" s="68"/>
      <c r="B1927" s="68"/>
      <c r="C1927" s="68"/>
      <c r="D1927" s="68"/>
      <c r="E1927" s="68"/>
      <c r="F1927" s="68"/>
    </row>
    <row r="1928" spans="1:10">
      <c r="A1928" s="68"/>
      <c r="B1928" s="68"/>
      <c r="C192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928" s="1060"/>
      <c r="E1928" s="1060"/>
      <c r="F1928" s="1060"/>
    </row>
    <row r="1929" spans="1:10" ht="20.25" customHeight="1">
      <c r="A1929" s="1012" t="str">
        <f>IF($D$39="Hiệu trưởng","Giáo viên Quản nhiệm","")</f>
        <v>Giáo viên Quản nhiệm</v>
      </c>
      <c r="B1929" s="1012"/>
      <c r="C1929" s="61"/>
      <c r="D1929" s="1012" t="str">
        <f>IF($H$7="","",$H$7)</f>
        <v>Hiệu trưởng</v>
      </c>
      <c r="E1929" s="1012"/>
      <c r="F1929" s="61"/>
    </row>
    <row r="1930" spans="1:10">
      <c r="A1930" s="68"/>
      <c r="B1930" s="68"/>
      <c r="C1930" s="68"/>
      <c r="D1930" s="68"/>
      <c r="E1930" s="68"/>
      <c r="F1930" s="68"/>
    </row>
    <row r="1931" spans="1:10">
      <c r="A1931" s="68"/>
      <c r="B1931" s="68"/>
      <c r="C1931" s="68"/>
      <c r="D1931" s="68"/>
      <c r="E1931" s="68"/>
      <c r="F1931" s="68"/>
    </row>
    <row r="1932" spans="1:10" ht="16.8">
      <c r="A1932" s="68"/>
      <c r="B1932" s="68"/>
      <c r="C1932" s="64"/>
      <c r="D1932" s="64"/>
      <c r="E1932" s="64"/>
      <c r="F1932" s="64"/>
      <c r="G1932" s="65"/>
      <c r="H1932" s="65"/>
      <c r="I1932" s="65"/>
      <c r="J1932" s="65"/>
    </row>
    <row r="1934" spans="1:10">
      <c r="A1934" s="1012" t="str">
        <f>IF($A$39="","",PROPER('Huong dan'!$C$4))</f>
        <v/>
      </c>
      <c r="B1934" s="1012"/>
      <c r="D1934" s="1130" t="str">
        <f>IFERROR(IF($D$39="Giáo Viên Quản nhiệm",PROPER('Huong dan'!$C$4),IF($D$39="Hiệu trưởng",PROPER('Huong dan'!$E$5),"")),"")</f>
        <v/>
      </c>
      <c r="E1934" s="1130"/>
    </row>
    <row r="1935" spans="1:10" ht="7.5" customHeight="1"/>
    <row r="1936" spans="1:10" ht="11.25" customHeight="1">
      <c r="A1936" s="75"/>
      <c r="B1936" s="75"/>
      <c r="C1936" s="75"/>
      <c r="D1936" s="75"/>
      <c r="E1936" s="75"/>
      <c r="F1936" s="76" t="str">
        <f>IF(F1891="","",IF(F1891&lt;MAX(DiemHKII!$B$4:$B$58),F1891+1,""))</f>
        <v/>
      </c>
    </row>
    <row r="1937" spans="1:10" s="60" customFormat="1" ht="22.5" customHeight="1">
      <c r="A1937" s="1128" t="str">
        <f>IF('Huong dan'!$E$3&lt;&gt;"","SỞ GIÁO DỤC VÀ ĐÀO TẠO "&amp;UPPER('Huong dan'!$E$3),"")</f>
        <v>SỞ GIÁO DỤC VÀ ĐÀO TẠO TP. HỒ CHÍ MINH</v>
      </c>
      <c r="B1937" s="1128"/>
      <c r="C1937" s="1128"/>
      <c r="D1937" s="1129" t="s">
        <v>19</v>
      </c>
      <c r="E1937" s="1129"/>
      <c r="F1937" s="1129"/>
    </row>
    <row r="1938" spans="1:10" ht="17.25" customHeight="1">
      <c r="A1938" s="992" t="str">
        <f>IF('Huong dan'!$E$4&lt;&gt;"","TRƯỜNG "&amp;UPPER('Huong dan'!$E$4),"")</f>
        <v>TRƯỜNG THCS VÀ THPT NGUYỄN KHUYẾN</v>
      </c>
      <c r="B1938" s="992"/>
      <c r="C1938" s="992"/>
      <c r="D1938" s="1130" t="s">
        <v>179</v>
      </c>
      <c r="E1938" s="1130"/>
      <c r="F1938" s="1130"/>
    </row>
    <row r="1939" spans="1:10" ht="12" customHeight="1">
      <c r="A1939" s="69"/>
      <c r="B1939" s="69"/>
      <c r="C1939" s="30"/>
      <c r="D1939" s="30"/>
      <c r="E1939" s="30"/>
      <c r="F1939" s="30"/>
    </row>
    <row r="1940" spans="1:10" ht="18" customHeight="1">
      <c r="A1940" s="69"/>
      <c r="B1940" s="69"/>
      <c r="C1940" s="30"/>
      <c r="D1940" s="30"/>
      <c r="E1940" s="30"/>
      <c r="F1940" s="30"/>
    </row>
    <row r="1941" spans="1:10" ht="29.25" customHeight="1">
      <c r="A1941" s="1013" t="str">
        <f>"PHIẾU ĐIỂM NĂM HỌC "&amp;'Huong dan'!$C$5</f>
        <v>PHIẾU ĐIỂM NĂM HỌC 2021 - 2022</v>
      </c>
      <c r="B1941" s="1013"/>
      <c r="C1941" s="1013"/>
      <c r="D1941" s="1013"/>
      <c r="E1941" s="1013"/>
      <c r="F1941" s="1013"/>
    </row>
    <row r="1942" spans="1:10" ht="12.75" customHeight="1">
      <c r="A1942" s="70"/>
      <c r="B1942" s="66"/>
      <c r="C1942" s="66"/>
      <c r="D1942" s="66"/>
      <c r="E1942" s="66"/>
      <c r="F1942" s="66"/>
    </row>
    <row r="1943" spans="1:10" ht="20.25" customHeight="1">
      <c r="A1943" s="1131" t="s">
        <v>212</v>
      </c>
      <c r="B1943" s="1131"/>
      <c r="C1943" s="77" t="str">
        <f>IF(F1981="","",INDEX(DiemHKII!$E$4:$E$58,MATCH(F1981,DiemHKII!$B$4:$B$58,0),1)&amp;" "&amp;INDEX(DiemHKII!$F$4:$F$58,MATCH(F1981,DiemHKII!$B$4:$B$58,0),1))</f>
        <v/>
      </c>
      <c r="D1943" s="77"/>
      <c r="E1943" s="77"/>
      <c r="F1943" s="71" t="str">
        <f>IF('Huong dan'!$C$3="","","Lớp: "&amp;'Huong dan'!$C$3)</f>
        <v>Lớp: 12A1</v>
      </c>
    </row>
    <row r="1944" spans="1:10" ht="24" customHeight="1">
      <c r="A1944" s="1131" t="s">
        <v>213</v>
      </c>
      <c r="B1944" s="1131"/>
      <c r="C1944" s="77" t="str">
        <f>IF(F1981="","",INDEX(DiemHKII!$G$4:$G$58,MATCH(F1981,DiemHKII!$B$4:$B$58,0),1))</f>
        <v/>
      </c>
      <c r="D1944" s="77"/>
      <c r="E1944" s="1133" t="str">
        <f>IF(F1981="","","Nơi sinh: "&amp;INDEX(DiemHKII!$H$4:$H$58,MATCH(F1981,DiemHKII!$B$4:$B$58,0),1))</f>
        <v/>
      </c>
      <c r="F1944" s="1133"/>
    </row>
    <row r="1945" spans="1:10" ht="15" customHeight="1">
      <c r="A1945" s="62"/>
      <c r="B1945" s="62"/>
      <c r="C1945" s="62"/>
      <c r="D1945" s="62"/>
      <c r="E1945" s="62"/>
      <c r="F1945" s="63"/>
    </row>
    <row r="1946" spans="1:10" ht="21" customHeight="1">
      <c r="A1946" s="1134" t="s">
        <v>0</v>
      </c>
      <c r="B1946" s="1134" t="s">
        <v>72</v>
      </c>
      <c r="C1946" s="1134" t="s">
        <v>216</v>
      </c>
      <c r="D1946" s="1134"/>
      <c r="E1946" s="1134"/>
      <c r="F1946" s="1134" t="s">
        <v>148</v>
      </c>
    </row>
    <row r="1947" spans="1:10" ht="21" customHeight="1">
      <c r="A1947" s="1134"/>
      <c r="B1947" s="1134"/>
      <c r="C1947" s="476" t="s">
        <v>188</v>
      </c>
      <c r="D1947" s="476" t="s">
        <v>189</v>
      </c>
      <c r="E1947" s="476" t="s">
        <v>190</v>
      </c>
      <c r="F1947" s="1134"/>
    </row>
    <row r="1948" spans="1:10" ht="21" customHeight="1">
      <c r="A1948" s="72" t="s">
        <v>191</v>
      </c>
      <c r="B1948" s="73" t="s">
        <v>26</v>
      </c>
      <c r="C1948" s="74" t="str">
        <f>INDEX('TH CANAM'!$A$9:$BF$63,MATCH(PDNam!$F1981,'TH CANAM'!$A$9:$A$63,0),INDEX($J$13:$M$30,MATCH($B1948,$J$13:$J$30,0),K$12))</f>
        <v/>
      </c>
      <c r="D1948" s="74" t="str">
        <f>INDEX('TH CANAM'!$A$9:$BF$63,MATCH(PDNam!$F1981,'TH CANAM'!$A$9:$A$63,0),INDEX($J$13:$M$30,MATCH($B1948,$J$13:$J$30,0),L$12))</f>
        <v/>
      </c>
      <c r="E1948" s="74" t="str">
        <f>INDEX('TH CANAM'!$A$9:$BF$63,MATCH(PDNam!$F1981,'TH CANAM'!$A$9:$A$63,0),INDEX($J$13:$M$30,MATCH($B1948,$J$13:$J$30,0),M$12))</f>
        <v/>
      </c>
      <c r="F1948" s="73"/>
      <c r="I1948" s="64"/>
      <c r="J1948" s="64"/>
    </row>
    <row r="1949" spans="1:10" ht="21" customHeight="1">
      <c r="A1949" s="72" t="s">
        <v>192</v>
      </c>
      <c r="B1949" s="73" t="s">
        <v>27</v>
      </c>
      <c r="C1949" s="74" t="str">
        <f>INDEX('TH CANAM'!$A$9:$BF$63,MATCH(PDNam!$F1981,'TH CANAM'!$A$9:$A$63,0),INDEX($J$13:$M$30,MATCH($B1949,$J$13:$J$30,0),K$12))</f>
        <v/>
      </c>
      <c r="D1949" s="74" t="str">
        <f>INDEX('TH CANAM'!$A$9:$BF$63,MATCH(PDNam!$F1981,'TH CANAM'!$A$9:$A$63,0),INDEX($J$13:$M$30,MATCH($B1949,$J$13:$J$30,0),L$12))</f>
        <v/>
      </c>
      <c r="E1949" s="74" t="str">
        <f>INDEX('TH CANAM'!$A$9:$BF$63,MATCH(PDNam!$F1981,'TH CANAM'!$A$9:$A$63,0),INDEX($J$13:$M$30,MATCH($B1949,$J$13:$J$30,0),M$12))</f>
        <v/>
      </c>
      <c r="F1949" s="73"/>
      <c r="I1949" s="64"/>
      <c r="J1949" s="64"/>
    </row>
    <row r="1950" spans="1:10" ht="21" customHeight="1">
      <c r="A1950" s="72" t="s">
        <v>193</v>
      </c>
      <c r="B1950" s="73" t="s">
        <v>28</v>
      </c>
      <c r="C1950" s="74" t="str">
        <f>INDEX('TH CANAM'!$A$9:$BF$63,MATCH(PDNam!$F1981,'TH CANAM'!$A$9:$A$63,0),INDEX($J$13:$M$30,MATCH($B1950,$J$13:$J$30,0),K$12))</f>
        <v/>
      </c>
      <c r="D1950" s="74" t="str">
        <f>INDEX('TH CANAM'!$A$9:$BF$63,MATCH(PDNam!$F1981,'TH CANAM'!$A$9:$A$63,0),INDEX($J$13:$M$30,MATCH($B1950,$J$13:$J$30,0),L$12))</f>
        <v/>
      </c>
      <c r="E1950" s="74" t="str">
        <f>INDEX('TH CANAM'!$A$9:$BF$63,MATCH(PDNam!$F1981,'TH CANAM'!$A$9:$A$63,0),INDEX($J$13:$M$30,MATCH($B1950,$J$13:$J$30,0),M$12))</f>
        <v/>
      </c>
      <c r="F1950" s="73"/>
      <c r="I1950" s="64"/>
      <c r="J1950" s="64"/>
    </row>
    <row r="1951" spans="1:10" ht="21" customHeight="1">
      <c r="A1951" s="72" t="s">
        <v>194</v>
      </c>
      <c r="B1951" s="73" t="s">
        <v>29</v>
      </c>
      <c r="C1951" s="74" t="str">
        <f>INDEX('TH CANAM'!$A$9:$BF$63,MATCH(PDNam!$F1981,'TH CANAM'!$A$9:$A$63,0),INDEX($J$13:$M$30,MATCH($B1951,$J$13:$J$30,0),K$12))</f>
        <v/>
      </c>
      <c r="D1951" s="74" t="str">
        <f>INDEX('TH CANAM'!$A$9:$BF$63,MATCH(PDNam!$F1981,'TH CANAM'!$A$9:$A$63,0),INDEX($J$13:$M$30,MATCH($B1951,$J$13:$J$30,0),L$12))</f>
        <v/>
      </c>
      <c r="E1951" s="74" t="str">
        <f>INDEX('TH CANAM'!$A$9:$BF$63,MATCH(PDNam!$F1981,'TH CANAM'!$A$9:$A$63,0),INDEX($J$13:$M$30,MATCH($B1951,$J$13:$J$30,0),M$12))</f>
        <v/>
      </c>
      <c r="F1951" s="73"/>
      <c r="I1951" s="64"/>
      <c r="J1951" s="64"/>
    </row>
    <row r="1952" spans="1:10" ht="21" customHeight="1">
      <c r="A1952" s="72" t="s">
        <v>195</v>
      </c>
      <c r="B1952" s="73" t="s">
        <v>120</v>
      </c>
      <c r="C1952" s="74" t="str">
        <f>INDEX('TH CANAM'!$A$9:$BF$63,MATCH(PDNam!$F1981,'TH CANAM'!$A$9:$A$63,0),INDEX($J$13:$M$30,MATCH($B1952,$J$13:$J$30,0),K$12))</f>
        <v/>
      </c>
      <c r="D1952" s="74" t="str">
        <f>INDEX('TH CANAM'!$A$9:$BF$63,MATCH(PDNam!$F1981,'TH CANAM'!$A$9:$A$63,0),INDEX($J$13:$M$30,MATCH($B1952,$J$13:$J$30,0),L$12))</f>
        <v/>
      </c>
      <c r="E1952" s="74" t="str">
        <f>INDEX('TH CANAM'!$A$9:$BF$63,MATCH(PDNam!$F1981,'TH CANAM'!$A$9:$A$63,0),INDEX($J$13:$M$30,MATCH($B1952,$J$13:$J$30,0),M$12))</f>
        <v/>
      </c>
      <c r="F1952" s="73"/>
      <c r="I1952" s="64"/>
      <c r="J1952" s="64"/>
    </row>
    <row r="1953" spans="1:10" ht="21" customHeight="1">
      <c r="A1953" s="72" t="s">
        <v>196</v>
      </c>
      <c r="B1953" s="73" t="s">
        <v>30</v>
      </c>
      <c r="C1953" s="74" t="str">
        <f>INDEX('TH CANAM'!$A$9:$BF$63,MATCH(PDNam!$F1981,'TH CANAM'!$A$9:$A$63,0),INDEX($J$13:$M$30,MATCH($B1953,$J$13:$J$30,0),K$12))</f>
        <v/>
      </c>
      <c r="D1953" s="74" t="str">
        <f>INDEX('TH CANAM'!$A$9:$BF$63,MATCH(PDNam!$F1981,'TH CANAM'!$A$9:$A$63,0),INDEX($J$13:$M$30,MATCH($B1953,$J$13:$J$30,0),L$12))</f>
        <v/>
      </c>
      <c r="E1953" s="74" t="str">
        <f>INDEX('TH CANAM'!$A$9:$BF$63,MATCH(PDNam!$F1981,'TH CANAM'!$A$9:$A$63,0),INDEX($J$13:$M$30,MATCH($B1953,$J$13:$J$30,0),M$12))</f>
        <v/>
      </c>
      <c r="F1953" s="73"/>
      <c r="I1953" s="64"/>
      <c r="J1953" s="64"/>
    </row>
    <row r="1954" spans="1:10" ht="21" customHeight="1">
      <c r="A1954" s="72" t="s">
        <v>197</v>
      </c>
      <c r="B1954" s="73" t="s">
        <v>31</v>
      </c>
      <c r="C1954" s="74" t="str">
        <f>INDEX('TH CANAM'!$A$9:$BF$63,MATCH(PDNam!$F1981,'TH CANAM'!$A$9:$A$63,0),INDEX($J$13:$M$30,MATCH($B1954,$J$13:$J$30,0),K$12))</f>
        <v/>
      </c>
      <c r="D1954" s="74" t="str">
        <f>INDEX('TH CANAM'!$A$9:$BF$63,MATCH(PDNam!$F1981,'TH CANAM'!$A$9:$A$63,0),INDEX($J$13:$M$30,MATCH($B1954,$J$13:$J$30,0),L$12))</f>
        <v/>
      </c>
      <c r="E1954" s="74" t="str">
        <f>INDEX('TH CANAM'!$A$9:$BF$63,MATCH(PDNam!$F1981,'TH CANAM'!$A$9:$A$63,0),INDEX($J$13:$M$30,MATCH($B1954,$J$13:$J$30,0),M$12))</f>
        <v/>
      </c>
      <c r="F1954" s="73"/>
      <c r="I1954" s="64"/>
      <c r="J1954" s="64"/>
    </row>
    <row r="1955" spans="1:10" ht="21" customHeight="1">
      <c r="A1955" s="72" t="s">
        <v>198</v>
      </c>
      <c r="B1955" s="73" t="s">
        <v>32</v>
      </c>
      <c r="C1955" s="74" t="str">
        <f>INDEX('TH CANAM'!$A$9:$BF$63,MATCH(PDNam!$F1981,'TH CANAM'!$A$9:$A$63,0),INDEX($J$13:$M$30,MATCH($B1955,$J$13:$J$30,0),K$12))</f>
        <v/>
      </c>
      <c r="D1955" s="74" t="str">
        <f>INDEX('TH CANAM'!$A$9:$BF$63,MATCH(PDNam!$F1981,'TH CANAM'!$A$9:$A$63,0),INDEX($J$13:$M$30,MATCH($B1955,$J$13:$J$30,0),L$12))</f>
        <v/>
      </c>
      <c r="E1955" s="74" t="str">
        <f>INDEX('TH CANAM'!$A$9:$BF$63,MATCH(PDNam!$F1981,'TH CANAM'!$A$9:$A$63,0),INDEX($J$13:$M$30,MATCH($B1955,$J$13:$J$30,0),M$12))</f>
        <v/>
      </c>
      <c r="F1955" s="73"/>
      <c r="I1955" s="64"/>
      <c r="J1955" s="64"/>
    </row>
    <row r="1956" spans="1:10" ht="21" customHeight="1">
      <c r="A1956" s="72" t="s">
        <v>199</v>
      </c>
      <c r="B1956" s="73" t="s">
        <v>33</v>
      </c>
      <c r="C1956" s="74" t="str">
        <f>INDEX('TH CANAM'!$A$9:$BF$63,MATCH(PDNam!$F1981,'TH CANAM'!$A$9:$A$63,0),INDEX($J$13:$M$30,MATCH($B1956,$J$13:$J$30,0),K$12))</f>
        <v/>
      </c>
      <c r="D1956" s="74" t="str">
        <f>INDEX('TH CANAM'!$A$9:$BF$63,MATCH(PDNam!$F1981,'TH CANAM'!$A$9:$A$63,0),INDEX($J$13:$M$30,MATCH($B1956,$J$13:$J$30,0),L$12))</f>
        <v/>
      </c>
      <c r="E1956" s="74" t="str">
        <f>INDEX('TH CANAM'!$A$9:$BF$63,MATCH(PDNam!$F1981,'TH CANAM'!$A$9:$A$63,0),INDEX($J$13:$M$30,MATCH($B1956,$J$13:$J$30,0),M$12))</f>
        <v/>
      </c>
      <c r="F1956" s="73"/>
      <c r="I1956" s="64"/>
      <c r="J1956" s="64"/>
    </row>
    <row r="1957" spans="1:10" ht="21" customHeight="1">
      <c r="A1957" s="72" t="s">
        <v>200</v>
      </c>
      <c r="B1957" s="73" t="s">
        <v>60</v>
      </c>
      <c r="C1957" s="74" t="str">
        <f>INDEX('TH CANAM'!$A$9:$BF$63,MATCH(PDNam!$F1981,'TH CANAM'!$A$9:$A$63,0),INDEX($J$13:$M$30,MATCH($B1957,$J$13:$J$30,0),K$12))</f>
        <v/>
      </c>
      <c r="D1957" s="74" t="str">
        <f>INDEX('TH CANAM'!$A$9:$BF$63,MATCH(PDNam!$F1981,'TH CANAM'!$A$9:$A$63,0),INDEX($J$13:$M$30,MATCH($B1957,$J$13:$J$30,0),L$12))</f>
        <v/>
      </c>
      <c r="E1957" s="74" t="str">
        <f>INDEX('TH CANAM'!$A$9:$BF$63,MATCH(PDNam!$F1981,'TH CANAM'!$A$9:$A$63,0),INDEX($J$13:$M$30,MATCH($B1957,$J$13:$J$30,0),M$12))</f>
        <v/>
      </c>
      <c r="F1957" s="73"/>
      <c r="I1957" s="64"/>
      <c r="J1957" s="64"/>
    </row>
    <row r="1958" spans="1:10" ht="21" customHeight="1">
      <c r="A1958" s="72" t="s">
        <v>201</v>
      </c>
      <c r="B1958" s="73" t="s">
        <v>34</v>
      </c>
      <c r="C1958" s="74" t="str">
        <f>INDEX('TH CANAM'!$A$9:$BF$63,MATCH(PDNam!$F1981,'TH CANAM'!$A$9:$A$63,0),INDEX($J$13:$M$30,MATCH($B1958,$J$13:$J$30,0),K$12))</f>
        <v/>
      </c>
      <c r="D1958" s="74" t="str">
        <f>INDEX('TH CANAM'!$A$9:$BF$63,MATCH(PDNam!$F1981,'TH CANAM'!$A$9:$A$63,0),INDEX($J$13:$M$30,MATCH($B1958,$J$13:$J$30,0),L$12))</f>
        <v/>
      </c>
      <c r="E1958" s="74" t="str">
        <f>INDEX('TH CANAM'!$A$9:$BF$63,MATCH(PDNam!$F1981,'TH CANAM'!$A$9:$A$63,0),INDEX($J$13:$M$30,MATCH($B1958,$J$13:$J$30,0),M$12))</f>
        <v/>
      </c>
      <c r="F1958" s="73"/>
      <c r="I1958" s="64"/>
      <c r="J1958" s="64"/>
    </row>
    <row r="1959" spans="1:10" ht="21" customHeight="1">
      <c r="A1959" s="72" t="s">
        <v>202</v>
      </c>
      <c r="B1959" s="73" t="s">
        <v>35</v>
      </c>
      <c r="C1959" s="74" t="str">
        <f>INDEX('TH CANAM'!$A$9:$BF$63,MATCH(PDNam!$F1981,'TH CANAM'!$A$9:$A$63,0),INDEX($J$13:$M$30,MATCH($B1959,$J$13:$J$30,0),K$12))</f>
        <v/>
      </c>
      <c r="D1959" s="74" t="str">
        <f>INDEX('TH CANAM'!$A$9:$BF$63,MATCH(PDNam!$F1981,'TH CANAM'!$A$9:$A$63,0),INDEX($J$13:$M$30,MATCH($B1959,$J$13:$J$30,0),L$12))</f>
        <v/>
      </c>
      <c r="E1959" s="74" t="str">
        <f>INDEX('TH CANAM'!$A$9:$BF$63,MATCH(PDNam!$F1981,'TH CANAM'!$A$9:$A$63,0),INDEX($J$13:$M$30,MATCH($B1959,$J$13:$J$30,0),M$12))</f>
        <v/>
      </c>
      <c r="F1959" s="73"/>
      <c r="I1959" s="64"/>
      <c r="J1959" s="64"/>
    </row>
    <row r="1960" spans="1:10" ht="21" customHeight="1">
      <c r="A1960" s="72" t="s">
        <v>203</v>
      </c>
      <c r="B1960" s="73" t="s">
        <v>121</v>
      </c>
      <c r="C1960" s="74" t="str">
        <f>INDEX('TH CANAM'!$A$9:$BF$63,MATCH(PDNam!$F1981,'TH CANAM'!$A$9:$A$63,0),INDEX($J$13:$M$30,MATCH($B1960,$J$13:$J$30,0),K$12))</f>
        <v/>
      </c>
      <c r="D1960" s="74" t="str">
        <f>INDEX('TH CANAM'!$A$9:$BF$63,MATCH(PDNam!$F1981,'TH CANAM'!$A$9:$A$63,0),INDEX($J$13:$M$30,MATCH($B1960,$J$13:$J$30,0),L$12))</f>
        <v/>
      </c>
      <c r="E1960" s="74" t="str">
        <f>INDEX('TH CANAM'!$A$9:$BF$63,MATCH(PDNam!$F1981,'TH CANAM'!$A$9:$A$63,0),INDEX($J$13:$M$30,MATCH($B1960,$J$13:$J$30,0),M$12))</f>
        <v/>
      </c>
      <c r="F1960" s="73"/>
      <c r="I1960" s="64"/>
      <c r="J1960" s="64"/>
    </row>
    <row r="1961" spans="1:10" ht="21" customHeight="1">
      <c r="A1961" s="72" t="s">
        <v>204</v>
      </c>
      <c r="B1961" s="73" t="s">
        <v>122</v>
      </c>
      <c r="C1961" s="74" t="str">
        <f>INDEX('TH CANAM'!$A$9:$BF$63,MATCH(PDNam!$F1981,'TH CANAM'!$A$9:$A$63,0),INDEX($J$13:$M$30,MATCH($B1961,$J$13:$J$30,0),K$12))</f>
        <v/>
      </c>
      <c r="D1961" s="74" t="str">
        <f>INDEX('TH CANAM'!$A$9:$BF$63,MATCH(PDNam!$F1981,'TH CANAM'!$A$9:$A$63,0),INDEX($J$13:$M$30,MATCH($B1961,$J$13:$J$30,0),L$12))</f>
        <v/>
      </c>
      <c r="E1961" s="74" t="str">
        <f>INDEX('TH CANAM'!$A$9:$BF$63,MATCH(PDNam!$F1981,'TH CANAM'!$A$9:$A$63,0),INDEX($J$13:$M$30,MATCH($B1961,$J$13:$J$30,0),M$12))</f>
        <v/>
      </c>
      <c r="F1961" s="73"/>
      <c r="I1961" s="64"/>
      <c r="J1961" s="64"/>
    </row>
    <row r="1962" spans="1:10" ht="21" customHeight="1">
      <c r="A1962" s="72" t="s">
        <v>208</v>
      </c>
      <c r="B1962" s="73" t="s">
        <v>205</v>
      </c>
      <c r="C1962" s="78" t="str">
        <f>INDEX('TH CANAM'!$A$9:$BF$63,MATCH(PDNam!$F1981,'TH CANAM'!$A$9:$A$63,0),46)</f>
        <v/>
      </c>
      <c r="D1962" s="78" t="str">
        <f>INDEX('TH CANAM'!$A$9:$BF$63,MATCH(PDNam!$F1981,'TH CANAM'!$A$9:$A$63,0),47)</f>
        <v/>
      </c>
      <c r="E1962" s="78" t="str">
        <f>INDEX('TH CANAM'!$A$9:$BF$63,MATCH(PDNam!$F1981,'TH CANAM'!$A$9:$A$63,0),48)</f>
        <v/>
      </c>
      <c r="F1962" s="73"/>
      <c r="I1962" s="64"/>
      <c r="J1962" s="64"/>
    </row>
    <row r="1963" spans="1:10" ht="21" customHeight="1">
      <c r="A1963" s="72" t="s">
        <v>209</v>
      </c>
      <c r="B1963" s="72" t="s">
        <v>206</v>
      </c>
      <c r="C1963" s="74" t="str">
        <f>IF(INDEX('TH CANAM'!$A$9:$BF$63,MATCH(PDNam!$F1981,'TH CANAM'!$A$9:$A$63,0),49)="Tb","Trung bình",INDEX('TH CANAM'!$A$9:$BF$63,MATCH(PDNam!$F1981,'TH CANAM'!$A$9:$A$63,0),49))</f>
        <v/>
      </c>
      <c r="D1963" s="74" t="str">
        <f>IF(INDEX('TH CANAM'!$A$9:$BF$63,MATCH(PDNam!$F1981,'TH CANAM'!$A$9:$A$63,0),50)="Tb","Trung bình",INDEX('TH CANAM'!$A$9:$BF$63,MATCH(PDNam!$F1981,'TH CANAM'!$A$9:$A$63,0),50))</f>
        <v/>
      </c>
      <c r="E1963" s="74" t="str">
        <f>IF(INDEX('TH CANAM'!$A$9:$BF$63,MATCH(PDNam!$F1981,'TH CANAM'!$A$9:$A$63,0),51)="Tb","Trung bình",INDEX('TH CANAM'!$A$9:$BF$63,MATCH(PDNam!$F1981,'TH CANAM'!$A$9:$A$63,0),51))</f>
        <v/>
      </c>
      <c r="F1963" s="73"/>
    </row>
    <row r="1964" spans="1:10" ht="21" customHeight="1">
      <c r="A1964" s="72" t="s">
        <v>210</v>
      </c>
      <c r="B1964" s="72" t="s">
        <v>207</v>
      </c>
      <c r="C1964" s="74" t="str">
        <f>INDEX('TH CANAM'!$A$9:$BF$63,MATCH(PDNam!$F1981,'TH CANAM'!$A$9:$A$63,0),52)</f>
        <v/>
      </c>
      <c r="D1964" s="74" t="str">
        <f>INDEX('TH CANAM'!$A$9:$BF$63,MATCH(PDNam!$F1981,'TH CANAM'!$A$9:$A$63,0),53)</f>
        <v/>
      </c>
      <c r="E1964" s="74" t="str">
        <f>INDEX('TH CANAM'!$A$9:$BF$63,MATCH(PDNam!$F1981,'TH CANAM'!$A$9:$A$63,0),54)</f>
        <v/>
      </c>
      <c r="F1964" s="73"/>
    </row>
    <row r="1965" spans="1:10" ht="21" customHeight="1">
      <c r="A1965" s="72" t="s">
        <v>211</v>
      </c>
      <c r="B1965" s="72" t="s">
        <v>25</v>
      </c>
      <c r="C1965" s="74" t="str">
        <f>IF(INDEX('TH CANAM'!$A$9:$BF$63,MATCH(PDNam!$F1981,'TH CANAM'!$A$9:$A$63,0),57)&lt;&gt;"",INDEX('TH CANAM'!$A$9:$BF$63,MATCH(PDNam!$F1981,'TH CANAM'!$A$9:$A$63,0),57),"/")</f>
        <v>/</v>
      </c>
      <c r="D1965" s="74" t="str">
        <f>IF(INDEX('TH CANAM'!$A$9:$BF$63,MATCH(PDNam!$F1981,'TH CANAM'!$A$9:$A$63,0),58)&lt;&gt;"",INDEX('TH CANAM'!$A$9:$BF$63,MATCH(PDNam!$F1981,'TH CANAM'!$A$9:$A$63,0),58),"/")</f>
        <v>/</v>
      </c>
      <c r="E1965" s="74" t="str">
        <f>IF(INDEX('TH CANAM'!$A$9:$BF$63,MATCH(PDNam!$F1981,'TH CANAM'!$A$9:$A$63,0),55)&lt;&gt;"",INDEX('TH CANAM'!$A$9:$BF$63,MATCH(PDNam!$F1981,'TH CANAM'!$A$9:$A$63,0),55),"/")</f>
        <v>/</v>
      </c>
      <c r="F1965" s="73"/>
    </row>
    <row r="1966" spans="1:10" s="60" customFormat="1" ht="9" customHeight="1">
      <c r="A1966" s="67"/>
      <c r="B1966" s="67"/>
      <c r="C1966" s="1132"/>
      <c r="D1966" s="1132"/>
      <c r="E1966" s="67"/>
      <c r="F1966" s="67"/>
    </row>
    <row r="1967" spans="1:10" s="60" customFormat="1" ht="18.75" customHeight="1">
      <c r="A1967" s="58" t="s">
        <v>219</v>
      </c>
      <c r="B1967" s="57"/>
      <c r="C1967" s="57"/>
      <c r="D1967" s="57"/>
      <c r="E1967" s="57"/>
      <c r="F1967" s="475"/>
    </row>
    <row r="1968" spans="1:10" s="60" customFormat="1" ht="18.75" customHeight="1">
      <c r="A1968" s="59" t="str">
        <f>IF(F1981&lt;&gt;"",IF(INDEX(BDHK2,MATCH(F1981,DiemHKII!$B$4:$B$58,0),137)&lt;&gt;""," - "&amp;INDEX(BDHK2,MATCH(F1981,DiemHKII!$B$4:$B$58,0),137),""),"")</f>
        <v/>
      </c>
      <c r="B1968" s="57"/>
      <c r="C1968" s="57"/>
      <c r="D1968" s="57"/>
      <c r="E1968" s="57"/>
      <c r="F1968" s="475"/>
    </row>
    <row r="1969" spans="1:10" s="60" customFormat="1" ht="18.75" customHeight="1">
      <c r="A1969" s="59" t="str">
        <f>IF(F1981&lt;&gt;"",IF(INDEX(BDHK2,MATCH(F1981,DiemHKII!$B$4:$B$58,0),138)&lt;&gt;""," - "&amp;INDEX(BDHK2,MATCH(F1981,DiemHKII!$B$4:$B$58,0),138),""),"")</f>
        <v/>
      </c>
      <c r="B1969" s="57"/>
      <c r="C1969" s="57"/>
      <c r="D1969" s="57"/>
      <c r="E1969" s="57"/>
      <c r="F1969" s="475"/>
    </row>
    <row r="1970" spans="1:10" s="60" customFormat="1" ht="18.75" customHeight="1">
      <c r="A1970" s="59" t="str">
        <f>IF(F1981&lt;&gt;"",IF(INDEX(BDHK2,MATCH(F1981,DiemHKII!$B$4:$B$58,0),139)&lt;&gt;""," - "&amp;INDEX(BDHK2,MATCH(F1981,DiemHKII!$B$4:$B$58,0),139),""),"")</f>
        <v/>
      </c>
      <c r="B1970" s="57"/>
      <c r="C1970" s="57"/>
      <c r="D1970" s="57"/>
      <c r="E1970" s="57"/>
      <c r="F1970" s="475"/>
    </row>
    <row r="1971" spans="1:10" s="60" customFormat="1" ht="18.75" customHeight="1">
      <c r="A1971" s="59" t="str">
        <f>IF(F1981&lt;&gt;"",IF(INDEX(BDHK2,MATCH(F1981,DiemHKII!$B$4:$B$58,0),140)&lt;&gt;""," - "&amp;INDEX(BDHK2,MATCH(F1981,DiemHKII!$B$4:$B$58,0),140),""),"")</f>
        <v/>
      </c>
      <c r="B1971" s="57"/>
      <c r="C1971" s="57"/>
      <c r="D1971" s="57"/>
      <c r="E1971" s="57"/>
      <c r="F1971" s="67"/>
    </row>
    <row r="1972" spans="1:10" ht="6" customHeight="1">
      <c r="A1972" s="68"/>
      <c r="B1972" s="68"/>
      <c r="C1972" s="68"/>
      <c r="D1972" s="68"/>
      <c r="E1972" s="68"/>
      <c r="F1972" s="68"/>
    </row>
    <row r="1973" spans="1:10">
      <c r="A1973" s="68"/>
      <c r="B1973" s="68"/>
      <c r="C197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1973" s="1060"/>
      <c r="E1973" s="1060"/>
      <c r="F1973" s="1060"/>
    </row>
    <row r="1974" spans="1:10" ht="20.25" customHeight="1">
      <c r="A1974" s="1012" t="str">
        <f>IF($D$39="Hiệu trưởng","Giáo viên Quản nhiệm","")</f>
        <v>Giáo viên Quản nhiệm</v>
      </c>
      <c r="B1974" s="1012"/>
      <c r="C1974" s="61"/>
      <c r="D1974" s="1012" t="str">
        <f>IF($H$7="","",$H$7)</f>
        <v>Hiệu trưởng</v>
      </c>
      <c r="E1974" s="1012"/>
      <c r="F1974" s="61"/>
    </row>
    <row r="1975" spans="1:10">
      <c r="A1975" s="68"/>
      <c r="B1975" s="68"/>
      <c r="C1975" s="68"/>
      <c r="D1975" s="68"/>
      <c r="E1975" s="68"/>
      <c r="F1975" s="68"/>
    </row>
    <row r="1976" spans="1:10">
      <c r="A1976" s="68"/>
      <c r="B1976" s="68"/>
      <c r="C1976" s="68"/>
      <c r="D1976" s="68"/>
      <c r="E1976" s="68"/>
      <c r="F1976" s="68"/>
    </row>
    <row r="1977" spans="1:10" ht="16.8">
      <c r="A1977" s="68"/>
      <c r="B1977" s="68"/>
      <c r="C1977" s="64"/>
      <c r="D1977" s="64"/>
      <c r="E1977" s="64"/>
      <c r="F1977" s="64"/>
      <c r="G1977" s="65"/>
      <c r="H1977" s="65"/>
      <c r="I1977" s="65"/>
      <c r="J1977" s="65"/>
    </row>
    <row r="1979" spans="1:10">
      <c r="A1979" s="1012" t="str">
        <f>IF($A$39="","",PROPER('Huong dan'!$C$4))</f>
        <v/>
      </c>
      <c r="B1979" s="1012"/>
      <c r="D1979" s="1130" t="str">
        <f>IFERROR(IF($D$39="Giáo Viên Quản nhiệm",PROPER('Huong dan'!$C$4),IF($D$39="Hiệu trưởng",PROPER('Huong dan'!$E$5),"")),"")</f>
        <v/>
      </c>
      <c r="E1979" s="1130"/>
    </row>
    <row r="1980" spans="1:10" ht="7.5" customHeight="1"/>
    <row r="1981" spans="1:10" ht="11.25" customHeight="1">
      <c r="A1981" s="75"/>
      <c r="B1981" s="75"/>
      <c r="C1981" s="75"/>
      <c r="D1981" s="75"/>
      <c r="E1981" s="75"/>
      <c r="F1981" s="76" t="str">
        <f>IF(F1936="","",IF(F1936&lt;MAX(DiemHKII!$B$4:$B$58),F1936+1,""))</f>
        <v/>
      </c>
    </row>
    <row r="1982" spans="1:10" s="60" customFormat="1" ht="22.5" customHeight="1">
      <c r="A1982" s="1128" t="str">
        <f>IF('Huong dan'!$E$3&lt;&gt;"","SỞ GIÁO DỤC VÀ ĐÀO TẠO "&amp;UPPER('Huong dan'!$E$3),"")</f>
        <v>SỞ GIÁO DỤC VÀ ĐÀO TẠO TP. HỒ CHÍ MINH</v>
      </c>
      <c r="B1982" s="1128"/>
      <c r="C1982" s="1128"/>
      <c r="D1982" s="1129" t="s">
        <v>19</v>
      </c>
      <c r="E1982" s="1129"/>
      <c r="F1982" s="1129"/>
    </row>
    <row r="1983" spans="1:10" ht="17.25" customHeight="1">
      <c r="A1983" s="992" t="str">
        <f>IF('Huong dan'!$E$4&lt;&gt;"","TRƯỜNG "&amp;UPPER('Huong dan'!$E$4),"")</f>
        <v>TRƯỜNG THCS VÀ THPT NGUYỄN KHUYẾN</v>
      </c>
      <c r="B1983" s="992"/>
      <c r="C1983" s="992"/>
      <c r="D1983" s="1130" t="s">
        <v>179</v>
      </c>
      <c r="E1983" s="1130"/>
      <c r="F1983" s="1130"/>
    </row>
    <row r="1984" spans="1:10" ht="12" customHeight="1">
      <c r="A1984" s="69"/>
      <c r="B1984" s="69"/>
      <c r="C1984" s="30"/>
      <c r="D1984" s="30"/>
      <c r="E1984" s="30"/>
      <c r="F1984" s="30"/>
    </row>
    <row r="1985" spans="1:10" ht="18" customHeight="1">
      <c r="A1985" s="69"/>
      <c r="B1985" s="69"/>
      <c r="C1985" s="30"/>
      <c r="D1985" s="30"/>
      <c r="E1985" s="30"/>
      <c r="F1985" s="30"/>
    </row>
    <row r="1986" spans="1:10" ht="29.25" customHeight="1">
      <c r="A1986" s="1013" t="str">
        <f>"PHIẾU ĐIỂM NĂM HỌC "&amp;'Huong dan'!$C$5</f>
        <v>PHIẾU ĐIỂM NĂM HỌC 2021 - 2022</v>
      </c>
      <c r="B1986" s="1013"/>
      <c r="C1986" s="1013"/>
      <c r="D1986" s="1013"/>
      <c r="E1986" s="1013"/>
      <c r="F1986" s="1013"/>
    </row>
    <row r="1987" spans="1:10" ht="12.75" customHeight="1">
      <c r="A1987" s="70"/>
      <c r="B1987" s="66"/>
      <c r="C1987" s="66"/>
      <c r="D1987" s="66"/>
      <c r="E1987" s="66"/>
      <c r="F1987" s="66"/>
    </row>
    <row r="1988" spans="1:10" ht="20.25" customHeight="1">
      <c r="A1988" s="1131" t="s">
        <v>212</v>
      </c>
      <c r="B1988" s="1131"/>
      <c r="C1988" s="77" t="str">
        <f>IF(F2026="","",INDEX(DiemHKII!$E$4:$E$58,MATCH(F2026,DiemHKII!$B$4:$B$58,0),1)&amp;" "&amp;INDEX(DiemHKII!$F$4:$F$58,MATCH(F2026,DiemHKII!$B$4:$B$58,0),1))</f>
        <v/>
      </c>
      <c r="D1988" s="77"/>
      <c r="E1988" s="77"/>
      <c r="F1988" s="71" t="str">
        <f>IF('Huong dan'!$C$3="","","Lớp: "&amp;'Huong dan'!$C$3)</f>
        <v>Lớp: 12A1</v>
      </c>
    </row>
    <row r="1989" spans="1:10" ht="24" customHeight="1">
      <c r="A1989" s="1131" t="s">
        <v>213</v>
      </c>
      <c r="B1989" s="1131"/>
      <c r="C1989" s="77" t="str">
        <f>IF(F2026="","",INDEX(DiemHKII!$G$4:$G$58,MATCH(F2026,DiemHKII!$B$4:$B$58,0),1))</f>
        <v/>
      </c>
      <c r="D1989" s="77"/>
      <c r="E1989" s="1133" t="str">
        <f>IF(F2026="","","Nơi sinh: "&amp;INDEX(DiemHKII!$H$4:$H$58,MATCH(F2026,DiemHKII!$B$4:$B$58,0),1))</f>
        <v/>
      </c>
      <c r="F1989" s="1133"/>
    </row>
    <row r="1990" spans="1:10" ht="15" customHeight="1">
      <c r="A1990" s="62"/>
      <c r="B1990" s="62"/>
      <c r="C1990" s="62"/>
      <c r="D1990" s="62"/>
      <c r="E1990" s="62"/>
      <c r="F1990" s="63"/>
    </row>
    <row r="1991" spans="1:10" ht="21" customHeight="1">
      <c r="A1991" s="1134" t="s">
        <v>0</v>
      </c>
      <c r="B1991" s="1134" t="s">
        <v>72</v>
      </c>
      <c r="C1991" s="1134" t="s">
        <v>216</v>
      </c>
      <c r="D1991" s="1134"/>
      <c r="E1991" s="1134"/>
      <c r="F1991" s="1134" t="s">
        <v>148</v>
      </c>
    </row>
    <row r="1992" spans="1:10" ht="21" customHeight="1">
      <c r="A1992" s="1134"/>
      <c r="B1992" s="1134"/>
      <c r="C1992" s="476" t="s">
        <v>188</v>
      </c>
      <c r="D1992" s="476" t="s">
        <v>189</v>
      </c>
      <c r="E1992" s="476" t="s">
        <v>190</v>
      </c>
      <c r="F1992" s="1134"/>
    </row>
    <row r="1993" spans="1:10" ht="21" customHeight="1">
      <c r="A1993" s="72" t="s">
        <v>191</v>
      </c>
      <c r="B1993" s="73" t="s">
        <v>26</v>
      </c>
      <c r="C1993" s="74" t="str">
        <f>INDEX('TH CANAM'!$A$9:$BF$63,MATCH(PDNam!$F2026,'TH CANAM'!$A$9:$A$63,0),INDEX($J$13:$M$30,MATCH($B1993,$J$13:$J$30,0),K$12))</f>
        <v/>
      </c>
      <c r="D1993" s="74" t="str">
        <f>INDEX('TH CANAM'!$A$9:$BF$63,MATCH(PDNam!$F2026,'TH CANAM'!$A$9:$A$63,0),INDEX($J$13:$M$30,MATCH($B1993,$J$13:$J$30,0),L$12))</f>
        <v/>
      </c>
      <c r="E1993" s="74" t="str">
        <f>INDEX('TH CANAM'!$A$9:$BF$63,MATCH(PDNam!$F2026,'TH CANAM'!$A$9:$A$63,0),INDEX($J$13:$M$30,MATCH($B1993,$J$13:$J$30,0),M$12))</f>
        <v/>
      </c>
      <c r="F1993" s="73"/>
      <c r="I1993" s="64"/>
      <c r="J1993" s="64"/>
    </row>
    <row r="1994" spans="1:10" ht="21" customHeight="1">
      <c r="A1994" s="72" t="s">
        <v>192</v>
      </c>
      <c r="B1994" s="73" t="s">
        <v>27</v>
      </c>
      <c r="C1994" s="74" t="str">
        <f>INDEX('TH CANAM'!$A$9:$BF$63,MATCH(PDNam!$F2026,'TH CANAM'!$A$9:$A$63,0),INDEX($J$13:$M$30,MATCH($B1994,$J$13:$J$30,0),K$12))</f>
        <v/>
      </c>
      <c r="D1994" s="74" t="str">
        <f>INDEX('TH CANAM'!$A$9:$BF$63,MATCH(PDNam!$F2026,'TH CANAM'!$A$9:$A$63,0),INDEX($J$13:$M$30,MATCH($B1994,$J$13:$J$30,0),L$12))</f>
        <v/>
      </c>
      <c r="E1994" s="74" t="str">
        <f>INDEX('TH CANAM'!$A$9:$BF$63,MATCH(PDNam!$F2026,'TH CANAM'!$A$9:$A$63,0),INDEX($J$13:$M$30,MATCH($B1994,$J$13:$J$30,0),M$12))</f>
        <v/>
      </c>
      <c r="F1994" s="73"/>
      <c r="I1994" s="64"/>
      <c r="J1994" s="64"/>
    </row>
    <row r="1995" spans="1:10" ht="21" customHeight="1">
      <c r="A1995" s="72" t="s">
        <v>193</v>
      </c>
      <c r="B1995" s="73" t="s">
        <v>28</v>
      </c>
      <c r="C1995" s="74" t="str">
        <f>INDEX('TH CANAM'!$A$9:$BF$63,MATCH(PDNam!$F2026,'TH CANAM'!$A$9:$A$63,0),INDEX($J$13:$M$30,MATCH($B1995,$J$13:$J$30,0),K$12))</f>
        <v/>
      </c>
      <c r="D1995" s="74" t="str">
        <f>INDEX('TH CANAM'!$A$9:$BF$63,MATCH(PDNam!$F2026,'TH CANAM'!$A$9:$A$63,0),INDEX($J$13:$M$30,MATCH($B1995,$J$13:$J$30,0),L$12))</f>
        <v/>
      </c>
      <c r="E1995" s="74" t="str">
        <f>INDEX('TH CANAM'!$A$9:$BF$63,MATCH(PDNam!$F2026,'TH CANAM'!$A$9:$A$63,0),INDEX($J$13:$M$30,MATCH($B1995,$J$13:$J$30,0),M$12))</f>
        <v/>
      </c>
      <c r="F1995" s="73"/>
      <c r="I1995" s="64"/>
      <c r="J1995" s="64"/>
    </row>
    <row r="1996" spans="1:10" ht="21" customHeight="1">
      <c r="A1996" s="72" t="s">
        <v>194</v>
      </c>
      <c r="B1996" s="73" t="s">
        <v>29</v>
      </c>
      <c r="C1996" s="74" t="str">
        <f>INDEX('TH CANAM'!$A$9:$BF$63,MATCH(PDNam!$F2026,'TH CANAM'!$A$9:$A$63,0),INDEX($J$13:$M$30,MATCH($B1996,$J$13:$J$30,0),K$12))</f>
        <v/>
      </c>
      <c r="D1996" s="74" t="str">
        <f>INDEX('TH CANAM'!$A$9:$BF$63,MATCH(PDNam!$F2026,'TH CANAM'!$A$9:$A$63,0),INDEX($J$13:$M$30,MATCH($B1996,$J$13:$J$30,0),L$12))</f>
        <v/>
      </c>
      <c r="E1996" s="74" t="str">
        <f>INDEX('TH CANAM'!$A$9:$BF$63,MATCH(PDNam!$F2026,'TH CANAM'!$A$9:$A$63,0),INDEX($J$13:$M$30,MATCH($B1996,$J$13:$J$30,0),M$12))</f>
        <v/>
      </c>
      <c r="F1996" s="73"/>
      <c r="I1996" s="64"/>
      <c r="J1996" s="64"/>
    </row>
    <row r="1997" spans="1:10" ht="21" customHeight="1">
      <c r="A1997" s="72" t="s">
        <v>195</v>
      </c>
      <c r="B1997" s="73" t="s">
        <v>120</v>
      </c>
      <c r="C1997" s="74" t="str">
        <f>INDEX('TH CANAM'!$A$9:$BF$63,MATCH(PDNam!$F2026,'TH CANAM'!$A$9:$A$63,0),INDEX($J$13:$M$30,MATCH($B1997,$J$13:$J$30,0),K$12))</f>
        <v/>
      </c>
      <c r="D1997" s="74" t="str">
        <f>INDEX('TH CANAM'!$A$9:$BF$63,MATCH(PDNam!$F2026,'TH CANAM'!$A$9:$A$63,0),INDEX($J$13:$M$30,MATCH($B1997,$J$13:$J$30,0),L$12))</f>
        <v/>
      </c>
      <c r="E1997" s="74" t="str">
        <f>INDEX('TH CANAM'!$A$9:$BF$63,MATCH(PDNam!$F2026,'TH CANAM'!$A$9:$A$63,0),INDEX($J$13:$M$30,MATCH($B1997,$J$13:$J$30,0),M$12))</f>
        <v/>
      </c>
      <c r="F1997" s="73"/>
      <c r="I1997" s="64"/>
      <c r="J1997" s="64"/>
    </row>
    <row r="1998" spans="1:10" ht="21" customHeight="1">
      <c r="A1998" s="72" t="s">
        <v>196</v>
      </c>
      <c r="B1998" s="73" t="s">
        <v>30</v>
      </c>
      <c r="C1998" s="74" t="str">
        <f>INDEX('TH CANAM'!$A$9:$BF$63,MATCH(PDNam!$F2026,'TH CANAM'!$A$9:$A$63,0),INDEX($J$13:$M$30,MATCH($B1998,$J$13:$J$30,0),K$12))</f>
        <v/>
      </c>
      <c r="D1998" s="74" t="str">
        <f>INDEX('TH CANAM'!$A$9:$BF$63,MATCH(PDNam!$F2026,'TH CANAM'!$A$9:$A$63,0),INDEX($J$13:$M$30,MATCH($B1998,$J$13:$J$30,0),L$12))</f>
        <v/>
      </c>
      <c r="E1998" s="74" t="str">
        <f>INDEX('TH CANAM'!$A$9:$BF$63,MATCH(PDNam!$F2026,'TH CANAM'!$A$9:$A$63,0),INDEX($J$13:$M$30,MATCH($B1998,$J$13:$J$30,0),M$12))</f>
        <v/>
      </c>
      <c r="F1998" s="73"/>
      <c r="I1998" s="64"/>
      <c r="J1998" s="64"/>
    </row>
    <row r="1999" spans="1:10" ht="21" customHeight="1">
      <c r="A1999" s="72" t="s">
        <v>197</v>
      </c>
      <c r="B1999" s="73" t="s">
        <v>31</v>
      </c>
      <c r="C1999" s="74" t="str">
        <f>INDEX('TH CANAM'!$A$9:$BF$63,MATCH(PDNam!$F2026,'TH CANAM'!$A$9:$A$63,0),INDEX($J$13:$M$30,MATCH($B1999,$J$13:$J$30,0),K$12))</f>
        <v/>
      </c>
      <c r="D1999" s="74" t="str">
        <f>INDEX('TH CANAM'!$A$9:$BF$63,MATCH(PDNam!$F2026,'TH CANAM'!$A$9:$A$63,0),INDEX($J$13:$M$30,MATCH($B1999,$J$13:$J$30,0),L$12))</f>
        <v/>
      </c>
      <c r="E1999" s="74" t="str">
        <f>INDEX('TH CANAM'!$A$9:$BF$63,MATCH(PDNam!$F2026,'TH CANAM'!$A$9:$A$63,0),INDEX($J$13:$M$30,MATCH($B1999,$J$13:$J$30,0),M$12))</f>
        <v/>
      </c>
      <c r="F1999" s="73"/>
      <c r="I1999" s="64"/>
      <c r="J1999" s="64"/>
    </row>
    <row r="2000" spans="1:10" ht="21" customHeight="1">
      <c r="A2000" s="72" t="s">
        <v>198</v>
      </c>
      <c r="B2000" s="73" t="s">
        <v>32</v>
      </c>
      <c r="C2000" s="74" t="str">
        <f>INDEX('TH CANAM'!$A$9:$BF$63,MATCH(PDNam!$F2026,'TH CANAM'!$A$9:$A$63,0),INDEX($J$13:$M$30,MATCH($B2000,$J$13:$J$30,0),K$12))</f>
        <v/>
      </c>
      <c r="D2000" s="74" t="str">
        <f>INDEX('TH CANAM'!$A$9:$BF$63,MATCH(PDNam!$F2026,'TH CANAM'!$A$9:$A$63,0),INDEX($J$13:$M$30,MATCH($B2000,$J$13:$J$30,0),L$12))</f>
        <v/>
      </c>
      <c r="E2000" s="74" t="str">
        <f>INDEX('TH CANAM'!$A$9:$BF$63,MATCH(PDNam!$F2026,'TH CANAM'!$A$9:$A$63,0),INDEX($J$13:$M$30,MATCH($B2000,$J$13:$J$30,0),M$12))</f>
        <v/>
      </c>
      <c r="F2000" s="73"/>
      <c r="I2000" s="64"/>
      <c r="J2000" s="64"/>
    </row>
    <row r="2001" spans="1:10" ht="21" customHeight="1">
      <c r="A2001" s="72" t="s">
        <v>199</v>
      </c>
      <c r="B2001" s="73" t="s">
        <v>33</v>
      </c>
      <c r="C2001" s="74" t="str">
        <f>INDEX('TH CANAM'!$A$9:$BF$63,MATCH(PDNam!$F2026,'TH CANAM'!$A$9:$A$63,0),INDEX($J$13:$M$30,MATCH($B2001,$J$13:$J$30,0),K$12))</f>
        <v/>
      </c>
      <c r="D2001" s="74" t="str">
        <f>INDEX('TH CANAM'!$A$9:$BF$63,MATCH(PDNam!$F2026,'TH CANAM'!$A$9:$A$63,0),INDEX($J$13:$M$30,MATCH($B2001,$J$13:$J$30,0),L$12))</f>
        <v/>
      </c>
      <c r="E2001" s="74" t="str">
        <f>INDEX('TH CANAM'!$A$9:$BF$63,MATCH(PDNam!$F2026,'TH CANAM'!$A$9:$A$63,0),INDEX($J$13:$M$30,MATCH($B2001,$J$13:$J$30,0),M$12))</f>
        <v/>
      </c>
      <c r="F2001" s="73"/>
      <c r="I2001" s="64"/>
      <c r="J2001" s="64"/>
    </row>
    <row r="2002" spans="1:10" ht="21" customHeight="1">
      <c r="A2002" s="72" t="s">
        <v>200</v>
      </c>
      <c r="B2002" s="73" t="s">
        <v>60</v>
      </c>
      <c r="C2002" s="74" t="str">
        <f>INDEX('TH CANAM'!$A$9:$BF$63,MATCH(PDNam!$F2026,'TH CANAM'!$A$9:$A$63,0),INDEX($J$13:$M$30,MATCH($B2002,$J$13:$J$30,0),K$12))</f>
        <v/>
      </c>
      <c r="D2002" s="74" t="str">
        <f>INDEX('TH CANAM'!$A$9:$BF$63,MATCH(PDNam!$F2026,'TH CANAM'!$A$9:$A$63,0),INDEX($J$13:$M$30,MATCH($B2002,$J$13:$J$30,0),L$12))</f>
        <v/>
      </c>
      <c r="E2002" s="74" t="str">
        <f>INDEX('TH CANAM'!$A$9:$BF$63,MATCH(PDNam!$F2026,'TH CANAM'!$A$9:$A$63,0),INDEX($J$13:$M$30,MATCH($B2002,$J$13:$J$30,0),M$12))</f>
        <v/>
      </c>
      <c r="F2002" s="73"/>
      <c r="I2002" s="64"/>
      <c r="J2002" s="64"/>
    </row>
    <row r="2003" spans="1:10" ht="21" customHeight="1">
      <c r="A2003" s="72" t="s">
        <v>201</v>
      </c>
      <c r="B2003" s="73" t="s">
        <v>34</v>
      </c>
      <c r="C2003" s="74" t="str">
        <f>INDEX('TH CANAM'!$A$9:$BF$63,MATCH(PDNam!$F2026,'TH CANAM'!$A$9:$A$63,0),INDEX($J$13:$M$30,MATCH($B2003,$J$13:$J$30,0),K$12))</f>
        <v/>
      </c>
      <c r="D2003" s="74" t="str">
        <f>INDEX('TH CANAM'!$A$9:$BF$63,MATCH(PDNam!$F2026,'TH CANAM'!$A$9:$A$63,0),INDEX($J$13:$M$30,MATCH($B2003,$J$13:$J$30,0),L$12))</f>
        <v/>
      </c>
      <c r="E2003" s="74" t="str">
        <f>INDEX('TH CANAM'!$A$9:$BF$63,MATCH(PDNam!$F2026,'TH CANAM'!$A$9:$A$63,0),INDEX($J$13:$M$30,MATCH($B2003,$J$13:$J$30,0),M$12))</f>
        <v/>
      </c>
      <c r="F2003" s="73"/>
      <c r="I2003" s="64"/>
      <c r="J2003" s="64"/>
    </row>
    <row r="2004" spans="1:10" ht="21" customHeight="1">
      <c r="A2004" s="72" t="s">
        <v>202</v>
      </c>
      <c r="B2004" s="73" t="s">
        <v>35</v>
      </c>
      <c r="C2004" s="74" t="str">
        <f>INDEX('TH CANAM'!$A$9:$BF$63,MATCH(PDNam!$F2026,'TH CANAM'!$A$9:$A$63,0),INDEX($J$13:$M$30,MATCH($B2004,$J$13:$J$30,0),K$12))</f>
        <v/>
      </c>
      <c r="D2004" s="74" t="str">
        <f>INDEX('TH CANAM'!$A$9:$BF$63,MATCH(PDNam!$F2026,'TH CANAM'!$A$9:$A$63,0),INDEX($J$13:$M$30,MATCH($B2004,$J$13:$J$30,0),L$12))</f>
        <v/>
      </c>
      <c r="E2004" s="74" t="str">
        <f>INDEX('TH CANAM'!$A$9:$BF$63,MATCH(PDNam!$F2026,'TH CANAM'!$A$9:$A$63,0),INDEX($J$13:$M$30,MATCH($B2004,$J$13:$J$30,0),M$12))</f>
        <v/>
      </c>
      <c r="F2004" s="73"/>
      <c r="I2004" s="64"/>
      <c r="J2004" s="64"/>
    </row>
    <row r="2005" spans="1:10" ht="21" customHeight="1">
      <c r="A2005" s="72" t="s">
        <v>203</v>
      </c>
      <c r="B2005" s="73" t="s">
        <v>121</v>
      </c>
      <c r="C2005" s="74" t="str">
        <f>INDEX('TH CANAM'!$A$9:$BF$63,MATCH(PDNam!$F2026,'TH CANAM'!$A$9:$A$63,0),INDEX($J$13:$M$30,MATCH($B2005,$J$13:$J$30,0),K$12))</f>
        <v/>
      </c>
      <c r="D2005" s="74" t="str">
        <f>INDEX('TH CANAM'!$A$9:$BF$63,MATCH(PDNam!$F2026,'TH CANAM'!$A$9:$A$63,0),INDEX($J$13:$M$30,MATCH($B2005,$J$13:$J$30,0),L$12))</f>
        <v/>
      </c>
      <c r="E2005" s="74" t="str">
        <f>INDEX('TH CANAM'!$A$9:$BF$63,MATCH(PDNam!$F2026,'TH CANAM'!$A$9:$A$63,0),INDEX($J$13:$M$30,MATCH($B2005,$J$13:$J$30,0),M$12))</f>
        <v/>
      </c>
      <c r="F2005" s="73"/>
      <c r="I2005" s="64"/>
      <c r="J2005" s="64"/>
    </row>
    <row r="2006" spans="1:10" ht="21" customHeight="1">
      <c r="A2006" s="72" t="s">
        <v>204</v>
      </c>
      <c r="B2006" s="73" t="s">
        <v>122</v>
      </c>
      <c r="C2006" s="74" t="str">
        <f>INDEX('TH CANAM'!$A$9:$BF$63,MATCH(PDNam!$F2026,'TH CANAM'!$A$9:$A$63,0),INDEX($J$13:$M$30,MATCH($B2006,$J$13:$J$30,0),K$12))</f>
        <v/>
      </c>
      <c r="D2006" s="74" t="str">
        <f>INDEX('TH CANAM'!$A$9:$BF$63,MATCH(PDNam!$F2026,'TH CANAM'!$A$9:$A$63,0),INDEX($J$13:$M$30,MATCH($B2006,$J$13:$J$30,0),L$12))</f>
        <v/>
      </c>
      <c r="E2006" s="74" t="str">
        <f>INDEX('TH CANAM'!$A$9:$BF$63,MATCH(PDNam!$F2026,'TH CANAM'!$A$9:$A$63,0),INDEX($J$13:$M$30,MATCH($B2006,$J$13:$J$30,0),M$12))</f>
        <v/>
      </c>
      <c r="F2006" s="73"/>
      <c r="I2006" s="64"/>
      <c r="J2006" s="64"/>
    </row>
    <row r="2007" spans="1:10" ht="21" customHeight="1">
      <c r="A2007" s="72" t="s">
        <v>208</v>
      </c>
      <c r="B2007" s="73" t="s">
        <v>205</v>
      </c>
      <c r="C2007" s="78" t="str">
        <f>INDEX('TH CANAM'!$A$9:$BF$63,MATCH(PDNam!$F2026,'TH CANAM'!$A$9:$A$63,0),46)</f>
        <v/>
      </c>
      <c r="D2007" s="78" t="str">
        <f>INDEX('TH CANAM'!$A$9:$BF$63,MATCH(PDNam!$F2026,'TH CANAM'!$A$9:$A$63,0),47)</f>
        <v/>
      </c>
      <c r="E2007" s="78" t="str">
        <f>INDEX('TH CANAM'!$A$9:$BF$63,MATCH(PDNam!$F2026,'TH CANAM'!$A$9:$A$63,0),48)</f>
        <v/>
      </c>
      <c r="F2007" s="73"/>
      <c r="I2007" s="64"/>
      <c r="J2007" s="64"/>
    </row>
    <row r="2008" spans="1:10" ht="21" customHeight="1">
      <c r="A2008" s="72" t="s">
        <v>209</v>
      </c>
      <c r="B2008" s="72" t="s">
        <v>206</v>
      </c>
      <c r="C2008" s="74" t="str">
        <f>IF(INDEX('TH CANAM'!$A$9:$BF$63,MATCH(PDNam!$F2026,'TH CANAM'!$A$9:$A$63,0),49)="Tb","Trung bình",INDEX('TH CANAM'!$A$9:$BF$63,MATCH(PDNam!$F2026,'TH CANAM'!$A$9:$A$63,0),49))</f>
        <v/>
      </c>
      <c r="D2008" s="74" t="str">
        <f>IF(INDEX('TH CANAM'!$A$9:$BF$63,MATCH(PDNam!$F2026,'TH CANAM'!$A$9:$A$63,0),50)="Tb","Trung bình",INDEX('TH CANAM'!$A$9:$BF$63,MATCH(PDNam!$F2026,'TH CANAM'!$A$9:$A$63,0),50))</f>
        <v/>
      </c>
      <c r="E2008" s="74" t="str">
        <f>IF(INDEX('TH CANAM'!$A$9:$BF$63,MATCH(PDNam!$F2026,'TH CANAM'!$A$9:$A$63,0),51)="Tb","Trung bình",INDEX('TH CANAM'!$A$9:$BF$63,MATCH(PDNam!$F2026,'TH CANAM'!$A$9:$A$63,0),51))</f>
        <v/>
      </c>
      <c r="F2008" s="73"/>
    </row>
    <row r="2009" spans="1:10" ht="21" customHeight="1">
      <c r="A2009" s="72" t="s">
        <v>210</v>
      </c>
      <c r="B2009" s="72" t="s">
        <v>207</v>
      </c>
      <c r="C2009" s="74" t="str">
        <f>INDEX('TH CANAM'!$A$9:$BF$63,MATCH(PDNam!$F2026,'TH CANAM'!$A$9:$A$63,0),52)</f>
        <v/>
      </c>
      <c r="D2009" s="74" t="str">
        <f>INDEX('TH CANAM'!$A$9:$BF$63,MATCH(PDNam!$F2026,'TH CANAM'!$A$9:$A$63,0),53)</f>
        <v/>
      </c>
      <c r="E2009" s="74" t="str">
        <f>INDEX('TH CANAM'!$A$9:$BF$63,MATCH(PDNam!$F2026,'TH CANAM'!$A$9:$A$63,0),54)</f>
        <v/>
      </c>
      <c r="F2009" s="73"/>
    </row>
    <row r="2010" spans="1:10" ht="21" customHeight="1">
      <c r="A2010" s="72" t="s">
        <v>211</v>
      </c>
      <c r="B2010" s="72" t="s">
        <v>25</v>
      </c>
      <c r="C2010" s="74" t="str">
        <f>IF(INDEX('TH CANAM'!$A$9:$BF$63,MATCH(PDNam!$F2026,'TH CANAM'!$A$9:$A$63,0),57)&lt;&gt;"",INDEX('TH CANAM'!$A$9:$BF$63,MATCH(PDNam!$F2026,'TH CANAM'!$A$9:$A$63,0),57),"/")</f>
        <v>/</v>
      </c>
      <c r="D2010" s="74" t="str">
        <f>IF(INDEX('TH CANAM'!$A$9:$BF$63,MATCH(PDNam!$F2026,'TH CANAM'!$A$9:$A$63,0),58)&lt;&gt;"",INDEX('TH CANAM'!$A$9:$BF$63,MATCH(PDNam!$F2026,'TH CANAM'!$A$9:$A$63,0),58),"/")</f>
        <v>/</v>
      </c>
      <c r="E2010" s="74" t="str">
        <f>IF(INDEX('TH CANAM'!$A$9:$BF$63,MATCH(PDNam!$F2026,'TH CANAM'!$A$9:$A$63,0),55)&lt;&gt;"",INDEX('TH CANAM'!$A$9:$BF$63,MATCH(PDNam!$F2026,'TH CANAM'!$A$9:$A$63,0),55),"/")</f>
        <v>/</v>
      </c>
      <c r="F2010" s="73"/>
    </row>
    <row r="2011" spans="1:10" s="60" customFormat="1" ht="9" customHeight="1">
      <c r="A2011" s="67"/>
      <c r="B2011" s="67"/>
      <c r="C2011" s="1132"/>
      <c r="D2011" s="1132"/>
      <c r="E2011" s="67"/>
      <c r="F2011" s="67"/>
    </row>
    <row r="2012" spans="1:10" s="60" customFormat="1" ht="18.75" customHeight="1">
      <c r="A2012" s="58" t="s">
        <v>219</v>
      </c>
      <c r="B2012" s="57"/>
      <c r="C2012" s="57"/>
      <c r="D2012" s="57"/>
      <c r="E2012" s="57"/>
      <c r="F2012" s="475"/>
    </row>
    <row r="2013" spans="1:10" s="60" customFormat="1" ht="18.75" customHeight="1">
      <c r="A2013" s="59" t="str">
        <f>IF(F2026&lt;&gt;"",IF(INDEX(BDHK2,MATCH(F2026,DiemHKII!$B$4:$B$58,0),137)&lt;&gt;""," - "&amp;INDEX(BDHK2,MATCH(F2026,DiemHKII!$B$4:$B$58,0),137),""),"")</f>
        <v/>
      </c>
      <c r="B2013" s="57"/>
      <c r="C2013" s="57"/>
      <c r="D2013" s="57"/>
      <c r="E2013" s="57"/>
      <c r="F2013" s="475"/>
    </row>
    <row r="2014" spans="1:10" s="60" customFormat="1" ht="18.75" customHeight="1">
      <c r="A2014" s="59" t="str">
        <f>IF(F2026&lt;&gt;"",IF(INDEX(BDHK2,MATCH(F2026,DiemHKII!$B$4:$B$58,0),138)&lt;&gt;""," - "&amp;INDEX(BDHK2,MATCH(F2026,DiemHKII!$B$4:$B$58,0),138),""),"")</f>
        <v/>
      </c>
      <c r="B2014" s="57"/>
      <c r="C2014" s="57"/>
      <c r="D2014" s="57"/>
      <c r="E2014" s="57"/>
      <c r="F2014" s="475"/>
    </row>
    <row r="2015" spans="1:10" s="60" customFormat="1" ht="18.75" customHeight="1">
      <c r="A2015" s="59" t="str">
        <f>IF(F2026&lt;&gt;"",IF(INDEX(BDHK2,MATCH(F2026,DiemHKII!$B$4:$B$58,0),139)&lt;&gt;""," - "&amp;INDEX(BDHK2,MATCH(F2026,DiemHKII!$B$4:$B$58,0),139),""),"")</f>
        <v/>
      </c>
      <c r="B2015" s="57"/>
      <c r="C2015" s="57"/>
      <c r="D2015" s="57"/>
      <c r="E2015" s="57"/>
      <c r="F2015" s="475"/>
    </row>
    <row r="2016" spans="1:10" s="60" customFormat="1" ht="18.75" customHeight="1">
      <c r="A2016" s="59" t="str">
        <f>IF(F2026&lt;&gt;"",IF(INDEX(BDHK2,MATCH(F2026,DiemHKII!$B$4:$B$58,0),140)&lt;&gt;""," - "&amp;INDEX(BDHK2,MATCH(F2026,DiemHKII!$B$4:$B$58,0),140),""),"")</f>
        <v/>
      </c>
      <c r="B2016" s="57"/>
      <c r="C2016" s="57"/>
      <c r="D2016" s="57"/>
      <c r="E2016" s="57"/>
      <c r="F2016" s="67"/>
    </row>
    <row r="2017" spans="1:10" ht="6" customHeight="1">
      <c r="A2017" s="68"/>
      <c r="B2017" s="68"/>
      <c r="C2017" s="68"/>
      <c r="D2017" s="68"/>
      <c r="E2017" s="68"/>
      <c r="F2017" s="68"/>
    </row>
    <row r="2018" spans="1:10">
      <c r="A2018" s="68"/>
      <c r="B2018" s="68"/>
      <c r="C201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018" s="1060"/>
      <c r="E2018" s="1060"/>
      <c r="F2018" s="1060"/>
    </row>
    <row r="2019" spans="1:10" ht="20.25" customHeight="1">
      <c r="A2019" s="1012" t="str">
        <f>IF($D$39="Hiệu trưởng","Giáo viên Quản nhiệm","")</f>
        <v>Giáo viên Quản nhiệm</v>
      </c>
      <c r="B2019" s="1012"/>
      <c r="C2019" s="61"/>
      <c r="D2019" s="1012" t="str">
        <f>IF($H$7="","",$H$7)</f>
        <v>Hiệu trưởng</v>
      </c>
      <c r="E2019" s="1012"/>
      <c r="F2019" s="61"/>
    </row>
    <row r="2020" spans="1:10">
      <c r="A2020" s="68"/>
      <c r="B2020" s="68"/>
      <c r="C2020" s="68"/>
      <c r="D2020" s="68"/>
      <c r="E2020" s="68"/>
      <c r="F2020" s="68"/>
    </row>
    <row r="2021" spans="1:10">
      <c r="A2021" s="68"/>
      <c r="B2021" s="68"/>
      <c r="C2021" s="68"/>
      <c r="D2021" s="68"/>
      <c r="E2021" s="68"/>
      <c r="F2021" s="68"/>
    </row>
    <row r="2022" spans="1:10" ht="16.8">
      <c r="A2022" s="68"/>
      <c r="B2022" s="68"/>
      <c r="C2022" s="64"/>
      <c r="D2022" s="64"/>
      <c r="E2022" s="64"/>
      <c r="F2022" s="64"/>
      <c r="G2022" s="65"/>
      <c r="H2022" s="65"/>
      <c r="I2022" s="65"/>
      <c r="J2022" s="65"/>
    </row>
    <row r="2024" spans="1:10">
      <c r="A2024" s="1012" t="str">
        <f>IF($A$39="","",PROPER('Huong dan'!$C$4))</f>
        <v/>
      </c>
      <c r="B2024" s="1012"/>
      <c r="D2024" s="1130" t="str">
        <f>IFERROR(IF($D$39="Giáo Viên Quản nhiệm",PROPER('Huong dan'!$C$4),IF($D$39="Hiệu trưởng",PROPER('Huong dan'!$E$5),"")),"")</f>
        <v/>
      </c>
      <c r="E2024" s="1130"/>
    </row>
    <row r="2025" spans="1:10" ht="7.5" customHeight="1"/>
    <row r="2026" spans="1:10" ht="11.25" customHeight="1">
      <c r="A2026" s="75"/>
      <c r="B2026" s="75"/>
      <c r="C2026" s="75"/>
      <c r="D2026" s="75"/>
      <c r="E2026" s="75"/>
      <c r="F2026" s="76" t="str">
        <f>IF(F1981="","",IF(F1981&lt;MAX(DiemHKII!$B$4:$B$58),F1981+1,""))</f>
        <v/>
      </c>
    </row>
    <row r="2027" spans="1:10" s="60" customFormat="1" ht="22.5" customHeight="1">
      <c r="A2027" s="1128" t="str">
        <f>IF('Huong dan'!$E$3&lt;&gt;"","SỞ GIÁO DỤC VÀ ĐÀO TẠO "&amp;UPPER('Huong dan'!$E$3),"")</f>
        <v>SỞ GIÁO DỤC VÀ ĐÀO TẠO TP. HỒ CHÍ MINH</v>
      </c>
      <c r="B2027" s="1128"/>
      <c r="C2027" s="1128"/>
      <c r="D2027" s="1129" t="s">
        <v>19</v>
      </c>
      <c r="E2027" s="1129"/>
      <c r="F2027" s="1129"/>
    </row>
    <row r="2028" spans="1:10" ht="17.25" customHeight="1">
      <c r="A2028" s="992" t="str">
        <f>IF('Huong dan'!$E$4&lt;&gt;"","TRƯỜNG "&amp;UPPER('Huong dan'!$E$4),"")</f>
        <v>TRƯỜNG THCS VÀ THPT NGUYỄN KHUYẾN</v>
      </c>
      <c r="B2028" s="992"/>
      <c r="C2028" s="992"/>
      <c r="D2028" s="1130" t="s">
        <v>179</v>
      </c>
      <c r="E2028" s="1130"/>
      <c r="F2028" s="1130"/>
    </row>
    <row r="2029" spans="1:10" ht="12" customHeight="1">
      <c r="A2029" s="69"/>
      <c r="B2029" s="69"/>
      <c r="C2029" s="30"/>
      <c r="D2029" s="30"/>
      <c r="E2029" s="30"/>
      <c r="F2029" s="30"/>
    </row>
    <row r="2030" spans="1:10" ht="18" customHeight="1">
      <c r="A2030" s="69"/>
      <c r="B2030" s="69"/>
      <c r="C2030" s="30"/>
      <c r="D2030" s="30"/>
      <c r="E2030" s="30"/>
      <c r="F2030" s="30"/>
    </row>
    <row r="2031" spans="1:10" ht="29.25" customHeight="1">
      <c r="A2031" s="1013" t="str">
        <f>"PHIẾU ĐIỂM NĂM HỌC "&amp;'Huong dan'!$C$5</f>
        <v>PHIẾU ĐIỂM NĂM HỌC 2021 - 2022</v>
      </c>
      <c r="B2031" s="1013"/>
      <c r="C2031" s="1013"/>
      <c r="D2031" s="1013"/>
      <c r="E2031" s="1013"/>
      <c r="F2031" s="1013"/>
    </row>
    <row r="2032" spans="1:10" ht="12.75" customHeight="1">
      <c r="A2032" s="70"/>
      <c r="B2032" s="66"/>
      <c r="C2032" s="66"/>
      <c r="D2032" s="66"/>
      <c r="E2032" s="66"/>
      <c r="F2032" s="66"/>
    </row>
    <row r="2033" spans="1:10" ht="20.25" customHeight="1">
      <c r="A2033" s="1131" t="s">
        <v>212</v>
      </c>
      <c r="B2033" s="1131"/>
      <c r="C2033" s="77" t="str">
        <f>IF(F2071="","",INDEX(DiemHKII!$E$4:$E$58,MATCH(F2071,DiemHKII!$B$4:$B$58,0),1)&amp;" "&amp;INDEX(DiemHKII!$F$4:$F$58,MATCH(F2071,DiemHKII!$B$4:$B$58,0),1))</f>
        <v/>
      </c>
      <c r="D2033" s="77"/>
      <c r="E2033" s="77"/>
      <c r="F2033" s="71" t="str">
        <f>IF('Huong dan'!$C$3="","","Lớp: "&amp;'Huong dan'!$C$3)</f>
        <v>Lớp: 12A1</v>
      </c>
    </row>
    <row r="2034" spans="1:10" ht="24" customHeight="1">
      <c r="A2034" s="1131" t="s">
        <v>213</v>
      </c>
      <c r="B2034" s="1131"/>
      <c r="C2034" s="77" t="str">
        <f>IF(F2071="","",INDEX(DiemHKII!$G$4:$G$58,MATCH(F2071,DiemHKII!$B$4:$B$58,0),1))</f>
        <v/>
      </c>
      <c r="D2034" s="77"/>
      <c r="E2034" s="1133" t="str">
        <f>IF(F2071="","","Nơi sinh: "&amp;INDEX(DiemHKII!$H$4:$H$58,MATCH(F2071,DiemHKII!$B$4:$B$58,0),1))</f>
        <v/>
      </c>
      <c r="F2034" s="1133"/>
    </row>
    <row r="2035" spans="1:10" ht="15" customHeight="1">
      <c r="A2035" s="62"/>
      <c r="B2035" s="62"/>
      <c r="C2035" s="62"/>
      <c r="D2035" s="62"/>
      <c r="E2035" s="62"/>
      <c r="F2035" s="63"/>
    </row>
    <row r="2036" spans="1:10" ht="21" customHeight="1">
      <c r="A2036" s="1134" t="s">
        <v>0</v>
      </c>
      <c r="B2036" s="1134" t="s">
        <v>72</v>
      </c>
      <c r="C2036" s="1134" t="s">
        <v>216</v>
      </c>
      <c r="D2036" s="1134"/>
      <c r="E2036" s="1134"/>
      <c r="F2036" s="1134" t="s">
        <v>148</v>
      </c>
    </row>
    <row r="2037" spans="1:10" ht="21" customHeight="1">
      <c r="A2037" s="1134"/>
      <c r="B2037" s="1134"/>
      <c r="C2037" s="476" t="s">
        <v>188</v>
      </c>
      <c r="D2037" s="476" t="s">
        <v>189</v>
      </c>
      <c r="E2037" s="476" t="s">
        <v>190</v>
      </c>
      <c r="F2037" s="1134"/>
    </row>
    <row r="2038" spans="1:10" ht="21" customHeight="1">
      <c r="A2038" s="72" t="s">
        <v>191</v>
      </c>
      <c r="B2038" s="73" t="s">
        <v>26</v>
      </c>
      <c r="C2038" s="74" t="str">
        <f>INDEX('TH CANAM'!$A$9:$BF$63,MATCH(PDNam!$F2071,'TH CANAM'!$A$9:$A$63,0),INDEX($J$13:$M$30,MATCH($B2038,$J$13:$J$30,0),K$12))</f>
        <v/>
      </c>
      <c r="D2038" s="74" t="str">
        <f>INDEX('TH CANAM'!$A$9:$BF$63,MATCH(PDNam!$F2071,'TH CANAM'!$A$9:$A$63,0),INDEX($J$13:$M$30,MATCH($B2038,$J$13:$J$30,0),L$12))</f>
        <v/>
      </c>
      <c r="E2038" s="74" t="str">
        <f>INDEX('TH CANAM'!$A$9:$BF$63,MATCH(PDNam!$F2071,'TH CANAM'!$A$9:$A$63,0),INDEX($J$13:$M$30,MATCH($B2038,$J$13:$J$30,0),M$12))</f>
        <v/>
      </c>
      <c r="F2038" s="73"/>
      <c r="I2038" s="64"/>
      <c r="J2038" s="64"/>
    </row>
    <row r="2039" spans="1:10" ht="21" customHeight="1">
      <c r="A2039" s="72" t="s">
        <v>192</v>
      </c>
      <c r="B2039" s="73" t="s">
        <v>27</v>
      </c>
      <c r="C2039" s="74" t="str">
        <f>INDEX('TH CANAM'!$A$9:$BF$63,MATCH(PDNam!$F2071,'TH CANAM'!$A$9:$A$63,0),INDEX($J$13:$M$30,MATCH($B2039,$J$13:$J$30,0),K$12))</f>
        <v/>
      </c>
      <c r="D2039" s="74" t="str">
        <f>INDEX('TH CANAM'!$A$9:$BF$63,MATCH(PDNam!$F2071,'TH CANAM'!$A$9:$A$63,0),INDEX($J$13:$M$30,MATCH($B2039,$J$13:$J$30,0),L$12))</f>
        <v/>
      </c>
      <c r="E2039" s="74" t="str">
        <f>INDEX('TH CANAM'!$A$9:$BF$63,MATCH(PDNam!$F2071,'TH CANAM'!$A$9:$A$63,0),INDEX($J$13:$M$30,MATCH($B2039,$J$13:$J$30,0),M$12))</f>
        <v/>
      </c>
      <c r="F2039" s="73"/>
      <c r="I2039" s="64"/>
      <c r="J2039" s="64"/>
    </row>
    <row r="2040" spans="1:10" ht="21" customHeight="1">
      <c r="A2040" s="72" t="s">
        <v>193</v>
      </c>
      <c r="B2040" s="73" t="s">
        <v>28</v>
      </c>
      <c r="C2040" s="74" t="str">
        <f>INDEX('TH CANAM'!$A$9:$BF$63,MATCH(PDNam!$F2071,'TH CANAM'!$A$9:$A$63,0),INDEX($J$13:$M$30,MATCH($B2040,$J$13:$J$30,0),K$12))</f>
        <v/>
      </c>
      <c r="D2040" s="74" t="str">
        <f>INDEX('TH CANAM'!$A$9:$BF$63,MATCH(PDNam!$F2071,'TH CANAM'!$A$9:$A$63,0),INDEX($J$13:$M$30,MATCH($B2040,$J$13:$J$30,0),L$12))</f>
        <v/>
      </c>
      <c r="E2040" s="74" t="str">
        <f>INDEX('TH CANAM'!$A$9:$BF$63,MATCH(PDNam!$F2071,'TH CANAM'!$A$9:$A$63,0),INDEX($J$13:$M$30,MATCH($B2040,$J$13:$J$30,0),M$12))</f>
        <v/>
      </c>
      <c r="F2040" s="73"/>
      <c r="I2040" s="64"/>
      <c r="J2040" s="64"/>
    </row>
    <row r="2041" spans="1:10" ht="21" customHeight="1">
      <c r="A2041" s="72" t="s">
        <v>194</v>
      </c>
      <c r="B2041" s="73" t="s">
        <v>29</v>
      </c>
      <c r="C2041" s="74" t="str">
        <f>INDEX('TH CANAM'!$A$9:$BF$63,MATCH(PDNam!$F2071,'TH CANAM'!$A$9:$A$63,0),INDEX($J$13:$M$30,MATCH($B2041,$J$13:$J$30,0),K$12))</f>
        <v/>
      </c>
      <c r="D2041" s="74" t="str">
        <f>INDEX('TH CANAM'!$A$9:$BF$63,MATCH(PDNam!$F2071,'TH CANAM'!$A$9:$A$63,0),INDEX($J$13:$M$30,MATCH($B2041,$J$13:$J$30,0),L$12))</f>
        <v/>
      </c>
      <c r="E2041" s="74" t="str">
        <f>INDEX('TH CANAM'!$A$9:$BF$63,MATCH(PDNam!$F2071,'TH CANAM'!$A$9:$A$63,0),INDEX($J$13:$M$30,MATCH($B2041,$J$13:$J$30,0),M$12))</f>
        <v/>
      </c>
      <c r="F2041" s="73"/>
      <c r="I2041" s="64"/>
      <c r="J2041" s="64"/>
    </row>
    <row r="2042" spans="1:10" ht="21" customHeight="1">
      <c r="A2042" s="72" t="s">
        <v>195</v>
      </c>
      <c r="B2042" s="73" t="s">
        <v>120</v>
      </c>
      <c r="C2042" s="74" t="str">
        <f>INDEX('TH CANAM'!$A$9:$BF$63,MATCH(PDNam!$F2071,'TH CANAM'!$A$9:$A$63,0),INDEX($J$13:$M$30,MATCH($B2042,$J$13:$J$30,0),K$12))</f>
        <v/>
      </c>
      <c r="D2042" s="74" t="str">
        <f>INDEX('TH CANAM'!$A$9:$BF$63,MATCH(PDNam!$F2071,'TH CANAM'!$A$9:$A$63,0),INDEX($J$13:$M$30,MATCH($B2042,$J$13:$J$30,0),L$12))</f>
        <v/>
      </c>
      <c r="E2042" s="74" t="str">
        <f>INDEX('TH CANAM'!$A$9:$BF$63,MATCH(PDNam!$F2071,'TH CANAM'!$A$9:$A$63,0),INDEX($J$13:$M$30,MATCH($B2042,$J$13:$J$30,0),M$12))</f>
        <v/>
      </c>
      <c r="F2042" s="73"/>
      <c r="I2042" s="64"/>
      <c r="J2042" s="64"/>
    </row>
    <row r="2043" spans="1:10" ht="21" customHeight="1">
      <c r="A2043" s="72" t="s">
        <v>196</v>
      </c>
      <c r="B2043" s="73" t="s">
        <v>30</v>
      </c>
      <c r="C2043" s="74" t="str">
        <f>INDEX('TH CANAM'!$A$9:$BF$63,MATCH(PDNam!$F2071,'TH CANAM'!$A$9:$A$63,0),INDEX($J$13:$M$30,MATCH($B2043,$J$13:$J$30,0),K$12))</f>
        <v/>
      </c>
      <c r="D2043" s="74" t="str">
        <f>INDEX('TH CANAM'!$A$9:$BF$63,MATCH(PDNam!$F2071,'TH CANAM'!$A$9:$A$63,0),INDEX($J$13:$M$30,MATCH($B2043,$J$13:$J$30,0),L$12))</f>
        <v/>
      </c>
      <c r="E2043" s="74" t="str">
        <f>INDEX('TH CANAM'!$A$9:$BF$63,MATCH(PDNam!$F2071,'TH CANAM'!$A$9:$A$63,0),INDEX($J$13:$M$30,MATCH($B2043,$J$13:$J$30,0),M$12))</f>
        <v/>
      </c>
      <c r="F2043" s="73"/>
      <c r="I2043" s="64"/>
      <c r="J2043" s="64"/>
    </row>
    <row r="2044" spans="1:10" ht="21" customHeight="1">
      <c r="A2044" s="72" t="s">
        <v>197</v>
      </c>
      <c r="B2044" s="73" t="s">
        <v>31</v>
      </c>
      <c r="C2044" s="74" t="str">
        <f>INDEX('TH CANAM'!$A$9:$BF$63,MATCH(PDNam!$F2071,'TH CANAM'!$A$9:$A$63,0),INDEX($J$13:$M$30,MATCH($B2044,$J$13:$J$30,0),K$12))</f>
        <v/>
      </c>
      <c r="D2044" s="74" t="str">
        <f>INDEX('TH CANAM'!$A$9:$BF$63,MATCH(PDNam!$F2071,'TH CANAM'!$A$9:$A$63,0),INDEX($J$13:$M$30,MATCH($B2044,$J$13:$J$30,0),L$12))</f>
        <v/>
      </c>
      <c r="E2044" s="74" t="str">
        <f>INDEX('TH CANAM'!$A$9:$BF$63,MATCH(PDNam!$F2071,'TH CANAM'!$A$9:$A$63,0),INDEX($J$13:$M$30,MATCH($B2044,$J$13:$J$30,0),M$12))</f>
        <v/>
      </c>
      <c r="F2044" s="73"/>
      <c r="I2044" s="64"/>
      <c r="J2044" s="64"/>
    </row>
    <row r="2045" spans="1:10" ht="21" customHeight="1">
      <c r="A2045" s="72" t="s">
        <v>198</v>
      </c>
      <c r="B2045" s="73" t="s">
        <v>32</v>
      </c>
      <c r="C2045" s="74" t="str">
        <f>INDEX('TH CANAM'!$A$9:$BF$63,MATCH(PDNam!$F2071,'TH CANAM'!$A$9:$A$63,0),INDEX($J$13:$M$30,MATCH($B2045,$J$13:$J$30,0),K$12))</f>
        <v/>
      </c>
      <c r="D2045" s="74" t="str">
        <f>INDEX('TH CANAM'!$A$9:$BF$63,MATCH(PDNam!$F2071,'TH CANAM'!$A$9:$A$63,0),INDEX($J$13:$M$30,MATCH($B2045,$J$13:$J$30,0),L$12))</f>
        <v/>
      </c>
      <c r="E2045" s="74" t="str">
        <f>INDEX('TH CANAM'!$A$9:$BF$63,MATCH(PDNam!$F2071,'TH CANAM'!$A$9:$A$63,0),INDEX($J$13:$M$30,MATCH($B2045,$J$13:$J$30,0),M$12))</f>
        <v/>
      </c>
      <c r="F2045" s="73"/>
      <c r="I2045" s="64"/>
      <c r="J2045" s="64"/>
    </row>
    <row r="2046" spans="1:10" ht="21" customHeight="1">
      <c r="A2046" s="72" t="s">
        <v>199</v>
      </c>
      <c r="B2046" s="73" t="s">
        <v>33</v>
      </c>
      <c r="C2046" s="74" t="str">
        <f>INDEX('TH CANAM'!$A$9:$BF$63,MATCH(PDNam!$F2071,'TH CANAM'!$A$9:$A$63,0),INDEX($J$13:$M$30,MATCH($B2046,$J$13:$J$30,0),K$12))</f>
        <v/>
      </c>
      <c r="D2046" s="74" t="str">
        <f>INDEX('TH CANAM'!$A$9:$BF$63,MATCH(PDNam!$F2071,'TH CANAM'!$A$9:$A$63,0),INDEX($J$13:$M$30,MATCH($B2046,$J$13:$J$30,0),L$12))</f>
        <v/>
      </c>
      <c r="E2046" s="74" t="str">
        <f>INDEX('TH CANAM'!$A$9:$BF$63,MATCH(PDNam!$F2071,'TH CANAM'!$A$9:$A$63,0),INDEX($J$13:$M$30,MATCH($B2046,$J$13:$J$30,0),M$12))</f>
        <v/>
      </c>
      <c r="F2046" s="73"/>
      <c r="I2046" s="64"/>
      <c r="J2046" s="64"/>
    </row>
    <row r="2047" spans="1:10" ht="21" customHeight="1">
      <c r="A2047" s="72" t="s">
        <v>200</v>
      </c>
      <c r="B2047" s="73" t="s">
        <v>60</v>
      </c>
      <c r="C2047" s="74" t="str">
        <f>INDEX('TH CANAM'!$A$9:$BF$63,MATCH(PDNam!$F2071,'TH CANAM'!$A$9:$A$63,0),INDEX($J$13:$M$30,MATCH($B2047,$J$13:$J$30,0),K$12))</f>
        <v/>
      </c>
      <c r="D2047" s="74" t="str">
        <f>INDEX('TH CANAM'!$A$9:$BF$63,MATCH(PDNam!$F2071,'TH CANAM'!$A$9:$A$63,0),INDEX($J$13:$M$30,MATCH($B2047,$J$13:$J$30,0),L$12))</f>
        <v/>
      </c>
      <c r="E2047" s="74" t="str">
        <f>INDEX('TH CANAM'!$A$9:$BF$63,MATCH(PDNam!$F2071,'TH CANAM'!$A$9:$A$63,0),INDEX($J$13:$M$30,MATCH($B2047,$J$13:$J$30,0),M$12))</f>
        <v/>
      </c>
      <c r="F2047" s="73"/>
      <c r="I2047" s="64"/>
      <c r="J2047" s="64"/>
    </row>
    <row r="2048" spans="1:10" ht="21" customHeight="1">
      <c r="A2048" s="72" t="s">
        <v>201</v>
      </c>
      <c r="B2048" s="73" t="s">
        <v>34</v>
      </c>
      <c r="C2048" s="74" t="str">
        <f>INDEX('TH CANAM'!$A$9:$BF$63,MATCH(PDNam!$F2071,'TH CANAM'!$A$9:$A$63,0),INDEX($J$13:$M$30,MATCH($B2048,$J$13:$J$30,0),K$12))</f>
        <v/>
      </c>
      <c r="D2048" s="74" t="str">
        <f>INDEX('TH CANAM'!$A$9:$BF$63,MATCH(PDNam!$F2071,'TH CANAM'!$A$9:$A$63,0),INDEX($J$13:$M$30,MATCH($B2048,$J$13:$J$30,0),L$12))</f>
        <v/>
      </c>
      <c r="E2048" s="74" t="str">
        <f>INDEX('TH CANAM'!$A$9:$BF$63,MATCH(PDNam!$F2071,'TH CANAM'!$A$9:$A$63,0),INDEX($J$13:$M$30,MATCH($B2048,$J$13:$J$30,0),M$12))</f>
        <v/>
      </c>
      <c r="F2048" s="73"/>
      <c r="I2048" s="64"/>
      <c r="J2048" s="64"/>
    </row>
    <row r="2049" spans="1:10" ht="21" customHeight="1">
      <c r="A2049" s="72" t="s">
        <v>202</v>
      </c>
      <c r="B2049" s="73" t="s">
        <v>35</v>
      </c>
      <c r="C2049" s="74" t="str">
        <f>INDEX('TH CANAM'!$A$9:$BF$63,MATCH(PDNam!$F2071,'TH CANAM'!$A$9:$A$63,0),INDEX($J$13:$M$30,MATCH($B2049,$J$13:$J$30,0),K$12))</f>
        <v/>
      </c>
      <c r="D2049" s="74" t="str">
        <f>INDEX('TH CANAM'!$A$9:$BF$63,MATCH(PDNam!$F2071,'TH CANAM'!$A$9:$A$63,0),INDEX($J$13:$M$30,MATCH($B2049,$J$13:$J$30,0),L$12))</f>
        <v/>
      </c>
      <c r="E2049" s="74" t="str">
        <f>INDEX('TH CANAM'!$A$9:$BF$63,MATCH(PDNam!$F2071,'TH CANAM'!$A$9:$A$63,0),INDEX($J$13:$M$30,MATCH($B2049,$J$13:$J$30,0),M$12))</f>
        <v/>
      </c>
      <c r="F2049" s="73"/>
      <c r="I2049" s="64"/>
      <c r="J2049" s="64"/>
    </row>
    <row r="2050" spans="1:10" ht="21" customHeight="1">
      <c r="A2050" s="72" t="s">
        <v>203</v>
      </c>
      <c r="B2050" s="73" t="s">
        <v>121</v>
      </c>
      <c r="C2050" s="74" t="str">
        <f>INDEX('TH CANAM'!$A$9:$BF$63,MATCH(PDNam!$F2071,'TH CANAM'!$A$9:$A$63,0),INDEX($J$13:$M$30,MATCH($B2050,$J$13:$J$30,0),K$12))</f>
        <v/>
      </c>
      <c r="D2050" s="74" t="str">
        <f>INDEX('TH CANAM'!$A$9:$BF$63,MATCH(PDNam!$F2071,'TH CANAM'!$A$9:$A$63,0),INDEX($J$13:$M$30,MATCH($B2050,$J$13:$J$30,0),L$12))</f>
        <v/>
      </c>
      <c r="E2050" s="74" t="str">
        <f>INDEX('TH CANAM'!$A$9:$BF$63,MATCH(PDNam!$F2071,'TH CANAM'!$A$9:$A$63,0),INDEX($J$13:$M$30,MATCH($B2050,$J$13:$J$30,0),M$12))</f>
        <v/>
      </c>
      <c r="F2050" s="73"/>
      <c r="I2050" s="64"/>
      <c r="J2050" s="64"/>
    </row>
    <row r="2051" spans="1:10" ht="21" customHeight="1">
      <c r="A2051" s="72" t="s">
        <v>204</v>
      </c>
      <c r="B2051" s="73" t="s">
        <v>122</v>
      </c>
      <c r="C2051" s="74" t="str">
        <f>INDEX('TH CANAM'!$A$9:$BF$63,MATCH(PDNam!$F2071,'TH CANAM'!$A$9:$A$63,0),INDEX($J$13:$M$30,MATCH($B2051,$J$13:$J$30,0),K$12))</f>
        <v/>
      </c>
      <c r="D2051" s="74" t="str">
        <f>INDEX('TH CANAM'!$A$9:$BF$63,MATCH(PDNam!$F2071,'TH CANAM'!$A$9:$A$63,0),INDEX($J$13:$M$30,MATCH($B2051,$J$13:$J$30,0),L$12))</f>
        <v/>
      </c>
      <c r="E2051" s="74" t="str">
        <f>INDEX('TH CANAM'!$A$9:$BF$63,MATCH(PDNam!$F2071,'TH CANAM'!$A$9:$A$63,0),INDEX($J$13:$M$30,MATCH($B2051,$J$13:$J$30,0),M$12))</f>
        <v/>
      </c>
      <c r="F2051" s="73"/>
      <c r="I2051" s="64"/>
      <c r="J2051" s="64"/>
    </row>
    <row r="2052" spans="1:10" ht="21" customHeight="1">
      <c r="A2052" s="72" t="s">
        <v>208</v>
      </c>
      <c r="B2052" s="73" t="s">
        <v>205</v>
      </c>
      <c r="C2052" s="78" t="str">
        <f>INDEX('TH CANAM'!$A$9:$BF$63,MATCH(PDNam!$F2071,'TH CANAM'!$A$9:$A$63,0),46)</f>
        <v/>
      </c>
      <c r="D2052" s="78" t="str">
        <f>INDEX('TH CANAM'!$A$9:$BF$63,MATCH(PDNam!$F2071,'TH CANAM'!$A$9:$A$63,0),47)</f>
        <v/>
      </c>
      <c r="E2052" s="78" t="str">
        <f>INDEX('TH CANAM'!$A$9:$BF$63,MATCH(PDNam!$F2071,'TH CANAM'!$A$9:$A$63,0),48)</f>
        <v/>
      </c>
      <c r="F2052" s="73"/>
      <c r="I2052" s="64"/>
      <c r="J2052" s="64"/>
    </row>
    <row r="2053" spans="1:10" ht="21" customHeight="1">
      <c r="A2053" s="72" t="s">
        <v>209</v>
      </c>
      <c r="B2053" s="72" t="s">
        <v>206</v>
      </c>
      <c r="C2053" s="74" t="str">
        <f>IF(INDEX('TH CANAM'!$A$9:$BF$63,MATCH(PDNam!$F2071,'TH CANAM'!$A$9:$A$63,0),49)="Tb","Trung bình",INDEX('TH CANAM'!$A$9:$BF$63,MATCH(PDNam!$F2071,'TH CANAM'!$A$9:$A$63,0),49))</f>
        <v/>
      </c>
      <c r="D2053" s="74" t="str">
        <f>IF(INDEX('TH CANAM'!$A$9:$BF$63,MATCH(PDNam!$F2071,'TH CANAM'!$A$9:$A$63,0),50)="Tb","Trung bình",INDEX('TH CANAM'!$A$9:$BF$63,MATCH(PDNam!$F2071,'TH CANAM'!$A$9:$A$63,0),50))</f>
        <v/>
      </c>
      <c r="E2053" s="74" t="str">
        <f>IF(INDEX('TH CANAM'!$A$9:$BF$63,MATCH(PDNam!$F2071,'TH CANAM'!$A$9:$A$63,0),51)="Tb","Trung bình",INDEX('TH CANAM'!$A$9:$BF$63,MATCH(PDNam!$F2071,'TH CANAM'!$A$9:$A$63,0),51))</f>
        <v/>
      </c>
      <c r="F2053" s="73"/>
    </row>
    <row r="2054" spans="1:10" ht="21" customHeight="1">
      <c r="A2054" s="72" t="s">
        <v>210</v>
      </c>
      <c r="B2054" s="72" t="s">
        <v>207</v>
      </c>
      <c r="C2054" s="74" t="str">
        <f>INDEX('TH CANAM'!$A$9:$BF$63,MATCH(PDNam!$F2071,'TH CANAM'!$A$9:$A$63,0),52)</f>
        <v/>
      </c>
      <c r="D2054" s="74" t="str">
        <f>INDEX('TH CANAM'!$A$9:$BF$63,MATCH(PDNam!$F2071,'TH CANAM'!$A$9:$A$63,0),53)</f>
        <v/>
      </c>
      <c r="E2054" s="74" t="str">
        <f>INDEX('TH CANAM'!$A$9:$BF$63,MATCH(PDNam!$F2071,'TH CANAM'!$A$9:$A$63,0),54)</f>
        <v/>
      </c>
      <c r="F2054" s="73"/>
    </row>
    <row r="2055" spans="1:10" ht="21" customHeight="1">
      <c r="A2055" s="72" t="s">
        <v>211</v>
      </c>
      <c r="B2055" s="72" t="s">
        <v>25</v>
      </c>
      <c r="C2055" s="74" t="str">
        <f>IF(INDEX('TH CANAM'!$A$9:$BF$63,MATCH(PDNam!$F2071,'TH CANAM'!$A$9:$A$63,0),57)&lt;&gt;"",INDEX('TH CANAM'!$A$9:$BF$63,MATCH(PDNam!$F2071,'TH CANAM'!$A$9:$A$63,0),57),"/")</f>
        <v>/</v>
      </c>
      <c r="D2055" s="74" t="str">
        <f>IF(INDEX('TH CANAM'!$A$9:$BF$63,MATCH(PDNam!$F2071,'TH CANAM'!$A$9:$A$63,0),58)&lt;&gt;"",INDEX('TH CANAM'!$A$9:$BF$63,MATCH(PDNam!$F2071,'TH CANAM'!$A$9:$A$63,0),58),"/")</f>
        <v>/</v>
      </c>
      <c r="E2055" s="74" t="str">
        <f>IF(INDEX('TH CANAM'!$A$9:$BF$63,MATCH(PDNam!$F2071,'TH CANAM'!$A$9:$A$63,0),55)&lt;&gt;"",INDEX('TH CANAM'!$A$9:$BF$63,MATCH(PDNam!$F2071,'TH CANAM'!$A$9:$A$63,0),55),"/")</f>
        <v>/</v>
      </c>
      <c r="F2055" s="73"/>
    </row>
    <row r="2056" spans="1:10" s="60" customFormat="1" ht="9" customHeight="1">
      <c r="A2056" s="67"/>
      <c r="B2056" s="67"/>
      <c r="C2056" s="1132"/>
      <c r="D2056" s="1132"/>
      <c r="E2056" s="67"/>
      <c r="F2056" s="67"/>
    </row>
    <row r="2057" spans="1:10" s="60" customFormat="1" ht="18.75" customHeight="1">
      <c r="A2057" s="58" t="s">
        <v>219</v>
      </c>
      <c r="B2057" s="57"/>
      <c r="C2057" s="57"/>
      <c r="D2057" s="57"/>
      <c r="E2057" s="57"/>
      <c r="F2057" s="475"/>
    </row>
    <row r="2058" spans="1:10" s="60" customFormat="1" ht="18.75" customHeight="1">
      <c r="A2058" s="59" t="str">
        <f>IF(F2071&lt;&gt;"",IF(INDEX(BDHK2,MATCH(F2071,DiemHKII!$B$4:$B$58,0),137)&lt;&gt;""," - "&amp;INDEX(BDHK2,MATCH(F2071,DiemHKII!$B$4:$B$58,0),137),""),"")</f>
        <v/>
      </c>
      <c r="B2058" s="57"/>
      <c r="C2058" s="57"/>
      <c r="D2058" s="57"/>
      <c r="E2058" s="57"/>
      <c r="F2058" s="475"/>
    </row>
    <row r="2059" spans="1:10" s="60" customFormat="1" ht="18.75" customHeight="1">
      <c r="A2059" s="59" t="str">
        <f>IF(F2071&lt;&gt;"",IF(INDEX(BDHK2,MATCH(F2071,DiemHKII!$B$4:$B$58,0),138)&lt;&gt;""," - "&amp;INDEX(BDHK2,MATCH(F2071,DiemHKII!$B$4:$B$58,0),138),""),"")</f>
        <v/>
      </c>
      <c r="B2059" s="57"/>
      <c r="C2059" s="57"/>
      <c r="D2059" s="57"/>
      <c r="E2059" s="57"/>
      <c r="F2059" s="475"/>
    </row>
    <row r="2060" spans="1:10" s="60" customFormat="1" ht="18.75" customHeight="1">
      <c r="A2060" s="59" t="str">
        <f>IF(F2071&lt;&gt;"",IF(INDEX(BDHK2,MATCH(F2071,DiemHKII!$B$4:$B$58,0),139)&lt;&gt;""," - "&amp;INDEX(BDHK2,MATCH(F2071,DiemHKII!$B$4:$B$58,0),139),""),"")</f>
        <v/>
      </c>
      <c r="B2060" s="57"/>
      <c r="C2060" s="57"/>
      <c r="D2060" s="57"/>
      <c r="E2060" s="57"/>
      <c r="F2060" s="475"/>
    </row>
    <row r="2061" spans="1:10" s="60" customFormat="1" ht="18.75" customHeight="1">
      <c r="A2061" s="59" t="str">
        <f>IF(F2071&lt;&gt;"",IF(INDEX(BDHK2,MATCH(F2071,DiemHKII!$B$4:$B$58,0),140)&lt;&gt;""," - "&amp;INDEX(BDHK2,MATCH(F2071,DiemHKII!$B$4:$B$58,0),140),""),"")</f>
        <v/>
      </c>
      <c r="B2061" s="57"/>
      <c r="C2061" s="57"/>
      <c r="D2061" s="57"/>
      <c r="E2061" s="57"/>
      <c r="F2061" s="67"/>
    </row>
    <row r="2062" spans="1:10" ht="6" customHeight="1">
      <c r="A2062" s="68"/>
      <c r="B2062" s="68"/>
      <c r="C2062" s="68"/>
      <c r="D2062" s="68"/>
      <c r="E2062" s="68"/>
      <c r="F2062" s="68"/>
    </row>
    <row r="2063" spans="1:10">
      <c r="A2063" s="68"/>
      <c r="B2063" s="68"/>
      <c r="C206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063" s="1060"/>
      <c r="E2063" s="1060"/>
      <c r="F2063" s="1060"/>
    </row>
    <row r="2064" spans="1:10" ht="20.25" customHeight="1">
      <c r="A2064" s="1012" t="str">
        <f>IF($D$39="Hiệu trưởng","Giáo viên Quản nhiệm","")</f>
        <v>Giáo viên Quản nhiệm</v>
      </c>
      <c r="B2064" s="1012"/>
      <c r="C2064" s="61"/>
      <c r="D2064" s="1012" t="str">
        <f>IF($H$7="","",$H$7)</f>
        <v>Hiệu trưởng</v>
      </c>
      <c r="E2064" s="1012"/>
      <c r="F2064" s="61"/>
    </row>
    <row r="2065" spans="1:10">
      <c r="A2065" s="68"/>
      <c r="B2065" s="68"/>
      <c r="C2065" s="68"/>
      <c r="D2065" s="68"/>
      <c r="E2065" s="68"/>
      <c r="F2065" s="68"/>
    </row>
    <row r="2066" spans="1:10">
      <c r="A2066" s="68"/>
      <c r="B2066" s="68"/>
      <c r="C2066" s="68"/>
      <c r="D2066" s="68"/>
      <c r="E2066" s="68"/>
      <c r="F2066" s="68"/>
    </row>
    <row r="2067" spans="1:10" ht="16.8">
      <c r="A2067" s="68"/>
      <c r="B2067" s="68"/>
      <c r="C2067" s="64"/>
      <c r="D2067" s="64"/>
      <c r="E2067" s="64"/>
      <c r="F2067" s="64"/>
      <c r="G2067" s="65"/>
      <c r="H2067" s="65"/>
      <c r="I2067" s="65"/>
      <c r="J2067" s="65"/>
    </row>
    <row r="2069" spans="1:10">
      <c r="A2069" s="1012" t="str">
        <f>IF($A$39="","",PROPER('Huong dan'!$C$4))</f>
        <v/>
      </c>
      <c r="B2069" s="1012"/>
      <c r="D2069" s="1130" t="str">
        <f>IFERROR(IF($D$39="Giáo Viên Quản nhiệm",PROPER('Huong dan'!$C$4),IF($D$39="Hiệu trưởng",PROPER('Huong dan'!$E$5),"")),"")</f>
        <v/>
      </c>
      <c r="E2069" s="1130"/>
    </row>
    <row r="2070" spans="1:10" ht="7.5" customHeight="1"/>
    <row r="2071" spans="1:10" ht="11.25" customHeight="1">
      <c r="A2071" s="75"/>
      <c r="B2071" s="75"/>
      <c r="C2071" s="75"/>
      <c r="D2071" s="75"/>
      <c r="E2071" s="75"/>
      <c r="F2071" s="76" t="str">
        <f>IF(F2026="","",IF(F2026&lt;MAX(DiemHKII!$B$4:$B$58),F2026+1,""))</f>
        <v/>
      </c>
    </row>
    <row r="2072" spans="1:10" s="60" customFormat="1" ht="22.5" customHeight="1">
      <c r="A2072" s="1128" t="str">
        <f>IF('Huong dan'!$E$3&lt;&gt;"","SỞ GIÁO DỤC VÀ ĐÀO TẠO "&amp;UPPER('Huong dan'!$E$3),"")</f>
        <v>SỞ GIÁO DỤC VÀ ĐÀO TẠO TP. HỒ CHÍ MINH</v>
      </c>
      <c r="B2072" s="1128"/>
      <c r="C2072" s="1128"/>
      <c r="D2072" s="1129" t="s">
        <v>19</v>
      </c>
      <c r="E2072" s="1129"/>
      <c r="F2072" s="1129"/>
    </row>
    <row r="2073" spans="1:10" ht="17.25" customHeight="1">
      <c r="A2073" s="992" t="str">
        <f>IF('Huong dan'!$E$4&lt;&gt;"","TRƯỜNG "&amp;UPPER('Huong dan'!$E$4),"")</f>
        <v>TRƯỜNG THCS VÀ THPT NGUYỄN KHUYẾN</v>
      </c>
      <c r="B2073" s="992"/>
      <c r="C2073" s="992"/>
      <c r="D2073" s="1130" t="s">
        <v>179</v>
      </c>
      <c r="E2073" s="1130"/>
      <c r="F2073" s="1130"/>
    </row>
    <row r="2074" spans="1:10" ht="12" customHeight="1">
      <c r="A2074" s="69"/>
      <c r="B2074" s="69"/>
      <c r="C2074" s="30"/>
      <c r="D2074" s="30"/>
      <c r="E2074" s="30"/>
      <c r="F2074" s="30"/>
    </row>
    <row r="2075" spans="1:10" ht="18" customHeight="1">
      <c r="A2075" s="69"/>
      <c r="B2075" s="69"/>
      <c r="C2075" s="30"/>
      <c r="D2075" s="30"/>
      <c r="E2075" s="30"/>
      <c r="F2075" s="30"/>
    </row>
    <row r="2076" spans="1:10" ht="29.25" customHeight="1">
      <c r="A2076" s="1013" t="str">
        <f>"PHIẾU ĐIỂM NĂM HỌC "&amp;'Huong dan'!$C$5</f>
        <v>PHIẾU ĐIỂM NĂM HỌC 2021 - 2022</v>
      </c>
      <c r="B2076" s="1013"/>
      <c r="C2076" s="1013"/>
      <c r="D2076" s="1013"/>
      <c r="E2076" s="1013"/>
      <c r="F2076" s="1013"/>
    </row>
    <row r="2077" spans="1:10" ht="12.75" customHeight="1">
      <c r="A2077" s="70"/>
      <c r="B2077" s="66"/>
      <c r="C2077" s="66"/>
      <c r="D2077" s="66"/>
      <c r="E2077" s="66"/>
      <c r="F2077" s="66"/>
    </row>
    <row r="2078" spans="1:10" ht="20.25" customHeight="1">
      <c r="A2078" s="1131" t="s">
        <v>212</v>
      </c>
      <c r="B2078" s="1131"/>
      <c r="C2078" s="77" t="str">
        <f>IF(F2116="","",INDEX(DiemHKII!$E$4:$E$58,MATCH(F2116,DiemHKII!$B$4:$B$58,0),1)&amp;" "&amp;INDEX(DiemHKII!$F$4:$F$58,MATCH(F2116,DiemHKII!$B$4:$B$58,0),1))</f>
        <v/>
      </c>
      <c r="D2078" s="77"/>
      <c r="E2078" s="77"/>
      <c r="F2078" s="71" t="str">
        <f>IF('Huong dan'!$C$3="","","Lớp: "&amp;'Huong dan'!$C$3)</f>
        <v>Lớp: 12A1</v>
      </c>
    </row>
    <row r="2079" spans="1:10" ht="24" customHeight="1">
      <c r="A2079" s="1131" t="s">
        <v>213</v>
      </c>
      <c r="B2079" s="1131"/>
      <c r="C2079" s="77" t="str">
        <f>IF(F2116="","",INDEX(DiemHKII!$G$4:$G$58,MATCH(F2116,DiemHKII!$B$4:$B$58,0),1))</f>
        <v/>
      </c>
      <c r="D2079" s="77"/>
      <c r="E2079" s="1133" t="str">
        <f>IF(F2116="","","Nơi sinh: "&amp;INDEX(DiemHKII!$H$4:$H$58,MATCH(F2116,DiemHKII!$B$4:$B$58,0),1))</f>
        <v/>
      </c>
      <c r="F2079" s="1133"/>
    </row>
    <row r="2080" spans="1:10" ht="15" customHeight="1">
      <c r="A2080" s="62"/>
      <c r="B2080" s="62"/>
      <c r="C2080" s="62"/>
      <c r="D2080" s="62"/>
      <c r="E2080" s="62"/>
      <c r="F2080" s="63"/>
    </row>
    <row r="2081" spans="1:10" ht="21" customHeight="1">
      <c r="A2081" s="1134" t="s">
        <v>0</v>
      </c>
      <c r="B2081" s="1134" t="s">
        <v>72</v>
      </c>
      <c r="C2081" s="1134" t="s">
        <v>216</v>
      </c>
      <c r="D2081" s="1134"/>
      <c r="E2081" s="1134"/>
      <c r="F2081" s="1134" t="s">
        <v>148</v>
      </c>
    </row>
    <row r="2082" spans="1:10" ht="21" customHeight="1">
      <c r="A2082" s="1134"/>
      <c r="B2082" s="1134"/>
      <c r="C2082" s="476" t="s">
        <v>188</v>
      </c>
      <c r="D2082" s="476" t="s">
        <v>189</v>
      </c>
      <c r="E2082" s="476" t="s">
        <v>190</v>
      </c>
      <c r="F2082" s="1134"/>
    </row>
    <row r="2083" spans="1:10" ht="21" customHeight="1">
      <c r="A2083" s="72" t="s">
        <v>191</v>
      </c>
      <c r="B2083" s="73" t="s">
        <v>26</v>
      </c>
      <c r="C2083" s="74" t="str">
        <f>INDEX('TH CANAM'!$A$9:$BF$63,MATCH(PDNam!$F2116,'TH CANAM'!$A$9:$A$63,0),INDEX($J$13:$M$30,MATCH($B2083,$J$13:$J$30,0),K$12))</f>
        <v/>
      </c>
      <c r="D2083" s="74" t="str">
        <f>INDEX('TH CANAM'!$A$9:$BF$63,MATCH(PDNam!$F2116,'TH CANAM'!$A$9:$A$63,0),INDEX($J$13:$M$30,MATCH($B2083,$J$13:$J$30,0),L$12))</f>
        <v/>
      </c>
      <c r="E2083" s="74" t="str">
        <f>INDEX('TH CANAM'!$A$9:$BF$63,MATCH(PDNam!$F2116,'TH CANAM'!$A$9:$A$63,0),INDEX($J$13:$M$30,MATCH($B2083,$J$13:$J$30,0),M$12))</f>
        <v/>
      </c>
      <c r="F2083" s="73"/>
      <c r="I2083" s="64"/>
      <c r="J2083" s="64"/>
    </row>
    <row r="2084" spans="1:10" ht="21" customHeight="1">
      <c r="A2084" s="72" t="s">
        <v>192</v>
      </c>
      <c r="B2084" s="73" t="s">
        <v>27</v>
      </c>
      <c r="C2084" s="74" t="str">
        <f>INDEX('TH CANAM'!$A$9:$BF$63,MATCH(PDNam!$F2116,'TH CANAM'!$A$9:$A$63,0),INDEX($J$13:$M$30,MATCH($B2084,$J$13:$J$30,0),K$12))</f>
        <v/>
      </c>
      <c r="D2084" s="74" t="str">
        <f>INDEX('TH CANAM'!$A$9:$BF$63,MATCH(PDNam!$F2116,'TH CANAM'!$A$9:$A$63,0),INDEX($J$13:$M$30,MATCH($B2084,$J$13:$J$30,0),L$12))</f>
        <v/>
      </c>
      <c r="E2084" s="74" t="str">
        <f>INDEX('TH CANAM'!$A$9:$BF$63,MATCH(PDNam!$F2116,'TH CANAM'!$A$9:$A$63,0),INDEX($J$13:$M$30,MATCH($B2084,$J$13:$J$30,0),M$12))</f>
        <v/>
      </c>
      <c r="F2084" s="73"/>
      <c r="I2084" s="64"/>
      <c r="J2084" s="64"/>
    </row>
    <row r="2085" spans="1:10" ht="21" customHeight="1">
      <c r="A2085" s="72" t="s">
        <v>193</v>
      </c>
      <c r="B2085" s="73" t="s">
        <v>28</v>
      </c>
      <c r="C2085" s="74" t="str">
        <f>INDEX('TH CANAM'!$A$9:$BF$63,MATCH(PDNam!$F2116,'TH CANAM'!$A$9:$A$63,0),INDEX($J$13:$M$30,MATCH($B2085,$J$13:$J$30,0),K$12))</f>
        <v/>
      </c>
      <c r="D2085" s="74" t="str">
        <f>INDEX('TH CANAM'!$A$9:$BF$63,MATCH(PDNam!$F2116,'TH CANAM'!$A$9:$A$63,0),INDEX($J$13:$M$30,MATCH($B2085,$J$13:$J$30,0),L$12))</f>
        <v/>
      </c>
      <c r="E2085" s="74" t="str">
        <f>INDEX('TH CANAM'!$A$9:$BF$63,MATCH(PDNam!$F2116,'TH CANAM'!$A$9:$A$63,0),INDEX($J$13:$M$30,MATCH($B2085,$J$13:$J$30,0),M$12))</f>
        <v/>
      </c>
      <c r="F2085" s="73"/>
      <c r="I2085" s="64"/>
      <c r="J2085" s="64"/>
    </row>
    <row r="2086" spans="1:10" ht="21" customHeight="1">
      <c r="A2086" s="72" t="s">
        <v>194</v>
      </c>
      <c r="B2086" s="73" t="s">
        <v>29</v>
      </c>
      <c r="C2086" s="74" t="str">
        <f>INDEX('TH CANAM'!$A$9:$BF$63,MATCH(PDNam!$F2116,'TH CANAM'!$A$9:$A$63,0),INDEX($J$13:$M$30,MATCH($B2086,$J$13:$J$30,0),K$12))</f>
        <v/>
      </c>
      <c r="D2086" s="74" t="str">
        <f>INDEX('TH CANAM'!$A$9:$BF$63,MATCH(PDNam!$F2116,'TH CANAM'!$A$9:$A$63,0),INDEX($J$13:$M$30,MATCH($B2086,$J$13:$J$30,0),L$12))</f>
        <v/>
      </c>
      <c r="E2086" s="74" t="str">
        <f>INDEX('TH CANAM'!$A$9:$BF$63,MATCH(PDNam!$F2116,'TH CANAM'!$A$9:$A$63,0),INDEX($J$13:$M$30,MATCH($B2086,$J$13:$J$30,0),M$12))</f>
        <v/>
      </c>
      <c r="F2086" s="73"/>
      <c r="I2086" s="64"/>
      <c r="J2086" s="64"/>
    </row>
    <row r="2087" spans="1:10" ht="21" customHeight="1">
      <c r="A2087" s="72" t="s">
        <v>195</v>
      </c>
      <c r="B2087" s="73" t="s">
        <v>120</v>
      </c>
      <c r="C2087" s="74" t="str">
        <f>INDEX('TH CANAM'!$A$9:$BF$63,MATCH(PDNam!$F2116,'TH CANAM'!$A$9:$A$63,0),INDEX($J$13:$M$30,MATCH($B2087,$J$13:$J$30,0),K$12))</f>
        <v/>
      </c>
      <c r="D2087" s="74" t="str">
        <f>INDEX('TH CANAM'!$A$9:$BF$63,MATCH(PDNam!$F2116,'TH CANAM'!$A$9:$A$63,0),INDEX($J$13:$M$30,MATCH($B2087,$J$13:$J$30,0),L$12))</f>
        <v/>
      </c>
      <c r="E2087" s="74" t="str">
        <f>INDEX('TH CANAM'!$A$9:$BF$63,MATCH(PDNam!$F2116,'TH CANAM'!$A$9:$A$63,0),INDEX($J$13:$M$30,MATCH($B2087,$J$13:$J$30,0),M$12))</f>
        <v/>
      </c>
      <c r="F2087" s="73"/>
      <c r="I2087" s="64"/>
      <c r="J2087" s="64"/>
    </row>
    <row r="2088" spans="1:10" ht="21" customHeight="1">
      <c r="A2088" s="72" t="s">
        <v>196</v>
      </c>
      <c r="B2088" s="73" t="s">
        <v>30</v>
      </c>
      <c r="C2088" s="74" t="str">
        <f>INDEX('TH CANAM'!$A$9:$BF$63,MATCH(PDNam!$F2116,'TH CANAM'!$A$9:$A$63,0),INDEX($J$13:$M$30,MATCH($B2088,$J$13:$J$30,0),K$12))</f>
        <v/>
      </c>
      <c r="D2088" s="74" t="str">
        <f>INDEX('TH CANAM'!$A$9:$BF$63,MATCH(PDNam!$F2116,'TH CANAM'!$A$9:$A$63,0),INDEX($J$13:$M$30,MATCH($B2088,$J$13:$J$30,0),L$12))</f>
        <v/>
      </c>
      <c r="E2088" s="74" t="str">
        <f>INDEX('TH CANAM'!$A$9:$BF$63,MATCH(PDNam!$F2116,'TH CANAM'!$A$9:$A$63,0),INDEX($J$13:$M$30,MATCH($B2088,$J$13:$J$30,0),M$12))</f>
        <v/>
      </c>
      <c r="F2088" s="73"/>
      <c r="I2088" s="64"/>
      <c r="J2088" s="64"/>
    </row>
    <row r="2089" spans="1:10" ht="21" customHeight="1">
      <c r="A2089" s="72" t="s">
        <v>197</v>
      </c>
      <c r="B2089" s="73" t="s">
        <v>31</v>
      </c>
      <c r="C2089" s="74" t="str">
        <f>INDEX('TH CANAM'!$A$9:$BF$63,MATCH(PDNam!$F2116,'TH CANAM'!$A$9:$A$63,0),INDEX($J$13:$M$30,MATCH($B2089,$J$13:$J$30,0),K$12))</f>
        <v/>
      </c>
      <c r="D2089" s="74" t="str">
        <f>INDEX('TH CANAM'!$A$9:$BF$63,MATCH(PDNam!$F2116,'TH CANAM'!$A$9:$A$63,0),INDEX($J$13:$M$30,MATCH($B2089,$J$13:$J$30,0),L$12))</f>
        <v/>
      </c>
      <c r="E2089" s="74" t="str">
        <f>INDEX('TH CANAM'!$A$9:$BF$63,MATCH(PDNam!$F2116,'TH CANAM'!$A$9:$A$63,0),INDEX($J$13:$M$30,MATCH($B2089,$J$13:$J$30,0),M$12))</f>
        <v/>
      </c>
      <c r="F2089" s="73"/>
      <c r="I2089" s="64"/>
      <c r="J2089" s="64"/>
    </row>
    <row r="2090" spans="1:10" ht="21" customHeight="1">
      <c r="A2090" s="72" t="s">
        <v>198</v>
      </c>
      <c r="B2090" s="73" t="s">
        <v>32</v>
      </c>
      <c r="C2090" s="74" t="str">
        <f>INDEX('TH CANAM'!$A$9:$BF$63,MATCH(PDNam!$F2116,'TH CANAM'!$A$9:$A$63,0),INDEX($J$13:$M$30,MATCH($B2090,$J$13:$J$30,0),K$12))</f>
        <v/>
      </c>
      <c r="D2090" s="74" t="str">
        <f>INDEX('TH CANAM'!$A$9:$BF$63,MATCH(PDNam!$F2116,'TH CANAM'!$A$9:$A$63,0),INDEX($J$13:$M$30,MATCH($B2090,$J$13:$J$30,0),L$12))</f>
        <v/>
      </c>
      <c r="E2090" s="74" t="str">
        <f>INDEX('TH CANAM'!$A$9:$BF$63,MATCH(PDNam!$F2116,'TH CANAM'!$A$9:$A$63,0),INDEX($J$13:$M$30,MATCH($B2090,$J$13:$J$30,0),M$12))</f>
        <v/>
      </c>
      <c r="F2090" s="73"/>
      <c r="I2090" s="64"/>
      <c r="J2090" s="64"/>
    </row>
    <row r="2091" spans="1:10" ht="21" customHeight="1">
      <c r="A2091" s="72" t="s">
        <v>199</v>
      </c>
      <c r="B2091" s="73" t="s">
        <v>33</v>
      </c>
      <c r="C2091" s="74" t="str">
        <f>INDEX('TH CANAM'!$A$9:$BF$63,MATCH(PDNam!$F2116,'TH CANAM'!$A$9:$A$63,0),INDEX($J$13:$M$30,MATCH($B2091,$J$13:$J$30,0),K$12))</f>
        <v/>
      </c>
      <c r="D2091" s="74" t="str">
        <f>INDEX('TH CANAM'!$A$9:$BF$63,MATCH(PDNam!$F2116,'TH CANAM'!$A$9:$A$63,0),INDEX($J$13:$M$30,MATCH($B2091,$J$13:$J$30,0),L$12))</f>
        <v/>
      </c>
      <c r="E2091" s="74" t="str">
        <f>INDEX('TH CANAM'!$A$9:$BF$63,MATCH(PDNam!$F2116,'TH CANAM'!$A$9:$A$63,0),INDEX($J$13:$M$30,MATCH($B2091,$J$13:$J$30,0),M$12))</f>
        <v/>
      </c>
      <c r="F2091" s="73"/>
      <c r="I2091" s="64"/>
      <c r="J2091" s="64"/>
    </row>
    <row r="2092" spans="1:10" ht="21" customHeight="1">
      <c r="A2092" s="72" t="s">
        <v>200</v>
      </c>
      <c r="B2092" s="73" t="s">
        <v>60</v>
      </c>
      <c r="C2092" s="74" t="str">
        <f>INDEX('TH CANAM'!$A$9:$BF$63,MATCH(PDNam!$F2116,'TH CANAM'!$A$9:$A$63,0),INDEX($J$13:$M$30,MATCH($B2092,$J$13:$J$30,0),K$12))</f>
        <v/>
      </c>
      <c r="D2092" s="74" t="str">
        <f>INDEX('TH CANAM'!$A$9:$BF$63,MATCH(PDNam!$F2116,'TH CANAM'!$A$9:$A$63,0),INDEX($J$13:$M$30,MATCH($B2092,$J$13:$J$30,0),L$12))</f>
        <v/>
      </c>
      <c r="E2092" s="74" t="str">
        <f>INDEX('TH CANAM'!$A$9:$BF$63,MATCH(PDNam!$F2116,'TH CANAM'!$A$9:$A$63,0),INDEX($J$13:$M$30,MATCH($B2092,$J$13:$J$30,0),M$12))</f>
        <v/>
      </c>
      <c r="F2092" s="73"/>
      <c r="I2092" s="64"/>
      <c r="J2092" s="64"/>
    </row>
    <row r="2093" spans="1:10" ht="21" customHeight="1">
      <c r="A2093" s="72" t="s">
        <v>201</v>
      </c>
      <c r="B2093" s="73" t="s">
        <v>34</v>
      </c>
      <c r="C2093" s="74" t="str">
        <f>INDEX('TH CANAM'!$A$9:$BF$63,MATCH(PDNam!$F2116,'TH CANAM'!$A$9:$A$63,0),INDEX($J$13:$M$30,MATCH($B2093,$J$13:$J$30,0),K$12))</f>
        <v/>
      </c>
      <c r="D2093" s="74" t="str">
        <f>INDEX('TH CANAM'!$A$9:$BF$63,MATCH(PDNam!$F2116,'TH CANAM'!$A$9:$A$63,0),INDEX($J$13:$M$30,MATCH($B2093,$J$13:$J$30,0),L$12))</f>
        <v/>
      </c>
      <c r="E2093" s="74" t="str">
        <f>INDEX('TH CANAM'!$A$9:$BF$63,MATCH(PDNam!$F2116,'TH CANAM'!$A$9:$A$63,0),INDEX($J$13:$M$30,MATCH($B2093,$J$13:$J$30,0),M$12))</f>
        <v/>
      </c>
      <c r="F2093" s="73"/>
      <c r="I2093" s="64"/>
      <c r="J2093" s="64"/>
    </row>
    <row r="2094" spans="1:10" ht="21" customHeight="1">
      <c r="A2094" s="72" t="s">
        <v>202</v>
      </c>
      <c r="B2094" s="73" t="s">
        <v>35</v>
      </c>
      <c r="C2094" s="74" t="str">
        <f>INDEX('TH CANAM'!$A$9:$BF$63,MATCH(PDNam!$F2116,'TH CANAM'!$A$9:$A$63,0),INDEX($J$13:$M$30,MATCH($B2094,$J$13:$J$30,0),K$12))</f>
        <v/>
      </c>
      <c r="D2094" s="74" t="str">
        <f>INDEX('TH CANAM'!$A$9:$BF$63,MATCH(PDNam!$F2116,'TH CANAM'!$A$9:$A$63,0),INDEX($J$13:$M$30,MATCH($B2094,$J$13:$J$30,0),L$12))</f>
        <v/>
      </c>
      <c r="E2094" s="74" t="str">
        <f>INDEX('TH CANAM'!$A$9:$BF$63,MATCH(PDNam!$F2116,'TH CANAM'!$A$9:$A$63,0),INDEX($J$13:$M$30,MATCH($B2094,$J$13:$J$30,0),M$12))</f>
        <v/>
      </c>
      <c r="F2094" s="73"/>
      <c r="I2094" s="64"/>
      <c r="J2094" s="64"/>
    </row>
    <row r="2095" spans="1:10" ht="21" customHeight="1">
      <c r="A2095" s="72" t="s">
        <v>203</v>
      </c>
      <c r="B2095" s="73" t="s">
        <v>121</v>
      </c>
      <c r="C2095" s="74" t="str">
        <f>INDEX('TH CANAM'!$A$9:$BF$63,MATCH(PDNam!$F2116,'TH CANAM'!$A$9:$A$63,0),INDEX($J$13:$M$30,MATCH($B2095,$J$13:$J$30,0),K$12))</f>
        <v/>
      </c>
      <c r="D2095" s="74" t="str">
        <f>INDEX('TH CANAM'!$A$9:$BF$63,MATCH(PDNam!$F2116,'TH CANAM'!$A$9:$A$63,0),INDEX($J$13:$M$30,MATCH($B2095,$J$13:$J$30,0),L$12))</f>
        <v/>
      </c>
      <c r="E2095" s="74" t="str">
        <f>INDEX('TH CANAM'!$A$9:$BF$63,MATCH(PDNam!$F2116,'TH CANAM'!$A$9:$A$63,0),INDEX($J$13:$M$30,MATCH($B2095,$J$13:$J$30,0),M$12))</f>
        <v/>
      </c>
      <c r="F2095" s="73"/>
      <c r="I2095" s="64"/>
      <c r="J2095" s="64"/>
    </row>
    <row r="2096" spans="1:10" ht="21" customHeight="1">
      <c r="A2096" s="72" t="s">
        <v>204</v>
      </c>
      <c r="B2096" s="73" t="s">
        <v>122</v>
      </c>
      <c r="C2096" s="74" t="str">
        <f>INDEX('TH CANAM'!$A$9:$BF$63,MATCH(PDNam!$F2116,'TH CANAM'!$A$9:$A$63,0),INDEX($J$13:$M$30,MATCH($B2096,$J$13:$J$30,0),K$12))</f>
        <v/>
      </c>
      <c r="D2096" s="74" t="str">
        <f>INDEX('TH CANAM'!$A$9:$BF$63,MATCH(PDNam!$F2116,'TH CANAM'!$A$9:$A$63,0),INDEX($J$13:$M$30,MATCH($B2096,$J$13:$J$30,0),L$12))</f>
        <v/>
      </c>
      <c r="E2096" s="74" t="str">
        <f>INDEX('TH CANAM'!$A$9:$BF$63,MATCH(PDNam!$F2116,'TH CANAM'!$A$9:$A$63,0),INDEX($J$13:$M$30,MATCH($B2096,$J$13:$J$30,0),M$12))</f>
        <v/>
      </c>
      <c r="F2096" s="73"/>
      <c r="I2096" s="64"/>
      <c r="J2096" s="64"/>
    </row>
    <row r="2097" spans="1:10" ht="21" customHeight="1">
      <c r="A2097" s="72" t="s">
        <v>208</v>
      </c>
      <c r="B2097" s="73" t="s">
        <v>205</v>
      </c>
      <c r="C2097" s="78" t="str">
        <f>INDEX('TH CANAM'!$A$9:$BF$63,MATCH(PDNam!$F2116,'TH CANAM'!$A$9:$A$63,0),46)</f>
        <v/>
      </c>
      <c r="D2097" s="78" t="str">
        <f>INDEX('TH CANAM'!$A$9:$BF$63,MATCH(PDNam!$F2116,'TH CANAM'!$A$9:$A$63,0),47)</f>
        <v/>
      </c>
      <c r="E2097" s="78" t="str">
        <f>INDEX('TH CANAM'!$A$9:$BF$63,MATCH(PDNam!$F2116,'TH CANAM'!$A$9:$A$63,0),48)</f>
        <v/>
      </c>
      <c r="F2097" s="73"/>
      <c r="I2097" s="64"/>
      <c r="J2097" s="64"/>
    </row>
    <row r="2098" spans="1:10" ht="21" customHeight="1">
      <c r="A2098" s="72" t="s">
        <v>209</v>
      </c>
      <c r="B2098" s="72" t="s">
        <v>206</v>
      </c>
      <c r="C2098" s="74" t="str">
        <f>IF(INDEX('TH CANAM'!$A$9:$BF$63,MATCH(PDNam!$F2116,'TH CANAM'!$A$9:$A$63,0),49)="Tb","Trung bình",INDEX('TH CANAM'!$A$9:$BF$63,MATCH(PDNam!$F2116,'TH CANAM'!$A$9:$A$63,0),49))</f>
        <v/>
      </c>
      <c r="D2098" s="74" t="str">
        <f>IF(INDEX('TH CANAM'!$A$9:$BF$63,MATCH(PDNam!$F2116,'TH CANAM'!$A$9:$A$63,0),50)="Tb","Trung bình",INDEX('TH CANAM'!$A$9:$BF$63,MATCH(PDNam!$F2116,'TH CANAM'!$A$9:$A$63,0),50))</f>
        <v/>
      </c>
      <c r="E2098" s="74" t="str">
        <f>IF(INDEX('TH CANAM'!$A$9:$BF$63,MATCH(PDNam!$F2116,'TH CANAM'!$A$9:$A$63,0),51)="Tb","Trung bình",INDEX('TH CANAM'!$A$9:$BF$63,MATCH(PDNam!$F2116,'TH CANAM'!$A$9:$A$63,0),51))</f>
        <v/>
      </c>
      <c r="F2098" s="73"/>
    </row>
    <row r="2099" spans="1:10" ht="21" customHeight="1">
      <c r="A2099" s="72" t="s">
        <v>210</v>
      </c>
      <c r="B2099" s="72" t="s">
        <v>207</v>
      </c>
      <c r="C2099" s="74" t="str">
        <f>INDEX('TH CANAM'!$A$9:$BF$63,MATCH(PDNam!$F2116,'TH CANAM'!$A$9:$A$63,0),52)</f>
        <v/>
      </c>
      <c r="D2099" s="74" t="str">
        <f>INDEX('TH CANAM'!$A$9:$BF$63,MATCH(PDNam!$F2116,'TH CANAM'!$A$9:$A$63,0),53)</f>
        <v/>
      </c>
      <c r="E2099" s="74" t="str">
        <f>INDEX('TH CANAM'!$A$9:$BF$63,MATCH(PDNam!$F2116,'TH CANAM'!$A$9:$A$63,0),54)</f>
        <v/>
      </c>
      <c r="F2099" s="73"/>
    </row>
    <row r="2100" spans="1:10" ht="21" customHeight="1">
      <c r="A2100" s="72" t="s">
        <v>211</v>
      </c>
      <c r="B2100" s="72" t="s">
        <v>25</v>
      </c>
      <c r="C2100" s="74" t="str">
        <f>IF(INDEX('TH CANAM'!$A$9:$BF$63,MATCH(PDNam!$F2116,'TH CANAM'!$A$9:$A$63,0),57)&lt;&gt;"",INDEX('TH CANAM'!$A$9:$BF$63,MATCH(PDNam!$F2116,'TH CANAM'!$A$9:$A$63,0),57),"/")</f>
        <v>/</v>
      </c>
      <c r="D2100" s="74" t="str">
        <f>IF(INDEX('TH CANAM'!$A$9:$BF$63,MATCH(PDNam!$F2116,'TH CANAM'!$A$9:$A$63,0),58)&lt;&gt;"",INDEX('TH CANAM'!$A$9:$BF$63,MATCH(PDNam!$F2116,'TH CANAM'!$A$9:$A$63,0),58),"/")</f>
        <v>/</v>
      </c>
      <c r="E2100" s="74" t="str">
        <f>IF(INDEX('TH CANAM'!$A$9:$BF$63,MATCH(PDNam!$F2116,'TH CANAM'!$A$9:$A$63,0),55)&lt;&gt;"",INDEX('TH CANAM'!$A$9:$BF$63,MATCH(PDNam!$F2116,'TH CANAM'!$A$9:$A$63,0),55),"/")</f>
        <v>/</v>
      </c>
      <c r="F2100" s="73"/>
    </row>
    <row r="2101" spans="1:10" s="60" customFormat="1" ht="9" customHeight="1">
      <c r="A2101" s="67"/>
      <c r="B2101" s="67"/>
      <c r="C2101" s="1132"/>
      <c r="D2101" s="1132"/>
      <c r="E2101" s="67"/>
      <c r="F2101" s="67"/>
    </row>
    <row r="2102" spans="1:10" s="60" customFormat="1" ht="18.75" customHeight="1">
      <c r="A2102" s="58" t="s">
        <v>219</v>
      </c>
      <c r="B2102" s="57"/>
      <c r="C2102" s="57"/>
      <c r="D2102" s="57"/>
      <c r="E2102" s="57"/>
      <c r="F2102" s="475"/>
    </row>
    <row r="2103" spans="1:10" s="60" customFormat="1" ht="18.75" customHeight="1">
      <c r="A2103" s="59" t="str">
        <f>IF(F2116&lt;&gt;"",IF(INDEX(BDHK2,MATCH(F2116,DiemHKII!$B$4:$B$58,0),137)&lt;&gt;""," - "&amp;INDEX(BDHK2,MATCH(F2116,DiemHKII!$B$4:$B$58,0),137),""),"")</f>
        <v/>
      </c>
      <c r="B2103" s="57"/>
      <c r="C2103" s="57"/>
      <c r="D2103" s="57"/>
      <c r="E2103" s="57"/>
      <c r="F2103" s="475"/>
    </row>
    <row r="2104" spans="1:10" s="60" customFormat="1" ht="18.75" customHeight="1">
      <c r="A2104" s="59" t="str">
        <f>IF(F2116&lt;&gt;"",IF(INDEX(BDHK2,MATCH(F2116,DiemHKII!$B$4:$B$58,0),138)&lt;&gt;""," - "&amp;INDEX(BDHK2,MATCH(F2116,DiemHKII!$B$4:$B$58,0),138),""),"")</f>
        <v/>
      </c>
      <c r="B2104" s="57"/>
      <c r="C2104" s="57"/>
      <c r="D2104" s="57"/>
      <c r="E2104" s="57"/>
      <c r="F2104" s="475"/>
    </row>
    <row r="2105" spans="1:10" s="60" customFormat="1" ht="18.75" customHeight="1">
      <c r="A2105" s="59" t="str">
        <f>IF(F2116&lt;&gt;"",IF(INDEX(BDHK2,MATCH(F2116,DiemHKII!$B$4:$B$58,0),139)&lt;&gt;""," - "&amp;INDEX(BDHK2,MATCH(F2116,DiemHKII!$B$4:$B$58,0),139),""),"")</f>
        <v/>
      </c>
      <c r="B2105" s="57"/>
      <c r="C2105" s="57"/>
      <c r="D2105" s="57"/>
      <c r="E2105" s="57"/>
      <c r="F2105" s="475"/>
    </row>
    <row r="2106" spans="1:10" s="60" customFormat="1" ht="18.75" customHeight="1">
      <c r="A2106" s="59" t="str">
        <f>IF(F2116&lt;&gt;"",IF(INDEX(BDHK2,MATCH(F2116,DiemHKII!$B$4:$B$58,0),140)&lt;&gt;""," - "&amp;INDEX(BDHK2,MATCH(F2116,DiemHKII!$B$4:$B$58,0),140),""),"")</f>
        <v/>
      </c>
      <c r="B2106" s="57"/>
      <c r="C2106" s="57"/>
      <c r="D2106" s="57"/>
      <c r="E2106" s="57"/>
      <c r="F2106" s="67"/>
    </row>
    <row r="2107" spans="1:10" ht="6" customHeight="1">
      <c r="A2107" s="68"/>
      <c r="B2107" s="68"/>
      <c r="C2107" s="68"/>
      <c r="D2107" s="68"/>
      <c r="E2107" s="68"/>
      <c r="F2107" s="68"/>
    </row>
    <row r="2108" spans="1:10">
      <c r="A2108" s="68"/>
      <c r="B2108" s="68"/>
      <c r="C210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108" s="1060"/>
      <c r="E2108" s="1060"/>
      <c r="F2108" s="1060"/>
    </row>
    <row r="2109" spans="1:10" ht="20.25" customHeight="1">
      <c r="A2109" s="1012" t="str">
        <f>IF($D$39="Hiệu trưởng","Giáo viên Quản nhiệm","")</f>
        <v>Giáo viên Quản nhiệm</v>
      </c>
      <c r="B2109" s="1012"/>
      <c r="C2109" s="61"/>
      <c r="D2109" s="1012" t="str">
        <f>IF($H$7="","",$H$7)</f>
        <v>Hiệu trưởng</v>
      </c>
      <c r="E2109" s="1012"/>
      <c r="F2109" s="61"/>
    </row>
    <row r="2110" spans="1:10">
      <c r="A2110" s="68"/>
      <c r="B2110" s="68"/>
      <c r="C2110" s="68"/>
      <c r="D2110" s="68"/>
      <c r="E2110" s="68"/>
      <c r="F2110" s="68"/>
    </row>
    <row r="2111" spans="1:10">
      <c r="A2111" s="68"/>
      <c r="B2111" s="68"/>
      <c r="C2111" s="68"/>
      <c r="D2111" s="68"/>
      <c r="E2111" s="68"/>
      <c r="F2111" s="68"/>
    </row>
    <row r="2112" spans="1:10" ht="16.8">
      <c r="A2112" s="68"/>
      <c r="B2112" s="68"/>
      <c r="C2112" s="64"/>
      <c r="D2112" s="64"/>
      <c r="E2112" s="64"/>
      <c r="F2112" s="64"/>
      <c r="G2112" s="65"/>
      <c r="H2112" s="65"/>
      <c r="I2112" s="65"/>
      <c r="J2112" s="65"/>
    </row>
    <row r="2114" spans="1:10">
      <c r="A2114" s="1012" t="str">
        <f>IF($A$39="","",PROPER('Huong dan'!$C$4))</f>
        <v/>
      </c>
      <c r="B2114" s="1012"/>
      <c r="D2114" s="1130" t="str">
        <f>IFERROR(IF($D$39="Giáo Viên Quản nhiệm",PROPER('Huong dan'!$C$4),IF($D$39="Hiệu trưởng",PROPER('Huong dan'!$E$5),"")),"")</f>
        <v/>
      </c>
      <c r="E2114" s="1130"/>
    </row>
    <row r="2115" spans="1:10" ht="7.5" customHeight="1"/>
    <row r="2116" spans="1:10" ht="11.25" customHeight="1">
      <c r="A2116" s="75"/>
      <c r="B2116" s="75"/>
      <c r="C2116" s="75"/>
      <c r="D2116" s="75"/>
      <c r="E2116" s="75"/>
      <c r="F2116" s="76" t="str">
        <f>IF(F2071="","",IF(F2071&lt;MAX(DiemHKII!$B$4:$B$58),F2071+1,""))</f>
        <v/>
      </c>
    </row>
    <row r="2117" spans="1:10" s="60" customFormat="1" ht="22.5" customHeight="1">
      <c r="A2117" s="1128" t="str">
        <f>IF('Huong dan'!$E$3&lt;&gt;"","SỞ GIÁO DỤC VÀ ĐÀO TẠO "&amp;UPPER('Huong dan'!$E$3),"")</f>
        <v>SỞ GIÁO DỤC VÀ ĐÀO TẠO TP. HỒ CHÍ MINH</v>
      </c>
      <c r="B2117" s="1128"/>
      <c r="C2117" s="1128"/>
      <c r="D2117" s="1129" t="s">
        <v>19</v>
      </c>
      <c r="E2117" s="1129"/>
      <c r="F2117" s="1129"/>
    </row>
    <row r="2118" spans="1:10" ht="17.25" customHeight="1">
      <c r="A2118" s="992" t="str">
        <f>IF('Huong dan'!$E$4&lt;&gt;"","TRƯỜNG "&amp;UPPER('Huong dan'!$E$4),"")</f>
        <v>TRƯỜNG THCS VÀ THPT NGUYỄN KHUYẾN</v>
      </c>
      <c r="B2118" s="992"/>
      <c r="C2118" s="992"/>
      <c r="D2118" s="1130" t="s">
        <v>179</v>
      </c>
      <c r="E2118" s="1130"/>
      <c r="F2118" s="1130"/>
    </row>
    <row r="2119" spans="1:10" ht="12" customHeight="1">
      <c r="A2119" s="69"/>
      <c r="B2119" s="69"/>
      <c r="C2119" s="30"/>
      <c r="D2119" s="30"/>
      <c r="E2119" s="30"/>
      <c r="F2119" s="30"/>
    </row>
    <row r="2120" spans="1:10" ht="18" customHeight="1">
      <c r="A2120" s="69"/>
      <c r="B2120" s="69"/>
      <c r="C2120" s="30"/>
      <c r="D2120" s="30"/>
      <c r="E2120" s="30"/>
      <c r="F2120" s="30"/>
    </row>
    <row r="2121" spans="1:10" ht="29.25" customHeight="1">
      <c r="A2121" s="1013" t="str">
        <f>"PHIẾU ĐIỂM NĂM HỌC "&amp;'Huong dan'!$C$5</f>
        <v>PHIẾU ĐIỂM NĂM HỌC 2021 - 2022</v>
      </c>
      <c r="B2121" s="1013"/>
      <c r="C2121" s="1013"/>
      <c r="D2121" s="1013"/>
      <c r="E2121" s="1013"/>
      <c r="F2121" s="1013"/>
    </row>
    <row r="2122" spans="1:10" ht="12.75" customHeight="1">
      <c r="A2122" s="70"/>
      <c r="B2122" s="66"/>
      <c r="C2122" s="66"/>
      <c r="D2122" s="66"/>
      <c r="E2122" s="66"/>
      <c r="F2122" s="66"/>
    </row>
    <row r="2123" spans="1:10" ht="20.25" customHeight="1">
      <c r="A2123" s="1131" t="s">
        <v>212</v>
      </c>
      <c r="B2123" s="1131"/>
      <c r="C2123" s="77" t="str">
        <f>IF(F2161="","",INDEX(DiemHKII!$E$4:$E$58,MATCH(F2161,DiemHKII!$B$4:$B$58,0),1)&amp;" "&amp;INDEX(DiemHKII!$F$4:$F$58,MATCH(F2161,DiemHKII!$B$4:$B$58,0),1))</f>
        <v/>
      </c>
      <c r="D2123" s="77"/>
      <c r="E2123" s="77"/>
      <c r="F2123" s="71" t="str">
        <f>IF('Huong dan'!$C$3="","","Lớp: "&amp;'Huong dan'!$C$3)</f>
        <v>Lớp: 12A1</v>
      </c>
    </row>
    <row r="2124" spans="1:10" ht="24" customHeight="1">
      <c r="A2124" s="1131" t="s">
        <v>213</v>
      </c>
      <c r="B2124" s="1131"/>
      <c r="C2124" s="77" t="str">
        <f>IF(F2161="","",INDEX(DiemHKII!$G$4:$G$58,MATCH(F2161,DiemHKII!$B$4:$B$58,0),1))</f>
        <v/>
      </c>
      <c r="D2124" s="77"/>
      <c r="E2124" s="1133" t="str">
        <f>IF(F2161="","","Nơi sinh: "&amp;INDEX(DiemHKII!$H$4:$H$58,MATCH(F2161,DiemHKII!$B$4:$B$58,0),1))</f>
        <v/>
      </c>
      <c r="F2124" s="1133"/>
    </row>
    <row r="2125" spans="1:10" ht="15" customHeight="1">
      <c r="A2125" s="62"/>
      <c r="B2125" s="62"/>
      <c r="C2125" s="62"/>
      <c r="D2125" s="62"/>
      <c r="E2125" s="62"/>
      <c r="F2125" s="63"/>
    </row>
    <row r="2126" spans="1:10" ht="21" customHeight="1">
      <c r="A2126" s="1134" t="s">
        <v>0</v>
      </c>
      <c r="B2126" s="1134" t="s">
        <v>72</v>
      </c>
      <c r="C2126" s="1134" t="s">
        <v>216</v>
      </c>
      <c r="D2126" s="1134"/>
      <c r="E2126" s="1134"/>
      <c r="F2126" s="1134" t="s">
        <v>148</v>
      </c>
    </row>
    <row r="2127" spans="1:10" ht="21" customHeight="1">
      <c r="A2127" s="1134"/>
      <c r="B2127" s="1134"/>
      <c r="C2127" s="476" t="s">
        <v>188</v>
      </c>
      <c r="D2127" s="476" t="s">
        <v>189</v>
      </c>
      <c r="E2127" s="476" t="s">
        <v>190</v>
      </c>
      <c r="F2127" s="1134"/>
    </row>
    <row r="2128" spans="1:10" ht="21" customHeight="1">
      <c r="A2128" s="72" t="s">
        <v>191</v>
      </c>
      <c r="B2128" s="73" t="s">
        <v>26</v>
      </c>
      <c r="C2128" s="74" t="str">
        <f>INDEX('TH CANAM'!$A$9:$BF$63,MATCH(PDNam!$F2161,'TH CANAM'!$A$9:$A$63,0),INDEX($J$13:$M$30,MATCH($B2128,$J$13:$J$30,0),K$12))</f>
        <v/>
      </c>
      <c r="D2128" s="74" t="str">
        <f>INDEX('TH CANAM'!$A$9:$BF$63,MATCH(PDNam!$F2161,'TH CANAM'!$A$9:$A$63,0),INDEX($J$13:$M$30,MATCH($B2128,$J$13:$J$30,0),L$12))</f>
        <v/>
      </c>
      <c r="E2128" s="74" t="str">
        <f>INDEX('TH CANAM'!$A$9:$BF$63,MATCH(PDNam!$F2161,'TH CANAM'!$A$9:$A$63,0),INDEX($J$13:$M$30,MATCH($B2128,$J$13:$J$30,0),M$12))</f>
        <v/>
      </c>
      <c r="F2128" s="73"/>
      <c r="I2128" s="64"/>
      <c r="J2128" s="64"/>
    </row>
    <row r="2129" spans="1:10" ht="21" customHeight="1">
      <c r="A2129" s="72" t="s">
        <v>192</v>
      </c>
      <c r="B2129" s="73" t="s">
        <v>27</v>
      </c>
      <c r="C2129" s="74" t="str">
        <f>INDEX('TH CANAM'!$A$9:$BF$63,MATCH(PDNam!$F2161,'TH CANAM'!$A$9:$A$63,0),INDEX($J$13:$M$30,MATCH($B2129,$J$13:$J$30,0),K$12))</f>
        <v/>
      </c>
      <c r="D2129" s="74" t="str">
        <f>INDEX('TH CANAM'!$A$9:$BF$63,MATCH(PDNam!$F2161,'TH CANAM'!$A$9:$A$63,0),INDEX($J$13:$M$30,MATCH($B2129,$J$13:$J$30,0),L$12))</f>
        <v/>
      </c>
      <c r="E2129" s="74" t="str">
        <f>INDEX('TH CANAM'!$A$9:$BF$63,MATCH(PDNam!$F2161,'TH CANAM'!$A$9:$A$63,0),INDEX($J$13:$M$30,MATCH($B2129,$J$13:$J$30,0),M$12))</f>
        <v/>
      </c>
      <c r="F2129" s="73"/>
      <c r="I2129" s="64"/>
      <c r="J2129" s="64"/>
    </row>
    <row r="2130" spans="1:10" ht="21" customHeight="1">
      <c r="A2130" s="72" t="s">
        <v>193</v>
      </c>
      <c r="B2130" s="73" t="s">
        <v>28</v>
      </c>
      <c r="C2130" s="74" t="str">
        <f>INDEX('TH CANAM'!$A$9:$BF$63,MATCH(PDNam!$F2161,'TH CANAM'!$A$9:$A$63,0),INDEX($J$13:$M$30,MATCH($B2130,$J$13:$J$30,0),K$12))</f>
        <v/>
      </c>
      <c r="D2130" s="74" t="str">
        <f>INDEX('TH CANAM'!$A$9:$BF$63,MATCH(PDNam!$F2161,'TH CANAM'!$A$9:$A$63,0),INDEX($J$13:$M$30,MATCH($B2130,$J$13:$J$30,0),L$12))</f>
        <v/>
      </c>
      <c r="E2130" s="74" t="str">
        <f>INDEX('TH CANAM'!$A$9:$BF$63,MATCH(PDNam!$F2161,'TH CANAM'!$A$9:$A$63,0),INDEX($J$13:$M$30,MATCH($B2130,$J$13:$J$30,0),M$12))</f>
        <v/>
      </c>
      <c r="F2130" s="73"/>
      <c r="I2130" s="64"/>
      <c r="J2130" s="64"/>
    </row>
    <row r="2131" spans="1:10" ht="21" customHeight="1">
      <c r="A2131" s="72" t="s">
        <v>194</v>
      </c>
      <c r="B2131" s="73" t="s">
        <v>29</v>
      </c>
      <c r="C2131" s="74" t="str">
        <f>INDEX('TH CANAM'!$A$9:$BF$63,MATCH(PDNam!$F2161,'TH CANAM'!$A$9:$A$63,0),INDEX($J$13:$M$30,MATCH($B2131,$J$13:$J$30,0),K$12))</f>
        <v/>
      </c>
      <c r="D2131" s="74" t="str">
        <f>INDEX('TH CANAM'!$A$9:$BF$63,MATCH(PDNam!$F2161,'TH CANAM'!$A$9:$A$63,0),INDEX($J$13:$M$30,MATCH($B2131,$J$13:$J$30,0),L$12))</f>
        <v/>
      </c>
      <c r="E2131" s="74" t="str">
        <f>INDEX('TH CANAM'!$A$9:$BF$63,MATCH(PDNam!$F2161,'TH CANAM'!$A$9:$A$63,0),INDEX($J$13:$M$30,MATCH($B2131,$J$13:$J$30,0),M$12))</f>
        <v/>
      </c>
      <c r="F2131" s="73"/>
      <c r="I2131" s="64"/>
      <c r="J2131" s="64"/>
    </row>
    <row r="2132" spans="1:10" ht="21" customHeight="1">
      <c r="A2132" s="72" t="s">
        <v>195</v>
      </c>
      <c r="B2132" s="73" t="s">
        <v>120</v>
      </c>
      <c r="C2132" s="74" t="str">
        <f>INDEX('TH CANAM'!$A$9:$BF$63,MATCH(PDNam!$F2161,'TH CANAM'!$A$9:$A$63,0),INDEX($J$13:$M$30,MATCH($B2132,$J$13:$J$30,0),K$12))</f>
        <v/>
      </c>
      <c r="D2132" s="74" t="str">
        <f>INDEX('TH CANAM'!$A$9:$BF$63,MATCH(PDNam!$F2161,'TH CANAM'!$A$9:$A$63,0),INDEX($J$13:$M$30,MATCH($B2132,$J$13:$J$30,0),L$12))</f>
        <v/>
      </c>
      <c r="E2132" s="74" t="str">
        <f>INDEX('TH CANAM'!$A$9:$BF$63,MATCH(PDNam!$F2161,'TH CANAM'!$A$9:$A$63,0),INDEX($J$13:$M$30,MATCH($B2132,$J$13:$J$30,0),M$12))</f>
        <v/>
      </c>
      <c r="F2132" s="73"/>
      <c r="I2132" s="64"/>
      <c r="J2132" s="64"/>
    </row>
    <row r="2133" spans="1:10" ht="21" customHeight="1">
      <c r="A2133" s="72" t="s">
        <v>196</v>
      </c>
      <c r="B2133" s="73" t="s">
        <v>30</v>
      </c>
      <c r="C2133" s="74" t="str">
        <f>INDEX('TH CANAM'!$A$9:$BF$63,MATCH(PDNam!$F2161,'TH CANAM'!$A$9:$A$63,0),INDEX($J$13:$M$30,MATCH($B2133,$J$13:$J$30,0),K$12))</f>
        <v/>
      </c>
      <c r="D2133" s="74" t="str">
        <f>INDEX('TH CANAM'!$A$9:$BF$63,MATCH(PDNam!$F2161,'TH CANAM'!$A$9:$A$63,0),INDEX($J$13:$M$30,MATCH($B2133,$J$13:$J$30,0),L$12))</f>
        <v/>
      </c>
      <c r="E2133" s="74" t="str">
        <f>INDEX('TH CANAM'!$A$9:$BF$63,MATCH(PDNam!$F2161,'TH CANAM'!$A$9:$A$63,0),INDEX($J$13:$M$30,MATCH($B2133,$J$13:$J$30,0),M$12))</f>
        <v/>
      </c>
      <c r="F2133" s="73"/>
      <c r="I2133" s="64"/>
      <c r="J2133" s="64"/>
    </row>
    <row r="2134" spans="1:10" ht="21" customHeight="1">
      <c r="A2134" s="72" t="s">
        <v>197</v>
      </c>
      <c r="B2134" s="73" t="s">
        <v>31</v>
      </c>
      <c r="C2134" s="74" t="str">
        <f>INDEX('TH CANAM'!$A$9:$BF$63,MATCH(PDNam!$F2161,'TH CANAM'!$A$9:$A$63,0),INDEX($J$13:$M$30,MATCH($B2134,$J$13:$J$30,0),K$12))</f>
        <v/>
      </c>
      <c r="D2134" s="74" t="str">
        <f>INDEX('TH CANAM'!$A$9:$BF$63,MATCH(PDNam!$F2161,'TH CANAM'!$A$9:$A$63,0),INDEX($J$13:$M$30,MATCH($B2134,$J$13:$J$30,0),L$12))</f>
        <v/>
      </c>
      <c r="E2134" s="74" t="str">
        <f>INDEX('TH CANAM'!$A$9:$BF$63,MATCH(PDNam!$F2161,'TH CANAM'!$A$9:$A$63,0),INDEX($J$13:$M$30,MATCH($B2134,$J$13:$J$30,0),M$12))</f>
        <v/>
      </c>
      <c r="F2134" s="73"/>
      <c r="I2134" s="64"/>
      <c r="J2134" s="64"/>
    </row>
    <row r="2135" spans="1:10" ht="21" customHeight="1">
      <c r="A2135" s="72" t="s">
        <v>198</v>
      </c>
      <c r="B2135" s="73" t="s">
        <v>32</v>
      </c>
      <c r="C2135" s="74" t="str">
        <f>INDEX('TH CANAM'!$A$9:$BF$63,MATCH(PDNam!$F2161,'TH CANAM'!$A$9:$A$63,0),INDEX($J$13:$M$30,MATCH($B2135,$J$13:$J$30,0),K$12))</f>
        <v/>
      </c>
      <c r="D2135" s="74" t="str">
        <f>INDEX('TH CANAM'!$A$9:$BF$63,MATCH(PDNam!$F2161,'TH CANAM'!$A$9:$A$63,0),INDEX($J$13:$M$30,MATCH($B2135,$J$13:$J$30,0),L$12))</f>
        <v/>
      </c>
      <c r="E2135" s="74" t="str">
        <f>INDEX('TH CANAM'!$A$9:$BF$63,MATCH(PDNam!$F2161,'TH CANAM'!$A$9:$A$63,0),INDEX($J$13:$M$30,MATCH($B2135,$J$13:$J$30,0),M$12))</f>
        <v/>
      </c>
      <c r="F2135" s="73"/>
      <c r="I2135" s="64"/>
      <c r="J2135" s="64"/>
    </row>
    <row r="2136" spans="1:10" ht="21" customHeight="1">
      <c r="A2136" s="72" t="s">
        <v>199</v>
      </c>
      <c r="B2136" s="73" t="s">
        <v>33</v>
      </c>
      <c r="C2136" s="74" t="str">
        <f>INDEX('TH CANAM'!$A$9:$BF$63,MATCH(PDNam!$F2161,'TH CANAM'!$A$9:$A$63,0),INDEX($J$13:$M$30,MATCH($B2136,$J$13:$J$30,0),K$12))</f>
        <v/>
      </c>
      <c r="D2136" s="74" t="str">
        <f>INDEX('TH CANAM'!$A$9:$BF$63,MATCH(PDNam!$F2161,'TH CANAM'!$A$9:$A$63,0),INDEX($J$13:$M$30,MATCH($B2136,$J$13:$J$30,0),L$12))</f>
        <v/>
      </c>
      <c r="E2136" s="74" t="str">
        <f>INDEX('TH CANAM'!$A$9:$BF$63,MATCH(PDNam!$F2161,'TH CANAM'!$A$9:$A$63,0),INDEX($J$13:$M$30,MATCH($B2136,$J$13:$J$30,0),M$12))</f>
        <v/>
      </c>
      <c r="F2136" s="73"/>
      <c r="I2136" s="64"/>
      <c r="J2136" s="64"/>
    </row>
    <row r="2137" spans="1:10" ht="21" customHeight="1">
      <c r="A2137" s="72" t="s">
        <v>200</v>
      </c>
      <c r="B2137" s="73" t="s">
        <v>60</v>
      </c>
      <c r="C2137" s="74" t="str">
        <f>INDEX('TH CANAM'!$A$9:$BF$63,MATCH(PDNam!$F2161,'TH CANAM'!$A$9:$A$63,0),INDEX($J$13:$M$30,MATCH($B2137,$J$13:$J$30,0),K$12))</f>
        <v/>
      </c>
      <c r="D2137" s="74" t="str">
        <f>INDEX('TH CANAM'!$A$9:$BF$63,MATCH(PDNam!$F2161,'TH CANAM'!$A$9:$A$63,0),INDEX($J$13:$M$30,MATCH($B2137,$J$13:$J$30,0),L$12))</f>
        <v/>
      </c>
      <c r="E2137" s="74" t="str">
        <f>INDEX('TH CANAM'!$A$9:$BF$63,MATCH(PDNam!$F2161,'TH CANAM'!$A$9:$A$63,0),INDEX($J$13:$M$30,MATCH($B2137,$J$13:$J$30,0),M$12))</f>
        <v/>
      </c>
      <c r="F2137" s="73"/>
      <c r="I2137" s="64"/>
      <c r="J2137" s="64"/>
    </row>
    <row r="2138" spans="1:10" ht="21" customHeight="1">
      <c r="A2138" s="72" t="s">
        <v>201</v>
      </c>
      <c r="B2138" s="73" t="s">
        <v>34</v>
      </c>
      <c r="C2138" s="74" t="str">
        <f>INDEX('TH CANAM'!$A$9:$BF$63,MATCH(PDNam!$F2161,'TH CANAM'!$A$9:$A$63,0),INDEX($J$13:$M$30,MATCH($B2138,$J$13:$J$30,0),K$12))</f>
        <v/>
      </c>
      <c r="D2138" s="74" t="str">
        <f>INDEX('TH CANAM'!$A$9:$BF$63,MATCH(PDNam!$F2161,'TH CANAM'!$A$9:$A$63,0),INDEX($J$13:$M$30,MATCH($B2138,$J$13:$J$30,0),L$12))</f>
        <v/>
      </c>
      <c r="E2138" s="74" t="str">
        <f>INDEX('TH CANAM'!$A$9:$BF$63,MATCH(PDNam!$F2161,'TH CANAM'!$A$9:$A$63,0),INDEX($J$13:$M$30,MATCH($B2138,$J$13:$J$30,0),M$12))</f>
        <v/>
      </c>
      <c r="F2138" s="73"/>
      <c r="I2138" s="64"/>
      <c r="J2138" s="64"/>
    </row>
    <row r="2139" spans="1:10" ht="21" customHeight="1">
      <c r="A2139" s="72" t="s">
        <v>202</v>
      </c>
      <c r="B2139" s="73" t="s">
        <v>35</v>
      </c>
      <c r="C2139" s="74" t="str">
        <f>INDEX('TH CANAM'!$A$9:$BF$63,MATCH(PDNam!$F2161,'TH CANAM'!$A$9:$A$63,0),INDEX($J$13:$M$30,MATCH($B2139,$J$13:$J$30,0),K$12))</f>
        <v/>
      </c>
      <c r="D2139" s="74" t="str">
        <f>INDEX('TH CANAM'!$A$9:$BF$63,MATCH(PDNam!$F2161,'TH CANAM'!$A$9:$A$63,0),INDEX($J$13:$M$30,MATCH($B2139,$J$13:$J$30,0),L$12))</f>
        <v/>
      </c>
      <c r="E2139" s="74" t="str">
        <f>INDEX('TH CANAM'!$A$9:$BF$63,MATCH(PDNam!$F2161,'TH CANAM'!$A$9:$A$63,0),INDEX($J$13:$M$30,MATCH($B2139,$J$13:$J$30,0),M$12))</f>
        <v/>
      </c>
      <c r="F2139" s="73"/>
      <c r="I2139" s="64"/>
      <c r="J2139" s="64"/>
    </row>
    <row r="2140" spans="1:10" ht="21" customHeight="1">
      <c r="A2140" s="72" t="s">
        <v>203</v>
      </c>
      <c r="B2140" s="73" t="s">
        <v>121</v>
      </c>
      <c r="C2140" s="74" t="str">
        <f>INDEX('TH CANAM'!$A$9:$BF$63,MATCH(PDNam!$F2161,'TH CANAM'!$A$9:$A$63,0),INDEX($J$13:$M$30,MATCH($B2140,$J$13:$J$30,0),K$12))</f>
        <v/>
      </c>
      <c r="D2140" s="74" t="str">
        <f>INDEX('TH CANAM'!$A$9:$BF$63,MATCH(PDNam!$F2161,'TH CANAM'!$A$9:$A$63,0),INDEX($J$13:$M$30,MATCH($B2140,$J$13:$J$30,0),L$12))</f>
        <v/>
      </c>
      <c r="E2140" s="74" t="str">
        <f>INDEX('TH CANAM'!$A$9:$BF$63,MATCH(PDNam!$F2161,'TH CANAM'!$A$9:$A$63,0),INDEX($J$13:$M$30,MATCH($B2140,$J$13:$J$30,0),M$12))</f>
        <v/>
      </c>
      <c r="F2140" s="73"/>
      <c r="I2140" s="64"/>
      <c r="J2140" s="64"/>
    </row>
    <row r="2141" spans="1:10" ht="21" customHeight="1">
      <c r="A2141" s="72" t="s">
        <v>204</v>
      </c>
      <c r="B2141" s="73" t="s">
        <v>122</v>
      </c>
      <c r="C2141" s="74" t="str">
        <f>INDEX('TH CANAM'!$A$9:$BF$63,MATCH(PDNam!$F2161,'TH CANAM'!$A$9:$A$63,0),INDEX($J$13:$M$30,MATCH($B2141,$J$13:$J$30,0),K$12))</f>
        <v/>
      </c>
      <c r="D2141" s="74" t="str">
        <f>INDEX('TH CANAM'!$A$9:$BF$63,MATCH(PDNam!$F2161,'TH CANAM'!$A$9:$A$63,0),INDEX($J$13:$M$30,MATCH($B2141,$J$13:$J$30,0),L$12))</f>
        <v/>
      </c>
      <c r="E2141" s="74" t="str">
        <f>INDEX('TH CANAM'!$A$9:$BF$63,MATCH(PDNam!$F2161,'TH CANAM'!$A$9:$A$63,0),INDEX($J$13:$M$30,MATCH($B2141,$J$13:$J$30,0),M$12))</f>
        <v/>
      </c>
      <c r="F2141" s="73"/>
      <c r="I2141" s="64"/>
      <c r="J2141" s="64"/>
    </row>
    <row r="2142" spans="1:10" ht="21" customHeight="1">
      <c r="A2142" s="72" t="s">
        <v>208</v>
      </c>
      <c r="B2142" s="73" t="s">
        <v>205</v>
      </c>
      <c r="C2142" s="78" t="str">
        <f>INDEX('TH CANAM'!$A$9:$BF$63,MATCH(PDNam!$F2161,'TH CANAM'!$A$9:$A$63,0),46)</f>
        <v/>
      </c>
      <c r="D2142" s="78" t="str">
        <f>INDEX('TH CANAM'!$A$9:$BF$63,MATCH(PDNam!$F2161,'TH CANAM'!$A$9:$A$63,0),47)</f>
        <v/>
      </c>
      <c r="E2142" s="78" t="str">
        <f>INDEX('TH CANAM'!$A$9:$BF$63,MATCH(PDNam!$F2161,'TH CANAM'!$A$9:$A$63,0),48)</f>
        <v/>
      </c>
      <c r="F2142" s="73"/>
      <c r="I2142" s="64"/>
      <c r="J2142" s="64"/>
    </row>
    <row r="2143" spans="1:10" ht="21" customHeight="1">
      <c r="A2143" s="72" t="s">
        <v>209</v>
      </c>
      <c r="B2143" s="72" t="s">
        <v>206</v>
      </c>
      <c r="C2143" s="74" t="str">
        <f>IF(INDEX('TH CANAM'!$A$9:$BF$63,MATCH(PDNam!$F2161,'TH CANAM'!$A$9:$A$63,0),49)="Tb","Trung bình",INDEX('TH CANAM'!$A$9:$BF$63,MATCH(PDNam!$F2161,'TH CANAM'!$A$9:$A$63,0),49))</f>
        <v/>
      </c>
      <c r="D2143" s="74" t="str">
        <f>IF(INDEX('TH CANAM'!$A$9:$BF$63,MATCH(PDNam!$F2161,'TH CANAM'!$A$9:$A$63,0),50)="Tb","Trung bình",INDEX('TH CANAM'!$A$9:$BF$63,MATCH(PDNam!$F2161,'TH CANAM'!$A$9:$A$63,0),50))</f>
        <v/>
      </c>
      <c r="E2143" s="74" t="str">
        <f>IF(INDEX('TH CANAM'!$A$9:$BF$63,MATCH(PDNam!$F2161,'TH CANAM'!$A$9:$A$63,0),51)="Tb","Trung bình",INDEX('TH CANAM'!$A$9:$BF$63,MATCH(PDNam!$F2161,'TH CANAM'!$A$9:$A$63,0),51))</f>
        <v/>
      </c>
      <c r="F2143" s="73"/>
    </row>
    <row r="2144" spans="1:10" ht="21" customHeight="1">
      <c r="A2144" s="72" t="s">
        <v>210</v>
      </c>
      <c r="B2144" s="72" t="s">
        <v>207</v>
      </c>
      <c r="C2144" s="74" t="str">
        <f>INDEX('TH CANAM'!$A$9:$BF$63,MATCH(PDNam!$F2161,'TH CANAM'!$A$9:$A$63,0),52)</f>
        <v/>
      </c>
      <c r="D2144" s="74" t="str">
        <f>INDEX('TH CANAM'!$A$9:$BF$63,MATCH(PDNam!$F2161,'TH CANAM'!$A$9:$A$63,0),53)</f>
        <v/>
      </c>
      <c r="E2144" s="74" t="str">
        <f>INDEX('TH CANAM'!$A$9:$BF$63,MATCH(PDNam!$F2161,'TH CANAM'!$A$9:$A$63,0),54)</f>
        <v/>
      </c>
      <c r="F2144" s="73"/>
    </row>
    <row r="2145" spans="1:10" ht="21" customHeight="1">
      <c r="A2145" s="72" t="s">
        <v>211</v>
      </c>
      <c r="B2145" s="72" t="s">
        <v>25</v>
      </c>
      <c r="C2145" s="74" t="str">
        <f>IF(INDEX('TH CANAM'!$A$9:$BF$63,MATCH(PDNam!$F2161,'TH CANAM'!$A$9:$A$63,0),57)&lt;&gt;"",INDEX('TH CANAM'!$A$9:$BF$63,MATCH(PDNam!$F2161,'TH CANAM'!$A$9:$A$63,0),57),"/")</f>
        <v>/</v>
      </c>
      <c r="D2145" s="74" t="str">
        <f>IF(INDEX('TH CANAM'!$A$9:$BF$63,MATCH(PDNam!$F2161,'TH CANAM'!$A$9:$A$63,0),58)&lt;&gt;"",INDEX('TH CANAM'!$A$9:$BF$63,MATCH(PDNam!$F2161,'TH CANAM'!$A$9:$A$63,0),58),"/")</f>
        <v>/</v>
      </c>
      <c r="E2145" s="74" t="str">
        <f>IF(INDEX('TH CANAM'!$A$9:$BF$63,MATCH(PDNam!$F2161,'TH CANAM'!$A$9:$A$63,0),55)&lt;&gt;"",INDEX('TH CANAM'!$A$9:$BF$63,MATCH(PDNam!$F2161,'TH CANAM'!$A$9:$A$63,0),55),"/")</f>
        <v>/</v>
      </c>
      <c r="F2145" s="73"/>
    </row>
    <row r="2146" spans="1:10" s="60" customFormat="1" ht="9" customHeight="1">
      <c r="A2146" s="67"/>
      <c r="B2146" s="67"/>
      <c r="C2146" s="1132"/>
      <c r="D2146" s="1132"/>
      <c r="E2146" s="67"/>
      <c r="F2146" s="67"/>
    </row>
    <row r="2147" spans="1:10" s="60" customFormat="1" ht="18.75" customHeight="1">
      <c r="A2147" s="58" t="s">
        <v>219</v>
      </c>
      <c r="B2147" s="57"/>
      <c r="C2147" s="57"/>
      <c r="D2147" s="57"/>
      <c r="E2147" s="57"/>
      <c r="F2147" s="475"/>
    </row>
    <row r="2148" spans="1:10" s="60" customFormat="1" ht="18.75" customHeight="1">
      <c r="A2148" s="59" t="str">
        <f>IF(F2161&lt;&gt;"",IF(INDEX(BDHK2,MATCH(F2161,DiemHKII!$B$4:$B$58,0),137)&lt;&gt;""," - "&amp;INDEX(BDHK2,MATCH(F2161,DiemHKII!$B$4:$B$58,0),137),""),"")</f>
        <v/>
      </c>
      <c r="B2148" s="57"/>
      <c r="C2148" s="57"/>
      <c r="D2148" s="57"/>
      <c r="E2148" s="57"/>
      <c r="F2148" s="475"/>
    </row>
    <row r="2149" spans="1:10" s="60" customFormat="1" ht="18.75" customHeight="1">
      <c r="A2149" s="59" t="str">
        <f>IF(F2161&lt;&gt;"",IF(INDEX(BDHK2,MATCH(F2161,DiemHKII!$B$4:$B$58,0),138)&lt;&gt;""," - "&amp;INDEX(BDHK2,MATCH(F2161,DiemHKII!$B$4:$B$58,0),138),""),"")</f>
        <v/>
      </c>
      <c r="B2149" s="57"/>
      <c r="C2149" s="57"/>
      <c r="D2149" s="57"/>
      <c r="E2149" s="57"/>
      <c r="F2149" s="475"/>
    </row>
    <row r="2150" spans="1:10" s="60" customFormat="1" ht="18.75" customHeight="1">
      <c r="A2150" s="59" t="str">
        <f>IF(F2161&lt;&gt;"",IF(INDEX(BDHK2,MATCH(F2161,DiemHKII!$B$4:$B$58,0),139)&lt;&gt;""," - "&amp;INDEX(BDHK2,MATCH(F2161,DiemHKII!$B$4:$B$58,0),139),""),"")</f>
        <v/>
      </c>
      <c r="B2150" s="57"/>
      <c r="C2150" s="57"/>
      <c r="D2150" s="57"/>
      <c r="E2150" s="57"/>
      <c r="F2150" s="475"/>
    </row>
    <row r="2151" spans="1:10" s="60" customFormat="1" ht="18.75" customHeight="1">
      <c r="A2151" s="59" t="str">
        <f>IF(F2161&lt;&gt;"",IF(INDEX(BDHK2,MATCH(F2161,DiemHKII!$B$4:$B$58,0),140)&lt;&gt;""," - "&amp;INDEX(BDHK2,MATCH(F2161,DiemHKII!$B$4:$B$58,0),140),""),"")</f>
        <v/>
      </c>
      <c r="B2151" s="57"/>
      <c r="C2151" s="57"/>
      <c r="D2151" s="57"/>
      <c r="E2151" s="57"/>
      <c r="F2151" s="67"/>
    </row>
    <row r="2152" spans="1:10" ht="6" customHeight="1">
      <c r="A2152" s="68"/>
      <c r="B2152" s="68"/>
      <c r="C2152" s="68"/>
      <c r="D2152" s="68"/>
      <c r="E2152" s="68"/>
      <c r="F2152" s="68"/>
    </row>
    <row r="2153" spans="1:10">
      <c r="A2153" s="68"/>
      <c r="B2153" s="68"/>
      <c r="C215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153" s="1060"/>
      <c r="E2153" s="1060"/>
      <c r="F2153" s="1060"/>
    </row>
    <row r="2154" spans="1:10" ht="20.25" customHeight="1">
      <c r="A2154" s="1012" t="str">
        <f>IF($D$39="Hiệu trưởng","Giáo viên Quản nhiệm","")</f>
        <v>Giáo viên Quản nhiệm</v>
      </c>
      <c r="B2154" s="1012"/>
      <c r="C2154" s="61"/>
      <c r="D2154" s="1012" t="str">
        <f>IF($H$7="","",$H$7)</f>
        <v>Hiệu trưởng</v>
      </c>
      <c r="E2154" s="1012"/>
      <c r="F2154" s="61"/>
    </row>
    <row r="2155" spans="1:10">
      <c r="A2155" s="68"/>
      <c r="B2155" s="68"/>
      <c r="C2155" s="68"/>
      <c r="D2155" s="68"/>
      <c r="E2155" s="68"/>
      <c r="F2155" s="68"/>
    </row>
    <row r="2156" spans="1:10">
      <c r="A2156" s="68"/>
      <c r="B2156" s="68"/>
      <c r="C2156" s="68"/>
      <c r="D2156" s="68"/>
      <c r="E2156" s="68"/>
      <c r="F2156" s="68"/>
    </row>
    <row r="2157" spans="1:10" ht="16.8">
      <c r="A2157" s="68"/>
      <c r="B2157" s="68"/>
      <c r="C2157" s="64"/>
      <c r="D2157" s="64"/>
      <c r="E2157" s="64"/>
      <c r="F2157" s="64"/>
      <c r="G2157" s="65"/>
      <c r="H2157" s="65"/>
      <c r="I2157" s="65"/>
      <c r="J2157" s="65"/>
    </row>
    <row r="2159" spans="1:10">
      <c r="A2159" s="1012" t="str">
        <f>IF($A$39="","",PROPER('Huong dan'!$C$4))</f>
        <v/>
      </c>
      <c r="B2159" s="1012"/>
      <c r="D2159" s="1130" t="str">
        <f>IFERROR(IF($D$39="Giáo Viên Quản nhiệm",PROPER('Huong dan'!$C$4),IF($D$39="Hiệu trưởng",PROPER('Huong dan'!$E$5),"")),"")</f>
        <v/>
      </c>
      <c r="E2159" s="1130"/>
    </row>
    <row r="2160" spans="1:10" ht="7.5" customHeight="1"/>
    <row r="2161" spans="1:10" ht="11.25" customHeight="1">
      <c r="A2161" s="75"/>
      <c r="B2161" s="75"/>
      <c r="C2161" s="75"/>
      <c r="D2161" s="75"/>
      <c r="E2161" s="75"/>
      <c r="F2161" s="76" t="str">
        <f>IF(F2116="","",IF(F2116&lt;MAX(DiemHKII!$B$4:$B$58),F2116+1,""))</f>
        <v/>
      </c>
    </row>
    <row r="2162" spans="1:10" s="60" customFormat="1" ht="22.5" customHeight="1">
      <c r="A2162" s="1128" t="str">
        <f>IF('Huong dan'!$E$3&lt;&gt;"","SỞ GIÁO DỤC VÀ ĐÀO TẠO "&amp;UPPER('Huong dan'!$E$3),"")</f>
        <v>SỞ GIÁO DỤC VÀ ĐÀO TẠO TP. HỒ CHÍ MINH</v>
      </c>
      <c r="B2162" s="1128"/>
      <c r="C2162" s="1128"/>
      <c r="D2162" s="1129" t="s">
        <v>19</v>
      </c>
      <c r="E2162" s="1129"/>
      <c r="F2162" s="1129"/>
    </row>
    <row r="2163" spans="1:10" ht="17.25" customHeight="1">
      <c r="A2163" s="992" t="str">
        <f>IF('Huong dan'!$E$4&lt;&gt;"","TRƯỜNG "&amp;UPPER('Huong dan'!$E$4),"")</f>
        <v>TRƯỜNG THCS VÀ THPT NGUYỄN KHUYẾN</v>
      </c>
      <c r="B2163" s="992"/>
      <c r="C2163" s="992"/>
      <c r="D2163" s="1130" t="s">
        <v>179</v>
      </c>
      <c r="E2163" s="1130"/>
      <c r="F2163" s="1130"/>
    </row>
    <row r="2164" spans="1:10" ht="12" customHeight="1">
      <c r="A2164" s="69"/>
      <c r="B2164" s="69"/>
      <c r="C2164" s="30"/>
      <c r="D2164" s="30"/>
      <c r="E2164" s="30"/>
      <c r="F2164" s="30"/>
    </row>
    <row r="2165" spans="1:10" ht="18" customHeight="1">
      <c r="A2165" s="69"/>
      <c r="B2165" s="69"/>
      <c r="C2165" s="30"/>
      <c r="D2165" s="30"/>
      <c r="E2165" s="30"/>
      <c r="F2165" s="30"/>
    </row>
    <row r="2166" spans="1:10" ht="29.25" customHeight="1">
      <c r="A2166" s="1013" t="str">
        <f>"PHIẾU ĐIỂM NĂM HỌC "&amp;'Huong dan'!$C$5</f>
        <v>PHIẾU ĐIỂM NĂM HỌC 2021 - 2022</v>
      </c>
      <c r="B2166" s="1013"/>
      <c r="C2166" s="1013"/>
      <c r="D2166" s="1013"/>
      <c r="E2166" s="1013"/>
      <c r="F2166" s="1013"/>
    </row>
    <row r="2167" spans="1:10" ht="12.75" customHeight="1">
      <c r="A2167" s="70"/>
      <c r="B2167" s="66"/>
      <c r="C2167" s="66"/>
      <c r="D2167" s="66"/>
      <c r="E2167" s="66"/>
      <c r="F2167" s="66"/>
    </row>
    <row r="2168" spans="1:10" ht="20.25" customHeight="1">
      <c r="A2168" s="1131" t="s">
        <v>212</v>
      </c>
      <c r="B2168" s="1131"/>
      <c r="C2168" s="77" t="str">
        <f>IF(F2206="","",INDEX(DiemHKII!$E$4:$E$58,MATCH(F2206,DiemHKII!$B$4:$B$58,0),1)&amp;" "&amp;INDEX(DiemHKII!$F$4:$F$58,MATCH(F2206,DiemHKII!$B$4:$B$58,0),1))</f>
        <v/>
      </c>
      <c r="D2168" s="77"/>
      <c r="E2168" s="77"/>
      <c r="F2168" s="71" t="str">
        <f>IF('Huong dan'!$C$3="","","Lớp: "&amp;'Huong dan'!$C$3)</f>
        <v>Lớp: 12A1</v>
      </c>
    </row>
    <row r="2169" spans="1:10" ht="24" customHeight="1">
      <c r="A2169" s="1131" t="s">
        <v>213</v>
      </c>
      <c r="B2169" s="1131"/>
      <c r="C2169" s="77" t="str">
        <f>IF(F2206="","",INDEX(DiemHKII!$G$4:$G$58,MATCH(F2206,DiemHKII!$B$4:$B$58,0),1))</f>
        <v/>
      </c>
      <c r="D2169" s="77"/>
      <c r="E2169" s="1133" t="str">
        <f>IF(F2206="","","Nơi sinh: "&amp;INDEX(DiemHKII!$H$4:$H$58,MATCH(F2206,DiemHKII!$B$4:$B$58,0),1))</f>
        <v/>
      </c>
      <c r="F2169" s="1133"/>
    </row>
    <row r="2170" spans="1:10" ht="15" customHeight="1">
      <c r="A2170" s="62"/>
      <c r="B2170" s="62"/>
      <c r="C2170" s="62"/>
      <c r="D2170" s="62"/>
      <c r="E2170" s="62"/>
      <c r="F2170" s="63"/>
    </row>
    <row r="2171" spans="1:10" ht="21" customHeight="1">
      <c r="A2171" s="1134" t="s">
        <v>0</v>
      </c>
      <c r="B2171" s="1134" t="s">
        <v>72</v>
      </c>
      <c r="C2171" s="1134" t="s">
        <v>216</v>
      </c>
      <c r="D2171" s="1134"/>
      <c r="E2171" s="1134"/>
      <c r="F2171" s="1134" t="s">
        <v>148</v>
      </c>
    </row>
    <row r="2172" spans="1:10" ht="21" customHeight="1">
      <c r="A2172" s="1134"/>
      <c r="B2172" s="1134"/>
      <c r="C2172" s="476" t="s">
        <v>188</v>
      </c>
      <c r="D2172" s="476" t="s">
        <v>189</v>
      </c>
      <c r="E2172" s="476" t="s">
        <v>190</v>
      </c>
      <c r="F2172" s="1134"/>
    </row>
    <row r="2173" spans="1:10" ht="21" customHeight="1">
      <c r="A2173" s="72" t="s">
        <v>191</v>
      </c>
      <c r="B2173" s="73" t="s">
        <v>26</v>
      </c>
      <c r="C2173" s="74" t="str">
        <f>INDEX('TH CANAM'!$A$9:$BF$63,MATCH(PDNam!$F2206,'TH CANAM'!$A$9:$A$63,0),INDEX($J$13:$M$30,MATCH($B2173,$J$13:$J$30,0),K$12))</f>
        <v/>
      </c>
      <c r="D2173" s="74" t="str">
        <f>INDEX('TH CANAM'!$A$9:$BF$63,MATCH(PDNam!$F2206,'TH CANAM'!$A$9:$A$63,0),INDEX($J$13:$M$30,MATCH($B2173,$J$13:$J$30,0),L$12))</f>
        <v/>
      </c>
      <c r="E2173" s="74" t="str">
        <f>INDEX('TH CANAM'!$A$9:$BF$63,MATCH(PDNam!$F2206,'TH CANAM'!$A$9:$A$63,0),INDEX($J$13:$M$30,MATCH($B2173,$J$13:$J$30,0),M$12))</f>
        <v/>
      </c>
      <c r="F2173" s="73"/>
      <c r="I2173" s="64"/>
      <c r="J2173" s="64"/>
    </row>
    <row r="2174" spans="1:10" ht="21" customHeight="1">
      <c r="A2174" s="72" t="s">
        <v>192</v>
      </c>
      <c r="B2174" s="73" t="s">
        <v>27</v>
      </c>
      <c r="C2174" s="74" t="str">
        <f>INDEX('TH CANAM'!$A$9:$BF$63,MATCH(PDNam!$F2206,'TH CANAM'!$A$9:$A$63,0),INDEX($J$13:$M$30,MATCH($B2174,$J$13:$J$30,0),K$12))</f>
        <v/>
      </c>
      <c r="D2174" s="74" t="str">
        <f>INDEX('TH CANAM'!$A$9:$BF$63,MATCH(PDNam!$F2206,'TH CANAM'!$A$9:$A$63,0),INDEX($J$13:$M$30,MATCH($B2174,$J$13:$J$30,0),L$12))</f>
        <v/>
      </c>
      <c r="E2174" s="74" t="str">
        <f>INDEX('TH CANAM'!$A$9:$BF$63,MATCH(PDNam!$F2206,'TH CANAM'!$A$9:$A$63,0),INDEX($J$13:$M$30,MATCH($B2174,$J$13:$J$30,0),M$12))</f>
        <v/>
      </c>
      <c r="F2174" s="73"/>
      <c r="I2174" s="64"/>
      <c r="J2174" s="64"/>
    </row>
    <row r="2175" spans="1:10" ht="21" customHeight="1">
      <c r="A2175" s="72" t="s">
        <v>193</v>
      </c>
      <c r="B2175" s="73" t="s">
        <v>28</v>
      </c>
      <c r="C2175" s="74" t="str">
        <f>INDEX('TH CANAM'!$A$9:$BF$63,MATCH(PDNam!$F2206,'TH CANAM'!$A$9:$A$63,0),INDEX($J$13:$M$30,MATCH($B2175,$J$13:$J$30,0),K$12))</f>
        <v/>
      </c>
      <c r="D2175" s="74" t="str">
        <f>INDEX('TH CANAM'!$A$9:$BF$63,MATCH(PDNam!$F2206,'TH CANAM'!$A$9:$A$63,0),INDEX($J$13:$M$30,MATCH($B2175,$J$13:$J$30,0),L$12))</f>
        <v/>
      </c>
      <c r="E2175" s="74" t="str">
        <f>INDEX('TH CANAM'!$A$9:$BF$63,MATCH(PDNam!$F2206,'TH CANAM'!$A$9:$A$63,0),INDEX($J$13:$M$30,MATCH($B2175,$J$13:$J$30,0),M$12))</f>
        <v/>
      </c>
      <c r="F2175" s="73"/>
      <c r="I2175" s="64"/>
      <c r="J2175" s="64"/>
    </row>
    <row r="2176" spans="1:10" ht="21" customHeight="1">
      <c r="A2176" s="72" t="s">
        <v>194</v>
      </c>
      <c r="B2176" s="73" t="s">
        <v>29</v>
      </c>
      <c r="C2176" s="74" t="str">
        <f>INDEX('TH CANAM'!$A$9:$BF$63,MATCH(PDNam!$F2206,'TH CANAM'!$A$9:$A$63,0),INDEX($J$13:$M$30,MATCH($B2176,$J$13:$J$30,0),K$12))</f>
        <v/>
      </c>
      <c r="D2176" s="74" t="str">
        <f>INDEX('TH CANAM'!$A$9:$BF$63,MATCH(PDNam!$F2206,'TH CANAM'!$A$9:$A$63,0),INDEX($J$13:$M$30,MATCH($B2176,$J$13:$J$30,0),L$12))</f>
        <v/>
      </c>
      <c r="E2176" s="74" t="str">
        <f>INDEX('TH CANAM'!$A$9:$BF$63,MATCH(PDNam!$F2206,'TH CANAM'!$A$9:$A$63,0),INDEX($J$13:$M$30,MATCH($B2176,$J$13:$J$30,0),M$12))</f>
        <v/>
      </c>
      <c r="F2176" s="73"/>
      <c r="I2176" s="64"/>
      <c r="J2176" s="64"/>
    </row>
    <row r="2177" spans="1:10" ht="21" customHeight="1">
      <c r="A2177" s="72" t="s">
        <v>195</v>
      </c>
      <c r="B2177" s="73" t="s">
        <v>120</v>
      </c>
      <c r="C2177" s="74" t="str">
        <f>INDEX('TH CANAM'!$A$9:$BF$63,MATCH(PDNam!$F2206,'TH CANAM'!$A$9:$A$63,0),INDEX($J$13:$M$30,MATCH($B2177,$J$13:$J$30,0),K$12))</f>
        <v/>
      </c>
      <c r="D2177" s="74" t="str">
        <f>INDEX('TH CANAM'!$A$9:$BF$63,MATCH(PDNam!$F2206,'TH CANAM'!$A$9:$A$63,0),INDEX($J$13:$M$30,MATCH($B2177,$J$13:$J$30,0),L$12))</f>
        <v/>
      </c>
      <c r="E2177" s="74" t="str">
        <f>INDEX('TH CANAM'!$A$9:$BF$63,MATCH(PDNam!$F2206,'TH CANAM'!$A$9:$A$63,0),INDEX($J$13:$M$30,MATCH($B2177,$J$13:$J$30,0),M$12))</f>
        <v/>
      </c>
      <c r="F2177" s="73"/>
      <c r="I2177" s="64"/>
      <c r="J2177" s="64"/>
    </row>
    <row r="2178" spans="1:10" ht="21" customHeight="1">
      <c r="A2178" s="72" t="s">
        <v>196</v>
      </c>
      <c r="B2178" s="73" t="s">
        <v>30</v>
      </c>
      <c r="C2178" s="74" t="str">
        <f>INDEX('TH CANAM'!$A$9:$BF$63,MATCH(PDNam!$F2206,'TH CANAM'!$A$9:$A$63,0),INDEX($J$13:$M$30,MATCH($B2178,$J$13:$J$30,0),K$12))</f>
        <v/>
      </c>
      <c r="D2178" s="74" t="str">
        <f>INDEX('TH CANAM'!$A$9:$BF$63,MATCH(PDNam!$F2206,'TH CANAM'!$A$9:$A$63,0),INDEX($J$13:$M$30,MATCH($B2178,$J$13:$J$30,0),L$12))</f>
        <v/>
      </c>
      <c r="E2178" s="74" t="str">
        <f>INDEX('TH CANAM'!$A$9:$BF$63,MATCH(PDNam!$F2206,'TH CANAM'!$A$9:$A$63,0),INDEX($J$13:$M$30,MATCH($B2178,$J$13:$J$30,0),M$12))</f>
        <v/>
      </c>
      <c r="F2178" s="73"/>
      <c r="I2178" s="64"/>
      <c r="J2178" s="64"/>
    </row>
    <row r="2179" spans="1:10" ht="21" customHeight="1">
      <c r="A2179" s="72" t="s">
        <v>197</v>
      </c>
      <c r="B2179" s="73" t="s">
        <v>31</v>
      </c>
      <c r="C2179" s="74" t="str">
        <f>INDEX('TH CANAM'!$A$9:$BF$63,MATCH(PDNam!$F2206,'TH CANAM'!$A$9:$A$63,0),INDEX($J$13:$M$30,MATCH($B2179,$J$13:$J$30,0),K$12))</f>
        <v/>
      </c>
      <c r="D2179" s="74" t="str">
        <f>INDEX('TH CANAM'!$A$9:$BF$63,MATCH(PDNam!$F2206,'TH CANAM'!$A$9:$A$63,0),INDEX($J$13:$M$30,MATCH($B2179,$J$13:$J$30,0),L$12))</f>
        <v/>
      </c>
      <c r="E2179" s="74" t="str">
        <f>INDEX('TH CANAM'!$A$9:$BF$63,MATCH(PDNam!$F2206,'TH CANAM'!$A$9:$A$63,0),INDEX($J$13:$M$30,MATCH($B2179,$J$13:$J$30,0),M$12))</f>
        <v/>
      </c>
      <c r="F2179" s="73"/>
      <c r="I2179" s="64"/>
      <c r="J2179" s="64"/>
    </row>
    <row r="2180" spans="1:10" ht="21" customHeight="1">
      <c r="A2180" s="72" t="s">
        <v>198</v>
      </c>
      <c r="B2180" s="73" t="s">
        <v>32</v>
      </c>
      <c r="C2180" s="74" t="str">
        <f>INDEX('TH CANAM'!$A$9:$BF$63,MATCH(PDNam!$F2206,'TH CANAM'!$A$9:$A$63,0),INDEX($J$13:$M$30,MATCH($B2180,$J$13:$J$30,0),K$12))</f>
        <v/>
      </c>
      <c r="D2180" s="74" t="str">
        <f>INDEX('TH CANAM'!$A$9:$BF$63,MATCH(PDNam!$F2206,'TH CANAM'!$A$9:$A$63,0),INDEX($J$13:$M$30,MATCH($B2180,$J$13:$J$30,0),L$12))</f>
        <v/>
      </c>
      <c r="E2180" s="74" t="str">
        <f>INDEX('TH CANAM'!$A$9:$BF$63,MATCH(PDNam!$F2206,'TH CANAM'!$A$9:$A$63,0),INDEX($J$13:$M$30,MATCH($B2180,$J$13:$J$30,0),M$12))</f>
        <v/>
      </c>
      <c r="F2180" s="73"/>
      <c r="I2180" s="64"/>
      <c r="J2180" s="64"/>
    </row>
    <row r="2181" spans="1:10" ht="21" customHeight="1">
      <c r="A2181" s="72" t="s">
        <v>199</v>
      </c>
      <c r="B2181" s="73" t="s">
        <v>33</v>
      </c>
      <c r="C2181" s="74" t="str">
        <f>INDEX('TH CANAM'!$A$9:$BF$63,MATCH(PDNam!$F2206,'TH CANAM'!$A$9:$A$63,0),INDEX($J$13:$M$30,MATCH($B2181,$J$13:$J$30,0),K$12))</f>
        <v/>
      </c>
      <c r="D2181" s="74" t="str">
        <f>INDEX('TH CANAM'!$A$9:$BF$63,MATCH(PDNam!$F2206,'TH CANAM'!$A$9:$A$63,0),INDEX($J$13:$M$30,MATCH($B2181,$J$13:$J$30,0),L$12))</f>
        <v/>
      </c>
      <c r="E2181" s="74" t="str">
        <f>INDEX('TH CANAM'!$A$9:$BF$63,MATCH(PDNam!$F2206,'TH CANAM'!$A$9:$A$63,0),INDEX($J$13:$M$30,MATCH($B2181,$J$13:$J$30,0),M$12))</f>
        <v/>
      </c>
      <c r="F2181" s="73"/>
      <c r="I2181" s="64"/>
      <c r="J2181" s="64"/>
    </row>
    <row r="2182" spans="1:10" ht="21" customHeight="1">
      <c r="A2182" s="72" t="s">
        <v>200</v>
      </c>
      <c r="B2182" s="73" t="s">
        <v>60</v>
      </c>
      <c r="C2182" s="74" t="str">
        <f>INDEX('TH CANAM'!$A$9:$BF$63,MATCH(PDNam!$F2206,'TH CANAM'!$A$9:$A$63,0),INDEX($J$13:$M$30,MATCH($B2182,$J$13:$J$30,0),K$12))</f>
        <v/>
      </c>
      <c r="D2182" s="74" t="str">
        <f>INDEX('TH CANAM'!$A$9:$BF$63,MATCH(PDNam!$F2206,'TH CANAM'!$A$9:$A$63,0),INDEX($J$13:$M$30,MATCH($B2182,$J$13:$J$30,0),L$12))</f>
        <v/>
      </c>
      <c r="E2182" s="74" t="str">
        <f>INDEX('TH CANAM'!$A$9:$BF$63,MATCH(PDNam!$F2206,'TH CANAM'!$A$9:$A$63,0),INDEX($J$13:$M$30,MATCH($B2182,$J$13:$J$30,0),M$12))</f>
        <v/>
      </c>
      <c r="F2182" s="73"/>
      <c r="I2182" s="64"/>
      <c r="J2182" s="64"/>
    </row>
    <row r="2183" spans="1:10" ht="21" customHeight="1">
      <c r="A2183" s="72" t="s">
        <v>201</v>
      </c>
      <c r="B2183" s="73" t="s">
        <v>34</v>
      </c>
      <c r="C2183" s="74" t="str">
        <f>INDEX('TH CANAM'!$A$9:$BF$63,MATCH(PDNam!$F2206,'TH CANAM'!$A$9:$A$63,0),INDEX($J$13:$M$30,MATCH($B2183,$J$13:$J$30,0),K$12))</f>
        <v/>
      </c>
      <c r="D2183" s="74" t="str">
        <f>INDEX('TH CANAM'!$A$9:$BF$63,MATCH(PDNam!$F2206,'TH CANAM'!$A$9:$A$63,0),INDEX($J$13:$M$30,MATCH($B2183,$J$13:$J$30,0),L$12))</f>
        <v/>
      </c>
      <c r="E2183" s="74" t="str">
        <f>INDEX('TH CANAM'!$A$9:$BF$63,MATCH(PDNam!$F2206,'TH CANAM'!$A$9:$A$63,0),INDEX($J$13:$M$30,MATCH($B2183,$J$13:$J$30,0),M$12))</f>
        <v/>
      </c>
      <c r="F2183" s="73"/>
      <c r="I2183" s="64"/>
      <c r="J2183" s="64"/>
    </row>
    <row r="2184" spans="1:10" ht="21" customHeight="1">
      <c r="A2184" s="72" t="s">
        <v>202</v>
      </c>
      <c r="B2184" s="73" t="s">
        <v>35</v>
      </c>
      <c r="C2184" s="74" t="str">
        <f>INDEX('TH CANAM'!$A$9:$BF$63,MATCH(PDNam!$F2206,'TH CANAM'!$A$9:$A$63,0),INDEX($J$13:$M$30,MATCH($B2184,$J$13:$J$30,0),K$12))</f>
        <v/>
      </c>
      <c r="D2184" s="74" t="str">
        <f>INDEX('TH CANAM'!$A$9:$BF$63,MATCH(PDNam!$F2206,'TH CANAM'!$A$9:$A$63,0),INDEX($J$13:$M$30,MATCH($B2184,$J$13:$J$30,0),L$12))</f>
        <v/>
      </c>
      <c r="E2184" s="74" t="str">
        <f>INDEX('TH CANAM'!$A$9:$BF$63,MATCH(PDNam!$F2206,'TH CANAM'!$A$9:$A$63,0),INDEX($J$13:$M$30,MATCH($B2184,$J$13:$J$30,0),M$12))</f>
        <v/>
      </c>
      <c r="F2184" s="73"/>
      <c r="I2184" s="64"/>
      <c r="J2184" s="64"/>
    </row>
    <row r="2185" spans="1:10" ht="21" customHeight="1">
      <c r="A2185" s="72" t="s">
        <v>203</v>
      </c>
      <c r="B2185" s="73" t="s">
        <v>121</v>
      </c>
      <c r="C2185" s="74" t="str">
        <f>INDEX('TH CANAM'!$A$9:$BF$63,MATCH(PDNam!$F2206,'TH CANAM'!$A$9:$A$63,0),INDEX($J$13:$M$30,MATCH($B2185,$J$13:$J$30,0),K$12))</f>
        <v/>
      </c>
      <c r="D2185" s="74" t="str">
        <f>INDEX('TH CANAM'!$A$9:$BF$63,MATCH(PDNam!$F2206,'TH CANAM'!$A$9:$A$63,0),INDEX($J$13:$M$30,MATCH($B2185,$J$13:$J$30,0),L$12))</f>
        <v/>
      </c>
      <c r="E2185" s="74" t="str">
        <f>INDEX('TH CANAM'!$A$9:$BF$63,MATCH(PDNam!$F2206,'TH CANAM'!$A$9:$A$63,0),INDEX($J$13:$M$30,MATCH($B2185,$J$13:$J$30,0),M$12))</f>
        <v/>
      </c>
      <c r="F2185" s="73"/>
      <c r="I2185" s="64"/>
      <c r="J2185" s="64"/>
    </row>
    <row r="2186" spans="1:10" ht="21" customHeight="1">
      <c r="A2186" s="72" t="s">
        <v>204</v>
      </c>
      <c r="B2186" s="73" t="s">
        <v>122</v>
      </c>
      <c r="C2186" s="74" t="str">
        <f>INDEX('TH CANAM'!$A$9:$BF$63,MATCH(PDNam!$F2206,'TH CANAM'!$A$9:$A$63,0),INDEX($J$13:$M$30,MATCH($B2186,$J$13:$J$30,0),K$12))</f>
        <v/>
      </c>
      <c r="D2186" s="74" t="str">
        <f>INDEX('TH CANAM'!$A$9:$BF$63,MATCH(PDNam!$F2206,'TH CANAM'!$A$9:$A$63,0),INDEX($J$13:$M$30,MATCH($B2186,$J$13:$J$30,0),L$12))</f>
        <v/>
      </c>
      <c r="E2186" s="74" t="str">
        <f>INDEX('TH CANAM'!$A$9:$BF$63,MATCH(PDNam!$F2206,'TH CANAM'!$A$9:$A$63,0),INDEX($J$13:$M$30,MATCH($B2186,$J$13:$J$30,0),M$12))</f>
        <v/>
      </c>
      <c r="F2186" s="73"/>
      <c r="I2186" s="64"/>
      <c r="J2186" s="64"/>
    </row>
    <row r="2187" spans="1:10" ht="21" customHeight="1">
      <c r="A2187" s="72" t="s">
        <v>208</v>
      </c>
      <c r="B2187" s="73" t="s">
        <v>205</v>
      </c>
      <c r="C2187" s="78" t="str">
        <f>INDEX('TH CANAM'!$A$9:$BF$63,MATCH(PDNam!$F2206,'TH CANAM'!$A$9:$A$63,0),46)</f>
        <v/>
      </c>
      <c r="D2187" s="78" t="str">
        <f>INDEX('TH CANAM'!$A$9:$BF$63,MATCH(PDNam!$F2206,'TH CANAM'!$A$9:$A$63,0),47)</f>
        <v/>
      </c>
      <c r="E2187" s="78" t="str">
        <f>INDEX('TH CANAM'!$A$9:$BF$63,MATCH(PDNam!$F2206,'TH CANAM'!$A$9:$A$63,0),48)</f>
        <v/>
      </c>
      <c r="F2187" s="73"/>
      <c r="I2187" s="64"/>
      <c r="J2187" s="64"/>
    </row>
    <row r="2188" spans="1:10" ht="21" customHeight="1">
      <c r="A2188" s="72" t="s">
        <v>209</v>
      </c>
      <c r="B2188" s="72" t="s">
        <v>206</v>
      </c>
      <c r="C2188" s="74" t="str">
        <f>IF(INDEX('TH CANAM'!$A$9:$BF$63,MATCH(PDNam!$F2206,'TH CANAM'!$A$9:$A$63,0),49)="Tb","Trung bình",INDEX('TH CANAM'!$A$9:$BF$63,MATCH(PDNam!$F2206,'TH CANAM'!$A$9:$A$63,0),49))</f>
        <v/>
      </c>
      <c r="D2188" s="74" t="str">
        <f>IF(INDEX('TH CANAM'!$A$9:$BF$63,MATCH(PDNam!$F2206,'TH CANAM'!$A$9:$A$63,0),50)="Tb","Trung bình",INDEX('TH CANAM'!$A$9:$BF$63,MATCH(PDNam!$F2206,'TH CANAM'!$A$9:$A$63,0),50))</f>
        <v/>
      </c>
      <c r="E2188" s="74" t="str">
        <f>IF(INDEX('TH CANAM'!$A$9:$BF$63,MATCH(PDNam!$F2206,'TH CANAM'!$A$9:$A$63,0),51)="Tb","Trung bình",INDEX('TH CANAM'!$A$9:$BF$63,MATCH(PDNam!$F2206,'TH CANAM'!$A$9:$A$63,0),51))</f>
        <v/>
      </c>
      <c r="F2188" s="73"/>
    </row>
    <row r="2189" spans="1:10" ht="21" customHeight="1">
      <c r="A2189" s="72" t="s">
        <v>210</v>
      </c>
      <c r="B2189" s="72" t="s">
        <v>207</v>
      </c>
      <c r="C2189" s="74" t="str">
        <f>INDEX('TH CANAM'!$A$9:$BF$63,MATCH(PDNam!$F2206,'TH CANAM'!$A$9:$A$63,0),52)</f>
        <v/>
      </c>
      <c r="D2189" s="74" t="str">
        <f>INDEX('TH CANAM'!$A$9:$BF$63,MATCH(PDNam!$F2206,'TH CANAM'!$A$9:$A$63,0),53)</f>
        <v/>
      </c>
      <c r="E2189" s="74" t="str">
        <f>INDEX('TH CANAM'!$A$9:$BF$63,MATCH(PDNam!$F2206,'TH CANAM'!$A$9:$A$63,0),54)</f>
        <v/>
      </c>
      <c r="F2189" s="73"/>
    </row>
    <row r="2190" spans="1:10" ht="21" customHeight="1">
      <c r="A2190" s="72" t="s">
        <v>211</v>
      </c>
      <c r="B2190" s="72" t="s">
        <v>25</v>
      </c>
      <c r="C2190" s="74" t="str">
        <f>IF(INDEX('TH CANAM'!$A$9:$BF$63,MATCH(PDNam!$F2206,'TH CANAM'!$A$9:$A$63,0),57)&lt;&gt;"",INDEX('TH CANAM'!$A$9:$BF$63,MATCH(PDNam!$F2206,'TH CANAM'!$A$9:$A$63,0),57),"/")</f>
        <v>/</v>
      </c>
      <c r="D2190" s="74" t="str">
        <f>IF(INDEX('TH CANAM'!$A$9:$BF$63,MATCH(PDNam!$F2206,'TH CANAM'!$A$9:$A$63,0),58)&lt;&gt;"",INDEX('TH CANAM'!$A$9:$BF$63,MATCH(PDNam!$F2206,'TH CANAM'!$A$9:$A$63,0),58),"/")</f>
        <v>/</v>
      </c>
      <c r="E2190" s="74" t="str">
        <f>IF(INDEX('TH CANAM'!$A$9:$BF$63,MATCH(PDNam!$F2206,'TH CANAM'!$A$9:$A$63,0),55)&lt;&gt;"",INDEX('TH CANAM'!$A$9:$BF$63,MATCH(PDNam!$F2206,'TH CANAM'!$A$9:$A$63,0),55),"/")</f>
        <v>/</v>
      </c>
      <c r="F2190" s="73"/>
    </row>
    <row r="2191" spans="1:10" s="60" customFormat="1" ht="9" customHeight="1">
      <c r="A2191" s="67"/>
      <c r="B2191" s="67"/>
      <c r="C2191" s="1132"/>
      <c r="D2191" s="1132"/>
      <c r="E2191" s="67"/>
      <c r="F2191" s="67"/>
    </row>
    <row r="2192" spans="1:10" s="60" customFormat="1" ht="18.75" customHeight="1">
      <c r="A2192" s="58" t="s">
        <v>219</v>
      </c>
      <c r="B2192" s="57"/>
      <c r="C2192" s="57"/>
      <c r="D2192" s="57"/>
      <c r="E2192" s="57"/>
      <c r="F2192" s="475"/>
    </row>
    <row r="2193" spans="1:10" s="60" customFormat="1" ht="18.75" customHeight="1">
      <c r="A2193" s="59" t="str">
        <f>IF(F2206&lt;&gt;"",IF(INDEX(BDHK2,MATCH(F2206,DiemHKII!$B$4:$B$58,0),137)&lt;&gt;""," - "&amp;INDEX(BDHK2,MATCH(F2206,DiemHKII!$B$4:$B$58,0),137),""),"")</f>
        <v/>
      </c>
      <c r="B2193" s="57"/>
      <c r="C2193" s="57"/>
      <c r="D2193" s="57"/>
      <c r="E2193" s="57"/>
      <c r="F2193" s="475"/>
    </row>
    <row r="2194" spans="1:10" s="60" customFormat="1" ht="18.75" customHeight="1">
      <c r="A2194" s="59" t="str">
        <f>IF(F2206&lt;&gt;"",IF(INDEX(BDHK2,MATCH(F2206,DiemHKII!$B$4:$B$58,0),138)&lt;&gt;""," - "&amp;INDEX(BDHK2,MATCH(F2206,DiemHKII!$B$4:$B$58,0),138),""),"")</f>
        <v/>
      </c>
      <c r="B2194" s="57"/>
      <c r="C2194" s="57"/>
      <c r="D2194" s="57"/>
      <c r="E2194" s="57"/>
      <c r="F2194" s="475"/>
    </row>
    <row r="2195" spans="1:10" s="60" customFormat="1" ht="18.75" customHeight="1">
      <c r="A2195" s="59" t="str">
        <f>IF(F2206&lt;&gt;"",IF(INDEX(BDHK2,MATCH(F2206,DiemHKII!$B$4:$B$58,0),139)&lt;&gt;""," - "&amp;INDEX(BDHK2,MATCH(F2206,DiemHKII!$B$4:$B$58,0),139),""),"")</f>
        <v/>
      </c>
      <c r="B2195" s="57"/>
      <c r="C2195" s="57"/>
      <c r="D2195" s="57"/>
      <c r="E2195" s="57"/>
      <c r="F2195" s="475"/>
    </row>
    <row r="2196" spans="1:10" s="60" customFormat="1" ht="18.75" customHeight="1">
      <c r="A2196" s="59" t="str">
        <f>IF(F2206&lt;&gt;"",IF(INDEX(BDHK2,MATCH(F2206,DiemHKII!$B$4:$B$58,0),140)&lt;&gt;""," - "&amp;INDEX(BDHK2,MATCH(F2206,DiemHKII!$B$4:$B$58,0),140),""),"")</f>
        <v/>
      </c>
      <c r="B2196" s="57"/>
      <c r="C2196" s="57"/>
      <c r="D2196" s="57"/>
      <c r="E2196" s="57"/>
      <c r="F2196" s="67"/>
    </row>
    <row r="2197" spans="1:10" ht="6" customHeight="1">
      <c r="A2197" s="68"/>
      <c r="B2197" s="68"/>
      <c r="C2197" s="68"/>
      <c r="D2197" s="68"/>
      <c r="E2197" s="68"/>
      <c r="F2197" s="68"/>
    </row>
    <row r="2198" spans="1:10">
      <c r="A2198" s="68"/>
      <c r="B2198" s="68"/>
      <c r="C219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198" s="1060"/>
      <c r="E2198" s="1060"/>
      <c r="F2198" s="1060"/>
    </row>
    <row r="2199" spans="1:10" ht="20.25" customHeight="1">
      <c r="A2199" s="1012" t="str">
        <f>IF($D$39="Hiệu trưởng","Giáo viên Quản nhiệm","")</f>
        <v>Giáo viên Quản nhiệm</v>
      </c>
      <c r="B2199" s="1012"/>
      <c r="C2199" s="61"/>
      <c r="D2199" s="1012" t="str">
        <f>IF($H$7="","",$H$7)</f>
        <v>Hiệu trưởng</v>
      </c>
      <c r="E2199" s="1012"/>
      <c r="F2199" s="61"/>
    </row>
    <row r="2200" spans="1:10">
      <c r="A2200" s="68"/>
      <c r="B2200" s="68"/>
      <c r="C2200" s="68"/>
      <c r="D2200" s="68"/>
      <c r="E2200" s="68"/>
      <c r="F2200" s="68"/>
    </row>
    <row r="2201" spans="1:10">
      <c r="A2201" s="68"/>
      <c r="B2201" s="68"/>
      <c r="C2201" s="68"/>
      <c r="D2201" s="68"/>
      <c r="E2201" s="68"/>
      <c r="F2201" s="68"/>
    </row>
    <row r="2202" spans="1:10" ht="16.8">
      <c r="A2202" s="68"/>
      <c r="B2202" s="68"/>
      <c r="C2202" s="64"/>
      <c r="D2202" s="64"/>
      <c r="E2202" s="64"/>
      <c r="F2202" s="64"/>
      <c r="G2202" s="65"/>
      <c r="H2202" s="65"/>
      <c r="I2202" s="65"/>
      <c r="J2202" s="65"/>
    </row>
    <row r="2204" spans="1:10">
      <c r="A2204" s="1012" t="str">
        <f>IF($A$39="","",PROPER('Huong dan'!$C$4))</f>
        <v/>
      </c>
      <c r="B2204" s="1012"/>
      <c r="D2204" s="1130" t="str">
        <f>IFERROR(IF($D$39="Giáo Viên Quản nhiệm",PROPER('Huong dan'!$C$4),IF($D$39="Hiệu trưởng",PROPER('Huong dan'!$E$5),"")),"")</f>
        <v/>
      </c>
      <c r="E2204" s="1130"/>
    </row>
    <row r="2205" spans="1:10" ht="7.5" customHeight="1"/>
    <row r="2206" spans="1:10" ht="11.25" customHeight="1">
      <c r="A2206" s="75"/>
      <c r="B2206" s="75"/>
      <c r="C2206" s="75"/>
      <c r="D2206" s="75"/>
      <c r="E2206" s="75"/>
      <c r="F2206" s="76" t="str">
        <f>IF(F2161="","",IF(F2161&lt;MAX(DiemHKII!$B$4:$B$58),F2161+1,""))</f>
        <v/>
      </c>
    </row>
    <row r="2207" spans="1:10" s="60" customFormat="1" ht="22.5" customHeight="1">
      <c r="A2207" s="1128" t="str">
        <f>IF('Huong dan'!$E$3&lt;&gt;"","SỞ GIÁO DỤC VÀ ĐÀO TẠO "&amp;UPPER('Huong dan'!$E$3),"")</f>
        <v>SỞ GIÁO DỤC VÀ ĐÀO TẠO TP. HỒ CHÍ MINH</v>
      </c>
      <c r="B2207" s="1128"/>
      <c r="C2207" s="1128"/>
      <c r="D2207" s="1129" t="s">
        <v>19</v>
      </c>
      <c r="E2207" s="1129"/>
      <c r="F2207" s="1129"/>
    </row>
    <row r="2208" spans="1:10" ht="17.25" customHeight="1">
      <c r="A2208" s="992" t="str">
        <f>IF('Huong dan'!$E$4&lt;&gt;"","TRƯỜNG "&amp;UPPER('Huong dan'!$E$4),"")</f>
        <v>TRƯỜNG THCS VÀ THPT NGUYỄN KHUYẾN</v>
      </c>
      <c r="B2208" s="992"/>
      <c r="C2208" s="992"/>
      <c r="D2208" s="1130" t="s">
        <v>179</v>
      </c>
      <c r="E2208" s="1130"/>
      <c r="F2208" s="1130"/>
    </row>
    <row r="2209" spans="1:10" ht="12" customHeight="1">
      <c r="A2209" s="69"/>
      <c r="B2209" s="69"/>
      <c r="C2209" s="30"/>
      <c r="D2209" s="30"/>
      <c r="E2209" s="30"/>
      <c r="F2209" s="30"/>
    </row>
    <row r="2210" spans="1:10" ht="18" customHeight="1">
      <c r="A2210" s="69"/>
      <c r="B2210" s="69"/>
      <c r="C2210" s="30"/>
      <c r="D2210" s="30"/>
      <c r="E2210" s="30"/>
      <c r="F2210" s="30"/>
    </row>
    <row r="2211" spans="1:10" ht="29.25" customHeight="1">
      <c r="A2211" s="1013" t="str">
        <f>"PHIẾU ĐIỂM NĂM HỌC "&amp;'Huong dan'!$C$5</f>
        <v>PHIẾU ĐIỂM NĂM HỌC 2021 - 2022</v>
      </c>
      <c r="B2211" s="1013"/>
      <c r="C2211" s="1013"/>
      <c r="D2211" s="1013"/>
      <c r="E2211" s="1013"/>
      <c r="F2211" s="1013"/>
    </row>
    <row r="2212" spans="1:10" ht="12.75" customHeight="1">
      <c r="A2212" s="70"/>
      <c r="B2212" s="66"/>
      <c r="C2212" s="66"/>
      <c r="D2212" s="66"/>
      <c r="E2212" s="66"/>
      <c r="F2212" s="66"/>
    </row>
    <row r="2213" spans="1:10" ht="20.25" customHeight="1">
      <c r="A2213" s="1131" t="s">
        <v>212</v>
      </c>
      <c r="B2213" s="1131"/>
      <c r="C2213" s="77" t="str">
        <f>IF(F2251="","",INDEX(DiemHKII!$E$4:$E$58,MATCH(F2251,DiemHKII!$B$4:$B$58,0),1)&amp;" "&amp;INDEX(DiemHKII!$F$4:$F$58,MATCH(F2251,DiemHKII!$B$4:$B$58,0),1))</f>
        <v/>
      </c>
      <c r="D2213" s="77"/>
      <c r="E2213" s="77"/>
      <c r="F2213" s="71" t="str">
        <f>IF('Huong dan'!$C$3="","","Lớp: "&amp;'Huong dan'!$C$3)</f>
        <v>Lớp: 12A1</v>
      </c>
    </row>
    <row r="2214" spans="1:10" ht="24" customHeight="1">
      <c r="A2214" s="1131" t="s">
        <v>213</v>
      </c>
      <c r="B2214" s="1131"/>
      <c r="C2214" s="77" t="str">
        <f>IF(F2251="","",INDEX(DiemHKII!$G$4:$G$58,MATCH(F2251,DiemHKII!$B$4:$B$58,0),1))</f>
        <v/>
      </c>
      <c r="D2214" s="77"/>
      <c r="E2214" s="1133" t="str">
        <f>IF(F2251="","","Nơi sinh: "&amp;INDEX(DiemHKII!$H$4:$H$58,MATCH(F2251,DiemHKII!$B$4:$B$58,0),1))</f>
        <v/>
      </c>
      <c r="F2214" s="1133"/>
    </row>
    <row r="2215" spans="1:10" ht="15" customHeight="1">
      <c r="A2215" s="62"/>
      <c r="B2215" s="62"/>
      <c r="C2215" s="62"/>
      <c r="D2215" s="62"/>
      <c r="E2215" s="62"/>
      <c r="F2215" s="63"/>
    </row>
    <row r="2216" spans="1:10" ht="21" customHeight="1">
      <c r="A2216" s="1134" t="s">
        <v>0</v>
      </c>
      <c r="B2216" s="1134" t="s">
        <v>72</v>
      </c>
      <c r="C2216" s="1134" t="s">
        <v>216</v>
      </c>
      <c r="D2216" s="1134"/>
      <c r="E2216" s="1134"/>
      <c r="F2216" s="1134" t="s">
        <v>148</v>
      </c>
    </row>
    <row r="2217" spans="1:10" ht="21" customHeight="1">
      <c r="A2217" s="1134"/>
      <c r="B2217" s="1134"/>
      <c r="C2217" s="476" t="s">
        <v>188</v>
      </c>
      <c r="D2217" s="476" t="s">
        <v>189</v>
      </c>
      <c r="E2217" s="476" t="s">
        <v>190</v>
      </c>
      <c r="F2217" s="1134"/>
    </row>
    <row r="2218" spans="1:10" ht="21" customHeight="1">
      <c r="A2218" s="72" t="s">
        <v>191</v>
      </c>
      <c r="B2218" s="73" t="s">
        <v>26</v>
      </c>
      <c r="C2218" s="74" t="str">
        <f>INDEX('TH CANAM'!$A$9:$BF$63,MATCH(PDNam!$F2251,'TH CANAM'!$A$9:$A$63,0),INDEX($J$13:$M$30,MATCH($B2218,$J$13:$J$30,0),K$12))</f>
        <v/>
      </c>
      <c r="D2218" s="74" t="str">
        <f>INDEX('TH CANAM'!$A$9:$BF$63,MATCH(PDNam!$F2251,'TH CANAM'!$A$9:$A$63,0),INDEX($J$13:$M$30,MATCH($B2218,$J$13:$J$30,0),L$12))</f>
        <v/>
      </c>
      <c r="E2218" s="74" t="str">
        <f>INDEX('TH CANAM'!$A$9:$BF$63,MATCH(PDNam!$F2251,'TH CANAM'!$A$9:$A$63,0),INDEX($J$13:$M$30,MATCH($B2218,$J$13:$J$30,0),M$12))</f>
        <v/>
      </c>
      <c r="F2218" s="73"/>
      <c r="I2218" s="64"/>
      <c r="J2218" s="64"/>
    </row>
    <row r="2219" spans="1:10" ht="21" customHeight="1">
      <c r="A2219" s="72" t="s">
        <v>192</v>
      </c>
      <c r="B2219" s="73" t="s">
        <v>27</v>
      </c>
      <c r="C2219" s="74" t="str">
        <f>INDEX('TH CANAM'!$A$9:$BF$63,MATCH(PDNam!$F2251,'TH CANAM'!$A$9:$A$63,0),INDEX($J$13:$M$30,MATCH($B2219,$J$13:$J$30,0),K$12))</f>
        <v/>
      </c>
      <c r="D2219" s="74" t="str">
        <f>INDEX('TH CANAM'!$A$9:$BF$63,MATCH(PDNam!$F2251,'TH CANAM'!$A$9:$A$63,0),INDEX($J$13:$M$30,MATCH($B2219,$J$13:$J$30,0),L$12))</f>
        <v/>
      </c>
      <c r="E2219" s="74" t="str">
        <f>INDEX('TH CANAM'!$A$9:$BF$63,MATCH(PDNam!$F2251,'TH CANAM'!$A$9:$A$63,0),INDEX($J$13:$M$30,MATCH($B2219,$J$13:$J$30,0),M$12))</f>
        <v/>
      </c>
      <c r="F2219" s="73"/>
      <c r="I2219" s="64"/>
      <c r="J2219" s="64"/>
    </row>
    <row r="2220" spans="1:10" ht="21" customHeight="1">
      <c r="A2220" s="72" t="s">
        <v>193</v>
      </c>
      <c r="B2220" s="73" t="s">
        <v>28</v>
      </c>
      <c r="C2220" s="74" t="str">
        <f>INDEX('TH CANAM'!$A$9:$BF$63,MATCH(PDNam!$F2251,'TH CANAM'!$A$9:$A$63,0),INDEX($J$13:$M$30,MATCH($B2220,$J$13:$J$30,0),K$12))</f>
        <v/>
      </c>
      <c r="D2220" s="74" t="str">
        <f>INDEX('TH CANAM'!$A$9:$BF$63,MATCH(PDNam!$F2251,'TH CANAM'!$A$9:$A$63,0),INDEX($J$13:$M$30,MATCH($B2220,$J$13:$J$30,0),L$12))</f>
        <v/>
      </c>
      <c r="E2220" s="74" t="str">
        <f>INDEX('TH CANAM'!$A$9:$BF$63,MATCH(PDNam!$F2251,'TH CANAM'!$A$9:$A$63,0),INDEX($J$13:$M$30,MATCH($B2220,$J$13:$J$30,0),M$12))</f>
        <v/>
      </c>
      <c r="F2220" s="73"/>
      <c r="I2220" s="64"/>
      <c r="J2220" s="64"/>
    </row>
    <row r="2221" spans="1:10" ht="21" customHeight="1">
      <c r="A2221" s="72" t="s">
        <v>194</v>
      </c>
      <c r="B2221" s="73" t="s">
        <v>29</v>
      </c>
      <c r="C2221" s="74" t="str">
        <f>INDEX('TH CANAM'!$A$9:$BF$63,MATCH(PDNam!$F2251,'TH CANAM'!$A$9:$A$63,0),INDEX($J$13:$M$30,MATCH($B2221,$J$13:$J$30,0),K$12))</f>
        <v/>
      </c>
      <c r="D2221" s="74" t="str">
        <f>INDEX('TH CANAM'!$A$9:$BF$63,MATCH(PDNam!$F2251,'TH CANAM'!$A$9:$A$63,0),INDEX($J$13:$M$30,MATCH($B2221,$J$13:$J$30,0),L$12))</f>
        <v/>
      </c>
      <c r="E2221" s="74" t="str">
        <f>INDEX('TH CANAM'!$A$9:$BF$63,MATCH(PDNam!$F2251,'TH CANAM'!$A$9:$A$63,0),INDEX($J$13:$M$30,MATCH($B2221,$J$13:$J$30,0),M$12))</f>
        <v/>
      </c>
      <c r="F2221" s="73"/>
      <c r="I2221" s="64"/>
      <c r="J2221" s="64"/>
    </row>
    <row r="2222" spans="1:10" ht="21" customHeight="1">
      <c r="A2222" s="72" t="s">
        <v>195</v>
      </c>
      <c r="B2222" s="73" t="s">
        <v>120</v>
      </c>
      <c r="C2222" s="74" t="str">
        <f>INDEX('TH CANAM'!$A$9:$BF$63,MATCH(PDNam!$F2251,'TH CANAM'!$A$9:$A$63,0),INDEX($J$13:$M$30,MATCH($B2222,$J$13:$J$30,0),K$12))</f>
        <v/>
      </c>
      <c r="D2222" s="74" t="str">
        <f>INDEX('TH CANAM'!$A$9:$BF$63,MATCH(PDNam!$F2251,'TH CANAM'!$A$9:$A$63,0),INDEX($J$13:$M$30,MATCH($B2222,$J$13:$J$30,0),L$12))</f>
        <v/>
      </c>
      <c r="E2222" s="74" t="str">
        <f>INDEX('TH CANAM'!$A$9:$BF$63,MATCH(PDNam!$F2251,'TH CANAM'!$A$9:$A$63,0),INDEX($J$13:$M$30,MATCH($B2222,$J$13:$J$30,0),M$12))</f>
        <v/>
      </c>
      <c r="F2222" s="73"/>
      <c r="I2222" s="64"/>
      <c r="J2222" s="64"/>
    </row>
    <row r="2223" spans="1:10" ht="21" customHeight="1">
      <c r="A2223" s="72" t="s">
        <v>196</v>
      </c>
      <c r="B2223" s="73" t="s">
        <v>30</v>
      </c>
      <c r="C2223" s="74" t="str">
        <f>INDEX('TH CANAM'!$A$9:$BF$63,MATCH(PDNam!$F2251,'TH CANAM'!$A$9:$A$63,0),INDEX($J$13:$M$30,MATCH($B2223,$J$13:$J$30,0),K$12))</f>
        <v/>
      </c>
      <c r="D2223" s="74" t="str">
        <f>INDEX('TH CANAM'!$A$9:$BF$63,MATCH(PDNam!$F2251,'TH CANAM'!$A$9:$A$63,0),INDEX($J$13:$M$30,MATCH($B2223,$J$13:$J$30,0),L$12))</f>
        <v/>
      </c>
      <c r="E2223" s="74" t="str">
        <f>INDEX('TH CANAM'!$A$9:$BF$63,MATCH(PDNam!$F2251,'TH CANAM'!$A$9:$A$63,0),INDEX($J$13:$M$30,MATCH($B2223,$J$13:$J$30,0),M$12))</f>
        <v/>
      </c>
      <c r="F2223" s="73"/>
      <c r="I2223" s="64"/>
      <c r="J2223" s="64"/>
    </row>
    <row r="2224" spans="1:10" ht="21" customHeight="1">
      <c r="A2224" s="72" t="s">
        <v>197</v>
      </c>
      <c r="B2224" s="73" t="s">
        <v>31</v>
      </c>
      <c r="C2224" s="74" t="str">
        <f>INDEX('TH CANAM'!$A$9:$BF$63,MATCH(PDNam!$F2251,'TH CANAM'!$A$9:$A$63,0),INDEX($J$13:$M$30,MATCH($B2224,$J$13:$J$30,0),K$12))</f>
        <v/>
      </c>
      <c r="D2224" s="74" t="str">
        <f>INDEX('TH CANAM'!$A$9:$BF$63,MATCH(PDNam!$F2251,'TH CANAM'!$A$9:$A$63,0),INDEX($J$13:$M$30,MATCH($B2224,$J$13:$J$30,0),L$12))</f>
        <v/>
      </c>
      <c r="E2224" s="74" t="str">
        <f>INDEX('TH CANAM'!$A$9:$BF$63,MATCH(PDNam!$F2251,'TH CANAM'!$A$9:$A$63,0),INDEX($J$13:$M$30,MATCH($B2224,$J$13:$J$30,0),M$12))</f>
        <v/>
      </c>
      <c r="F2224" s="73"/>
      <c r="I2224" s="64"/>
      <c r="J2224" s="64"/>
    </row>
    <row r="2225" spans="1:10" ht="21" customHeight="1">
      <c r="A2225" s="72" t="s">
        <v>198</v>
      </c>
      <c r="B2225" s="73" t="s">
        <v>32</v>
      </c>
      <c r="C2225" s="74" t="str">
        <f>INDEX('TH CANAM'!$A$9:$BF$63,MATCH(PDNam!$F2251,'TH CANAM'!$A$9:$A$63,0),INDEX($J$13:$M$30,MATCH($B2225,$J$13:$J$30,0),K$12))</f>
        <v/>
      </c>
      <c r="D2225" s="74" t="str">
        <f>INDEX('TH CANAM'!$A$9:$BF$63,MATCH(PDNam!$F2251,'TH CANAM'!$A$9:$A$63,0),INDEX($J$13:$M$30,MATCH($B2225,$J$13:$J$30,0),L$12))</f>
        <v/>
      </c>
      <c r="E2225" s="74" t="str">
        <f>INDEX('TH CANAM'!$A$9:$BF$63,MATCH(PDNam!$F2251,'TH CANAM'!$A$9:$A$63,0),INDEX($J$13:$M$30,MATCH($B2225,$J$13:$J$30,0),M$12))</f>
        <v/>
      </c>
      <c r="F2225" s="73"/>
      <c r="I2225" s="64"/>
      <c r="J2225" s="64"/>
    </row>
    <row r="2226" spans="1:10" ht="21" customHeight="1">
      <c r="A2226" s="72" t="s">
        <v>199</v>
      </c>
      <c r="B2226" s="73" t="s">
        <v>33</v>
      </c>
      <c r="C2226" s="74" t="str">
        <f>INDEX('TH CANAM'!$A$9:$BF$63,MATCH(PDNam!$F2251,'TH CANAM'!$A$9:$A$63,0),INDEX($J$13:$M$30,MATCH($B2226,$J$13:$J$30,0),K$12))</f>
        <v/>
      </c>
      <c r="D2226" s="74" t="str">
        <f>INDEX('TH CANAM'!$A$9:$BF$63,MATCH(PDNam!$F2251,'TH CANAM'!$A$9:$A$63,0),INDEX($J$13:$M$30,MATCH($B2226,$J$13:$J$30,0),L$12))</f>
        <v/>
      </c>
      <c r="E2226" s="74" t="str">
        <f>INDEX('TH CANAM'!$A$9:$BF$63,MATCH(PDNam!$F2251,'TH CANAM'!$A$9:$A$63,0),INDEX($J$13:$M$30,MATCH($B2226,$J$13:$J$30,0),M$12))</f>
        <v/>
      </c>
      <c r="F2226" s="73"/>
      <c r="I2226" s="64"/>
      <c r="J2226" s="64"/>
    </row>
    <row r="2227" spans="1:10" ht="21" customHeight="1">
      <c r="A2227" s="72" t="s">
        <v>200</v>
      </c>
      <c r="B2227" s="73" t="s">
        <v>60</v>
      </c>
      <c r="C2227" s="74" t="str">
        <f>INDEX('TH CANAM'!$A$9:$BF$63,MATCH(PDNam!$F2251,'TH CANAM'!$A$9:$A$63,0),INDEX($J$13:$M$30,MATCH($B2227,$J$13:$J$30,0),K$12))</f>
        <v/>
      </c>
      <c r="D2227" s="74" t="str">
        <f>INDEX('TH CANAM'!$A$9:$BF$63,MATCH(PDNam!$F2251,'TH CANAM'!$A$9:$A$63,0),INDEX($J$13:$M$30,MATCH($B2227,$J$13:$J$30,0),L$12))</f>
        <v/>
      </c>
      <c r="E2227" s="74" t="str">
        <f>INDEX('TH CANAM'!$A$9:$BF$63,MATCH(PDNam!$F2251,'TH CANAM'!$A$9:$A$63,0),INDEX($J$13:$M$30,MATCH($B2227,$J$13:$J$30,0),M$12))</f>
        <v/>
      </c>
      <c r="F2227" s="73"/>
      <c r="I2227" s="64"/>
      <c r="J2227" s="64"/>
    </row>
    <row r="2228" spans="1:10" ht="21" customHeight="1">
      <c r="A2228" s="72" t="s">
        <v>201</v>
      </c>
      <c r="B2228" s="73" t="s">
        <v>34</v>
      </c>
      <c r="C2228" s="74" t="str">
        <f>INDEX('TH CANAM'!$A$9:$BF$63,MATCH(PDNam!$F2251,'TH CANAM'!$A$9:$A$63,0),INDEX($J$13:$M$30,MATCH($B2228,$J$13:$J$30,0),K$12))</f>
        <v/>
      </c>
      <c r="D2228" s="74" t="str">
        <f>INDEX('TH CANAM'!$A$9:$BF$63,MATCH(PDNam!$F2251,'TH CANAM'!$A$9:$A$63,0),INDEX($J$13:$M$30,MATCH($B2228,$J$13:$J$30,0),L$12))</f>
        <v/>
      </c>
      <c r="E2228" s="74" t="str">
        <f>INDEX('TH CANAM'!$A$9:$BF$63,MATCH(PDNam!$F2251,'TH CANAM'!$A$9:$A$63,0),INDEX($J$13:$M$30,MATCH($B2228,$J$13:$J$30,0),M$12))</f>
        <v/>
      </c>
      <c r="F2228" s="73"/>
      <c r="I2228" s="64"/>
      <c r="J2228" s="64"/>
    </row>
    <row r="2229" spans="1:10" ht="21" customHeight="1">
      <c r="A2229" s="72" t="s">
        <v>202</v>
      </c>
      <c r="B2229" s="73" t="s">
        <v>35</v>
      </c>
      <c r="C2229" s="74" t="str">
        <f>INDEX('TH CANAM'!$A$9:$BF$63,MATCH(PDNam!$F2251,'TH CANAM'!$A$9:$A$63,0),INDEX($J$13:$M$30,MATCH($B2229,$J$13:$J$30,0),K$12))</f>
        <v/>
      </c>
      <c r="D2229" s="74" t="str">
        <f>INDEX('TH CANAM'!$A$9:$BF$63,MATCH(PDNam!$F2251,'TH CANAM'!$A$9:$A$63,0),INDEX($J$13:$M$30,MATCH($B2229,$J$13:$J$30,0),L$12))</f>
        <v/>
      </c>
      <c r="E2229" s="74" t="str">
        <f>INDEX('TH CANAM'!$A$9:$BF$63,MATCH(PDNam!$F2251,'TH CANAM'!$A$9:$A$63,0),INDEX($J$13:$M$30,MATCH($B2229,$J$13:$J$30,0),M$12))</f>
        <v/>
      </c>
      <c r="F2229" s="73"/>
      <c r="I2229" s="64"/>
      <c r="J2229" s="64"/>
    </row>
    <row r="2230" spans="1:10" ht="21" customHeight="1">
      <c r="A2230" s="72" t="s">
        <v>203</v>
      </c>
      <c r="B2230" s="73" t="s">
        <v>121</v>
      </c>
      <c r="C2230" s="74" t="str">
        <f>INDEX('TH CANAM'!$A$9:$BF$63,MATCH(PDNam!$F2251,'TH CANAM'!$A$9:$A$63,0),INDEX($J$13:$M$30,MATCH($B2230,$J$13:$J$30,0),K$12))</f>
        <v/>
      </c>
      <c r="D2230" s="74" t="str">
        <f>INDEX('TH CANAM'!$A$9:$BF$63,MATCH(PDNam!$F2251,'TH CANAM'!$A$9:$A$63,0),INDEX($J$13:$M$30,MATCH($B2230,$J$13:$J$30,0),L$12))</f>
        <v/>
      </c>
      <c r="E2230" s="74" t="str">
        <f>INDEX('TH CANAM'!$A$9:$BF$63,MATCH(PDNam!$F2251,'TH CANAM'!$A$9:$A$63,0),INDEX($J$13:$M$30,MATCH($B2230,$J$13:$J$30,0),M$12))</f>
        <v/>
      </c>
      <c r="F2230" s="73"/>
      <c r="I2230" s="64"/>
      <c r="J2230" s="64"/>
    </row>
    <row r="2231" spans="1:10" ht="21" customHeight="1">
      <c r="A2231" s="72" t="s">
        <v>204</v>
      </c>
      <c r="B2231" s="73" t="s">
        <v>122</v>
      </c>
      <c r="C2231" s="74" t="str">
        <f>INDEX('TH CANAM'!$A$9:$BF$63,MATCH(PDNam!$F2251,'TH CANAM'!$A$9:$A$63,0),INDEX($J$13:$M$30,MATCH($B2231,$J$13:$J$30,0),K$12))</f>
        <v/>
      </c>
      <c r="D2231" s="74" t="str">
        <f>INDEX('TH CANAM'!$A$9:$BF$63,MATCH(PDNam!$F2251,'TH CANAM'!$A$9:$A$63,0),INDEX($J$13:$M$30,MATCH($B2231,$J$13:$J$30,0),L$12))</f>
        <v/>
      </c>
      <c r="E2231" s="74" t="str">
        <f>INDEX('TH CANAM'!$A$9:$BF$63,MATCH(PDNam!$F2251,'TH CANAM'!$A$9:$A$63,0),INDEX($J$13:$M$30,MATCH($B2231,$J$13:$J$30,0),M$12))</f>
        <v/>
      </c>
      <c r="F2231" s="73"/>
      <c r="I2231" s="64"/>
      <c r="J2231" s="64"/>
    </row>
    <row r="2232" spans="1:10" ht="21" customHeight="1">
      <c r="A2232" s="72" t="s">
        <v>208</v>
      </c>
      <c r="B2232" s="73" t="s">
        <v>205</v>
      </c>
      <c r="C2232" s="78" t="str">
        <f>INDEX('TH CANAM'!$A$9:$BF$63,MATCH(PDNam!$F2251,'TH CANAM'!$A$9:$A$63,0),46)</f>
        <v/>
      </c>
      <c r="D2232" s="78" t="str">
        <f>INDEX('TH CANAM'!$A$9:$BF$63,MATCH(PDNam!$F2251,'TH CANAM'!$A$9:$A$63,0),47)</f>
        <v/>
      </c>
      <c r="E2232" s="78" t="str">
        <f>INDEX('TH CANAM'!$A$9:$BF$63,MATCH(PDNam!$F2251,'TH CANAM'!$A$9:$A$63,0),48)</f>
        <v/>
      </c>
      <c r="F2232" s="73"/>
      <c r="I2232" s="64"/>
      <c r="J2232" s="64"/>
    </row>
    <row r="2233" spans="1:10" ht="21" customHeight="1">
      <c r="A2233" s="72" t="s">
        <v>209</v>
      </c>
      <c r="B2233" s="72" t="s">
        <v>206</v>
      </c>
      <c r="C2233" s="74" t="str">
        <f>IF(INDEX('TH CANAM'!$A$9:$BF$63,MATCH(PDNam!$F2251,'TH CANAM'!$A$9:$A$63,0),49)="Tb","Trung bình",INDEX('TH CANAM'!$A$9:$BF$63,MATCH(PDNam!$F2251,'TH CANAM'!$A$9:$A$63,0),49))</f>
        <v/>
      </c>
      <c r="D2233" s="74" t="str">
        <f>IF(INDEX('TH CANAM'!$A$9:$BF$63,MATCH(PDNam!$F2251,'TH CANAM'!$A$9:$A$63,0),50)="Tb","Trung bình",INDEX('TH CANAM'!$A$9:$BF$63,MATCH(PDNam!$F2251,'TH CANAM'!$A$9:$A$63,0),50))</f>
        <v/>
      </c>
      <c r="E2233" s="74" t="str">
        <f>IF(INDEX('TH CANAM'!$A$9:$BF$63,MATCH(PDNam!$F2251,'TH CANAM'!$A$9:$A$63,0),51)="Tb","Trung bình",INDEX('TH CANAM'!$A$9:$BF$63,MATCH(PDNam!$F2251,'TH CANAM'!$A$9:$A$63,0),51))</f>
        <v/>
      </c>
      <c r="F2233" s="73"/>
    </row>
    <row r="2234" spans="1:10" ht="21" customHeight="1">
      <c r="A2234" s="72" t="s">
        <v>210</v>
      </c>
      <c r="B2234" s="72" t="s">
        <v>207</v>
      </c>
      <c r="C2234" s="74" t="str">
        <f>INDEX('TH CANAM'!$A$9:$BF$63,MATCH(PDNam!$F2251,'TH CANAM'!$A$9:$A$63,0),52)</f>
        <v/>
      </c>
      <c r="D2234" s="74" t="str">
        <f>INDEX('TH CANAM'!$A$9:$BF$63,MATCH(PDNam!$F2251,'TH CANAM'!$A$9:$A$63,0),53)</f>
        <v/>
      </c>
      <c r="E2234" s="74" t="str">
        <f>INDEX('TH CANAM'!$A$9:$BF$63,MATCH(PDNam!$F2251,'TH CANAM'!$A$9:$A$63,0),54)</f>
        <v/>
      </c>
      <c r="F2234" s="73"/>
    </row>
    <row r="2235" spans="1:10" ht="21" customHeight="1">
      <c r="A2235" s="72" t="s">
        <v>211</v>
      </c>
      <c r="B2235" s="72" t="s">
        <v>25</v>
      </c>
      <c r="C2235" s="74" t="str">
        <f>IF(INDEX('TH CANAM'!$A$9:$BF$63,MATCH(PDNam!$F2251,'TH CANAM'!$A$9:$A$63,0),57)&lt;&gt;"",INDEX('TH CANAM'!$A$9:$BF$63,MATCH(PDNam!$F2251,'TH CANAM'!$A$9:$A$63,0),57),"/")</f>
        <v>/</v>
      </c>
      <c r="D2235" s="74" t="str">
        <f>IF(INDEX('TH CANAM'!$A$9:$BF$63,MATCH(PDNam!$F2251,'TH CANAM'!$A$9:$A$63,0),58)&lt;&gt;"",INDEX('TH CANAM'!$A$9:$BF$63,MATCH(PDNam!$F2251,'TH CANAM'!$A$9:$A$63,0),58),"/")</f>
        <v>/</v>
      </c>
      <c r="E2235" s="74" t="str">
        <f>IF(INDEX('TH CANAM'!$A$9:$BF$63,MATCH(PDNam!$F2251,'TH CANAM'!$A$9:$A$63,0),55)&lt;&gt;"",INDEX('TH CANAM'!$A$9:$BF$63,MATCH(PDNam!$F2251,'TH CANAM'!$A$9:$A$63,0),55),"/")</f>
        <v>/</v>
      </c>
      <c r="F2235" s="73"/>
    </row>
    <row r="2236" spans="1:10" s="60" customFormat="1" ht="9" customHeight="1">
      <c r="A2236" s="67"/>
      <c r="B2236" s="67"/>
      <c r="C2236" s="1132"/>
      <c r="D2236" s="1132"/>
      <c r="E2236" s="67"/>
      <c r="F2236" s="67"/>
    </row>
    <row r="2237" spans="1:10" s="60" customFormat="1" ht="18.75" customHeight="1">
      <c r="A2237" s="58" t="s">
        <v>219</v>
      </c>
      <c r="B2237" s="57"/>
      <c r="C2237" s="57"/>
      <c r="D2237" s="57"/>
      <c r="E2237" s="57"/>
      <c r="F2237" s="475"/>
    </row>
    <row r="2238" spans="1:10" s="60" customFormat="1" ht="18.75" customHeight="1">
      <c r="A2238" s="59" t="str">
        <f>IF(F2251&lt;&gt;"",IF(INDEX(BDHK2,MATCH(F2251,DiemHKII!$B$4:$B$58,0),137)&lt;&gt;""," - "&amp;INDEX(BDHK2,MATCH(F2251,DiemHKII!$B$4:$B$58,0),137),""),"")</f>
        <v/>
      </c>
      <c r="B2238" s="57"/>
      <c r="C2238" s="57"/>
      <c r="D2238" s="57"/>
      <c r="E2238" s="57"/>
      <c r="F2238" s="475"/>
    </row>
    <row r="2239" spans="1:10" s="60" customFormat="1" ht="18.75" customHeight="1">
      <c r="A2239" s="59" t="str">
        <f>IF(F2251&lt;&gt;"",IF(INDEX(BDHK2,MATCH(F2251,DiemHKII!$B$4:$B$58,0),138)&lt;&gt;""," - "&amp;INDEX(BDHK2,MATCH(F2251,DiemHKII!$B$4:$B$58,0),138),""),"")</f>
        <v/>
      </c>
      <c r="B2239" s="57"/>
      <c r="C2239" s="57"/>
      <c r="D2239" s="57"/>
      <c r="E2239" s="57"/>
      <c r="F2239" s="475"/>
    </row>
    <row r="2240" spans="1:10" s="60" customFormat="1" ht="18.75" customHeight="1">
      <c r="A2240" s="59" t="str">
        <f>IF(F2251&lt;&gt;"",IF(INDEX(BDHK2,MATCH(F2251,DiemHKII!$B$4:$B$58,0),139)&lt;&gt;""," - "&amp;INDEX(BDHK2,MATCH(F2251,DiemHKII!$B$4:$B$58,0),139),""),"")</f>
        <v/>
      </c>
      <c r="B2240" s="57"/>
      <c r="C2240" s="57"/>
      <c r="D2240" s="57"/>
      <c r="E2240" s="57"/>
      <c r="F2240" s="475"/>
    </row>
    <row r="2241" spans="1:10" s="60" customFormat="1" ht="18.75" customHeight="1">
      <c r="A2241" s="59" t="str">
        <f>IF(F2251&lt;&gt;"",IF(INDEX(BDHK2,MATCH(F2251,DiemHKII!$B$4:$B$58,0),140)&lt;&gt;""," - "&amp;INDEX(BDHK2,MATCH(F2251,DiemHKII!$B$4:$B$58,0),140),""),"")</f>
        <v/>
      </c>
      <c r="B2241" s="57"/>
      <c r="C2241" s="57"/>
      <c r="D2241" s="57"/>
      <c r="E2241" s="57"/>
      <c r="F2241" s="67"/>
    </row>
    <row r="2242" spans="1:10" ht="6" customHeight="1">
      <c r="A2242" s="68"/>
      <c r="B2242" s="68"/>
      <c r="C2242" s="68"/>
      <c r="D2242" s="68"/>
      <c r="E2242" s="68"/>
      <c r="F2242" s="68"/>
    </row>
    <row r="2243" spans="1:10">
      <c r="A2243" s="68"/>
      <c r="B2243" s="68"/>
      <c r="C224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243" s="1060"/>
      <c r="E2243" s="1060"/>
      <c r="F2243" s="1060"/>
    </row>
    <row r="2244" spans="1:10" ht="20.25" customHeight="1">
      <c r="A2244" s="1012" t="str">
        <f>IF($D$39="Hiệu trưởng","Giáo viên Quản nhiệm","")</f>
        <v>Giáo viên Quản nhiệm</v>
      </c>
      <c r="B2244" s="1012"/>
      <c r="C2244" s="61"/>
      <c r="D2244" s="1012" t="str">
        <f>IF($H$7="","",$H$7)</f>
        <v>Hiệu trưởng</v>
      </c>
      <c r="E2244" s="1012"/>
      <c r="F2244" s="61"/>
    </row>
    <row r="2245" spans="1:10">
      <c r="A2245" s="68"/>
      <c r="B2245" s="68"/>
      <c r="C2245" s="68"/>
      <c r="D2245" s="68"/>
      <c r="E2245" s="68"/>
      <c r="F2245" s="68"/>
    </row>
    <row r="2246" spans="1:10">
      <c r="A2246" s="68"/>
      <c r="B2246" s="68"/>
      <c r="C2246" s="68"/>
      <c r="D2246" s="68"/>
      <c r="E2246" s="68"/>
      <c r="F2246" s="68"/>
    </row>
    <row r="2247" spans="1:10" ht="16.8">
      <c r="A2247" s="68"/>
      <c r="B2247" s="68"/>
      <c r="C2247" s="64"/>
      <c r="D2247" s="64"/>
      <c r="E2247" s="64"/>
      <c r="F2247" s="64"/>
      <c r="G2247" s="65"/>
      <c r="H2247" s="65"/>
      <c r="I2247" s="65"/>
      <c r="J2247" s="65"/>
    </row>
    <row r="2249" spans="1:10">
      <c r="A2249" s="1012" t="str">
        <f>IF($A$39="","",PROPER('Huong dan'!$C$4))</f>
        <v/>
      </c>
      <c r="B2249" s="1012"/>
      <c r="D2249" s="1130" t="str">
        <f>IFERROR(IF($D$39="Giáo Viên Quản nhiệm",PROPER('Huong dan'!$C$4),IF($D$39="Hiệu trưởng",PROPER('Huong dan'!$E$5),"")),"")</f>
        <v/>
      </c>
      <c r="E2249" s="1130"/>
    </row>
    <row r="2250" spans="1:10" ht="7.5" customHeight="1"/>
    <row r="2251" spans="1:10" ht="11.25" customHeight="1">
      <c r="A2251" s="75"/>
      <c r="B2251" s="75"/>
      <c r="C2251" s="75"/>
      <c r="D2251" s="75"/>
      <c r="E2251" s="75"/>
      <c r="F2251" s="76" t="str">
        <f>IF(F2206="","",IF(F2206&lt;MAX(DiemHKII!$B$4:$B$58),F2206+1,""))</f>
        <v/>
      </c>
    </row>
    <row r="2252" spans="1:10" s="60" customFormat="1" ht="22.5" customHeight="1">
      <c r="A2252" s="1128" t="str">
        <f>IF('Huong dan'!$E$3&lt;&gt;"","SỞ GIÁO DỤC VÀ ĐÀO TẠO "&amp;UPPER('Huong dan'!$E$3),"")</f>
        <v>SỞ GIÁO DỤC VÀ ĐÀO TẠO TP. HỒ CHÍ MINH</v>
      </c>
      <c r="B2252" s="1128"/>
      <c r="C2252" s="1128"/>
      <c r="D2252" s="1129" t="s">
        <v>19</v>
      </c>
      <c r="E2252" s="1129"/>
      <c r="F2252" s="1129"/>
    </row>
    <row r="2253" spans="1:10" ht="17.25" customHeight="1">
      <c r="A2253" s="992" t="str">
        <f>IF('Huong dan'!$E$4&lt;&gt;"","TRƯỜNG "&amp;UPPER('Huong dan'!$E$4),"")</f>
        <v>TRƯỜNG THCS VÀ THPT NGUYỄN KHUYẾN</v>
      </c>
      <c r="B2253" s="992"/>
      <c r="C2253" s="992"/>
      <c r="D2253" s="1130" t="s">
        <v>179</v>
      </c>
      <c r="E2253" s="1130"/>
      <c r="F2253" s="1130"/>
    </row>
    <row r="2254" spans="1:10" ht="12" customHeight="1">
      <c r="A2254" s="69"/>
      <c r="B2254" s="69"/>
      <c r="C2254" s="30"/>
      <c r="D2254" s="30"/>
      <c r="E2254" s="30"/>
      <c r="F2254" s="30"/>
    </row>
    <row r="2255" spans="1:10" ht="18" customHeight="1">
      <c r="A2255" s="69"/>
      <c r="B2255" s="69"/>
      <c r="C2255" s="30"/>
      <c r="D2255" s="30"/>
      <c r="E2255" s="30"/>
      <c r="F2255" s="30"/>
    </row>
    <row r="2256" spans="1:10" ht="29.25" customHeight="1">
      <c r="A2256" s="1013" t="str">
        <f>"PHIẾU ĐIỂM NĂM HỌC "&amp;'Huong dan'!$C$5</f>
        <v>PHIẾU ĐIỂM NĂM HỌC 2021 - 2022</v>
      </c>
      <c r="B2256" s="1013"/>
      <c r="C2256" s="1013"/>
      <c r="D2256" s="1013"/>
      <c r="E2256" s="1013"/>
      <c r="F2256" s="1013"/>
    </row>
    <row r="2257" spans="1:10" ht="12.75" customHeight="1">
      <c r="A2257" s="70"/>
      <c r="B2257" s="66"/>
      <c r="C2257" s="66"/>
      <c r="D2257" s="66"/>
      <c r="E2257" s="66"/>
      <c r="F2257" s="66"/>
    </row>
    <row r="2258" spans="1:10" ht="20.25" customHeight="1">
      <c r="A2258" s="1131" t="s">
        <v>212</v>
      </c>
      <c r="B2258" s="1131"/>
      <c r="C2258" s="77" t="str">
        <f>IF(F2296="","",INDEX(DiemHKII!$E$4:$E$58,MATCH(F2296,DiemHKII!$B$4:$B$58,0),1)&amp;" "&amp;INDEX(DiemHKII!$F$4:$F$58,MATCH(F2296,DiemHKII!$B$4:$B$58,0),1))</f>
        <v/>
      </c>
      <c r="D2258" s="77"/>
      <c r="E2258" s="77"/>
      <c r="F2258" s="71" t="str">
        <f>IF('Huong dan'!$C$3="","","Lớp: "&amp;'Huong dan'!$C$3)</f>
        <v>Lớp: 12A1</v>
      </c>
    </row>
    <row r="2259" spans="1:10" ht="24" customHeight="1">
      <c r="A2259" s="1131" t="s">
        <v>213</v>
      </c>
      <c r="B2259" s="1131"/>
      <c r="C2259" s="77" t="str">
        <f>IF(F2296="","",INDEX(DiemHKII!$G$4:$G$58,MATCH(F2296,DiemHKII!$B$4:$B$58,0),1))</f>
        <v/>
      </c>
      <c r="D2259" s="77"/>
      <c r="E2259" s="1133" t="str">
        <f>IF(F2296="","","Nơi sinh: "&amp;INDEX(DiemHKII!$H$4:$H$58,MATCH(F2296,DiemHKII!$B$4:$B$58,0),1))</f>
        <v/>
      </c>
      <c r="F2259" s="1133"/>
    </row>
    <row r="2260" spans="1:10" ht="15" customHeight="1">
      <c r="A2260" s="62"/>
      <c r="B2260" s="62"/>
      <c r="C2260" s="62"/>
      <c r="D2260" s="62"/>
      <c r="E2260" s="62"/>
      <c r="F2260" s="63"/>
    </row>
    <row r="2261" spans="1:10" ht="21" customHeight="1">
      <c r="A2261" s="1134" t="s">
        <v>0</v>
      </c>
      <c r="B2261" s="1134" t="s">
        <v>72</v>
      </c>
      <c r="C2261" s="1134" t="s">
        <v>216</v>
      </c>
      <c r="D2261" s="1134"/>
      <c r="E2261" s="1134"/>
      <c r="F2261" s="1134" t="s">
        <v>148</v>
      </c>
    </row>
    <row r="2262" spans="1:10" ht="21" customHeight="1">
      <c r="A2262" s="1134"/>
      <c r="B2262" s="1134"/>
      <c r="C2262" s="476" t="s">
        <v>188</v>
      </c>
      <c r="D2262" s="476" t="s">
        <v>189</v>
      </c>
      <c r="E2262" s="476" t="s">
        <v>190</v>
      </c>
      <c r="F2262" s="1134"/>
    </row>
    <row r="2263" spans="1:10" ht="21" customHeight="1">
      <c r="A2263" s="72" t="s">
        <v>191</v>
      </c>
      <c r="B2263" s="73" t="s">
        <v>26</v>
      </c>
      <c r="C2263" s="74" t="str">
        <f>INDEX('TH CANAM'!$A$9:$BF$63,MATCH(PDNam!$F2296,'TH CANAM'!$A$9:$A$63,0),INDEX($J$13:$M$30,MATCH($B2263,$J$13:$J$30,0),K$12))</f>
        <v/>
      </c>
      <c r="D2263" s="74" t="str">
        <f>INDEX('TH CANAM'!$A$9:$BF$63,MATCH(PDNam!$F2296,'TH CANAM'!$A$9:$A$63,0),INDEX($J$13:$M$30,MATCH($B2263,$J$13:$J$30,0),L$12))</f>
        <v/>
      </c>
      <c r="E2263" s="74" t="str">
        <f>INDEX('TH CANAM'!$A$9:$BF$63,MATCH(PDNam!$F2296,'TH CANAM'!$A$9:$A$63,0),INDEX($J$13:$M$30,MATCH($B2263,$J$13:$J$30,0),M$12))</f>
        <v/>
      </c>
      <c r="F2263" s="73"/>
      <c r="I2263" s="64"/>
      <c r="J2263" s="64"/>
    </row>
    <row r="2264" spans="1:10" ht="21" customHeight="1">
      <c r="A2264" s="72" t="s">
        <v>192</v>
      </c>
      <c r="B2264" s="73" t="s">
        <v>27</v>
      </c>
      <c r="C2264" s="74" t="str">
        <f>INDEX('TH CANAM'!$A$9:$BF$63,MATCH(PDNam!$F2296,'TH CANAM'!$A$9:$A$63,0),INDEX($J$13:$M$30,MATCH($B2264,$J$13:$J$30,0),K$12))</f>
        <v/>
      </c>
      <c r="D2264" s="74" t="str">
        <f>INDEX('TH CANAM'!$A$9:$BF$63,MATCH(PDNam!$F2296,'TH CANAM'!$A$9:$A$63,0),INDEX($J$13:$M$30,MATCH($B2264,$J$13:$J$30,0),L$12))</f>
        <v/>
      </c>
      <c r="E2264" s="74" t="str">
        <f>INDEX('TH CANAM'!$A$9:$BF$63,MATCH(PDNam!$F2296,'TH CANAM'!$A$9:$A$63,0),INDEX($J$13:$M$30,MATCH($B2264,$J$13:$J$30,0),M$12))</f>
        <v/>
      </c>
      <c r="F2264" s="73"/>
      <c r="I2264" s="64"/>
      <c r="J2264" s="64"/>
    </row>
    <row r="2265" spans="1:10" ht="21" customHeight="1">
      <c r="A2265" s="72" t="s">
        <v>193</v>
      </c>
      <c r="B2265" s="73" t="s">
        <v>28</v>
      </c>
      <c r="C2265" s="74" t="str">
        <f>INDEX('TH CANAM'!$A$9:$BF$63,MATCH(PDNam!$F2296,'TH CANAM'!$A$9:$A$63,0),INDEX($J$13:$M$30,MATCH($B2265,$J$13:$J$30,0),K$12))</f>
        <v/>
      </c>
      <c r="D2265" s="74" t="str">
        <f>INDEX('TH CANAM'!$A$9:$BF$63,MATCH(PDNam!$F2296,'TH CANAM'!$A$9:$A$63,0),INDEX($J$13:$M$30,MATCH($B2265,$J$13:$J$30,0),L$12))</f>
        <v/>
      </c>
      <c r="E2265" s="74" t="str">
        <f>INDEX('TH CANAM'!$A$9:$BF$63,MATCH(PDNam!$F2296,'TH CANAM'!$A$9:$A$63,0),INDEX($J$13:$M$30,MATCH($B2265,$J$13:$J$30,0),M$12))</f>
        <v/>
      </c>
      <c r="F2265" s="73"/>
      <c r="I2265" s="64"/>
      <c r="J2265" s="64"/>
    </row>
    <row r="2266" spans="1:10" ht="21" customHeight="1">
      <c r="A2266" s="72" t="s">
        <v>194</v>
      </c>
      <c r="B2266" s="73" t="s">
        <v>29</v>
      </c>
      <c r="C2266" s="74" t="str">
        <f>INDEX('TH CANAM'!$A$9:$BF$63,MATCH(PDNam!$F2296,'TH CANAM'!$A$9:$A$63,0),INDEX($J$13:$M$30,MATCH($B2266,$J$13:$J$30,0),K$12))</f>
        <v/>
      </c>
      <c r="D2266" s="74" t="str">
        <f>INDEX('TH CANAM'!$A$9:$BF$63,MATCH(PDNam!$F2296,'TH CANAM'!$A$9:$A$63,0),INDEX($J$13:$M$30,MATCH($B2266,$J$13:$J$30,0),L$12))</f>
        <v/>
      </c>
      <c r="E2266" s="74" t="str">
        <f>INDEX('TH CANAM'!$A$9:$BF$63,MATCH(PDNam!$F2296,'TH CANAM'!$A$9:$A$63,0),INDEX($J$13:$M$30,MATCH($B2266,$J$13:$J$30,0),M$12))</f>
        <v/>
      </c>
      <c r="F2266" s="73"/>
      <c r="I2266" s="64"/>
      <c r="J2266" s="64"/>
    </row>
    <row r="2267" spans="1:10" ht="21" customHeight="1">
      <c r="A2267" s="72" t="s">
        <v>195</v>
      </c>
      <c r="B2267" s="73" t="s">
        <v>120</v>
      </c>
      <c r="C2267" s="74" t="str">
        <f>INDEX('TH CANAM'!$A$9:$BF$63,MATCH(PDNam!$F2296,'TH CANAM'!$A$9:$A$63,0),INDEX($J$13:$M$30,MATCH($B2267,$J$13:$J$30,0),K$12))</f>
        <v/>
      </c>
      <c r="D2267" s="74" t="str">
        <f>INDEX('TH CANAM'!$A$9:$BF$63,MATCH(PDNam!$F2296,'TH CANAM'!$A$9:$A$63,0),INDEX($J$13:$M$30,MATCH($B2267,$J$13:$J$30,0),L$12))</f>
        <v/>
      </c>
      <c r="E2267" s="74" t="str">
        <f>INDEX('TH CANAM'!$A$9:$BF$63,MATCH(PDNam!$F2296,'TH CANAM'!$A$9:$A$63,0),INDEX($J$13:$M$30,MATCH($B2267,$J$13:$J$30,0),M$12))</f>
        <v/>
      </c>
      <c r="F2267" s="73"/>
      <c r="I2267" s="64"/>
      <c r="J2267" s="64"/>
    </row>
    <row r="2268" spans="1:10" ht="21" customHeight="1">
      <c r="A2268" s="72" t="s">
        <v>196</v>
      </c>
      <c r="B2268" s="73" t="s">
        <v>30</v>
      </c>
      <c r="C2268" s="74" t="str">
        <f>INDEX('TH CANAM'!$A$9:$BF$63,MATCH(PDNam!$F2296,'TH CANAM'!$A$9:$A$63,0),INDEX($J$13:$M$30,MATCH($B2268,$J$13:$J$30,0),K$12))</f>
        <v/>
      </c>
      <c r="D2268" s="74" t="str">
        <f>INDEX('TH CANAM'!$A$9:$BF$63,MATCH(PDNam!$F2296,'TH CANAM'!$A$9:$A$63,0),INDEX($J$13:$M$30,MATCH($B2268,$J$13:$J$30,0),L$12))</f>
        <v/>
      </c>
      <c r="E2268" s="74" t="str">
        <f>INDEX('TH CANAM'!$A$9:$BF$63,MATCH(PDNam!$F2296,'TH CANAM'!$A$9:$A$63,0),INDEX($J$13:$M$30,MATCH($B2268,$J$13:$J$30,0),M$12))</f>
        <v/>
      </c>
      <c r="F2268" s="73"/>
      <c r="I2268" s="64"/>
      <c r="J2268" s="64"/>
    </row>
    <row r="2269" spans="1:10" ht="21" customHeight="1">
      <c r="A2269" s="72" t="s">
        <v>197</v>
      </c>
      <c r="B2269" s="73" t="s">
        <v>31</v>
      </c>
      <c r="C2269" s="74" t="str">
        <f>INDEX('TH CANAM'!$A$9:$BF$63,MATCH(PDNam!$F2296,'TH CANAM'!$A$9:$A$63,0),INDEX($J$13:$M$30,MATCH($B2269,$J$13:$J$30,0),K$12))</f>
        <v/>
      </c>
      <c r="D2269" s="74" t="str">
        <f>INDEX('TH CANAM'!$A$9:$BF$63,MATCH(PDNam!$F2296,'TH CANAM'!$A$9:$A$63,0),INDEX($J$13:$M$30,MATCH($B2269,$J$13:$J$30,0),L$12))</f>
        <v/>
      </c>
      <c r="E2269" s="74" t="str">
        <f>INDEX('TH CANAM'!$A$9:$BF$63,MATCH(PDNam!$F2296,'TH CANAM'!$A$9:$A$63,0),INDEX($J$13:$M$30,MATCH($B2269,$J$13:$J$30,0),M$12))</f>
        <v/>
      </c>
      <c r="F2269" s="73"/>
      <c r="I2269" s="64"/>
      <c r="J2269" s="64"/>
    </row>
    <row r="2270" spans="1:10" ht="21" customHeight="1">
      <c r="A2270" s="72" t="s">
        <v>198</v>
      </c>
      <c r="B2270" s="73" t="s">
        <v>32</v>
      </c>
      <c r="C2270" s="74" t="str">
        <f>INDEX('TH CANAM'!$A$9:$BF$63,MATCH(PDNam!$F2296,'TH CANAM'!$A$9:$A$63,0),INDEX($J$13:$M$30,MATCH($B2270,$J$13:$J$30,0),K$12))</f>
        <v/>
      </c>
      <c r="D2270" s="74" t="str">
        <f>INDEX('TH CANAM'!$A$9:$BF$63,MATCH(PDNam!$F2296,'TH CANAM'!$A$9:$A$63,0),INDEX($J$13:$M$30,MATCH($B2270,$J$13:$J$30,0),L$12))</f>
        <v/>
      </c>
      <c r="E2270" s="74" t="str">
        <f>INDEX('TH CANAM'!$A$9:$BF$63,MATCH(PDNam!$F2296,'TH CANAM'!$A$9:$A$63,0),INDEX($J$13:$M$30,MATCH($B2270,$J$13:$J$30,0),M$12))</f>
        <v/>
      </c>
      <c r="F2270" s="73"/>
      <c r="I2270" s="64"/>
      <c r="J2270" s="64"/>
    </row>
    <row r="2271" spans="1:10" ht="21" customHeight="1">
      <c r="A2271" s="72" t="s">
        <v>199</v>
      </c>
      <c r="B2271" s="73" t="s">
        <v>33</v>
      </c>
      <c r="C2271" s="74" t="str">
        <f>INDEX('TH CANAM'!$A$9:$BF$63,MATCH(PDNam!$F2296,'TH CANAM'!$A$9:$A$63,0),INDEX($J$13:$M$30,MATCH($B2271,$J$13:$J$30,0),K$12))</f>
        <v/>
      </c>
      <c r="D2271" s="74" t="str">
        <f>INDEX('TH CANAM'!$A$9:$BF$63,MATCH(PDNam!$F2296,'TH CANAM'!$A$9:$A$63,0),INDEX($J$13:$M$30,MATCH($B2271,$J$13:$J$30,0),L$12))</f>
        <v/>
      </c>
      <c r="E2271" s="74" t="str">
        <f>INDEX('TH CANAM'!$A$9:$BF$63,MATCH(PDNam!$F2296,'TH CANAM'!$A$9:$A$63,0),INDEX($J$13:$M$30,MATCH($B2271,$J$13:$J$30,0),M$12))</f>
        <v/>
      </c>
      <c r="F2271" s="73"/>
      <c r="I2271" s="64"/>
      <c r="J2271" s="64"/>
    </row>
    <row r="2272" spans="1:10" ht="21" customHeight="1">
      <c r="A2272" s="72" t="s">
        <v>200</v>
      </c>
      <c r="B2272" s="73" t="s">
        <v>60</v>
      </c>
      <c r="C2272" s="74" t="str">
        <f>INDEX('TH CANAM'!$A$9:$BF$63,MATCH(PDNam!$F2296,'TH CANAM'!$A$9:$A$63,0),INDEX($J$13:$M$30,MATCH($B2272,$J$13:$J$30,0),K$12))</f>
        <v/>
      </c>
      <c r="D2272" s="74" t="str">
        <f>INDEX('TH CANAM'!$A$9:$BF$63,MATCH(PDNam!$F2296,'TH CANAM'!$A$9:$A$63,0),INDEX($J$13:$M$30,MATCH($B2272,$J$13:$J$30,0),L$12))</f>
        <v/>
      </c>
      <c r="E2272" s="74" t="str">
        <f>INDEX('TH CANAM'!$A$9:$BF$63,MATCH(PDNam!$F2296,'TH CANAM'!$A$9:$A$63,0),INDEX($J$13:$M$30,MATCH($B2272,$J$13:$J$30,0),M$12))</f>
        <v/>
      </c>
      <c r="F2272" s="73"/>
      <c r="I2272" s="64"/>
      <c r="J2272" s="64"/>
    </row>
    <row r="2273" spans="1:10" ht="21" customHeight="1">
      <c r="A2273" s="72" t="s">
        <v>201</v>
      </c>
      <c r="B2273" s="73" t="s">
        <v>34</v>
      </c>
      <c r="C2273" s="74" t="str">
        <f>INDEX('TH CANAM'!$A$9:$BF$63,MATCH(PDNam!$F2296,'TH CANAM'!$A$9:$A$63,0),INDEX($J$13:$M$30,MATCH($B2273,$J$13:$J$30,0),K$12))</f>
        <v/>
      </c>
      <c r="D2273" s="74" t="str">
        <f>INDEX('TH CANAM'!$A$9:$BF$63,MATCH(PDNam!$F2296,'TH CANAM'!$A$9:$A$63,0),INDEX($J$13:$M$30,MATCH($B2273,$J$13:$J$30,0),L$12))</f>
        <v/>
      </c>
      <c r="E2273" s="74" t="str">
        <f>INDEX('TH CANAM'!$A$9:$BF$63,MATCH(PDNam!$F2296,'TH CANAM'!$A$9:$A$63,0),INDEX($J$13:$M$30,MATCH($B2273,$J$13:$J$30,0),M$12))</f>
        <v/>
      </c>
      <c r="F2273" s="73"/>
      <c r="I2273" s="64"/>
      <c r="J2273" s="64"/>
    </row>
    <row r="2274" spans="1:10" ht="21" customHeight="1">
      <c r="A2274" s="72" t="s">
        <v>202</v>
      </c>
      <c r="B2274" s="73" t="s">
        <v>35</v>
      </c>
      <c r="C2274" s="74" t="str">
        <f>INDEX('TH CANAM'!$A$9:$BF$63,MATCH(PDNam!$F2296,'TH CANAM'!$A$9:$A$63,0),INDEX($J$13:$M$30,MATCH($B2274,$J$13:$J$30,0),K$12))</f>
        <v/>
      </c>
      <c r="D2274" s="74" t="str">
        <f>INDEX('TH CANAM'!$A$9:$BF$63,MATCH(PDNam!$F2296,'TH CANAM'!$A$9:$A$63,0),INDEX($J$13:$M$30,MATCH($B2274,$J$13:$J$30,0),L$12))</f>
        <v/>
      </c>
      <c r="E2274" s="74" t="str">
        <f>INDEX('TH CANAM'!$A$9:$BF$63,MATCH(PDNam!$F2296,'TH CANAM'!$A$9:$A$63,0),INDEX($J$13:$M$30,MATCH($B2274,$J$13:$J$30,0),M$12))</f>
        <v/>
      </c>
      <c r="F2274" s="73"/>
      <c r="I2274" s="64"/>
      <c r="J2274" s="64"/>
    </row>
    <row r="2275" spans="1:10" ht="21" customHeight="1">
      <c r="A2275" s="72" t="s">
        <v>203</v>
      </c>
      <c r="B2275" s="73" t="s">
        <v>121</v>
      </c>
      <c r="C2275" s="74" t="str">
        <f>INDEX('TH CANAM'!$A$9:$BF$63,MATCH(PDNam!$F2296,'TH CANAM'!$A$9:$A$63,0),INDEX($J$13:$M$30,MATCH($B2275,$J$13:$J$30,0),K$12))</f>
        <v/>
      </c>
      <c r="D2275" s="74" t="str">
        <f>INDEX('TH CANAM'!$A$9:$BF$63,MATCH(PDNam!$F2296,'TH CANAM'!$A$9:$A$63,0),INDEX($J$13:$M$30,MATCH($B2275,$J$13:$J$30,0),L$12))</f>
        <v/>
      </c>
      <c r="E2275" s="74" t="str">
        <f>INDEX('TH CANAM'!$A$9:$BF$63,MATCH(PDNam!$F2296,'TH CANAM'!$A$9:$A$63,0),INDEX($J$13:$M$30,MATCH($B2275,$J$13:$J$30,0),M$12))</f>
        <v/>
      </c>
      <c r="F2275" s="73"/>
      <c r="I2275" s="64"/>
      <c r="J2275" s="64"/>
    </row>
    <row r="2276" spans="1:10" ht="21" customHeight="1">
      <c r="A2276" s="72" t="s">
        <v>204</v>
      </c>
      <c r="B2276" s="73" t="s">
        <v>122</v>
      </c>
      <c r="C2276" s="74" t="str">
        <f>INDEX('TH CANAM'!$A$9:$BF$63,MATCH(PDNam!$F2296,'TH CANAM'!$A$9:$A$63,0),INDEX($J$13:$M$30,MATCH($B2276,$J$13:$J$30,0),K$12))</f>
        <v/>
      </c>
      <c r="D2276" s="74" t="str">
        <f>INDEX('TH CANAM'!$A$9:$BF$63,MATCH(PDNam!$F2296,'TH CANAM'!$A$9:$A$63,0),INDEX($J$13:$M$30,MATCH($B2276,$J$13:$J$30,0),L$12))</f>
        <v/>
      </c>
      <c r="E2276" s="74" t="str">
        <f>INDEX('TH CANAM'!$A$9:$BF$63,MATCH(PDNam!$F2296,'TH CANAM'!$A$9:$A$63,0),INDEX($J$13:$M$30,MATCH($B2276,$J$13:$J$30,0),M$12))</f>
        <v/>
      </c>
      <c r="F2276" s="73"/>
      <c r="I2276" s="64"/>
      <c r="J2276" s="64"/>
    </row>
    <row r="2277" spans="1:10" ht="21" customHeight="1">
      <c r="A2277" s="72" t="s">
        <v>208</v>
      </c>
      <c r="B2277" s="73" t="s">
        <v>205</v>
      </c>
      <c r="C2277" s="78" t="str">
        <f>INDEX('TH CANAM'!$A$9:$BF$63,MATCH(PDNam!$F2296,'TH CANAM'!$A$9:$A$63,0),46)</f>
        <v/>
      </c>
      <c r="D2277" s="78" t="str">
        <f>INDEX('TH CANAM'!$A$9:$BF$63,MATCH(PDNam!$F2296,'TH CANAM'!$A$9:$A$63,0),47)</f>
        <v/>
      </c>
      <c r="E2277" s="78" t="str">
        <f>INDEX('TH CANAM'!$A$9:$BF$63,MATCH(PDNam!$F2296,'TH CANAM'!$A$9:$A$63,0),48)</f>
        <v/>
      </c>
      <c r="F2277" s="73"/>
      <c r="I2277" s="64"/>
      <c r="J2277" s="64"/>
    </row>
    <row r="2278" spans="1:10" ht="21" customHeight="1">
      <c r="A2278" s="72" t="s">
        <v>209</v>
      </c>
      <c r="B2278" s="72" t="s">
        <v>206</v>
      </c>
      <c r="C2278" s="74" t="str">
        <f>IF(INDEX('TH CANAM'!$A$9:$BF$63,MATCH(PDNam!$F2296,'TH CANAM'!$A$9:$A$63,0),49)="Tb","Trung bình",INDEX('TH CANAM'!$A$9:$BF$63,MATCH(PDNam!$F2296,'TH CANAM'!$A$9:$A$63,0),49))</f>
        <v/>
      </c>
      <c r="D2278" s="74" t="str">
        <f>IF(INDEX('TH CANAM'!$A$9:$BF$63,MATCH(PDNam!$F2296,'TH CANAM'!$A$9:$A$63,0),50)="Tb","Trung bình",INDEX('TH CANAM'!$A$9:$BF$63,MATCH(PDNam!$F2296,'TH CANAM'!$A$9:$A$63,0),50))</f>
        <v/>
      </c>
      <c r="E2278" s="74" t="str">
        <f>IF(INDEX('TH CANAM'!$A$9:$BF$63,MATCH(PDNam!$F2296,'TH CANAM'!$A$9:$A$63,0),51)="Tb","Trung bình",INDEX('TH CANAM'!$A$9:$BF$63,MATCH(PDNam!$F2296,'TH CANAM'!$A$9:$A$63,0),51))</f>
        <v/>
      </c>
      <c r="F2278" s="73"/>
    </row>
    <row r="2279" spans="1:10" ht="21" customHeight="1">
      <c r="A2279" s="72" t="s">
        <v>210</v>
      </c>
      <c r="B2279" s="72" t="s">
        <v>207</v>
      </c>
      <c r="C2279" s="74" t="str">
        <f>INDEX('TH CANAM'!$A$9:$BF$63,MATCH(PDNam!$F2296,'TH CANAM'!$A$9:$A$63,0),52)</f>
        <v/>
      </c>
      <c r="D2279" s="74" t="str">
        <f>INDEX('TH CANAM'!$A$9:$BF$63,MATCH(PDNam!$F2296,'TH CANAM'!$A$9:$A$63,0),53)</f>
        <v/>
      </c>
      <c r="E2279" s="74" t="str">
        <f>INDEX('TH CANAM'!$A$9:$BF$63,MATCH(PDNam!$F2296,'TH CANAM'!$A$9:$A$63,0),54)</f>
        <v/>
      </c>
      <c r="F2279" s="73"/>
    </row>
    <row r="2280" spans="1:10" ht="21" customHeight="1">
      <c r="A2280" s="72" t="s">
        <v>211</v>
      </c>
      <c r="B2280" s="72" t="s">
        <v>25</v>
      </c>
      <c r="C2280" s="74" t="str">
        <f>IF(INDEX('TH CANAM'!$A$9:$BF$63,MATCH(PDNam!$F2296,'TH CANAM'!$A$9:$A$63,0),57)&lt;&gt;"",INDEX('TH CANAM'!$A$9:$BF$63,MATCH(PDNam!$F2296,'TH CANAM'!$A$9:$A$63,0),57),"/")</f>
        <v>/</v>
      </c>
      <c r="D2280" s="74" t="str">
        <f>IF(INDEX('TH CANAM'!$A$9:$BF$63,MATCH(PDNam!$F2296,'TH CANAM'!$A$9:$A$63,0),58)&lt;&gt;"",INDEX('TH CANAM'!$A$9:$BF$63,MATCH(PDNam!$F2296,'TH CANAM'!$A$9:$A$63,0),58),"/")</f>
        <v>/</v>
      </c>
      <c r="E2280" s="74" t="str">
        <f>IF(INDEX('TH CANAM'!$A$9:$BF$63,MATCH(PDNam!$F2296,'TH CANAM'!$A$9:$A$63,0),55)&lt;&gt;"",INDEX('TH CANAM'!$A$9:$BF$63,MATCH(PDNam!$F2296,'TH CANAM'!$A$9:$A$63,0),55),"/")</f>
        <v>/</v>
      </c>
      <c r="F2280" s="73"/>
    </row>
    <row r="2281" spans="1:10" s="60" customFormat="1" ht="9" customHeight="1">
      <c r="A2281" s="67"/>
      <c r="B2281" s="67"/>
      <c r="C2281" s="1132"/>
      <c r="D2281" s="1132"/>
      <c r="E2281" s="67"/>
      <c r="F2281" s="67"/>
    </row>
    <row r="2282" spans="1:10" s="60" customFormat="1" ht="18.75" customHeight="1">
      <c r="A2282" s="58" t="s">
        <v>219</v>
      </c>
      <c r="B2282" s="57"/>
      <c r="C2282" s="57"/>
      <c r="D2282" s="57"/>
      <c r="E2282" s="57"/>
      <c r="F2282" s="475"/>
    </row>
    <row r="2283" spans="1:10" s="60" customFormat="1" ht="18.75" customHeight="1">
      <c r="A2283" s="59" t="str">
        <f>IF(F2296&lt;&gt;"",IF(INDEX(BDHK2,MATCH(F2296,DiemHKII!$B$4:$B$58,0),137)&lt;&gt;""," - "&amp;INDEX(BDHK2,MATCH(F2296,DiemHKII!$B$4:$B$58,0),137),""),"")</f>
        <v/>
      </c>
      <c r="B2283" s="57"/>
      <c r="C2283" s="57"/>
      <c r="D2283" s="57"/>
      <c r="E2283" s="57"/>
      <c r="F2283" s="475"/>
    </row>
    <row r="2284" spans="1:10" s="60" customFormat="1" ht="18.75" customHeight="1">
      <c r="A2284" s="59" t="str">
        <f>IF(F2296&lt;&gt;"",IF(INDEX(BDHK2,MATCH(F2296,DiemHKII!$B$4:$B$58,0),138)&lt;&gt;""," - "&amp;INDEX(BDHK2,MATCH(F2296,DiemHKII!$B$4:$B$58,0),138),""),"")</f>
        <v/>
      </c>
      <c r="B2284" s="57"/>
      <c r="C2284" s="57"/>
      <c r="D2284" s="57"/>
      <c r="E2284" s="57"/>
      <c r="F2284" s="475"/>
    </row>
    <row r="2285" spans="1:10" s="60" customFormat="1" ht="18.75" customHeight="1">
      <c r="A2285" s="59" t="str">
        <f>IF(F2296&lt;&gt;"",IF(INDEX(BDHK2,MATCH(F2296,DiemHKII!$B$4:$B$58,0),139)&lt;&gt;""," - "&amp;INDEX(BDHK2,MATCH(F2296,DiemHKII!$B$4:$B$58,0),139),""),"")</f>
        <v/>
      </c>
      <c r="B2285" s="57"/>
      <c r="C2285" s="57"/>
      <c r="D2285" s="57"/>
      <c r="E2285" s="57"/>
      <c r="F2285" s="475"/>
    </row>
    <row r="2286" spans="1:10" s="60" customFormat="1" ht="18.75" customHeight="1">
      <c r="A2286" s="59" t="str">
        <f>IF(F2296&lt;&gt;"",IF(INDEX(BDHK2,MATCH(F2296,DiemHKII!$B$4:$B$58,0),140)&lt;&gt;""," - "&amp;INDEX(BDHK2,MATCH(F2296,DiemHKII!$B$4:$B$58,0),140),""),"")</f>
        <v/>
      </c>
      <c r="B2286" s="57"/>
      <c r="C2286" s="57"/>
      <c r="D2286" s="57"/>
      <c r="E2286" s="57"/>
      <c r="F2286" s="67"/>
    </row>
    <row r="2287" spans="1:10" ht="6" customHeight="1">
      <c r="A2287" s="68"/>
      <c r="B2287" s="68"/>
      <c r="C2287" s="68"/>
      <c r="D2287" s="68"/>
      <c r="E2287" s="68"/>
      <c r="F2287" s="68"/>
    </row>
    <row r="2288" spans="1:10">
      <c r="A2288" s="68"/>
      <c r="B2288" s="68"/>
      <c r="C228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288" s="1060"/>
      <c r="E2288" s="1060"/>
      <c r="F2288" s="1060"/>
    </row>
    <row r="2289" spans="1:10" ht="20.25" customHeight="1">
      <c r="A2289" s="1012" t="str">
        <f>IF($D$39="Hiệu trưởng","Giáo viên Quản nhiệm","")</f>
        <v>Giáo viên Quản nhiệm</v>
      </c>
      <c r="B2289" s="1012"/>
      <c r="C2289" s="61"/>
      <c r="D2289" s="1012" t="str">
        <f>IF($H$7="","",$H$7)</f>
        <v>Hiệu trưởng</v>
      </c>
      <c r="E2289" s="1012"/>
      <c r="F2289" s="61"/>
    </row>
    <row r="2290" spans="1:10">
      <c r="A2290" s="68"/>
      <c r="B2290" s="68"/>
      <c r="C2290" s="68"/>
      <c r="D2290" s="68"/>
      <c r="E2290" s="68"/>
      <c r="F2290" s="68"/>
    </row>
    <row r="2291" spans="1:10">
      <c r="A2291" s="68"/>
      <c r="B2291" s="68"/>
      <c r="C2291" s="68"/>
      <c r="D2291" s="68"/>
      <c r="E2291" s="68"/>
      <c r="F2291" s="68"/>
    </row>
    <row r="2292" spans="1:10" ht="16.8">
      <c r="A2292" s="68"/>
      <c r="B2292" s="68"/>
      <c r="C2292" s="64"/>
      <c r="D2292" s="64"/>
      <c r="E2292" s="64"/>
      <c r="F2292" s="64"/>
      <c r="G2292" s="65"/>
      <c r="H2292" s="65"/>
      <c r="I2292" s="65"/>
      <c r="J2292" s="65"/>
    </row>
    <row r="2294" spans="1:10">
      <c r="A2294" s="1012" t="str">
        <f>IF($A$39="","",PROPER('Huong dan'!$C$4))</f>
        <v/>
      </c>
      <c r="B2294" s="1012"/>
      <c r="D2294" s="1130" t="str">
        <f>IFERROR(IF($D$39="Giáo Viên Quản nhiệm",PROPER('Huong dan'!$C$4),IF($D$39="Hiệu trưởng",PROPER('Huong dan'!$E$5),"")),"")</f>
        <v/>
      </c>
      <c r="E2294" s="1130"/>
    </row>
    <row r="2295" spans="1:10" ht="7.5" customHeight="1"/>
    <row r="2296" spans="1:10" ht="11.25" customHeight="1">
      <c r="A2296" s="75"/>
      <c r="B2296" s="75"/>
      <c r="C2296" s="75"/>
      <c r="D2296" s="75"/>
      <c r="E2296" s="75"/>
      <c r="F2296" s="76" t="str">
        <f>IF(F2251="","",IF(F2251&lt;MAX(DiemHKII!$B$4:$B$58),F2251+1,""))</f>
        <v/>
      </c>
    </row>
    <row r="2297" spans="1:10" s="60" customFormat="1" ht="22.5" customHeight="1">
      <c r="A2297" s="1128" t="str">
        <f>IF('Huong dan'!$E$3&lt;&gt;"","SỞ GIÁO DỤC VÀ ĐÀO TẠO "&amp;UPPER('Huong dan'!$E$3),"")</f>
        <v>SỞ GIÁO DỤC VÀ ĐÀO TẠO TP. HỒ CHÍ MINH</v>
      </c>
      <c r="B2297" s="1128"/>
      <c r="C2297" s="1128"/>
      <c r="D2297" s="1129" t="s">
        <v>19</v>
      </c>
      <c r="E2297" s="1129"/>
      <c r="F2297" s="1129"/>
    </row>
    <row r="2298" spans="1:10" ht="17.25" customHeight="1">
      <c r="A2298" s="992" t="str">
        <f>IF('Huong dan'!$E$4&lt;&gt;"","TRƯỜNG "&amp;UPPER('Huong dan'!$E$4),"")</f>
        <v>TRƯỜNG THCS VÀ THPT NGUYỄN KHUYẾN</v>
      </c>
      <c r="B2298" s="992"/>
      <c r="C2298" s="992"/>
      <c r="D2298" s="1130" t="s">
        <v>179</v>
      </c>
      <c r="E2298" s="1130"/>
      <c r="F2298" s="1130"/>
    </row>
    <row r="2299" spans="1:10" ht="12" customHeight="1">
      <c r="A2299" s="69"/>
      <c r="B2299" s="69"/>
      <c r="C2299" s="30"/>
      <c r="D2299" s="30"/>
      <c r="E2299" s="30"/>
      <c r="F2299" s="30"/>
    </row>
    <row r="2300" spans="1:10" ht="18" customHeight="1">
      <c r="A2300" s="69"/>
      <c r="B2300" s="69"/>
      <c r="C2300" s="30"/>
      <c r="D2300" s="30"/>
      <c r="E2300" s="30"/>
      <c r="F2300" s="30"/>
    </row>
    <row r="2301" spans="1:10" ht="29.25" customHeight="1">
      <c r="A2301" s="1013" t="str">
        <f>"PHIẾU ĐIỂM NĂM HỌC "&amp;'Huong dan'!$C$5</f>
        <v>PHIẾU ĐIỂM NĂM HỌC 2021 - 2022</v>
      </c>
      <c r="B2301" s="1013"/>
      <c r="C2301" s="1013"/>
      <c r="D2301" s="1013"/>
      <c r="E2301" s="1013"/>
      <c r="F2301" s="1013"/>
    </row>
    <row r="2302" spans="1:10" ht="12.75" customHeight="1">
      <c r="A2302" s="70"/>
      <c r="B2302" s="66"/>
      <c r="C2302" s="66"/>
      <c r="D2302" s="66"/>
      <c r="E2302" s="66"/>
      <c r="F2302" s="66"/>
    </row>
    <row r="2303" spans="1:10" ht="20.25" customHeight="1">
      <c r="A2303" s="1131" t="s">
        <v>212</v>
      </c>
      <c r="B2303" s="1131"/>
      <c r="C2303" s="77" t="str">
        <f>IF(F2341="","",INDEX(DiemHKII!$E$4:$E$58,MATCH(F2341,DiemHKII!$B$4:$B$58,0),1)&amp;" "&amp;INDEX(DiemHKII!$F$4:$F$58,MATCH(F2341,DiemHKII!$B$4:$B$58,0),1))</f>
        <v/>
      </c>
      <c r="D2303" s="77"/>
      <c r="E2303" s="77"/>
      <c r="F2303" s="71" t="str">
        <f>IF('Huong dan'!$C$3="","","Lớp: "&amp;'Huong dan'!$C$3)</f>
        <v>Lớp: 12A1</v>
      </c>
    </row>
    <row r="2304" spans="1:10" ht="24" customHeight="1">
      <c r="A2304" s="1131" t="s">
        <v>213</v>
      </c>
      <c r="B2304" s="1131"/>
      <c r="C2304" s="77" t="str">
        <f>IF(F2341="","",INDEX(DiemHKII!$G$4:$G$58,MATCH(F2341,DiemHKII!$B$4:$B$58,0),1))</f>
        <v/>
      </c>
      <c r="D2304" s="77"/>
      <c r="E2304" s="1133" t="str">
        <f>IF(F2341="","","Nơi sinh: "&amp;INDEX(DiemHKII!$H$4:$H$58,MATCH(F2341,DiemHKII!$B$4:$B$58,0),1))</f>
        <v/>
      </c>
      <c r="F2304" s="1133"/>
    </row>
    <row r="2305" spans="1:10" ht="15" customHeight="1">
      <c r="A2305" s="62"/>
      <c r="B2305" s="62"/>
      <c r="C2305" s="62"/>
      <c r="D2305" s="62"/>
      <c r="E2305" s="62"/>
      <c r="F2305" s="63"/>
    </row>
    <row r="2306" spans="1:10" ht="21" customHeight="1">
      <c r="A2306" s="1134" t="s">
        <v>0</v>
      </c>
      <c r="B2306" s="1134" t="s">
        <v>72</v>
      </c>
      <c r="C2306" s="1134" t="s">
        <v>216</v>
      </c>
      <c r="D2306" s="1134"/>
      <c r="E2306" s="1134"/>
      <c r="F2306" s="1134" t="s">
        <v>148</v>
      </c>
    </row>
    <row r="2307" spans="1:10" ht="21" customHeight="1">
      <c r="A2307" s="1134"/>
      <c r="B2307" s="1134"/>
      <c r="C2307" s="476" t="s">
        <v>188</v>
      </c>
      <c r="D2307" s="476" t="s">
        <v>189</v>
      </c>
      <c r="E2307" s="476" t="s">
        <v>190</v>
      </c>
      <c r="F2307" s="1134"/>
    </row>
    <row r="2308" spans="1:10" ht="21" customHeight="1">
      <c r="A2308" s="72" t="s">
        <v>191</v>
      </c>
      <c r="B2308" s="73" t="s">
        <v>26</v>
      </c>
      <c r="C2308" s="74" t="str">
        <f>INDEX('TH CANAM'!$A$9:$BF$63,MATCH(PDNam!$F2341,'TH CANAM'!$A$9:$A$63,0),INDEX($J$13:$M$30,MATCH($B2308,$J$13:$J$30,0),K$12))</f>
        <v/>
      </c>
      <c r="D2308" s="74" t="str">
        <f>INDEX('TH CANAM'!$A$9:$BF$63,MATCH(PDNam!$F2341,'TH CANAM'!$A$9:$A$63,0),INDEX($J$13:$M$30,MATCH($B2308,$J$13:$J$30,0),L$12))</f>
        <v/>
      </c>
      <c r="E2308" s="74" t="str">
        <f>INDEX('TH CANAM'!$A$9:$BF$63,MATCH(PDNam!$F2341,'TH CANAM'!$A$9:$A$63,0),INDEX($J$13:$M$30,MATCH($B2308,$J$13:$J$30,0),M$12))</f>
        <v/>
      </c>
      <c r="F2308" s="73"/>
      <c r="I2308" s="64"/>
      <c r="J2308" s="64"/>
    </row>
    <row r="2309" spans="1:10" ht="21" customHeight="1">
      <c r="A2309" s="72" t="s">
        <v>192</v>
      </c>
      <c r="B2309" s="73" t="s">
        <v>27</v>
      </c>
      <c r="C2309" s="74" t="str">
        <f>INDEX('TH CANAM'!$A$9:$BF$63,MATCH(PDNam!$F2341,'TH CANAM'!$A$9:$A$63,0),INDEX($J$13:$M$30,MATCH($B2309,$J$13:$J$30,0),K$12))</f>
        <v/>
      </c>
      <c r="D2309" s="74" t="str">
        <f>INDEX('TH CANAM'!$A$9:$BF$63,MATCH(PDNam!$F2341,'TH CANAM'!$A$9:$A$63,0),INDEX($J$13:$M$30,MATCH($B2309,$J$13:$J$30,0),L$12))</f>
        <v/>
      </c>
      <c r="E2309" s="74" t="str">
        <f>INDEX('TH CANAM'!$A$9:$BF$63,MATCH(PDNam!$F2341,'TH CANAM'!$A$9:$A$63,0),INDEX($J$13:$M$30,MATCH($B2309,$J$13:$J$30,0),M$12))</f>
        <v/>
      </c>
      <c r="F2309" s="73"/>
      <c r="I2309" s="64"/>
      <c r="J2309" s="64"/>
    </row>
    <row r="2310" spans="1:10" ht="21" customHeight="1">
      <c r="A2310" s="72" t="s">
        <v>193</v>
      </c>
      <c r="B2310" s="73" t="s">
        <v>28</v>
      </c>
      <c r="C2310" s="74" t="str">
        <f>INDEX('TH CANAM'!$A$9:$BF$63,MATCH(PDNam!$F2341,'TH CANAM'!$A$9:$A$63,0),INDEX($J$13:$M$30,MATCH($B2310,$J$13:$J$30,0),K$12))</f>
        <v/>
      </c>
      <c r="D2310" s="74" t="str">
        <f>INDEX('TH CANAM'!$A$9:$BF$63,MATCH(PDNam!$F2341,'TH CANAM'!$A$9:$A$63,0),INDEX($J$13:$M$30,MATCH($B2310,$J$13:$J$30,0),L$12))</f>
        <v/>
      </c>
      <c r="E2310" s="74" t="str">
        <f>INDEX('TH CANAM'!$A$9:$BF$63,MATCH(PDNam!$F2341,'TH CANAM'!$A$9:$A$63,0),INDEX($J$13:$M$30,MATCH($B2310,$J$13:$J$30,0),M$12))</f>
        <v/>
      </c>
      <c r="F2310" s="73"/>
      <c r="I2310" s="64"/>
      <c r="J2310" s="64"/>
    </row>
    <row r="2311" spans="1:10" ht="21" customHeight="1">
      <c r="A2311" s="72" t="s">
        <v>194</v>
      </c>
      <c r="B2311" s="73" t="s">
        <v>29</v>
      </c>
      <c r="C2311" s="74" t="str">
        <f>INDEX('TH CANAM'!$A$9:$BF$63,MATCH(PDNam!$F2341,'TH CANAM'!$A$9:$A$63,0),INDEX($J$13:$M$30,MATCH($B2311,$J$13:$J$30,0),K$12))</f>
        <v/>
      </c>
      <c r="D2311" s="74" t="str">
        <f>INDEX('TH CANAM'!$A$9:$BF$63,MATCH(PDNam!$F2341,'TH CANAM'!$A$9:$A$63,0),INDEX($J$13:$M$30,MATCH($B2311,$J$13:$J$30,0),L$12))</f>
        <v/>
      </c>
      <c r="E2311" s="74" t="str">
        <f>INDEX('TH CANAM'!$A$9:$BF$63,MATCH(PDNam!$F2341,'TH CANAM'!$A$9:$A$63,0),INDEX($J$13:$M$30,MATCH($B2311,$J$13:$J$30,0),M$12))</f>
        <v/>
      </c>
      <c r="F2311" s="73"/>
      <c r="I2311" s="64"/>
      <c r="J2311" s="64"/>
    </row>
    <row r="2312" spans="1:10" ht="21" customHeight="1">
      <c r="A2312" s="72" t="s">
        <v>195</v>
      </c>
      <c r="B2312" s="73" t="s">
        <v>120</v>
      </c>
      <c r="C2312" s="74" t="str">
        <f>INDEX('TH CANAM'!$A$9:$BF$63,MATCH(PDNam!$F2341,'TH CANAM'!$A$9:$A$63,0),INDEX($J$13:$M$30,MATCH($B2312,$J$13:$J$30,0),K$12))</f>
        <v/>
      </c>
      <c r="D2312" s="74" t="str">
        <f>INDEX('TH CANAM'!$A$9:$BF$63,MATCH(PDNam!$F2341,'TH CANAM'!$A$9:$A$63,0),INDEX($J$13:$M$30,MATCH($B2312,$J$13:$J$30,0),L$12))</f>
        <v/>
      </c>
      <c r="E2312" s="74" t="str">
        <f>INDEX('TH CANAM'!$A$9:$BF$63,MATCH(PDNam!$F2341,'TH CANAM'!$A$9:$A$63,0),INDEX($J$13:$M$30,MATCH($B2312,$J$13:$J$30,0),M$12))</f>
        <v/>
      </c>
      <c r="F2312" s="73"/>
      <c r="I2312" s="64"/>
      <c r="J2312" s="64"/>
    </row>
    <row r="2313" spans="1:10" ht="21" customHeight="1">
      <c r="A2313" s="72" t="s">
        <v>196</v>
      </c>
      <c r="B2313" s="73" t="s">
        <v>30</v>
      </c>
      <c r="C2313" s="74" t="str">
        <f>INDEX('TH CANAM'!$A$9:$BF$63,MATCH(PDNam!$F2341,'TH CANAM'!$A$9:$A$63,0),INDEX($J$13:$M$30,MATCH($B2313,$J$13:$J$30,0),K$12))</f>
        <v/>
      </c>
      <c r="D2313" s="74" t="str">
        <f>INDEX('TH CANAM'!$A$9:$BF$63,MATCH(PDNam!$F2341,'TH CANAM'!$A$9:$A$63,0),INDEX($J$13:$M$30,MATCH($B2313,$J$13:$J$30,0),L$12))</f>
        <v/>
      </c>
      <c r="E2313" s="74" t="str">
        <f>INDEX('TH CANAM'!$A$9:$BF$63,MATCH(PDNam!$F2341,'TH CANAM'!$A$9:$A$63,0),INDEX($J$13:$M$30,MATCH($B2313,$J$13:$J$30,0),M$12))</f>
        <v/>
      </c>
      <c r="F2313" s="73"/>
      <c r="I2313" s="64"/>
      <c r="J2313" s="64"/>
    </row>
    <row r="2314" spans="1:10" ht="21" customHeight="1">
      <c r="A2314" s="72" t="s">
        <v>197</v>
      </c>
      <c r="B2314" s="73" t="s">
        <v>31</v>
      </c>
      <c r="C2314" s="74" t="str">
        <f>INDEX('TH CANAM'!$A$9:$BF$63,MATCH(PDNam!$F2341,'TH CANAM'!$A$9:$A$63,0),INDEX($J$13:$M$30,MATCH($B2314,$J$13:$J$30,0),K$12))</f>
        <v/>
      </c>
      <c r="D2314" s="74" t="str">
        <f>INDEX('TH CANAM'!$A$9:$BF$63,MATCH(PDNam!$F2341,'TH CANAM'!$A$9:$A$63,0),INDEX($J$13:$M$30,MATCH($B2314,$J$13:$J$30,0),L$12))</f>
        <v/>
      </c>
      <c r="E2314" s="74" t="str">
        <f>INDEX('TH CANAM'!$A$9:$BF$63,MATCH(PDNam!$F2341,'TH CANAM'!$A$9:$A$63,0),INDEX($J$13:$M$30,MATCH($B2314,$J$13:$J$30,0),M$12))</f>
        <v/>
      </c>
      <c r="F2314" s="73"/>
      <c r="I2314" s="64"/>
      <c r="J2314" s="64"/>
    </row>
    <row r="2315" spans="1:10" ht="21" customHeight="1">
      <c r="A2315" s="72" t="s">
        <v>198</v>
      </c>
      <c r="B2315" s="73" t="s">
        <v>32</v>
      </c>
      <c r="C2315" s="74" t="str">
        <f>INDEX('TH CANAM'!$A$9:$BF$63,MATCH(PDNam!$F2341,'TH CANAM'!$A$9:$A$63,0),INDEX($J$13:$M$30,MATCH($B2315,$J$13:$J$30,0),K$12))</f>
        <v/>
      </c>
      <c r="D2315" s="74" t="str">
        <f>INDEX('TH CANAM'!$A$9:$BF$63,MATCH(PDNam!$F2341,'TH CANAM'!$A$9:$A$63,0),INDEX($J$13:$M$30,MATCH($B2315,$J$13:$J$30,0),L$12))</f>
        <v/>
      </c>
      <c r="E2315" s="74" t="str">
        <f>INDEX('TH CANAM'!$A$9:$BF$63,MATCH(PDNam!$F2341,'TH CANAM'!$A$9:$A$63,0),INDEX($J$13:$M$30,MATCH($B2315,$J$13:$J$30,0),M$12))</f>
        <v/>
      </c>
      <c r="F2315" s="73"/>
      <c r="I2315" s="64"/>
      <c r="J2315" s="64"/>
    </row>
    <row r="2316" spans="1:10" ht="21" customHeight="1">
      <c r="A2316" s="72" t="s">
        <v>199</v>
      </c>
      <c r="B2316" s="73" t="s">
        <v>33</v>
      </c>
      <c r="C2316" s="74" t="str">
        <f>INDEX('TH CANAM'!$A$9:$BF$63,MATCH(PDNam!$F2341,'TH CANAM'!$A$9:$A$63,0),INDEX($J$13:$M$30,MATCH($B2316,$J$13:$J$30,0),K$12))</f>
        <v/>
      </c>
      <c r="D2316" s="74" t="str">
        <f>INDEX('TH CANAM'!$A$9:$BF$63,MATCH(PDNam!$F2341,'TH CANAM'!$A$9:$A$63,0),INDEX($J$13:$M$30,MATCH($B2316,$J$13:$J$30,0),L$12))</f>
        <v/>
      </c>
      <c r="E2316" s="74" t="str">
        <f>INDEX('TH CANAM'!$A$9:$BF$63,MATCH(PDNam!$F2341,'TH CANAM'!$A$9:$A$63,0),INDEX($J$13:$M$30,MATCH($B2316,$J$13:$J$30,0),M$12))</f>
        <v/>
      </c>
      <c r="F2316" s="73"/>
      <c r="I2316" s="64"/>
      <c r="J2316" s="64"/>
    </row>
    <row r="2317" spans="1:10" ht="21" customHeight="1">
      <c r="A2317" s="72" t="s">
        <v>200</v>
      </c>
      <c r="B2317" s="73" t="s">
        <v>60</v>
      </c>
      <c r="C2317" s="74" t="str">
        <f>INDEX('TH CANAM'!$A$9:$BF$63,MATCH(PDNam!$F2341,'TH CANAM'!$A$9:$A$63,0),INDEX($J$13:$M$30,MATCH($B2317,$J$13:$J$30,0),K$12))</f>
        <v/>
      </c>
      <c r="D2317" s="74" t="str">
        <f>INDEX('TH CANAM'!$A$9:$BF$63,MATCH(PDNam!$F2341,'TH CANAM'!$A$9:$A$63,0),INDEX($J$13:$M$30,MATCH($B2317,$J$13:$J$30,0),L$12))</f>
        <v/>
      </c>
      <c r="E2317" s="74" t="str">
        <f>INDEX('TH CANAM'!$A$9:$BF$63,MATCH(PDNam!$F2341,'TH CANAM'!$A$9:$A$63,0),INDEX($J$13:$M$30,MATCH($B2317,$J$13:$J$30,0),M$12))</f>
        <v/>
      </c>
      <c r="F2317" s="73"/>
      <c r="I2317" s="64"/>
      <c r="J2317" s="64"/>
    </row>
    <row r="2318" spans="1:10" ht="21" customHeight="1">
      <c r="A2318" s="72" t="s">
        <v>201</v>
      </c>
      <c r="B2318" s="73" t="s">
        <v>34</v>
      </c>
      <c r="C2318" s="74" t="str">
        <f>INDEX('TH CANAM'!$A$9:$BF$63,MATCH(PDNam!$F2341,'TH CANAM'!$A$9:$A$63,0),INDEX($J$13:$M$30,MATCH($B2318,$J$13:$J$30,0),K$12))</f>
        <v/>
      </c>
      <c r="D2318" s="74" t="str">
        <f>INDEX('TH CANAM'!$A$9:$BF$63,MATCH(PDNam!$F2341,'TH CANAM'!$A$9:$A$63,0),INDEX($J$13:$M$30,MATCH($B2318,$J$13:$J$30,0),L$12))</f>
        <v/>
      </c>
      <c r="E2318" s="74" t="str">
        <f>INDEX('TH CANAM'!$A$9:$BF$63,MATCH(PDNam!$F2341,'TH CANAM'!$A$9:$A$63,0),INDEX($J$13:$M$30,MATCH($B2318,$J$13:$J$30,0),M$12))</f>
        <v/>
      </c>
      <c r="F2318" s="73"/>
      <c r="I2318" s="64"/>
      <c r="J2318" s="64"/>
    </row>
    <row r="2319" spans="1:10" ht="21" customHeight="1">
      <c r="A2319" s="72" t="s">
        <v>202</v>
      </c>
      <c r="B2319" s="73" t="s">
        <v>35</v>
      </c>
      <c r="C2319" s="74" t="str">
        <f>INDEX('TH CANAM'!$A$9:$BF$63,MATCH(PDNam!$F2341,'TH CANAM'!$A$9:$A$63,0),INDEX($J$13:$M$30,MATCH($B2319,$J$13:$J$30,0),K$12))</f>
        <v/>
      </c>
      <c r="D2319" s="74" t="str">
        <f>INDEX('TH CANAM'!$A$9:$BF$63,MATCH(PDNam!$F2341,'TH CANAM'!$A$9:$A$63,0),INDEX($J$13:$M$30,MATCH($B2319,$J$13:$J$30,0),L$12))</f>
        <v/>
      </c>
      <c r="E2319" s="74" t="str">
        <f>INDEX('TH CANAM'!$A$9:$BF$63,MATCH(PDNam!$F2341,'TH CANAM'!$A$9:$A$63,0),INDEX($J$13:$M$30,MATCH($B2319,$J$13:$J$30,0),M$12))</f>
        <v/>
      </c>
      <c r="F2319" s="73"/>
      <c r="I2319" s="64"/>
      <c r="J2319" s="64"/>
    </row>
    <row r="2320" spans="1:10" ht="21" customHeight="1">
      <c r="A2320" s="72" t="s">
        <v>203</v>
      </c>
      <c r="B2320" s="73" t="s">
        <v>121</v>
      </c>
      <c r="C2320" s="74" t="str">
        <f>INDEX('TH CANAM'!$A$9:$BF$63,MATCH(PDNam!$F2341,'TH CANAM'!$A$9:$A$63,0),INDEX($J$13:$M$30,MATCH($B2320,$J$13:$J$30,0),K$12))</f>
        <v/>
      </c>
      <c r="D2320" s="74" t="str">
        <f>INDEX('TH CANAM'!$A$9:$BF$63,MATCH(PDNam!$F2341,'TH CANAM'!$A$9:$A$63,0),INDEX($J$13:$M$30,MATCH($B2320,$J$13:$J$30,0),L$12))</f>
        <v/>
      </c>
      <c r="E2320" s="74" t="str">
        <f>INDEX('TH CANAM'!$A$9:$BF$63,MATCH(PDNam!$F2341,'TH CANAM'!$A$9:$A$63,0),INDEX($J$13:$M$30,MATCH($B2320,$J$13:$J$30,0),M$12))</f>
        <v/>
      </c>
      <c r="F2320" s="73"/>
      <c r="I2320" s="64"/>
      <c r="J2320" s="64"/>
    </row>
    <row r="2321" spans="1:10" ht="21" customHeight="1">
      <c r="A2321" s="72" t="s">
        <v>204</v>
      </c>
      <c r="B2321" s="73" t="s">
        <v>122</v>
      </c>
      <c r="C2321" s="74" t="str">
        <f>INDEX('TH CANAM'!$A$9:$BF$63,MATCH(PDNam!$F2341,'TH CANAM'!$A$9:$A$63,0),INDEX($J$13:$M$30,MATCH($B2321,$J$13:$J$30,0),K$12))</f>
        <v/>
      </c>
      <c r="D2321" s="74" t="str">
        <f>INDEX('TH CANAM'!$A$9:$BF$63,MATCH(PDNam!$F2341,'TH CANAM'!$A$9:$A$63,0),INDEX($J$13:$M$30,MATCH($B2321,$J$13:$J$30,0),L$12))</f>
        <v/>
      </c>
      <c r="E2321" s="74" t="str">
        <f>INDEX('TH CANAM'!$A$9:$BF$63,MATCH(PDNam!$F2341,'TH CANAM'!$A$9:$A$63,0),INDEX($J$13:$M$30,MATCH($B2321,$J$13:$J$30,0),M$12))</f>
        <v/>
      </c>
      <c r="F2321" s="73"/>
      <c r="I2321" s="64"/>
      <c r="J2321" s="64"/>
    </row>
    <row r="2322" spans="1:10" ht="21" customHeight="1">
      <c r="A2322" s="72" t="s">
        <v>208</v>
      </c>
      <c r="B2322" s="73" t="s">
        <v>205</v>
      </c>
      <c r="C2322" s="78" t="str">
        <f>INDEX('TH CANAM'!$A$9:$BF$63,MATCH(PDNam!$F2341,'TH CANAM'!$A$9:$A$63,0),46)</f>
        <v/>
      </c>
      <c r="D2322" s="78" t="str">
        <f>INDEX('TH CANAM'!$A$9:$BF$63,MATCH(PDNam!$F2341,'TH CANAM'!$A$9:$A$63,0),47)</f>
        <v/>
      </c>
      <c r="E2322" s="78" t="str">
        <f>INDEX('TH CANAM'!$A$9:$BF$63,MATCH(PDNam!$F2341,'TH CANAM'!$A$9:$A$63,0),48)</f>
        <v/>
      </c>
      <c r="F2322" s="73"/>
      <c r="I2322" s="64"/>
      <c r="J2322" s="64"/>
    </row>
    <row r="2323" spans="1:10" ht="21" customHeight="1">
      <c r="A2323" s="72" t="s">
        <v>209</v>
      </c>
      <c r="B2323" s="72" t="s">
        <v>206</v>
      </c>
      <c r="C2323" s="74" t="str">
        <f>IF(INDEX('TH CANAM'!$A$9:$BF$63,MATCH(PDNam!$F2341,'TH CANAM'!$A$9:$A$63,0),49)="Tb","Trung bình",INDEX('TH CANAM'!$A$9:$BF$63,MATCH(PDNam!$F2341,'TH CANAM'!$A$9:$A$63,0),49))</f>
        <v/>
      </c>
      <c r="D2323" s="74" t="str">
        <f>IF(INDEX('TH CANAM'!$A$9:$BF$63,MATCH(PDNam!$F2341,'TH CANAM'!$A$9:$A$63,0),50)="Tb","Trung bình",INDEX('TH CANAM'!$A$9:$BF$63,MATCH(PDNam!$F2341,'TH CANAM'!$A$9:$A$63,0),50))</f>
        <v/>
      </c>
      <c r="E2323" s="74" t="str">
        <f>IF(INDEX('TH CANAM'!$A$9:$BF$63,MATCH(PDNam!$F2341,'TH CANAM'!$A$9:$A$63,0),51)="Tb","Trung bình",INDEX('TH CANAM'!$A$9:$BF$63,MATCH(PDNam!$F2341,'TH CANAM'!$A$9:$A$63,0),51))</f>
        <v/>
      </c>
      <c r="F2323" s="73"/>
    </row>
    <row r="2324" spans="1:10" ht="21" customHeight="1">
      <c r="A2324" s="72" t="s">
        <v>210</v>
      </c>
      <c r="B2324" s="72" t="s">
        <v>207</v>
      </c>
      <c r="C2324" s="74" t="str">
        <f>INDEX('TH CANAM'!$A$9:$BF$63,MATCH(PDNam!$F2341,'TH CANAM'!$A$9:$A$63,0),52)</f>
        <v/>
      </c>
      <c r="D2324" s="74" t="str">
        <f>INDEX('TH CANAM'!$A$9:$BF$63,MATCH(PDNam!$F2341,'TH CANAM'!$A$9:$A$63,0),53)</f>
        <v/>
      </c>
      <c r="E2324" s="74" t="str">
        <f>INDEX('TH CANAM'!$A$9:$BF$63,MATCH(PDNam!$F2341,'TH CANAM'!$A$9:$A$63,0),54)</f>
        <v/>
      </c>
      <c r="F2324" s="73"/>
    </row>
    <row r="2325" spans="1:10" ht="21" customHeight="1">
      <c r="A2325" s="72" t="s">
        <v>211</v>
      </c>
      <c r="B2325" s="72" t="s">
        <v>25</v>
      </c>
      <c r="C2325" s="74" t="str">
        <f>IF(INDEX('TH CANAM'!$A$9:$BF$63,MATCH(PDNam!$F2341,'TH CANAM'!$A$9:$A$63,0),57)&lt;&gt;"",INDEX('TH CANAM'!$A$9:$BF$63,MATCH(PDNam!$F2341,'TH CANAM'!$A$9:$A$63,0),57),"/")</f>
        <v>/</v>
      </c>
      <c r="D2325" s="74" t="str">
        <f>IF(INDEX('TH CANAM'!$A$9:$BF$63,MATCH(PDNam!$F2341,'TH CANAM'!$A$9:$A$63,0),58)&lt;&gt;"",INDEX('TH CANAM'!$A$9:$BF$63,MATCH(PDNam!$F2341,'TH CANAM'!$A$9:$A$63,0),58),"/")</f>
        <v>/</v>
      </c>
      <c r="E2325" s="74" t="str">
        <f>IF(INDEX('TH CANAM'!$A$9:$BF$63,MATCH(PDNam!$F2341,'TH CANAM'!$A$9:$A$63,0),55)&lt;&gt;"",INDEX('TH CANAM'!$A$9:$BF$63,MATCH(PDNam!$F2341,'TH CANAM'!$A$9:$A$63,0),55),"/")</f>
        <v>/</v>
      </c>
      <c r="F2325" s="73"/>
    </row>
    <row r="2326" spans="1:10" s="60" customFormat="1" ht="9" customHeight="1">
      <c r="A2326" s="67"/>
      <c r="B2326" s="67"/>
      <c r="C2326" s="1132"/>
      <c r="D2326" s="1132"/>
      <c r="E2326" s="67"/>
      <c r="F2326" s="67"/>
    </row>
    <row r="2327" spans="1:10" s="60" customFormat="1" ht="18.75" customHeight="1">
      <c r="A2327" s="58" t="s">
        <v>219</v>
      </c>
      <c r="B2327" s="57"/>
      <c r="C2327" s="57"/>
      <c r="D2327" s="57"/>
      <c r="E2327" s="57"/>
      <c r="F2327" s="475"/>
    </row>
    <row r="2328" spans="1:10" s="60" customFormat="1" ht="18.75" customHeight="1">
      <c r="A2328" s="59" t="str">
        <f>IF(F2341&lt;&gt;"",IF(INDEX(BDHK2,MATCH(F2341,DiemHKII!$B$4:$B$58,0),137)&lt;&gt;""," - "&amp;INDEX(BDHK2,MATCH(F2341,DiemHKII!$B$4:$B$58,0),137),""),"")</f>
        <v/>
      </c>
      <c r="B2328" s="57"/>
      <c r="C2328" s="57"/>
      <c r="D2328" s="57"/>
      <c r="E2328" s="57"/>
      <c r="F2328" s="475"/>
    </row>
    <row r="2329" spans="1:10" s="60" customFormat="1" ht="18.75" customHeight="1">
      <c r="A2329" s="59" t="str">
        <f>IF(F2341&lt;&gt;"",IF(INDEX(BDHK2,MATCH(F2341,DiemHKII!$B$4:$B$58,0),138)&lt;&gt;""," - "&amp;INDEX(BDHK2,MATCH(F2341,DiemHKII!$B$4:$B$58,0),138),""),"")</f>
        <v/>
      </c>
      <c r="B2329" s="57"/>
      <c r="C2329" s="57"/>
      <c r="D2329" s="57"/>
      <c r="E2329" s="57"/>
      <c r="F2329" s="475"/>
    </row>
    <row r="2330" spans="1:10" s="60" customFormat="1" ht="18.75" customHeight="1">
      <c r="A2330" s="59" t="str">
        <f>IF(F2341&lt;&gt;"",IF(INDEX(BDHK2,MATCH(F2341,DiemHKII!$B$4:$B$58,0),139)&lt;&gt;""," - "&amp;INDEX(BDHK2,MATCH(F2341,DiemHKII!$B$4:$B$58,0),139),""),"")</f>
        <v/>
      </c>
      <c r="B2330" s="57"/>
      <c r="C2330" s="57"/>
      <c r="D2330" s="57"/>
      <c r="E2330" s="57"/>
      <c r="F2330" s="475"/>
    </row>
    <row r="2331" spans="1:10" s="60" customFormat="1" ht="18.75" customHeight="1">
      <c r="A2331" s="59" t="str">
        <f>IF(F2341&lt;&gt;"",IF(INDEX(BDHK2,MATCH(F2341,DiemHKII!$B$4:$B$58,0),140)&lt;&gt;""," - "&amp;INDEX(BDHK2,MATCH(F2341,DiemHKII!$B$4:$B$58,0),140),""),"")</f>
        <v/>
      </c>
      <c r="B2331" s="57"/>
      <c r="C2331" s="57"/>
      <c r="D2331" s="57"/>
      <c r="E2331" s="57"/>
      <c r="F2331" s="67"/>
    </row>
    <row r="2332" spans="1:10" ht="6" customHeight="1">
      <c r="A2332" s="68"/>
      <c r="B2332" s="68"/>
      <c r="C2332" s="68"/>
      <c r="D2332" s="68"/>
      <c r="E2332" s="68"/>
      <c r="F2332" s="68"/>
    </row>
    <row r="2333" spans="1:10">
      <c r="A2333" s="68"/>
      <c r="B2333" s="68"/>
      <c r="C233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333" s="1060"/>
      <c r="E2333" s="1060"/>
      <c r="F2333" s="1060"/>
    </row>
    <row r="2334" spans="1:10" ht="20.25" customHeight="1">
      <c r="A2334" s="1012" t="str">
        <f>IF($D$39="Hiệu trưởng","Giáo viên Quản nhiệm","")</f>
        <v>Giáo viên Quản nhiệm</v>
      </c>
      <c r="B2334" s="1012"/>
      <c r="C2334" s="61"/>
      <c r="D2334" s="1012" t="str">
        <f>IF($H$7="","",$H$7)</f>
        <v>Hiệu trưởng</v>
      </c>
      <c r="E2334" s="1012"/>
      <c r="F2334" s="61"/>
    </row>
    <row r="2335" spans="1:10">
      <c r="A2335" s="68"/>
      <c r="B2335" s="68"/>
      <c r="C2335" s="68"/>
      <c r="D2335" s="68"/>
      <c r="E2335" s="68"/>
      <c r="F2335" s="68"/>
    </row>
    <row r="2336" spans="1:10">
      <c r="A2336" s="68"/>
      <c r="B2336" s="68"/>
      <c r="C2336" s="68"/>
      <c r="D2336" s="68"/>
      <c r="E2336" s="68"/>
      <c r="F2336" s="68"/>
    </row>
    <row r="2337" spans="1:10" ht="16.8">
      <c r="A2337" s="68"/>
      <c r="B2337" s="68"/>
      <c r="C2337" s="64"/>
      <c r="D2337" s="64"/>
      <c r="E2337" s="64"/>
      <c r="F2337" s="64"/>
      <c r="G2337" s="65"/>
      <c r="H2337" s="65"/>
      <c r="I2337" s="65"/>
      <c r="J2337" s="65"/>
    </row>
    <row r="2339" spans="1:10">
      <c r="A2339" s="1012" t="str">
        <f>IF($A$39="","",PROPER('Huong dan'!$C$4))</f>
        <v/>
      </c>
      <c r="B2339" s="1012"/>
      <c r="D2339" s="1130" t="str">
        <f>IFERROR(IF($D$39="Giáo Viên Quản nhiệm",PROPER('Huong dan'!$C$4),IF($D$39="Hiệu trưởng",PROPER('Huong dan'!$E$5),"")),"")</f>
        <v/>
      </c>
      <c r="E2339" s="1130"/>
    </row>
    <row r="2340" spans="1:10" ht="7.5" customHeight="1"/>
    <row r="2341" spans="1:10" ht="11.25" customHeight="1">
      <c r="A2341" s="75"/>
      <c r="B2341" s="75"/>
      <c r="C2341" s="75"/>
      <c r="D2341" s="75"/>
      <c r="E2341" s="75"/>
      <c r="F2341" s="76" t="str">
        <f>IF(F2296="","",IF(F2296&lt;MAX(DiemHKII!$B$4:$B$58),F2296+1,""))</f>
        <v/>
      </c>
    </row>
    <row r="2342" spans="1:10" s="60" customFormat="1" ht="22.5" customHeight="1">
      <c r="A2342" s="1128" t="str">
        <f>IF('Huong dan'!$E$3&lt;&gt;"","SỞ GIÁO DỤC VÀ ĐÀO TẠO "&amp;UPPER('Huong dan'!$E$3),"")</f>
        <v>SỞ GIÁO DỤC VÀ ĐÀO TẠO TP. HỒ CHÍ MINH</v>
      </c>
      <c r="B2342" s="1128"/>
      <c r="C2342" s="1128"/>
      <c r="D2342" s="1129" t="s">
        <v>19</v>
      </c>
      <c r="E2342" s="1129"/>
      <c r="F2342" s="1129"/>
    </row>
    <row r="2343" spans="1:10" ht="17.25" customHeight="1">
      <c r="A2343" s="992" t="str">
        <f>IF('Huong dan'!$E$4&lt;&gt;"","TRƯỜNG "&amp;UPPER('Huong dan'!$E$4),"")</f>
        <v>TRƯỜNG THCS VÀ THPT NGUYỄN KHUYẾN</v>
      </c>
      <c r="B2343" s="992"/>
      <c r="C2343" s="992"/>
      <c r="D2343" s="1130" t="s">
        <v>179</v>
      </c>
      <c r="E2343" s="1130"/>
      <c r="F2343" s="1130"/>
    </row>
    <row r="2344" spans="1:10" ht="12" customHeight="1">
      <c r="A2344" s="69"/>
      <c r="B2344" s="69"/>
      <c r="C2344" s="30"/>
      <c r="D2344" s="30"/>
      <c r="E2344" s="30"/>
      <c r="F2344" s="30"/>
    </row>
    <row r="2345" spans="1:10" ht="18" customHeight="1">
      <c r="A2345" s="69"/>
      <c r="B2345" s="69"/>
      <c r="C2345" s="30"/>
      <c r="D2345" s="30"/>
      <c r="E2345" s="30"/>
      <c r="F2345" s="30"/>
    </row>
    <row r="2346" spans="1:10" ht="29.25" customHeight="1">
      <c r="A2346" s="1013" t="str">
        <f>"PHIẾU ĐIỂM NĂM HỌC "&amp;'Huong dan'!$C$5</f>
        <v>PHIẾU ĐIỂM NĂM HỌC 2021 - 2022</v>
      </c>
      <c r="B2346" s="1013"/>
      <c r="C2346" s="1013"/>
      <c r="D2346" s="1013"/>
      <c r="E2346" s="1013"/>
      <c r="F2346" s="1013"/>
    </row>
    <row r="2347" spans="1:10" ht="12.75" customHeight="1">
      <c r="A2347" s="70"/>
      <c r="B2347" s="66"/>
      <c r="C2347" s="66"/>
      <c r="D2347" s="66"/>
      <c r="E2347" s="66"/>
      <c r="F2347" s="66"/>
    </row>
    <row r="2348" spans="1:10" ht="20.25" customHeight="1">
      <c r="A2348" s="1131" t="s">
        <v>212</v>
      </c>
      <c r="B2348" s="1131"/>
      <c r="C2348" s="77" t="str">
        <f>IF(F2386="","",INDEX(DiemHKII!$E$4:$E$58,MATCH(F2386,DiemHKII!$B$4:$B$58,0),1)&amp;" "&amp;INDEX(DiemHKII!$F$4:$F$58,MATCH(F2386,DiemHKII!$B$4:$B$58,0),1))</f>
        <v/>
      </c>
      <c r="D2348" s="77"/>
      <c r="E2348" s="77"/>
      <c r="F2348" s="71" t="str">
        <f>IF('Huong dan'!$C$3="","","Lớp: "&amp;'Huong dan'!$C$3)</f>
        <v>Lớp: 12A1</v>
      </c>
    </row>
    <row r="2349" spans="1:10" ht="24" customHeight="1">
      <c r="A2349" s="1131" t="s">
        <v>213</v>
      </c>
      <c r="B2349" s="1131"/>
      <c r="C2349" s="77" t="str">
        <f>IF(F2386="","",INDEX(DiemHKII!$G$4:$G$58,MATCH(F2386,DiemHKII!$B$4:$B$58,0),1))</f>
        <v/>
      </c>
      <c r="D2349" s="77"/>
      <c r="E2349" s="1133" t="str">
        <f>IF(F2386="","","Nơi sinh: "&amp;INDEX(DiemHKII!$H$4:$H$58,MATCH(F2386,DiemHKII!$B$4:$B$58,0),1))</f>
        <v/>
      </c>
      <c r="F2349" s="1133"/>
    </row>
    <row r="2350" spans="1:10" ht="15" customHeight="1">
      <c r="A2350" s="62"/>
      <c r="B2350" s="62"/>
      <c r="C2350" s="62"/>
      <c r="D2350" s="62"/>
      <c r="E2350" s="62"/>
      <c r="F2350" s="63"/>
    </row>
    <row r="2351" spans="1:10" ht="21" customHeight="1">
      <c r="A2351" s="1134" t="s">
        <v>0</v>
      </c>
      <c r="B2351" s="1134" t="s">
        <v>72</v>
      </c>
      <c r="C2351" s="1134" t="s">
        <v>216</v>
      </c>
      <c r="D2351" s="1134"/>
      <c r="E2351" s="1134"/>
      <c r="F2351" s="1134" t="s">
        <v>148</v>
      </c>
    </row>
    <row r="2352" spans="1:10" ht="21" customHeight="1">
      <c r="A2352" s="1134"/>
      <c r="B2352" s="1134"/>
      <c r="C2352" s="476" t="s">
        <v>188</v>
      </c>
      <c r="D2352" s="476" t="s">
        <v>189</v>
      </c>
      <c r="E2352" s="476" t="s">
        <v>190</v>
      </c>
      <c r="F2352" s="1134"/>
    </row>
    <row r="2353" spans="1:10" ht="21" customHeight="1">
      <c r="A2353" s="72" t="s">
        <v>191</v>
      </c>
      <c r="B2353" s="73" t="s">
        <v>26</v>
      </c>
      <c r="C2353" s="74" t="str">
        <f>INDEX('TH CANAM'!$A$9:$BF$63,MATCH(PDNam!$F2386,'TH CANAM'!$A$9:$A$63,0),INDEX($J$13:$M$30,MATCH($B2353,$J$13:$J$30,0),K$12))</f>
        <v/>
      </c>
      <c r="D2353" s="74" t="str">
        <f>INDEX('TH CANAM'!$A$9:$BF$63,MATCH(PDNam!$F2386,'TH CANAM'!$A$9:$A$63,0),INDEX($J$13:$M$30,MATCH($B2353,$J$13:$J$30,0),L$12))</f>
        <v/>
      </c>
      <c r="E2353" s="74" t="str">
        <f>INDEX('TH CANAM'!$A$9:$BF$63,MATCH(PDNam!$F2386,'TH CANAM'!$A$9:$A$63,0),INDEX($J$13:$M$30,MATCH($B2353,$J$13:$J$30,0),M$12))</f>
        <v/>
      </c>
      <c r="F2353" s="73"/>
      <c r="I2353" s="64"/>
      <c r="J2353" s="64"/>
    </row>
    <row r="2354" spans="1:10" ht="21" customHeight="1">
      <c r="A2354" s="72" t="s">
        <v>192</v>
      </c>
      <c r="B2354" s="73" t="s">
        <v>27</v>
      </c>
      <c r="C2354" s="74" t="str">
        <f>INDEX('TH CANAM'!$A$9:$BF$63,MATCH(PDNam!$F2386,'TH CANAM'!$A$9:$A$63,0),INDEX($J$13:$M$30,MATCH($B2354,$J$13:$J$30,0),K$12))</f>
        <v/>
      </c>
      <c r="D2354" s="74" t="str">
        <f>INDEX('TH CANAM'!$A$9:$BF$63,MATCH(PDNam!$F2386,'TH CANAM'!$A$9:$A$63,0),INDEX($J$13:$M$30,MATCH($B2354,$J$13:$J$30,0),L$12))</f>
        <v/>
      </c>
      <c r="E2354" s="74" t="str">
        <f>INDEX('TH CANAM'!$A$9:$BF$63,MATCH(PDNam!$F2386,'TH CANAM'!$A$9:$A$63,0),INDEX($J$13:$M$30,MATCH($B2354,$J$13:$J$30,0),M$12))</f>
        <v/>
      </c>
      <c r="F2354" s="73"/>
      <c r="I2354" s="64"/>
      <c r="J2354" s="64"/>
    </row>
    <row r="2355" spans="1:10" ht="21" customHeight="1">
      <c r="A2355" s="72" t="s">
        <v>193</v>
      </c>
      <c r="B2355" s="73" t="s">
        <v>28</v>
      </c>
      <c r="C2355" s="74" t="str">
        <f>INDEX('TH CANAM'!$A$9:$BF$63,MATCH(PDNam!$F2386,'TH CANAM'!$A$9:$A$63,0),INDEX($J$13:$M$30,MATCH($B2355,$J$13:$J$30,0),K$12))</f>
        <v/>
      </c>
      <c r="D2355" s="74" t="str">
        <f>INDEX('TH CANAM'!$A$9:$BF$63,MATCH(PDNam!$F2386,'TH CANAM'!$A$9:$A$63,0),INDEX($J$13:$M$30,MATCH($B2355,$J$13:$J$30,0),L$12))</f>
        <v/>
      </c>
      <c r="E2355" s="74" t="str">
        <f>INDEX('TH CANAM'!$A$9:$BF$63,MATCH(PDNam!$F2386,'TH CANAM'!$A$9:$A$63,0),INDEX($J$13:$M$30,MATCH($B2355,$J$13:$J$30,0),M$12))</f>
        <v/>
      </c>
      <c r="F2355" s="73"/>
      <c r="I2355" s="64"/>
      <c r="J2355" s="64"/>
    </row>
    <row r="2356" spans="1:10" ht="21" customHeight="1">
      <c r="A2356" s="72" t="s">
        <v>194</v>
      </c>
      <c r="B2356" s="73" t="s">
        <v>29</v>
      </c>
      <c r="C2356" s="74" t="str">
        <f>INDEX('TH CANAM'!$A$9:$BF$63,MATCH(PDNam!$F2386,'TH CANAM'!$A$9:$A$63,0),INDEX($J$13:$M$30,MATCH($B2356,$J$13:$J$30,0),K$12))</f>
        <v/>
      </c>
      <c r="D2356" s="74" t="str">
        <f>INDEX('TH CANAM'!$A$9:$BF$63,MATCH(PDNam!$F2386,'TH CANAM'!$A$9:$A$63,0),INDEX($J$13:$M$30,MATCH($B2356,$J$13:$J$30,0),L$12))</f>
        <v/>
      </c>
      <c r="E2356" s="74" t="str">
        <f>INDEX('TH CANAM'!$A$9:$BF$63,MATCH(PDNam!$F2386,'TH CANAM'!$A$9:$A$63,0),INDEX($J$13:$M$30,MATCH($B2356,$J$13:$J$30,0),M$12))</f>
        <v/>
      </c>
      <c r="F2356" s="73"/>
      <c r="I2356" s="64"/>
      <c r="J2356" s="64"/>
    </row>
    <row r="2357" spans="1:10" ht="21" customHeight="1">
      <c r="A2357" s="72" t="s">
        <v>195</v>
      </c>
      <c r="B2357" s="73" t="s">
        <v>120</v>
      </c>
      <c r="C2357" s="74" t="str">
        <f>INDEX('TH CANAM'!$A$9:$BF$63,MATCH(PDNam!$F2386,'TH CANAM'!$A$9:$A$63,0),INDEX($J$13:$M$30,MATCH($B2357,$J$13:$J$30,0),K$12))</f>
        <v/>
      </c>
      <c r="D2357" s="74" t="str">
        <f>INDEX('TH CANAM'!$A$9:$BF$63,MATCH(PDNam!$F2386,'TH CANAM'!$A$9:$A$63,0),INDEX($J$13:$M$30,MATCH($B2357,$J$13:$J$30,0),L$12))</f>
        <v/>
      </c>
      <c r="E2357" s="74" t="str">
        <f>INDEX('TH CANAM'!$A$9:$BF$63,MATCH(PDNam!$F2386,'TH CANAM'!$A$9:$A$63,0),INDEX($J$13:$M$30,MATCH($B2357,$J$13:$J$30,0),M$12))</f>
        <v/>
      </c>
      <c r="F2357" s="73"/>
      <c r="I2357" s="64"/>
      <c r="J2357" s="64"/>
    </row>
    <row r="2358" spans="1:10" ht="21" customHeight="1">
      <c r="A2358" s="72" t="s">
        <v>196</v>
      </c>
      <c r="B2358" s="73" t="s">
        <v>30</v>
      </c>
      <c r="C2358" s="74" t="str">
        <f>INDEX('TH CANAM'!$A$9:$BF$63,MATCH(PDNam!$F2386,'TH CANAM'!$A$9:$A$63,0),INDEX($J$13:$M$30,MATCH($B2358,$J$13:$J$30,0),K$12))</f>
        <v/>
      </c>
      <c r="D2358" s="74" t="str">
        <f>INDEX('TH CANAM'!$A$9:$BF$63,MATCH(PDNam!$F2386,'TH CANAM'!$A$9:$A$63,0),INDEX($J$13:$M$30,MATCH($B2358,$J$13:$J$30,0),L$12))</f>
        <v/>
      </c>
      <c r="E2358" s="74" t="str">
        <f>INDEX('TH CANAM'!$A$9:$BF$63,MATCH(PDNam!$F2386,'TH CANAM'!$A$9:$A$63,0),INDEX($J$13:$M$30,MATCH($B2358,$J$13:$J$30,0),M$12))</f>
        <v/>
      </c>
      <c r="F2358" s="73"/>
      <c r="I2358" s="64"/>
      <c r="J2358" s="64"/>
    </row>
    <row r="2359" spans="1:10" ht="21" customHeight="1">
      <c r="A2359" s="72" t="s">
        <v>197</v>
      </c>
      <c r="B2359" s="73" t="s">
        <v>31</v>
      </c>
      <c r="C2359" s="74" t="str">
        <f>INDEX('TH CANAM'!$A$9:$BF$63,MATCH(PDNam!$F2386,'TH CANAM'!$A$9:$A$63,0),INDEX($J$13:$M$30,MATCH($B2359,$J$13:$J$30,0),K$12))</f>
        <v/>
      </c>
      <c r="D2359" s="74" t="str">
        <f>INDEX('TH CANAM'!$A$9:$BF$63,MATCH(PDNam!$F2386,'TH CANAM'!$A$9:$A$63,0),INDEX($J$13:$M$30,MATCH($B2359,$J$13:$J$30,0),L$12))</f>
        <v/>
      </c>
      <c r="E2359" s="74" t="str">
        <f>INDEX('TH CANAM'!$A$9:$BF$63,MATCH(PDNam!$F2386,'TH CANAM'!$A$9:$A$63,0),INDEX($J$13:$M$30,MATCH($B2359,$J$13:$J$30,0),M$12))</f>
        <v/>
      </c>
      <c r="F2359" s="73"/>
      <c r="I2359" s="64"/>
      <c r="J2359" s="64"/>
    </row>
    <row r="2360" spans="1:10" ht="21" customHeight="1">
      <c r="A2360" s="72" t="s">
        <v>198</v>
      </c>
      <c r="B2360" s="73" t="s">
        <v>32</v>
      </c>
      <c r="C2360" s="74" t="str">
        <f>INDEX('TH CANAM'!$A$9:$BF$63,MATCH(PDNam!$F2386,'TH CANAM'!$A$9:$A$63,0),INDEX($J$13:$M$30,MATCH($B2360,$J$13:$J$30,0),K$12))</f>
        <v/>
      </c>
      <c r="D2360" s="74" t="str">
        <f>INDEX('TH CANAM'!$A$9:$BF$63,MATCH(PDNam!$F2386,'TH CANAM'!$A$9:$A$63,0),INDEX($J$13:$M$30,MATCH($B2360,$J$13:$J$30,0),L$12))</f>
        <v/>
      </c>
      <c r="E2360" s="74" t="str">
        <f>INDEX('TH CANAM'!$A$9:$BF$63,MATCH(PDNam!$F2386,'TH CANAM'!$A$9:$A$63,0),INDEX($J$13:$M$30,MATCH($B2360,$J$13:$J$30,0),M$12))</f>
        <v/>
      </c>
      <c r="F2360" s="73"/>
      <c r="I2360" s="64"/>
      <c r="J2360" s="64"/>
    </row>
    <row r="2361" spans="1:10" ht="21" customHeight="1">
      <c r="A2361" s="72" t="s">
        <v>199</v>
      </c>
      <c r="B2361" s="73" t="s">
        <v>33</v>
      </c>
      <c r="C2361" s="74" t="str">
        <f>INDEX('TH CANAM'!$A$9:$BF$63,MATCH(PDNam!$F2386,'TH CANAM'!$A$9:$A$63,0),INDEX($J$13:$M$30,MATCH($B2361,$J$13:$J$30,0),K$12))</f>
        <v/>
      </c>
      <c r="D2361" s="74" t="str">
        <f>INDEX('TH CANAM'!$A$9:$BF$63,MATCH(PDNam!$F2386,'TH CANAM'!$A$9:$A$63,0),INDEX($J$13:$M$30,MATCH($B2361,$J$13:$J$30,0),L$12))</f>
        <v/>
      </c>
      <c r="E2361" s="74" t="str">
        <f>INDEX('TH CANAM'!$A$9:$BF$63,MATCH(PDNam!$F2386,'TH CANAM'!$A$9:$A$63,0),INDEX($J$13:$M$30,MATCH($B2361,$J$13:$J$30,0),M$12))</f>
        <v/>
      </c>
      <c r="F2361" s="73"/>
      <c r="I2361" s="64"/>
      <c r="J2361" s="64"/>
    </row>
    <row r="2362" spans="1:10" ht="21" customHeight="1">
      <c r="A2362" s="72" t="s">
        <v>200</v>
      </c>
      <c r="B2362" s="73" t="s">
        <v>60</v>
      </c>
      <c r="C2362" s="74" t="str">
        <f>INDEX('TH CANAM'!$A$9:$BF$63,MATCH(PDNam!$F2386,'TH CANAM'!$A$9:$A$63,0),INDEX($J$13:$M$30,MATCH($B2362,$J$13:$J$30,0),K$12))</f>
        <v/>
      </c>
      <c r="D2362" s="74" t="str">
        <f>INDEX('TH CANAM'!$A$9:$BF$63,MATCH(PDNam!$F2386,'TH CANAM'!$A$9:$A$63,0),INDEX($J$13:$M$30,MATCH($B2362,$J$13:$J$30,0),L$12))</f>
        <v/>
      </c>
      <c r="E2362" s="74" t="str">
        <f>INDEX('TH CANAM'!$A$9:$BF$63,MATCH(PDNam!$F2386,'TH CANAM'!$A$9:$A$63,0),INDEX($J$13:$M$30,MATCH($B2362,$J$13:$J$30,0),M$12))</f>
        <v/>
      </c>
      <c r="F2362" s="73"/>
      <c r="I2362" s="64"/>
      <c r="J2362" s="64"/>
    </row>
    <row r="2363" spans="1:10" ht="21" customHeight="1">
      <c r="A2363" s="72" t="s">
        <v>201</v>
      </c>
      <c r="B2363" s="73" t="s">
        <v>34</v>
      </c>
      <c r="C2363" s="74" t="str">
        <f>INDEX('TH CANAM'!$A$9:$BF$63,MATCH(PDNam!$F2386,'TH CANAM'!$A$9:$A$63,0),INDEX($J$13:$M$30,MATCH($B2363,$J$13:$J$30,0),K$12))</f>
        <v/>
      </c>
      <c r="D2363" s="74" t="str">
        <f>INDEX('TH CANAM'!$A$9:$BF$63,MATCH(PDNam!$F2386,'TH CANAM'!$A$9:$A$63,0),INDEX($J$13:$M$30,MATCH($B2363,$J$13:$J$30,0),L$12))</f>
        <v/>
      </c>
      <c r="E2363" s="74" t="str">
        <f>INDEX('TH CANAM'!$A$9:$BF$63,MATCH(PDNam!$F2386,'TH CANAM'!$A$9:$A$63,0),INDEX($J$13:$M$30,MATCH($B2363,$J$13:$J$30,0),M$12))</f>
        <v/>
      </c>
      <c r="F2363" s="73"/>
      <c r="I2363" s="64"/>
      <c r="J2363" s="64"/>
    </row>
    <row r="2364" spans="1:10" ht="21" customHeight="1">
      <c r="A2364" s="72" t="s">
        <v>202</v>
      </c>
      <c r="B2364" s="73" t="s">
        <v>35</v>
      </c>
      <c r="C2364" s="74" t="str">
        <f>INDEX('TH CANAM'!$A$9:$BF$63,MATCH(PDNam!$F2386,'TH CANAM'!$A$9:$A$63,0),INDEX($J$13:$M$30,MATCH($B2364,$J$13:$J$30,0),K$12))</f>
        <v/>
      </c>
      <c r="D2364" s="74" t="str">
        <f>INDEX('TH CANAM'!$A$9:$BF$63,MATCH(PDNam!$F2386,'TH CANAM'!$A$9:$A$63,0),INDEX($J$13:$M$30,MATCH($B2364,$J$13:$J$30,0),L$12))</f>
        <v/>
      </c>
      <c r="E2364" s="74" t="str">
        <f>INDEX('TH CANAM'!$A$9:$BF$63,MATCH(PDNam!$F2386,'TH CANAM'!$A$9:$A$63,0),INDEX($J$13:$M$30,MATCH($B2364,$J$13:$J$30,0),M$12))</f>
        <v/>
      </c>
      <c r="F2364" s="73"/>
      <c r="I2364" s="64"/>
      <c r="J2364" s="64"/>
    </row>
    <row r="2365" spans="1:10" ht="21" customHeight="1">
      <c r="A2365" s="72" t="s">
        <v>203</v>
      </c>
      <c r="B2365" s="73" t="s">
        <v>121</v>
      </c>
      <c r="C2365" s="74" t="str">
        <f>INDEX('TH CANAM'!$A$9:$BF$63,MATCH(PDNam!$F2386,'TH CANAM'!$A$9:$A$63,0),INDEX($J$13:$M$30,MATCH($B2365,$J$13:$J$30,0),K$12))</f>
        <v/>
      </c>
      <c r="D2365" s="74" t="str">
        <f>INDEX('TH CANAM'!$A$9:$BF$63,MATCH(PDNam!$F2386,'TH CANAM'!$A$9:$A$63,0),INDEX($J$13:$M$30,MATCH($B2365,$J$13:$J$30,0),L$12))</f>
        <v/>
      </c>
      <c r="E2365" s="74" t="str">
        <f>INDEX('TH CANAM'!$A$9:$BF$63,MATCH(PDNam!$F2386,'TH CANAM'!$A$9:$A$63,0),INDEX($J$13:$M$30,MATCH($B2365,$J$13:$J$30,0),M$12))</f>
        <v/>
      </c>
      <c r="F2365" s="73"/>
      <c r="I2365" s="64"/>
      <c r="J2365" s="64"/>
    </row>
    <row r="2366" spans="1:10" ht="21" customHeight="1">
      <c r="A2366" s="72" t="s">
        <v>204</v>
      </c>
      <c r="B2366" s="73" t="s">
        <v>122</v>
      </c>
      <c r="C2366" s="74" t="str">
        <f>INDEX('TH CANAM'!$A$9:$BF$63,MATCH(PDNam!$F2386,'TH CANAM'!$A$9:$A$63,0),INDEX($J$13:$M$30,MATCH($B2366,$J$13:$J$30,0),K$12))</f>
        <v/>
      </c>
      <c r="D2366" s="74" t="str">
        <f>INDEX('TH CANAM'!$A$9:$BF$63,MATCH(PDNam!$F2386,'TH CANAM'!$A$9:$A$63,0),INDEX($J$13:$M$30,MATCH($B2366,$J$13:$J$30,0),L$12))</f>
        <v/>
      </c>
      <c r="E2366" s="74" t="str">
        <f>INDEX('TH CANAM'!$A$9:$BF$63,MATCH(PDNam!$F2386,'TH CANAM'!$A$9:$A$63,0),INDEX($J$13:$M$30,MATCH($B2366,$J$13:$J$30,0),M$12))</f>
        <v/>
      </c>
      <c r="F2366" s="73"/>
      <c r="I2366" s="64"/>
      <c r="J2366" s="64"/>
    </row>
    <row r="2367" spans="1:10" ht="21" customHeight="1">
      <c r="A2367" s="72" t="s">
        <v>208</v>
      </c>
      <c r="B2367" s="73" t="s">
        <v>205</v>
      </c>
      <c r="C2367" s="78" t="str">
        <f>INDEX('TH CANAM'!$A$9:$BF$63,MATCH(PDNam!$F2386,'TH CANAM'!$A$9:$A$63,0),46)</f>
        <v/>
      </c>
      <c r="D2367" s="78" t="str">
        <f>INDEX('TH CANAM'!$A$9:$BF$63,MATCH(PDNam!$F2386,'TH CANAM'!$A$9:$A$63,0),47)</f>
        <v/>
      </c>
      <c r="E2367" s="78" t="str">
        <f>INDEX('TH CANAM'!$A$9:$BF$63,MATCH(PDNam!$F2386,'TH CANAM'!$A$9:$A$63,0),48)</f>
        <v/>
      </c>
      <c r="F2367" s="73"/>
      <c r="I2367" s="64"/>
      <c r="J2367" s="64"/>
    </row>
    <row r="2368" spans="1:10" ht="21" customHeight="1">
      <c r="A2368" s="72" t="s">
        <v>209</v>
      </c>
      <c r="B2368" s="72" t="s">
        <v>206</v>
      </c>
      <c r="C2368" s="74" t="str">
        <f>IF(INDEX('TH CANAM'!$A$9:$BF$63,MATCH(PDNam!$F2386,'TH CANAM'!$A$9:$A$63,0),49)="Tb","Trung bình",INDEX('TH CANAM'!$A$9:$BF$63,MATCH(PDNam!$F2386,'TH CANAM'!$A$9:$A$63,0),49))</f>
        <v/>
      </c>
      <c r="D2368" s="74" t="str">
        <f>IF(INDEX('TH CANAM'!$A$9:$BF$63,MATCH(PDNam!$F2386,'TH CANAM'!$A$9:$A$63,0),50)="Tb","Trung bình",INDEX('TH CANAM'!$A$9:$BF$63,MATCH(PDNam!$F2386,'TH CANAM'!$A$9:$A$63,0),50))</f>
        <v/>
      </c>
      <c r="E2368" s="74" t="str">
        <f>IF(INDEX('TH CANAM'!$A$9:$BF$63,MATCH(PDNam!$F2386,'TH CANAM'!$A$9:$A$63,0),51)="Tb","Trung bình",INDEX('TH CANAM'!$A$9:$BF$63,MATCH(PDNam!$F2386,'TH CANAM'!$A$9:$A$63,0),51))</f>
        <v/>
      </c>
      <c r="F2368" s="73"/>
    </row>
    <row r="2369" spans="1:10" ht="21" customHeight="1">
      <c r="A2369" s="72" t="s">
        <v>210</v>
      </c>
      <c r="B2369" s="72" t="s">
        <v>207</v>
      </c>
      <c r="C2369" s="74" t="str">
        <f>INDEX('TH CANAM'!$A$9:$BF$63,MATCH(PDNam!$F2386,'TH CANAM'!$A$9:$A$63,0),52)</f>
        <v/>
      </c>
      <c r="D2369" s="74" t="str">
        <f>INDEX('TH CANAM'!$A$9:$BF$63,MATCH(PDNam!$F2386,'TH CANAM'!$A$9:$A$63,0),53)</f>
        <v/>
      </c>
      <c r="E2369" s="74" t="str">
        <f>INDEX('TH CANAM'!$A$9:$BF$63,MATCH(PDNam!$F2386,'TH CANAM'!$A$9:$A$63,0),54)</f>
        <v/>
      </c>
      <c r="F2369" s="73"/>
    </row>
    <row r="2370" spans="1:10" ht="21" customHeight="1">
      <c r="A2370" s="72" t="s">
        <v>211</v>
      </c>
      <c r="B2370" s="72" t="s">
        <v>25</v>
      </c>
      <c r="C2370" s="74" t="str">
        <f>IF(INDEX('TH CANAM'!$A$9:$BF$63,MATCH(PDNam!$F2386,'TH CANAM'!$A$9:$A$63,0),57)&lt;&gt;"",INDEX('TH CANAM'!$A$9:$BF$63,MATCH(PDNam!$F2386,'TH CANAM'!$A$9:$A$63,0),57),"/")</f>
        <v>/</v>
      </c>
      <c r="D2370" s="74" t="str">
        <f>IF(INDEX('TH CANAM'!$A$9:$BF$63,MATCH(PDNam!$F2386,'TH CANAM'!$A$9:$A$63,0),58)&lt;&gt;"",INDEX('TH CANAM'!$A$9:$BF$63,MATCH(PDNam!$F2386,'TH CANAM'!$A$9:$A$63,0),58),"/")</f>
        <v>/</v>
      </c>
      <c r="E2370" s="74" t="str">
        <f>IF(INDEX('TH CANAM'!$A$9:$BF$63,MATCH(PDNam!$F2386,'TH CANAM'!$A$9:$A$63,0),55)&lt;&gt;"",INDEX('TH CANAM'!$A$9:$BF$63,MATCH(PDNam!$F2386,'TH CANAM'!$A$9:$A$63,0),55),"/")</f>
        <v>/</v>
      </c>
      <c r="F2370" s="73"/>
    </row>
    <row r="2371" spans="1:10" s="60" customFormat="1" ht="9" customHeight="1">
      <c r="A2371" s="67"/>
      <c r="B2371" s="67"/>
      <c r="C2371" s="1132"/>
      <c r="D2371" s="1132"/>
      <c r="E2371" s="67"/>
      <c r="F2371" s="67"/>
    </row>
    <row r="2372" spans="1:10" s="60" customFormat="1" ht="18.75" customHeight="1">
      <c r="A2372" s="58" t="s">
        <v>219</v>
      </c>
      <c r="B2372" s="57"/>
      <c r="C2372" s="57"/>
      <c r="D2372" s="57"/>
      <c r="E2372" s="57"/>
      <c r="F2372" s="475"/>
    </row>
    <row r="2373" spans="1:10" s="60" customFormat="1" ht="18.75" customHeight="1">
      <c r="A2373" s="59" t="str">
        <f>IF(F2386&lt;&gt;"",IF(INDEX(BDHK2,MATCH(F2386,DiemHKII!$B$4:$B$58,0),137)&lt;&gt;""," - "&amp;INDEX(BDHK2,MATCH(F2386,DiemHKII!$B$4:$B$58,0),137),""),"")</f>
        <v/>
      </c>
      <c r="B2373" s="57"/>
      <c r="C2373" s="57"/>
      <c r="D2373" s="57"/>
      <c r="E2373" s="57"/>
      <c r="F2373" s="475"/>
    </row>
    <row r="2374" spans="1:10" s="60" customFormat="1" ht="18.75" customHeight="1">
      <c r="A2374" s="59" t="str">
        <f>IF(F2386&lt;&gt;"",IF(INDEX(BDHK2,MATCH(F2386,DiemHKII!$B$4:$B$58,0),138)&lt;&gt;""," - "&amp;INDEX(BDHK2,MATCH(F2386,DiemHKII!$B$4:$B$58,0),138),""),"")</f>
        <v/>
      </c>
      <c r="B2374" s="57"/>
      <c r="C2374" s="57"/>
      <c r="D2374" s="57"/>
      <c r="E2374" s="57"/>
      <c r="F2374" s="475"/>
    </row>
    <row r="2375" spans="1:10" s="60" customFormat="1" ht="18.75" customHeight="1">
      <c r="A2375" s="59" t="str">
        <f>IF(F2386&lt;&gt;"",IF(INDEX(BDHK2,MATCH(F2386,DiemHKII!$B$4:$B$58,0),139)&lt;&gt;""," - "&amp;INDEX(BDHK2,MATCH(F2386,DiemHKII!$B$4:$B$58,0),139),""),"")</f>
        <v/>
      </c>
      <c r="B2375" s="57"/>
      <c r="C2375" s="57"/>
      <c r="D2375" s="57"/>
      <c r="E2375" s="57"/>
      <c r="F2375" s="475"/>
    </row>
    <row r="2376" spans="1:10" s="60" customFormat="1" ht="18.75" customHeight="1">
      <c r="A2376" s="59" t="str">
        <f>IF(F2386&lt;&gt;"",IF(INDEX(BDHK2,MATCH(F2386,DiemHKII!$B$4:$B$58,0),140)&lt;&gt;""," - "&amp;INDEX(BDHK2,MATCH(F2386,DiemHKII!$B$4:$B$58,0),140),""),"")</f>
        <v/>
      </c>
      <c r="B2376" s="57"/>
      <c r="C2376" s="57"/>
      <c r="D2376" s="57"/>
      <c r="E2376" s="57"/>
      <c r="F2376" s="67"/>
    </row>
    <row r="2377" spans="1:10" ht="6" customHeight="1">
      <c r="A2377" s="68"/>
      <c r="B2377" s="68"/>
      <c r="C2377" s="68"/>
      <c r="D2377" s="68"/>
      <c r="E2377" s="68"/>
      <c r="F2377" s="68"/>
    </row>
    <row r="2378" spans="1:10">
      <c r="A2378" s="68"/>
      <c r="B2378" s="68"/>
      <c r="C237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378" s="1060"/>
      <c r="E2378" s="1060"/>
      <c r="F2378" s="1060"/>
    </row>
    <row r="2379" spans="1:10" ht="20.25" customHeight="1">
      <c r="A2379" s="1012" t="str">
        <f>IF($D$39="Hiệu trưởng","Giáo viên Quản nhiệm","")</f>
        <v>Giáo viên Quản nhiệm</v>
      </c>
      <c r="B2379" s="1012"/>
      <c r="C2379" s="61"/>
      <c r="D2379" s="1012" t="str">
        <f>IF($H$7="","",$H$7)</f>
        <v>Hiệu trưởng</v>
      </c>
      <c r="E2379" s="1012"/>
      <c r="F2379" s="61"/>
    </row>
    <row r="2380" spans="1:10">
      <c r="A2380" s="68"/>
      <c r="B2380" s="68"/>
      <c r="C2380" s="68"/>
      <c r="D2380" s="68"/>
      <c r="E2380" s="68"/>
      <c r="F2380" s="68"/>
    </row>
    <row r="2381" spans="1:10">
      <c r="A2381" s="68"/>
      <c r="B2381" s="68"/>
      <c r="C2381" s="68"/>
      <c r="D2381" s="68"/>
      <c r="E2381" s="68"/>
      <c r="F2381" s="68"/>
    </row>
    <row r="2382" spans="1:10" ht="16.8">
      <c r="A2382" s="68"/>
      <c r="B2382" s="68"/>
      <c r="C2382" s="64"/>
      <c r="D2382" s="64"/>
      <c r="E2382" s="64"/>
      <c r="F2382" s="64"/>
      <c r="G2382" s="65"/>
      <c r="H2382" s="65"/>
      <c r="I2382" s="65"/>
      <c r="J2382" s="65"/>
    </row>
    <row r="2384" spans="1:10">
      <c r="A2384" s="1012" t="str">
        <f>IF($A$39="","",PROPER('Huong dan'!$C$4))</f>
        <v/>
      </c>
      <c r="B2384" s="1012"/>
      <c r="D2384" s="1130" t="str">
        <f>IFERROR(IF($D$39="Giáo Viên Quản nhiệm",PROPER('Huong dan'!$C$4),IF($D$39="Hiệu trưởng",PROPER('Huong dan'!$E$5),"")),"")</f>
        <v/>
      </c>
      <c r="E2384" s="1130"/>
    </row>
    <row r="2385" spans="1:10" ht="7.5" customHeight="1"/>
    <row r="2386" spans="1:10" ht="11.25" customHeight="1">
      <c r="A2386" s="75"/>
      <c r="B2386" s="75"/>
      <c r="C2386" s="75"/>
      <c r="D2386" s="75"/>
      <c r="E2386" s="75"/>
      <c r="F2386" s="76" t="str">
        <f>IF(F2341="","",IF(F2341&lt;MAX(DiemHKII!$B$4:$B$58),F2341+1,""))</f>
        <v/>
      </c>
    </row>
    <row r="2387" spans="1:10" s="60" customFormat="1" ht="22.5" customHeight="1">
      <c r="A2387" s="1128" t="str">
        <f>IF('Huong dan'!$E$3&lt;&gt;"","SỞ GIÁO DỤC VÀ ĐÀO TẠO "&amp;UPPER('Huong dan'!$E$3),"")</f>
        <v>SỞ GIÁO DỤC VÀ ĐÀO TẠO TP. HỒ CHÍ MINH</v>
      </c>
      <c r="B2387" s="1128"/>
      <c r="C2387" s="1128"/>
      <c r="D2387" s="1129" t="s">
        <v>19</v>
      </c>
      <c r="E2387" s="1129"/>
      <c r="F2387" s="1129"/>
    </row>
    <row r="2388" spans="1:10" ht="17.25" customHeight="1">
      <c r="A2388" s="992" t="str">
        <f>IF('Huong dan'!$E$4&lt;&gt;"","TRƯỜNG "&amp;UPPER('Huong dan'!$E$4),"")</f>
        <v>TRƯỜNG THCS VÀ THPT NGUYỄN KHUYẾN</v>
      </c>
      <c r="B2388" s="992"/>
      <c r="C2388" s="992"/>
      <c r="D2388" s="1130" t="s">
        <v>179</v>
      </c>
      <c r="E2388" s="1130"/>
      <c r="F2388" s="1130"/>
    </row>
    <row r="2389" spans="1:10" ht="12" customHeight="1">
      <c r="A2389" s="69"/>
      <c r="B2389" s="69"/>
      <c r="C2389" s="30"/>
      <c r="D2389" s="30"/>
      <c r="E2389" s="30"/>
      <c r="F2389" s="30"/>
    </row>
    <row r="2390" spans="1:10" ht="18" customHeight="1">
      <c r="A2390" s="69"/>
      <c r="B2390" s="69"/>
      <c r="C2390" s="30"/>
      <c r="D2390" s="30"/>
      <c r="E2390" s="30"/>
      <c r="F2390" s="30"/>
    </row>
    <row r="2391" spans="1:10" ht="29.25" customHeight="1">
      <c r="A2391" s="1013" t="str">
        <f>"PHIẾU ĐIỂM NĂM HỌC "&amp;'Huong dan'!$C$5</f>
        <v>PHIẾU ĐIỂM NĂM HỌC 2021 - 2022</v>
      </c>
      <c r="B2391" s="1013"/>
      <c r="C2391" s="1013"/>
      <c r="D2391" s="1013"/>
      <c r="E2391" s="1013"/>
      <c r="F2391" s="1013"/>
    </row>
    <row r="2392" spans="1:10" ht="12.75" customHeight="1">
      <c r="A2392" s="70"/>
      <c r="B2392" s="66"/>
      <c r="C2392" s="66"/>
      <c r="D2392" s="66"/>
      <c r="E2392" s="66"/>
      <c r="F2392" s="66"/>
    </row>
    <row r="2393" spans="1:10" ht="20.25" customHeight="1">
      <c r="A2393" s="1131" t="s">
        <v>212</v>
      </c>
      <c r="B2393" s="1131"/>
      <c r="C2393" s="77" t="str">
        <f>IF(F2431="","",INDEX(DiemHKII!$E$4:$E$58,MATCH(F2431,DiemHKII!$B$4:$B$58,0),1)&amp;" "&amp;INDEX(DiemHKII!$F$4:$F$58,MATCH(F2431,DiemHKII!$B$4:$B$58,0),1))</f>
        <v/>
      </c>
      <c r="D2393" s="77"/>
      <c r="E2393" s="77"/>
      <c r="F2393" s="71" t="str">
        <f>IF('Huong dan'!$C$3="","","Lớp: "&amp;'Huong dan'!$C$3)</f>
        <v>Lớp: 12A1</v>
      </c>
    </row>
    <row r="2394" spans="1:10" ht="24" customHeight="1">
      <c r="A2394" s="1131" t="s">
        <v>213</v>
      </c>
      <c r="B2394" s="1131"/>
      <c r="C2394" s="77" t="str">
        <f>IF(F2431="","",INDEX(DiemHKII!$G$4:$G$58,MATCH(F2431,DiemHKII!$B$4:$B$58,0),1))</f>
        <v/>
      </c>
      <c r="D2394" s="77"/>
      <c r="E2394" s="1133" t="str">
        <f>IF(F2431="","","Nơi sinh: "&amp;INDEX(DiemHKII!$H$4:$H$58,MATCH(F2431,DiemHKII!$B$4:$B$58,0),1))</f>
        <v/>
      </c>
      <c r="F2394" s="1133"/>
    </row>
    <row r="2395" spans="1:10" ht="15" customHeight="1">
      <c r="A2395" s="62"/>
      <c r="B2395" s="62"/>
      <c r="C2395" s="62"/>
      <c r="D2395" s="62"/>
      <c r="E2395" s="62"/>
      <c r="F2395" s="63"/>
    </row>
    <row r="2396" spans="1:10" ht="21" customHeight="1">
      <c r="A2396" s="1134" t="s">
        <v>0</v>
      </c>
      <c r="B2396" s="1134" t="s">
        <v>72</v>
      </c>
      <c r="C2396" s="1134" t="s">
        <v>216</v>
      </c>
      <c r="D2396" s="1134"/>
      <c r="E2396" s="1134"/>
      <c r="F2396" s="1134" t="s">
        <v>148</v>
      </c>
    </row>
    <row r="2397" spans="1:10" ht="21" customHeight="1">
      <c r="A2397" s="1134"/>
      <c r="B2397" s="1134"/>
      <c r="C2397" s="476" t="s">
        <v>188</v>
      </c>
      <c r="D2397" s="476" t="s">
        <v>189</v>
      </c>
      <c r="E2397" s="476" t="s">
        <v>190</v>
      </c>
      <c r="F2397" s="1134"/>
    </row>
    <row r="2398" spans="1:10" ht="21" customHeight="1">
      <c r="A2398" s="72" t="s">
        <v>191</v>
      </c>
      <c r="B2398" s="73" t="s">
        <v>26</v>
      </c>
      <c r="C2398" s="74" t="str">
        <f>INDEX('TH CANAM'!$A$9:$BF$63,MATCH(PDNam!$F2431,'TH CANAM'!$A$9:$A$63,0),INDEX($J$13:$M$30,MATCH($B2398,$J$13:$J$30,0),K$12))</f>
        <v/>
      </c>
      <c r="D2398" s="74" t="str">
        <f>INDEX('TH CANAM'!$A$9:$BF$63,MATCH(PDNam!$F2431,'TH CANAM'!$A$9:$A$63,0),INDEX($J$13:$M$30,MATCH($B2398,$J$13:$J$30,0),L$12))</f>
        <v/>
      </c>
      <c r="E2398" s="74" t="str">
        <f>INDEX('TH CANAM'!$A$9:$BF$63,MATCH(PDNam!$F2431,'TH CANAM'!$A$9:$A$63,0),INDEX($J$13:$M$30,MATCH($B2398,$J$13:$J$30,0),M$12))</f>
        <v/>
      </c>
      <c r="F2398" s="73"/>
      <c r="I2398" s="64"/>
      <c r="J2398" s="64"/>
    </row>
    <row r="2399" spans="1:10" ht="21" customHeight="1">
      <c r="A2399" s="72" t="s">
        <v>192</v>
      </c>
      <c r="B2399" s="73" t="s">
        <v>27</v>
      </c>
      <c r="C2399" s="74" t="str">
        <f>INDEX('TH CANAM'!$A$9:$BF$63,MATCH(PDNam!$F2431,'TH CANAM'!$A$9:$A$63,0),INDEX($J$13:$M$30,MATCH($B2399,$J$13:$J$30,0),K$12))</f>
        <v/>
      </c>
      <c r="D2399" s="74" t="str">
        <f>INDEX('TH CANAM'!$A$9:$BF$63,MATCH(PDNam!$F2431,'TH CANAM'!$A$9:$A$63,0),INDEX($J$13:$M$30,MATCH($B2399,$J$13:$J$30,0),L$12))</f>
        <v/>
      </c>
      <c r="E2399" s="74" t="str">
        <f>INDEX('TH CANAM'!$A$9:$BF$63,MATCH(PDNam!$F2431,'TH CANAM'!$A$9:$A$63,0),INDEX($J$13:$M$30,MATCH($B2399,$J$13:$J$30,0),M$12))</f>
        <v/>
      </c>
      <c r="F2399" s="73"/>
      <c r="I2399" s="64"/>
      <c r="J2399" s="64"/>
    </row>
    <row r="2400" spans="1:10" ht="21" customHeight="1">
      <c r="A2400" s="72" t="s">
        <v>193</v>
      </c>
      <c r="B2400" s="73" t="s">
        <v>28</v>
      </c>
      <c r="C2400" s="74" t="str">
        <f>INDEX('TH CANAM'!$A$9:$BF$63,MATCH(PDNam!$F2431,'TH CANAM'!$A$9:$A$63,0),INDEX($J$13:$M$30,MATCH($B2400,$J$13:$J$30,0),K$12))</f>
        <v/>
      </c>
      <c r="D2400" s="74" t="str">
        <f>INDEX('TH CANAM'!$A$9:$BF$63,MATCH(PDNam!$F2431,'TH CANAM'!$A$9:$A$63,0),INDEX($J$13:$M$30,MATCH($B2400,$J$13:$J$30,0),L$12))</f>
        <v/>
      </c>
      <c r="E2400" s="74" t="str">
        <f>INDEX('TH CANAM'!$A$9:$BF$63,MATCH(PDNam!$F2431,'TH CANAM'!$A$9:$A$63,0),INDEX($J$13:$M$30,MATCH($B2400,$J$13:$J$30,0),M$12))</f>
        <v/>
      </c>
      <c r="F2400" s="73"/>
      <c r="I2400" s="64"/>
      <c r="J2400" s="64"/>
    </row>
    <row r="2401" spans="1:10" ht="21" customHeight="1">
      <c r="A2401" s="72" t="s">
        <v>194</v>
      </c>
      <c r="B2401" s="73" t="s">
        <v>29</v>
      </c>
      <c r="C2401" s="74" t="str">
        <f>INDEX('TH CANAM'!$A$9:$BF$63,MATCH(PDNam!$F2431,'TH CANAM'!$A$9:$A$63,0),INDEX($J$13:$M$30,MATCH($B2401,$J$13:$J$30,0),K$12))</f>
        <v/>
      </c>
      <c r="D2401" s="74" t="str">
        <f>INDEX('TH CANAM'!$A$9:$BF$63,MATCH(PDNam!$F2431,'TH CANAM'!$A$9:$A$63,0),INDEX($J$13:$M$30,MATCH($B2401,$J$13:$J$30,0),L$12))</f>
        <v/>
      </c>
      <c r="E2401" s="74" t="str">
        <f>INDEX('TH CANAM'!$A$9:$BF$63,MATCH(PDNam!$F2431,'TH CANAM'!$A$9:$A$63,0),INDEX($J$13:$M$30,MATCH($B2401,$J$13:$J$30,0),M$12))</f>
        <v/>
      </c>
      <c r="F2401" s="73"/>
      <c r="I2401" s="64"/>
      <c r="J2401" s="64"/>
    </row>
    <row r="2402" spans="1:10" ht="21" customHeight="1">
      <c r="A2402" s="72" t="s">
        <v>195</v>
      </c>
      <c r="B2402" s="73" t="s">
        <v>120</v>
      </c>
      <c r="C2402" s="74" t="str">
        <f>INDEX('TH CANAM'!$A$9:$BF$63,MATCH(PDNam!$F2431,'TH CANAM'!$A$9:$A$63,0),INDEX($J$13:$M$30,MATCH($B2402,$J$13:$J$30,0),K$12))</f>
        <v/>
      </c>
      <c r="D2402" s="74" t="str">
        <f>INDEX('TH CANAM'!$A$9:$BF$63,MATCH(PDNam!$F2431,'TH CANAM'!$A$9:$A$63,0),INDEX($J$13:$M$30,MATCH($B2402,$J$13:$J$30,0),L$12))</f>
        <v/>
      </c>
      <c r="E2402" s="74" t="str">
        <f>INDEX('TH CANAM'!$A$9:$BF$63,MATCH(PDNam!$F2431,'TH CANAM'!$A$9:$A$63,0),INDEX($J$13:$M$30,MATCH($B2402,$J$13:$J$30,0),M$12))</f>
        <v/>
      </c>
      <c r="F2402" s="73"/>
      <c r="I2402" s="64"/>
      <c r="J2402" s="64"/>
    </row>
    <row r="2403" spans="1:10" ht="21" customHeight="1">
      <c r="A2403" s="72" t="s">
        <v>196</v>
      </c>
      <c r="B2403" s="73" t="s">
        <v>30</v>
      </c>
      <c r="C2403" s="74" t="str">
        <f>INDEX('TH CANAM'!$A$9:$BF$63,MATCH(PDNam!$F2431,'TH CANAM'!$A$9:$A$63,0),INDEX($J$13:$M$30,MATCH($B2403,$J$13:$J$30,0),K$12))</f>
        <v/>
      </c>
      <c r="D2403" s="74" t="str">
        <f>INDEX('TH CANAM'!$A$9:$BF$63,MATCH(PDNam!$F2431,'TH CANAM'!$A$9:$A$63,0),INDEX($J$13:$M$30,MATCH($B2403,$J$13:$J$30,0),L$12))</f>
        <v/>
      </c>
      <c r="E2403" s="74" t="str">
        <f>INDEX('TH CANAM'!$A$9:$BF$63,MATCH(PDNam!$F2431,'TH CANAM'!$A$9:$A$63,0),INDEX($J$13:$M$30,MATCH($B2403,$J$13:$J$30,0),M$12))</f>
        <v/>
      </c>
      <c r="F2403" s="73"/>
      <c r="I2403" s="64"/>
      <c r="J2403" s="64"/>
    </row>
    <row r="2404" spans="1:10" ht="21" customHeight="1">
      <c r="A2404" s="72" t="s">
        <v>197</v>
      </c>
      <c r="B2404" s="73" t="s">
        <v>31</v>
      </c>
      <c r="C2404" s="74" t="str">
        <f>INDEX('TH CANAM'!$A$9:$BF$63,MATCH(PDNam!$F2431,'TH CANAM'!$A$9:$A$63,0),INDEX($J$13:$M$30,MATCH($B2404,$J$13:$J$30,0),K$12))</f>
        <v/>
      </c>
      <c r="D2404" s="74" t="str">
        <f>INDEX('TH CANAM'!$A$9:$BF$63,MATCH(PDNam!$F2431,'TH CANAM'!$A$9:$A$63,0),INDEX($J$13:$M$30,MATCH($B2404,$J$13:$J$30,0),L$12))</f>
        <v/>
      </c>
      <c r="E2404" s="74" t="str">
        <f>INDEX('TH CANAM'!$A$9:$BF$63,MATCH(PDNam!$F2431,'TH CANAM'!$A$9:$A$63,0),INDEX($J$13:$M$30,MATCH($B2404,$J$13:$J$30,0),M$12))</f>
        <v/>
      </c>
      <c r="F2404" s="73"/>
      <c r="I2404" s="64"/>
      <c r="J2404" s="64"/>
    </row>
    <row r="2405" spans="1:10" ht="21" customHeight="1">
      <c r="A2405" s="72" t="s">
        <v>198</v>
      </c>
      <c r="B2405" s="73" t="s">
        <v>32</v>
      </c>
      <c r="C2405" s="74" t="str">
        <f>INDEX('TH CANAM'!$A$9:$BF$63,MATCH(PDNam!$F2431,'TH CANAM'!$A$9:$A$63,0),INDEX($J$13:$M$30,MATCH($B2405,$J$13:$J$30,0),K$12))</f>
        <v/>
      </c>
      <c r="D2405" s="74" t="str">
        <f>INDEX('TH CANAM'!$A$9:$BF$63,MATCH(PDNam!$F2431,'TH CANAM'!$A$9:$A$63,0),INDEX($J$13:$M$30,MATCH($B2405,$J$13:$J$30,0),L$12))</f>
        <v/>
      </c>
      <c r="E2405" s="74" t="str">
        <f>INDEX('TH CANAM'!$A$9:$BF$63,MATCH(PDNam!$F2431,'TH CANAM'!$A$9:$A$63,0),INDEX($J$13:$M$30,MATCH($B2405,$J$13:$J$30,0),M$12))</f>
        <v/>
      </c>
      <c r="F2405" s="73"/>
      <c r="I2405" s="64"/>
      <c r="J2405" s="64"/>
    </row>
    <row r="2406" spans="1:10" ht="21" customHeight="1">
      <c r="A2406" s="72" t="s">
        <v>199</v>
      </c>
      <c r="B2406" s="73" t="s">
        <v>33</v>
      </c>
      <c r="C2406" s="74" t="str">
        <f>INDEX('TH CANAM'!$A$9:$BF$63,MATCH(PDNam!$F2431,'TH CANAM'!$A$9:$A$63,0),INDEX($J$13:$M$30,MATCH($B2406,$J$13:$J$30,0),K$12))</f>
        <v/>
      </c>
      <c r="D2406" s="74" t="str">
        <f>INDEX('TH CANAM'!$A$9:$BF$63,MATCH(PDNam!$F2431,'TH CANAM'!$A$9:$A$63,0),INDEX($J$13:$M$30,MATCH($B2406,$J$13:$J$30,0),L$12))</f>
        <v/>
      </c>
      <c r="E2406" s="74" t="str">
        <f>INDEX('TH CANAM'!$A$9:$BF$63,MATCH(PDNam!$F2431,'TH CANAM'!$A$9:$A$63,0),INDEX($J$13:$M$30,MATCH($B2406,$J$13:$J$30,0),M$12))</f>
        <v/>
      </c>
      <c r="F2406" s="73"/>
      <c r="I2406" s="64"/>
      <c r="J2406" s="64"/>
    </row>
    <row r="2407" spans="1:10" ht="21" customHeight="1">
      <c r="A2407" s="72" t="s">
        <v>200</v>
      </c>
      <c r="B2407" s="73" t="s">
        <v>60</v>
      </c>
      <c r="C2407" s="74" t="str">
        <f>INDEX('TH CANAM'!$A$9:$BF$63,MATCH(PDNam!$F2431,'TH CANAM'!$A$9:$A$63,0),INDEX($J$13:$M$30,MATCH($B2407,$J$13:$J$30,0),K$12))</f>
        <v/>
      </c>
      <c r="D2407" s="74" t="str">
        <f>INDEX('TH CANAM'!$A$9:$BF$63,MATCH(PDNam!$F2431,'TH CANAM'!$A$9:$A$63,0),INDEX($J$13:$M$30,MATCH($B2407,$J$13:$J$30,0),L$12))</f>
        <v/>
      </c>
      <c r="E2407" s="74" t="str">
        <f>INDEX('TH CANAM'!$A$9:$BF$63,MATCH(PDNam!$F2431,'TH CANAM'!$A$9:$A$63,0),INDEX($J$13:$M$30,MATCH($B2407,$J$13:$J$30,0),M$12))</f>
        <v/>
      </c>
      <c r="F2407" s="73"/>
      <c r="I2407" s="64"/>
      <c r="J2407" s="64"/>
    </row>
    <row r="2408" spans="1:10" ht="21" customHeight="1">
      <c r="A2408" s="72" t="s">
        <v>201</v>
      </c>
      <c r="B2408" s="73" t="s">
        <v>34</v>
      </c>
      <c r="C2408" s="74" t="str">
        <f>INDEX('TH CANAM'!$A$9:$BF$63,MATCH(PDNam!$F2431,'TH CANAM'!$A$9:$A$63,0),INDEX($J$13:$M$30,MATCH($B2408,$J$13:$J$30,0),K$12))</f>
        <v/>
      </c>
      <c r="D2408" s="74" t="str">
        <f>INDEX('TH CANAM'!$A$9:$BF$63,MATCH(PDNam!$F2431,'TH CANAM'!$A$9:$A$63,0),INDEX($J$13:$M$30,MATCH($B2408,$J$13:$J$30,0),L$12))</f>
        <v/>
      </c>
      <c r="E2408" s="74" t="str">
        <f>INDEX('TH CANAM'!$A$9:$BF$63,MATCH(PDNam!$F2431,'TH CANAM'!$A$9:$A$63,0),INDEX($J$13:$M$30,MATCH($B2408,$J$13:$J$30,0),M$12))</f>
        <v/>
      </c>
      <c r="F2408" s="73"/>
      <c r="I2408" s="64"/>
      <c r="J2408" s="64"/>
    </row>
    <row r="2409" spans="1:10" ht="21" customHeight="1">
      <c r="A2409" s="72" t="s">
        <v>202</v>
      </c>
      <c r="B2409" s="73" t="s">
        <v>35</v>
      </c>
      <c r="C2409" s="74" t="str">
        <f>INDEX('TH CANAM'!$A$9:$BF$63,MATCH(PDNam!$F2431,'TH CANAM'!$A$9:$A$63,0),INDEX($J$13:$M$30,MATCH($B2409,$J$13:$J$30,0),K$12))</f>
        <v/>
      </c>
      <c r="D2409" s="74" t="str">
        <f>INDEX('TH CANAM'!$A$9:$BF$63,MATCH(PDNam!$F2431,'TH CANAM'!$A$9:$A$63,0),INDEX($J$13:$M$30,MATCH($B2409,$J$13:$J$30,0),L$12))</f>
        <v/>
      </c>
      <c r="E2409" s="74" t="str">
        <f>INDEX('TH CANAM'!$A$9:$BF$63,MATCH(PDNam!$F2431,'TH CANAM'!$A$9:$A$63,0),INDEX($J$13:$M$30,MATCH($B2409,$J$13:$J$30,0),M$12))</f>
        <v/>
      </c>
      <c r="F2409" s="73"/>
      <c r="I2409" s="64"/>
      <c r="J2409" s="64"/>
    </row>
    <row r="2410" spans="1:10" ht="21" customHeight="1">
      <c r="A2410" s="72" t="s">
        <v>203</v>
      </c>
      <c r="B2410" s="73" t="s">
        <v>121</v>
      </c>
      <c r="C2410" s="74" t="str">
        <f>INDEX('TH CANAM'!$A$9:$BF$63,MATCH(PDNam!$F2431,'TH CANAM'!$A$9:$A$63,0),INDEX($J$13:$M$30,MATCH($B2410,$J$13:$J$30,0),K$12))</f>
        <v/>
      </c>
      <c r="D2410" s="74" t="str">
        <f>INDEX('TH CANAM'!$A$9:$BF$63,MATCH(PDNam!$F2431,'TH CANAM'!$A$9:$A$63,0),INDEX($J$13:$M$30,MATCH($B2410,$J$13:$J$30,0),L$12))</f>
        <v/>
      </c>
      <c r="E2410" s="74" t="str">
        <f>INDEX('TH CANAM'!$A$9:$BF$63,MATCH(PDNam!$F2431,'TH CANAM'!$A$9:$A$63,0),INDEX($J$13:$M$30,MATCH($B2410,$J$13:$J$30,0),M$12))</f>
        <v/>
      </c>
      <c r="F2410" s="73"/>
      <c r="I2410" s="64"/>
      <c r="J2410" s="64"/>
    </row>
    <row r="2411" spans="1:10" ht="21" customHeight="1">
      <c r="A2411" s="72" t="s">
        <v>204</v>
      </c>
      <c r="B2411" s="73" t="s">
        <v>122</v>
      </c>
      <c r="C2411" s="74" t="str">
        <f>INDEX('TH CANAM'!$A$9:$BF$63,MATCH(PDNam!$F2431,'TH CANAM'!$A$9:$A$63,0),INDEX($J$13:$M$30,MATCH($B2411,$J$13:$J$30,0),K$12))</f>
        <v/>
      </c>
      <c r="D2411" s="74" t="str">
        <f>INDEX('TH CANAM'!$A$9:$BF$63,MATCH(PDNam!$F2431,'TH CANAM'!$A$9:$A$63,0),INDEX($J$13:$M$30,MATCH($B2411,$J$13:$J$30,0),L$12))</f>
        <v/>
      </c>
      <c r="E2411" s="74" t="str">
        <f>INDEX('TH CANAM'!$A$9:$BF$63,MATCH(PDNam!$F2431,'TH CANAM'!$A$9:$A$63,0),INDEX($J$13:$M$30,MATCH($B2411,$J$13:$J$30,0),M$12))</f>
        <v/>
      </c>
      <c r="F2411" s="73"/>
      <c r="I2411" s="64"/>
      <c r="J2411" s="64"/>
    </row>
    <row r="2412" spans="1:10" ht="21" customHeight="1">
      <c r="A2412" s="72" t="s">
        <v>208</v>
      </c>
      <c r="B2412" s="73" t="s">
        <v>205</v>
      </c>
      <c r="C2412" s="78" t="str">
        <f>INDEX('TH CANAM'!$A$9:$BF$63,MATCH(PDNam!$F2431,'TH CANAM'!$A$9:$A$63,0),46)</f>
        <v/>
      </c>
      <c r="D2412" s="78" t="str">
        <f>INDEX('TH CANAM'!$A$9:$BF$63,MATCH(PDNam!$F2431,'TH CANAM'!$A$9:$A$63,0),47)</f>
        <v/>
      </c>
      <c r="E2412" s="78" t="str">
        <f>INDEX('TH CANAM'!$A$9:$BF$63,MATCH(PDNam!$F2431,'TH CANAM'!$A$9:$A$63,0),48)</f>
        <v/>
      </c>
      <c r="F2412" s="73"/>
      <c r="I2412" s="64"/>
      <c r="J2412" s="64"/>
    </row>
    <row r="2413" spans="1:10" ht="21" customHeight="1">
      <c r="A2413" s="72" t="s">
        <v>209</v>
      </c>
      <c r="B2413" s="72" t="s">
        <v>206</v>
      </c>
      <c r="C2413" s="74" t="str">
        <f>IF(INDEX('TH CANAM'!$A$9:$BF$63,MATCH(PDNam!$F2431,'TH CANAM'!$A$9:$A$63,0),49)="Tb","Trung bình",INDEX('TH CANAM'!$A$9:$BF$63,MATCH(PDNam!$F2431,'TH CANAM'!$A$9:$A$63,0),49))</f>
        <v/>
      </c>
      <c r="D2413" s="74" t="str">
        <f>IF(INDEX('TH CANAM'!$A$9:$BF$63,MATCH(PDNam!$F2431,'TH CANAM'!$A$9:$A$63,0),50)="Tb","Trung bình",INDEX('TH CANAM'!$A$9:$BF$63,MATCH(PDNam!$F2431,'TH CANAM'!$A$9:$A$63,0),50))</f>
        <v/>
      </c>
      <c r="E2413" s="74" t="str">
        <f>IF(INDEX('TH CANAM'!$A$9:$BF$63,MATCH(PDNam!$F2431,'TH CANAM'!$A$9:$A$63,0),51)="Tb","Trung bình",INDEX('TH CANAM'!$A$9:$BF$63,MATCH(PDNam!$F2431,'TH CANAM'!$A$9:$A$63,0),51))</f>
        <v/>
      </c>
      <c r="F2413" s="73"/>
    </row>
    <row r="2414" spans="1:10" ht="21" customHeight="1">
      <c r="A2414" s="72" t="s">
        <v>210</v>
      </c>
      <c r="B2414" s="72" t="s">
        <v>207</v>
      </c>
      <c r="C2414" s="74" t="str">
        <f>INDEX('TH CANAM'!$A$9:$BF$63,MATCH(PDNam!$F2431,'TH CANAM'!$A$9:$A$63,0),52)</f>
        <v/>
      </c>
      <c r="D2414" s="74" t="str">
        <f>INDEX('TH CANAM'!$A$9:$BF$63,MATCH(PDNam!$F2431,'TH CANAM'!$A$9:$A$63,0),53)</f>
        <v/>
      </c>
      <c r="E2414" s="74" t="str">
        <f>INDEX('TH CANAM'!$A$9:$BF$63,MATCH(PDNam!$F2431,'TH CANAM'!$A$9:$A$63,0),54)</f>
        <v/>
      </c>
      <c r="F2414" s="73"/>
    </row>
    <row r="2415" spans="1:10" ht="21" customHeight="1">
      <c r="A2415" s="72" t="s">
        <v>211</v>
      </c>
      <c r="B2415" s="72" t="s">
        <v>25</v>
      </c>
      <c r="C2415" s="74" t="str">
        <f>IF(INDEX('TH CANAM'!$A$9:$BF$63,MATCH(PDNam!$F2431,'TH CANAM'!$A$9:$A$63,0),57)&lt;&gt;"",INDEX('TH CANAM'!$A$9:$BF$63,MATCH(PDNam!$F2431,'TH CANAM'!$A$9:$A$63,0),57),"/")</f>
        <v>/</v>
      </c>
      <c r="D2415" s="74" t="str">
        <f>IF(INDEX('TH CANAM'!$A$9:$BF$63,MATCH(PDNam!$F2431,'TH CANAM'!$A$9:$A$63,0),58)&lt;&gt;"",INDEX('TH CANAM'!$A$9:$BF$63,MATCH(PDNam!$F2431,'TH CANAM'!$A$9:$A$63,0),58),"/")</f>
        <v>/</v>
      </c>
      <c r="E2415" s="74" t="str">
        <f>IF(INDEX('TH CANAM'!$A$9:$BF$63,MATCH(PDNam!$F2431,'TH CANAM'!$A$9:$A$63,0),55)&lt;&gt;"",INDEX('TH CANAM'!$A$9:$BF$63,MATCH(PDNam!$F2431,'TH CANAM'!$A$9:$A$63,0),55),"/")</f>
        <v>/</v>
      </c>
      <c r="F2415" s="73"/>
    </row>
    <row r="2416" spans="1:10" s="60" customFormat="1" ht="9" customHeight="1">
      <c r="A2416" s="67"/>
      <c r="B2416" s="67"/>
      <c r="C2416" s="1132"/>
      <c r="D2416" s="1132"/>
      <c r="E2416" s="67"/>
      <c r="F2416" s="67"/>
    </row>
    <row r="2417" spans="1:10" s="60" customFormat="1" ht="18.75" customHeight="1">
      <c r="A2417" s="58" t="s">
        <v>219</v>
      </c>
      <c r="B2417" s="57"/>
      <c r="C2417" s="57"/>
      <c r="D2417" s="57"/>
      <c r="E2417" s="57"/>
      <c r="F2417" s="475"/>
    </row>
    <row r="2418" spans="1:10" s="60" customFormat="1" ht="18.75" customHeight="1">
      <c r="A2418" s="59" t="str">
        <f>IF(F2431&lt;&gt;"",IF(INDEX(BDHK2,MATCH(F2431,DiemHKII!$B$4:$B$58,0),137)&lt;&gt;""," - "&amp;INDEX(BDHK2,MATCH(F2431,DiemHKII!$B$4:$B$58,0),137),""),"")</f>
        <v/>
      </c>
      <c r="B2418" s="57"/>
      <c r="C2418" s="57"/>
      <c r="D2418" s="57"/>
      <c r="E2418" s="57"/>
      <c r="F2418" s="475"/>
    </row>
    <row r="2419" spans="1:10" s="60" customFormat="1" ht="18.75" customHeight="1">
      <c r="A2419" s="59" t="str">
        <f>IF(F2431&lt;&gt;"",IF(INDEX(BDHK2,MATCH(F2431,DiemHKII!$B$4:$B$58,0),138)&lt;&gt;""," - "&amp;INDEX(BDHK2,MATCH(F2431,DiemHKII!$B$4:$B$58,0),138),""),"")</f>
        <v/>
      </c>
      <c r="B2419" s="57"/>
      <c r="C2419" s="57"/>
      <c r="D2419" s="57"/>
      <c r="E2419" s="57"/>
      <c r="F2419" s="475"/>
    </row>
    <row r="2420" spans="1:10" s="60" customFormat="1" ht="18.75" customHeight="1">
      <c r="A2420" s="59" t="str">
        <f>IF(F2431&lt;&gt;"",IF(INDEX(BDHK2,MATCH(F2431,DiemHKII!$B$4:$B$58,0),139)&lt;&gt;""," - "&amp;INDEX(BDHK2,MATCH(F2431,DiemHKII!$B$4:$B$58,0),139),""),"")</f>
        <v/>
      </c>
      <c r="B2420" s="57"/>
      <c r="C2420" s="57"/>
      <c r="D2420" s="57"/>
      <c r="E2420" s="57"/>
      <c r="F2420" s="475"/>
    </row>
    <row r="2421" spans="1:10" s="60" customFormat="1" ht="18.75" customHeight="1">
      <c r="A2421" s="59" t="str">
        <f>IF(F2431&lt;&gt;"",IF(INDEX(BDHK2,MATCH(F2431,DiemHKII!$B$4:$B$58,0),140)&lt;&gt;""," - "&amp;INDEX(BDHK2,MATCH(F2431,DiemHKII!$B$4:$B$58,0),140),""),"")</f>
        <v/>
      </c>
      <c r="B2421" s="57"/>
      <c r="C2421" s="57"/>
      <c r="D2421" s="57"/>
      <c r="E2421" s="57"/>
      <c r="F2421" s="67"/>
    </row>
    <row r="2422" spans="1:10" ht="6" customHeight="1">
      <c r="A2422" s="68"/>
      <c r="B2422" s="68"/>
      <c r="C2422" s="68"/>
      <c r="D2422" s="68"/>
      <c r="E2422" s="68"/>
      <c r="F2422" s="68"/>
    </row>
    <row r="2423" spans="1:10">
      <c r="A2423" s="68"/>
      <c r="B2423" s="68"/>
      <c r="C2423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423" s="1060"/>
      <c r="E2423" s="1060"/>
      <c r="F2423" s="1060"/>
    </row>
    <row r="2424" spans="1:10" ht="20.25" customHeight="1">
      <c r="A2424" s="1012" t="str">
        <f>IF($D$39="Hiệu trưởng","Giáo viên Quản nhiệm","")</f>
        <v>Giáo viên Quản nhiệm</v>
      </c>
      <c r="B2424" s="1012"/>
      <c r="C2424" s="61"/>
      <c r="D2424" s="1012" t="str">
        <f>IF($H$7="","",$H$7)</f>
        <v>Hiệu trưởng</v>
      </c>
      <c r="E2424" s="1012"/>
      <c r="F2424" s="61"/>
    </row>
    <row r="2425" spans="1:10">
      <c r="A2425" s="68"/>
      <c r="B2425" s="68"/>
      <c r="C2425" s="68"/>
      <c r="D2425" s="68"/>
      <c r="E2425" s="68"/>
      <c r="F2425" s="68"/>
    </row>
    <row r="2426" spans="1:10">
      <c r="A2426" s="68"/>
      <c r="B2426" s="68"/>
      <c r="C2426" s="68"/>
      <c r="D2426" s="68"/>
      <c r="E2426" s="68"/>
      <c r="F2426" s="68"/>
    </row>
    <row r="2427" spans="1:10" ht="16.8">
      <c r="A2427" s="68"/>
      <c r="B2427" s="68"/>
      <c r="C2427" s="64"/>
      <c r="D2427" s="64"/>
      <c r="E2427" s="64"/>
      <c r="F2427" s="64"/>
      <c r="G2427" s="65"/>
      <c r="H2427" s="65"/>
      <c r="I2427" s="65"/>
      <c r="J2427" s="65"/>
    </row>
    <row r="2429" spans="1:10">
      <c r="A2429" s="1012" t="str">
        <f>IF($A$39="","",PROPER('Huong dan'!$C$4))</f>
        <v/>
      </c>
      <c r="B2429" s="1012"/>
      <c r="D2429" s="1130" t="str">
        <f>IFERROR(IF($D$39="Giáo Viên Quản nhiệm",PROPER('Huong dan'!$C$4),IF($D$39="Hiệu trưởng",PROPER('Huong dan'!$E$5),"")),"")</f>
        <v/>
      </c>
      <c r="E2429" s="1130"/>
    </row>
    <row r="2430" spans="1:10" ht="7.5" customHeight="1"/>
    <row r="2431" spans="1:10" ht="11.25" customHeight="1">
      <c r="A2431" s="75"/>
      <c r="B2431" s="75"/>
      <c r="C2431" s="75"/>
      <c r="D2431" s="75"/>
      <c r="E2431" s="75"/>
      <c r="F2431" s="76" t="str">
        <f>IF(F2386="","",IF(F2386&lt;MAX(DiemHKII!$B$4:$B$58),F2386+1,""))</f>
        <v/>
      </c>
    </row>
    <row r="2432" spans="1:10" s="60" customFormat="1" ht="22.5" customHeight="1">
      <c r="A2432" s="1128" t="str">
        <f>IF('Huong dan'!$E$3&lt;&gt;"","SỞ GIÁO DỤC VÀ ĐÀO TẠO "&amp;UPPER('Huong dan'!$E$3),"")</f>
        <v>SỞ GIÁO DỤC VÀ ĐÀO TẠO TP. HỒ CHÍ MINH</v>
      </c>
      <c r="B2432" s="1128"/>
      <c r="C2432" s="1128"/>
      <c r="D2432" s="1129" t="s">
        <v>19</v>
      </c>
      <c r="E2432" s="1129"/>
      <c r="F2432" s="1129"/>
    </row>
    <row r="2433" spans="1:10" ht="17.25" customHeight="1">
      <c r="A2433" s="992" t="str">
        <f>IF('Huong dan'!$E$4&lt;&gt;"","TRƯỜNG "&amp;UPPER('Huong dan'!$E$4),"")</f>
        <v>TRƯỜNG THCS VÀ THPT NGUYỄN KHUYẾN</v>
      </c>
      <c r="B2433" s="992"/>
      <c r="C2433" s="992"/>
      <c r="D2433" s="1130" t="s">
        <v>179</v>
      </c>
      <c r="E2433" s="1130"/>
      <c r="F2433" s="1130"/>
    </row>
    <row r="2434" spans="1:10" ht="12" customHeight="1">
      <c r="A2434" s="69"/>
      <c r="B2434" s="69"/>
      <c r="C2434" s="30"/>
      <c r="D2434" s="30"/>
      <c r="E2434" s="30"/>
      <c r="F2434" s="30"/>
    </row>
    <row r="2435" spans="1:10" ht="18" customHeight="1">
      <c r="A2435" s="69"/>
      <c r="B2435" s="69"/>
      <c r="C2435" s="30"/>
      <c r="D2435" s="30"/>
      <c r="E2435" s="30"/>
      <c r="F2435" s="30"/>
    </row>
    <row r="2436" spans="1:10" ht="29.25" customHeight="1">
      <c r="A2436" s="1013" t="str">
        <f>"PHIẾU ĐIỂM NĂM HỌC "&amp;'Huong dan'!$C$5</f>
        <v>PHIẾU ĐIỂM NĂM HỌC 2021 - 2022</v>
      </c>
      <c r="B2436" s="1013"/>
      <c r="C2436" s="1013"/>
      <c r="D2436" s="1013"/>
      <c r="E2436" s="1013"/>
      <c r="F2436" s="1013"/>
    </row>
    <row r="2437" spans="1:10" ht="12.75" customHeight="1">
      <c r="A2437" s="70"/>
      <c r="B2437" s="66"/>
      <c r="C2437" s="66"/>
      <c r="D2437" s="66"/>
      <c r="E2437" s="66"/>
      <c r="F2437" s="66"/>
    </row>
    <row r="2438" spans="1:10" ht="20.25" customHeight="1">
      <c r="A2438" s="1131" t="s">
        <v>212</v>
      </c>
      <c r="B2438" s="1131"/>
      <c r="C2438" s="77" t="str">
        <f>IF(F2476="","",INDEX(DiemHKII!$E$4:$E$58,MATCH(F2476,DiemHKII!$B$4:$B$58,0),1)&amp;" "&amp;INDEX(DiemHKII!$F$4:$F$58,MATCH(F2476,DiemHKII!$B$4:$B$58,0),1))</f>
        <v/>
      </c>
      <c r="D2438" s="77"/>
      <c r="E2438" s="77"/>
      <c r="F2438" s="71" t="str">
        <f>IF('Huong dan'!$C$3="","","Lớp: "&amp;'Huong dan'!$C$3)</f>
        <v>Lớp: 12A1</v>
      </c>
    </row>
    <row r="2439" spans="1:10" ht="24" customHeight="1">
      <c r="A2439" s="1131" t="s">
        <v>213</v>
      </c>
      <c r="B2439" s="1131"/>
      <c r="C2439" s="77" t="str">
        <f>IF(F2476="","",INDEX(DiemHKII!$G$4:$G$58,MATCH(F2476,DiemHKII!$B$4:$B$58,0),1))</f>
        <v/>
      </c>
      <c r="D2439" s="77"/>
      <c r="E2439" s="1133" t="str">
        <f>IF(F2476="","","Nơi sinh: "&amp;INDEX(DiemHKII!$H$4:$H$58,MATCH(F2476,DiemHKII!$B$4:$B$58,0),1))</f>
        <v/>
      </c>
      <c r="F2439" s="1133"/>
    </row>
    <row r="2440" spans="1:10" ht="15" customHeight="1">
      <c r="A2440" s="62"/>
      <c r="B2440" s="62"/>
      <c r="C2440" s="62"/>
      <c r="D2440" s="62"/>
      <c r="E2440" s="62"/>
      <c r="F2440" s="63"/>
    </row>
    <row r="2441" spans="1:10" ht="21" customHeight="1">
      <c r="A2441" s="1134" t="s">
        <v>0</v>
      </c>
      <c r="B2441" s="1134" t="s">
        <v>72</v>
      </c>
      <c r="C2441" s="1134" t="s">
        <v>216</v>
      </c>
      <c r="D2441" s="1134"/>
      <c r="E2441" s="1134"/>
      <c r="F2441" s="1134" t="s">
        <v>148</v>
      </c>
    </row>
    <row r="2442" spans="1:10" ht="21" customHeight="1">
      <c r="A2442" s="1134"/>
      <c r="B2442" s="1134"/>
      <c r="C2442" s="476" t="s">
        <v>188</v>
      </c>
      <c r="D2442" s="476" t="s">
        <v>189</v>
      </c>
      <c r="E2442" s="476" t="s">
        <v>190</v>
      </c>
      <c r="F2442" s="1134"/>
    </row>
    <row r="2443" spans="1:10" ht="21" customHeight="1">
      <c r="A2443" s="72" t="s">
        <v>191</v>
      </c>
      <c r="B2443" s="73" t="s">
        <v>26</v>
      </c>
      <c r="C2443" s="74" t="str">
        <f>INDEX('TH CANAM'!$A$9:$BF$63,MATCH(PDNam!$F2476,'TH CANAM'!$A$9:$A$63,0),INDEX($J$13:$M$30,MATCH($B2443,$J$13:$J$30,0),K$12))</f>
        <v/>
      </c>
      <c r="D2443" s="74" t="str">
        <f>INDEX('TH CANAM'!$A$9:$BF$63,MATCH(PDNam!$F2476,'TH CANAM'!$A$9:$A$63,0),INDEX($J$13:$M$30,MATCH($B2443,$J$13:$J$30,0),L$12))</f>
        <v/>
      </c>
      <c r="E2443" s="74" t="str">
        <f>INDEX('TH CANAM'!$A$9:$BF$63,MATCH(PDNam!$F2476,'TH CANAM'!$A$9:$A$63,0),INDEX($J$13:$M$30,MATCH($B2443,$J$13:$J$30,0),M$12))</f>
        <v/>
      </c>
      <c r="F2443" s="73"/>
      <c r="I2443" s="64"/>
      <c r="J2443" s="64"/>
    </row>
    <row r="2444" spans="1:10" ht="21" customHeight="1">
      <c r="A2444" s="72" t="s">
        <v>192</v>
      </c>
      <c r="B2444" s="73" t="s">
        <v>27</v>
      </c>
      <c r="C2444" s="74" t="str">
        <f>INDEX('TH CANAM'!$A$9:$BF$63,MATCH(PDNam!$F2476,'TH CANAM'!$A$9:$A$63,0),INDEX($J$13:$M$30,MATCH($B2444,$J$13:$J$30,0),K$12))</f>
        <v/>
      </c>
      <c r="D2444" s="74" t="str">
        <f>INDEX('TH CANAM'!$A$9:$BF$63,MATCH(PDNam!$F2476,'TH CANAM'!$A$9:$A$63,0),INDEX($J$13:$M$30,MATCH($B2444,$J$13:$J$30,0),L$12))</f>
        <v/>
      </c>
      <c r="E2444" s="74" t="str">
        <f>INDEX('TH CANAM'!$A$9:$BF$63,MATCH(PDNam!$F2476,'TH CANAM'!$A$9:$A$63,0),INDEX($J$13:$M$30,MATCH($B2444,$J$13:$J$30,0),M$12))</f>
        <v/>
      </c>
      <c r="F2444" s="73"/>
      <c r="I2444" s="64"/>
      <c r="J2444" s="64"/>
    </row>
    <row r="2445" spans="1:10" ht="21" customHeight="1">
      <c r="A2445" s="72" t="s">
        <v>193</v>
      </c>
      <c r="B2445" s="73" t="s">
        <v>28</v>
      </c>
      <c r="C2445" s="74" t="str">
        <f>INDEX('TH CANAM'!$A$9:$BF$63,MATCH(PDNam!$F2476,'TH CANAM'!$A$9:$A$63,0),INDEX($J$13:$M$30,MATCH($B2445,$J$13:$J$30,0),K$12))</f>
        <v/>
      </c>
      <c r="D2445" s="74" t="str">
        <f>INDEX('TH CANAM'!$A$9:$BF$63,MATCH(PDNam!$F2476,'TH CANAM'!$A$9:$A$63,0),INDEX($J$13:$M$30,MATCH($B2445,$J$13:$J$30,0),L$12))</f>
        <v/>
      </c>
      <c r="E2445" s="74" t="str">
        <f>INDEX('TH CANAM'!$A$9:$BF$63,MATCH(PDNam!$F2476,'TH CANAM'!$A$9:$A$63,0),INDEX($J$13:$M$30,MATCH($B2445,$J$13:$J$30,0),M$12))</f>
        <v/>
      </c>
      <c r="F2445" s="73"/>
      <c r="I2445" s="64"/>
      <c r="J2445" s="64"/>
    </row>
    <row r="2446" spans="1:10" ht="21" customHeight="1">
      <c r="A2446" s="72" t="s">
        <v>194</v>
      </c>
      <c r="B2446" s="73" t="s">
        <v>29</v>
      </c>
      <c r="C2446" s="74" t="str">
        <f>INDEX('TH CANAM'!$A$9:$BF$63,MATCH(PDNam!$F2476,'TH CANAM'!$A$9:$A$63,0),INDEX($J$13:$M$30,MATCH($B2446,$J$13:$J$30,0),K$12))</f>
        <v/>
      </c>
      <c r="D2446" s="74" t="str">
        <f>INDEX('TH CANAM'!$A$9:$BF$63,MATCH(PDNam!$F2476,'TH CANAM'!$A$9:$A$63,0),INDEX($J$13:$M$30,MATCH($B2446,$J$13:$J$30,0),L$12))</f>
        <v/>
      </c>
      <c r="E2446" s="74" t="str">
        <f>INDEX('TH CANAM'!$A$9:$BF$63,MATCH(PDNam!$F2476,'TH CANAM'!$A$9:$A$63,0),INDEX($J$13:$M$30,MATCH($B2446,$J$13:$J$30,0),M$12))</f>
        <v/>
      </c>
      <c r="F2446" s="73"/>
      <c r="I2446" s="64"/>
      <c r="J2446" s="64"/>
    </row>
    <row r="2447" spans="1:10" ht="21" customHeight="1">
      <c r="A2447" s="72" t="s">
        <v>195</v>
      </c>
      <c r="B2447" s="73" t="s">
        <v>120</v>
      </c>
      <c r="C2447" s="74" t="str">
        <f>INDEX('TH CANAM'!$A$9:$BF$63,MATCH(PDNam!$F2476,'TH CANAM'!$A$9:$A$63,0),INDEX($J$13:$M$30,MATCH($B2447,$J$13:$J$30,0),K$12))</f>
        <v/>
      </c>
      <c r="D2447" s="74" t="str">
        <f>INDEX('TH CANAM'!$A$9:$BF$63,MATCH(PDNam!$F2476,'TH CANAM'!$A$9:$A$63,0),INDEX($J$13:$M$30,MATCH($B2447,$J$13:$J$30,0),L$12))</f>
        <v/>
      </c>
      <c r="E2447" s="74" t="str">
        <f>INDEX('TH CANAM'!$A$9:$BF$63,MATCH(PDNam!$F2476,'TH CANAM'!$A$9:$A$63,0),INDEX($J$13:$M$30,MATCH($B2447,$J$13:$J$30,0),M$12))</f>
        <v/>
      </c>
      <c r="F2447" s="73"/>
      <c r="I2447" s="64"/>
      <c r="J2447" s="64"/>
    </row>
    <row r="2448" spans="1:10" ht="21" customHeight="1">
      <c r="A2448" s="72" t="s">
        <v>196</v>
      </c>
      <c r="B2448" s="73" t="s">
        <v>30</v>
      </c>
      <c r="C2448" s="74" t="str">
        <f>INDEX('TH CANAM'!$A$9:$BF$63,MATCH(PDNam!$F2476,'TH CANAM'!$A$9:$A$63,0),INDEX($J$13:$M$30,MATCH($B2448,$J$13:$J$30,0),K$12))</f>
        <v/>
      </c>
      <c r="D2448" s="74" t="str">
        <f>INDEX('TH CANAM'!$A$9:$BF$63,MATCH(PDNam!$F2476,'TH CANAM'!$A$9:$A$63,0),INDEX($J$13:$M$30,MATCH($B2448,$J$13:$J$30,0),L$12))</f>
        <v/>
      </c>
      <c r="E2448" s="74" t="str">
        <f>INDEX('TH CANAM'!$A$9:$BF$63,MATCH(PDNam!$F2476,'TH CANAM'!$A$9:$A$63,0),INDEX($J$13:$M$30,MATCH($B2448,$J$13:$J$30,0),M$12))</f>
        <v/>
      </c>
      <c r="F2448" s="73"/>
      <c r="I2448" s="64"/>
      <c r="J2448" s="64"/>
    </row>
    <row r="2449" spans="1:10" ht="21" customHeight="1">
      <c r="A2449" s="72" t="s">
        <v>197</v>
      </c>
      <c r="B2449" s="73" t="s">
        <v>31</v>
      </c>
      <c r="C2449" s="74" t="str">
        <f>INDEX('TH CANAM'!$A$9:$BF$63,MATCH(PDNam!$F2476,'TH CANAM'!$A$9:$A$63,0),INDEX($J$13:$M$30,MATCH($B2449,$J$13:$J$30,0),K$12))</f>
        <v/>
      </c>
      <c r="D2449" s="74" t="str">
        <f>INDEX('TH CANAM'!$A$9:$BF$63,MATCH(PDNam!$F2476,'TH CANAM'!$A$9:$A$63,0),INDEX($J$13:$M$30,MATCH($B2449,$J$13:$J$30,0),L$12))</f>
        <v/>
      </c>
      <c r="E2449" s="74" t="str">
        <f>INDEX('TH CANAM'!$A$9:$BF$63,MATCH(PDNam!$F2476,'TH CANAM'!$A$9:$A$63,0),INDEX($J$13:$M$30,MATCH($B2449,$J$13:$J$30,0),M$12))</f>
        <v/>
      </c>
      <c r="F2449" s="73"/>
      <c r="I2449" s="64"/>
      <c r="J2449" s="64"/>
    </row>
    <row r="2450" spans="1:10" ht="21" customHeight="1">
      <c r="A2450" s="72" t="s">
        <v>198</v>
      </c>
      <c r="B2450" s="73" t="s">
        <v>32</v>
      </c>
      <c r="C2450" s="74" t="str">
        <f>INDEX('TH CANAM'!$A$9:$BF$63,MATCH(PDNam!$F2476,'TH CANAM'!$A$9:$A$63,0),INDEX($J$13:$M$30,MATCH($B2450,$J$13:$J$30,0),K$12))</f>
        <v/>
      </c>
      <c r="D2450" s="74" t="str">
        <f>INDEX('TH CANAM'!$A$9:$BF$63,MATCH(PDNam!$F2476,'TH CANAM'!$A$9:$A$63,0),INDEX($J$13:$M$30,MATCH($B2450,$J$13:$J$30,0),L$12))</f>
        <v/>
      </c>
      <c r="E2450" s="74" t="str">
        <f>INDEX('TH CANAM'!$A$9:$BF$63,MATCH(PDNam!$F2476,'TH CANAM'!$A$9:$A$63,0),INDEX($J$13:$M$30,MATCH($B2450,$J$13:$J$30,0),M$12))</f>
        <v/>
      </c>
      <c r="F2450" s="73"/>
      <c r="I2450" s="64"/>
      <c r="J2450" s="64"/>
    </row>
    <row r="2451" spans="1:10" ht="21" customHeight="1">
      <c r="A2451" s="72" t="s">
        <v>199</v>
      </c>
      <c r="B2451" s="73" t="s">
        <v>33</v>
      </c>
      <c r="C2451" s="74" t="str">
        <f>INDEX('TH CANAM'!$A$9:$BF$63,MATCH(PDNam!$F2476,'TH CANAM'!$A$9:$A$63,0),INDEX($J$13:$M$30,MATCH($B2451,$J$13:$J$30,0),K$12))</f>
        <v/>
      </c>
      <c r="D2451" s="74" t="str">
        <f>INDEX('TH CANAM'!$A$9:$BF$63,MATCH(PDNam!$F2476,'TH CANAM'!$A$9:$A$63,0),INDEX($J$13:$M$30,MATCH($B2451,$J$13:$J$30,0),L$12))</f>
        <v/>
      </c>
      <c r="E2451" s="74" t="str">
        <f>INDEX('TH CANAM'!$A$9:$BF$63,MATCH(PDNam!$F2476,'TH CANAM'!$A$9:$A$63,0),INDEX($J$13:$M$30,MATCH($B2451,$J$13:$J$30,0),M$12))</f>
        <v/>
      </c>
      <c r="F2451" s="73"/>
      <c r="I2451" s="64"/>
      <c r="J2451" s="64"/>
    </row>
    <row r="2452" spans="1:10" ht="21" customHeight="1">
      <c r="A2452" s="72" t="s">
        <v>200</v>
      </c>
      <c r="B2452" s="73" t="s">
        <v>60</v>
      </c>
      <c r="C2452" s="74" t="str">
        <f>INDEX('TH CANAM'!$A$9:$BF$63,MATCH(PDNam!$F2476,'TH CANAM'!$A$9:$A$63,0),INDEX($J$13:$M$30,MATCH($B2452,$J$13:$J$30,0),K$12))</f>
        <v/>
      </c>
      <c r="D2452" s="74" t="str">
        <f>INDEX('TH CANAM'!$A$9:$BF$63,MATCH(PDNam!$F2476,'TH CANAM'!$A$9:$A$63,0),INDEX($J$13:$M$30,MATCH($B2452,$J$13:$J$30,0),L$12))</f>
        <v/>
      </c>
      <c r="E2452" s="74" t="str">
        <f>INDEX('TH CANAM'!$A$9:$BF$63,MATCH(PDNam!$F2476,'TH CANAM'!$A$9:$A$63,0),INDEX($J$13:$M$30,MATCH($B2452,$J$13:$J$30,0),M$12))</f>
        <v/>
      </c>
      <c r="F2452" s="73"/>
      <c r="I2452" s="64"/>
      <c r="J2452" s="64"/>
    </row>
    <row r="2453" spans="1:10" ht="21" customHeight="1">
      <c r="A2453" s="72" t="s">
        <v>201</v>
      </c>
      <c r="B2453" s="73" t="s">
        <v>34</v>
      </c>
      <c r="C2453" s="74" t="str">
        <f>INDEX('TH CANAM'!$A$9:$BF$63,MATCH(PDNam!$F2476,'TH CANAM'!$A$9:$A$63,0),INDEX($J$13:$M$30,MATCH($B2453,$J$13:$J$30,0),K$12))</f>
        <v/>
      </c>
      <c r="D2453" s="74" t="str">
        <f>INDEX('TH CANAM'!$A$9:$BF$63,MATCH(PDNam!$F2476,'TH CANAM'!$A$9:$A$63,0),INDEX($J$13:$M$30,MATCH($B2453,$J$13:$J$30,0),L$12))</f>
        <v/>
      </c>
      <c r="E2453" s="74" t="str">
        <f>INDEX('TH CANAM'!$A$9:$BF$63,MATCH(PDNam!$F2476,'TH CANAM'!$A$9:$A$63,0),INDEX($J$13:$M$30,MATCH($B2453,$J$13:$J$30,0),M$12))</f>
        <v/>
      </c>
      <c r="F2453" s="73"/>
      <c r="I2453" s="64"/>
      <c r="J2453" s="64"/>
    </row>
    <row r="2454" spans="1:10" ht="21" customHeight="1">
      <c r="A2454" s="72" t="s">
        <v>202</v>
      </c>
      <c r="B2454" s="73" t="s">
        <v>35</v>
      </c>
      <c r="C2454" s="74" t="str">
        <f>INDEX('TH CANAM'!$A$9:$BF$63,MATCH(PDNam!$F2476,'TH CANAM'!$A$9:$A$63,0),INDEX($J$13:$M$30,MATCH($B2454,$J$13:$J$30,0),K$12))</f>
        <v/>
      </c>
      <c r="D2454" s="74" t="str">
        <f>INDEX('TH CANAM'!$A$9:$BF$63,MATCH(PDNam!$F2476,'TH CANAM'!$A$9:$A$63,0),INDEX($J$13:$M$30,MATCH($B2454,$J$13:$J$30,0),L$12))</f>
        <v/>
      </c>
      <c r="E2454" s="74" t="str">
        <f>INDEX('TH CANAM'!$A$9:$BF$63,MATCH(PDNam!$F2476,'TH CANAM'!$A$9:$A$63,0),INDEX($J$13:$M$30,MATCH($B2454,$J$13:$J$30,0),M$12))</f>
        <v/>
      </c>
      <c r="F2454" s="73"/>
      <c r="I2454" s="64"/>
      <c r="J2454" s="64"/>
    </row>
    <row r="2455" spans="1:10" ht="21" customHeight="1">
      <c r="A2455" s="72" t="s">
        <v>203</v>
      </c>
      <c r="B2455" s="73" t="s">
        <v>121</v>
      </c>
      <c r="C2455" s="74" t="str">
        <f>INDEX('TH CANAM'!$A$9:$BF$63,MATCH(PDNam!$F2476,'TH CANAM'!$A$9:$A$63,0),INDEX($J$13:$M$30,MATCH($B2455,$J$13:$J$30,0),K$12))</f>
        <v/>
      </c>
      <c r="D2455" s="74" t="str">
        <f>INDEX('TH CANAM'!$A$9:$BF$63,MATCH(PDNam!$F2476,'TH CANAM'!$A$9:$A$63,0),INDEX($J$13:$M$30,MATCH($B2455,$J$13:$J$30,0),L$12))</f>
        <v/>
      </c>
      <c r="E2455" s="74" t="str">
        <f>INDEX('TH CANAM'!$A$9:$BF$63,MATCH(PDNam!$F2476,'TH CANAM'!$A$9:$A$63,0),INDEX($J$13:$M$30,MATCH($B2455,$J$13:$J$30,0),M$12))</f>
        <v/>
      </c>
      <c r="F2455" s="73"/>
      <c r="I2455" s="64"/>
      <c r="J2455" s="64"/>
    </row>
    <row r="2456" spans="1:10" ht="21" customHeight="1">
      <c r="A2456" s="72" t="s">
        <v>204</v>
      </c>
      <c r="B2456" s="73" t="s">
        <v>122</v>
      </c>
      <c r="C2456" s="74" t="str">
        <f>INDEX('TH CANAM'!$A$9:$BF$63,MATCH(PDNam!$F2476,'TH CANAM'!$A$9:$A$63,0),INDEX($J$13:$M$30,MATCH($B2456,$J$13:$J$30,0),K$12))</f>
        <v/>
      </c>
      <c r="D2456" s="74" t="str">
        <f>INDEX('TH CANAM'!$A$9:$BF$63,MATCH(PDNam!$F2476,'TH CANAM'!$A$9:$A$63,0),INDEX($J$13:$M$30,MATCH($B2456,$J$13:$J$30,0),L$12))</f>
        <v/>
      </c>
      <c r="E2456" s="74" t="str">
        <f>INDEX('TH CANAM'!$A$9:$BF$63,MATCH(PDNam!$F2476,'TH CANAM'!$A$9:$A$63,0),INDEX($J$13:$M$30,MATCH($B2456,$J$13:$J$30,0),M$12))</f>
        <v/>
      </c>
      <c r="F2456" s="73"/>
      <c r="I2456" s="64"/>
      <c r="J2456" s="64"/>
    </row>
    <row r="2457" spans="1:10" ht="21" customHeight="1">
      <c r="A2457" s="72" t="s">
        <v>208</v>
      </c>
      <c r="B2457" s="73" t="s">
        <v>205</v>
      </c>
      <c r="C2457" s="78" t="str">
        <f>INDEX('TH CANAM'!$A$9:$BF$63,MATCH(PDNam!$F2476,'TH CANAM'!$A$9:$A$63,0),46)</f>
        <v/>
      </c>
      <c r="D2457" s="78" t="str">
        <f>INDEX('TH CANAM'!$A$9:$BF$63,MATCH(PDNam!$F2476,'TH CANAM'!$A$9:$A$63,0),47)</f>
        <v/>
      </c>
      <c r="E2457" s="78" t="str">
        <f>INDEX('TH CANAM'!$A$9:$BF$63,MATCH(PDNam!$F2476,'TH CANAM'!$A$9:$A$63,0),48)</f>
        <v/>
      </c>
      <c r="F2457" s="73"/>
      <c r="I2457" s="64"/>
      <c r="J2457" s="64"/>
    </row>
    <row r="2458" spans="1:10" ht="21" customHeight="1">
      <c r="A2458" s="72" t="s">
        <v>209</v>
      </c>
      <c r="B2458" s="72" t="s">
        <v>206</v>
      </c>
      <c r="C2458" s="74" t="str">
        <f>IF(INDEX('TH CANAM'!$A$9:$BF$63,MATCH(PDNam!$F2476,'TH CANAM'!$A$9:$A$63,0),49)="Tb","Trung bình",INDEX('TH CANAM'!$A$9:$BF$63,MATCH(PDNam!$F2476,'TH CANAM'!$A$9:$A$63,0),49))</f>
        <v/>
      </c>
      <c r="D2458" s="74" t="str">
        <f>IF(INDEX('TH CANAM'!$A$9:$BF$63,MATCH(PDNam!$F2476,'TH CANAM'!$A$9:$A$63,0),50)="Tb","Trung bình",INDEX('TH CANAM'!$A$9:$BF$63,MATCH(PDNam!$F2476,'TH CANAM'!$A$9:$A$63,0),50))</f>
        <v/>
      </c>
      <c r="E2458" s="74" t="str">
        <f>IF(INDEX('TH CANAM'!$A$9:$BF$63,MATCH(PDNam!$F2476,'TH CANAM'!$A$9:$A$63,0),51)="Tb","Trung bình",INDEX('TH CANAM'!$A$9:$BF$63,MATCH(PDNam!$F2476,'TH CANAM'!$A$9:$A$63,0),51))</f>
        <v/>
      </c>
      <c r="F2458" s="73"/>
    </row>
    <row r="2459" spans="1:10" ht="21" customHeight="1">
      <c r="A2459" s="72" t="s">
        <v>210</v>
      </c>
      <c r="B2459" s="72" t="s">
        <v>207</v>
      </c>
      <c r="C2459" s="74" t="str">
        <f>INDEX('TH CANAM'!$A$9:$BF$63,MATCH(PDNam!$F2476,'TH CANAM'!$A$9:$A$63,0),52)</f>
        <v/>
      </c>
      <c r="D2459" s="74" t="str">
        <f>INDEX('TH CANAM'!$A$9:$BF$63,MATCH(PDNam!$F2476,'TH CANAM'!$A$9:$A$63,0),53)</f>
        <v/>
      </c>
      <c r="E2459" s="74" t="str">
        <f>INDEX('TH CANAM'!$A$9:$BF$63,MATCH(PDNam!$F2476,'TH CANAM'!$A$9:$A$63,0),54)</f>
        <v/>
      </c>
      <c r="F2459" s="73"/>
    </row>
    <row r="2460" spans="1:10" ht="21" customHeight="1">
      <c r="A2460" s="72" t="s">
        <v>211</v>
      </c>
      <c r="B2460" s="72" t="s">
        <v>25</v>
      </c>
      <c r="C2460" s="74" t="str">
        <f>IF(INDEX('TH CANAM'!$A$9:$BF$63,MATCH(PDNam!$F2476,'TH CANAM'!$A$9:$A$63,0),57)&lt;&gt;"",INDEX('TH CANAM'!$A$9:$BF$63,MATCH(PDNam!$F2476,'TH CANAM'!$A$9:$A$63,0),57),"/")</f>
        <v>/</v>
      </c>
      <c r="D2460" s="74" t="str">
        <f>IF(INDEX('TH CANAM'!$A$9:$BF$63,MATCH(PDNam!$F2476,'TH CANAM'!$A$9:$A$63,0),58)&lt;&gt;"",INDEX('TH CANAM'!$A$9:$BF$63,MATCH(PDNam!$F2476,'TH CANAM'!$A$9:$A$63,0),58),"/")</f>
        <v>/</v>
      </c>
      <c r="E2460" s="74" t="str">
        <f>IF(INDEX('TH CANAM'!$A$9:$BF$63,MATCH(PDNam!$F2476,'TH CANAM'!$A$9:$A$63,0),55)&lt;&gt;"",INDEX('TH CANAM'!$A$9:$BF$63,MATCH(PDNam!$F2476,'TH CANAM'!$A$9:$A$63,0),55),"/")</f>
        <v>/</v>
      </c>
      <c r="F2460" s="73"/>
    </row>
    <row r="2461" spans="1:10" s="60" customFormat="1" ht="9" customHeight="1">
      <c r="A2461" s="67"/>
      <c r="B2461" s="67"/>
      <c r="C2461" s="1132"/>
      <c r="D2461" s="1132"/>
      <c r="E2461" s="67"/>
      <c r="F2461" s="67"/>
    </row>
    <row r="2462" spans="1:10" s="60" customFormat="1" ht="18.75" customHeight="1">
      <c r="A2462" s="58" t="s">
        <v>219</v>
      </c>
      <c r="B2462" s="57"/>
      <c r="C2462" s="57"/>
      <c r="D2462" s="57"/>
      <c r="E2462" s="57"/>
      <c r="F2462" s="475"/>
    </row>
    <row r="2463" spans="1:10" s="60" customFormat="1" ht="18.75" customHeight="1">
      <c r="A2463" s="59" t="str">
        <f>IF(F2476&lt;&gt;"",IF(INDEX(BDHK2,MATCH(F2476,DiemHKII!$B$4:$B$58,0),137)&lt;&gt;""," - "&amp;INDEX(BDHK2,MATCH(F2476,DiemHKII!$B$4:$B$58,0),137),""),"")</f>
        <v/>
      </c>
      <c r="B2463" s="57"/>
      <c r="C2463" s="57"/>
      <c r="D2463" s="57"/>
      <c r="E2463" s="57"/>
      <c r="F2463" s="475"/>
    </row>
    <row r="2464" spans="1:10" s="60" customFormat="1" ht="18.75" customHeight="1">
      <c r="A2464" s="59" t="str">
        <f>IF(F2476&lt;&gt;"",IF(INDEX(BDHK2,MATCH(F2476,DiemHKII!$B$4:$B$58,0),138)&lt;&gt;""," - "&amp;INDEX(BDHK2,MATCH(F2476,DiemHKII!$B$4:$B$58,0),138),""),"")</f>
        <v/>
      </c>
      <c r="B2464" s="57"/>
      <c r="C2464" s="57"/>
      <c r="D2464" s="57"/>
      <c r="E2464" s="57"/>
      <c r="F2464" s="475"/>
    </row>
    <row r="2465" spans="1:10" s="60" customFormat="1" ht="18.75" customHeight="1">
      <c r="A2465" s="59" t="str">
        <f>IF(F2476&lt;&gt;"",IF(INDEX(BDHK2,MATCH(F2476,DiemHKII!$B$4:$B$58,0),139)&lt;&gt;""," - "&amp;INDEX(BDHK2,MATCH(F2476,DiemHKII!$B$4:$B$58,0),139),""),"")</f>
        <v/>
      </c>
      <c r="B2465" s="57"/>
      <c r="C2465" s="57"/>
      <c r="D2465" s="57"/>
      <c r="E2465" s="57"/>
      <c r="F2465" s="475"/>
    </row>
    <row r="2466" spans="1:10" s="60" customFormat="1" ht="18.75" customHeight="1">
      <c r="A2466" s="59" t="str">
        <f>IF(F2476&lt;&gt;"",IF(INDEX(BDHK2,MATCH(F2476,DiemHKII!$B$4:$B$58,0),140)&lt;&gt;""," - "&amp;INDEX(BDHK2,MATCH(F2476,DiemHKII!$B$4:$B$58,0),140),""),"")</f>
        <v/>
      </c>
      <c r="B2466" s="57"/>
      <c r="C2466" s="57"/>
      <c r="D2466" s="57"/>
      <c r="E2466" s="57"/>
      <c r="F2466" s="67"/>
    </row>
    <row r="2467" spans="1:10" ht="6" customHeight="1">
      <c r="A2467" s="68"/>
      <c r="B2467" s="68"/>
      <c r="C2467" s="68"/>
      <c r="D2467" s="68"/>
      <c r="E2467" s="68"/>
      <c r="F2467" s="68"/>
    </row>
    <row r="2468" spans="1:10">
      <c r="A2468" s="68"/>
      <c r="B2468" s="68"/>
      <c r="C2468" s="1060" t="str">
        <f ca="1">'Huong dan'!$E$3&amp;IF($H$11="",", ngày " &amp;IF(DAY(NOW())&lt;10,"0"&amp;DAY(NOW()),DAY(NOW()))&amp;"  tháng "&amp;IF(MONTH(NOW())&lt;3,"0"&amp;MONTH(NOW()),MONTH(NOW()))&amp;" năm "&amp;YEAR(NOW()),", ngày "&amp;IF(DAY($H$11)&lt;10,"0"&amp;DAY($H$11),DAY($H$11))&amp;" tháng "&amp;IF(MONTH($H$11)&lt;3,"0"&amp;MONTH($H$11),MONTH($H$11))&amp;" năm "&amp;YEAR($H$11))</f>
        <v>TP. Hồ Chí Minh, ngày 08  tháng 10 năm 2022</v>
      </c>
      <c r="D2468" s="1060"/>
      <c r="E2468" s="1060"/>
      <c r="F2468" s="1060"/>
    </row>
    <row r="2469" spans="1:10" ht="20.25" customHeight="1">
      <c r="A2469" s="1012" t="str">
        <f>IF($D$39="Hiệu trưởng","Giáo viên Quản nhiệm","")</f>
        <v>Giáo viên Quản nhiệm</v>
      </c>
      <c r="B2469" s="1012"/>
      <c r="C2469" s="61"/>
      <c r="D2469" s="1012" t="str">
        <f>IF($H$7="","",$H$7)</f>
        <v>Hiệu trưởng</v>
      </c>
      <c r="E2469" s="1012"/>
      <c r="F2469" s="61"/>
    </row>
    <row r="2470" spans="1:10">
      <c r="A2470" s="68"/>
      <c r="B2470" s="68"/>
      <c r="C2470" s="68"/>
      <c r="D2470" s="68"/>
      <c r="E2470" s="68"/>
      <c r="F2470" s="68"/>
    </row>
    <row r="2471" spans="1:10">
      <c r="A2471" s="68"/>
      <c r="B2471" s="68"/>
      <c r="C2471" s="68"/>
      <c r="D2471" s="68"/>
      <c r="E2471" s="68"/>
      <c r="F2471" s="68"/>
    </row>
    <row r="2472" spans="1:10" ht="16.8">
      <c r="A2472" s="68"/>
      <c r="B2472" s="68"/>
      <c r="C2472" s="64"/>
      <c r="D2472" s="64"/>
      <c r="E2472" s="64"/>
      <c r="F2472" s="64"/>
      <c r="G2472" s="65"/>
      <c r="H2472" s="65"/>
      <c r="I2472" s="65"/>
      <c r="J2472" s="65"/>
    </row>
    <row r="2474" spans="1:10">
      <c r="A2474" s="1012" t="str">
        <f>IF($A$39="","",PROPER('Huong dan'!$C$4))</f>
        <v/>
      </c>
      <c r="B2474" s="1012"/>
      <c r="D2474" s="1130" t="str">
        <f>IFERROR(IF($D$39="Giáo Viên Quản nhiệm",PROPER('Huong dan'!$C$4),IF($D$39="Hiệu trưởng",PROPER('Huong dan'!$E$5),"")),"")</f>
        <v/>
      </c>
      <c r="E2474" s="1130"/>
    </row>
    <row r="2475" spans="1:10" ht="7.5" customHeight="1"/>
    <row r="2476" spans="1:10" ht="11.25" customHeight="1">
      <c r="A2476" s="75"/>
      <c r="B2476" s="75"/>
      <c r="C2476" s="75"/>
      <c r="D2476" s="75"/>
      <c r="E2476" s="75"/>
      <c r="F2476" s="76" t="str">
        <f>IF(F2431="","",IF(F2431&lt;MAX(DiemHKII!$B$4:$B$58),F2431+1,""))</f>
        <v/>
      </c>
    </row>
    <row r="2478" spans="1:10">
      <c r="C2478" s="90"/>
      <c r="D2478" s="90"/>
    </row>
    <row r="2479" spans="1:10">
      <c r="C2479" s="90"/>
      <c r="D2479" s="90"/>
    </row>
  </sheetData>
  <sheetProtection algorithmName="SHA-512" hashValue="JM9Jxuj87ztaQzA7cxyd5kJClzbNSZi+um3Q4ykluZyG9r1Yg0Pj8VdCgXVlJJFPF8/dzL+icPdbOtaQV8U+Bw==" saltValue="owN22Ua4wnGWgPCoZ0MhhA==" spinCount="100000" sheet="1" objects="1" scenarios="1"/>
  <mergeCells count="990">
    <mergeCell ref="C2461:D2461"/>
    <mergeCell ref="C2468:F2468"/>
    <mergeCell ref="A2469:B2469"/>
    <mergeCell ref="D2469:E2469"/>
    <mergeCell ref="A2474:B2474"/>
    <mergeCell ref="D2474:E2474"/>
    <mergeCell ref="A2438:B2438"/>
    <mergeCell ref="A2439:B2439"/>
    <mergeCell ref="E2439:F2439"/>
    <mergeCell ref="A2441:A2442"/>
    <mergeCell ref="B2441:B2442"/>
    <mergeCell ref="C2441:E2441"/>
    <mergeCell ref="F2441:F2442"/>
    <mergeCell ref="A2432:C2432"/>
    <mergeCell ref="D2432:F2432"/>
    <mergeCell ref="A2433:C2433"/>
    <mergeCell ref="D2433:F2433"/>
    <mergeCell ref="A2436:F2436"/>
    <mergeCell ref="C2416:D2416"/>
    <mergeCell ref="C2423:F2423"/>
    <mergeCell ref="A2424:B2424"/>
    <mergeCell ref="D2424:E2424"/>
    <mergeCell ref="A2429:B2429"/>
    <mergeCell ref="D2429:E2429"/>
    <mergeCell ref="A2393:B2393"/>
    <mergeCell ref="A2394:B2394"/>
    <mergeCell ref="E2394:F2394"/>
    <mergeCell ref="A2396:A2397"/>
    <mergeCell ref="B2396:B2397"/>
    <mergeCell ref="C2396:E2396"/>
    <mergeCell ref="F2396:F2397"/>
    <mergeCell ref="A2387:C2387"/>
    <mergeCell ref="D2387:F2387"/>
    <mergeCell ref="A2388:C2388"/>
    <mergeCell ref="D2388:F2388"/>
    <mergeCell ref="A2391:F2391"/>
    <mergeCell ref="C2371:D2371"/>
    <mergeCell ref="C2378:F2378"/>
    <mergeCell ref="A2379:B2379"/>
    <mergeCell ref="D2379:E2379"/>
    <mergeCell ref="A2384:B2384"/>
    <mergeCell ref="D2384:E2384"/>
    <mergeCell ref="A2348:B2348"/>
    <mergeCell ref="A2349:B2349"/>
    <mergeCell ref="E2349:F2349"/>
    <mergeCell ref="A2351:A2352"/>
    <mergeCell ref="B2351:B2352"/>
    <mergeCell ref="C2351:E2351"/>
    <mergeCell ref="F2351:F2352"/>
    <mergeCell ref="A2342:C2342"/>
    <mergeCell ref="D2342:F2342"/>
    <mergeCell ref="A2343:C2343"/>
    <mergeCell ref="D2343:F2343"/>
    <mergeCell ref="A2346:F2346"/>
    <mergeCell ref="C2326:D2326"/>
    <mergeCell ref="C2333:F2333"/>
    <mergeCell ref="A2334:B2334"/>
    <mergeCell ref="D2334:E2334"/>
    <mergeCell ref="A2339:B2339"/>
    <mergeCell ref="D2339:E2339"/>
    <mergeCell ref="A2303:B2303"/>
    <mergeCell ref="A2304:B2304"/>
    <mergeCell ref="E2304:F2304"/>
    <mergeCell ref="A2306:A2307"/>
    <mergeCell ref="B2306:B2307"/>
    <mergeCell ref="C2306:E2306"/>
    <mergeCell ref="F2306:F2307"/>
    <mergeCell ref="A2297:C2297"/>
    <mergeCell ref="D2297:F2297"/>
    <mergeCell ref="A2298:C2298"/>
    <mergeCell ref="D2298:F2298"/>
    <mergeCell ref="A2301:F2301"/>
    <mergeCell ref="C2281:D2281"/>
    <mergeCell ref="C2288:F2288"/>
    <mergeCell ref="A2289:B2289"/>
    <mergeCell ref="D2289:E2289"/>
    <mergeCell ref="A2294:B2294"/>
    <mergeCell ref="D2294:E2294"/>
    <mergeCell ref="A2258:B2258"/>
    <mergeCell ref="A2259:B2259"/>
    <mergeCell ref="E2259:F2259"/>
    <mergeCell ref="A2261:A2262"/>
    <mergeCell ref="B2261:B2262"/>
    <mergeCell ref="C2261:E2261"/>
    <mergeCell ref="F2261:F2262"/>
    <mergeCell ref="A2252:C2252"/>
    <mergeCell ref="D2252:F2252"/>
    <mergeCell ref="A2253:C2253"/>
    <mergeCell ref="D2253:F2253"/>
    <mergeCell ref="A2256:F2256"/>
    <mergeCell ref="C2236:D2236"/>
    <mergeCell ref="C2243:F2243"/>
    <mergeCell ref="A2244:B2244"/>
    <mergeCell ref="D2244:E2244"/>
    <mergeCell ref="A2249:B2249"/>
    <mergeCell ref="D2249:E2249"/>
    <mergeCell ref="A2213:B2213"/>
    <mergeCell ref="A2214:B2214"/>
    <mergeCell ref="E2214:F2214"/>
    <mergeCell ref="A2216:A2217"/>
    <mergeCell ref="B2216:B2217"/>
    <mergeCell ref="C2216:E2216"/>
    <mergeCell ref="F2216:F2217"/>
    <mergeCell ref="A2207:C2207"/>
    <mergeCell ref="D2207:F2207"/>
    <mergeCell ref="A2208:C2208"/>
    <mergeCell ref="D2208:F2208"/>
    <mergeCell ref="A2211:F2211"/>
    <mergeCell ref="C2191:D2191"/>
    <mergeCell ref="C2198:F2198"/>
    <mergeCell ref="A2199:B2199"/>
    <mergeCell ref="D2199:E2199"/>
    <mergeCell ref="A2204:B2204"/>
    <mergeCell ref="D2204:E2204"/>
    <mergeCell ref="A2168:B2168"/>
    <mergeCell ref="A2169:B2169"/>
    <mergeCell ref="E2169:F2169"/>
    <mergeCell ref="A2171:A2172"/>
    <mergeCell ref="B2171:B2172"/>
    <mergeCell ref="C2171:E2171"/>
    <mergeCell ref="F2171:F2172"/>
    <mergeCell ref="A2162:C2162"/>
    <mergeCell ref="D2162:F2162"/>
    <mergeCell ref="A2163:C2163"/>
    <mergeCell ref="D2163:F2163"/>
    <mergeCell ref="A2166:F2166"/>
    <mergeCell ref="C2146:D2146"/>
    <mergeCell ref="C2153:F2153"/>
    <mergeCell ref="A2154:B2154"/>
    <mergeCell ref="D2154:E2154"/>
    <mergeCell ref="A2159:B2159"/>
    <mergeCell ref="D2159:E2159"/>
    <mergeCell ref="A2123:B2123"/>
    <mergeCell ref="A2124:B2124"/>
    <mergeCell ref="E2124:F2124"/>
    <mergeCell ref="A2126:A2127"/>
    <mergeCell ref="B2126:B2127"/>
    <mergeCell ref="C2126:E2126"/>
    <mergeCell ref="F2126:F2127"/>
    <mergeCell ref="A2117:C2117"/>
    <mergeCell ref="D2117:F2117"/>
    <mergeCell ref="A2118:C2118"/>
    <mergeCell ref="D2118:F2118"/>
    <mergeCell ref="A2121:F2121"/>
    <mergeCell ref="C2101:D2101"/>
    <mergeCell ref="C2108:F2108"/>
    <mergeCell ref="A2109:B2109"/>
    <mergeCell ref="D2109:E2109"/>
    <mergeCell ref="A2114:B2114"/>
    <mergeCell ref="D2114:E2114"/>
    <mergeCell ref="A2078:B2078"/>
    <mergeCell ref="A2079:B2079"/>
    <mergeCell ref="E2079:F2079"/>
    <mergeCell ref="A2081:A2082"/>
    <mergeCell ref="B2081:B2082"/>
    <mergeCell ref="C2081:E2081"/>
    <mergeCell ref="F2081:F2082"/>
    <mergeCell ref="A2072:C2072"/>
    <mergeCell ref="D2072:F2072"/>
    <mergeCell ref="A2073:C2073"/>
    <mergeCell ref="D2073:F2073"/>
    <mergeCell ref="A2076:F2076"/>
    <mergeCell ref="C2056:D2056"/>
    <mergeCell ref="C2063:F2063"/>
    <mergeCell ref="A2064:B2064"/>
    <mergeCell ref="D2064:E2064"/>
    <mergeCell ref="A2069:B2069"/>
    <mergeCell ref="D2069:E2069"/>
    <mergeCell ref="A2033:B2033"/>
    <mergeCell ref="A2034:B2034"/>
    <mergeCell ref="E2034:F2034"/>
    <mergeCell ref="A2036:A2037"/>
    <mergeCell ref="B2036:B2037"/>
    <mergeCell ref="C2036:E2036"/>
    <mergeCell ref="F2036:F2037"/>
    <mergeCell ref="A2027:C2027"/>
    <mergeCell ref="D2027:F2027"/>
    <mergeCell ref="A2028:C2028"/>
    <mergeCell ref="D2028:F2028"/>
    <mergeCell ref="A2031:F2031"/>
    <mergeCell ref="C2011:D2011"/>
    <mergeCell ref="C2018:F2018"/>
    <mergeCell ref="A2019:B2019"/>
    <mergeCell ref="D2019:E2019"/>
    <mergeCell ref="A2024:B2024"/>
    <mergeCell ref="D2024:E2024"/>
    <mergeCell ref="A1988:B1988"/>
    <mergeCell ref="A1989:B1989"/>
    <mergeCell ref="E1989:F1989"/>
    <mergeCell ref="A1991:A1992"/>
    <mergeCell ref="B1991:B1992"/>
    <mergeCell ref="C1991:E1991"/>
    <mergeCell ref="F1991:F1992"/>
    <mergeCell ref="A1982:C1982"/>
    <mergeCell ref="D1982:F1982"/>
    <mergeCell ref="A1983:C1983"/>
    <mergeCell ref="D1983:F1983"/>
    <mergeCell ref="A1986:F1986"/>
    <mergeCell ref="C1966:D1966"/>
    <mergeCell ref="C1973:F1973"/>
    <mergeCell ref="A1974:B1974"/>
    <mergeCell ref="D1974:E1974"/>
    <mergeCell ref="A1979:B1979"/>
    <mergeCell ref="D1979:E1979"/>
    <mergeCell ref="A1943:B1943"/>
    <mergeCell ref="A1944:B1944"/>
    <mergeCell ref="E1944:F1944"/>
    <mergeCell ref="A1946:A1947"/>
    <mergeCell ref="B1946:B1947"/>
    <mergeCell ref="C1946:E1946"/>
    <mergeCell ref="F1946:F1947"/>
    <mergeCell ref="A1937:C1937"/>
    <mergeCell ref="D1937:F1937"/>
    <mergeCell ref="A1938:C1938"/>
    <mergeCell ref="D1938:F1938"/>
    <mergeCell ref="A1941:F1941"/>
    <mergeCell ref="C1921:D1921"/>
    <mergeCell ref="C1928:F1928"/>
    <mergeCell ref="A1929:B1929"/>
    <mergeCell ref="D1929:E1929"/>
    <mergeCell ref="A1934:B1934"/>
    <mergeCell ref="D1934:E1934"/>
    <mergeCell ref="A1898:B1898"/>
    <mergeCell ref="A1899:B1899"/>
    <mergeCell ref="E1899:F1899"/>
    <mergeCell ref="A1901:A1902"/>
    <mergeCell ref="B1901:B1902"/>
    <mergeCell ref="C1901:E1901"/>
    <mergeCell ref="F1901:F1902"/>
    <mergeCell ref="A1892:C1892"/>
    <mergeCell ref="D1892:F1892"/>
    <mergeCell ref="A1893:C1893"/>
    <mergeCell ref="D1893:F1893"/>
    <mergeCell ref="A1896:F1896"/>
    <mergeCell ref="C1876:D1876"/>
    <mergeCell ref="C1883:F1883"/>
    <mergeCell ref="A1884:B1884"/>
    <mergeCell ref="D1884:E1884"/>
    <mergeCell ref="A1889:B1889"/>
    <mergeCell ref="D1889:E1889"/>
    <mergeCell ref="A1853:B1853"/>
    <mergeCell ref="A1854:B1854"/>
    <mergeCell ref="E1854:F1854"/>
    <mergeCell ref="A1856:A1857"/>
    <mergeCell ref="B1856:B1857"/>
    <mergeCell ref="C1856:E1856"/>
    <mergeCell ref="F1856:F1857"/>
    <mergeCell ref="A1847:C1847"/>
    <mergeCell ref="D1847:F1847"/>
    <mergeCell ref="A1848:C1848"/>
    <mergeCell ref="D1848:F1848"/>
    <mergeCell ref="A1851:F1851"/>
    <mergeCell ref="C1831:D1831"/>
    <mergeCell ref="C1838:F1838"/>
    <mergeCell ref="A1839:B1839"/>
    <mergeCell ref="D1839:E1839"/>
    <mergeCell ref="A1844:B1844"/>
    <mergeCell ref="D1844:E1844"/>
    <mergeCell ref="A1808:B1808"/>
    <mergeCell ref="A1809:B1809"/>
    <mergeCell ref="E1809:F1809"/>
    <mergeCell ref="A1811:A1812"/>
    <mergeCell ref="B1811:B1812"/>
    <mergeCell ref="C1811:E1811"/>
    <mergeCell ref="F1811:F1812"/>
    <mergeCell ref="A1802:C1802"/>
    <mergeCell ref="D1802:F1802"/>
    <mergeCell ref="A1803:C1803"/>
    <mergeCell ref="D1803:F1803"/>
    <mergeCell ref="A1806:F1806"/>
    <mergeCell ref="C1786:D1786"/>
    <mergeCell ref="C1793:F1793"/>
    <mergeCell ref="A1794:B1794"/>
    <mergeCell ref="D1794:E1794"/>
    <mergeCell ref="A1799:B1799"/>
    <mergeCell ref="D1799:E1799"/>
    <mergeCell ref="A1763:B1763"/>
    <mergeCell ref="A1764:B1764"/>
    <mergeCell ref="E1764:F1764"/>
    <mergeCell ref="A1766:A1767"/>
    <mergeCell ref="B1766:B1767"/>
    <mergeCell ref="C1766:E1766"/>
    <mergeCell ref="F1766:F1767"/>
    <mergeCell ref="A1757:C1757"/>
    <mergeCell ref="D1757:F1757"/>
    <mergeCell ref="A1758:C1758"/>
    <mergeCell ref="D1758:F1758"/>
    <mergeCell ref="A1761:F1761"/>
    <mergeCell ref="C1741:D1741"/>
    <mergeCell ref="C1748:F1748"/>
    <mergeCell ref="A1749:B1749"/>
    <mergeCell ref="D1749:E1749"/>
    <mergeCell ref="A1754:B1754"/>
    <mergeCell ref="D1754:E1754"/>
    <mergeCell ref="A1718:B1718"/>
    <mergeCell ref="A1719:B1719"/>
    <mergeCell ref="E1719:F1719"/>
    <mergeCell ref="A1721:A1722"/>
    <mergeCell ref="B1721:B1722"/>
    <mergeCell ref="C1721:E1721"/>
    <mergeCell ref="F1721:F1722"/>
    <mergeCell ref="A1712:C1712"/>
    <mergeCell ref="D1712:F1712"/>
    <mergeCell ref="A1713:C1713"/>
    <mergeCell ref="D1713:F1713"/>
    <mergeCell ref="A1716:F1716"/>
    <mergeCell ref="C1696:D1696"/>
    <mergeCell ref="C1703:F1703"/>
    <mergeCell ref="A1704:B1704"/>
    <mergeCell ref="D1704:E1704"/>
    <mergeCell ref="A1709:B1709"/>
    <mergeCell ref="D1709:E1709"/>
    <mergeCell ref="A1673:B1673"/>
    <mergeCell ref="A1674:B1674"/>
    <mergeCell ref="E1674:F1674"/>
    <mergeCell ref="A1676:A1677"/>
    <mergeCell ref="B1676:B1677"/>
    <mergeCell ref="C1676:E1676"/>
    <mergeCell ref="F1676:F1677"/>
    <mergeCell ref="A1667:C1667"/>
    <mergeCell ref="D1667:F1667"/>
    <mergeCell ref="A1668:C1668"/>
    <mergeCell ref="D1668:F1668"/>
    <mergeCell ref="A1671:F1671"/>
    <mergeCell ref="C1651:D1651"/>
    <mergeCell ref="C1658:F1658"/>
    <mergeCell ref="A1659:B1659"/>
    <mergeCell ref="D1659:E1659"/>
    <mergeCell ref="A1664:B1664"/>
    <mergeCell ref="D1664:E1664"/>
    <mergeCell ref="A1628:B1628"/>
    <mergeCell ref="A1629:B1629"/>
    <mergeCell ref="E1629:F1629"/>
    <mergeCell ref="A1631:A1632"/>
    <mergeCell ref="B1631:B1632"/>
    <mergeCell ref="C1631:E1631"/>
    <mergeCell ref="F1631:F1632"/>
    <mergeCell ref="A1622:C1622"/>
    <mergeCell ref="D1622:F1622"/>
    <mergeCell ref="A1623:C1623"/>
    <mergeCell ref="D1623:F1623"/>
    <mergeCell ref="A1626:F1626"/>
    <mergeCell ref="C1606:D1606"/>
    <mergeCell ref="C1613:F1613"/>
    <mergeCell ref="A1614:B1614"/>
    <mergeCell ref="D1614:E1614"/>
    <mergeCell ref="A1619:B1619"/>
    <mergeCell ref="D1619:E1619"/>
    <mergeCell ref="A1583:B1583"/>
    <mergeCell ref="A1584:B1584"/>
    <mergeCell ref="E1584:F1584"/>
    <mergeCell ref="A1586:A1587"/>
    <mergeCell ref="B1586:B1587"/>
    <mergeCell ref="C1586:E1586"/>
    <mergeCell ref="F1586:F1587"/>
    <mergeCell ref="A1577:C1577"/>
    <mergeCell ref="D1577:F1577"/>
    <mergeCell ref="A1578:C1578"/>
    <mergeCell ref="D1578:F1578"/>
    <mergeCell ref="A1581:F1581"/>
    <mergeCell ref="C1561:D1561"/>
    <mergeCell ref="C1568:F1568"/>
    <mergeCell ref="A1569:B1569"/>
    <mergeCell ref="D1569:E1569"/>
    <mergeCell ref="A1574:B1574"/>
    <mergeCell ref="D1574:E1574"/>
    <mergeCell ref="A1538:B1538"/>
    <mergeCell ref="A1539:B1539"/>
    <mergeCell ref="E1539:F1539"/>
    <mergeCell ref="A1541:A1542"/>
    <mergeCell ref="B1541:B1542"/>
    <mergeCell ref="C1541:E1541"/>
    <mergeCell ref="F1541:F1542"/>
    <mergeCell ref="A1532:C1532"/>
    <mergeCell ref="D1532:F1532"/>
    <mergeCell ref="A1533:C1533"/>
    <mergeCell ref="D1533:F1533"/>
    <mergeCell ref="A1536:F1536"/>
    <mergeCell ref="C1516:D1516"/>
    <mergeCell ref="C1523:F1523"/>
    <mergeCell ref="A1524:B1524"/>
    <mergeCell ref="D1524:E1524"/>
    <mergeCell ref="A1529:B1529"/>
    <mergeCell ref="D1529:E1529"/>
    <mergeCell ref="A1493:B1493"/>
    <mergeCell ref="A1494:B1494"/>
    <mergeCell ref="E1494:F1494"/>
    <mergeCell ref="A1496:A1497"/>
    <mergeCell ref="B1496:B1497"/>
    <mergeCell ref="C1496:E1496"/>
    <mergeCell ref="F1496:F1497"/>
    <mergeCell ref="A1487:C1487"/>
    <mergeCell ref="D1487:F1487"/>
    <mergeCell ref="A1488:C1488"/>
    <mergeCell ref="D1488:F1488"/>
    <mergeCell ref="A1491:F1491"/>
    <mergeCell ref="C1471:D1471"/>
    <mergeCell ref="C1478:F1478"/>
    <mergeCell ref="A1479:B1479"/>
    <mergeCell ref="D1479:E1479"/>
    <mergeCell ref="A1484:B1484"/>
    <mergeCell ref="D1484:E1484"/>
    <mergeCell ref="A1448:B1448"/>
    <mergeCell ref="A1449:B1449"/>
    <mergeCell ref="E1449:F1449"/>
    <mergeCell ref="A1451:A1452"/>
    <mergeCell ref="B1451:B1452"/>
    <mergeCell ref="C1451:E1451"/>
    <mergeCell ref="F1451:F1452"/>
    <mergeCell ref="A1442:C1442"/>
    <mergeCell ref="D1442:F1442"/>
    <mergeCell ref="A1443:C1443"/>
    <mergeCell ref="D1443:F1443"/>
    <mergeCell ref="A1446:F1446"/>
    <mergeCell ref="C1426:D1426"/>
    <mergeCell ref="C1433:F1433"/>
    <mergeCell ref="A1434:B1434"/>
    <mergeCell ref="D1434:E1434"/>
    <mergeCell ref="A1439:B1439"/>
    <mergeCell ref="D1439:E1439"/>
    <mergeCell ref="A1403:B1403"/>
    <mergeCell ref="A1404:B1404"/>
    <mergeCell ref="E1404:F1404"/>
    <mergeCell ref="A1406:A1407"/>
    <mergeCell ref="B1406:B1407"/>
    <mergeCell ref="C1406:E1406"/>
    <mergeCell ref="F1406:F1407"/>
    <mergeCell ref="A1397:C1397"/>
    <mergeCell ref="D1397:F1397"/>
    <mergeCell ref="A1398:C1398"/>
    <mergeCell ref="D1398:F1398"/>
    <mergeCell ref="A1401:F1401"/>
    <mergeCell ref="C1381:D1381"/>
    <mergeCell ref="C1388:F1388"/>
    <mergeCell ref="A1389:B1389"/>
    <mergeCell ref="D1389:E1389"/>
    <mergeCell ref="A1394:B1394"/>
    <mergeCell ref="D1394:E1394"/>
    <mergeCell ref="A1358:B1358"/>
    <mergeCell ref="A1359:B1359"/>
    <mergeCell ref="E1359:F1359"/>
    <mergeCell ref="A1361:A1362"/>
    <mergeCell ref="B1361:B1362"/>
    <mergeCell ref="C1361:E1361"/>
    <mergeCell ref="F1361:F1362"/>
    <mergeCell ref="A1352:C1352"/>
    <mergeCell ref="D1352:F1352"/>
    <mergeCell ref="A1353:C1353"/>
    <mergeCell ref="D1353:F1353"/>
    <mergeCell ref="A1356:F1356"/>
    <mergeCell ref="C1336:D1336"/>
    <mergeCell ref="C1343:F1343"/>
    <mergeCell ref="A1344:B1344"/>
    <mergeCell ref="D1344:E1344"/>
    <mergeCell ref="A1349:B1349"/>
    <mergeCell ref="D1349:E1349"/>
    <mergeCell ref="A1313:B1313"/>
    <mergeCell ref="A1314:B1314"/>
    <mergeCell ref="E1314:F1314"/>
    <mergeCell ref="A1316:A1317"/>
    <mergeCell ref="B1316:B1317"/>
    <mergeCell ref="C1316:E1316"/>
    <mergeCell ref="F1316:F1317"/>
    <mergeCell ref="A1307:C1307"/>
    <mergeCell ref="D1307:F1307"/>
    <mergeCell ref="A1308:C1308"/>
    <mergeCell ref="D1308:F1308"/>
    <mergeCell ref="A1311:F1311"/>
    <mergeCell ref="C1291:D1291"/>
    <mergeCell ref="C1298:F1298"/>
    <mergeCell ref="A1299:B1299"/>
    <mergeCell ref="D1299:E1299"/>
    <mergeCell ref="A1304:B1304"/>
    <mergeCell ref="D1304:E1304"/>
    <mergeCell ref="A1268:B1268"/>
    <mergeCell ref="A1269:B1269"/>
    <mergeCell ref="E1269:F1269"/>
    <mergeCell ref="A1271:A1272"/>
    <mergeCell ref="B1271:B1272"/>
    <mergeCell ref="C1271:E1271"/>
    <mergeCell ref="F1271:F1272"/>
    <mergeCell ref="A1262:C1262"/>
    <mergeCell ref="D1262:F1262"/>
    <mergeCell ref="A1263:C1263"/>
    <mergeCell ref="D1263:F1263"/>
    <mergeCell ref="A1266:F1266"/>
    <mergeCell ref="C1246:D1246"/>
    <mergeCell ref="C1253:F1253"/>
    <mergeCell ref="A1254:B1254"/>
    <mergeCell ref="D1254:E1254"/>
    <mergeCell ref="A1259:B1259"/>
    <mergeCell ref="D1259:E1259"/>
    <mergeCell ref="A1223:B1223"/>
    <mergeCell ref="A1224:B1224"/>
    <mergeCell ref="E1224:F1224"/>
    <mergeCell ref="A1226:A1227"/>
    <mergeCell ref="B1226:B1227"/>
    <mergeCell ref="C1226:E1226"/>
    <mergeCell ref="F1226:F1227"/>
    <mergeCell ref="A1217:C1217"/>
    <mergeCell ref="D1217:F1217"/>
    <mergeCell ref="A1218:C1218"/>
    <mergeCell ref="D1218:F1218"/>
    <mergeCell ref="A1221:F1221"/>
    <mergeCell ref="C1201:D1201"/>
    <mergeCell ref="C1208:F1208"/>
    <mergeCell ref="A1209:B1209"/>
    <mergeCell ref="D1209:E1209"/>
    <mergeCell ref="A1214:B1214"/>
    <mergeCell ref="D1214:E1214"/>
    <mergeCell ref="A1178:B1178"/>
    <mergeCell ref="A1179:B1179"/>
    <mergeCell ref="E1179:F1179"/>
    <mergeCell ref="A1181:A1182"/>
    <mergeCell ref="B1181:B1182"/>
    <mergeCell ref="C1181:E1181"/>
    <mergeCell ref="F1181:F1182"/>
    <mergeCell ref="A1172:C1172"/>
    <mergeCell ref="D1172:F1172"/>
    <mergeCell ref="A1173:C1173"/>
    <mergeCell ref="D1173:F1173"/>
    <mergeCell ref="A1176:F1176"/>
    <mergeCell ref="C1156:D1156"/>
    <mergeCell ref="C1163:F1163"/>
    <mergeCell ref="A1164:B1164"/>
    <mergeCell ref="D1164:E1164"/>
    <mergeCell ref="A1169:B1169"/>
    <mergeCell ref="D1169:E1169"/>
    <mergeCell ref="A1133:B1133"/>
    <mergeCell ref="A1134:B1134"/>
    <mergeCell ref="E1134:F1134"/>
    <mergeCell ref="A1136:A1137"/>
    <mergeCell ref="B1136:B1137"/>
    <mergeCell ref="C1136:E1136"/>
    <mergeCell ref="F1136:F1137"/>
    <mergeCell ref="A1127:C1127"/>
    <mergeCell ref="D1127:F1127"/>
    <mergeCell ref="A1128:C1128"/>
    <mergeCell ref="D1128:F1128"/>
    <mergeCell ref="A1131:F1131"/>
    <mergeCell ref="C1111:D1111"/>
    <mergeCell ref="C1118:F1118"/>
    <mergeCell ref="A1119:B1119"/>
    <mergeCell ref="D1119:E1119"/>
    <mergeCell ref="A1124:B1124"/>
    <mergeCell ref="D1124:E1124"/>
    <mergeCell ref="A1088:B1088"/>
    <mergeCell ref="A1089:B1089"/>
    <mergeCell ref="E1089:F1089"/>
    <mergeCell ref="A1091:A1092"/>
    <mergeCell ref="B1091:B1092"/>
    <mergeCell ref="C1091:E1091"/>
    <mergeCell ref="F1091:F1092"/>
    <mergeCell ref="A1082:C1082"/>
    <mergeCell ref="D1082:F1082"/>
    <mergeCell ref="A1083:C1083"/>
    <mergeCell ref="D1083:F1083"/>
    <mergeCell ref="A1086:F1086"/>
    <mergeCell ref="C1066:D1066"/>
    <mergeCell ref="C1073:F1073"/>
    <mergeCell ref="A1074:B1074"/>
    <mergeCell ref="D1074:E1074"/>
    <mergeCell ref="A1079:B1079"/>
    <mergeCell ref="D1079:E1079"/>
    <mergeCell ref="A1043:B1043"/>
    <mergeCell ref="A1044:B1044"/>
    <mergeCell ref="E1044:F1044"/>
    <mergeCell ref="A1046:A1047"/>
    <mergeCell ref="B1046:B1047"/>
    <mergeCell ref="C1046:E1046"/>
    <mergeCell ref="F1046:F1047"/>
    <mergeCell ref="A1037:C1037"/>
    <mergeCell ref="D1037:F1037"/>
    <mergeCell ref="A1038:C1038"/>
    <mergeCell ref="D1038:F1038"/>
    <mergeCell ref="A1041:F1041"/>
    <mergeCell ref="C1021:D1021"/>
    <mergeCell ref="C1028:F1028"/>
    <mergeCell ref="A1029:B1029"/>
    <mergeCell ref="D1029:E1029"/>
    <mergeCell ref="A1034:B1034"/>
    <mergeCell ref="D1034:E1034"/>
    <mergeCell ref="A998:B998"/>
    <mergeCell ref="A999:B999"/>
    <mergeCell ref="E999:F999"/>
    <mergeCell ref="A1001:A1002"/>
    <mergeCell ref="B1001:B1002"/>
    <mergeCell ref="C1001:E1001"/>
    <mergeCell ref="F1001:F1002"/>
    <mergeCell ref="A992:C992"/>
    <mergeCell ref="D992:F992"/>
    <mergeCell ref="A993:C993"/>
    <mergeCell ref="D993:F993"/>
    <mergeCell ref="A996:F996"/>
    <mergeCell ref="C976:D976"/>
    <mergeCell ref="C983:F983"/>
    <mergeCell ref="A984:B984"/>
    <mergeCell ref="D984:E984"/>
    <mergeCell ref="A989:B989"/>
    <mergeCell ref="D989:E989"/>
    <mergeCell ref="A953:B953"/>
    <mergeCell ref="A954:B954"/>
    <mergeCell ref="E954:F954"/>
    <mergeCell ref="A956:A957"/>
    <mergeCell ref="B956:B957"/>
    <mergeCell ref="C956:E956"/>
    <mergeCell ref="F956:F957"/>
    <mergeCell ref="A947:C947"/>
    <mergeCell ref="D947:F947"/>
    <mergeCell ref="A948:C948"/>
    <mergeCell ref="D948:F948"/>
    <mergeCell ref="A951:F951"/>
    <mergeCell ref="C931:D931"/>
    <mergeCell ref="C938:F938"/>
    <mergeCell ref="A939:B939"/>
    <mergeCell ref="D939:E939"/>
    <mergeCell ref="A944:B944"/>
    <mergeCell ref="D944:E944"/>
    <mergeCell ref="A908:B908"/>
    <mergeCell ref="A909:B909"/>
    <mergeCell ref="E909:F909"/>
    <mergeCell ref="A911:A912"/>
    <mergeCell ref="B911:B912"/>
    <mergeCell ref="C911:E911"/>
    <mergeCell ref="F911:F912"/>
    <mergeCell ref="A902:C902"/>
    <mergeCell ref="D902:F902"/>
    <mergeCell ref="A903:C903"/>
    <mergeCell ref="D903:F903"/>
    <mergeCell ref="A906:F906"/>
    <mergeCell ref="C886:D886"/>
    <mergeCell ref="C893:F893"/>
    <mergeCell ref="A894:B894"/>
    <mergeCell ref="D894:E894"/>
    <mergeCell ref="A899:B899"/>
    <mergeCell ref="D899:E899"/>
    <mergeCell ref="A863:B863"/>
    <mergeCell ref="A864:B864"/>
    <mergeCell ref="E864:F864"/>
    <mergeCell ref="A866:A867"/>
    <mergeCell ref="B866:B867"/>
    <mergeCell ref="C866:E866"/>
    <mergeCell ref="F866:F867"/>
    <mergeCell ref="A857:C857"/>
    <mergeCell ref="D857:F857"/>
    <mergeCell ref="A858:C858"/>
    <mergeCell ref="D858:F858"/>
    <mergeCell ref="A861:F861"/>
    <mergeCell ref="C841:D841"/>
    <mergeCell ref="C848:F848"/>
    <mergeCell ref="A849:B849"/>
    <mergeCell ref="D849:E849"/>
    <mergeCell ref="A854:B854"/>
    <mergeCell ref="D854:E854"/>
    <mergeCell ref="A818:B818"/>
    <mergeCell ref="A819:B819"/>
    <mergeCell ref="E819:F819"/>
    <mergeCell ref="A821:A822"/>
    <mergeCell ref="B821:B822"/>
    <mergeCell ref="C821:E821"/>
    <mergeCell ref="F821:F822"/>
    <mergeCell ref="A812:C812"/>
    <mergeCell ref="D812:F812"/>
    <mergeCell ref="A813:C813"/>
    <mergeCell ref="D813:F813"/>
    <mergeCell ref="A816:F816"/>
    <mergeCell ref="C796:D796"/>
    <mergeCell ref="C803:F803"/>
    <mergeCell ref="A804:B804"/>
    <mergeCell ref="D804:E804"/>
    <mergeCell ref="A809:B809"/>
    <mergeCell ref="D809:E809"/>
    <mergeCell ref="A773:B773"/>
    <mergeCell ref="A774:B774"/>
    <mergeCell ref="E774:F774"/>
    <mergeCell ref="A776:A777"/>
    <mergeCell ref="B776:B777"/>
    <mergeCell ref="C776:E776"/>
    <mergeCell ref="F776:F777"/>
    <mergeCell ref="A767:C767"/>
    <mergeCell ref="D767:F767"/>
    <mergeCell ref="A768:C768"/>
    <mergeCell ref="D768:F768"/>
    <mergeCell ref="A771:F771"/>
    <mergeCell ref="C751:D751"/>
    <mergeCell ref="C758:F758"/>
    <mergeCell ref="A759:B759"/>
    <mergeCell ref="D759:E759"/>
    <mergeCell ref="A764:B764"/>
    <mergeCell ref="D764:E764"/>
    <mergeCell ref="A728:B728"/>
    <mergeCell ref="A729:B729"/>
    <mergeCell ref="E729:F729"/>
    <mergeCell ref="A731:A732"/>
    <mergeCell ref="B731:B732"/>
    <mergeCell ref="C731:E731"/>
    <mergeCell ref="F731:F732"/>
    <mergeCell ref="A722:C722"/>
    <mergeCell ref="D722:F722"/>
    <mergeCell ref="A723:C723"/>
    <mergeCell ref="D723:F723"/>
    <mergeCell ref="A726:F726"/>
    <mergeCell ref="C706:D706"/>
    <mergeCell ref="C713:F713"/>
    <mergeCell ref="A714:B714"/>
    <mergeCell ref="D714:E714"/>
    <mergeCell ref="A719:B719"/>
    <mergeCell ref="D719:E719"/>
    <mergeCell ref="A683:B683"/>
    <mergeCell ref="A684:B684"/>
    <mergeCell ref="E684:F684"/>
    <mergeCell ref="A686:A687"/>
    <mergeCell ref="B686:B687"/>
    <mergeCell ref="C686:E686"/>
    <mergeCell ref="F686:F687"/>
    <mergeCell ref="A677:C677"/>
    <mergeCell ref="D677:F677"/>
    <mergeCell ref="A678:C678"/>
    <mergeCell ref="D678:F678"/>
    <mergeCell ref="A681:F681"/>
    <mergeCell ref="C661:D661"/>
    <mergeCell ref="C668:F668"/>
    <mergeCell ref="A669:B669"/>
    <mergeCell ref="D669:E669"/>
    <mergeCell ref="A674:B674"/>
    <mergeCell ref="D674:E674"/>
    <mergeCell ref="A638:B638"/>
    <mergeCell ref="A639:B639"/>
    <mergeCell ref="E639:F639"/>
    <mergeCell ref="A641:A642"/>
    <mergeCell ref="B641:B642"/>
    <mergeCell ref="C641:E641"/>
    <mergeCell ref="F641:F642"/>
    <mergeCell ref="A632:C632"/>
    <mergeCell ref="D632:F632"/>
    <mergeCell ref="A633:C633"/>
    <mergeCell ref="D633:F633"/>
    <mergeCell ref="A636:F636"/>
    <mergeCell ref="C616:D616"/>
    <mergeCell ref="C623:F623"/>
    <mergeCell ref="A624:B624"/>
    <mergeCell ref="D624:E624"/>
    <mergeCell ref="A629:B629"/>
    <mergeCell ref="D629:E629"/>
    <mergeCell ref="A593:B593"/>
    <mergeCell ref="A594:B594"/>
    <mergeCell ref="E594:F594"/>
    <mergeCell ref="A596:A597"/>
    <mergeCell ref="B596:B597"/>
    <mergeCell ref="C596:E596"/>
    <mergeCell ref="F596:F597"/>
    <mergeCell ref="A587:C587"/>
    <mergeCell ref="D587:F587"/>
    <mergeCell ref="A588:C588"/>
    <mergeCell ref="D588:F588"/>
    <mergeCell ref="A591:F591"/>
    <mergeCell ref="C571:D571"/>
    <mergeCell ref="C578:F578"/>
    <mergeCell ref="A579:B579"/>
    <mergeCell ref="D579:E579"/>
    <mergeCell ref="A584:B584"/>
    <mergeCell ref="D584:E584"/>
    <mergeCell ref="A548:B548"/>
    <mergeCell ref="A549:B549"/>
    <mergeCell ref="E549:F549"/>
    <mergeCell ref="A551:A552"/>
    <mergeCell ref="B551:B552"/>
    <mergeCell ref="C551:E551"/>
    <mergeCell ref="F551:F552"/>
    <mergeCell ref="A542:C542"/>
    <mergeCell ref="D542:F542"/>
    <mergeCell ref="A543:C543"/>
    <mergeCell ref="D543:F543"/>
    <mergeCell ref="A546:F546"/>
    <mergeCell ref="C526:D526"/>
    <mergeCell ref="C533:F533"/>
    <mergeCell ref="A534:B534"/>
    <mergeCell ref="D534:E534"/>
    <mergeCell ref="A539:B539"/>
    <mergeCell ref="D539:E539"/>
    <mergeCell ref="A503:B503"/>
    <mergeCell ref="A504:B504"/>
    <mergeCell ref="E504:F504"/>
    <mergeCell ref="A506:A507"/>
    <mergeCell ref="B506:B507"/>
    <mergeCell ref="C506:E506"/>
    <mergeCell ref="F506:F507"/>
    <mergeCell ref="A497:C497"/>
    <mergeCell ref="D497:F497"/>
    <mergeCell ref="A498:C498"/>
    <mergeCell ref="D498:F498"/>
    <mergeCell ref="A501:F501"/>
    <mergeCell ref="C481:D481"/>
    <mergeCell ref="C488:F488"/>
    <mergeCell ref="A489:B489"/>
    <mergeCell ref="D489:E489"/>
    <mergeCell ref="A494:B494"/>
    <mergeCell ref="D494:E494"/>
    <mergeCell ref="A458:B458"/>
    <mergeCell ref="A459:B459"/>
    <mergeCell ref="E459:F459"/>
    <mergeCell ref="A461:A462"/>
    <mergeCell ref="B461:B462"/>
    <mergeCell ref="C461:E461"/>
    <mergeCell ref="F461:F462"/>
    <mergeCell ref="A452:C452"/>
    <mergeCell ref="D452:F452"/>
    <mergeCell ref="A453:C453"/>
    <mergeCell ref="D453:F453"/>
    <mergeCell ref="A456:F456"/>
    <mergeCell ref="C436:D436"/>
    <mergeCell ref="C443:F443"/>
    <mergeCell ref="A444:B444"/>
    <mergeCell ref="D444:E444"/>
    <mergeCell ref="A449:B449"/>
    <mergeCell ref="D449:E449"/>
    <mergeCell ref="A413:B413"/>
    <mergeCell ref="A414:B414"/>
    <mergeCell ref="E414:F414"/>
    <mergeCell ref="A416:A417"/>
    <mergeCell ref="B416:B417"/>
    <mergeCell ref="C416:E416"/>
    <mergeCell ref="F416:F417"/>
    <mergeCell ref="A407:C407"/>
    <mergeCell ref="D407:F407"/>
    <mergeCell ref="A408:C408"/>
    <mergeCell ref="D408:F408"/>
    <mergeCell ref="A411:F411"/>
    <mergeCell ref="C391:D391"/>
    <mergeCell ref="C398:F398"/>
    <mergeCell ref="A399:B399"/>
    <mergeCell ref="D399:E399"/>
    <mergeCell ref="A404:B404"/>
    <mergeCell ref="D404:E404"/>
    <mergeCell ref="A368:B368"/>
    <mergeCell ref="A369:B369"/>
    <mergeCell ref="E369:F369"/>
    <mergeCell ref="A371:A372"/>
    <mergeCell ref="B371:B372"/>
    <mergeCell ref="C371:E371"/>
    <mergeCell ref="F371:F372"/>
    <mergeCell ref="A362:C362"/>
    <mergeCell ref="D362:F362"/>
    <mergeCell ref="A363:C363"/>
    <mergeCell ref="D363:F363"/>
    <mergeCell ref="A366:F366"/>
    <mergeCell ref="C346:D346"/>
    <mergeCell ref="C353:F353"/>
    <mergeCell ref="A354:B354"/>
    <mergeCell ref="D354:E354"/>
    <mergeCell ref="A359:B359"/>
    <mergeCell ref="D359:E359"/>
    <mergeCell ref="A323:B323"/>
    <mergeCell ref="A324:B324"/>
    <mergeCell ref="E324:F324"/>
    <mergeCell ref="A326:A327"/>
    <mergeCell ref="B326:B327"/>
    <mergeCell ref="C326:E326"/>
    <mergeCell ref="F326:F327"/>
    <mergeCell ref="A317:C317"/>
    <mergeCell ref="D317:F317"/>
    <mergeCell ref="A318:C318"/>
    <mergeCell ref="D318:F318"/>
    <mergeCell ref="A321:F321"/>
    <mergeCell ref="C301:D301"/>
    <mergeCell ref="C308:F308"/>
    <mergeCell ref="A309:B309"/>
    <mergeCell ref="D309:E309"/>
    <mergeCell ref="A314:B314"/>
    <mergeCell ref="D314:E314"/>
    <mergeCell ref="A278:B278"/>
    <mergeCell ref="A279:B279"/>
    <mergeCell ref="E279:F279"/>
    <mergeCell ref="A281:A282"/>
    <mergeCell ref="B281:B282"/>
    <mergeCell ref="C281:E281"/>
    <mergeCell ref="F281:F282"/>
    <mergeCell ref="A272:C272"/>
    <mergeCell ref="D272:F272"/>
    <mergeCell ref="A273:C273"/>
    <mergeCell ref="D273:F273"/>
    <mergeCell ref="A276:F276"/>
    <mergeCell ref="C256:D256"/>
    <mergeCell ref="C263:F263"/>
    <mergeCell ref="A264:B264"/>
    <mergeCell ref="D264:E264"/>
    <mergeCell ref="A269:B269"/>
    <mergeCell ref="D269:E269"/>
    <mergeCell ref="A233:B233"/>
    <mergeCell ref="A234:B234"/>
    <mergeCell ref="E234:F234"/>
    <mergeCell ref="A236:A237"/>
    <mergeCell ref="B236:B237"/>
    <mergeCell ref="C236:E236"/>
    <mergeCell ref="F236:F237"/>
    <mergeCell ref="A227:C227"/>
    <mergeCell ref="D227:F227"/>
    <mergeCell ref="A228:C228"/>
    <mergeCell ref="D228:F228"/>
    <mergeCell ref="A231:F231"/>
    <mergeCell ref="C211:D211"/>
    <mergeCell ref="C218:F218"/>
    <mergeCell ref="A219:B219"/>
    <mergeCell ref="D219:E219"/>
    <mergeCell ref="A224:B224"/>
    <mergeCell ref="D224:E224"/>
    <mergeCell ref="A188:B188"/>
    <mergeCell ref="A189:B189"/>
    <mergeCell ref="E189:F189"/>
    <mergeCell ref="A191:A192"/>
    <mergeCell ref="B191:B192"/>
    <mergeCell ref="C191:E191"/>
    <mergeCell ref="F191:F192"/>
    <mergeCell ref="A182:C182"/>
    <mergeCell ref="D182:F182"/>
    <mergeCell ref="A183:C183"/>
    <mergeCell ref="D183:F183"/>
    <mergeCell ref="A186:F186"/>
    <mergeCell ref="C166:D166"/>
    <mergeCell ref="C173:F173"/>
    <mergeCell ref="A174:B174"/>
    <mergeCell ref="D174:E174"/>
    <mergeCell ref="A179:B179"/>
    <mergeCell ref="D179:E179"/>
    <mergeCell ref="A143:B143"/>
    <mergeCell ref="A144:B144"/>
    <mergeCell ref="E144:F144"/>
    <mergeCell ref="A146:A147"/>
    <mergeCell ref="B146:B147"/>
    <mergeCell ref="C146:E146"/>
    <mergeCell ref="F146:F147"/>
    <mergeCell ref="A137:C137"/>
    <mergeCell ref="D137:F137"/>
    <mergeCell ref="A138:C138"/>
    <mergeCell ref="D138:F138"/>
    <mergeCell ref="A141:F141"/>
    <mergeCell ref="C121:D121"/>
    <mergeCell ref="C128:F128"/>
    <mergeCell ref="A129:B129"/>
    <mergeCell ref="D129:E129"/>
    <mergeCell ref="A134:B134"/>
    <mergeCell ref="D134:E134"/>
    <mergeCell ref="A98:B98"/>
    <mergeCell ref="A99:B99"/>
    <mergeCell ref="E99:F99"/>
    <mergeCell ref="A101:A102"/>
    <mergeCell ref="B101:B102"/>
    <mergeCell ref="C101:E101"/>
    <mergeCell ref="F101:F102"/>
    <mergeCell ref="A92:C92"/>
    <mergeCell ref="D92:F92"/>
    <mergeCell ref="A93:C93"/>
    <mergeCell ref="D93:F93"/>
    <mergeCell ref="A96:F96"/>
    <mergeCell ref="C76:D76"/>
    <mergeCell ref="C83:F83"/>
    <mergeCell ref="A84:B84"/>
    <mergeCell ref="D84:E84"/>
    <mergeCell ref="A89:B89"/>
    <mergeCell ref="D89:E89"/>
    <mergeCell ref="A53:B53"/>
    <mergeCell ref="A54:B54"/>
    <mergeCell ref="E54:F54"/>
    <mergeCell ref="A56:A57"/>
    <mergeCell ref="B56:B57"/>
    <mergeCell ref="C56:E56"/>
    <mergeCell ref="F56:F57"/>
    <mergeCell ref="A47:C47"/>
    <mergeCell ref="D47:F47"/>
    <mergeCell ref="A48:C48"/>
    <mergeCell ref="D48:F48"/>
    <mergeCell ref="A51:F51"/>
    <mergeCell ref="A2:C2"/>
    <mergeCell ref="D2:F2"/>
    <mergeCell ref="A3:C3"/>
    <mergeCell ref="D3:F3"/>
    <mergeCell ref="A6:F6"/>
    <mergeCell ref="A8:B8"/>
    <mergeCell ref="A9:B9"/>
    <mergeCell ref="A44:B44"/>
    <mergeCell ref="A39:B39"/>
    <mergeCell ref="D44:E44"/>
    <mergeCell ref="C38:F38"/>
    <mergeCell ref="D39:E39"/>
    <mergeCell ref="C31:D31"/>
    <mergeCell ref="E9:F9"/>
    <mergeCell ref="A11:A12"/>
    <mergeCell ref="B11:B12"/>
    <mergeCell ref="C11:E11"/>
    <mergeCell ref="F11:F12"/>
  </mergeCells>
  <dataValidations count="1">
    <dataValidation type="list" allowBlank="1" showInputMessage="1" showErrorMessage="1" sqref="H7">
      <formula1>"Giáo viên Quản nhiệm, Hiệu trưởng"</formula1>
    </dataValidation>
  </dataValidations>
  <pageMargins left="0.42" right="0.17" top="0.43" bottom="0.17" header="0.17" footer="0.17"/>
  <pageSetup paperSize="9" scale="95" fitToHeight="55" orientation="portrait" blackAndWhite="1" r:id="rId1"/>
  <rowBreaks count="55" manualBreakCount="55">
    <brk id="46" max="16383" man="1"/>
    <brk id="91" max="16383" man="1"/>
    <brk id="136" max="16383" man="1"/>
    <brk id="181" max="16383" man="1"/>
    <brk id="226" max="16383" man="1"/>
    <brk id="271" max="16383" man="1"/>
    <brk id="316" max="16383" man="1"/>
    <brk id="361" max="16383" man="1"/>
    <brk id="406" max="16383" man="1"/>
    <brk id="451" max="16383" man="1"/>
    <brk id="496" max="16383" man="1"/>
    <brk id="541" max="16383" man="1"/>
    <brk id="586" max="16383" man="1"/>
    <brk id="631" max="16383" man="1"/>
    <brk id="676" max="16383" man="1"/>
    <brk id="721" max="16383" man="1"/>
    <brk id="766" max="16383" man="1"/>
    <brk id="811" max="16383" man="1"/>
    <brk id="856" max="16383" man="1"/>
    <brk id="901" max="16383" man="1"/>
    <brk id="946" max="16383" man="1"/>
    <brk id="991" max="16383" man="1"/>
    <brk id="1036" max="16383" man="1"/>
    <brk id="1081" max="16383" man="1"/>
    <brk id="1126" max="16383" man="1"/>
    <brk id="1171" max="16383" man="1"/>
    <brk id="1216" max="16383" man="1"/>
    <brk id="1261" max="16383" man="1"/>
    <brk id="1306" max="16383" man="1"/>
    <brk id="1351" max="16383" man="1"/>
    <brk id="1396" max="16383" man="1"/>
    <brk id="1441" max="16383" man="1"/>
    <brk id="1486" max="16383" man="1"/>
    <brk id="1531" max="16383" man="1"/>
    <brk id="1576" max="16383" man="1"/>
    <brk id="1621" max="16383" man="1"/>
    <brk id="1666" max="16383" man="1"/>
    <brk id="1711" max="16383" man="1"/>
    <brk id="1756" max="16383" man="1"/>
    <brk id="1801" max="16383" man="1"/>
    <brk id="1846" max="16383" man="1"/>
    <brk id="1891" max="16383" man="1"/>
    <brk id="1936" max="16383" man="1"/>
    <brk id="1981" max="16383" man="1"/>
    <brk id="2026" max="16383" man="1"/>
    <brk id="2071" max="16383" man="1"/>
    <brk id="2116" max="16383" man="1"/>
    <brk id="2161" max="16383" man="1"/>
    <brk id="2206" max="16383" man="1"/>
    <brk id="2251" max="16383" man="1"/>
    <brk id="2296" max="16383" man="1"/>
    <brk id="2341" max="16383" man="1"/>
    <brk id="2386" max="16383" man="1"/>
    <brk id="2431" max="16383" man="1"/>
    <brk id="247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vedautrangPDnam">
                <anchor moveWithCells="1" sizeWithCells="1">
                  <from>
                    <xdr:col>2</xdr:col>
                    <xdr:colOff>441960</xdr:colOff>
                    <xdr:row>2477</xdr:row>
                    <xdr:rowOff>99060</xdr:rowOff>
                  </from>
                  <to>
                    <xdr:col>3</xdr:col>
                    <xdr:colOff>541020</xdr:colOff>
                    <xdr:row>2478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Nhapdiemhk2">
                <anchor moveWithCells="1" sizeWithCells="1">
                  <from>
                    <xdr:col>7</xdr:col>
                    <xdr:colOff>121920</xdr:colOff>
                    <xdr:row>12</xdr:row>
                    <xdr:rowOff>99060</xdr:rowOff>
                  </from>
                  <to>
                    <xdr:col>7</xdr:col>
                    <xdr:colOff>1531620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bamlen">
                <anchor moveWithCells="1" sizeWithCells="1">
                  <from>
                    <xdr:col>1</xdr:col>
                    <xdr:colOff>1226820</xdr:colOff>
                    <xdr:row>0</xdr:row>
                    <xdr:rowOff>60960</xdr:rowOff>
                  </from>
                  <to>
                    <xdr:col>2</xdr:col>
                    <xdr:colOff>1089660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vedautrangPDnam">
                <anchor moveWithCells="1" sizeWithCells="1">
                  <from>
                    <xdr:col>2</xdr:col>
                    <xdr:colOff>1104900</xdr:colOff>
                    <xdr:row>0</xdr:row>
                    <xdr:rowOff>60960</xdr:rowOff>
                  </from>
                  <to>
                    <xdr:col>4</xdr:col>
                    <xdr:colOff>68580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Bamxuong">
                <anchor moveWithCells="1" sizeWithCells="1">
                  <from>
                    <xdr:col>4</xdr:col>
                    <xdr:colOff>83820</xdr:colOff>
                    <xdr:row>0</xdr:row>
                    <xdr:rowOff>60960</xdr:rowOff>
                  </from>
                  <to>
                    <xdr:col>5</xdr:col>
                    <xdr:colOff>160020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92D050"/>
  </sheetPr>
  <dimension ref="A1:AB516"/>
  <sheetViews>
    <sheetView topLeftCell="A139" workbookViewId="0">
      <selection activeCell="P149" sqref="P149"/>
    </sheetView>
  </sheetViews>
  <sheetFormatPr defaultColWidth="9.109375" defaultRowHeight="13.8"/>
  <cols>
    <col min="1" max="1" width="1.33203125" style="1" customWidth="1"/>
    <col min="2" max="2" width="4.5546875" style="1" customWidth="1"/>
    <col min="3" max="3" width="8.5546875" style="1" customWidth="1"/>
    <col min="4" max="6" width="6.33203125" style="1" customWidth="1"/>
    <col min="7" max="7" width="1.33203125" style="1" customWidth="1"/>
    <col min="8" max="8" width="4.5546875" style="1" customWidth="1"/>
    <col min="9" max="9" width="8.5546875" style="1" customWidth="1"/>
    <col min="10" max="12" width="6.33203125" style="1" customWidth="1"/>
    <col min="13" max="13" width="1.33203125" style="1" customWidth="1"/>
    <col min="14" max="14" width="4.5546875" style="1" customWidth="1"/>
    <col min="15" max="15" width="8.5546875" style="1" customWidth="1"/>
    <col min="16" max="18" width="6.33203125" style="1" customWidth="1"/>
    <col min="19" max="19" width="1.33203125" style="1" customWidth="1"/>
    <col min="20" max="24" width="9.109375" style="1"/>
    <col min="25" max="28" width="0" style="1" hidden="1" customWidth="1"/>
    <col min="29" max="16384" width="9.109375" style="1"/>
  </cols>
  <sheetData>
    <row r="1" spans="1:28" ht="6.75" customHeight="1">
      <c r="A1" s="88"/>
      <c r="B1" s="87"/>
      <c r="C1" s="87"/>
      <c r="D1" s="1135"/>
      <c r="E1" s="1135"/>
      <c r="F1" s="1135"/>
      <c r="G1" s="88"/>
      <c r="H1" s="87"/>
      <c r="I1" s="87"/>
      <c r="J1" s="1135"/>
      <c r="K1" s="1135"/>
      <c r="L1" s="1135"/>
      <c r="M1" s="88"/>
      <c r="N1" s="87"/>
      <c r="O1" s="87"/>
      <c r="P1" s="1135"/>
      <c r="Q1" s="1135"/>
      <c r="R1" s="1135"/>
      <c r="S1" s="88"/>
    </row>
    <row r="2" spans="1:28" ht="18" customHeight="1">
      <c r="A2" s="88"/>
      <c r="B2" s="477">
        <f>IF(MIN(DiemHKII!$B$4:$B$58)&lt;=0,"",MIN(DiemHKII!$B$4:$B$58))</f>
        <v>1</v>
      </c>
      <c r="C2" s="1140" t="str">
        <f>IFERROR(IF(B2="","",INDEX(DiemHKII!$E$4:$E$58,MATCH(B2,DiemHKII!$B$4:$B$58,0),1)&amp;" "&amp;INDEX(DiemHKII!$F$4:$F$58,MATCH(B2,DiemHKII!$B$4:$B$58,0),1)),"")</f>
        <v>Phạm Huỳnh Hiệp An</v>
      </c>
      <c r="D2" s="1141"/>
      <c r="E2" s="1142"/>
      <c r="F2" s="86" t="str">
        <f>IFERROR(IF('Huong dan'!$C$3="","",'Huong dan'!$C$3),"")</f>
        <v>12A1</v>
      </c>
      <c r="G2" s="88"/>
      <c r="H2" s="477">
        <f>IF(B2="","",IF(B2&lt;MAX(DiemHKII!$B$4:$B$58),B2+1,""))</f>
        <v>2</v>
      </c>
      <c r="I2" s="1140" t="str">
        <f>IF(H2="","",INDEX(DiemHKII!$E$4:$E$58,MATCH(H2,DiemHKII!$B$4:$B$58,0),1)&amp;" "&amp;INDEX(DiemHKII!$F$4:$F$58,MATCH(H2,DiemHKII!$B$4:$B$58,0),1))</f>
        <v>Chử Ngọc Anh</v>
      </c>
      <c r="J2" s="1141"/>
      <c r="K2" s="1142"/>
      <c r="L2" s="86" t="str">
        <f>IF('Huong dan'!$C$3="","",'Huong dan'!$C$3)</f>
        <v>12A1</v>
      </c>
      <c r="M2" s="88"/>
      <c r="N2" s="477">
        <f>IF(H2="","",IF(H2&lt;MAX(DiemHKII!$B$4:$B$58),H2+1,""))</f>
        <v>3</v>
      </c>
      <c r="O2" s="1140" t="str">
        <f>IF(N2="","",INDEX(DiemHKII!$E$4:$E$58,MATCH(N2,DiemHKII!$B$4:$B$58,0),1)&amp;" "&amp;INDEX(DiemHKII!$F$4:$F$58,MATCH(N2,DiemHKII!$B$4:$B$58,0),1))</f>
        <v>Lê Tuấn Anh</v>
      </c>
      <c r="P2" s="1141"/>
      <c r="Q2" s="1142"/>
      <c r="R2" s="86" t="str">
        <f>IF('Huong dan'!$C$3="","",'Huong dan'!$C$3)</f>
        <v>12A1</v>
      </c>
      <c r="S2" s="88"/>
    </row>
    <row r="3" spans="1:28" ht="18.75" customHeight="1">
      <c r="A3" s="88"/>
      <c r="B3" s="1136" t="str">
        <f>IFERROR(" Sinh ngày: "&amp;IF(B2="","",INDEX(DiemHKII!$G$4:$G$58,MATCH(B2,DiemHKII!$B$4:$B$58,0),1)),"")</f>
        <v xml:space="preserve"> Sinh ngày: 16/10/2004</v>
      </c>
      <c r="C3" s="1137"/>
      <c r="D3" s="1137"/>
      <c r="E3" s="1138" t="str">
        <f>IFERROR(IF(B2="","","NS: "&amp;INDEX(DiemHKII!$H$4:$H$58,MATCH(B2,DiemHKII!$B$4:$B$58,0),1)),"")</f>
        <v xml:space="preserve">NS: </v>
      </c>
      <c r="F3" s="1139"/>
      <c r="G3" s="88"/>
      <c r="H3" s="1136" t="str">
        <f>" Sinh ngày: "&amp;IF(H2="","",INDEX(DiemHKII!$G$4:$G$58,MATCH(H2,DiemHKII!$B$4:$B$58,0),1))</f>
        <v xml:space="preserve"> Sinh ngày: 14/04/2004</v>
      </c>
      <c r="I3" s="1137"/>
      <c r="J3" s="1137"/>
      <c r="K3" s="1138" t="str">
        <f>IF(H2="","","NS: "&amp;INDEX(DiemHKII!$H$4:$H$58,MATCH(H2,DiemHKII!$B$4:$B$58,0),1))</f>
        <v xml:space="preserve">NS: </v>
      </c>
      <c r="L3" s="1139"/>
      <c r="M3" s="88"/>
      <c r="N3" s="1136" t="str">
        <f>" Sinh ngày: "&amp;IF(N2="","",INDEX(DiemHKII!$G$4:$G$58,MATCH(N2,DiemHKII!$B$4:$B$58,0),1))</f>
        <v xml:space="preserve"> Sinh ngày: 20/10/2004</v>
      </c>
      <c r="O3" s="1137"/>
      <c r="P3" s="1137"/>
      <c r="Q3" s="1138" t="str">
        <f>IF(N2="","","NS: "&amp;INDEX(DiemHKII!$H$4:$H$58,MATCH(N2,DiemHKII!$B$4:$B$58,0),1))</f>
        <v xml:space="preserve">NS: </v>
      </c>
      <c r="R3" s="1139"/>
      <c r="S3" s="88"/>
    </row>
    <row r="4" spans="1:28" ht="15.75" customHeight="1">
      <c r="A4" s="88"/>
      <c r="B4" s="381" t="s">
        <v>0</v>
      </c>
      <c r="C4" s="381" t="s">
        <v>59</v>
      </c>
      <c r="D4" s="381" t="s">
        <v>73</v>
      </c>
      <c r="E4" s="381" t="s">
        <v>176</v>
      </c>
      <c r="F4" s="381" t="s">
        <v>98</v>
      </c>
      <c r="G4" s="88"/>
      <c r="H4" s="381" t="s">
        <v>0</v>
      </c>
      <c r="I4" s="381" t="s">
        <v>59</v>
      </c>
      <c r="J4" s="381" t="s">
        <v>73</v>
      </c>
      <c r="K4" s="381" t="s">
        <v>176</v>
      </c>
      <c r="L4" s="381" t="s">
        <v>98</v>
      </c>
      <c r="M4" s="88"/>
      <c r="N4" s="381" t="s">
        <v>0</v>
      </c>
      <c r="O4" s="381" t="s">
        <v>59</v>
      </c>
      <c r="P4" s="381" t="s">
        <v>73</v>
      </c>
      <c r="Q4" s="381" t="s">
        <v>176</v>
      </c>
      <c r="R4" s="381" t="s">
        <v>98</v>
      </c>
      <c r="S4" s="88"/>
      <c r="U4" s="88"/>
      <c r="V4" s="88"/>
      <c r="W4" s="88"/>
      <c r="Y4" s="349"/>
      <c r="Z4" s="470" t="s">
        <v>8</v>
      </c>
      <c r="AA4" s="470" t="s">
        <v>8</v>
      </c>
      <c r="AB4" s="91" t="s">
        <v>8</v>
      </c>
    </row>
    <row r="5" spans="1:28" ht="15.6" customHeight="1">
      <c r="A5" s="88"/>
      <c r="B5" s="79" t="s">
        <v>191</v>
      </c>
      <c r="C5" s="81" t="s">
        <v>26</v>
      </c>
      <c r="D5" s="35">
        <f>IF(B2&lt;&gt;"",IF(INDEX(BDHK2,MATCH(B2,DiemHKII!$B$4:$B$58,0),INDEX($Y$7:$AB$20,MATCH(C5,$Y$7:$Y$20,0),$Z$6))&lt;&gt;"",INDEX(BDHK2,MATCH(B2,DiemHKII!$B$4:$B$58,0),INDEX($Y$7:$AB$20,MATCH(C5,$Y$7:$Y$20,0),$Z$6)),"/"),"")</f>
        <v>9.4</v>
      </c>
      <c r="E5" s="35" t="str">
        <f>IF(B2&lt;&gt;"",IF(INDEX(BDHK2,MATCH(B2,DiemHKII!$B$4:$B$58,0),INDEX($Y$7:$AB$20,MATCH(C5,$Y$7:$Y$20,0),$AA$6))&lt;&gt;"",INDEX(BDHK2,MATCH(B2,DiemHKII!$B$4:$B$58,0),INDEX($Y$7:$AB$20,MATCH(C5,$Y$7:$Y$20,0),$AA$6)),"/"),"")</f>
        <v>/</v>
      </c>
      <c r="F5" s="35" t="str">
        <f>IF(B2&lt;&gt;"",IF(INDEX(BDHK2,MATCH(B2,DiemHKII!$B$4:$B$58,0),INDEX($Y$7:$AB$20,MATCH(C5,$Y$7:$Y$20,0),$AB$6))&lt;&gt;"",INDEX(BDHK2,MATCH(B2,DiemHKII!$B$4:$B$58,0),INDEX($Y$7:$AB$20,MATCH(C5,$Y$7:$Y$20,0),$AB$6)),"/"),"")</f>
        <v>/</v>
      </c>
      <c r="G5" s="88"/>
      <c r="H5" s="79" t="s">
        <v>191</v>
      </c>
      <c r="I5" s="81" t="s">
        <v>26</v>
      </c>
      <c r="J5" s="35">
        <f>IF(H2&lt;&gt;"",IF(INDEX(BDHK2,MATCH(H2,DiemHKII!$B$4:$B$58,0),INDEX($Y$7:$AB$20,MATCH(I5,$Y$7:$Y$20,0),$Z$6))&lt;&gt;"",INDEX(BDHK2,MATCH(H2,DiemHKII!$B$4:$B$58,0),INDEX($Y$7:$AB$20,MATCH(I5,$Y$7:$Y$20,0),$Z$6)),"/"),"")</f>
        <v>9.5</v>
      </c>
      <c r="K5" s="35" t="str">
        <f>IF(H2&lt;&gt;"",IF(INDEX(BDHK2,MATCH(H2,DiemHKII!$B$4:$B$58,0),INDEX($Y$7:$AB$20,MATCH(I5,$Y$7:$Y$20,0),$AA$6))&lt;&gt;"",INDEX(BDHK2,MATCH(H2,DiemHKII!$B$4:$B$58,0),INDEX($Y$7:$AB$20,MATCH(I5,$Y$7:$Y$20,0),$AA$6)),"/"),"")</f>
        <v>/</v>
      </c>
      <c r="L5" s="35" t="str">
        <f>IF(H2&lt;&gt;"",IF(INDEX(BDHK2,MATCH(H2,DiemHKII!$B$4:$B$58,0),INDEX($Y$7:$AB$20,MATCH(I5,$Y$7:$Y$20,0),$AB$6))&lt;&gt;"",INDEX(BDHK2,MATCH(H2,DiemHKII!$B$4:$B$58,0),INDEX($Y$7:$AB$20,MATCH(I5,$Y$7:$Y$20,0),$AB$6)),"/"),"")</f>
        <v>/</v>
      </c>
      <c r="M5" s="88"/>
      <c r="N5" s="79" t="s">
        <v>191</v>
      </c>
      <c r="O5" s="81" t="s">
        <v>26</v>
      </c>
      <c r="P5" s="35">
        <f>IF(N2&lt;&gt;"",IF(INDEX(BDHK2,MATCH(N2,DiemHKII!$B$4:$B$58,0),INDEX($Y$7:$AB$20,MATCH(O5,$Y$7:$Y$20,0),$Z$6))&lt;&gt;"",INDEX(BDHK2,MATCH(N2,DiemHKII!$B$4:$B$58,0),INDEX($Y$7:$AB$20,MATCH(O5,$Y$7:$Y$20,0),$Z$6)),"/"),"")</f>
        <v>9.6</v>
      </c>
      <c r="Q5" s="35" t="str">
        <f>IF(N2&lt;&gt;"",IF(INDEX(BDHK2,MATCH(N2,DiemHKII!$B$4:$B$58,0),INDEX($Y$7:$AB$20,MATCH(O5,$Y$7:$Y$20,0),$AA$6))&lt;&gt;"",INDEX(BDHK2,MATCH(N2,DiemHKII!$B$4:$B$58,0),INDEX($Y$7:$AB$20,MATCH(O5,$Y$7:$Y$20,0),$AA$6)),"/"),"")</f>
        <v>/</v>
      </c>
      <c r="R5" s="35" t="str">
        <f>IF(N2&lt;&gt;"",IF(INDEX(BDHK2,MATCH(N2,DiemHKII!$B$4:$B$58,0),INDEX($Y$7:$AB$20,MATCH(O5,$Y$7:$Y$20,0),$AB$6))&lt;&gt;"",INDEX(BDHK2,MATCH(N2,DiemHKII!$B$4:$B$58,0),INDEX($Y$7:$AB$20,MATCH(O5,$Y$7:$Y$20,0),$AB$6)),"/"),"")</f>
        <v>/</v>
      </c>
      <c r="S5" s="88"/>
      <c r="U5" s="88"/>
      <c r="V5" s="88"/>
      <c r="W5" s="88"/>
      <c r="Y5" s="349"/>
      <c r="Z5" s="471" t="s">
        <v>4</v>
      </c>
      <c r="AA5" s="471" t="s">
        <v>97</v>
      </c>
      <c r="AB5" s="92" t="s">
        <v>98</v>
      </c>
    </row>
    <row r="6" spans="1:28" ht="15.6" customHeight="1">
      <c r="A6" s="88"/>
      <c r="B6" s="79" t="s">
        <v>192</v>
      </c>
      <c r="C6" s="81" t="s">
        <v>27</v>
      </c>
      <c r="D6" s="35">
        <f>IF(B2&lt;&gt;"",IF(INDEX(BDHK2,MATCH(B2,DiemHKII!$B$4:$B$58,0),INDEX($Y$7:$AB$20,MATCH(C6,$Y$7:$Y$20,0),$Z$6))&lt;&gt;"",INDEX(BDHK2,MATCH(B2,DiemHKII!$B$4:$B$58,0),INDEX($Y$7:$AB$20,MATCH(C6,$Y$7:$Y$20,0),$Z$6)),"/"),"")</f>
        <v>9.5</v>
      </c>
      <c r="E6" s="35" t="str">
        <f>IF(B2&lt;&gt;"",IF(INDEX(BDHK2,MATCH(B2,DiemHKII!$B$4:$B$58,0),INDEX($Y$7:$AB$20,MATCH(C6,$Y$7:$Y$20,0),$AA$6))&lt;&gt;"",INDEX(BDHK2,MATCH(B2,DiemHKII!$B$4:$B$58,0),INDEX($Y$7:$AB$20,MATCH(C6,$Y$7:$Y$20,0),$AA$6)),"/"),"")</f>
        <v>/</v>
      </c>
      <c r="F6" s="35" t="str">
        <f>IF(B2&lt;&gt;"",IF(INDEX(BDHK2,MATCH(B2,DiemHKII!$B$4:$B$58,0),INDEX($Y$7:$AB$20,MATCH(C6,$Y$7:$Y$20,0),$AB$6))&lt;&gt;"",INDEX(BDHK2,MATCH(B2,DiemHKII!$B$4:$B$58,0),INDEX($Y$7:$AB$20,MATCH(C6,$Y$7:$Y$20,0),$AB$6)),"/"),"")</f>
        <v>/</v>
      </c>
      <c r="G6" s="88"/>
      <c r="H6" s="79" t="s">
        <v>192</v>
      </c>
      <c r="I6" s="81" t="s">
        <v>27</v>
      </c>
      <c r="J6" s="35">
        <f>IF(H2&lt;&gt;"",IF(INDEX(BDHK2,MATCH(H2,DiemHKII!$B$4:$B$58,0),INDEX($Y$7:$AB$20,MATCH(I6,$Y$7:$Y$20,0),$Z$6))&lt;&gt;"",INDEX(BDHK2,MATCH(H2,DiemHKII!$B$4:$B$58,0),INDEX($Y$7:$AB$20,MATCH(I6,$Y$7:$Y$20,0),$Z$6)),"/"),"")</f>
        <v>9.6</v>
      </c>
      <c r="K6" s="35" t="str">
        <f>IF(H2&lt;&gt;"",IF(INDEX(BDHK2,MATCH(H2,DiemHKII!$B$4:$B$58,0),INDEX($Y$7:$AB$20,MATCH(I6,$Y$7:$Y$20,0),$AA$6))&lt;&gt;"",INDEX(BDHK2,MATCH(H2,DiemHKII!$B$4:$B$58,0),INDEX($Y$7:$AB$20,MATCH(I6,$Y$7:$Y$20,0),$AA$6)),"/"),"")</f>
        <v>/</v>
      </c>
      <c r="L6" s="35" t="str">
        <f>IF(H2&lt;&gt;"",IF(INDEX(BDHK2,MATCH(H2,DiemHKII!$B$4:$B$58,0),INDEX($Y$7:$AB$20,MATCH(I6,$Y$7:$Y$20,0),$AB$6))&lt;&gt;"",INDEX(BDHK2,MATCH(H2,DiemHKII!$B$4:$B$58,0),INDEX($Y$7:$AB$20,MATCH(I6,$Y$7:$Y$20,0),$AB$6)),"/"),"")</f>
        <v>/</v>
      </c>
      <c r="M6" s="88"/>
      <c r="N6" s="79" t="s">
        <v>192</v>
      </c>
      <c r="O6" s="81" t="s">
        <v>27</v>
      </c>
      <c r="P6" s="35">
        <f>IF(N2&lt;&gt;"",IF(INDEX(BDHK2,MATCH(N2,DiemHKII!$B$4:$B$58,0),INDEX($Y$7:$AB$20,MATCH(O6,$Y$7:$Y$20,0),$Z$6))&lt;&gt;"",INDEX(BDHK2,MATCH(N2,DiemHKII!$B$4:$B$58,0),INDEX($Y$7:$AB$20,MATCH(O6,$Y$7:$Y$20,0),$Z$6)),"/"),"")</f>
        <v>9.4</v>
      </c>
      <c r="Q6" s="35" t="str">
        <f>IF(N2&lt;&gt;"",IF(INDEX(BDHK2,MATCH(N2,DiemHKII!$B$4:$B$58,0),INDEX($Y$7:$AB$20,MATCH(O6,$Y$7:$Y$20,0),$AA$6))&lt;&gt;"",INDEX(BDHK2,MATCH(N2,DiemHKII!$B$4:$B$58,0),INDEX($Y$7:$AB$20,MATCH(O6,$Y$7:$Y$20,0),$AA$6)),"/"),"")</f>
        <v>/</v>
      </c>
      <c r="R6" s="35" t="str">
        <f>IF(N2&lt;&gt;"",IF(INDEX(BDHK2,MATCH(N2,DiemHKII!$B$4:$B$58,0),INDEX($Y$7:$AB$20,MATCH(O6,$Y$7:$Y$20,0),$AB$6))&lt;&gt;"",INDEX(BDHK2,MATCH(N2,DiemHKII!$B$4:$B$58,0),INDEX($Y$7:$AB$20,MATCH(O6,$Y$7:$Y$20,0),$AB$6)),"/"),"")</f>
        <v>/</v>
      </c>
      <c r="S6" s="88"/>
      <c r="U6" s="88"/>
      <c r="V6" s="88"/>
      <c r="W6" s="88"/>
      <c r="Y6" s="349"/>
      <c r="Z6" s="442">
        <v>2</v>
      </c>
      <c r="AA6" s="442">
        <v>3</v>
      </c>
      <c r="AB6" s="442">
        <v>4</v>
      </c>
    </row>
    <row r="7" spans="1:28" ht="15.6" customHeight="1">
      <c r="A7" s="88"/>
      <c r="B7" s="79" t="s">
        <v>193</v>
      </c>
      <c r="C7" s="81" t="s">
        <v>28</v>
      </c>
      <c r="D7" s="35">
        <f>IF(B2&lt;&gt;"",IF(INDEX(BDHK2,MATCH(B2,DiemHKII!$B$4:$B$58,0),INDEX($Y$7:$AB$20,MATCH(C7,$Y$7:$Y$20,0),$Z$6))&lt;&gt;"",INDEX(BDHK2,MATCH(B2,DiemHKII!$B$4:$B$58,0),INDEX($Y$7:$AB$20,MATCH(C7,$Y$7:$Y$20,0),$Z$6)),"/"),"")</f>
        <v>9.3000000000000007</v>
      </c>
      <c r="E7" s="35" t="str">
        <f>IF(B2&lt;&gt;"",IF(INDEX(BDHK2,MATCH(B2,DiemHKII!$B$4:$B$58,0),INDEX($Y$7:$AB$20,MATCH(C7,$Y$7:$Y$20,0),$AA$6))&lt;&gt;"",INDEX(BDHK2,MATCH(B2,DiemHKII!$B$4:$B$58,0),INDEX($Y$7:$AB$20,MATCH(C7,$Y$7:$Y$20,0),$AA$6)),"/"),"")</f>
        <v>/</v>
      </c>
      <c r="F7" s="35" t="str">
        <f>IF(B2&lt;&gt;"",IF(INDEX(BDHK2,MATCH(B2,DiemHKII!$B$4:$B$58,0),INDEX($Y$7:$AB$20,MATCH(C7,$Y$7:$Y$20,0),$AB$6))&lt;&gt;"",INDEX(BDHK2,MATCH(B2,DiemHKII!$B$4:$B$58,0),INDEX($Y$7:$AB$20,MATCH(C7,$Y$7:$Y$20,0),$AB$6)),"/"),"")</f>
        <v>/</v>
      </c>
      <c r="G7" s="88"/>
      <c r="H7" s="79" t="s">
        <v>193</v>
      </c>
      <c r="I7" s="81" t="s">
        <v>28</v>
      </c>
      <c r="J7" s="35">
        <f>IF(H2&lt;&gt;"",IF(INDEX(BDHK2,MATCH(H2,DiemHKII!$B$4:$B$58,0),INDEX($Y$7:$AB$20,MATCH(I7,$Y$7:$Y$20,0),$Z$6))&lt;&gt;"",INDEX(BDHK2,MATCH(H2,DiemHKII!$B$4:$B$58,0),INDEX($Y$7:$AB$20,MATCH(I7,$Y$7:$Y$20,0),$Z$6)),"/"),"")</f>
        <v>9.4</v>
      </c>
      <c r="K7" s="35" t="str">
        <f>IF(H2&lt;&gt;"",IF(INDEX(BDHK2,MATCH(H2,DiemHKII!$B$4:$B$58,0),INDEX($Y$7:$AB$20,MATCH(I7,$Y$7:$Y$20,0),$AA$6))&lt;&gt;"",INDEX(BDHK2,MATCH(H2,DiemHKII!$B$4:$B$58,0),INDEX($Y$7:$AB$20,MATCH(I7,$Y$7:$Y$20,0),$AA$6)),"/"),"")</f>
        <v>/</v>
      </c>
      <c r="L7" s="35" t="str">
        <f>IF(H2&lt;&gt;"",IF(INDEX(BDHK2,MATCH(H2,DiemHKII!$B$4:$B$58,0),INDEX($Y$7:$AB$20,MATCH(I7,$Y$7:$Y$20,0),$AB$6))&lt;&gt;"",INDEX(BDHK2,MATCH(H2,DiemHKII!$B$4:$B$58,0),INDEX($Y$7:$AB$20,MATCH(I7,$Y$7:$Y$20,0),$AB$6)),"/"),"")</f>
        <v>/</v>
      </c>
      <c r="M7" s="88"/>
      <c r="N7" s="79" t="s">
        <v>193</v>
      </c>
      <c r="O7" s="81" t="s">
        <v>28</v>
      </c>
      <c r="P7" s="35">
        <f>IF(N2&lt;&gt;"",IF(INDEX(BDHK2,MATCH(N2,DiemHKII!$B$4:$B$58,0),INDEX($Y$7:$AB$20,MATCH(O7,$Y$7:$Y$20,0),$Z$6))&lt;&gt;"",INDEX(BDHK2,MATCH(N2,DiemHKII!$B$4:$B$58,0),INDEX($Y$7:$AB$20,MATCH(O7,$Y$7:$Y$20,0),$Z$6)),"/"),"")</f>
        <v>9.4</v>
      </c>
      <c r="Q7" s="35" t="str">
        <f>IF(N2&lt;&gt;"",IF(INDEX(BDHK2,MATCH(N2,DiemHKII!$B$4:$B$58,0),INDEX($Y$7:$AB$20,MATCH(O7,$Y$7:$Y$20,0),$AA$6))&lt;&gt;"",INDEX(BDHK2,MATCH(N2,DiemHKII!$B$4:$B$58,0),INDEX($Y$7:$AB$20,MATCH(O7,$Y$7:$Y$20,0),$AA$6)),"/"),"")</f>
        <v>/</v>
      </c>
      <c r="R7" s="35" t="str">
        <f>IF(N2&lt;&gt;"",IF(INDEX(BDHK2,MATCH(N2,DiemHKII!$B$4:$B$58,0),INDEX($Y$7:$AB$20,MATCH(O7,$Y$7:$Y$20,0),$AB$6))&lt;&gt;"",INDEX(BDHK2,MATCH(N2,DiemHKII!$B$4:$B$58,0),INDEX($Y$7:$AB$20,MATCH(O7,$Y$7:$Y$20,0),$AB$6)),"/"),"")</f>
        <v>/</v>
      </c>
      <c r="S7" s="88"/>
      <c r="U7" s="88"/>
      <c r="V7" s="88"/>
      <c r="W7" s="88"/>
      <c r="Y7" s="349" t="s">
        <v>26</v>
      </c>
      <c r="Z7" s="442">
        <v>17</v>
      </c>
      <c r="AA7" s="442">
        <v>18</v>
      </c>
      <c r="AB7" s="442">
        <v>19</v>
      </c>
    </row>
    <row r="8" spans="1:28" ht="15.6" customHeight="1">
      <c r="A8" s="88"/>
      <c r="B8" s="79" t="s">
        <v>194</v>
      </c>
      <c r="C8" s="81" t="s">
        <v>29</v>
      </c>
      <c r="D8" s="35">
        <f>IF(B2&lt;&gt;"",IF(INDEX(BDHK2,MATCH(B2,DiemHKII!$B$4:$B$58,0),INDEX($Y$7:$AB$20,MATCH(C8,$Y$7:$Y$20,0),$Z$6))&lt;&gt;"",INDEX(BDHK2,MATCH(B2,DiemHKII!$B$4:$B$58,0),INDEX($Y$7:$AB$20,MATCH(C8,$Y$7:$Y$20,0),$Z$6)),"/"),"")</f>
        <v>9</v>
      </c>
      <c r="E8" s="35" t="str">
        <f>IF(B2&lt;&gt;"",IF(INDEX(BDHK2,MATCH(B2,DiemHKII!$B$4:$B$58,0),INDEX($Y$7:$AB$20,MATCH(C8,$Y$7:$Y$20,0),$AA$6))&lt;&gt;"",INDEX(BDHK2,MATCH(B2,DiemHKII!$B$4:$B$58,0),INDEX($Y$7:$AB$20,MATCH(C8,$Y$7:$Y$20,0),$AA$6)),"/"),"")</f>
        <v>/</v>
      </c>
      <c r="F8" s="35" t="str">
        <f>IF(B2&lt;&gt;"",IF(INDEX(BDHK2,MATCH(B2,DiemHKII!$B$4:$B$58,0),INDEX($Y$7:$AB$20,MATCH(C8,$Y$7:$Y$20,0),$AB$6))&lt;&gt;"",INDEX(BDHK2,MATCH(B2,DiemHKII!$B$4:$B$58,0),INDEX($Y$7:$AB$20,MATCH(C8,$Y$7:$Y$20,0),$AB$6)),"/"),"")</f>
        <v>/</v>
      </c>
      <c r="G8" s="88"/>
      <c r="H8" s="79" t="s">
        <v>194</v>
      </c>
      <c r="I8" s="81" t="s">
        <v>29</v>
      </c>
      <c r="J8" s="35">
        <f>IF(H2&lt;&gt;"",IF(INDEX(BDHK2,MATCH(H2,DiemHKII!$B$4:$B$58,0),INDEX($Y$7:$AB$20,MATCH(I8,$Y$7:$Y$20,0),$Z$6))&lt;&gt;"",INDEX(BDHK2,MATCH(H2,DiemHKII!$B$4:$B$58,0),INDEX($Y$7:$AB$20,MATCH(I8,$Y$7:$Y$20,0),$Z$6)),"/"),"")</f>
        <v>9.6999999999999993</v>
      </c>
      <c r="K8" s="35" t="str">
        <f>IF(H2&lt;&gt;"",IF(INDEX(BDHK2,MATCH(H2,DiemHKII!$B$4:$B$58,0),INDEX($Y$7:$AB$20,MATCH(I8,$Y$7:$Y$20,0),$AA$6))&lt;&gt;"",INDEX(BDHK2,MATCH(H2,DiemHKII!$B$4:$B$58,0),INDEX($Y$7:$AB$20,MATCH(I8,$Y$7:$Y$20,0),$AA$6)),"/"),"")</f>
        <v>/</v>
      </c>
      <c r="L8" s="35" t="str">
        <f>IF(H2&lt;&gt;"",IF(INDEX(BDHK2,MATCH(H2,DiemHKII!$B$4:$B$58,0),INDEX($Y$7:$AB$20,MATCH(I8,$Y$7:$Y$20,0),$AB$6))&lt;&gt;"",INDEX(BDHK2,MATCH(H2,DiemHKII!$B$4:$B$58,0),INDEX($Y$7:$AB$20,MATCH(I8,$Y$7:$Y$20,0),$AB$6)),"/"),"")</f>
        <v>/</v>
      </c>
      <c r="M8" s="88"/>
      <c r="N8" s="79" t="s">
        <v>194</v>
      </c>
      <c r="O8" s="81" t="s">
        <v>29</v>
      </c>
      <c r="P8" s="35">
        <f>IF(N2&lt;&gt;"",IF(INDEX(BDHK2,MATCH(N2,DiemHKII!$B$4:$B$58,0),INDEX($Y$7:$AB$20,MATCH(O8,$Y$7:$Y$20,0),$Z$6))&lt;&gt;"",INDEX(BDHK2,MATCH(N2,DiemHKII!$B$4:$B$58,0),INDEX($Y$7:$AB$20,MATCH(O8,$Y$7:$Y$20,0),$Z$6)),"/"),"")</f>
        <v>8.6</v>
      </c>
      <c r="Q8" s="35" t="str">
        <f>IF(N2&lt;&gt;"",IF(INDEX(BDHK2,MATCH(N2,DiemHKII!$B$4:$B$58,0),INDEX($Y$7:$AB$20,MATCH(O8,$Y$7:$Y$20,0),$AA$6))&lt;&gt;"",INDEX(BDHK2,MATCH(N2,DiemHKII!$B$4:$B$58,0),INDEX($Y$7:$AB$20,MATCH(O8,$Y$7:$Y$20,0),$AA$6)),"/"),"")</f>
        <v>/</v>
      </c>
      <c r="R8" s="35" t="str">
        <f>IF(N2&lt;&gt;"",IF(INDEX(BDHK2,MATCH(N2,DiemHKII!$B$4:$B$58,0),INDEX($Y$7:$AB$20,MATCH(O8,$Y$7:$Y$20,0),$AB$6))&lt;&gt;"",INDEX(BDHK2,MATCH(N2,DiemHKII!$B$4:$B$58,0),INDEX($Y$7:$AB$20,MATCH(O8,$Y$7:$Y$20,0),$AB$6)),"/"),"")</f>
        <v>/</v>
      </c>
      <c r="S8" s="88"/>
      <c r="Y8" s="349" t="s">
        <v>27</v>
      </c>
      <c r="Z8" s="442">
        <v>26</v>
      </c>
      <c r="AA8" s="442">
        <v>27</v>
      </c>
      <c r="AB8" s="442">
        <v>28</v>
      </c>
    </row>
    <row r="9" spans="1:28" ht="15.6" customHeight="1">
      <c r="A9" s="88"/>
      <c r="B9" s="79" t="s">
        <v>195</v>
      </c>
      <c r="C9" s="81" t="s">
        <v>120</v>
      </c>
      <c r="D9" s="35">
        <f>IF(B2&lt;&gt;"",IF(INDEX(BDHK2,MATCH(B2,DiemHKII!$B$4:$B$58,0),INDEX($Y$7:$AB$20,MATCH(C9,$Y$7:$Y$20,0),$Z$6))&lt;&gt;"",INDEX(BDHK2,MATCH(B2,DiemHKII!$B$4:$B$58,0),INDEX($Y$7:$AB$20,MATCH(C9,$Y$7:$Y$20,0),$Z$6)),"/"),"")</f>
        <v>9.6</v>
      </c>
      <c r="E9" s="35" t="str">
        <f>IF(B2&lt;&gt;"",IF(INDEX(BDHK2,MATCH(B2,DiemHKII!$B$4:$B$58,0),INDEX($Y$7:$AB$20,MATCH(C9,$Y$7:$Y$20,0),$AA$6))&lt;&gt;"",INDEX(BDHK2,MATCH(B2,DiemHKII!$B$4:$B$58,0),INDEX($Y$7:$AB$20,MATCH(C9,$Y$7:$Y$20,0),$AA$6)),"/"),"")</f>
        <v>/</v>
      </c>
      <c r="F9" s="35" t="str">
        <f>IF(B2&lt;&gt;"",IF(INDEX(BDHK2,MATCH(B2,DiemHKII!$B$4:$B$58,0),INDEX($Y$7:$AB$20,MATCH(C9,$Y$7:$Y$20,0),$AB$6))&lt;&gt;"",INDEX(BDHK2,MATCH(B2,DiemHKII!$B$4:$B$58,0),INDEX($Y$7:$AB$20,MATCH(C9,$Y$7:$Y$20,0),$AB$6)),"/"),"")</f>
        <v>/</v>
      </c>
      <c r="G9" s="88"/>
      <c r="H9" s="79" t="s">
        <v>195</v>
      </c>
      <c r="I9" s="81" t="s">
        <v>120</v>
      </c>
      <c r="J9" s="35">
        <f>IF(H2&lt;&gt;"",IF(INDEX(BDHK2,MATCH(H2,DiemHKII!$B$4:$B$58,0),INDEX($Y$7:$AB$20,MATCH(I9,$Y$7:$Y$20,0),$Z$6))&lt;&gt;"",INDEX(BDHK2,MATCH(H2,DiemHKII!$B$4:$B$58,0),INDEX($Y$7:$AB$20,MATCH(I9,$Y$7:$Y$20,0),$Z$6)),"/"),"")</f>
        <v>9.6</v>
      </c>
      <c r="K9" s="35" t="str">
        <f>IF(H2&lt;&gt;"",IF(INDEX(BDHK2,MATCH(H2,DiemHKII!$B$4:$B$58,0),INDEX($Y$7:$AB$20,MATCH(I9,$Y$7:$Y$20,0),$AA$6))&lt;&gt;"",INDEX(BDHK2,MATCH(H2,DiemHKII!$B$4:$B$58,0),INDEX($Y$7:$AB$20,MATCH(I9,$Y$7:$Y$20,0),$AA$6)),"/"),"")</f>
        <v>/</v>
      </c>
      <c r="L9" s="35" t="str">
        <f>IF(H2&lt;&gt;"",IF(INDEX(BDHK2,MATCH(H2,DiemHKII!$B$4:$B$58,0),INDEX($Y$7:$AB$20,MATCH(I9,$Y$7:$Y$20,0),$AB$6))&lt;&gt;"",INDEX(BDHK2,MATCH(H2,DiemHKII!$B$4:$B$58,0),INDEX($Y$7:$AB$20,MATCH(I9,$Y$7:$Y$20,0),$AB$6)),"/"),"")</f>
        <v>/</v>
      </c>
      <c r="M9" s="88"/>
      <c r="N9" s="79" t="s">
        <v>195</v>
      </c>
      <c r="O9" s="81" t="s">
        <v>120</v>
      </c>
      <c r="P9" s="35">
        <f>IF(N2&lt;&gt;"",IF(INDEX(BDHK2,MATCH(N2,DiemHKII!$B$4:$B$58,0),INDEX($Y$7:$AB$20,MATCH(O9,$Y$7:$Y$20,0),$Z$6))&lt;&gt;"",INDEX(BDHK2,MATCH(N2,DiemHKII!$B$4:$B$58,0),INDEX($Y$7:$AB$20,MATCH(O9,$Y$7:$Y$20,0),$Z$6)),"/"),"")</f>
        <v>9.8000000000000007</v>
      </c>
      <c r="Q9" s="35" t="str">
        <f>IF(N2&lt;&gt;"",IF(INDEX(BDHK2,MATCH(N2,DiemHKII!$B$4:$B$58,0),INDEX($Y$7:$AB$20,MATCH(O9,$Y$7:$Y$20,0),$AA$6))&lt;&gt;"",INDEX(BDHK2,MATCH(N2,DiemHKII!$B$4:$B$58,0),INDEX($Y$7:$AB$20,MATCH(O9,$Y$7:$Y$20,0),$AA$6)),"/"),"")</f>
        <v>/</v>
      </c>
      <c r="R9" s="35" t="str">
        <f>IF(N2&lt;&gt;"",IF(INDEX(BDHK2,MATCH(N2,DiemHKII!$B$4:$B$58,0),INDEX($Y$7:$AB$20,MATCH(O9,$Y$7:$Y$20,0),$AB$6))&lt;&gt;"",INDEX(BDHK2,MATCH(N2,DiemHKII!$B$4:$B$58,0),INDEX($Y$7:$AB$20,MATCH(O9,$Y$7:$Y$20,0),$AB$6)),"/"),"")</f>
        <v>/</v>
      </c>
      <c r="S9" s="88"/>
      <c r="Y9" s="349" t="s">
        <v>28</v>
      </c>
      <c r="Z9" s="442">
        <v>35</v>
      </c>
      <c r="AA9" s="442">
        <v>36</v>
      </c>
      <c r="AB9" s="442">
        <v>37</v>
      </c>
    </row>
    <row r="10" spans="1:28" ht="15.6" customHeight="1">
      <c r="A10" s="88"/>
      <c r="B10" s="79" t="s">
        <v>196</v>
      </c>
      <c r="C10" s="81" t="s">
        <v>30</v>
      </c>
      <c r="D10" s="35">
        <f>IF(B2&lt;&gt;"",IF(INDEX(BDHK2,MATCH(B2,DiemHKII!$B$4:$B$58,0),INDEX($Y$7:$AB$20,MATCH(C10,$Y$7:$Y$20,0),$Z$6))&lt;&gt;"",INDEX(BDHK2,MATCH(B2,DiemHKII!$B$4:$B$58,0),INDEX($Y$7:$AB$20,MATCH(C10,$Y$7:$Y$20,0),$Z$6)),"/"),"")</f>
        <v>7.8</v>
      </c>
      <c r="E10" s="35" t="str">
        <f>IF(B2&lt;&gt;"",IF(INDEX(BDHK2,MATCH(B2,DiemHKII!$B$4:$B$58,0),INDEX($Y$7:$AB$20,MATCH(C10,$Y$7:$Y$20,0),$AA$6))&lt;&gt;"",INDEX(BDHK2,MATCH(B2,DiemHKII!$B$4:$B$58,0),INDEX($Y$7:$AB$20,MATCH(C10,$Y$7:$Y$20,0),$AA$6)),"/"),"")</f>
        <v>/</v>
      </c>
      <c r="F10" s="35" t="str">
        <f>IF(B2&lt;&gt;"",IF(INDEX(BDHK2,MATCH(B2,DiemHKII!$B$4:$B$58,0),INDEX($Y$7:$AB$20,MATCH(C10,$Y$7:$Y$20,0),$AB$6))&lt;&gt;"",INDEX(BDHK2,MATCH(B2,DiemHKII!$B$4:$B$58,0),INDEX($Y$7:$AB$20,MATCH(C10,$Y$7:$Y$20,0),$AB$6)),"/"),"")</f>
        <v>/</v>
      </c>
      <c r="G10" s="88"/>
      <c r="H10" s="79" t="s">
        <v>196</v>
      </c>
      <c r="I10" s="81" t="s">
        <v>30</v>
      </c>
      <c r="J10" s="35">
        <f>IF(H2&lt;&gt;"",IF(INDEX(BDHK2,MATCH(H2,DiemHKII!$B$4:$B$58,0),INDEX($Y$7:$AB$20,MATCH(I10,$Y$7:$Y$20,0),$Z$6))&lt;&gt;"",INDEX(BDHK2,MATCH(H2,DiemHKII!$B$4:$B$58,0),INDEX($Y$7:$AB$20,MATCH(I10,$Y$7:$Y$20,0),$Z$6)),"/"),"")</f>
        <v>8.4</v>
      </c>
      <c r="K10" s="35" t="str">
        <f>IF(H2&lt;&gt;"",IF(INDEX(BDHK2,MATCH(H2,DiemHKII!$B$4:$B$58,0),INDEX($Y$7:$AB$20,MATCH(I10,$Y$7:$Y$20,0),$AA$6))&lt;&gt;"",INDEX(BDHK2,MATCH(H2,DiemHKII!$B$4:$B$58,0),INDEX($Y$7:$AB$20,MATCH(I10,$Y$7:$Y$20,0),$AA$6)),"/"),"")</f>
        <v>/</v>
      </c>
      <c r="L10" s="35" t="str">
        <f>IF(H2&lt;&gt;"",IF(INDEX(BDHK2,MATCH(H2,DiemHKII!$B$4:$B$58,0),INDEX($Y$7:$AB$20,MATCH(I10,$Y$7:$Y$20,0),$AB$6))&lt;&gt;"",INDEX(BDHK2,MATCH(H2,DiemHKII!$B$4:$B$58,0),INDEX($Y$7:$AB$20,MATCH(I10,$Y$7:$Y$20,0),$AB$6)),"/"),"")</f>
        <v>/</v>
      </c>
      <c r="M10" s="88"/>
      <c r="N10" s="79" t="s">
        <v>196</v>
      </c>
      <c r="O10" s="81" t="s">
        <v>30</v>
      </c>
      <c r="P10" s="35">
        <f>IF(N2&lt;&gt;"",IF(INDEX(BDHK2,MATCH(N2,DiemHKII!$B$4:$B$58,0),INDEX($Y$7:$AB$20,MATCH(O10,$Y$7:$Y$20,0),$Z$6))&lt;&gt;"",INDEX(BDHK2,MATCH(N2,DiemHKII!$B$4:$B$58,0),INDEX($Y$7:$AB$20,MATCH(O10,$Y$7:$Y$20,0),$Z$6)),"/"),"")</f>
        <v>7.1</v>
      </c>
      <c r="Q10" s="35" t="str">
        <f>IF(N2&lt;&gt;"",IF(INDEX(BDHK2,MATCH(N2,DiemHKII!$B$4:$B$58,0),INDEX($Y$7:$AB$20,MATCH(O10,$Y$7:$Y$20,0),$AA$6))&lt;&gt;"",INDEX(BDHK2,MATCH(N2,DiemHKII!$B$4:$B$58,0),INDEX($Y$7:$AB$20,MATCH(O10,$Y$7:$Y$20,0),$AA$6)),"/"),"")</f>
        <v>/</v>
      </c>
      <c r="R10" s="35" t="str">
        <f>IF(N2&lt;&gt;"",IF(INDEX(BDHK2,MATCH(N2,DiemHKII!$B$4:$B$58,0),INDEX($Y$7:$AB$20,MATCH(O10,$Y$7:$Y$20,0),$AB$6))&lt;&gt;"",INDEX(BDHK2,MATCH(N2,DiemHKII!$B$4:$B$58,0),INDEX($Y$7:$AB$20,MATCH(O10,$Y$7:$Y$20,0),$AB$6)),"/"),"")</f>
        <v>/</v>
      </c>
      <c r="S10" s="88"/>
      <c r="Y10" s="349" t="s">
        <v>29</v>
      </c>
      <c r="Z10" s="442">
        <v>44</v>
      </c>
      <c r="AA10" s="442">
        <v>45</v>
      </c>
      <c r="AB10" s="442">
        <v>46</v>
      </c>
    </row>
    <row r="11" spans="1:28" ht="15.6" customHeight="1">
      <c r="A11" s="88"/>
      <c r="B11" s="79" t="s">
        <v>197</v>
      </c>
      <c r="C11" s="81" t="s">
        <v>31</v>
      </c>
      <c r="D11" s="35">
        <f>IF(B2&lt;&gt;"",IF(INDEX(BDHK2,MATCH(B2,DiemHKII!$B$4:$B$58,0),INDEX($Y$7:$AB$20,MATCH(C11,$Y$7:$Y$20,0),$Z$6))&lt;&gt;"",INDEX(BDHK2,MATCH(B2,DiemHKII!$B$4:$B$58,0),INDEX($Y$7:$AB$20,MATCH(C11,$Y$7:$Y$20,0),$Z$6)),"/"),"")</f>
        <v>9.6</v>
      </c>
      <c r="E11" s="35" t="str">
        <f>IF(B2&lt;&gt;"",IF(INDEX(BDHK2,MATCH(B2,DiemHKII!$B$4:$B$58,0),INDEX($Y$7:$AB$20,MATCH(C11,$Y$7:$Y$20,0),$AA$6))&lt;&gt;"",INDEX(BDHK2,MATCH(B2,DiemHKII!$B$4:$B$58,0),INDEX($Y$7:$AB$20,MATCH(C11,$Y$7:$Y$20,0),$AA$6)),"/"),"")</f>
        <v>/</v>
      </c>
      <c r="F11" s="35" t="str">
        <f>IF(B2&lt;&gt;"",IF(INDEX(BDHK2,MATCH(B2,DiemHKII!$B$4:$B$58,0),INDEX($Y$7:$AB$20,MATCH(C11,$Y$7:$Y$20,0),$AB$6))&lt;&gt;"",INDEX(BDHK2,MATCH(B2,DiemHKII!$B$4:$B$58,0),INDEX($Y$7:$AB$20,MATCH(C11,$Y$7:$Y$20,0),$AB$6)),"/"),"")</f>
        <v>/</v>
      </c>
      <c r="G11" s="88"/>
      <c r="H11" s="79" t="s">
        <v>197</v>
      </c>
      <c r="I11" s="81" t="s">
        <v>31</v>
      </c>
      <c r="J11" s="35">
        <f>IF(H2&lt;&gt;"",IF(INDEX(BDHK2,MATCH(H2,DiemHKII!$B$4:$B$58,0),INDEX($Y$7:$AB$20,MATCH(I11,$Y$7:$Y$20,0),$Z$6))&lt;&gt;"",INDEX(BDHK2,MATCH(H2,DiemHKII!$B$4:$B$58,0),INDEX($Y$7:$AB$20,MATCH(I11,$Y$7:$Y$20,0),$Z$6)),"/"),"")</f>
        <v>9.6</v>
      </c>
      <c r="K11" s="35" t="str">
        <f>IF(H2&lt;&gt;"",IF(INDEX(BDHK2,MATCH(H2,DiemHKII!$B$4:$B$58,0),INDEX($Y$7:$AB$20,MATCH(I11,$Y$7:$Y$20,0),$AA$6))&lt;&gt;"",INDEX(BDHK2,MATCH(H2,DiemHKII!$B$4:$B$58,0),INDEX($Y$7:$AB$20,MATCH(I11,$Y$7:$Y$20,0),$AA$6)),"/"),"")</f>
        <v>/</v>
      </c>
      <c r="L11" s="35" t="str">
        <f>IF(H2&lt;&gt;"",IF(INDEX(BDHK2,MATCH(H2,DiemHKII!$B$4:$B$58,0),INDEX($Y$7:$AB$20,MATCH(I11,$Y$7:$Y$20,0),$AB$6))&lt;&gt;"",INDEX(BDHK2,MATCH(H2,DiemHKII!$B$4:$B$58,0),INDEX($Y$7:$AB$20,MATCH(I11,$Y$7:$Y$20,0),$AB$6)),"/"),"")</f>
        <v>/</v>
      </c>
      <c r="M11" s="88"/>
      <c r="N11" s="79" t="s">
        <v>197</v>
      </c>
      <c r="O11" s="81" t="s">
        <v>31</v>
      </c>
      <c r="P11" s="35">
        <f>IF(N2&lt;&gt;"",IF(INDEX(BDHK2,MATCH(N2,DiemHKII!$B$4:$B$58,0),INDEX($Y$7:$AB$20,MATCH(O11,$Y$7:$Y$20,0),$Z$6))&lt;&gt;"",INDEX(BDHK2,MATCH(N2,DiemHKII!$B$4:$B$58,0),INDEX($Y$7:$AB$20,MATCH(O11,$Y$7:$Y$20,0),$Z$6)),"/"),"")</f>
        <v>9.4</v>
      </c>
      <c r="Q11" s="35" t="str">
        <f>IF(N2&lt;&gt;"",IF(INDEX(BDHK2,MATCH(N2,DiemHKII!$B$4:$B$58,0),INDEX($Y$7:$AB$20,MATCH(O11,$Y$7:$Y$20,0),$AA$6))&lt;&gt;"",INDEX(BDHK2,MATCH(N2,DiemHKII!$B$4:$B$58,0),INDEX($Y$7:$AB$20,MATCH(O11,$Y$7:$Y$20,0),$AA$6)),"/"),"")</f>
        <v>/</v>
      </c>
      <c r="R11" s="35" t="str">
        <f>IF(N2&lt;&gt;"",IF(INDEX(BDHK2,MATCH(N2,DiemHKII!$B$4:$B$58,0),INDEX($Y$7:$AB$20,MATCH(O11,$Y$7:$Y$20,0),$AB$6))&lt;&gt;"",INDEX(BDHK2,MATCH(N2,DiemHKII!$B$4:$B$58,0),INDEX($Y$7:$AB$20,MATCH(O11,$Y$7:$Y$20,0),$AB$6)),"/"),"")</f>
        <v>/</v>
      </c>
      <c r="S11" s="88"/>
      <c r="Y11" s="349" t="s">
        <v>120</v>
      </c>
      <c r="Z11" s="442">
        <v>53</v>
      </c>
      <c r="AA11" s="442">
        <v>54</v>
      </c>
      <c r="AB11" s="442">
        <v>55</v>
      </c>
    </row>
    <row r="12" spans="1:28" ht="15.6" customHeight="1">
      <c r="A12" s="88"/>
      <c r="B12" s="79" t="s">
        <v>198</v>
      </c>
      <c r="C12" s="81" t="s">
        <v>32</v>
      </c>
      <c r="D12" s="35">
        <f>IF(B2&lt;&gt;"",IF(INDEX(BDHK2,MATCH(B2,DiemHKII!$B$4:$B$58,0),INDEX($Y$7:$AB$20,MATCH(C12,$Y$7:$Y$20,0),$Z$6))&lt;&gt;"",INDEX(BDHK2,MATCH(B2,DiemHKII!$B$4:$B$58,0),INDEX($Y$7:$AB$20,MATCH(C12,$Y$7:$Y$20,0),$Z$6)),"/"),"")</f>
        <v>9.8000000000000007</v>
      </c>
      <c r="E12" s="35" t="str">
        <f>IF(B2&lt;&gt;"",IF(INDEX(BDHK2,MATCH(B2,DiemHKII!$B$4:$B$58,0),INDEX($Y$7:$AB$20,MATCH(C12,$Y$7:$Y$20,0),$AA$6))&lt;&gt;"",INDEX(BDHK2,MATCH(B2,DiemHKII!$B$4:$B$58,0),INDEX($Y$7:$AB$20,MATCH(C12,$Y$7:$Y$20,0),$AA$6)),"/"),"")</f>
        <v>/</v>
      </c>
      <c r="F12" s="35" t="str">
        <f>IF(B2&lt;&gt;"",IF(INDEX(BDHK2,MATCH(B2,DiemHKII!$B$4:$B$58,0),INDEX($Y$7:$AB$20,MATCH(C12,$Y$7:$Y$20,0),$AB$6))&lt;&gt;"",INDEX(BDHK2,MATCH(B2,DiemHKII!$B$4:$B$58,0),INDEX($Y$7:$AB$20,MATCH(C12,$Y$7:$Y$20,0),$AB$6)),"/"),"")</f>
        <v>/</v>
      </c>
      <c r="G12" s="88"/>
      <c r="H12" s="79" t="s">
        <v>198</v>
      </c>
      <c r="I12" s="81" t="s">
        <v>32</v>
      </c>
      <c r="J12" s="35">
        <f>IF(H2&lt;&gt;"",IF(INDEX(BDHK2,MATCH(H2,DiemHKII!$B$4:$B$58,0),INDEX($Y$7:$AB$20,MATCH(I12,$Y$7:$Y$20,0),$Z$6))&lt;&gt;"",INDEX(BDHK2,MATCH(H2,DiemHKII!$B$4:$B$58,0),INDEX($Y$7:$AB$20,MATCH(I12,$Y$7:$Y$20,0),$Z$6)),"/"),"")</f>
        <v>9.8000000000000007</v>
      </c>
      <c r="K12" s="35" t="str">
        <f>IF(H2&lt;&gt;"",IF(INDEX(BDHK2,MATCH(H2,DiemHKII!$B$4:$B$58,0),INDEX($Y$7:$AB$20,MATCH(I12,$Y$7:$Y$20,0),$AA$6))&lt;&gt;"",INDEX(BDHK2,MATCH(H2,DiemHKII!$B$4:$B$58,0),INDEX($Y$7:$AB$20,MATCH(I12,$Y$7:$Y$20,0),$AA$6)),"/"),"")</f>
        <v>/</v>
      </c>
      <c r="L12" s="35" t="str">
        <f>IF(H2&lt;&gt;"",IF(INDEX(BDHK2,MATCH(H2,DiemHKII!$B$4:$B$58,0),INDEX($Y$7:$AB$20,MATCH(I12,$Y$7:$Y$20,0),$AB$6))&lt;&gt;"",INDEX(BDHK2,MATCH(H2,DiemHKII!$B$4:$B$58,0),INDEX($Y$7:$AB$20,MATCH(I12,$Y$7:$Y$20,0),$AB$6)),"/"),"")</f>
        <v>/</v>
      </c>
      <c r="M12" s="88"/>
      <c r="N12" s="79" t="s">
        <v>198</v>
      </c>
      <c r="O12" s="81" t="s">
        <v>32</v>
      </c>
      <c r="P12" s="35">
        <f>IF(N2&lt;&gt;"",IF(INDEX(BDHK2,MATCH(N2,DiemHKII!$B$4:$B$58,0),INDEX($Y$7:$AB$20,MATCH(O12,$Y$7:$Y$20,0),$Z$6))&lt;&gt;"",INDEX(BDHK2,MATCH(N2,DiemHKII!$B$4:$B$58,0),INDEX($Y$7:$AB$20,MATCH(O12,$Y$7:$Y$20,0),$Z$6)),"/"),"")</f>
        <v>9.6</v>
      </c>
      <c r="Q12" s="35" t="str">
        <f>IF(N2&lt;&gt;"",IF(INDEX(BDHK2,MATCH(N2,DiemHKII!$B$4:$B$58,0),INDEX($Y$7:$AB$20,MATCH(O12,$Y$7:$Y$20,0),$AA$6))&lt;&gt;"",INDEX(BDHK2,MATCH(N2,DiemHKII!$B$4:$B$58,0),INDEX($Y$7:$AB$20,MATCH(O12,$Y$7:$Y$20,0),$AA$6)),"/"),"")</f>
        <v>/</v>
      </c>
      <c r="R12" s="35" t="str">
        <f>IF(N2&lt;&gt;"",IF(INDEX(BDHK2,MATCH(N2,DiemHKII!$B$4:$B$58,0),INDEX($Y$7:$AB$20,MATCH(O12,$Y$7:$Y$20,0),$AB$6))&lt;&gt;"",INDEX(BDHK2,MATCH(N2,DiemHKII!$B$4:$B$58,0),INDEX($Y$7:$AB$20,MATCH(O12,$Y$7:$Y$20,0),$AB$6)),"/"),"")</f>
        <v>/</v>
      </c>
      <c r="S12" s="88"/>
      <c r="Y12" s="349" t="s">
        <v>30</v>
      </c>
      <c r="Z12" s="442">
        <v>62</v>
      </c>
      <c r="AA12" s="442">
        <v>63</v>
      </c>
      <c r="AB12" s="442">
        <v>64</v>
      </c>
    </row>
    <row r="13" spans="1:28" ht="15.6" customHeight="1">
      <c r="A13" s="88"/>
      <c r="B13" s="79" t="s">
        <v>199</v>
      </c>
      <c r="C13" s="81" t="s">
        <v>33</v>
      </c>
      <c r="D13" s="35">
        <f>IF(B2&lt;&gt;"",IF(INDEX(BDHK2,MATCH(B2,DiemHKII!$B$4:$B$58,0),INDEX($Y$7:$AB$20,MATCH(C13,$Y$7:$Y$20,0),$Z$6))&lt;&gt;"",INDEX(BDHK2,MATCH(B2,DiemHKII!$B$4:$B$58,0),INDEX($Y$7:$AB$20,MATCH(C13,$Y$7:$Y$20,0),$Z$6)),"/"),"")</f>
        <v>9.6</v>
      </c>
      <c r="E13" s="35" t="str">
        <f>IF(B2&lt;&gt;"",IF(INDEX(BDHK2,MATCH(B2,DiemHKII!$B$4:$B$58,0),INDEX($Y$7:$AB$20,MATCH(C13,$Y$7:$Y$20,0),$AA$6))&lt;&gt;"",INDEX(BDHK2,MATCH(B2,DiemHKII!$B$4:$B$58,0),INDEX($Y$7:$AB$20,MATCH(C13,$Y$7:$Y$20,0),$AA$6)),"/"),"")</f>
        <v>/</v>
      </c>
      <c r="F13" s="35" t="str">
        <f>IF(B2&lt;&gt;"",IF(INDEX(BDHK2,MATCH(B2,DiemHKII!$B$4:$B$58,0),INDEX($Y$7:$AB$20,MATCH(C13,$Y$7:$Y$20,0),$AB$6))&lt;&gt;"",INDEX(BDHK2,MATCH(B2,DiemHKII!$B$4:$B$58,0),INDEX($Y$7:$AB$20,MATCH(C13,$Y$7:$Y$20,0),$AB$6)),"/"),"")</f>
        <v>/</v>
      </c>
      <c r="G13" s="88"/>
      <c r="H13" s="79" t="s">
        <v>199</v>
      </c>
      <c r="I13" s="81" t="s">
        <v>33</v>
      </c>
      <c r="J13" s="35">
        <f>IF(H2&lt;&gt;"",IF(INDEX(BDHK2,MATCH(H2,DiemHKII!$B$4:$B$58,0),INDEX($Y$7:$AB$20,MATCH(I13,$Y$7:$Y$20,0),$Z$6))&lt;&gt;"",INDEX(BDHK2,MATCH(H2,DiemHKII!$B$4:$B$58,0),INDEX($Y$7:$AB$20,MATCH(I13,$Y$7:$Y$20,0),$Z$6)),"/"),"")</f>
        <v>9</v>
      </c>
      <c r="K13" s="35" t="str">
        <f>IF(H2&lt;&gt;"",IF(INDEX(BDHK2,MATCH(H2,DiemHKII!$B$4:$B$58,0),INDEX($Y$7:$AB$20,MATCH(I13,$Y$7:$Y$20,0),$AA$6))&lt;&gt;"",INDEX(BDHK2,MATCH(H2,DiemHKII!$B$4:$B$58,0),INDEX($Y$7:$AB$20,MATCH(I13,$Y$7:$Y$20,0),$AA$6)),"/"),"")</f>
        <v>/</v>
      </c>
      <c r="L13" s="35" t="str">
        <f>IF(H2&lt;&gt;"",IF(INDEX(BDHK2,MATCH(H2,DiemHKII!$B$4:$B$58,0),INDEX($Y$7:$AB$20,MATCH(I13,$Y$7:$Y$20,0),$AB$6))&lt;&gt;"",INDEX(BDHK2,MATCH(H2,DiemHKII!$B$4:$B$58,0),INDEX($Y$7:$AB$20,MATCH(I13,$Y$7:$Y$20,0),$AB$6)),"/"),"")</f>
        <v>/</v>
      </c>
      <c r="M13" s="88"/>
      <c r="N13" s="79" t="s">
        <v>199</v>
      </c>
      <c r="O13" s="81" t="s">
        <v>33</v>
      </c>
      <c r="P13" s="35">
        <f>IF(N2&lt;&gt;"",IF(INDEX(BDHK2,MATCH(N2,DiemHKII!$B$4:$B$58,0),INDEX($Y$7:$AB$20,MATCH(O13,$Y$7:$Y$20,0),$Z$6))&lt;&gt;"",INDEX(BDHK2,MATCH(N2,DiemHKII!$B$4:$B$58,0),INDEX($Y$7:$AB$20,MATCH(O13,$Y$7:$Y$20,0),$Z$6)),"/"),"")</f>
        <v>8.1999999999999993</v>
      </c>
      <c r="Q13" s="35" t="str">
        <f>IF(N2&lt;&gt;"",IF(INDEX(BDHK2,MATCH(N2,DiemHKII!$B$4:$B$58,0),INDEX($Y$7:$AB$20,MATCH(O13,$Y$7:$Y$20,0),$AA$6))&lt;&gt;"",INDEX(BDHK2,MATCH(N2,DiemHKII!$B$4:$B$58,0),INDEX($Y$7:$AB$20,MATCH(O13,$Y$7:$Y$20,0),$AA$6)),"/"),"")</f>
        <v>/</v>
      </c>
      <c r="R13" s="35" t="str">
        <f>IF(N2&lt;&gt;"",IF(INDEX(BDHK2,MATCH(N2,DiemHKII!$B$4:$B$58,0),INDEX($Y$7:$AB$20,MATCH(O13,$Y$7:$Y$20,0),$AB$6))&lt;&gt;"",INDEX(BDHK2,MATCH(N2,DiemHKII!$B$4:$B$58,0),INDEX($Y$7:$AB$20,MATCH(O13,$Y$7:$Y$20,0),$AB$6)),"/"),"")</f>
        <v>/</v>
      </c>
      <c r="S13" s="88"/>
      <c r="Y13" s="349" t="s">
        <v>31</v>
      </c>
      <c r="Z13" s="442">
        <v>71</v>
      </c>
      <c r="AA13" s="442">
        <v>72</v>
      </c>
      <c r="AB13" s="442">
        <v>73</v>
      </c>
    </row>
    <row r="14" spans="1:28" ht="15.6" customHeight="1">
      <c r="A14" s="88"/>
      <c r="B14" s="79" t="s">
        <v>200</v>
      </c>
      <c r="C14" s="81" t="s">
        <v>60</v>
      </c>
      <c r="D14" s="35">
        <f>IF(B2&lt;&gt;"",IF(INDEX(BDHK2,MATCH(B2,DiemHKII!$B$4:$B$58,0),INDEX($Y$7:$AB$20,MATCH(C14,$Y$7:$Y$20,0),$Z$6))&lt;&gt;"",INDEX(BDHK2,MATCH(B2,DiemHKII!$B$4:$B$58,0),INDEX($Y$7:$AB$20,MATCH(C14,$Y$7:$Y$20,0),$Z$6)),"/"),"")</f>
        <v>9.1</v>
      </c>
      <c r="E14" s="35" t="str">
        <f>IF(B2&lt;&gt;"",IF(INDEX(BDHK2,MATCH(B2,DiemHKII!$B$4:$B$58,0),INDEX($Y$7:$AB$20,MATCH(C14,$Y$7:$Y$20,0),$AA$6))&lt;&gt;"",INDEX(BDHK2,MATCH(B2,DiemHKII!$B$4:$B$58,0),INDEX($Y$7:$AB$20,MATCH(C14,$Y$7:$Y$20,0),$AA$6)),"/"),"")</f>
        <v>/</v>
      </c>
      <c r="F14" s="35" t="str">
        <f>IF(B2&lt;&gt;"",IF(INDEX(BDHK2,MATCH(B2,DiemHKII!$B$4:$B$58,0),INDEX($Y$7:$AB$20,MATCH(C14,$Y$7:$Y$20,0),$AB$6))&lt;&gt;"",INDEX(BDHK2,MATCH(B2,DiemHKII!$B$4:$B$58,0),INDEX($Y$7:$AB$20,MATCH(C14,$Y$7:$Y$20,0),$AB$6)),"/"),"")</f>
        <v>/</v>
      </c>
      <c r="G14" s="88"/>
      <c r="H14" s="79" t="s">
        <v>200</v>
      </c>
      <c r="I14" s="81" t="s">
        <v>60</v>
      </c>
      <c r="J14" s="35">
        <f>IF(H2&lt;&gt;"",IF(INDEX(BDHK2,MATCH(H2,DiemHKII!$B$4:$B$58,0),INDEX($Y$7:$AB$20,MATCH(I14,$Y$7:$Y$20,0),$Z$6))&lt;&gt;"",INDEX(BDHK2,MATCH(H2,DiemHKII!$B$4:$B$58,0),INDEX($Y$7:$AB$20,MATCH(I14,$Y$7:$Y$20,0),$Z$6)),"/"),"")</f>
        <v>9.1</v>
      </c>
      <c r="K14" s="35" t="str">
        <f>IF(H2&lt;&gt;"",IF(INDEX(BDHK2,MATCH(H2,DiemHKII!$B$4:$B$58,0),INDEX($Y$7:$AB$20,MATCH(I14,$Y$7:$Y$20,0),$AA$6))&lt;&gt;"",INDEX(BDHK2,MATCH(H2,DiemHKII!$B$4:$B$58,0),INDEX($Y$7:$AB$20,MATCH(I14,$Y$7:$Y$20,0),$AA$6)),"/"),"")</f>
        <v>/</v>
      </c>
      <c r="L14" s="35" t="str">
        <f>IF(H2&lt;&gt;"",IF(INDEX(BDHK2,MATCH(H2,DiemHKII!$B$4:$B$58,0),INDEX($Y$7:$AB$20,MATCH(I14,$Y$7:$Y$20,0),$AB$6))&lt;&gt;"",INDEX(BDHK2,MATCH(H2,DiemHKII!$B$4:$B$58,0),INDEX($Y$7:$AB$20,MATCH(I14,$Y$7:$Y$20,0),$AB$6)),"/"),"")</f>
        <v>/</v>
      </c>
      <c r="M14" s="88"/>
      <c r="N14" s="79" t="s">
        <v>200</v>
      </c>
      <c r="O14" s="81" t="s">
        <v>60</v>
      </c>
      <c r="P14" s="35">
        <f>IF(N2&lt;&gt;"",IF(INDEX(BDHK2,MATCH(N2,DiemHKII!$B$4:$B$58,0),INDEX($Y$7:$AB$20,MATCH(O14,$Y$7:$Y$20,0),$Z$6))&lt;&gt;"",INDEX(BDHK2,MATCH(N2,DiemHKII!$B$4:$B$58,0),INDEX($Y$7:$AB$20,MATCH(O14,$Y$7:$Y$20,0),$Z$6)),"/"),"")</f>
        <v>8.8000000000000007</v>
      </c>
      <c r="Q14" s="35" t="str">
        <f>IF(N2&lt;&gt;"",IF(INDEX(BDHK2,MATCH(N2,DiemHKII!$B$4:$B$58,0),INDEX($Y$7:$AB$20,MATCH(O14,$Y$7:$Y$20,0),$AA$6))&lt;&gt;"",INDEX(BDHK2,MATCH(N2,DiemHKII!$B$4:$B$58,0),INDEX($Y$7:$AB$20,MATCH(O14,$Y$7:$Y$20,0),$AA$6)),"/"),"")</f>
        <v>/</v>
      </c>
      <c r="R14" s="35" t="str">
        <f>IF(N2&lt;&gt;"",IF(INDEX(BDHK2,MATCH(N2,DiemHKII!$B$4:$B$58,0),INDEX($Y$7:$AB$20,MATCH(O14,$Y$7:$Y$20,0),$AB$6))&lt;&gt;"",INDEX(BDHK2,MATCH(N2,DiemHKII!$B$4:$B$58,0),INDEX($Y$7:$AB$20,MATCH(O14,$Y$7:$Y$20,0),$AB$6)),"/"),"")</f>
        <v>/</v>
      </c>
      <c r="S14" s="88"/>
      <c r="Y14" s="349" t="s">
        <v>32</v>
      </c>
      <c r="Z14" s="442">
        <v>80</v>
      </c>
      <c r="AA14" s="442">
        <v>81</v>
      </c>
      <c r="AB14" s="442">
        <v>82</v>
      </c>
    </row>
    <row r="15" spans="1:28" ht="15.6" customHeight="1">
      <c r="A15" s="88"/>
      <c r="B15" s="79" t="s">
        <v>201</v>
      </c>
      <c r="C15" s="81" t="s">
        <v>34</v>
      </c>
      <c r="D15" s="35">
        <f>IF(B2&lt;&gt;"",IF(INDEX(BDHK2,MATCH(B2,DiemHKII!$B$4:$B$58,0),INDEX($Y$7:$AB$20,MATCH(C15,$Y$7:$Y$20,0),$Z$6))&lt;&gt;"",INDEX(BDHK2,MATCH(B2,DiemHKII!$B$4:$B$58,0),INDEX($Y$7:$AB$20,MATCH(C15,$Y$7:$Y$20,0),$Z$6)),"/"),"")</f>
        <v>9.5</v>
      </c>
      <c r="E15" s="35" t="str">
        <f>IF(B2&lt;&gt;"",IF(INDEX(BDHK2,MATCH(B2,DiemHKII!$B$4:$B$58,0),INDEX($Y$7:$AB$20,MATCH(C15,$Y$7:$Y$20,0),$AA$6))&lt;&gt;"",INDEX(BDHK2,MATCH(B2,DiemHKII!$B$4:$B$58,0),INDEX($Y$7:$AB$20,MATCH(C15,$Y$7:$Y$20,0),$AA$6)),"/"),"")</f>
        <v>/</v>
      </c>
      <c r="F15" s="35" t="str">
        <f>IF(B2&lt;&gt;"",IF(INDEX(BDHK2,MATCH(B2,DiemHKII!$B$4:$B$58,0),INDEX($Y$7:$AB$20,MATCH(C15,$Y$7:$Y$20,0),$AB$6))&lt;&gt;"",INDEX(BDHK2,MATCH(B2,DiemHKII!$B$4:$B$58,0),INDEX($Y$7:$AB$20,MATCH(C15,$Y$7:$Y$20,0),$AB$6)),"/"),"")</f>
        <v>/</v>
      </c>
      <c r="G15" s="88"/>
      <c r="H15" s="79" t="s">
        <v>201</v>
      </c>
      <c r="I15" s="81" t="s">
        <v>34</v>
      </c>
      <c r="J15" s="35">
        <f>IF(H2&lt;&gt;"",IF(INDEX(BDHK2,MATCH(H2,DiemHKII!$B$4:$B$58,0),INDEX($Y$7:$AB$20,MATCH(I15,$Y$7:$Y$20,0),$Z$6))&lt;&gt;"",INDEX(BDHK2,MATCH(H2,DiemHKII!$B$4:$B$58,0),INDEX($Y$7:$AB$20,MATCH(I15,$Y$7:$Y$20,0),$Z$6)),"/"),"")</f>
        <v>9.8000000000000007</v>
      </c>
      <c r="K15" s="35" t="str">
        <f>IF(H2&lt;&gt;"",IF(INDEX(BDHK2,MATCH(H2,DiemHKII!$B$4:$B$58,0),INDEX($Y$7:$AB$20,MATCH(I15,$Y$7:$Y$20,0),$AA$6))&lt;&gt;"",INDEX(BDHK2,MATCH(H2,DiemHKII!$B$4:$B$58,0),INDEX($Y$7:$AB$20,MATCH(I15,$Y$7:$Y$20,0),$AA$6)),"/"),"")</f>
        <v>/</v>
      </c>
      <c r="L15" s="35" t="str">
        <f>IF(H2&lt;&gt;"",IF(INDEX(BDHK2,MATCH(H2,DiemHKII!$B$4:$B$58,0),INDEX($Y$7:$AB$20,MATCH(I15,$Y$7:$Y$20,0),$AB$6))&lt;&gt;"",INDEX(BDHK2,MATCH(H2,DiemHKII!$B$4:$B$58,0),INDEX($Y$7:$AB$20,MATCH(I15,$Y$7:$Y$20,0),$AB$6)),"/"),"")</f>
        <v>/</v>
      </c>
      <c r="M15" s="88"/>
      <c r="N15" s="79" t="s">
        <v>201</v>
      </c>
      <c r="O15" s="81" t="s">
        <v>34</v>
      </c>
      <c r="P15" s="35">
        <f>IF(N2&lt;&gt;"",IF(INDEX(BDHK2,MATCH(N2,DiemHKII!$B$4:$B$58,0),INDEX($Y$7:$AB$20,MATCH(O15,$Y$7:$Y$20,0),$Z$6))&lt;&gt;"",INDEX(BDHK2,MATCH(N2,DiemHKII!$B$4:$B$58,0),INDEX($Y$7:$AB$20,MATCH(O15,$Y$7:$Y$20,0),$Z$6)),"/"),"")</f>
        <v>9.5</v>
      </c>
      <c r="Q15" s="35" t="str">
        <f>IF(N2&lt;&gt;"",IF(INDEX(BDHK2,MATCH(N2,DiemHKII!$B$4:$B$58,0),INDEX($Y$7:$AB$20,MATCH(O15,$Y$7:$Y$20,0),$AA$6))&lt;&gt;"",INDEX(BDHK2,MATCH(N2,DiemHKII!$B$4:$B$58,0),INDEX($Y$7:$AB$20,MATCH(O15,$Y$7:$Y$20,0),$AA$6)),"/"),"")</f>
        <v>/</v>
      </c>
      <c r="R15" s="35" t="str">
        <f>IF(N2&lt;&gt;"",IF(INDEX(BDHK2,MATCH(N2,DiemHKII!$B$4:$B$58,0),INDEX($Y$7:$AB$20,MATCH(O15,$Y$7:$Y$20,0),$AB$6))&lt;&gt;"",INDEX(BDHK2,MATCH(N2,DiemHKII!$B$4:$B$58,0),INDEX($Y$7:$AB$20,MATCH(O15,$Y$7:$Y$20,0),$AB$6)),"/"),"")</f>
        <v>/</v>
      </c>
      <c r="S15" s="88"/>
      <c r="Y15" s="349" t="s">
        <v>33</v>
      </c>
      <c r="Z15" s="442">
        <v>89</v>
      </c>
      <c r="AA15" s="442">
        <v>90</v>
      </c>
      <c r="AB15" s="442">
        <v>91</v>
      </c>
    </row>
    <row r="16" spans="1:28" ht="15.6" customHeight="1">
      <c r="A16" s="88"/>
      <c r="B16" s="79" t="s">
        <v>202</v>
      </c>
      <c r="C16" s="81" t="s">
        <v>35</v>
      </c>
      <c r="D16" s="35" t="str">
        <f>IF(B2&lt;&gt;"",IF(INDEX(BDHK2,MATCH(B2,DiemHKII!$B$4:$B$58,0),INDEX($Y$7:$AB$20,MATCH(C16,$Y$7:$Y$20,0),$Z$6))&lt;&gt;"",INDEX(BDHK2,MATCH(B2,DiemHKII!$B$4:$B$58,0),INDEX($Y$7:$AB$20,MATCH(C16,$Y$7:$Y$20,0),$Z$6)),"/"),"")</f>
        <v>Đ</v>
      </c>
      <c r="E16" s="35" t="str">
        <f>IF(B2&lt;&gt;"",IF(INDEX(BDHK2,MATCH(B2,DiemHKII!$B$4:$B$58,0),INDEX($Y$7:$AB$20,MATCH(C16,$Y$7:$Y$20,0),$AA$6))&lt;&gt;"",INDEX(BDHK2,MATCH(B2,DiemHKII!$B$4:$B$58,0),INDEX($Y$7:$AB$20,MATCH(C16,$Y$7:$Y$20,0),$AA$6)),"/"),"")</f>
        <v>/</v>
      </c>
      <c r="F16" s="35" t="str">
        <f>IF(B2&lt;&gt;"",IF(INDEX(BDHK2,MATCH(B2,DiemHKII!$B$4:$B$58,0),INDEX($Y$7:$AB$20,MATCH(C16,$Y$7:$Y$20,0),$AB$6))&lt;&gt;"",INDEX(BDHK2,MATCH(B2,DiemHKII!$B$4:$B$58,0),INDEX($Y$7:$AB$20,MATCH(C16,$Y$7:$Y$20,0),$AB$6)),"/"),"")</f>
        <v>Đ</v>
      </c>
      <c r="G16" s="88"/>
      <c r="H16" s="79" t="s">
        <v>202</v>
      </c>
      <c r="I16" s="81" t="s">
        <v>35</v>
      </c>
      <c r="J16" s="35" t="str">
        <f>IF(H2&lt;&gt;"",IF(INDEX(BDHK2,MATCH(H2,DiemHKII!$B$4:$B$58,0),INDEX($Y$7:$AB$20,MATCH(I16,$Y$7:$Y$20,0),$Z$6))&lt;&gt;"",INDEX(BDHK2,MATCH(H2,DiemHKII!$B$4:$B$58,0),INDEX($Y$7:$AB$20,MATCH(I16,$Y$7:$Y$20,0),$Z$6)),"/"),"")</f>
        <v>Đ</v>
      </c>
      <c r="K16" s="35" t="str">
        <f>IF(H2&lt;&gt;"",IF(INDEX(BDHK2,MATCH(H2,DiemHKII!$B$4:$B$58,0),INDEX($Y$7:$AB$20,MATCH(I16,$Y$7:$Y$20,0),$AA$6))&lt;&gt;"",INDEX(BDHK2,MATCH(H2,DiemHKII!$B$4:$B$58,0),INDEX($Y$7:$AB$20,MATCH(I16,$Y$7:$Y$20,0),$AA$6)),"/"),"")</f>
        <v>/</v>
      </c>
      <c r="L16" s="35" t="str">
        <f>IF(H2&lt;&gt;"",IF(INDEX(BDHK2,MATCH(H2,DiemHKII!$B$4:$B$58,0),INDEX($Y$7:$AB$20,MATCH(I16,$Y$7:$Y$20,0),$AB$6))&lt;&gt;"",INDEX(BDHK2,MATCH(H2,DiemHKII!$B$4:$B$58,0),INDEX($Y$7:$AB$20,MATCH(I16,$Y$7:$Y$20,0),$AB$6)),"/"),"")</f>
        <v>Đ</v>
      </c>
      <c r="M16" s="88"/>
      <c r="N16" s="79" t="s">
        <v>202</v>
      </c>
      <c r="O16" s="81" t="s">
        <v>35</v>
      </c>
      <c r="P16" s="35" t="str">
        <f>IF(N2&lt;&gt;"",IF(INDEX(BDHK2,MATCH(N2,DiemHKII!$B$4:$B$58,0),INDEX($Y$7:$AB$20,MATCH(O16,$Y$7:$Y$20,0),$Z$6))&lt;&gt;"",INDEX(BDHK2,MATCH(N2,DiemHKII!$B$4:$B$58,0),INDEX($Y$7:$AB$20,MATCH(O16,$Y$7:$Y$20,0),$Z$6)),"/"),"")</f>
        <v>Đ</v>
      </c>
      <c r="Q16" s="35" t="str">
        <f>IF(N2&lt;&gt;"",IF(INDEX(BDHK2,MATCH(N2,DiemHKII!$B$4:$B$58,0),INDEX($Y$7:$AB$20,MATCH(O16,$Y$7:$Y$20,0),$AA$6))&lt;&gt;"",INDEX(BDHK2,MATCH(N2,DiemHKII!$B$4:$B$58,0),INDEX($Y$7:$AB$20,MATCH(O16,$Y$7:$Y$20,0),$AA$6)),"/"),"")</f>
        <v>/</v>
      </c>
      <c r="R16" s="35" t="str">
        <f>IF(N2&lt;&gt;"",IF(INDEX(BDHK2,MATCH(N2,DiemHKII!$B$4:$B$58,0),INDEX($Y$7:$AB$20,MATCH(O16,$Y$7:$Y$20,0),$AB$6))&lt;&gt;"",INDEX(BDHK2,MATCH(N2,DiemHKII!$B$4:$B$58,0),INDEX($Y$7:$AB$20,MATCH(O16,$Y$7:$Y$20,0),$AB$6)),"/"),"")</f>
        <v>Đ</v>
      </c>
      <c r="S16" s="88"/>
      <c r="Y16" s="349" t="s">
        <v>60</v>
      </c>
      <c r="Z16" s="442">
        <v>98</v>
      </c>
      <c r="AA16" s="442">
        <v>99</v>
      </c>
      <c r="AB16" s="442">
        <v>100</v>
      </c>
    </row>
    <row r="17" spans="1:28" ht="15.6" customHeight="1">
      <c r="A17" s="88"/>
      <c r="B17" s="79" t="s">
        <v>203</v>
      </c>
      <c r="C17" s="81" t="s">
        <v>121</v>
      </c>
      <c r="D17" s="35">
        <f>IF(B2&lt;&gt;"",IF(INDEX(BDHK2,MATCH(B2,DiemHKII!$B$4:$B$58,0),INDEX($Y$7:$AB$20,MATCH(C17,$Y$7:$Y$20,0),$Z$6))&lt;&gt;"",INDEX(BDHK2,MATCH(B2,DiemHKII!$B$4:$B$58,0),INDEX($Y$7:$AB$20,MATCH(C17,$Y$7:$Y$20,0),$Z$6)),"/"),"")</f>
        <v>9.9</v>
      </c>
      <c r="E17" s="35" t="str">
        <f>IF(B2&lt;&gt;"",IF(INDEX(BDHK2,MATCH(B2,DiemHKII!$B$4:$B$58,0),INDEX($Y$7:$AB$20,MATCH(C17,$Y$7:$Y$20,0),$AA$6))&lt;&gt;"",INDEX(BDHK2,MATCH(B2,DiemHKII!$B$4:$B$58,0),INDEX($Y$7:$AB$20,MATCH(C17,$Y$7:$Y$20,0),$AA$6)),"/"),"")</f>
        <v>/</v>
      </c>
      <c r="F17" s="35" t="str">
        <f>IF(B2&lt;&gt;"",IF(INDEX(BDHK2,MATCH(B2,DiemHKII!$B$4:$B$58,0),INDEX($Y$7:$AB$20,MATCH(C17,$Y$7:$Y$20,0),$AB$6))&lt;&gt;"",INDEX(BDHK2,MATCH(B2,DiemHKII!$B$4:$B$58,0),INDEX($Y$7:$AB$20,MATCH(C17,$Y$7:$Y$20,0),$AB$6)),"/"),"")</f>
        <v>/</v>
      </c>
      <c r="G17" s="88"/>
      <c r="H17" s="79" t="s">
        <v>203</v>
      </c>
      <c r="I17" s="81" t="s">
        <v>121</v>
      </c>
      <c r="J17" s="35">
        <f>IF(H2&lt;&gt;"",IF(INDEX(BDHK2,MATCH(H2,DiemHKII!$B$4:$B$58,0),INDEX($Y$7:$AB$20,MATCH(I17,$Y$7:$Y$20,0),$Z$6))&lt;&gt;"",INDEX(BDHK2,MATCH(H2,DiemHKII!$B$4:$B$58,0),INDEX($Y$7:$AB$20,MATCH(I17,$Y$7:$Y$20,0),$Z$6)),"/"),"")</f>
        <v>9.9</v>
      </c>
      <c r="K17" s="35" t="str">
        <f>IF(H2&lt;&gt;"",IF(INDEX(BDHK2,MATCH(H2,DiemHKII!$B$4:$B$58,0),INDEX($Y$7:$AB$20,MATCH(I17,$Y$7:$Y$20,0),$AA$6))&lt;&gt;"",INDEX(BDHK2,MATCH(H2,DiemHKII!$B$4:$B$58,0),INDEX($Y$7:$AB$20,MATCH(I17,$Y$7:$Y$20,0),$AA$6)),"/"),"")</f>
        <v>/</v>
      </c>
      <c r="L17" s="35" t="str">
        <f>IF(H2&lt;&gt;"",IF(INDEX(BDHK2,MATCH(H2,DiemHKII!$B$4:$B$58,0),INDEX($Y$7:$AB$20,MATCH(I17,$Y$7:$Y$20,0),$AB$6))&lt;&gt;"",INDEX(BDHK2,MATCH(H2,DiemHKII!$B$4:$B$58,0),INDEX($Y$7:$AB$20,MATCH(I17,$Y$7:$Y$20,0),$AB$6)),"/"),"")</f>
        <v>/</v>
      </c>
      <c r="M17" s="88"/>
      <c r="N17" s="79" t="s">
        <v>203</v>
      </c>
      <c r="O17" s="81" t="s">
        <v>121</v>
      </c>
      <c r="P17" s="35">
        <f>IF(N2&lt;&gt;"",IF(INDEX(BDHK2,MATCH(N2,DiemHKII!$B$4:$B$58,0),INDEX($Y$7:$AB$20,MATCH(O17,$Y$7:$Y$20,0),$Z$6))&lt;&gt;"",INDEX(BDHK2,MATCH(N2,DiemHKII!$B$4:$B$58,0),INDEX($Y$7:$AB$20,MATCH(O17,$Y$7:$Y$20,0),$Z$6)),"/"),"")</f>
        <v>9.4</v>
      </c>
      <c r="Q17" s="35" t="str">
        <f>IF(N2&lt;&gt;"",IF(INDEX(BDHK2,MATCH(N2,DiemHKII!$B$4:$B$58,0),INDEX($Y$7:$AB$20,MATCH(O17,$Y$7:$Y$20,0),$AA$6))&lt;&gt;"",INDEX(BDHK2,MATCH(N2,DiemHKII!$B$4:$B$58,0),INDEX($Y$7:$AB$20,MATCH(O17,$Y$7:$Y$20,0),$AA$6)),"/"),"")</f>
        <v>/</v>
      </c>
      <c r="R17" s="35" t="str">
        <f>IF(N2&lt;&gt;"",IF(INDEX(BDHK2,MATCH(N2,DiemHKII!$B$4:$B$58,0),INDEX($Y$7:$AB$20,MATCH(O17,$Y$7:$Y$20,0),$AB$6))&lt;&gt;"",INDEX(BDHK2,MATCH(N2,DiemHKII!$B$4:$B$58,0),INDEX($Y$7:$AB$20,MATCH(O17,$Y$7:$Y$20,0),$AB$6)),"/"),"")</f>
        <v>/</v>
      </c>
      <c r="S17" s="88"/>
      <c r="Y17" s="349" t="s">
        <v>34</v>
      </c>
      <c r="Z17" s="442">
        <v>107</v>
      </c>
      <c r="AA17" s="442">
        <v>108</v>
      </c>
      <c r="AB17" s="442">
        <v>109</v>
      </c>
    </row>
    <row r="18" spans="1:28" ht="15.6" customHeight="1">
      <c r="A18" s="88"/>
      <c r="B18" s="79" t="s">
        <v>204</v>
      </c>
      <c r="C18" s="81" t="s">
        <v>122</v>
      </c>
      <c r="D18" s="35" t="str">
        <f>IF(B2&lt;&gt;"",IF(INDEX(BDHK2,MATCH(B2,DiemHKII!$B$4:$B$58,0),INDEX($Y$7:$AB$20,MATCH(C18,$Y$7:$Y$20,0),$Z$6))&lt;&gt;"",INDEX(BDHK2,MATCH(B2,DiemHKII!$B$4:$B$58,0),INDEX($Y$7:$AB$20,MATCH(C18,$Y$7:$Y$20,0),$Z$6)),"/"),"")</f>
        <v>/</v>
      </c>
      <c r="E18" s="35" t="str">
        <f>IF(B2&lt;&gt;"",IF(INDEX(BDHK2,MATCH(B2,DiemHKII!$B$4:$B$58,0),INDEX($Y$7:$AB$20,MATCH(C18,$Y$7:$Y$20,0),$AA$6))&lt;&gt;"",INDEX(BDHK2,MATCH(B2,DiemHKII!$B$4:$B$58,0),INDEX($Y$7:$AB$20,MATCH(C18,$Y$7:$Y$20,0),$AA$6)),"/"),"")</f>
        <v>/</v>
      </c>
      <c r="F18" s="35" t="str">
        <f>IF(B2&lt;&gt;"",IF(INDEX(BDHK2,MATCH(B2,DiemHKII!$B$4:$B$58,0),INDEX($Y$7:$AB$20,MATCH(C18,$Y$7:$Y$20,0),$AB$6))&lt;&gt;"",INDEX(BDHK2,MATCH(B2,DiemHKII!$B$4:$B$58,0),INDEX($Y$7:$AB$20,MATCH(C18,$Y$7:$Y$20,0),$AB$6)),"/"),"")</f>
        <v>/</v>
      </c>
      <c r="G18" s="88"/>
      <c r="H18" s="79" t="s">
        <v>204</v>
      </c>
      <c r="I18" s="81" t="s">
        <v>122</v>
      </c>
      <c r="J18" s="35" t="str">
        <f>IF(H2&lt;&gt;"",IF(INDEX(BDHK2,MATCH(H2,DiemHKII!$B$4:$B$58,0),INDEX($Y$7:$AB$20,MATCH(I18,$Y$7:$Y$20,0),$Z$6))&lt;&gt;"",INDEX(BDHK2,MATCH(H2,DiemHKII!$B$4:$B$58,0),INDEX($Y$7:$AB$20,MATCH(I18,$Y$7:$Y$20,0),$Z$6)),"/"),"")</f>
        <v>/</v>
      </c>
      <c r="K18" s="35" t="str">
        <f>IF(H2&lt;&gt;"",IF(INDEX(BDHK2,MATCH(H2,DiemHKII!$B$4:$B$58,0),INDEX($Y$7:$AB$20,MATCH(I18,$Y$7:$Y$20,0),$AA$6))&lt;&gt;"",INDEX(BDHK2,MATCH(H2,DiemHKII!$B$4:$B$58,0),INDEX($Y$7:$AB$20,MATCH(I18,$Y$7:$Y$20,0),$AA$6)),"/"),"")</f>
        <v>/</v>
      </c>
      <c r="L18" s="35" t="str">
        <f>IF(H2&lt;&gt;"",IF(INDEX(BDHK2,MATCH(H2,DiemHKII!$B$4:$B$58,0),INDEX($Y$7:$AB$20,MATCH(I18,$Y$7:$Y$20,0),$AB$6))&lt;&gt;"",INDEX(BDHK2,MATCH(H2,DiemHKII!$B$4:$B$58,0),INDEX($Y$7:$AB$20,MATCH(I18,$Y$7:$Y$20,0),$AB$6)),"/"),"")</f>
        <v>/</v>
      </c>
      <c r="M18" s="88"/>
      <c r="N18" s="79" t="s">
        <v>204</v>
      </c>
      <c r="O18" s="81" t="s">
        <v>122</v>
      </c>
      <c r="P18" s="35" t="str">
        <f>IF(N2&lt;&gt;"",IF(INDEX(BDHK2,MATCH(N2,DiemHKII!$B$4:$B$58,0),INDEX($Y$7:$AB$20,MATCH(O18,$Y$7:$Y$20,0),$Z$6))&lt;&gt;"",INDEX(BDHK2,MATCH(N2,DiemHKII!$B$4:$B$58,0),INDEX($Y$7:$AB$20,MATCH(O18,$Y$7:$Y$20,0),$Z$6)),"/"),"")</f>
        <v>/</v>
      </c>
      <c r="Q18" s="35" t="str">
        <f>IF(N2&lt;&gt;"",IF(INDEX(BDHK2,MATCH(N2,DiemHKII!$B$4:$B$58,0),INDEX($Y$7:$AB$20,MATCH(O18,$Y$7:$Y$20,0),$AA$6))&lt;&gt;"",INDEX(BDHK2,MATCH(N2,DiemHKII!$B$4:$B$58,0),INDEX($Y$7:$AB$20,MATCH(O18,$Y$7:$Y$20,0),$AA$6)),"/"),"")</f>
        <v>/</v>
      </c>
      <c r="R18" s="35" t="str">
        <f>IF(N2&lt;&gt;"",IF(INDEX(BDHK2,MATCH(N2,DiemHKII!$B$4:$B$58,0),INDEX($Y$7:$AB$20,MATCH(O18,$Y$7:$Y$20,0),$AB$6))&lt;&gt;"",INDEX(BDHK2,MATCH(N2,DiemHKII!$B$4:$B$58,0),INDEX($Y$7:$AB$20,MATCH(O18,$Y$7:$Y$20,0),$AB$6)),"/"),"")</f>
        <v>/</v>
      </c>
      <c r="S18" s="88"/>
      <c r="Y18" s="349" t="s">
        <v>35</v>
      </c>
      <c r="Z18" s="442">
        <v>116</v>
      </c>
      <c r="AA18" s="442">
        <v>117</v>
      </c>
      <c r="AB18" s="442">
        <v>118</v>
      </c>
    </row>
    <row r="19" spans="1:28" ht="15.6" customHeight="1">
      <c r="A19" s="88"/>
      <c r="B19" s="79" t="s">
        <v>208</v>
      </c>
      <c r="C19" s="81" t="s">
        <v>217</v>
      </c>
      <c r="D19" s="80">
        <f>IF(B2&lt;&gt;"",IF(INDEX('TH CANAM'!$A$9:$BF$63,MATCH(B2,'TH CANAM'!$A$9:$A$63,0),46)&lt;&gt;"",INDEX('TH CANAM'!$A$9:$BF$63,MATCH(B2,'TH CANAM'!$A$9:$A$63,0),46),"/"),"")</f>
        <v>9.3000000000000007</v>
      </c>
      <c r="E19" s="80" t="str">
        <f>IF(B2&lt;&gt;"",IF(INDEX('TH CANAM'!$A$9:$BF$63,MATCH(B2,'TH CANAM'!$A$9:$A$63,0),47)&lt;&gt;"",INDEX('TH CANAM'!$A$9:$BF$63,MATCH(B2,'TH CANAM'!$A$9:$A$63,0),47),"/"),"")</f>
        <v>/</v>
      </c>
      <c r="F19" s="80" t="str">
        <f>IF(B2&lt;&gt;"",IF(INDEX('TH CANAM'!$A$9:$BF$63,MATCH(B2,'TH CANAM'!$A$9:$A$63,0),48)&lt;&gt;"",INDEX('TH CANAM'!$A$9:$BF$63,MATCH(B2,'TH CANAM'!$A$9:$A$63,0),48),"/"),"")</f>
        <v>/</v>
      </c>
      <c r="G19" s="88"/>
      <c r="H19" s="79" t="s">
        <v>208</v>
      </c>
      <c r="I19" s="81" t="s">
        <v>217</v>
      </c>
      <c r="J19" s="80">
        <f>IF(H2&lt;&gt;"",IF(INDEX('TH CANAM'!$A$9:$BF$63,MATCH(H2,'TH CANAM'!$A$9:$A$63,0),46)&lt;&gt;"",INDEX('TH CANAM'!$A$9:$BF$63,MATCH(H2,'TH CANAM'!$A$9:$A$63,0),46),"/"),"")</f>
        <v>9.5</v>
      </c>
      <c r="K19" s="80" t="str">
        <f>IF(H2&lt;&gt;"",IF(INDEX('TH CANAM'!$A$9:$BF$63,MATCH(H2,'TH CANAM'!$A$9:$A$63,0),47)&lt;&gt;"",INDEX('TH CANAM'!$A$9:$BF$63,MATCH(H2,'TH CANAM'!$A$9:$A$63,0),47),"/"),"")</f>
        <v>/</v>
      </c>
      <c r="L19" s="80" t="str">
        <f>IF(H2&lt;&gt;"",IF(INDEX('TH CANAM'!$A$9:$BF$63,MATCH(H2,'TH CANAM'!$A$9:$A$63,0),48)&lt;&gt;"",INDEX('TH CANAM'!$A$9:$BF$63,MATCH(H2,'TH CANAM'!$A$9:$A$63,0),48),"/"),"")</f>
        <v>/</v>
      </c>
      <c r="M19" s="88"/>
      <c r="N19" s="79" t="s">
        <v>208</v>
      </c>
      <c r="O19" s="81" t="s">
        <v>217</v>
      </c>
      <c r="P19" s="80">
        <f>IF(N2&lt;&gt;"",IF(INDEX('TH CANAM'!$A$9:$BF$63,MATCH(N2,'TH CANAM'!$A$9:$A$63,0),46)&lt;&gt;"",INDEX('TH CANAM'!$A$9:$BF$63,MATCH(N2,'TH CANAM'!$A$9:$A$63,0),46),"/"),"")</f>
        <v>9.1</v>
      </c>
      <c r="Q19" s="80" t="str">
        <f>IF(N2&lt;&gt;"",IF(INDEX('TH CANAM'!$A$9:$BF$63,MATCH(N2,'TH CANAM'!$A$9:$A$63,0),47)&lt;&gt;"",INDEX('TH CANAM'!$A$9:$BF$63,MATCH(N2,'TH CANAM'!$A$9:$A$63,0),47),"/"),"")</f>
        <v>/</v>
      </c>
      <c r="R19" s="80" t="str">
        <f>IF(N2&lt;&gt;"",IF(INDEX('TH CANAM'!$A$9:$BF$63,MATCH(N2,'TH CANAM'!$A$9:$A$63,0),48)&lt;&gt;"",INDEX('TH CANAM'!$A$9:$BF$63,MATCH(N2,'TH CANAM'!$A$9:$A$63,0),48),"/"),"")</f>
        <v>/</v>
      </c>
      <c r="S19" s="88"/>
      <c r="Y19" s="349" t="s">
        <v>121</v>
      </c>
      <c r="Z19" s="442">
        <v>125</v>
      </c>
      <c r="AA19" s="442">
        <v>126</v>
      </c>
      <c r="AB19" s="442">
        <v>127</v>
      </c>
    </row>
    <row r="20" spans="1:28" ht="15.6" customHeight="1">
      <c r="A20" s="88"/>
      <c r="B20" s="79" t="s">
        <v>209</v>
      </c>
      <c r="C20" s="82" t="s">
        <v>36</v>
      </c>
      <c r="D20" s="35" t="str">
        <f>IF(B2&lt;&gt;"",IF(INDEX('TH CANAM'!$A$9:$BF$63,MATCH(B2,'TH CANAM'!$A$9:$A$63,0),49)&lt;&gt;"",INDEX('TH CANAM'!$A$9:$BF$63,MATCH(B2,'TH CANAM'!$A$9:$A$63,0),49),"/"),"")</f>
        <v>Giỏi</v>
      </c>
      <c r="E20" s="35" t="str">
        <f>IF(B2&lt;&gt;"",IF(INDEX('TH CANAM'!$A$9:$BF$63,MATCH(B2,'TH CANAM'!$A$9:$A$63,0),50)&lt;&gt;"",INDEX('TH CANAM'!$A$9:$BF$63,MATCH(B2,'TH CANAM'!$A$9:$A$63,0),50),"/"),"")</f>
        <v>/</v>
      </c>
      <c r="F20" s="35" t="str">
        <f>IF(B2&lt;&gt;"",IF(INDEX('TH CANAM'!$A$9:$BF$63,MATCH(B2,'TH CANAM'!$A$9:$A$63,0),51)&lt;&gt;"",INDEX('TH CANAM'!$A$9:$BF$63,MATCH(B2,'TH CANAM'!$A$9:$A$63,0),51),"/"),"")</f>
        <v>/</v>
      </c>
      <c r="G20" s="88"/>
      <c r="H20" s="79" t="s">
        <v>209</v>
      </c>
      <c r="I20" s="82" t="s">
        <v>36</v>
      </c>
      <c r="J20" s="35" t="str">
        <f>IF(H2&lt;&gt;"",IF(INDEX('TH CANAM'!$A$9:$BF$63,MATCH(H2,'TH CANAM'!$A$9:$A$63,0),49)&lt;&gt;"",INDEX('TH CANAM'!$A$9:$BF$63,MATCH(H2,'TH CANAM'!$A$9:$A$63,0),49),"/"),"")</f>
        <v>Giỏi</v>
      </c>
      <c r="K20" s="35" t="str">
        <f>IF(H2&lt;&gt;"",IF(INDEX('TH CANAM'!$A$9:$BF$63,MATCH(H2,'TH CANAM'!$A$9:$A$63,0),50)&lt;&gt;"",INDEX('TH CANAM'!$A$9:$BF$63,MATCH(H2,'TH CANAM'!$A$9:$A$63,0),50),"/"),"")</f>
        <v>/</v>
      </c>
      <c r="L20" s="35" t="str">
        <f>IF(H2&lt;&gt;"",IF(INDEX('TH CANAM'!$A$9:$BF$63,MATCH(H2,'TH CANAM'!$A$9:$A$63,0),51)&lt;&gt;"",INDEX('TH CANAM'!$A$9:$BF$63,MATCH(H2,'TH CANAM'!$A$9:$A$63,0),51),"/"),"")</f>
        <v>/</v>
      </c>
      <c r="M20" s="88"/>
      <c r="N20" s="79" t="s">
        <v>209</v>
      </c>
      <c r="O20" s="82" t="s">
        <v>36</v>
      </c>
      <c r="P20" s="35" t="str">
        <f>IF(N2&lt;&gt;"",IF(INDEX('TH CANAM'!$A$9:$BF$63,MATCH(N2,'TH CANAM'!$A$9:$A$63,0),49)&lt;&gt;"",INDEX('TH CANAM'!$A$9:$BF$63,MATCH(N2,'TH CANAM'!$A$9:$A$63,0),49),"/"),"")</f>
        <v>Giỏi</v>
      </c>
      <c r="Q20" s="35" t="str">
        <f>IF(N2&lt;&gt;"",IF(INDEX('TH CANAM'!$A$9:$BF$63,MATCH(N2,'TH CANAM'!$A$9:$A$63,0),50)&lt;&gt;"",INDEX('TH CANAM'!$A$9:$BF$63,MATCH(N2,'TH CANAM'!$A$9:$A$63,0),50),"/"),"")</f>
        <v>/</v>
      </c>
      <c r="R20" s="35" t="str">
        <f>IF(N2&lt;&gt;"",IF(INDEX('TH CANAM'!$A$9:$BF$63,MATCH(N2,'TH CANAM'!$A$9:$A$63,0),51)&lt;&gt;"",INDEX('TH CANAM'!$A$9:$BF$63,MATCH(N2,'TH CANAM'!$A$9:$A$63,0),51),"/"),"")</f>
        <v>/</v>
      </c>
      <c r="S20" s="88"/>
      <c r="Y20" s="349" t="s">
        <v>122</v>
      </c>
      <c r="Z20" s="442">
        <v>134</v>
      </c>
      <c r="AA20" s="442">
        <v>135</v>
      </c>
      <c r="AB20" s="442">
        <v>136</v>
      </c>
    </row>
    <row r="21" spans="1:28" ht="15.6" customHeight="1">
      <c r="A21" s="88"/>
      <c r="B21" s="79" t="s">
        <v>210</v>
      </c>
      <c r="C21" s="82" t="s">
        <v>37</v>
      </c>
      <c r="D21" s="35" t="str">
        <f>IF(B2&lt;&gt;"",IF(INDEX('TH CANAM'!$A$9:$BF$63,MATCH(B2,'TH CANAM'!$A$9:$A$63,0),52)&lt;&gt;"",INDEX('TH CANAM'!$A$9:$BF$63,MATCH(B2,'TH CANAM'!$A$9:$A$63,0),52),"/"),"")</f>
        <v>Tốt</v>
      </c>
      <c r="E21" s="35" t="str">
        <f>IF(B2&lt;&gt;"",IF(INDEX('TH CANAM'!$A$9:$BF$63,MATCH(B2,'TH CANAM'!$A$9:$A$63,0),53)&lt;&gt;"",INDEX('TH CANAM'!$A$9:$BF$63,MATCH(B2,'TH CANAM'!$A$9:$A$63,0),53),"/"),"")</f>
        <v>/</v>
      </c>
      <c r="F21" s="35" t="str">
        <f>IF(B2&lt;&gt;"",IF(INDEX('TH CANAM'!$A$9:$BF$63,MATCH(B2,'TH CANAM'!$A$9:$A$63,0),54)&lt;&gt;"",INDEX('TH CANAM'!$A$9:$BF$63,MATCH(B2,'TH CANAM'!$A$9:$A$63,0),54),"/"),"")</f>
        <v>/</v>
      </c>
      <c r="G21" s="88"/>
      <c r="H21" s="79" t="s">
        <v>210</v>
      </c>
      <c r="I21" s="82" t="s">
        <v>37</v>
      </c>
      <c r="J21" s="35" t="str">
        <f>IF(H2&lt;&gt;"",IF(INDEX('TH CANAM'!$A$9:$BF$63,MATCH(H2,'TH CANAM'!$A$9:$A$63,0),52)&lt;&gt;"",INDEX('TH CANAM'!$A$9:$BF$63,MATCH(H2,'TH CANAM'!$A$9:$A$63,0),52),"/"),"")</f>
        <v>Tốt</v>
      </c>
      <c r="K21" s="35" t="str">
        <f>IF(H2&lt;&gt;"",IF(INDEX('TH CANAM'!$A$9:$BF$63,MATCH(H2,'TH CANAM'!$A$9:$A$63,0),53)&lt;&gt;"",INDEX('TH CANAM'!$A$9:$BF$63,MATCH(H2,'TH CANAM'!$A$9:$A$63,0),53),"/"),"")</f>
        <v>/</v>
      </c>
      <c r="L21" s="35" t="str">
        <f>IF(H2&lt;&gt;"",IF(INDEX('TH CANAM'!$A$9:$BF$63,MATCH(H2,'TH CANAM'!$A$9:$A$63,0),54)&lt;&gt;"",INDEX('TH CANAM'!$A$9:$BF$63,MATCH(H2,'TH CANAM'!$A$9:$A$63,0),54),"/"),"")</f>
        <v>/</v>
      </c>
      <c r="M21" s="88"/>
      <c r="N21" s="79" t="s">
        <v>210</v>
      </c>
      <c r="O21" s="82" t="s">
        <v>37</v>
      </c>
      <c r="P21" s="35" t="str">
        <f>IF(N2&lt;&gt;"",IF(INDEX('TH CANAM'!$A$9:$BF$63,MATCH(N2,'TH CANAM'!$A$9:$A$63,0),52)&lt;&gt;"",INDEX('TH CANAM'!$A$9:$BF$63,MATCH(N2,'TH CANAM'!$A$9:$A$63,0),52),"/"),"")</f>
        <v>Tốt</v>
      </c>
      <c r="Q21" s="35" t="str">
        <f>IF(N2&lt;&gt;"",IF(INDEX('TH CANAM'!$A$9:$BF$63,MATCH(N2,'TH CANAM'!$A$9:$A$63,0),53)&lt;&gt;"",INDEX('TH CANAM'!$A$9:$BF$63,MATCH(N2,'TH CANAM'!$A$9:$A$63,0),53),"/"),"")</f>
        <v>/</v>
      </c>
      <c r="R21" s="35" t="str">
        <f>IF(N2&lt;&gt;"",IF(INDEX('TH CANAM'!$A$9:$BF$63,MATCH(N2,'TH CANAM'!$A$9:$A$63,0),54)&lt;&gt;"",INDEX('TH CANAM'!$A$9:$BF$63,MATCH(N2,'TH CANAM'!$A$9:$A$63,0),54),"/"),"")</f>
        <v>/</v>
      </c>
      <c r="S21" s="88"/>
      <c r="Y21" s="349"/>
      <c r="Z21" s="442"/>
      <c r="AA21" s="442"/>
      <c r="AB21" s="442"/>
    </row>
    <row r="22" spans="1:28" ht="15.6" customHeight="1">
      <c r="A22" s="88"/>
      <c r="B22" s="79" t="s">
        <v>211</v>
      </c>
      <c r="C22" s="82" t="s">
        <v>25</v>
      </c>
      <c r="D22" s="35" t="str">
        <f>IF(B2&lt;&gt;"",IF(INDEX('TH CANAM'!$A$9:$BF$63,MATCH(B2,'TH CANAM'!$A$9:$A$63,0),57)&lt;&gt;"",INDEX('TH CANAM'!$A$9:$BF$63,MATCH(B2,'TH CANAM'!$A$9:$A$63,0),57),"/"),"")</f>
        <v>HSG</v>
      </c>
      <c r="E22" s="35" t="str">
        <f>IF(B2&lt;&gt;"",IF(INDEX('TH CANAM'!$A$9:$BF$63,MATCH(B2,'TH CANAM'!$A$9:$A$63,0),58)&lt;&gt;"",INDEX('TH CANAM'!$A$9:$BF$63,MATCH(B2,'TH CANAM'!$A$9:$A$63,0),58),"/"),"")</f>
        <v>/</v>
      </c>
      <c r="F22" s="35" t="str">
        <f>IF(B2&lt;&gt;"",IF(INDEX('TH CANAM'!$A$9:$BF$63,MATCH(B2,'TH CANAM'!$A$9:$A$63,0),55)&lt;&gt;"",INDEX('TH CANAM'!$A$9:$BF$63,MATCH(B2,'TH CANAM'!$A$9:$A$63,0),55),"/"),"")</f>
        <v>/</v>
      </c>
      <c r="G22" s="88"/>
      <c r="H22" s="79" t="s">
        <v>211</v>
      </c>
      <c r="I22" s="82" t="s">
        <v>25</v>
      </c>
      <c r="J22" s="35" t="str">
        <f>IF(H2&lt;&gt;"",IF(INDEX('TH CANAM'!$A$9:$BF$63,MATCH(H2,'TH CANAM'!$A$9:$A$63,0),57)&lt;&gt;"",INDEX('TH CANAM'!$A$9:$BF$63,MATCH(H2,'TH CANAM'!$A$9:$A$63,0),57),"/"),"")</f>
        <v>HSG</v>
      </c>
      <c r="K22" s="35" t="str">
        <f>IF(H2&lt;&gt;"",IF(INDEX('TH CANAM'!$A$9:$BF$63,MATCH(H2,'TH CANAM'!$A$9:$A$63,0),58)&lt;&gt;"",INDEX('TH CANAM'!$A$9:$BF$63,MATCH(H2,'TH CANAM'!$A$9:$A$63,0),58),"/"),"")</f>
        <v>/</v>
      </c>
      <c r="L22" s="35" t="str">
        <f>IF(H2&lt;&gt;"",IF(INDEX('TH CANAM'!$A$9:$BF$63,MATCH(H2,'TH CANAM'!$A$9:$A$63,0),55)&lt;&gt;"",INDEX('TH CANAM'!$A$9:$BF$63,MATCH(H2,'TH CANAM'!$A$9:$A$63,0),55),"/"),"")</f>
        <v>/</v>
      </c>
      <c r="M22" s="88"/>
      <c r="N22" s="79" t="s">
        <v>211</v>
      </c>
      <c r="O22" s="82" t="s">
        <v>25</v>
      </c>
      <c r="P22" s="35" t="str">
        <f>IF(N2&lt;&gt;"",IF(INDEX('TH CANAM'!$A$9:$BF$63,MATCH(N2,'TH CANAM'!$A$9:$A$63,0),57)&lt;&gt;"",INDEX('TH CANAM'!$A$9:$BF$63,MATCH(N2,'TH CANAM'!$A$9:$A$63,0),57),"/"),"")</f>
        <v>HSG</v>
      </c>
      <c r="Q22" s="35" t="str">
        <f>IF(N2&lt;&gt;"",IF(INDEX('TH CANAM'!$A$9:$BF$63,MATCH(N2,'TH CANAM'!$A$9:$A$63,0),58)&lt;&gt;"",INDEX('TH CANAM'!$A$9:$BF$63,MATCH(N2,'TH CANAM'!$A$9:$A$63,0),58),"/"),"")</f>
        <v>/</v>
      </c>
      <c r="R22" s="35" t="str">
        <f>IF(N2&lt;&gt;"",IF(INDEX('TH CANAM'!$A$9:$BF$63,MATCH(N2,'TH CANAM'!$A$9:$A$63,0),55)&lt;&gt;"",INDEX('TH CANAM'!$A$9:$BF$63,MATCH(N2,'TH CANAM'!$A$9:$A$63,0),55),"/"),"")</f>
        <v>/</v>
      </c>
      <c r="S22" s="88"/>
    </row>
    <row r="23" spans="1:28" s="251" customFormat="1" ht="15.75" customHeight="1">
      <c r="A23" s="89"/>
      <c r="B23" s="1146" t="s">
        <v>219</v>
      </c>
      <c r="C23" s="1147"/>
      <c r="D23" s="1147"/>
      <c r="E23" s="1147"/>
      <c r="F23" s="1148"/>
      <c r="G23" s="89"/>
      <c r="H23" s="1146" t="s">
        <v>219</v>
      </c>
      <c r="I23" s="1147"/>
      <c r="J23" s="1147"/>
      <c r="K23" s="1147"/>
      <c r="L23" s="1148"/>
      <c r="M23" s="89"/>
      <c r="N23" s="1146" t="s">
        <v>219</v>
      </c>
      <c r="O23" s="1147"/>
      <c r="P23" s="1147"/>
      <c r="Q23" s="1147"/>
      <c r="R23" s="1148"/>
      <c r="S23" s="89"/>
    </row>
    <row r="24" spans="1:28" s="251" customFormat="1" ht="15.6" customHeight="1">
      <c r="A24" s="89"/>
      <c r="B24" s="1143" t="str">
        <f>IFERROR(IF(B2&lt;&gt;"",IF(INDEX(BDHK2,MATCH(B2,DiemHKII!$B$4:$B$58,0),137)&lt;&gt;""," - "&amp;INDEX(BDHK2,MATCH(B2,DiemHKII!$B$4:$B$58,0),137),""),""),"")</f>
        <v/>
      </c>
      <c r="C24" s="1144"/>
      <c r="D24" s="1144"/>
      <c r="E24" s="1144"/>
      <c r="F24" s="1145"/>
      <c r="G24" s="89"/>
      <c r="H24" s="1143" t="str">
        <f>IF(H2&lt;&gt;"",IF(INDEX(BDHK2,MATCH(H2,DiemHKII!$B$4:$B$58,0),137)&lt;&gt;""," - "&amp;INDEX(BDHK2,MATCH(H2,DiemHKII!$B$4:$B$58,0),137),""),"")</f>
        <v/>
      </c>
      <c r="I24" s="1144"/>
      <c r="J24" s="1144"/>
      <c r="K24" s="1144"/>
      <c r="L24" s="1145"/>
      <c r="M24" s="89"/>
      <c r="N24" s="1143" t="str">
        <f>IF(N2&lt;&gt;"",IF(INDEX(BDHK2,MATCH(N2,DiemHKII!$B$4:$B$58,0),137)&lt;&gt;""," - "&amp;INDEX(BDHK2,MATCH(N2,DiemHKII!$B$4:$B$58,0),137),""),"")</f>
        <v/>
      </c>
      <c r="O24" s="1144"/>
      <c r="P24" s="1144"/>
      <c r="Q24" s="1144"/>
      <c r="R24" s="1145"/>
      <c r="S24" s="89"/>
    </row>
    <row r="25" spans="1:28" s="251" customFormat="1" ht="15.6" customHeight="1">
      <c r="A25" s="89"/>
      <c r="B25" s="1143" t="str">
        <f>IFERROR(IF(B2&lt;&gt;"",IF(INDEX(BDHK2,MATCH(B2,DiemHKII!$B$4:$B$58,0),138)&lt;&gt;""," - "&amp;INDEX(BDHK2,MATCH(B2,DiemHKII!$B$4:$B$58,0),138),""),""),"")</f>
        <v/>
      </c>
      <c r="C25" s="1144"/>
      <c r="D25" s="1144"/>
      <c r="E25" s="1144"/>
      <c r="F25" s="1145"/>
      <c r="G25" s="89"/>
      <c r="H25" s="1143" t="str">
        <f>IF(H2&lt;&gt;"",IF(INDEX(BDHK2,MATCH(H2,DiemHKII!$B$4:$B$58,0),138)&lt;&gt;""," - "&amp;INDEX(BDHK2,MATCH(H2,DiemHKII!$B$4:$B$58,0),138),""),"")</f>
        <v/>
      </c>
      <c r="I25" s="1144"/>
      <c r="J25" s="1144"/>
      <c r="K25" s="1144"/>
      <c r="L25" s="1145"/>
      <c r="M25" s="89"/>
      <c r="N25" s="1143" t="str">
        <f>IF(N2&lt;&gt;"",IF(INDEX(BDHK2,MATCH(N2,DiemHKII!$B$4:$B$58,0),138)&lt;&gt;""," - "&amp;INDEX(BDHK2,MATCH(N2,DiemHKII!$B$4:$B$58,0),138),""),"")</f>
        <v/>
      </c>
      <c r="O25" s="1144"/>
      <c r="P25" s="1144"/>
      <c r="Q25" s="1144"/>
      <c r="R25" s="1145"/>
      <c r="S25" s="89"/>
    </row>
    <row r="26" spans="1:28" s="251" customFormat="1" ht="15.6" customHeight="1">
      <c r="A26" s="89"/>
      <c r="B26" s="1143" t="str">
        <f>IF(B2&lt;&gt;"",IF(INDEX(BDHK2,MATCH(B2,DiemHKII!$B$4:$B$58,0),139)&lt;&gt;""," - "&amp;INDEX(BDHK2,MATCH(B2,DiemHKII!$B$4:$B$58,0),139),""),"")</f>
        <v/>
      </c>
      <c r="C26" s="1144"/>
      <c r="D26" s="1144"/>
      <c r="E26" s="1144"/>
      <c r="F26" s="1145"/>
      <c r="G26" s="89"/>
      <c r="H26" s="1143" t="str">
        <f>IF(H2&lt;&gt;"",IF(INDEX(BDHK2,MATCH(H2,DiemHKII!$B$4:$B$58,0),139)&lt;&gt;""," - "&amp;INDEX(BDHK2,MATCH(H2,DiemHKII!$B$4:$B$58,0),139),""),"")</f>
        <v/>
      </c>
      <c r="I26" s="1144"/>
      <c r="J26" s="1144"/>
      <c r="K26" s="1144"/>
      <c r="L26" s="1145"/>
      <c r="M26" s="89"/>
      <c r="N26" s="1143" t="str">
        <f>IF(N2&lt;&gt;"",IF(INDEX(BDHK2,MATCH(N2,DiemHKII!$B$4:$B$58,0),139)&lt;&gt;""," - "&amp;INDEX(BDHK2,MATCH(N2,DiemHKII!$B$4:$B$58,0),139),""),"")</f>
        <v/>
      </c>
      <c r="O26" s="1144"/>
      <c r="P26" s="1144"/>
      <c r="Q26" s="1144"/>
      <c r="R26" s="1145"/>
      <c r="S26" s="89"/>
    </row>
    <row r="27" spans="1:28" s="251" customFormat="1" ht="15.6" customHeight="1">
      <c r="A27" s="89"/>
      <c r="B27" s="1143" t="str">
        <f>IF(B2&lt;&gt;"",IF(INDEX(BDHK2,MATCH(B2,DiemHKII!$B$4:$B$58,0),140)&lt;&gt;""," - "&amp;INDEX(BDHK2,MATCH(B2,DiemHKII!$B$4:$B$58,0),140),""),"")</f>
        <v/>
      </c>
      <c r="C27" s="1144"/>
      <c r="D27" s="1144"/>
      <c r="E27" s="1144"/>
      <c r="F27" s="1145"/>
      <c r="G27" s="89"/>
      <c r="H27" s="1143" t="str">
        <f>IF(H2&lt;&gt;"",IF(INDEX(BDHK2,MATCH(H2,DiemHKII!$B$4:$B$58,0),140)&lt;&gt;""," - "&amp;INDEX(BDHK2,MATCH(H2,DiemHKII!$B$4:$B$58,0),140),""),"")</f>
        <v/>
      </c>
      <c r="I27" s="1144"/>
      <c r="J27" s="1144"/>
      <c r="K27" s="1144"/>
      <c r="L27" s="1145"/>
      <c r="M27" s="89"/>
      <c r="N27" s="1143" t="str">
        <f>IF(N2&lt;&gt;"",IF(INDEX(BDHK2,MATCH(N2,DiemHKII!$B$4:$B$58,0),140)&lt;&gt;""," - "&amp;INDEX(BDHK2,MATCH(N2,DiemHKII!$B$4:$B$58,0),140),""),"")</f>
        <v/>
      </c>
      <c r="O27" s="1144"/>
      <c r="P27" s="1144"/>
      <c r="Q27" s="1144"/>
      <c r="R27" s="1145"/>
      <c r="S27" s="89"/>
    </row>
    <row r="28" spans="1:28" ht="8.25" customHeight="1">
      <c r="A28" s="88"/>
      <c r="B28" s="83"/>
      <c r="C28" s="84"/>
      <c r="D28" s="84"/>
      <c r="E28" s="84"/>
      <c r="F28" s="85"/>
      <c r="G28" s="88"/>
      <c r="H28" s="83"/>
      <c r="I28" s="84"/>
      <c r="J28" s="84"/>
      <c r="K28" s="84"/>
      <c r="L28" s="85"/>
      <c r="M28" s="88"/>
      <c r="N28" s="83"/>
      <c r="O28" s="84"/>
      <c r="P28" s="84"/>
      <c r="Q28" s="84"/>
      <c r="R28" s="85"/>
      <c r="S28" s="88"/>
    </row>
    <row r="29" spans="1:28" ht="6.75" customHeight="1">
      <c r="A29" s="88"/>
      <c r="B29" s="87"/>
      <c r="C29" s="87"/>
      <c r="D29" s="1135"/>
      <c r="E29" s="1135"/>
      <c r="F29" s="1135"/>
      <c r="G29" s="88"/>
      <c r="H29" s="87"/>
      <c r="I29" s="87"/>
      <c r="J29" s="1135"/>
      <c r="K29" s="1135"/>
      <c r="L29" s="1135"/>
      <c r="M29" s="88"/>
      <c r="N29" s="87"/>
      <c r="O29" s="87"/>
      <c r="P29" s="1135"/>
      <c r="Q29" s="1135"/>
      <c r="R29" s="1135"/>
      <c r="S29" s="88"/>
    </row>
    <row r="30" spans="1:28" ht="18" customHeight="1">
      <c r="A30" s="88"/>
      <c r="B30" s="477">
        <f>IF(N2="","",IF(N2&lt;MAX(DiemHKII!$B$4:$B$58),N2+1,""))</f>
        <v>4</v>
      </c>
      <c r="C30" s="1140" t="str">
        <f>IF(B30="","",INDEX(DiemHKII!$E$4:$E$58,MATCH(B30,DiemHKII!$B$4:$B$58,0),1)&amp;" "&amp;INDEX(DiemHKII!$F$4:$F$58,MATCH(B30,DiemHKII!$B$4:$B$58,0),1))</f>
        <v>Nguyễn Quách Mai Anh</v>
      </c>
      <c r="D30" s="1141"/>
      <c r="E30" s="1142"/>
      <c r="F30" s="86" t="str">
        <f>IF('Huong dan'!$C$3="","",'Huong dan'!$C$3)</f>
        <v>12A1</v>
      </c>
      <c r="G30" s="88"/>
      <c r="H30" s="477">
        <f>IF(B30="","",IF(B30&lt;MAX(DiemHKII!$B$4:$B$58),B30+1,""))</f>
        <v>5</v>
      </c>
      <c r="I30" s="1140" t="str">
        <f>IF(H30="","",INDEX(DiemHKII!$E$4:$E$58,MATCH(H30,DiemHKII!$B$4:$B$58,0),1)&amp;" "&amp;INDEX(DiemHKII!$F$4:$F$58,MATCH(H30,DiemHKII!$B$4:$B$58,0),1))</f>
        <v>Vũ Song Anh</v>
      </c>
      <c r="J30" s="1141"/>
      <c r="K30" s="1142"/>
      <c r="L30" s="86" t="str">
        <f>IF('Huong dan'!$C$3="","",'Huong dan'!$C$3)</f>
        <v>12A1</v>
      </c>
      <c r="M30" s="88"/>
      <c r="N30" s="477">
        <f>IF(H30="","",IF(H30&lt;MAX(DiemHKII!$B$4:$B$58),H30+1,""))</f>
        <v>6</v>
      </c>
      <c r="O30" s="1140" t="str">
        <f>IF(N30="","",INDEX(DiemHKII!$E$4:$E$58,MATCH(N30,DiemHKII!$B$4:$B$58,0),1)&amp;" "&amp;INDEX(DiemHKII!$F$4:$F$58,MATCH(N30,DiemHKII!$B$4:$B$58,0),1))</f>
        <v>Phan Gia Bảo</v>
      </c>
      <c r="P30" s="1141"/>
      <c r="Q30" s="1142"/>
      <c r="R30" s="86" t="str">
        <f>IF('Huong dan'!$C$3="","",'Huong dan'!$C$3)</f>
        <v>12A1</v>
      </c>
      <c r="S30" s="88"/>
    </row>
    <row r="31" spans="1:28" ht="18.75" customHeight="1">
      <c r="A31" s="88"/>
      <c r="B31" s="1136" t="str">
        <f>" Sinh ngày: "&amp;IF(B30="","",INDEX(DiemHKII!$G$4:$G$58,MATCH(B30,DiemHKII!$B$4:$B$58,0),1))</f>
        <v xml:space="preserve"> Sinh ngày: 12/05/2004</v>
      </c>
      <c r="C31" s="1137"/>
      <c r="D31" s="1137"/>
      <c r="E31" s="1138" t="str">
        <f>IF(B30="","","NS: "&amp;INDEX(DiemHKII!$H$4:$H$58,MATCH(B30,DiemHKII!$B$4:$B$58,0),1))</f>
        <v xml:space="preserve">NS: </v>
      </c>
      <c r="F31" s="1139"/>
      <c r="G31" s="88"/>
      <c r="H31" s="1136" t="str">
        <f>" Sinh ngày: "&amp;IF(H30="","",INDEX(DiemHKII!$G$4:$G$58,MATCH(H30,DiemHKII!$B$4:$B$58,0),1))</f>
        <v xml:space="preserve"> Sinh ngày: 20/04/2004</v>
      </c>
      <c r="I31" s="1137"/>
      <c r="J31" s="1137"/>
      <c r="K31" s="1138" t="str">
        <f>IF(H30="","","NS: "&amp;INDEX(DiemHKII!$H$4:$H$58,MATCH(H30,DiemHKII!$B$4:$B$58,0),1))</f>
        <v xml:space="preserve">NS: </v>
      </c>
      <c r="L31" s="1139"/>
      <c r="M31" s="88"/>
      <c r="N31" s="1136" t="str">
        <f>" Sinh ngày: "&amp;IF(N30="","",INDEX(DiemHKII!$G$4:$G$58,MATCH(N30,DiemHKII!$B$4:$B$58,0),1))</f>
        <v xml:space="preserve"> Sinh ngày: 27/10/2004</v>
      </c>
      <c r="O31" s="1137"/>
      <c r="P31" s="1137"/>
      <c r="Q31" s="1138" t="str">
        <f>IF(N30="","","NS: "&amp;INDEX(DiemHKII!$H$4:$H$58,MATCH(N30,DiemHKII!$B$4:$B$58,0),1))</f>
        <v xml:space="preserve">NS: </v>
      </c>
      <c r="R31" s="1139"/>
      <c r="S31" s="88"/>
    </row>
    <row r="32" spans="1:28" ht="15.75" customHeight="1">
      <c r="A32" s="88"/>
      <c r="B32" s="381" t="s">
        <v>0</v>
      </c>
      <c r="C32" s="381" t="s">
        <v>59</v>
      </c>
      <c r="D32" s="381" t="s">
        <v>73</v>
      </c>
      <c r="E32" s="381" t="s">
        <v>176</v>
      </c>
      <c r="F32" s="381" t="s">
        <v>98</v>
      </c>
      <c r="G32" s="88"/>
      <c r="H32" s="381" t="s">
        <v>0</v>
      </c>
      <c r="I32" s="381" t="s">
        <v>59</v>
      </c>
      <c r="J32" s="381" t="s">
        <v>73</v>
      </c>
      <c r="K32" s="381" t="s">
        <v>176</v>
      </c>
      <c r="L32" s="381" t="s">
        <v>98</v>
      </c>
      <c r="M32" s="88"/>
      <c r="N32" s="381" t="s">
        <v>0</v>
      </c>
      <c r="O32" s="381" t="s">
        <v>59</v>
      </c>
      <c r="P32" s="381" t="s">
        <v>73</v>
      </c>
      <c r="Q32" s="381" t="s">
        <v>176</v>
      </c>
      <c r="R32" s="381" t="s">
        <v>98</v>
      </c>
      <c r="S32" s="88"/>
    </row>
    <row r="33" spans="1:19" ht="15.6" customHeight="1">
      <c r="A33" s="88"/>
      <c r="B33" s="79" t="s">
        <v>191</v>
      </c>
      <c r="C33" s="81" t="s">
        <v>26</v>
      </c>
      <c r="D33" s="35">
        <f>IF(B30&lt;&gt;"",IF(INDEX(BDHK2,MATCH(B30,DiemHKII!$B$4:$B$58,0),INDEX($Y$7:$AB$20,MATCH(C33,$Y$7:$Y$20,0),$Z$6))&lt;&gt;"",INDEX(BDHK2,MATCH(B30,DiemHKII!$B$4:$B$58,0),INDEX($Y$7:$AB$20,MATCH(C33,$Y$7:$Y$20,0),$Z$6)),"/"),"")</f>
        <v>9.8000000000000007</v>
      </c>
      <c r="E33" s="35" t="str">
        <f>IF(B30&lt;&gt;"",IF(INDEX(BDHK2,MATCH(B30,DiemHKII!$B$4:$B$58,0),INDEX($Y$7:$AB$20,MATCH(C33,$Y$7:$Y$20,0),$AA$6))&lt;&gt;"",INDEX(BDHK2,MATCH(B30,DiemHKII!$B$4:$B$58,0),INDEX($Y$7:$AB$20,MATCH(C33,$Y$7:$Y$20,0),$AA$6)),"/"),"")</f>
        <v>/</v>
      </c>
      <c r="F33" s="35" t="str">
        <f>IF(B30&lt;&gt;"",IF(INDEX(BDHK2,MATCH(B30,DiemHKII!$B$4:$B$58,0),INDEX($Y$7:$AB$20,MATCH(C33,$Y$7:$Y$20,0),$AB$6))&lt;&gt;"",INDEX(BDHK2,MATCH(B30,DiemHKII!$B$4:$B$58,0),INDEX($Y$7:$AB$20,MATCH(C33,$Y$7:$Y$20,0),$AB$6)),"/"),"")</f>
        <v>/</v>
      </c>
      <c r="G33" s="88"/>
      <c r="H33" s="79" t="s">
        <v>191</v>
      </c>
      <c r="I33" s="81" t="s">
        <v>26</v>
      </c>
      <c r="J33" s="35">
        <f>IF(H30&lt;&gt;"",IF(INDEX(BDHK2,MATCH(H30,DiemHKII!$B$4:$B$58,0),INDEX($Y$7:$AB$20,MATCH(I33,$Y$7:$Y$20,0),$Z$6))&lt;&gt;"",INDEX(BDHK2,MATCH(H30,DiemHKII!$B$4:$B$58,0),INDEX($Y$7:$AB$20,MATCH(I33,$Y$7:$Y$20,0),$Z$6)),"/"),"")</f>
        <v>9.6</v>
      </c>
      <c r="K33" s="35" t="str">
        <f>IF(H30&lt;&gt;"",IF(INDEX(BDHK2,MATCH(H30,DiemHKII!$B$4:$B$58,0),INDEX($Y$7:$AB$20,MATCH(I33,$Y$7:$Y$20,0),$AA$6))&lt;&gt;"",INDEX(BDHK2,MATCH(H30,DiemHKII!$B$4:$B$58,0),INDEX($Y$7:$AB$20,MATCH(I33,$Y$7:$Y$20,0),$AA$6)),"/"),"")</f>
        <v>/</v>
      </c>
      <c r="L33" s="35" t="str">
        <f>IF(H30&lt;&gt;"",IF(INDEX(BDHK2,MATCH(H30,DiemHKII!$B$4:$B$58,0),INDEX($Y$7:$AB$20,MATCH(I33,$Y$7:$Y$20,0),$AB$6))&lt;&gt;"",INDEX(BDHK2,MATCH(H30,DiemHKII!$B$4:$B$58,0),INDEX($Y$7:$AB$20,MATCH(I33,$Y$7:$Y$20,0),$AB$6)),"/"),"")</f>
        <v>/</v>
      </c>
      <c r="M33" s="88"/>
      <c r="N33" s="79" t="s">
        <v>191</v>
      </c>
      <c r="O33" s="81" t="s">
        <v>26</v>
      </c>
      <c r="P33" s="35">
        <f>IF(N30&lt;&gt;"",IF(INDEX(BDHK2,MATCH(N30,DiemHKII!$B$4:$B$58,0),INDEX($Y$7:$AB$20,MATCH(O33,$Y$7:$Y$20,0),$Z$6))&lt;&gt;"",INDEX(BDHK2,MATCH(N30,DiemHKII!$B$4:$B$58,0),INDEX($Y$7:$AB$20,MATCH(O33,$Y$7:$Y$20,0),$Z$6)),"/"),"")</f>
        <v>9.5</v>
      </c>
      <c r="Q33" s="35" t="str">
        <f>IF(N30&lt;&gt;"",IF(INDEX(BDHK2,MATCH(N30,DiemHKII!$B$4:$B$58,0),INDEX($Y$7:$AB$20,MATCH(O33,$Y$7:$Y$20,0),$AA$6))&lt;&gt;"",INDEX(BDHK2,MATCH(N30,DiemHKII!$B$4:$B$58,0),INDEX($Y$7:$AB$20,MATCH(O33,$Y$7:$Y$20,0),$AA$6)),"/"),"")</f>
        <v>/</v>
      </c>
      <c r="R33" s="35" t="str">
        <f>IF(N30&lt;&gt;"",IF(INDEX(BDHK2,MATCH(N30,DiemHKII!$B$4:$B$58,0),INDEX($Y$7:$AB$20,MATCH(O33,$Y$7:$Y$20,0),$AB$6))&lt;&gt;"",INDEX(BDHK2,MATCH(N30,DiemHKII!$B$4:$B$58,0),INDEX($Y$7:$AB$20,MATCH(O33,$Y$7:$Y$20,0),$AB$6)),"/"),"")</f>
        <v>/</v>
      </c>
      <c r="S33" s="88"/>
    </row>
    <row r="34" spans="1:19" ht="15.6" customHeight="1">
      <c r="A34" s="88"/>
      <c r="B34" s="79" t="s">
        <v>192</v>
      </c>
      <c r="C34" s="81" t="s">
        <v>27</v>
      </c>
      <c r="D34" s="35">
        <f>IF(B30&lt;&gt;"",IF(INDEX(BDHK2,MATCH(B30,DiemHKII!$B$4:$B$58,0),INDEX($Y$7:$AB$20,MATCH(C34,$Y$7:$Y$20,0),$Z$6))&lt;&gt;"",INDEX(BDHK2,MATCH(B30,DiemHKII!$B$4:$B$58,0),INDEX($Y$7:$AB$20,MATCH(C34,$Y$7:$Y$20,0),$Z$6)),"/"),"")</f>
        <v>9.6999999999999993</v>
      </c>
      <c r="E34" s="35" t="str">
        <f>IF(B30&lt;&gt;"",IF(INDEX(BDHK2,MATCH(B30,DiemHKII!$B$4:$B$58,0),INDEX($Y$7:$AB$20,MATCH(C34,$Y$7:$Y$20,0),$AA$6))&lt;&gt;"",INDEX(BDHK2,MATCH(B30,DiemHKII!$B$4:$B$58,0),INDEX($Y$7:$AB$20,MATCH(C34,$Y$7:$Y$20,0),$AA$6)),"/"),"")</f>
        <v>/</v>
      </c>
      <c r="F34" s="35" t="str">
        <f>IF(B30&lt;&gt;"",IF(INDEX(BDHK2,MATCH(B30,DiemHKII!$B$4:$B$58,0),INDEX($Y$7:$AB$20,MATCH(C34,$Y$7:$Y$20,0),$AB$6))&lt;&gt;"",INDEX(BDHK2,MATCH(B30,DiemHKII!$B$4:$B$58,0),INDEX($Y$7:$AB$20,MATCH(C34,$Y$7:$Y$20,0),$AB$6)),"/"),"")</f>
        <v>/</v>
      </c>
      <c r="G34" s="88"/>
      <c r="H34" s="79" t="s">
        <v>192</v>
      </c>
      <c r="I34" s="81" t="s">
        <v>27</v>
      </c>
      <c r="J34" s="35">
        <f>IF(H30&lt;&gt;"",IF(INDEX(BDHK2,MATCH(H30,DiemHKII!$B$4:$B$58,0),INDEX($Y$7:$AB$20,MATCH(I34,$Y$7:$Y$20,0),$Z$6))&lt;&gt;"",INDEX(BDHK2,MATCH(H30,DiemHKII!$B$4:$B$58,0),INDEX($Y$7:$AB$20,MATCH(I34,$Y$7:$Y$20,0),$Z$6)),"/"),"")</f>
        <v>9.6</v>
      </c>
      <c r="K34" s="35" t="str">
        <f>IF(H30&lt;&gt;"",IF(INDEX(BDHK2,MATCH(H30,DiemHKII!$B$4:$B$58,0),INDEX($Y$7:$AB$20,MATCH(I34,$Y$7:$Y$20,0),$AA$6))&lt;&gt;"",INDEX(BDHK2,MATCH(H30,DiemHKII!$B$4:$B$58,0),INDEX($Y$7:$AB$20,MATCH(I34,$Y$7:$Y$20,0),$AA$6)),"/"),"")</f>
        <v>/</v>
      </c>
      <c r="L34" s="35" t="str">
        <f>IF(H30&lt;&gt;"",IF(INDEX(BDHK2,MATCH(H30,DiemHKII!$B$4:$B$58,0),INDEX($Y$7:$AB$20,MATCH(I34,$Y$7:$Y$20,0),$AB$6))&lt;&gt;"",INDEX(BDHK2,MATCH(H30,DiemHKII!$B$4:$B$58,0),INDEX($Y$7:$AB$20,MATCH(I34,$Y$7:$Y$20,0),$AB$6)),"/"),"")</f>
        <v>/</v>
      </c>
      <c r="M34" s="88"/>
      <c r="N34" s="79" t="s">
        <v>192</v>
      </c>
      <c r="O34" s="81" t="s">
        <v>27</v>
      </c>
      <c r="P34" s="35">
        <f>IF(N30&lt;&gt;"",IF(INDEX(BDHK2,MATCH(N30,DiemHKII!$B$4:$B$58,0),INDEX($Y$7:$AB$20,MATCH(O34,$Y$7:$Y$20,0),$Z$6))&lt;&gt;"",INDEX(BDHK2,MATCH(N30,DiemHKII!$B$4:$B$58,0),INDEX($Y$7:$AB$20,MATCH(O34,$Y$7:$Y$20,0),$Z$6)),"/"),"")</f>
        <v>9.4</v>
      </c>
      <c r="Q34" s="35" t="str">
        <f>IF(N30&lt;&gt;"",IF(INDEX(BDHK2,MATCH(N30,DiemHKII!$B$4:$B$58,0),INDEX($Y$7:$AB$20,MATCH(O34,$Y$7:$Y$20,0),$AA$6))&lt;&gt;"",INDEX(BDHK2,MATCH(N30,DiemHKII!$B$4:$B$58,0),INDEX($Y$7:$AB$20,MATCH(O34,$Y$7:$Y$20,0),$AA$6)),"/"),"")</f>
        <v>/</v>
      </c>
      <c r="R34" s="35" t="str">
        <f>IF(N30&lt;&gt;"",IF(INDEX(BDHK2,MATCH(N30,DiemHKII!$B$4:$B$58,0),INDEX($Y$7:$AB$20,MATCH(O34,$Y$7:$Y$20,0),$AB$6))&lt;&gt;"",INDEX(BDHK2,MATCH(N30,DiemHKII!$B$4:$B$58,0),INDEX($Y$7:$AB$20,MATCH(O34,$Y$7:$Y$20,0),$AB$6)),"/"),"")</f>
        <v>/</v>
      </c>
      <c r="S34" s="88"/>
    </row>
    <row r="35" spans="1:19" ht="15.6" customHeight="1">
      <c r="A35" s="88"/>
      <c r="B35" s="79" t="s">
        <v>193</v>
      </c>
      <c r="C35" s="81" t="s">
        <v>28</v>
      </c>
      <c r="D35" s="35">
        <f>IF(B30&lt;&gt;"",IF(INDEX(BDHK2,MATCH(B30,DiemHKII!$B$4:$B$58,0),INDEX($Y$7:$AB$20,MATCH(C35,$Y$7:$Y$20,0),$Z$6))&lt;&gt;"",INDEX(BDHK2,MATCH(B30,DiemHKII!$B$4:$B$58,0),INDEX($Y$7:$AB$20,MATCH(C35,$Y$7:$Y$20,0),$Z$6)),"/"),"")</f>
        <v>9.3000000000000007</v>
      </c>
      <c r="E35" s="35" t="str">
        <f>IF(B30&lt;&gt;"",IF(INDEX(BDHK2,MATCH(B30,DiemHKII!$B$4:$B$58,0),INDEX($Y$7:$AB$20,MATCH(C35,$Y$7:$Y$20,0),$AA$6))&lt;&gt;"",INDEX(BDHK2,MATCH(B30,DiemHKII!$B$4:$B$58,0),INDEX($Y$7:$AB$20,MATCH(C35,$Y$7:$Y$20,0),$AA$6)),"/"),"")</f>
        <v>/</v>
      </c>
      <c r="F35" s="35" t="str">
        <f>IF(B30&lt;&gt;"",IF(INDEX(BDHK2,MATCH(B30,DiemHKII!$B$4:$B$58,0),INDEX($Y$7:$AB$20,MATCH(C35,$Y$7:$Y$20,0),$AB$6))&lt;&gt;"",INDEX(BDHK2,MATCH(B30,DiemHKII!$B$4:$B$58,0),INDEX($Y$7:$AB$20,MATCH(C35,$Y$7:$Y$20,0),$AB$6)),"/"),"")</f>
        <v>/</v>
      </c>
      <c r="G35" s="88"/>
      <c r="H35" s="79" t="s">
        <v>193</v>
      </c>
      <c r="I35" s="81" t="s">
        <v>28</v>
      </c>
      <c r="J35" s="35">
        <f>IF(H30&lt;&gt;"",IF(INDEX(BDHK2,MATCH(H30,DiemHKII!$B$4:$B$58,0),INDEX($Y$7:$AB$20,MATCH(I35,$Y$7:$Y$20,0),$Z$6))&lt;&gt;"",INDEX(BDHK2,MATCH(H30,DiemHKII!$B$4:$B$58,0),INDEX($Y$7:$AB$20,MATCH(I35,$Y$7:$Y$20,0),$Z$6)),"/"),"")</f>
        <v>9.3000000000000007</v>
      </c>
      <c r="K35" s="35" t="str">
        <f>IF(H30&lt;&gt;"",IF(INDEX(BDHK2,MATCH(H30,DiemHKII!$B$4:$B$58,0),INDEX($Y$7:$AB$20,MATCH(I35,$Y$7:$Y$20,0),$AA$6))&lt;&gt;"",INDEX(BDHK2,MATCH(H30,DiemHKII!$B$4:$B$58,0),INDEX($Y$7:$AB$20,MATCH(I35,$Y$7:$Y$20,0),$AA$6)),"/"),"")</f>
        <v>/</v>
      </c>
      <c r="L35" s="35" t="str">
        <f>IF(H30&lt;&gt;"",IF(INDEX(BDHK2,MATCH(H30,DiemHKII!$B$4:$B$58,0),INDEX($Y$7:$AB$20,MATCH(I35,$Y$7:$Y$20,0),$AB$6))&lt;&gt;"",INDEX(BDHK2,MATCH(H30,DiemHKII!$B$4:$B$58,0),INDEX($Y$7:$AB$20,MATCH(I35,$Y$7:$Y$20,0),$AB$6)),"/"),"")</f>
        <v>/</v>
      </c>
      <c r="M35" s="88"/>
      <c r="N35" s="79" t="s">
        <v>193</v>
      </c>
      <c r="O35" s="81" t="s">
        <v>28</v>
      </c>
      <c r="P35" s="35">
        <f>IF(N30&lt;&gt;"",IF(INDEX(BDHK2,MATCH(N30,DiemHKII!$B$4:$B$58,0),INDEX($Y$7:$AB$20,MATCH(O35,$Y$7:$Y$20,0),$Z$6))&lt;&gt;"",INDEX(BDHK2,MATCH(N30,DiemHKII!$B$4:$B$58,0),INDEX($Y$7:$AB$20,MATCH(O35,$Y$7:$Y$20,0),$Z$6)),"/"),"")</f>
        <v>9</v>
      </c>
      <c r="Q35" s="35" t="str">
        <f>IF(N30&lt;&gt;"",IF(INDEX(BDHK2,MATCH(N30,DiemHKII!$B$4:$B$58,0),INDEX($Y$7:$AB$20,MATCH(O35,$Y$7:$Y$20,0),$AA$6))&lt;&gt;"",INDEX(BDHK2,MATCH(N30,DiemHKII!$B$4:$B$58,0),INDEX($Y$7:$AB$20,MATCH(O35,$Y$7:$Y$20,0),$AA$6)),"/"),"")</f>
        <v>/</v>
      </c>
      <c r="R35" s="35" t="str">
        <f>IF(N30&lt;&gt;"",IF(INDEX(BDHK2,MATCH(N30,DiemHKII!$B$4:$B$58,0),INDEX($Y$7:$AB$20,MATCH(O35,$Y$7:$Y$20,0),$AB$6))&lt;&gt;"",INDEX(BDHK2,MATCH(N30,DiemHKII!$B$4:$B$58,0),INDEX($Y$7:$AB$20,MATCH(O35,$Y$7:$Y$20,0),$AB$6)),"/"),"")</f>
        <v>/</v>
      </c>
      <c r="S35" s="88"/>
    </row>
    <row r="36" spans="1:19" ht="15.6" customHeight="1">
      <c r="A36" s="88"/>
      <c r="B36" s="79" t="s">
        <v>194</v>
      </c>
      <c r="C36" s="81" t="s">
        <v>29</v>
      </c>
      <c r="D36" s="35">
        <f>IF(B30&lt;&gt;"",IF(INDEX(BDHK2,MATCH(B30,DiemHKII!$B$4:$B$58,0),INDEX($Y$7:$AB$20,MATCH(C36,$Y$7:$Y$20,0),$Z$6))&lt;&gt;"",INDEX(BDHK2,MATCH(B30,DiemHKII!$B$4:$B$58,0),INDEX($Y$7:$AB$20,MATCH(C36,$Y$7:$Y$20,0),$Z$6)),"/"),"")</f>
        <v>9.1999999999999993</v>
      </c>
      <c r="E36" s="35" t="str">
        <f>IF(B30&lt;&gt;"",IF(INDEX(BDHK2,MATCH(B30,DiemHKII!$B$4:$B$58,0),INDEX($Y$7:$AB$20,MATCH(C36,$Y$7:$Y$20,0),$AA$6))&lt;&gt;"",INDEX(BDHK2,MATCH(B30,DiemHKII!$B$4:$B$58,0),INDEX($Y$7:$AB$20,MATCH(C36,$Y$7:$Y$20,0),$AA$6)),"/"),"")</f>
        <v>/</v>
      </c>
      <c r="F36" s="35" t="str">
        <f>IF(B30&lt;&gt;"",IF(INDEX(BDHK2,MATCH(B30,DiemHKII!$B$4:$B$58,0),INDEX($Y$7:$AB$20,MATCH(C36,$Y$7:$Y$20,0),$AB$6))&lt;&gt;"",INDEX(BDHK2,MATCH(B30,DiemHKII!$B$4:$B$58,0),INDEX($Y$7:$AB$20,MATCH(C36,$Y$7:$Y$20,0),$AB$6)),"/"),"")</f>
        <v>/</v>
      </c>
      <c r="G36" s="88"/>
      <c r="H36" s="79" t="s">
        <v>194</v>
      </c>
      <c r="I36" s="81" t="s">
        <v>29</v>
      </c>
      <c r="J36" s="35">
        <f>IF(H30&lt;&gt;"",IF(INDEX(BDHK2,MATCH(H30,DiemHKII!$B$4:$B$58,0),INDEX($Y$7:$AB$20,MATCH(I36,$Y$7:$Y$20,0),$Z$6))&lt;&gt;"",INDEX(BDHK2,MATCH(H30,DiemHKII!$B$4:$B$58,0),INDEX($Y$7:$AB$20,MATCH(I36,$Y$7:$Y$20,0),$Z$6)),"/"),"")</f>
        <v>9</v>
      </c>
      <c r="K36" s="35" t="str">
        <f>IF(H30&lt;&gt;"",IF(INDEX(BDHK2,MATCH(H30,DiemHKII!$B$4:$B$58,0),INDEX($Y$7:$AB$20,MATCH(I36,$Y$7:$Y$20,0),$AA$6))&lt;&gt;"",INDEX(BDHK2,MATCH(H30,DiemHKII!$B$4:$B$58,0),INDEX($Y$7:$AB$20,MATCH(I36,$Y$7:$Y$20,0),$AA$6)),"/"),"")</f>
        <v>/</v>
      </c>
      <c r="L36" s="35" t="str">
        <f>IF(H30&lt;&gt;"",IF(INDEX(BDHK2,MATCH(H30,DiemHKII!$B$4:$B$58,0),INDEX($Y$7:$AB$20,MATCH(I36,$Y$7:$Y$20,0),$AB$6))&lt;&gt;"",INDEX(BDHK2,MATCH(H30,DiemHKII!$B$4:$B$58,0),INDEX($Y$7:$AB$20,MATCH(I36,$Y$7:$Y$20,0),$AB$6)),"/"),"")</f>
        <v>/</v>
      </c>
      <c r="M36" s="88"/>
      <c r="N36" s="79" t="s">
        <v>194</v>
      </c>
      <c r="O36" s="81" t="s">
        <v>29</v>
      </c>
      <c r="P36" s="35">
        <f>IF(N30&lt;&gt;"",IF(INDEX(BDHK2,MATCH(N30,DiemHKII!$B$4:$B$58,0),INDEX($Y$7:$AB$20,MATCH(O36,$Y$7:$Y$20,0),$Z$6))&lt;&gt;"",INDEX(BDHK2,MATCH(N30,DiemHKII!$B$4:$B$58,0),INDEX($Y$7:$AB$20,MATCH(O36,$Y$7:$Y$20,0),$Z$6)),"/"),"")</f>
        <v>8.8000000000000007</v>
      </c>
      <c r="Q36" s="35" t="str">
        <f>IF(N30&lt;&gt;"",IF(INDEX(BDHK2,MATCH(N30,DiemHKII!$B$4:$B$58,0),INDEX($Y$7:$AB$20,MATCH(O36,$Y$7:$Y$20,0),$AA$6))&lt;&gt;"",INDEX(BDHK2,MATCH(N30,DiemHKII!$B$4:$B$58,0),INDEX($Y$7:$AB$20,MATCH(O36,$Y$7:$Y$20,0),$AA$6)),"/"),"")</f>
        <v>/</v>
      </c>
      <c r="R36" s="35" t="str">
        <f>IF(N30&lt;&gt;"",IF(INDEX(BDHK2,MATCH(N30,DiemHKII!$B$4:$B$58,0),INDEX($Y$7:$AB$20,MATCH(O36,$Y$7:$Y$20,0),$AB$6))&lt;&gt;"",INDEX(BDHK2,MATCH(N30,DiemHKII!$B$4:$B$58,0),INDEX($Y$7:$AB$20,MATCH(O36,$Y$7:$Y$20,0),$AB$6)),"/"),"")</f>
        <v>/</v>
      </c>
      <c r="S36" s="88"/>
    </row>
    <row r="37" spans="1:19" ht="15.6" customHeight="1">
      <c r="A37" s="88"/>
      <c r="B37" s="79" t="s">
        <v>195</v>
      </c>
      <c r="C37" s="81" t="s">
        <v>120</v>
      </c>
      <c r="D37" s="35">
        <f>IF(B30&lt;&gt;"",IF(INDEX(BDHK2,MATCH(B30,DiemHKII!$B$4:$B$58,0),INDEX($Y$7:$AB$20,MATCH(C37,$Y$7:$Y$20,0),$Z$6))&lt;&gt;"",INDEX(BDHK2,MATCH(B30,DiemHKII!$B$4:$B$58,0),INDEX($Y$7:$AB$20,MATCH(C37,$Y$7:$Y$20,0),$Z$6)),"/"),"")</f>
        <v>9.8000000000000007</v>
      </c>
      <c r="E37" s="35" t="str">
        <f>IF(B30&lt;&gt;"",IF(INDEX(BDHK2,MATCH(B30,DiemHKII!$B$4:$B$58,0),INDEX($Y$7:$AB$20,MATCH(C37,$Y$7:$Y$20,0),$AA$6))&lt;&gt;"",INDEX(BDHK2,MATCH(B30,DiemHKII!$B$4:$B$58,0),INDEX($Y$7:$AB$20,MATCH(C37,$Y$7:$Y$20,0),$AA$6)),"/"),"")</f>
        <v>/</v>
      </c>
      <c r="F37" s="35" t="str">
        <f>IF(B30&lt;&gt;"",IF(INDEX(BDHK2,MATCH(B30,DiemHKII!$B$4:$B$58,0),INDEX($Y$7:$AB$20,MATCH(C37,$Y$7:$Y$20,0),$AB$6))&lt;&gt;"",INDEX(BDHK2,MATCH(B30,DiemHKII!$B$4:$B$58,0),INDEX($Y$7:$AB$20,MATCH(C37,$Y$7:$Y$20,0),$AB$6)),"/"),"")</f>
        <v>/</v>
      </c>
      <c r="G37" s="88"/>
      <c r="H37" s="79" t="s">
        <v>195</v>
      </c>
      <c r="I37" s="81" t="s">
        <v>120</v>
      </c>
      <c r="J37" s="35">
        <f>IF(H30&lt;&gt;"",IF(INDEX(BDHK2,MATCH(H30,DiemHKII!$B$4:$B$58,0),INDEX($Y$7:$AB$20,MATCH(I37,$Y$7:$Y$20,0),$Z$6))&lt;&gt;"",INDEX(BDHK2,MATCH(H30,DiemHKII!$B$4:$B$58,0),INDEX($Y$7:$AB$20,MATCH(I37,$Y$7:$Y$20,0),$Z$6)),"/"),"")</f>
        <v>9.6</v>
      </c>
      <c r="K37" s="35" t="str">
        <f>IF(H30&lt;&gt;"",IF(INDEX(BDHK2,MATCH(H30,DiemHKII!$B$4:$B$58,0),INDEX($Y$7:$AB$20,MATCH(I37,$Y$7:$Y$20,0),$AA$6))&lt;&gt;"",INDEX(BDHK2,MATCH(H30,DiemHKII!$B$4:$B$58,0),INDEX($Y$7:$AB$20,MATCH(I37,$Y$7:$Y$20,0),$AA$6)),"/"),"")</f>
        <v>/</v>
      </c>
      <c r="L37" s="35" t="str">
        <f>IF(H30&lt;&gt;"",IF(INDEX(BDHK2,MATCH(H30,DiemHKII!$B$4:$B$58,0),INDEX($Y$7:$AB$20,MATCH(I37,$Y$7:$Y$20,0),$AB$6))&lt;&gt;"",INDEX(BDHK2,MATCH(H30,DiemHKII!$B$4:$B$58,0),INDEX($Y$7:$AB$20,MATCH(I37,$Y$7:$Y$20,0),$AB$6)),"/"),"")</f>
        <v>/</v>
      </c>
      <c r="M37" s="88"/>
      <c r="N37" s="79" t="s">
        <v>195</v>
      </c>
      <c r="O37" s="81" t="s">
        <v>120</v>
      </c>
      <c r="P37" s="35">
        <f>IF(N30&lt;&gt;"",IF(INDEX(BDHK2,MATCH(N30,DiemHKII!$B$4:$B$58,0),INDEX($Y$7:$AB$20,MATCH(O37,$Y$7:$Y$20,0),$Z$6))&lt;&gt;"",INDEX(BDHK2,MATCH(N30,DiemHKII!$B$4:$B$58,0),INDEX($Y$7:$AB$20,MATCH(O37,$Y$7:$Y$20,0),$Z$6)),"/"),"")</f>
        <v>9.6</v>
      </c>
      <c r="Q37" s="35" t="str">
        <f>IF(N30&lt;&gt;"",IF(INDEX(BDHK2,MATCH(N30,DiemHKII!$B$4:$B$58,0),INDEX($Y$7:$AB$20,MATCH(O37,$Y$7:$Y$20,0),$AA$6))&lt;&gt;"",INDEX(BDHK2,MATCH(N30,DiemHKII!$B$4:$B$58,0),INDEX($Y$7:$AB$20,MATCH(O37,$Y$7:$Y$20,0),$AA$6)),"/"),"")</f>
        <v>/</v>
      </c>
      <c r="R37" s="35" t="str">
        <f>IF(N30&lt;&gt;"",IF(INDEX(BDHK2,MATCH(N30,DiemHKII!$B$4:$B$58,0),INDEX($Y$7:$AB$20,MATCH(O37,$Y$7:$Y$20,0),$AB$6))&lt;&gt;"",INDEX(BDHK2,MATCH(N30,DiemHKII!$B$4:$B$58,0),INDEX($Y$7:$AB$20,MATCH(O37,$Y$7:$Y$20,0),$AB$6)),"/"),"")</f>
        <v>/</v>
      </c>
      <c r="S37" s="88"/>
    </row>
    <row r="38" spans="1:19" ht="15.6" customHeight="1">
      <c r="A38" s="88"/>
      <c r="B38" s="79" t="s">
        <v>196</v>
      </c>
      <c r="C38" s="81" t="s">
        <v>30</v>
      </c>
      <c r="D38" s="35">
        <f>IF(B30&lt;&gt;"",IF(INDEX(BDHK2,MATCH(B30,DiemHKII!$B$4:$B$58,0),INDEX($Y$7:$AB$20,MATCH(C38,$Y$7:$Y$20,0),$Z$6))&lt;&gt;"",INDEX(BDHK2,MATCH(B30,DiemHKII!$B$4:$B$58,0),INDEX($Y$7:$AB$20,MATCH(C38,$Y$7:$Y$20,0),$Z$6)),"/"),"")</f>
        <v>7.4</v>
      </c>
      <c r="E38" s="35" t="str">
        <f>IF(B30&lt;&gt;"",IF(INDEX(BDHK2,MATCH(B30,DiemHKII!$B$4:$B$58,0),INDEX($Y$7:$AB$20,MATCH(C38,$Y$7:$Y$20,0),$AA$6))&lt;&gt;"",INDEX(BDHK2,MATCH(B30,DiemHKII!$B$4:$B$58,0),INDEX($Y$7:$AB$20,MATCH(C38,$Y$7:$Y$20,0),$AA$6)),"/"),"")</f>
        <v>/</v>
      </c>
      <c r="F38" s="35" t="str">
        <f>IF(B30&lt;&gt;"",IF(INDEX(BDHK2,MATCH(B30,DiemHKII!$B$4:$B$58,0),INDEX($Y$7:$AB$20,MATCH(C38,$Y$7:$Y$20,0),$AB$6))&lt;&gt;"",INDEX(BDHK2,MATCH(B30,DiemHKII!$B$4:$B$58,0),INDEX($Y$7:$AB$20,MATCH(C38,$Y$7:$Y$20,0),$AB$6)),"/"),"")</f>
        <v>/</v>
      </c>
      <c r="G38" s="88"/>
      <c r="H38" s="79" t="s">
        <v>196</v>
      </c>
      <c r="I38" s="81" t="s">
        <v>30</v>
      </c>
      <c r="J38" s="35">
        <f>IF(H30&lt;&gt;"",IF(INDEX(BDHK2,MATCH(H30,DiemHKII!$B$4:$B$58,0),INDEX($Y$7:$AB$20,MATCH(I38,$Y$7:$Y$20,0),$Z$6))&lt;&gt;"",INDEX(BDHK2,MATCH(H30,DiemHKII!$B$4:$B$58,0),INDEX($Y$7:$AB$20,MATCH(I38,$Y$7:$Y$20,0),$Z$6)),"/"),"")</f>
        <v>7.2</v>
      </c>
      <c r="K38" s="35" t="str">
        <f>IF(H30&lt;&gt;"",IF(INDEX(BDHK2,MATCH(H30,DiemHKII!$B$4:$B$58,0),INDEX($Y$7:$AB$20,MATCH(I38,$Y$7:$Y$20,0),$AA$6))&lt;&gt;"",INDEX(BDHK2,MATCH(H30,DiemHKII!$B$4:$B$58,0),INDEX($Y$7:$AB$20,MATCH(I38,$Y$7:$Y$20,0),$AA$6)),"/"),"")</f>
        <v>/</v>
      </c>
      <c r="L38" s="35" t="str">
        <f>IF(H30&lt;&gt;"",IF(INDEX(BDHK2,MATCH(H30,DiemHKII!$B$4:$B$58,0),INDEX($Y$7:$AB$20,MATCH(I38,$Y$7:$Y$20,0),$AB$6))&lt;&gt;"",INDEX(BDHK2,MATCH(H30,DiemHKII!$B$4:$B$58,0),INDEX($Y$7:$AB$20,MATCH(I38,$Y$7:$Y$20,0),$AB$6)),"/"),"")</f>
        <v>/</v>
      </c>
      <c r="M38" s="88"/>
      <c r="N38" s="79" t="s">
        <v>196</v>
      </c>
      <c r="O38" s="81" t="s">
        <v>30</v>
      </c>
      <c r="P38" s="35">
        <f>IF(N30&lt;&gt;"",IF(INDEX(BDHK2,MATCH(N30,DiemHKII!$B$4:$B$58,0),INDEX($Y$7:$AB$20,MATCH(O38,$Y$7:$Y$20,0),$Z$6))&lt;&gt;"",INDEX(BDHK2,MATCH(N30,DiemHKII!$B$4:$B$58,0),INDEX($Y$7:$AB$20,MATCH(O38,$Y$7:$Y$20,0),$Z$6)),"/"),"")</f>
        <v>7.2</v>
      </c>
      <c r="Q38" s="35" t="str">
        <f>IF(N30&lt;&gt;"",IF(INDEX(BDHK2,MATCH(N30,DiemHKII!$B$4:$B$58,0),INDEX($Y$7:$AB$20,MATCH(O38,$Y$7:$Y$20,0),$AA$6))&lt;&gt;"",INDEX(BDHK2,MATCH(N30,DiemHKII!$B$4:$B$58,0),INDEX($Y$7:$AB$20,MATCH(O38,$Y$7:$Y$20,0),$AA$6)),"/"),"")</f>
        <v>/</v>
      </c>
      <c r="R38" s="35" t="str">
        <f>IF(N30&lt;&gt;"",IF(INDEX(BDHK2,MATCH(N30,DiemHKII!$B$4:$B$58,0),INDEX($Y$7:$AB$20,MATCH(O38,$Y$7:$Y$20,0),$AB$6))&lt;&gt;"",INDEX(BDHK2,MATCH(N30,DiemHKII!$B$4:$B$58,0),INDEX($Y$7:$AB$20,MATCH(O38,$Y$7:$Y$20,0),$AB$6)),"/"),"")</f>
        <v>/</v>
      </c>
      <c r="S38" s="88"/>
    </row>
    <row r="39" spans="1:19" ht="15.6" customHeight="1">
      <c r="A39" s="88"/>
      <c r="B39" s="79" t="s">
        <v>197</v>
      </c>
      <c r="C39" s="81" t="s">
        <v>31</v>
      </c>
      <c r="D39" s="35">
        <f>IF(B30&lt;&gt;"",IF(INDEX(BDHK2,MATCH(B30,DiemHKII!$B$4:$B$58,0),INDEX($Y$7:$AB$20,MATCH(C39,$Y$7:$Y$20,0),$Z$6))&lt;&gt;"",INDEX(BDHK2,MATCH(B30,DiemHKII!$B$4:$B$58,0),INDEX($Y$7:$AB$20,MATCH(C39,$Y$7:$Y$20,0),$Z$6)),"/"),"")</f>
        <v>9.8000000000000007</v>
      </c>
      <c r="E39" s="35" t="str">
        <f>IF(B30&lt;&gt;"",IF(INDEX(BDHK2,MATCH(B30,DiemHKII!$B$4:$B$58,0),INDEX($Y$7:$AB$20,MATCH(C39,$Y$7:$Y$20,0),$AA$6))&lt;&gt;"",INDEX(BDHK2,MATCH(B30,DiemHKII!$B$4:$B$58,0),INDEX($Y$7:$AB$20,MATCH(C39,$Y$7:$Y$20,0),$AA$6)),"/"),"")</f>
        <v>/</v>
      </c>
      <c r="F39" s="35" t="str">
        <f>IF(B30&lt;&gt;"",IF(INDEX(BDHK2,MATCH(B30,DiemHKII!$B$4:$B$58,0),INDEX($Y$7:$AB$20,MATCH(C39,$Y$7:$Y$20,0),$AB$6))&lt;&gt;"",INDEX(BDHK2,MATCH(B30,DiemHKII!$B$4:$B$58,0),INDEX($Y$7:$AB$20,MATCH(C39,$Y$7:$Y$20,0),$AB$6)),"/"),"")</f>
        <v>/</v>
      </c>
      <c r="G39" s="88"/>
      <c r="H39" s="79" t="s">
        <v>197</v>
      </c>
      <c r="I39" s="81" t="s">
        <v>31</v>
      </c>
      <c r="J39" s="35">
        <f>IF(H30&lt;&gt;"",IF(INDEX(BDHK2,MATCH(H30,DiemHKII!$B$4:$B$58,0),INDEX($Y$7:$AB$20,MATCH(I39,$Y$7:$Y$20,0),$Z$6))&lt;&gt;"",INDEX(BDHK2,MATCH(H30,DiemHKII!$B$4:$B$58,0),INDEX($Y$7:$AB$20,MATCH(I39,$Y$7:$Y$20,0),$Z$6)),"/"),"")</f>
        <v>9.6</v>
      </c>
      <c r="K39" s="35" t="str">
        <f>IF(H30&lt;&gt;"",IF(INDEX(BDHK2,MATCH(H30,DiemHKII!$B$4:$B$58,0),INDEX($Y$7:$AB$20,MATCH(I39,$Y$7:$Y$20,0),$AA$6))&lt;&gt;"",INDEX(BDHK2,MATCH(H30,DiemHKII!$B$4:$B$58,0),INDEX($Y$7:$AB$20,MATCH(I39,$Y$7:$Y$20,0),$AA$6)),"/"),"")</f>
        <v>/</v>
      </c>
      <c r="L39" s="35" t="str">
        <f>IF(H30&lt;&gt;"",IF(INDEX(BDHK2,MATCH(H30,DiemHKII!$B$4:$B$58,0),INDEX($Y$7:$AB$20,MATCH(I39,$Y$7:$Y$20,0),$AB$6))&lt;&gt;"",INDEX(BDHK2,MATCH(H30,DiemHKII!$B$4:$B$58,0),INDEX($Y$7:$AB$20,MATCH(I39,$Y$7:$Y$20,0),$AB$6)),"/"),"")</f>
        <v>/</v>
      </c>
      <c r="M39" s="88"/>
      <c r="N39" s="79" t="s">
        <v>197</v>
      </c>
      <c r="O39" s="81" t="s">
        <v>31</v>
      </c>
      <c r="P39" s="35">
        <f>IF(N30&lt;&gt;"",IF(INDEX(BDHK2,MATCH(N30,DiemHKII!$B$4:$B$58,0),INDEX($Y$7:$AB$20,MATCH(O39,$Y$7:$Y$20,0),$Z$6))&lt;&gt;"",INDEX(BDHK2,MATCH(N30,DiemHKII!$B$4:$B$58,0),INDEX($Y$7:$AB$20,MATCH(O39,$Y$7:$Y$20,0),$Z$6)),"/"),"")</f>
        <v>9.8000000000000007</v>
      </c>
      <c r="Q39" s="35" t="str">
        <f>IF(N30&lt;&gt;"",IF(INDEX(BDHK2,MATCH(N30,DiemHKII!$B$4:$B$58,0),INDEX($Y$7:$AB$20,MATCH(O39,$Y$7:$Y$20,0),$AA$6))&lt;&gt;"",INDEX(BDHK2,MATCH(N30,DiemHKII!$B$4:$B$58,0),INDEX($Y$7:$AB$20,MATCH(O39,$Y$7:$Y$20,0),$AA$6)),"/"),"")</f>
        <v>/</v>
      </c>
      <c r="R39" s="35" t="str">
        <f>IF(N30&lt;&gt;"",IF(INDEX(BDHK2,MATCH(N30,DiemHKII!$B$4:$B$58,0),INDEX($Y$7:$AB$20,MATCH(O39,$Y$7:$Y$20,0),$AB$6))&lt;&gt;"",INDEX(BDHK2,MATCH(N30,DiemHKII!$B$4:$B$58,0),INDEX($Y$7:$AB$20,MATCH(O39,$Y$7:$Y$20,0),$AB$6)),"/"),"")</f>
        <v>/</v>
      </c>
      <c r="S39" s="88"/>
    </row>
    <row r="40" spans="1:19" ht="15.6" customHeight="1">
      <c r="A40" s="88"/>
      <c r="B40" s="79" t="s">
        <v>198</v>
      </c>
      <c r="C40" s="81" t="s">
        <v>32</v>
      </c>
      <c r="D40" s="35">
        <f>IF(B30&lt;&gt;"",IF(INDEX(BDHK2,MATCH(B30,DiemHKII!$B$4:$B$58,0),INDEX($Y$7:$AB$20,MATCH(C40,$Y$7:$Y$20,0),$Z$6))&lt;&gt;"",INDEX(BDHK2,MATCH(B30,DiemHKII!$B$4:$B$58,0),INDEX($Y$7:$AB$20,MATCH(C40,$Y$7:$Y$20,0),$Z$6)),"/"),"")</f>
        <v>9.9</v>
      </c>
      <c r="E40" s="35" t="str">
        <f>IF(B30&lt;&gt;"",IF(INDEX(BDHK2,MATCH(B30,DiemHKII!$B$4:$B$58,0),INDEX($Y$7:$AB$20,MATCH(C40,$Y$7:$Y$20,0),$AA$6))&lt;&gt;"",INDEX(BDHK2,MATCH(B30,DiemHKII!$B$4:$B$58,0),INDEX($Y$7:$AB$20,MATCH(C40,$Y$7:$Y$20,0),$AA$6)),"/"),"")</f>
        <v>/</v>
      </c>
      <c r="F40" s="35" t="str">
        <f>IF(B30&lt;&gt;"",IF(INDEX(BDHK2,MATCH(B30,DiemHKII!$B$4:$B$58,0),INDEX($Y$7:$AB$20,MATCH(C40,$Y$7:$Y$20,0),$AB$6))&lt;&gt;"",INDEX(BDHK2,MATCH(B30,DiemHKII!$B$4:$B$58,0),INDEX($Y$7:$AB$20,MATCH(C40,$Y$7:$Y$20,0),$AB$6)),"/"),"")</f>
        <v>/</v>
      </c>
      <c r="G40" s="88"/>
      <c r="H40" s="79" t="s">
        <v>198</v>
      </c>
      <c r="I40" s="81" t="s">
        <v>32</v>
      </c>
      <c r="J40" s="35">
        <f>IF(H30&lt;&gt;"",IF(INDEX(BDHK2,MATCH(H30,DiemHKII!$B$4:$B$58,0),INDEX($Y$7:$AB$20,MATCH(I40,$Y$7:$Y$20,0),$Z$6))&lt;&gt;"",INDEX(BDHK2,MATCH(H30,DiemHKII!$B$4:$B$58,0),INDEX($Y$7:$AB$20,MATCH(I40,$Y$7:$Y$20,0),$Z$6)),"/"),"")</f>
        <v>9.9</v>
      </c>
      <c r="K40" s="35" t="str">
        <f>IF(H30&lt;&gt;"",IF(INDEX(BDHK2,MATCH(H30,DiemHKII!$B$4:$B$58,0),INDEX($Y$7:$AB$20,MATCH(I40,$Y$7:$Y$20,0),$AA$6))&lt;&gt;"",INDEX(BDHK2,MATCH(H30,DiemHKII!$B$4:$B$58,0),INDEX($Y$7:$AB$20,MATCH(I40,$Y$7:$Y$20,0),$AA$6)),"/"),"")</f>
        <v>/</v>
      </c>
      <c r="L40" s="35" t="str">
        <f>IF(H30&lt;&gt;"",IF(INDEX(BDHK2,MATCH(H30,DiemHKII!$B$4:$B$58,0),INDEX($Y$7:$AB$20,MATCH(I40,$Y$7:$Y$20,0),$AB$6))&lt;&gt;"",INDEX(BDHK2,MATCH(H30,DiemHKII!$B$4:$B$58,0),INDEX($Y$7:$AB$20,MATCH(I40,$Y$7:$Y$20,0),$AB$6)),"/"),"")</f>
        <v>/</v>
      </c>
      <c r="M40" s="88"/>
      <c r="N40" s="79" t="s">
        <v>198</v>
      </c>
      <c r="O40" s="81" t="s">
        <v>32</v>
      </c>
      <c r="P40" s="35">
        <f>IF(N30&lt;&gt;"",IF(INDEX(BDHK2,MATCH(N30,DiemHKII!$B$4:$B$58,0),INDEX($Y$7:$AB$20,MATCH(O40,$Y$7:$Y$20,0),$Z$6))&lt;&gt;"",INDEX(BDHK2,MATCH(N30,DiemHKII!$B$4:$B$58,0),INDEX($Y$7:$AB$20,MATCH(O40,$Y$7:$Y$20,0),$Z$6)),"/"),"")</f>
        <v>9.9</v>
      </c>
      <c r="Q40" s="35" t="str">
        <f>IF(N30&lt;&gt;"",IF(INDEX(BDHK2,MATCH(N30,DiemHKII!$B$4:$B$58,0),INDEX($Y$7:$AB$20,MATCH(O40,$Y$7:$Y$20,0),$AA$6))&lt;&gt;"",INDEX(BDHK2,MATCH(N30,DiemHKII!$B$4:$B$58,0),INDEX($Y$7:$AB$20,MATCH(O40,$Y$7:$Y$20,0),$AA$6)),"/"),"")</f>
        <v>/</v>
      </c>
      <c r="R40" s="35" t="str">
        <f>IF(N30&lt;&gt;"",IF(INDEX(BDHK2,MATCH(N30,DiemHKII!$B$4:$B$58,0),INDEX($Y$7:$AB$20,MATCH(O40,$Y$7:$Y$20,0),$AB$6))&lt;&gt;"",INDEX(BDHK2,MATCH(N30,DiemHKII!$B$4:$B$58,0),INDEX($Y$7:$AB$20,MATCH(O40,$Y$7:$Y$20,0),$AB$6)),"/"),"")</f>
        <v>/</v>
      </c>
      <c r="S40" s="88"/>
    </row>
    <row r="41" spans="1:19" ht="15.6" customHeight="1">
      <c r="A41" s="88"/>
      <c r="B41" s="79" t="s">
        <v>199</v>
      </c>
      <c r="C41" s="81" t="s">
        <v>33</v>
      </c>
      <c r="D41" s="35">
        <f>IF(B30&lt;&gt;"",IF(INDEX(BDHK2,MATCH(B30,DiemHKII!$B$4:$B$58,0),INDEX($Y$7:$AB$20,MATCH(C41,$Y$7:$Y$20,0),$Z$6))&lt;&gt;"",INDEX(BDHK2,MATCH(B30,DiemHKII!$B$4:$B$58,0),INDEX($Y$7:$AB$20,MATCH(C41,$Y$7:$Y$20,0),$Z$6)),"/"),"")</f>
        <v>8</v>
      </c>
      <c r="E41" s="35" t="str">
        <f>IF(B30&lt;&gt;"",IF(INDEX(BDHK2,MATCH(B30,DiemHKII!$B$4:$B$58,0),INDEX($Y$7:$AB$20,MATCH(C41,$Y$7:$Y$20,0),$AA$6))&lt;&gt;"",INDEX(BDHK2,MATCH(B30,DiemHKII!$B$4:$B$58,0),INDEX($Y$7:$AB$20,MATCH(C41,$Y$7:$Y$20,0),$AA$6)),"/"),"")</f>
        <v>/</v>
      </c>
      <c r="F41" s="35" t="str">
        <f>IF(B30&lt;&gt;"",IF(INDEX(BDHK2,MATCH(B30,DiemHKII!$B$4:$B$58,0),INDEX($Y$7:$AB$20,MATCH(C41,$Y$7:$Y$20,0),$AB$6))&lt;&gt;"",INDEX(BDHK2,MATCH(B30,DiemHKII!$B$4:$B$58,0),INDEX($Y$7:$AB$20,MATCH(C41,$Y$7:$Y$20,0),$AB$6)),"/"),"")</f>
        <v>/</v>
      </c>
      <c r="G41" s="88"/>
      <c r="H41" s="79" t="s">
        <v>199</v>
      </c>
      <c r="I41" s="81" t="s">
        <v>33</v>
      </c>
      <c r="J41" s="35">
        <f>IF(H30&lt;&gt;"",IF(INDEX(BDHK2,MATCH(H30,DiemHKII!$B$4:$B$58,0),INDEX($Y$7:$AB$20,MATCH(I41,$Y$7:$Y$20,0),$Z$6))&lt;&gt;"",INDEX(BDHK2,MATCH(H30,DiemHKII!$B$4:$B$58,0),INDEX($Y$7:$AB$20,MATCH(I41,$Y$7:$Y$20,0),$Z$6)),"/"),"")</f>
        <v>8.8000000000000007</v>
      </c>
      <c r="K41" s="35" t="str">
        <f>IF(H30&lt;&gt;"",IF(INDEX(BDHK2,MATCH(H30,DiemHKII!$B$4:$B$58,0),INDEX($Y$7:$AB$20,MATCH(I41,$Y$7:$Y$20,0),$AA$6))&lt;&gt;"",INDEX(BDHK2,MATCH(H30,DiemHKII!$B$4:$B$58,0),INDEX($Y$7:$AB$20,MATCH(I41,$Y$7:$Y$20,0),$AA$6)),"/"),"")</f>
        <v>/</v>
      </c>
      <c r="L41" s="35" t="str">
        <f>IF(H30&lt;&gt;"",IF(INDEX(BDHK2,MATCH(H30,DiemHKII!$B$4:$B$58,0),INDEX($Y$7:$AB$20,MATCH(I41,$Y$7:$Y$20,0),$AB$6))&lt;&gt;"",INDEX(BDHK2,MATCH(H30,DiemHKII!$B$4:$B$58,0),INDEX($Y$7:$AB$20,MATCH(I41,$Y$7:$Y$20,0),$AB$6)),"/"),"")</f>
        <v>/</v>
      </c>
      <c r="M41" s="88"/>
      <c r="N41" s="79" t="s">
        <v>199</v>
      </c>
      <c r="O41" s="81" t="s">
        <v>33</v>
      </c>
      <c r="P41" s="35">
        <f>IF(N30&lt;&gt;"",IF(INDEX(BDHK2,MATCH(N30,DiemHKII!$B$4:$B$58,0),INDEX($Y$7:$AB$20,MATCH(O41,$Y$7:$Y$20,0),$Z$6))&lt;&gt;"",INDEX(BDHK2,MATCH(N30,DiemHKII!$B$4:$B$58,0),INDEX($Y$7:$AB$20,MATCH(O41,$Y$7:$Y$20,0),$Z$6)),"/"),"")</f>
        <v>9.6999999999999993</v>
      </c>
      <c r="Q41" s="35" t="str">
        <f>IF(N30&lt;&gt;"",IF(INDEX(BDHK2,MATCH(N30,DiemHKII!$B$4:$B$58,0),INDEX($Y$7:$AB$20,MATCH(O41,$Y$7:$Y$20,0),$AA$6))&lt;&gt;"",INDEX(BDHK2,MATCH(N30,DiemHKII!$B$4:$B$58,0),INDEX($Y$7:$AB$20,MATCH(O41,$Y$7:$Y$20,0),$AA$6)),"/"),"")</f>
        <v>/</v>
      </c>
      <c r="R41" s="35" t="str">
        <f>IF(N30&lt;&gt;"",IF(INDEX(BDHK2,MATCH(N30,DiemHKII!$B$4:$B$58,0),INDEX($Y$7:$AB$20,MATCH(O41,$Y$7:$Y$20,0),$AB$6))&lt;&gt;"",INDEX(BDHK2,MATCH(N30,DiemHKII!$B$4:$B$58,0),INDEX($Y$7:$AB$20,MATCH(O41,$Y$7:$Y$20,0),$AB$6)),"/"),"")</f>
        <v>/</v>
      </c>
      <c r="S41" s="88"/>
    </row>
    <row r="42" spans="1:19" ht="15.6" customHeight="1">
      <c r="A42" s="88"/>
      <c r="B42" s="79" t="s">
        <v>200</v>
      </c>
      <c r="C42" s="81" t="s">
        <v>60</v>
      </c>
      <c r="D42" s="35">
        <f>IF(B30&lt;&gt;"",IF(INDEX(BDHK2,MATCH(B30,DiemHKII!$B$4:$B$58,0),INDEX($Y$7:$AB$20,MATCH(C42,$Y$7:$Y$20,0),$Z$6))&lt;&gt;"",INDEX(BDHK2,MATCH(B30,DiemHKII!$B$4:$B$58,0),INDEX($Y$7:$AB$20,MATCH(C42,$Y$7:$Y$20,0),$Z$6)),"/"),"")</f>
        <v>9.5</v>
      </c>
      <c r="E42" s="35" t="str">
        <f>IF(B30&lt;&gt;"",IF(INDEX(BDHK2,MATCH(B30,DiemHKII!$B$4:$B$58,0),INDEX($Y$7:$AB$20,MATCH(C42,$Y$7:$Y$20,0),$AA$6))&lt;&gt;"",INDEX(BDHK2,MATCH(B30,DiemHKII!$B$4:$B$58,0),INDEX($Y$7:$AB$20,MATCH(C42,$Y$7:$Y$20,0),$AA$6)),"/"),"")</f>
        <v>/</v>
      </c>
      <c r="F42" s="35" t="str">
        <f>IF(B30&lt;&gt;"",IF(INDEX(BDHK2,MATCH(B30,DiemHKII!$B$4:$B$58,0),INDEX($Y$7:$AB$20,MATCH(C42,$Y$7:$Y$20,0),$AB$6))&lt;&gt;"",INDEX(BDHK2,MATCH(B30,DiemHKII!$B$4:$B$58,0),INDEX($Y$7:$AB$20,MATCH(C42,$Y$7:$Y$20,0),$AB$6)),"/"),"")</f>
        <v>/</v>
      </c>
      <c r="G42" s="88"/>
      <c r="H42" s="79" t="s">
        <v>200</v>
      </c>
      <c r="I42" s="81" t="s">
        <v>60</v>
      </c>
      <c r="J42" s="35">
        <f>IF(H30&lt;&gt;"",IF(INDEX(BDHK2,MATCH(H30,DiemHKII!$B$4:$B$58,0),INDEX($Y$7:$AB$20,MATCH(I42,$Y$7:$Y$20,0),$Z$6))&lt;&gt;"",INDEX(BDHK2,MATCH(H30,DiemHKII!$B$4:$B$58,0),INDEX($Y$7:$AB$20,MATCH(I42,$Y$7:$Y$20,0),$Z$6)),"/"),"")</f>
        <v>9.4</v>
      </c>
      <c r="K42" s="35" t="str">
        <f>IF(H30&lt;&gt;"",IF(INDEX(BDHK2,MATCH(H30,DiemHKII!$B$4:$B$58,0),INDEX($Y$7:$AB$20,MATCH(I42,$Y$7:$Y$20,0),$AA$6))&lt;&gt;"",INDEX(BDHK2,MATCH(H30,DiemHKII!$B$4:$B$58,0),INDEX($Y$7:$AB$20,MATCH(I42,$Y$7:$Y$20,0),$AA$6)),"/"),"")</f>
        <v>/</v>
      </c>
      <c r="L42" s="35" t="str">
        <f>IF(H30&lt;&gt;"",IF(INDEX(BDHK2,MATCH(H30,DiemHKII!$B$4:$B$58,0),INDEX($Y$7:$AB$20,MATCH(I42,$Y$7:$Y$20,0),$AB$6))&lt;&gt;"",INDEX(BDHK2,MATCH(H30,DiemHKII!$B$4:$B$58,0),INDEX($Y$7:$AB$20,MATCH(I42,$Y$7:$Y$20,0),$AB$6)),"/"),"")</f>
        <v>/</v>
      </c>
      <c r="M42" s="88"/>
      <c r="N42" s="79" t="s">
        <v>200</v>
      </c>
      <c r="O42" s="81" t="s">
        <v>60</v>
      </c>
      <c r="P42" s="35">
        <f>IF(N30&lt;&gt;"",IF(INDEX(BDHK2,MATCH(N30,DiemHKII!$B$4:$B$58,0),INDEX($Y$7:$AB$20,MATCH(O42,$Y$7:$Y$20,0),$Z$6))&lt;&gt;"",INDEX(BDHK2,MATCH(N30,DiemHKII!$B$4:$B$58,0),INDEX($Y$7:$AB$20,MATCH(O42,$Y$7:$Y$20,0),$Z$6)),"/"),"")</f>
        <v>9.8000000000000007</v>
      </c>
      <c r="Q42" s="35" t="str">
        <f>IF(N30&lt;&gt;"",IF(INDEX(BDHK2,MATCH(N30,DiemHKII!$B$4:$B$58,0),INDEX($Y$7:$AB$20,MATCH(O42,$Y$7:$Y$20,0),$AA$6))&lt;&gt;"",INDEX(BDHK2,MATCH(N30,DiemHKII!$B$4:$B$58,0),INDEX($Y$7:$AB$20,MATCH(O42,$Y$7:$Y$20,0),$AA$6)),"/"),"")</f>
        <v>/</v>
      </c>
      <c r="R42" s="35" t="str">
        <f>IF(N30&lt;&gt;"",IF(INDEX(BDHK2,MATCH(N30,DiemHKII!$B$4:$B$58,0),INDEX($Y$7:$AB$20,MATCH(O42,$Y$7:$Y$20,0),$AB$6))&lt;&gt;"",INDEX(BDHK2,MATCH(N30,DiemHKII!$B$4:$B$58,0),INDEX($Y$7:$AB$20,MATCH(O42,$Y$7:$Y$20,0),$AB$6)),"/"),"")</f>
        <v>/</v>
      </c>
      <c r="S42" s="88"/>
    </row>
    <row r="43" spans="1:19" ht="15.6" customHeight="1">
      <c r="A43" s="88"/>
      <c r="B43" s="79" t="s">
        <v>201</v>
      </c>
      <c r="C43" s="81" t="s">
        <v>34</v>
      </c>
      <c r="D43" s="35">
        <f>IF(B30&lt;&gt;"",IF(INDEX(BDHK2,MATCH(B30,DiemHKII!$B$4:$B$58,0),INDEX($Y$7:$AB$20,MATCH(C43,$Y$7:$Y$20,0),$Z$6))&lt;&gt;"",INDEX(BDHK2,MATCH(B30,DiemHKII!$B$4:$B$58,0),INDEX($Y$7:$AB$20,MATCH(C43,$Y$7:$Y$20,0),$Z$6)),"/"),"")</f>
        <v>9.9</v>
      </c>
      <c r="E43" s="35" t="str">
        <f>IF(B30&lt;&gt;"",IF(INDEX(BDHK2,MATCH(B30,DiemHKII!$B$4:$B$58,0),INDEX($Y$7:$AB$20,MATCH(C43,$Y$7:$Y$20,0),$AA$6))&lt;&gt;"",INDEX(BDHK2,MATCH(B30,DiemHKII!$B$4:$B$58,0),INDEX($Y$7:$AB$20,MATCH(C43,$Y$7:$Y$20,0),$AA$6)),"/"),"")</f>
        <v>/</v>
      </c>
      <c r="F43" s="35" t="str">
        <f>IF(B30&lt;&gt;"",IF(INDEX(BDHK2,MATCH(B30,DiemHKII!$B$4:$B$58,0),INDEX($Y$7:$AB$20,MATCH(C43,$Y$7:$Y$20,0),$AB$6))&lt;&gt;"",INDEX(BDHK2,MATCH(B30,DiemHKII!$B$4:$B$58,0),INDEX($Y$7:$AB$20,MATCH(C43,$Y$7:$Y$20,0),$AB$6)),"/"),"")</f>
        <v>/</v>
      </c>
      <c r="G43" s="88"/>
      <c r="H43" s="79" t="s">
        <v>201</v>
      </c>
      <c r="I43" s="81" t="s">
        <v>34</v>
      </c>
      <c r="J43" s="35">
        <f>IF(H30&lt;&gt;"",IF(INDEX(BDHK2,MATCH(H30,DiemHKII!$B$4:$B$58,0),INDEX($Y$7:$AB$20,MATCH(I43,$Y$7:$Y$20,0),$Z$6))&lt;&gt;"",INDEX(BDHK2,MATCH(H30,DiemHKII!$B$4:$B$58,0),INDEX($Y$7:$AB$20,MATCH(I43,$Y$7:$Y$20,0),$Z$6)),"/"),"")</f>
        <v>9.9</v>
      </c>
      <c r="K43" s="35" t="str">
        <f>IF(H30&lt;&gt;"",IF(INDEX(BDHK2,MATCH(H30,DiemHKII!$B$4:$B$58,0),INDEX($Y$7:$AB$20,MATCH(I43,$Y$7:$Y$20,0),$AA$6))&lt;&gt;"",INDEX(BDHK2,MATCH(H30,DiemHKII!$B$4:$B$58,0),INDEX($Y$7:$AB$20,MATCH(I43,$Y$7:$Y$20,0),$AA$6)),"/"),"")</f>
        <v>/</v>
      </c>
      <c r="L43" s="35" t="str">
        <f>IF(H30&lt;&gt;"",IF(INDEX(BDHK2,MATCH(H30,DiemHKII!$B$4:$B$58,0),INDEX($Y$7:$AB$20,MATCH(I43,$Y$7:$Y$20,0),$AB$6))&lt;&gt;"",INDEX(BDHK2,MATCH(H30,DiemHKII!$B$4:$B$58,0),INDEX($Y$7:$AB$20,MATCH(I43,$Y$7:$Y$20,0),$AB$6)),"/"),"")</f>
        <v>/</v>
      </c>
      <c r="M43" s="88"/>
      <c r="N43" s="79" t="s">
        <v>201</v>
      </c>
      <c r="O43" s="81" t="s">
        <v>34</v>
      </c>
      <c r="P43" s="35">
        <f>IF(N30&lt;&gt;"",IF(INDEX(BDHK2,MATCH(N30,DiemHKII!$B$4:$B$58,0),INDEX($Y$7:$AB$20,MATCH(O43,$Y$7:$Y$20,0),$Z$6))&lt;&gt;"",INDEX(BDHK2,MATCH(N30,DiemHKII!$B$4:$B$58,0),INDEX($Y$7:$AB$20,MATCH(O43,$Y$7:$Y$20,0),$Z$6)),"/"),"")</f>
        <v>9.9</v>
      </c>
      <c r="Q43" s="35" t="str">
        <f>IF(N30&lt;&gt;"",IF(INDEX(BDHK2,MATCH(N30,DiemHKII!$B$4:$B$58,0),INDEX($Y$7:$AB$20,MATCH(O43,$Y$7:$Y$20,0),$AA$6))&lt;&gt;"",INDEX(BDHK2,MATCH(N30,DiemHKII!$B$4:$B$58,0),INDEX($Y$7:$AB$20,MATCH(O43,$Y$7:$Y$20,0),$AA$6)),"/"),"")</f>
        <v>/</v>
      </c>
      <c r="R43" s="35" t="str">
        <f>IF(N30&lt;&gt;"",IF(INDEX(BDHK2,MATCH(N30,DiemHKII!$B$4:$B$58,0),INDEX($Y$7:$AB$20,MATCH(O43,$Y$7:$Y$20,0),$AB$6))&lt;&gt;"",INDEX(BDHK2,MATCH(N30,DiemHKII!$B$4:$B$58,0),INDEX($Y$7:$AB$20,MATCH(O43,$Y$7:$Y$20,0),$AB$6)),"/"),"")</f>
        <v>/</v>
      </c>
      <c r="S43" s="88"/>
    </row>
    <row r="44" spans="1:19" ht="15.6" customHeight="1">
      <c r="A44" s="88"/>
      <c r="B44" s="79" t="s">
        <v>202</v>
      </c>
      <c r="C44" s="81" t="s">
        <v>35</v>
      </c>
      <c r="D44" s="35" t="str">
        <f>IF(B30&lt;&gt;"",IF(INDEX(BDHK2,MATCH(B30,DiemHKII!$B$4:$B$58,0),INDEX($Y$7:$AB$20,MATCH(C44,$Y$7:$Y$20,0),$Z$6))&lt;&gt;"",INDEX(BDHK2,MATCH(B30,DiemHKII!$B$4:$B$58,0),INDEX($Y$7:$AB$20,MATCH(C44,$Y$7:$Y$20,0),$Z$6)),"/"),"")</f>
        <v>Đ</v>
      </c>
      <c r="E44" s="35" t="str">
        <f>IF(B30&lt;&gt;"",IF(INDEX(BDHK2,MATCH(B30,DiemHKII!$B$4:$B$58,0),INDEX($Y$7:$AB$20,MATCH(C44,$Y$7:$Y$20,0),$AA$6))&lt;&gt;"",INDEX(BDHK2,MATCH(B30,DiemHKII!$B$4:$B$58,0),INDEX($Y$7:$AB$20,MATCH(C44,$Y$7:$Y$20,0),$AA$6)),"/"),"")</f>
        <v>/</v>
      </c>
      <c r="F44" s="35" t="str">
        <f>IF(B30&lt;&gt;"",IF(INDEX(BDHK2,MATCH(B30,DiemHKII!$B$4:$B$58,0),INDEX($Y$7:$AB$20,MATCH(C44,$Y$7:$Y$20,0),$AB$6))&lt;&gt;"",INDEX(BDHK2,MATCH(B30,DiemHKII!$B$4:$B$58,0),INDEX($Y$7:$AB$20,MATCH(C44,$Y$7:$Y$20,0),$AB$6)),"/"),"")</f>
        <v>Đ</v>
      </c>
      <c r="G44" s="88"/>
      <c r="H44" s="79" t="s">
        <v>202</v>
      </c>
      <c r="I44" s="81" t="s">
        <v>35</v>
      </c>
      <c r="J44" s="35" t="str">
        <f>IF(H30&lt;&gt;"",IF(INDEX(BDHK2,MATCH(H30,DiemHKII!$B$4:$B$58,0),INDEX($Y$7:$AB$20,MATCH(I44,$Y$7:$Y$20,0),$Z$6))&lt;&gt;"",INDEX(BDHK2,MATCH(H30,DiemHKII!$B$4:$B$58,0),INDEX($Y$7:$AB$20,MATCH(I44,$Y$7:$Y$20,0),$Z$6)),"/"),"")</f>
        <v>Đ</v>
      </c>
      <c r="K44" s="35" t="str">
        <f>IF(H30&lt;&gt;"",IF(INDEX(BDHK2,MATCH(H30,DiemHKII!$B$4:$B$58,0),INDEX($Y$7:$AB$20,MATCH(I44,$Y$7:$Y$20,0),$AA$6))&lt;&gt;"",INDEX(BDHK2,MATCH(H30,DiemHKII!$B$4:$B$58,0),INDEX($Y$7:$AB$20,MATCH(I44,$Y$7:$Y$20,0),$AA$6)),"/"),"")</f>
        <v>/</v>
      </c>
      <c r="L44" s="35" t="str">
        <f>IF(H30&lt;&gt;"",IF(INDEX(BDHK2,MATCH(H30,DiemHKII!$B$4:$B$58,0),INDEX($Y$7:$AB$20,MATCH(I44,$Y$7:$Y$20,0),$AB$6))&lt;&gt;"",INDEX(BDHK2,MATCH(H30,DiemHKII!$B$4:$B$58,0),INDEX($Y$7:$AB$20,MATCH(I44,$Y$7:$Y$20,0),$AB$6)),"/"),"")</f>
        <v>Đ</v>
      </c>
      <c r="M44" s="88"/>
      <c r="N44" s="79" t="s">
        <v>202</v>
      </c>
      <c r="O44" s="81" t="s">
        <v>35</v>
      </c>
      <c r="P44" s="35" t="str">
        <f>IF(N30&lt;&gt;"",IF(INDEX(BDHK2,MATCH(N30,DiemHKII!$B$4:$B$58,0),INDEX($Y$7:$AB$20,MATCH(O44,$Y$7:$Y$20,0),$Z$6))&lt;&gt;"",INDEX(BDHK2,MATCH(N30,DiemHKII!$B$4:$B$58,0),INDEX($Y$7:$AB$20,MATCH(O44,$Y$7:$Y$20,0),$Z$6)),"/"),"")</f>
        <v>Đ</v>
      </c>
      <c r="Q44" s="35" t="str">
        <f>IF(N30&lt;&gt;"",IF(INDEX(BDHK2,MATCH(N30,DiemHKII!$B$4:$B$58,0),INDEX($Y$7:$AB$20,MATCH(O44,$Y$7:$Y$20,0),$AA$6))&lt;&gt;"",INDEX(BDHK2,MATCH(N30,DiemHKII!$B$4:$B$58,0),INDEX($Y$7:$AB$20,MATCH(O44,$Y$7:$Y$20,0),$AA$6)),"/"),"")</f>
        <v>/</v>
      </c>
      <c r="R44" s="35" t="str">
        <f>IF(N30&lt;&gt;"",IF(INDEX(BDHK2,MATCH(N30,DiemHKII!$B$4:$B$58,0),INDEX($Y$7:$AB$20,MATCH(O44,$Y$7:$Y$20,0),$AB$6))&lt;&gt;"",INDEX(BDHK2,MATCH(N30,DiemHKII!$B$4:$B$58,0),INDEX($Y$7:$AB$20,MATCH(O44,$Y$7:$Y$20,0),$AB$6)),"/"),"")</f>
        <v>Đ</v>
      </c>
      <c r="S44" s="88"/>
    </row>
    <row r="45" spans="1:19" ht="15.6" customHeight="1">
      <c r="A45" s="88"/>
      <c r="B45" s="79" t="s">
        <v>203</v>
      </c>
      <c r="C45" s="81" t="s">
        <v>121</v>
      </c>
      <c r="D45" s="35">
        <f>IF(B30&lt;&gt;"",IF(INDEX(BDHK2,MATCH(B30,DiemHKII!$B$4:$B$58,0),INDEX($Y$7:$AB$20,MATCH(C45,$Y$7:$Y$20,0),$Z$6))&lt;&gt;"",INDEX(BDHK2,MATCH(B30,DiemHKII!$B$4:$B$58,0),INDEX($Y$7:$AB$20,MATCH(C45,$Y$7:$Y$20,0),$Z$6)),"/"),"")</f>
        <v>9.9</v>
      </c>
      <c r="E45" s="35" t="str">
        <f>IF(B30&lt;&gt;"",IF(INDEX(BDHK2,MATCH(B30,DiemHKII!$B$4:$B$58,0),INDEX($Y$7:$AB$20,MATCH(C45,$Y$7:$Y$20,0),$AA$6))&lt;&gt;"",INDEX(BDHK2,MATCH(B30,DiemHKII!$B$4:$B$58,0),INDEX($Y$7:$AB$20,MATCH(C45,$Y$7:$Y$20,0),$AA$6)),"/"),"")</f>
        <v>/</v>
      </c>
      <c r="F45" s="35" t="str">
        <f>IF(B30&lt;&gt;"",IF(INDEX(BDHK2,MATCH(B30,DiemHKII!$B$4:$B$58,0),INDEX($Y$7:$AB$20,MATCH(C45,$Y$7:$Y$20,0),$AB$6))&lt;&gt;"",INDEX(BDHK2,MATCH(B30,DiemHKII!$B$4:$B$58,0),INDEX($Y$7:$AB$20,MATCH(C45,$Y$7:$Y$20,0),$AB$6)),"/"),"")</f>
        <v>/</v>
      </c>
      <c r="G45" s="88"/>
      <c r="H45" s="79" t="s">
        <v>203</v>
      </c>
      <c r="I45" s="81" t="s">
        <v>121</v>
      </c>
      <c r="J45" s="35">
        <f>IF(H30&lt;&gt;"",IF(INDEX(BDHK2,MATCH(H30,DiemHKII!$B$4:$B$58,0),INDEX($Y$7:$AB$20,MATCH(I45,$Y$7:$Y$20,0),$Z$6))&lt;&gt;"",INDEX(BDHK2,MATCH(H30,DiemHKII!$B$4:$B$58,0),INDEX($Y$7:$AB$20,MATCH(I45,$Y$7:$Y$20,0),$Z$6)),"/"),"")</f>
        <v>9.9</v>
      </c>
      <c r="K45" s="35" t="str">
        <f>IF(H30&lt;&gt;"",IF(INDEX(BDHK2,MATCH(H30,DiemHKII!$B$4:$B$58,0),INDEX($Y$7:$AB$20,MATCH(I45,$Y$7:$Y$20,0),$AA$6))&lt;&gt;"",INDEX(BDHK2,MATCH(H30,DiemHKII!$B$4:$B$58,0),INDEX($Y$7:$AB$20,MATCH(I45,$Y$7:$Y$20,0),$AA$6)),"/"),"")</f>
        <v>/</v>
      </c>
      <c r="L45" s="35" t="str">
        <f>IF(H30&lt;&gt;"",IF(INDEX(BDHK2,MATCH(H30,DiemHKII!$B$4:$B$58,0),INDEX($Y$7:$AB$20,MATCH(I45,$Y$7:$Y$20,0),$AB$6))&lt;&gt;"",INDEX(BDHK2,MATCH(H30,DiemHKII!$B$4:$B$58,0),INDEX($Y$7:$AB$20,MATCH(I45,$Y$7:$Y$20,0),$AB$6)),"/"),"")</f>
        <v>/</v>
      </c>
      <c r="M45" s="88"/>
      <c r="N45" s="79" t="s">
        <v>203</v>
      </c>
      <c r="O45" s="81" t="s">
        <v>121</v>
      </c>
      <c r="P45" s="35">
        <f>IF(N30&lt;&gt;"",IF(INDEX(BDHK2,MATCH(N30,DiemHKII!$B$4:$B$58,0),INDEX($Y$7:$AB$20,MATCH(O45,$Y$7:$Y$20,0),$Z$6))&lt;&gt;"",INDEX(BDHK2,MATCH(N30,DiemHKII!$B$4:$B$58,0),INDEX($Y$7:$AB$20,MATCH(O45,$Y$7:$Y$20,0),$Z$6)),"/"),"")</f>
        <v>9.9</v>
      </c>
      <c r="Q45" s="35" t="str">
        <f>IF(N30&lt;&gt;"",IF(INDEX(BDHK2,MATCH(N30,DiemHKII!$B$4:$B$58,0),INDEX($Y$7:$AB$20,MATCH(O45,$Y$7:$Y$20,0),$AA$6))&lt;&gt;"",INDEX(BDHK2,MATCH(N30,DiemHKII!$B$4:$B$58,0),INDEX($Y$7:$AB$20,MATCH(O45,$Y$7:$Y$20,0),$AA$6)),"/"),"")</f>
        <v>/</v>
      </c>
      <c r="R45" s="35" t="str">
        <f>IF(N30&lt;&gt;"",IF(INDEX(BDHK2,MATCH(N30,DiemHKII!$B$4:$B$58,0),INDEX($Y$7:$AB$20,MATCH(O45,$Y$7:$Y$20,0),$AB$6))&lt;&gt;"",INDEX(BDHK2,MATCH(N30,DiemHKII!$B$4:$B$58,0),INDEX($Y$7:$AB$20,MATCH(O45,$Y$7:$Y$20,0),$AB$6)),"/"),"")</f>
        <v>/</v>
      </c>
      <c r="S45" s="88"/>
    </row>
    <row r="46" spans="1:19" ht="15.6" customHeight="1">
      <c r="A46" s="88"/>
      <c r="B46" s="79" t="s">
        <v>204</v>
      </c>
      <c r="C46" s="81" t="s">
        <v>122</v>
      </c>
      <c r="D46" s="35" t="str">
        <f>IF(B30&lt;&gt;"",IF(INDEX(BDHK2,MATCH(B30,DiemHKII!$B$4:$B$58,0),INDEX($Y$7:$AB$20,MATCH(C46,$Y$7:$Y$20,0),$Z$6))&lt;&gt;"",INDEX(BDHK2,MATCH(B30,DiemHKII!$B$4:$B$58,0),INDEX($Y$7:$AB$20,MATCH(C46,$Y$7:$Y$20,0),$Z$6)),"/"),"")</f>
        <v>/</v>
      </c>
      <c r="E46" s="35" t="str">
        <f>IF(B30&lt;&gt;"",IF(INDEX(BDHK2,MATCH(B30,DiemHKII!$B$4:$B$58,0),INDEX($Y$7:$AB$20,MATCH(C46,$Y$7:$Y$20,0),$AA$6))&lt;&gt;"",INDEX(BDHK2,MATCH(B30,DiemHKII!$B$4:$B$58,0),INDEX($Y$7:$AB$20,MATCH(C46,$Y$7:$Y$20,0),$AA$6)),"/"),"")</f>
        <v>/</v>
      </c>
      <c r="F46" s="35" t="str">
        <f>IF(B30&lt;&gt;"",IF(INDEX(BDHK2,MATCH(B30,DiemHKII!$B$4:$B$58,0),INDEX($Y$7:$AB$20,MATCH(C46,$Y$7:$Y$20,0),$AB$6))&lt;&gt;"",INDEX(BDHK2,MATCH(B30,DiemHKII!$B$4:$B$58,0),INDEX($Y$7:$AB$20,MATCH(C46,$Y$7:$Y$20,0),$AB$6)),"/"),"")</f>
        <v>/</v>
      </c>
      <c r="G46" s="88"/>
      <c r="H46" s="79" t="s">
        <v>204</v>
      </c>
      <c r="I46" s="81" t="s">
        <v>122</v>
      </c>
      <c r="J46" s="35" t="str">
        <f>IF(H30&lt;&gt;"",IF(INDEX(BDHK2,MATCH(H30,DiemHKII!$B$4:$B$58,0),INDEX($Y$7:$AB$20,MATCH(I46,$Y$7:$Y$20,0),$Z$6))&lt;&gt;"",INDEX(BDHK2,MATCH(H30,DiemHKII!$B$4:$B$58,0),INDEX($Y$7:$AB$20,MATCH(I46,$Y$7:$Y$20,0),$Z$6)),"/"),"")</f>
        <v>/</v>
      </c>
      <c r="K46" s="35" t="str">
        <f>IF(H30&lt;&gt;"",IF(INDEX(BDHK2,MATCH(H30,DiemHKII!$B$4:$B$58,0),INDEX($Y$7:$AB$20,MATCH(I46,$Y$7:$Y$20,0),$AA$6))&lt;&gt;"",INDEX(BDHK2,MATCH(H30,DiemHKII!$B$4:$B$58,0),INDEX($Y$7:$AB$20,MATCH(I46,$Y$7:$Y$20,0),$AA$6)),"/"),"")</f>
        <v>/</v>
      </c>
      <c r="L46" s="35" t="str">
        <f>IF(H30&lt;&gt;"",IF(INDEX(BDHK2,MATCH(H30,DiemHKII!$B$4:$B$58,0),INDEX($Y$7:$AB$20,MATCH(I46,$Y$7:$Y$20,0),$AB$6))&lt;&gt;"",INDEX(BDHK2,MATCH(H30,DiemHKII!$B$4:$B$58,0),INDEX($Y$7:$AB$20,MATCH(I46,$Y$7:$Y$20,0),$AB$6)),"/"),"")</f>
        <v>/</v>
      </c>
      <c r="M46" s="88"/>
      <c r="N46" s="79" t="s">
        <v>204</v>
      </c>
      <c r="O46" s="81" t="s">
        <v>122</v>
      </c>
      <c r="P46" s="35" t="str">
        <f>IF(N30&lt;&gt;"",IF(INDEX(BDHK2,MATCH(N30,DiemHKII!$B$4:$B$58,0),INDEX($Y$7:$AB$20,MATCH(O46,$Y$7:$Y$20,0),$Z$6))&lt;&gt;"",INDEX(BDHK2,MATCH(N30,DiemHKII!$B$4:$B$58,0),INDEX($Y$7:$AB$20,MATCH(O46,$Y$7:$Y$20,0),$Z$6)),"/"),"")</f>
        <v>/</v>
      </c>
      <c r="Q46" s="35" t="str">
        <f>IF(N30&lt;&gt;"",IF(INDEX(BDHK2,MATCH(N30,DiemHKII!$B$4:$B$58,0),INDEX($Y$7:$AB$20,MATCH(O46,$Y$7:$Y$20,0),$AA$6))&lt;&gt;"",INDEX(BDHK2,MATCH(N30,DiemHKII!$B$4:$B$58,0),INDEX($Y$7:$AB$20,MATCH(O46,$Y$7:$Y$20,0),$AA$6)),"/"),"")</f>
        <v>/</v>
      </c>
      <c r="R46" s="35" t="str">
        <f>IF(N30&lt;&gt;"",IF(INDEX(BDHK2,MATCH(N30,DiemHKII!$B$4:$B$58,0),INDEX($Y$7:$AB$20,MATCH(O46,$Y$7:$Y$20,0),$AB$6))&lt;&gt;"",INDEX(BDHK2,MATCH(N30,DiemHKII!$B$4:$B$58,0),INDEX($Y$7:$AB$20,MATCH(O46,$Y$7:$Y$20,0),$AB$6)),"/"),"")</f>
        <v>/</v>
      </c>
      <c r="S46" s="88"/>
    </row>
    <row r="47" spans="1:19" ht="15.6" customHeight="1">
      <c r="A47" s="88"/>
      <c r="B47" s="79" t="s">
        <v>208</v>
      </c>
      <c r="C47" s="81" t="s">
        <v>217</v>
      </c>
      <c r="D47" s="80">
        <f>IF(B30&lt;&gt;"",IF(INDEX('TH CANAM'!$A$9:$BF$63,MATCH(B30,'TH CANAM'!$A$9:$A$63,0),46)&lt;&gt;"",INDEX('TH CANAM'!$A$9:$BF$63,MATCH(B30,'TH CANAM'!$A$9:$A$63,0),46),"/"),"")</f>
        <v>9.4</v>
      </c>
      <c r="E47" s="80" t="str">
        <f>IF(B30&lt;&gt;"",IF(INDEX('TH CANAM'!$A$9:$BF$63,MATCH(B30,'TH CANAM'!$A$9:$A$63,0),47)&lt;&gt;"",INDEX('TH CANAM'!$A$9:$BF$63,MATCH(B30,'TH CANAM'!$A$9:$A$63,0),47),"/"),"")</f>
        <v>/</v>
      </c>
      <c r="F47" s="80" t="str">
        <f>IF(B30&lt;&gt;"",IF(INDEX('TH CANAM'!$A$9:$BF$63,MATCH(B30,'TH CANAM'!$A$9:$A$63,0),48)&lt;&gt;"",INDEX('TH CANAM'!$A$9:$BF$63,MATCH(B30,'TH CANAM'!$A$9:$A$63,0),48),"/"),"")</f>
        <v>/</v>
      </c>
      <c r="G47" s="88"/>
      <c r="H47" s="79" t="s">
        <v>208</v>
      </c>
      <c r="I47" s="81" t="s">
        <v>217</v>
      </c>
      <c r="J47" s="80">
        <f>IF(H30&lt;&gt;"",IF(INDEX('TH CANAM'!$A$9:$BF$63,MATCH(H30,'TH CANAM'!$A$9:$A$63,0),46)&lt;&gt;"",INDEX('TH CANAM'!$A$9:$BF$63,MATCH(H30,'TH CANAM'!$A$9:$A$63,0),46),"/"),"")</f>
        <v>9.3000000000000007</v>
      </c>
      <c r="K47" s="80" t="str">
        <f>IF(H30&lt;&gt;"",IF(INDEX('TH CANAM'!$A$9:$BF$63,MATCH(H30,'TH CANAM'!$A$9:$A$63,0),47)&lt;&gt;"",INDEX('TH CANAM'!$A$9:$BF$63,MATCH(H30,'TH CANAM'!$A$9:$A$63,0),47),"/"),"")</f>
        <v>/</v>
      </c>
      <c r="L47" s="80" t="str">
        <f>IF(H30&lt;&gt;"",IF(INDEX('TH CANAM'!$A$9:$BF$63,MATCH(H30,'TH CANAM'!$A$9:$A$63,0),48)&lt;&gt;"",INDEX('TH CANAM'!$A$9:$BF$63,MATCH(H30,'TH CANAM'!$A$9:$A$63,0),48),"/"),"")</f>
        <v>/</v>
      </c>
      <c r="M47" s="88"/>
      <c r="N47" s="79" t="s">
        <v>208</v>
      </c>
      <c r="O47" s="81" t="s">
        <v>217</v>
      </c>
      <c r="P47" s="80">
        <f>IF(N30&lt;&gt;"",IF(INDEX('TH CANAM'!$A$9:$BF$63,MATCH(N30,'TH CANAM'!$A$9:$A$63,0),46)&lt;&gt;"",INDEX('TH CANAM'!$A$9:$BF$63,MATCH(N30,'TH CANAM'!$A$9:$A$63,0),46),"/"),"")</f>
        <v>9.4</v>
      </c>
      <c r="Q47" s="80" t="str">
        <f>IF(N30&lt;&gt;"",IF(INDEX('TH CANAM'!$A$9:$BF$63,MATCH(N30,'TH CANAM'!$A$9:$A$63,0),47)&lt;&gt;"",INDEX('TH CANAM'!$A$9:$BF$63,MATCH(N30,'TH CANAM'!$A$9:$A$63,0),47),"/"),"")</f>
        <v>/</v>
      </c>
      <c r="R47" s="80" t="str">
        <f>IF(N30&lt;&gt;"",IF(INDEX('TH CANAM'!$A$9:$BF$63,MATCH(N30,'TH CANAM'!$A$9:$A$63,0),48)&lt;&gt;"",INDEX('TH CANAM'!$A$9:$BF$63,MATCH(N30,'TH CANAM'!$A$9:$A$63,0),48),"/"),"")</f>
        <v>/</v>
      </c>
      <c r="S47" s="88"/>
    </row>
    <row r="48" spans="1:19" ht="15.6" customHeight="1">
      <c r="A48" s="88"/>
      <c r="B48" s="79" t="s">
        <v>209</v>
      </c>
      <c r="C48" s="82" t="s">
        <v>36</v>
      </c>
      <c r="D48" s="35" t="str">
        <f>IF(B30&lt;&gt;"",IF(INDEX('TH CANAM'!$A$9:$BF$63,MATCH(B30,'TH CANAM'!$A$9:$A$63,0),49)&lt;&gt;"",INDEX('TH CANAM'!$A$9:$BF$63,MATCH(B30,'TH CANAM'!$A$9:$A$63,0),49),"/"),"")</f>
        <v>Giỏi</v>
      </c>
      <c r="E48" s="35" t="str">
        <f>IF(B30&lt;&gt;"",IF(INDEX('TH CANAM'!$A$9:$BF$63,MATCH(B30,'TH CANAM'!$A$9:$A$63,0),50)&lt;&gt;"",INDEX('TH CANAM'!$A$9:$BF$63,MATCH(B30,'TH CANAM'!$A$9:$A$63,0),50),"/"),"")</f>
        <v>/</v>
      </c>
      <c r="F48" s="35" t="str">
        <f>IF(B30&lt;&gt;"",IF(INDEX('TH CANAM'!$A$9:$BF$63,MATCH(B30,'TH CANAM'!$A$9:$A$63,0),51)&lt;&gt;"",INDEX('TH CANAM'!$A$9:$BF$63,MATCH(B30,'TH CANAM'!$A$9:$A$63,0),51),"/"),"")</f>
        <v>/</v>
      </c>
      <c r="G48" s="88"/>
      <c r="H48" s="79" t="s">
        <v>209</v>
      </c>
      <c r="I48" s="82" t="s">
        <v>36</v>
      </c>
      <c r="J48" s="35" t="str">
        <f>IF(H30&lt;&gt;"",IF(INDEX('TH CANAM'!$A$9:$BF$63,MATCH(H30,'TH CANAM'!$A$9:$A$63,0),49)&lt;&gt;"",INDEX('TH CANAM'!$A$9:$BF$63,MATCH(H30,'TH CANAM'!$A$9:$A$63,0),49),"/"),"")</f>
        <v>Giỏi</v>
      </c>
      <c r="K48" s="35" t="str">
        <f>IF(H30&lt;&gt;"",IF(INDEX('TH CANAM'!$A$9:$BF$63,MATCH(H30,'TH CANAM'!$A$9:$A$63,0),50)&lt;&gt;"",INDEX('TH CANAM'!$A$9:$BF$63,MATCH(H30,'TH CANAM'!$A$9:$A$63,0),50),"/"),"")</f>
        <v>/</v>
      </c>
      <c r="L48" s="35" t="str">
        <f>IF(H30&lt;&gt;"",IF(INDEX('TH CANAM'!$A$9:$BF$63,MATCH(H30,'TH CANAM'!$A$9:$A$63,0),51)&lt;&gt;"",INDEX('TH CANAM'!$A$9:$BF$63,MATCH(H30,'TH CANAM'!$A$9:$A$63,0),51),"/"),"")</f>
        <v>/</v>
      </c>
      <c r="M48" s="88"/>
      <c r="N48" s="79" t="s">
        <v>209</v>
      </c>
      <c r="O48" s="82" t="s">
        <v>36</v>
      </c>
      <c r="P48" s="35" t="str">
        <f>IF(N30&lt;&gt;"",IF(INDEX('TH CANAM'!$A$9:$BF$63,MATCH(N30,'TH CANAM'!$A$9:$A$63,0),49)&lt;&gt;"",INDEX('TH CANAM'!$A$9:$BF$63,MATCH(N30,'TH CANAM'!$A$9:$A$63,0),49),"/"),"")</f>
        <v>Giỏi</v>
      </c>
      <c r="Q48" s="35" t="str">
        <f>IF(N30&lt;&gt;"",IF(INDEX('TH CANAM'!$A$9:$BF$63,MATCH(N30,'TH CANAM'!$A$9:$A$63,0),50)&lt;&gt;"",INDEX('TH CANAM'!$A$9:$BF$63,MATCH(N30,'TH CANAM'!$A$9:$A$63,0),50),"/"),"")</f>
        <v>/</v>
      </c>
      <c r="R48" s="35" t="str">
        <f>IF(N30&lt;&gt;"",IF(INDEX('TH CANAM'!$A$9:$BF$63,MATCH(N30,'TH CANAM'!$A$9:$A$63,0),51)&lt;&gt;"",INDEX('TH CANAM'!$A$9:$BF$63,MATCH(N30,'TH CANAM'!$A$9:$A$63,0),51),"/"),"")</f>
        <v>/</v>
      </c>
      <c r="S48" s="88"/>
    </row>
    <row r="49" spans="1:19" ht="15.6" customHeight="1">
      <c r="A49" s="88"/>
      <c r="B49" s="79" t="s">
        <v>210</v>
      </c>
      <c r="C49" s="82" t="s">
        <v>37</v>
      </c>
      <c r="D49" s="35" t="str">
        <f>IF(B30&lt;&gt;"",IF(INDEX('TH CANAM'!$A$9:$BF$63,MATCH(B30,'TH CANAM'!$A$9:$A$63,0),52)&lt;&gt;"",INDEX('TH CANAM'!$A$9:$BF$63,MATCH(B30,'TH CANAM'!$A$9:$A$63,0),52),"/"),"")</f>
        <v>Tốt</v>
      </c>
      <c r="E49" s="35" t="str">
        <f>IF(B30&lt;&gt;"",IF(INDEX('TH CANAM'!$A$9:$BF$63,MATCH(B30,'TH CANAM'!$A$9:$A$63,0),53)&lt;&gt;"",INDEX('TH CANAM'!$A$9:$BF$63,MATCH(B30,'TH CANAM'!$A$9:$A$63,0),53),"/"),"")</f>
        <v>/</v>
      </c>
      <c r="F49" s="35" t="str">
        <f>IF(B30&lt;&gt;"",IF(INDEX('TH CANAM'!$A$9:$BF$63,MATCH(B30,'TH CANAM'!$A$9:$A$63,0),54)&lt;&gt;"",INDEX('TH CANAM'!$A$9:$BF$63,MATCH(B30,'TH CANAM'!$A$9:$A$63,0),54),"/"),"")</f>
        <v>/</v>
      </c>
      <c r="G49" s="88"/>
      <c r="H49" s="79" t="s">
        <v>210</v>
      </c>
      <c r="I49" s="82" t="s">
        <v>37</v>
      </c>
      <c r="J49" s="35" t="str">
        <f>IF(H30&lt;&gt;"",IF(INDEX('TH CANAM'!$A$9:$BF$63,MATCH(H30,'TH CANAM'!$A$9:$A$63,0),52)&lt;&gt;"",INDEX('TH CANAM'!$A$9:$BF$63,MATCH(H30,'TH CANAM'!$A$9:$A$63,0),52),"/"),"")</f>
        <v>Tốt</v>
      </c>
      <c r="K49" s="35" t="str">
        <f>IF(H30&lt;&gt;"",IF(INDEX('TH CANAM'!$A$9:$BF$63,MATCH(H30,'TH CANAM'!$A$9:$A$63,0),53)&lt;&gt;"",INDEX('TH CANAM'!$A$9:$BF$63,MATCH(H30,'TH CANAM'!$A$9:$A$63,0),53),"/"),"")</f>
        <v>/</v>
      </c>
      <c r="L49" s="35" t="str">
        <f>IF(H30&lt;&gt;"",IF(INDEX('TH CANAM'!$A$9:$BF$63,MATCH(H30,'TH CANAM'!$A$9:$A$63,0),54)&lt;&gt;"",INDEX('TH CANAM'!$A$9:$BF$63,MATCH(H30,'TH CANAM'!$A$9:$A$63,0),54),"/"),"")</f>
        <v>/</v>
      </c>
      <c r="M49" s="88"/>
      <c r="N49" s="79" t="s">
        <v>210</v>
      </c>
      <c r="O49" s="82" t="s">
        <v>37</v>
      </c>
      <c r="P49" s="35" t="str">
        <f>IF(N30&lt;&gt;"",IF(INDEX('TH CANAM'!$A$9:$BF$63,MATCH(N30,'TH CANAM'!$A$9:$A$63,0),52)&lt;&gt;"",INDEX('TH CANAM'!$A$9:$BF$63,MATCH(N30,'TH CANAM'!$A$9:$A$63,0),52),"/"),"")</f>
        <v>Tốt</v>
      </c>
      <c r="Q49" s="35" t="str">
        <f>IF(N30&lt;&gt;"",IF(INDEX('TH CANAM'!$A$9:$BF$63,MATCH(N30,'TH CANAM'!$A$9:$A$63,0),53)&lt;&gt;"",INDEX('TH CANAM'!$A$9:$BF$63,MATCH(N30,'TH CANAM'!$A$9:$A$63,0),53),"/"),"")</f>
        <v>/</v>
      </c>
      <c r="R49" s="35" t="str">
        <f>IF(N30&lt;&gt;"",IF(INDEX('TH CANAM'!$A$9:$BF$63,MATCH(N30,'TH CANAM'!$A$9:$A$63,0),54)&lt;&gt;"",INDEX('TH CANAM'!$A$9:$BF$63,MATCH(N30,'TH CANAM'!$A$9:$A$63,0),54),"/"),"")</f>
        <v>/</v>
      </c>
      <c r="S49" s="88"/>
    </row>
    <row r="50" spans="1:19" ht="15.6" customHeight="1">
      <c r="A50" s="88"/>
      <c r="B50" s="79" t="s">
        <v>211</v>
      </c>
      <c r="C50" s="82" t="s">
        <v>25</v>
      </c>
      <c r="D50" s="35" t="str">
        <f>IF(B30&lt;&gt;"",IF(INDEX('TH CANAM'!$A$9:$BF$63,MATCH(B30,'TH CANAM'!$A$9:$A$63,0),57)&lt;&gt;"",INDEX('TH CANAM'!$A$9:$BF$63,MATCH(B30,'TH CANAM'!$A$9:$A$63,0),57),"/"),"")</f>
        <v>HSG</v>
      </c>
      <c r="E50" s="35" t="str">
        <f>IF(B30&lt;&gt;"",IF(INDEX('TH CANAM'!$A$9:$BF$63,MATCH(B30,'TH CANAM'!$A$9:$A$63,0),58)&lt;&gt;"",INDEX('TH CANAM'!$A$9:$BF$63,MATCH(B30,'TH CANAM'!$A$9:$A$63,0),58),"/"),"")</f>
        <v>/</v>
      </c>
      <c r="F50" s="35" t="str">
        <f>IF(B30&lt;&gt;"",IF(INDEX('TH CANAM'!$A$9:$BF$63,MATCH(B30,'TH CANAM'!$A$9:$A$63,0),55)&lt;&gt;"",INDEX('TH CANAM'!$A$9:$BF$63,MATCH(B30,'TH CANAM'!$A$9:$A$63,0),55),"/"),"")</f>
        <v>/</v>
      </c>
      <c r="G50" s="88"/>
      <c r="H50" s="79" t="s">
        <v>211</v>
      </c>
      <c r="I50" s="82" t="s">
        <v>25</v>
      </c>
      <c r="J50" s="35" t="str">
        <f>IF(H30&lt;&gt;"",IF(INDEX('TH CANAM'!$A$9:$BF$63,MATCH(H30,'TH CANAM'!$A$9:$A$63,0),57)&lt;&gt;"",INDEX('TH CANAM'!$A$9:$BF$63,MATCH(H30,'TH CANAM'!$A$9:$A$63,0),57),"/"),"")</f>
        <v>HSG</v>
      </c>
      <c r="K50" s="35" t="str">
        <f>IF(H30&lt;&gt;"",IF(INDEX('TH CANAM'!$A$9:$BF$63,MATCH(H30,'TH CANAM'!$A$9:$A$63,0),58)&lt;&gt;"",INDEX('TH CANAM'!$A$9:$BF$63,MATCH(H30,'TH CANAM'!$A$9:$A$63,0),58),"/"),"")</f>
        <v>/</v>
      </c>
      <c r="L50" s="35" t="str">
        <f>IF(H30&lt;&gt;"",IF(INDEX('TH CANAM'!$A$9:$BF$63,MATCH(H30,'TH CANAM'!$A$9:$A$63,0),55)&lt;&gt;"",INDEX('TH CANAM'!$A$9:$BF$63,MATCH(H30,'TH CANAM'!$A$9:$A$63,0),55),"/"),"")</f>
        <v>/</v>
      </c>
      <c r="M50" s="88"/>
      <c r="N50" s="79" t="s">
        <v>211</v>
      </c>
      <c r="O50" s="82" t="s">
        <v>25</v>
      </c>
      <c r="P50" s="35" t="str">
        <f>IF(N30&lt;&gt;"",IF(INDEX('TH CANAM'!$A$9:$BF$63,MATCH(N30,'TH CANAM'!$A$9:$A$63,0),57)&lt;&gt;"",INDEX('TH CANAM'!$A$9:$BF$63,MATCH(N30,'TH CANAM'!$A$9:$A$63,0),57),"/"),"")</f>
        <v>HSG</v>
      </c>
      <c r="Q50" s="35" t="str">
        <f>IF(N30&lt;&gt;"",IF(INDEX('TH CANAM'!$A$9:$BF$63,MATCH(N30,'TH CANAM'!$A$9:$A$63,0),58)&lt;&gt;"",INDEX('TH CANAM'!$A$9:$BF$63,MATCH(N30,'TH CANAM'!$A$9:$A$63,0),58),"/"),"")</f>
        <v>/</v>
      </c>
      <c r="R50" s="35" t="str">
        <f>IF(N30&lt;&gt;"",IF(INDEX('TH CANAM'!$A$9:$BF$63,MATCH(N30,'TH CANAM'!$A$9:$A$63,0),55)&lt;&gt;"",INDEX('TH CANAM'!$A$9:$BF$63,MATCH(N30,'TH CANAM'!$A$9:$A$63,0),55),"/"),"")</f>
        <v>/</v>
      </c>
      <c r="S50" s="88"/>
    </row>
    <row r="51" spans="1:19" s="251" customFormat="1" ht="15.75" customHeight="1">
      <c r="A51" s="89"/>
      <c r="B51" s="1146" t="s">
        <v>219</v>
      </c>
      <c r="C51" s="1147"/>
      <c r="D51" s="1147"/>
      <c r="E51" s="1147"/>
      <c r="F51" s="1148"/>
      <c r="G51" s="89"/>
      <c r="H51" s="1146" t="s">
        <v>219</v>
      </c>
      <c r="I51" s="1147"/>
      <c r="J51" s="1147"/>
      <c r="K51" s="1147"/>
      <c r="L51" s="1148"/>
      <c r="M51" s="89"/>
      <c r="N51" s="1146" t="s">
        <v>219</v>
      </c>
      <c r="O51" s="1147"/>
      <c r="P51" s="1147"/>
      <c r="Q51" s="1147"/>
      <c r="R51" s="1148"/>
      <c r="S51" s="89"/>
    </row>
    <row r="52" spans="1:19" s="251" customFormat="1" ht="15.6" customHeight="1">
      <c r="A52" s="89"/>
      <c r="B52" s="1143" t="str">
        <f>IF(B30&lt;&gt;"",IF(INDEX(BDHK2,MATCH(B30,DiemHKII!$B$4:$B$58,0),137)&lt;&gt;""," - "&amp;INDEX(BDHK2,MATCH(B30,DiemHKII!$B$4:$B$58,0),137),""),"")</f>
        <v/>
      </c>
      <c r="C52" s="1144"/>
      <c r="D52" s="1144"/>
      <c r="E52" s="1144"/>
      <c r="F52" s="1145"/>
      <c r="G52" s="89"/>
      <c r="H52" s="1143" t="str">
        <f>IF(H30&lt;&gt;"",IF(INDEX(BDHK2,MATCH(H30,DiemHKII!$B$4:$B$58,0),137)&lt;&gt;""," - "&amp;INDEX(BDHK2,MATCH(H30,DiemHKII!$B$4:$B$58,0),137),""),"")</f>
        <v/>
      </c>
      <c r="I52" s="1144"/>
      <c r="J52" s="1144"/>
      <c r="K52" s="1144"/>
      <c r="L52" s="1145"/>
      <c r="M52" s="89"/>
      <c r="N52" s="1143" t="str">
        <f>IF(N30&lt;&gt;"",IF(INDEX(BDHK2,MATCH(N30,DiemHKII!$B$4:$B$58,0),137)&lt;&gt;""," - "&amp;INDEX(BDHK2,MATCH(N30,DiemHKII!$B$4:$B$58,0),137),""),"")</f>
        <v/>
      </c>
      <c r="O52" s="1144"/>
      <c r="P52" s="1144"/>
      <c r="Q52" s="1144"/>
      <c r="R52" s="1145"/>
      <c r="S52" s="89"/>
    </row>
    <row r="53" spans="1:19" s="251" customFormat="1" ht="15.6" customHeight="1">
      <c r="A53" s="89"/>
      <c r="B53" s="1143" t="str">
        <f>IF(B30&lt;&gt;"",IF(INDEX(BDHK2,MATCH(B30,DiemHKII!$B$4:$B$58,0),138)&lt;&gt;""," - "&amp;INDEX(BDHK2,MATCH(B30,DiemHKII!$B$4:$B$58,0),138),""),"")</f>
        <v/>
      </c>
      <c r="C53" s="1144"/>
      <c r="D53" s="1144"/>
      <c r="E53" s="1144"/>
      <c r="F53" s="1145"/>
      <c r="G53" s="89"/>
      <c r="H53" s="1143" t="str">
        <f>IF(H30&lt;&gt;"",IF(INDEX(BDHK2,MATCH(H30,DiemHKII!$B$4:$B$58,0),138)&lt;&gt;""," - "&amp;INDEX(BDHK2,MATCH(H30,DiemHKII!$B$4:$B$58,0),138),""),"")</f>
        <v/>
      </c>
      <c r="I53" s="1144"/>
      <c r="J53" s="1144"/>
      <c r="K53" s="1144"/>
      <c r="L53" s="1145"/>
      <c r="M53" s="89"/>
      <c r="N53" s="1143" t="str">
        <f>IF(N30&lt;&gt;"",IF(INDEX(BDHK2,MATCH(N30,DiemHKII!$B$4:$B$58,0),138)&lt;&gt;""," - "&amp;INDEX(BDHK2,MATCH(N30,DiemHKII!$B$4:$B$58,0),138),""),"")</f>
        <v/>
      </c>
      <c r="O53" s="1144"/>
      <c r="P53" s="1144"/>
      <c r="Q53" s="1144"/>
      <c r="R53" s="1145"/>
      <c r="S53" s="89"/>
    </row>
    <row r="54" spans="1:19" s="251" customFormat="1" ht="15.6" customHeight="1">
      <c r="A54" s="89"/>
      <c r="B54" s="1143" t="str">
        <f>IF(B30&lt;&gt;"",IF(INDEX(BDHK2,MATCH(B30,DiemHKII!$B$4:$B$58,0),139)&lt;&gt;""," - "&amp;INDEX(BDHK2,MATCH(B30,DiemHKII!$B$4:$B$58,0),139),""),"")</f>
        <v/>
      </c>
      <c r="C54" s="1144"/>
      <c r="D54" s="1144"/>
      <c r="E54" s="1144"/>
      <c r="F54" s="1145"/>
      <c r="G54" s="89"/>
      <c r="H54" s="1143" t="str">
        <f>IF(H30&lt;&gt;"",IF(INDEX(BDHK2,MATCH(H30,DiemHKII!$B$4:$B$58,0),139)&lt;&gt;""," - "&amp;INDEX(BDHK2,MATCH(H30,DiemHKII!$B$4:$B$58,0),139),""),"")</f>
        <v/>
      </c>
      <c r="I54" s="1144"/>
      <c r="J54" s="1144"/>
      <c r="K54" s="1144"/>
      <c r="L54" s="1145"/>
      <c r="M54" s="89"/>
      <c r="N54" s="1143" t="str">
        <f>IF(N30&lt;&gt;"",IF(INDEX(BDHK2,MATCH(N30,DiemHKII!$B$4:$B$58,0),139)&lt;&gt;""," - "&amp;INDEX(BDHK2,MATCH(N30,DiemHKII!$B$4:$B$58,0),139),""),"")</f>
        <v/>
      </c>
      <c r="O54" s="1144"/>
      <c r="P54" s="1144"/>
      <c r="Q54" s="1144"/>
      <c r="R54" s="1145"/>
      <c r="S54" s="89"/>
    </row>
    <row r="55" spans="1:19" s="251" customFormat="1" ht="15.6" customHeight="1">
      <c r="A55" s="89"/>
      <c r="B55" s="1143" t="str">
        <f>IF(B30&lt;&gt;"",IF(INDEX(BDHK2,MATCH(B30,DiemHKII!$B$4:$B$58,0),140)&lt;&gt;""," - "&amp;INDEX(BDHK2,MATCH(B30,DiemHKII!$B$4:$B$58,0),140),""),"")</f>
        <v/>
      </c>
      <c r="C55" s="1144"/>
      <c r="D55" s="1144"/>
      <c r="E55" s="1144"/>
      <c r="F55" s="1145"/>
      <c r="G55" s="89"/>
      <c r="H55" s="1143" t="str">
        <f>IF(H30&lt;&gt;"",IF(INDEX(BDHK2,MATCH(H30,DiemHKII!$B$4:$B$58,0),140)&lt;&gt;""," - "&amp;INDEX(BDHK2,MATCH(H30,DiemHKII!$B$4:$B$58,0),140),""),"")</f>
        <v/>
      </c>
      <c r="I55" s="1144"/>
      <c r="J55" s="1144"/>
      <c r="K55" s="1144"/>
      <c r="L55" s="1145"/>
      <c r="M55" s="89"/>
      <c r="N55" s="1143" t="str">
        <f>IF(N30&lt;&gt;"",IF(INDEX(BDHK2,MATCH(N30,DiemHKII!$B$4:$B$58,0),140)&lt;&gt;""," - "&amp;INDEX(BDHK2,MATCH(N30,DiemHKII!$B$4:$B$58,0),140),""),"")</f>
        <v/>
      </c>
      <c r="O55" s="1144"/>
      <c r="P55" s="1144"/>
      <c r="Q55" s="1144"/>
      <c r="R55" s="1145"/>
      <c r="S55" s="89"/>
    </row>
    <row r="56" spans="1:19" ht="8.25" customHeight="1">
      <c r="A56" s="88"/>
      <c r="B56" s="83"/>
      <c r="C56" s="84"/>
      <c r="D56" s="84"/>
      <c r="E56" s="84"/>
      <c r="F56" s="85"/>
      <c r="G56" s="88"/>
      <c r="H56" s="83"/>
      <c r="I56" s="84"/>
      <c r="J56" s="84"/>
      <c r="K56" s="84"/>
      <c r="L56" s="85"/>
      <c r="M56" s="88"/>
      <c r="N56" s="83"/>
      <c r="O56" s="84"/>
      <c r="P56" s="84"/>
      <c r="Q56" s="84"/>
      <c r="R56" s="85"/>
      <c r="S56" s="88"/>
    </row>
    <row r="57" spans="1:19" ht="6.75" customHeight="1">
      <c r="A57" s="88"/>
      <c r="B57" s="87"/>
      <c r="C57" s="87"/>
      <c r="D57" s="1135"/>
      <c r="E57" s="1135"/>
      <c r="F57" s="1135"/>
      <c r="G57" s="88"/>
      <c r="H57" s="87"/>
      <c r="I57" s="87"/>
      <c r="J57" s="1135"/>
      <c r="K57" s="1135"/>
      <c r="L57" s="1135"/>
      <c r="M57" s="88"/>
      <c r="N57" s="87"/>
      <c r="O57" s="87"/>
      <c r="P57" s="1135"/>
      <c r="Q57" s="1135"/>
      <c r="R57" s="1135"/>
      <c r="S57" s="88"/>
    </row>
    <row r="58" spans="1:19" ht="6.75" customHeight="1">
      <c r="A58" s="88"/>
      <c r="B58" s="87"/>
      <c r="C58" s="87"/>
      <c r="D58" s="1135"/>
      <c r="E58" s="1135"/>
      <c r="F58" s="1135"/>
      <c r="G58" s="88"/>
      <c r="H58" s="87"/>
      <c r="I58" s="87"/>
      <c r="J58" s="1135"/>
      <c r="K58" s="1135"/>
      <c r="L58" s="1135"/>
      <c r="M58" s="88"/>
      <c r="N58" s="87"/>
      <c r="O58" s="87"/>
      <c r="P58" s="1135"/>
      <c r="Q58" s="1135"/>
      <c r="R58" s="1135"/>
      <c r="S58" s="88"/>
    </row>
    <row r="59" spans="1:19" ht="18" customHeight="1">
      <c r="A59" s="88"/>
      <c r="B59" s="477">
        <f>IF(N30="","",IF(N30&lt;MAX(DiemHKII!$B$4:$B$58),N30+1,""))</f>
        <v>7</v>
      </c>
      <c r="C59" s="1140" t="str">
        <f>IF(B59="","",INDEX(DiemHKII!$E$4:$E$58,MATCH(B59,DiemHKII!$B$4:$B$58,0),1)&amp;" "&amp;INDEX(DiemHKII!$F$4:$F$58,MATCH(B59,DiemHKII!$B$4:$B$58,0),1))</f>
        <v>Nguyễn Phúc Bình</v>
      </c>
      <c r="D59" s="1141"/>
      <c r="E59" s="1142"/>
      <c r="F59" s="86" t="str">
        <f>IF('Huong dan'!$C$3="","",'Huong dan'!$C$3)</f>
        <v>12A1</v>
      </c>
      <c r="G59" s="88"/>
      <c r="H59" s="477">
        <f>IF(B59="","",IF(B59&lt;MAX(DiemHKII!$B$4:$B$58),B59+1,""))</f>
        <v>8</v>
      </c>
      <c r="I59" s="1140" t="str">
        <f>IF(H59="","",INDEX(DiemHKII!$E$4:$E$58,MATCH(H59,DiemHKII!$B$4:$B$58,0),1)&amp;" "&amp;INDEX(DiemHKII!$F$4:$F$58,MATCH(H59,DiemHKII!$B$4:$B$58,0),1))</f>
        <v>Trần Lê Cường</v>
      </c>
      <c r="J59" s="1141"/>
      <c r="K59" s="1142"/>
      <c r="L59" s="86" t="str">
        <f>IF('Huong dan'!$C$3="","",'Huong dan'!$C$3)</f>
        <v>12A1</v>
      </c>
      <c r="M59" s="88"/>
      <c r="N59" s="477">
        <f>IF(H59="","",IF(H59&lt;MAX(DiemHKII!$B$4:$B$58),H59+1,""))</f>
        <v>9</v>
      </c>
      <c r="O59" s="1140" t="str">
        <f>IF(N59="","",INDEX(DiemHKII!$E$4:$E$58,MATCH(N59,DiemHKII!$B$4:$B$58,0),1)&amp;" "&amp;INDEX(DiemHKII!$F$4:$F$58,MATCH(N59,DiemHKII!$B$4:$B$58,0),1))</f>
        <v>Nguyễn Thanh Duyên</v>
      </c>
      <c r="P59" s="1141"/>
      <c r="Q59" s="1142"/>
      <c r="R59" s="86" t="str">
        <f>IF('Huong dan'!$C$3="","",'Huong dan'!$C$3)</f>
        <v>12A1</v>
      </c>
      <c r="S59" s="88"/>
    </row>
    <row r="60" spans="1:19" ht="18.75" customHeight="1">
      <c r="A60" s="88"/>
      <c r="B60" s="1136" t="str">
        <f>" Sinh ngày: "&amp;IF(B59="","",INDEX(DiemHKII!$G$4:$G$58,MATCH(B59,DiemHKII!$B$4:$B$58,0),1))</f>
        <v xml:space="preserve"> Sinh ngày: 20/06/2004</v>
      </c>
      <c r="C60" s="1137"/>
      <c r="D60" s="1137"/>
      <c r="E60" s="1138" t="str">
        <f>IF(B59="","","NS: "&amp;INDEX(DiemHKII!$H$4:$H$58,MATCH(B59,DiemHKII!$B$4:$B$58,0),1))</f>
        <v xml:space="preserve">NS: </v>
      </c>
      <c r="F60" s="1139"/>
      <c r="G60" s="88"/>
      <c r="H60" s="1136" t="str">
        <f>" Sinh ngày: "&amp;IF(H59="","",INDEX(DiemHKII!$G$4:$G$58,MATCH(H59,DiemHKII!$B$4:$B$58,0),1))</f>
        <v xml:space="preserve"> Sinh ngày: 08/04/2004</v>
      </c>
      <c r="I60" s="1137"/>
      <c r="J60" s="1137"/>
      <c r="K60" s="1138" t="str">
        <f>IF(H59="","","NS: "&amp;INDEX(DiemHKII!$H$4:$H$58,MATCH(H59,DiemHKII!$B$4:$B$58,0),1))</f>
        <v xml:space="preserve">NS: </v>
      </c>
      <c r="L60" s="1139"/>
      <c r="M60" s="88"/>
      <c r="N60" s="1136" t="str">
        <f>" Sinh ngày: "&amp;IF(N59="","",INDEX(DiemHKII!$G$4:$G$58,MATCH(N59,DiemHKII!$B$4:$B$58,0),1))</f>
        <v xml:space="preserve"> Sinh ngày: 16/11/2004</v>
      </c>
      <c r="O60" s="1137"/>
      <c r="P60" s="1137"/>
      <c r="Q60" s="1138" t="str">
        <f>IF(N59="","","NS: "&amp;INDEX(DiemHKII!$H$4:$H$58,MATCH(N59,DiemHKII!$B$4:$B$58,0),1))</f>
        <v xml:space="preserve">NS: </v>
      </c>
      <c r="R60" s="1139"/>
      <c r="S60" s="88"/>
    </row>
    <row r="61" spans="1:19" ht="15.75" customHeight="1">
      <c r="A61" s="88"/>
      <c r="B61" s="381" t="s">
        <v>0</v>
      </c>
      <c r="C61" s="381" t="s">
        <v>59</v>
      </c>
      <c r="D61" s="381" t="s">
        <v>73</v>
      </c>
      <c r="E61" s="381" t="s">
        <v>176</v>
      </c>
      <c r="F61" s="381" t="s">
        <v>98</v>
      </c>
      <c r="G61" s="88"/>
      <c r="H61" s="381" t="s">
        <v>0</v>
      </c>
      <c r="I61" s="381" t="s">
        <v>59</v>
      </c>
      <c r="J61" s="381" t="s">
        <v>73</v>
      </c>
      <c r="K61" s="381" t="s">
        <v>176</v>
      </c>
      <c r="L61" s="381" t="s">
        <v>98</v>
      </c>
      <c r="M61" s="88"/>
      <c r="N61" s="381" t="s">
        <v>0</v>
      </c>
      <c r="O61" s="381" t="s">
        <v>59</v>
      </c>
      <c r="P61" s="381" t="s">
        <v>73</v>
      </c>
      <c r="Q61" s="381" t="s">
        <v>176</v>
      </c>
      <c r="R61" s="381" t="s">
        <v>98</v>
      </c>
      <c r="S61" s="88"/>
    </row>
    <row r="62" spans="1:19" ht="15.6" customHeight="1">
      <c r="A62" s="88"/>
      <c r="B62" s="79" t="s">
        <v>191</v>
      </c>
      <c r="C62" s="81" t="s">
        <v>26</v>
      </c>
      <c r="D62" s="35">
        <f>IF(B59&lt;&gt;"",IF(INDEX(BDHK2,MATCH(B59,DiemHKII!$B$4:$B$58,0),INDEX($Y$7:$AB$20,MATCH(C62,$Y$7:$Y$20,0),$Z$6))&lt;&gt;"",INDEX(BDHK2,MATCH(B59,DiemHKII!$B$4:$B$58,0),INDEX($Y$7:$AB$20,MATCH(C62,$Y$7:$Y$20,0),$Z$6)),"/"),"")</f>
        <v>9.8000000000000007</v>
      </c>
      <c r="E62" s="35" t="str">
        <f>IF(B59&lt;&gt;"",IF(INDEX(BDHK2,MATCH(B59,DiemHKII!$B$4:$B$58,0),INDEX($Y$7:$AB$20,MATCH(C62,$Y$7:$Y$20,0),$AA$6))&lt;&gt;"",INDEX(BDHK2,MATCH(B59,DiemHKII!$B$4:$B$58,0),INDEX($Y$7:$AB$20,MATCH(C62,$Y$7:$Y$20,0),$AA$6)),"/"),"")</f>
        <v>/</v>
      </c>
      <c r="F62" s="35" t="str">
        <f>IF(B59&lt;&gt;"",IF(INDEX(BDHK2,MATCH(B59,DiemHKII!$B$4:$B$58,0),INDEX($Y$7:$AB$20,MATCH(C62,$Y$7:$Y$20,0),$AB$6))&lt;&gt;"",INDEX(BDHK2,MATCH(B59,DiemHKII!$B$4:$B$58,0),INDEX($Y$7:$AB$20,MATCH(C62,$Y$7:$Y$20,0),$AB$6)),"/"),"")</f>
        <v>/</v>
      </c>
      <c r="G62" s="88"/>
      <c r="H62" s="79" t="s">
        <v>191</v>
      </c>
      <c r="I62" s="81" t="s">
        <v>26</v>
      </c>
      <c r="J62" s="35">
        <f>IF(H59&lt;&gt;"",IF(INDEX(BDHK2,MATCH(H59,DiemHKII!$B$4:$B$58,0),INDEX($Y$7:$AB$20,MATCH(I62,$Y$7:$Y$20,0),$Z$6))&lt;&gt;"",INDEX(BDHK2,MATCH(H59,DiemHKII!$B$4:$B$58,0),INDEX($Y$7:$AB$20,MATCH(I62,$Y$7:$Y$20,0),$Z$6)),"/"),"")</f>
        <v>9.6</v>
      </c>
      <c r="K62" s="35" t="str">
        <f>IF(H59&lt;&gt;"",IF(INDEX(BDHK2,MATCH(H59,DiemHKII!$B$4:$B$58,0),INDEX($Y$7:$AB$20,MATCH(I62,$Y$7:$Y$20,0),$AA$6))&lt;&gt;"",INDEX(BDHK2,MATCH(H59,DiemHKII!$B$4:$B$58,0),INDEX($Y$7:$AB$20,MATCH(I62,$Y$7:$Y$20,0),$AA$6)),"/"),"")</f>
        <v>/</v>
      </c>
      <c r="L62" s="35" t="str">
        <f>IF(H59&lt;&gt;"",IF(INDEX(BDHK2,MATCH(H59,DiemHKII!$B$4:$B$58,0),INDEX($Y$7:$AB$20,MATCH(I62,$Y$7:$Y$20,0),$AB$6))&lt;&gt;"",INDEX(BDHK2,MATCH(H59,DiemHKII!$B$4:$B$58,0),INDEX($Y$7:$AB$20,MATCH(I62,$Y$7:$Y$20,0),$AB$6)),"/"),"")</f>
        <v>/</v>
      </c>
      <c r="M62" s="88"/>
      <c r="N62" s="79" t="s">
        <v>191</v>
      </c>
      <c r="O62" s="81" t="s">
        <v>26</v>
      </c>
      <c r="P62" s="35">
        <f>IF(N59&lt;&gt;"",IF(INDEX(BDHK2,MATCH(N59,DiemHKII!$B$4:$B$58,0),INDEX($Y$7:$AB$20,MATCH(O62,$Y$7:$Y$20,0),$Z$6))&lt;&gt;"",INDEX(BDHK2,MATCH(N59,DiemHKII!$B$4:$B$58,0),INDEX($Y$7:$AB$20,MATCH(O62,$Y$7:$Y$20,0),$Z$6)),"/"),"")</f>
        <v>9.4</v>
      </c>
      <c r="Q62" s="35" t="str">
        <f>IF(N59&lt;&gt;"",IF(INDEX(BDHK2,MATCH(N59,DiemHKII!$B$4:$B$58,0),INDEX($Y$7:$AB$20,MATCH(O62,$Y$7:$Y$20,0),$AA$6))&lt;&gt;"",INDEX(BDHK2,MATCH(N59,DiemHKII!$B$4:$B$58,0),INDEX($Y$7:$AB$20,MATCH(O62,$Y$7:$Y$20,0),$AA$6)),"/"),"")</f>
        <v>/</v>
      </c>
      <c r="R62" s="35" t="str">
        <f>IF(N59&lt;&gt;"",IF(INDEX(BDHK2,MATCH(N59,DiemHKII!$B$4:$B$58,0),INDEX($Y$7:$AB$20,MATCH(O62,$Y$7:$Y$20,0),$AB$6))&lt;&gt;"",INDEX(BDHK2,MATCH(N59,DiemHKII!$B$4:$B$58,0),INDEX($Y$7:$AB$20,MATCH(O62,$Y$7:$Y$20,0),$AB$6)),"/"),"")</f>
        <v>/</v>
      </c>
      <c r="S62" s="88"/>
    </row>
    <row r="63" spans="1:19" ht="15.6" customHeight="1">
      <c r="A63" s="88"/>
      <c r="B63" s="79" t="s">
        <v>192</v>
      </c>
      <c r="C63" s="81" t="s">
        <v>27</v>
      </c>
      <c r="D63" s="35">
        <f>IF(B59&lt;&gt;"",IF(INDEX(BDHK2,MATCH(B59,DiemHKII!$B$4:$B$58,0),INDEX($Y$7:$AB$20,MATCH(C63,$Y$7:$Y$20,0),$Z$6))&lt;&gt;"",INDEX(BDHK2,MATCH(B59,DiemHKII!$B$4:$B$58,0),INDEX($Y$7:$AB$20,MATCH(C63,$Y$7:$Y$20,0),$Z$6)),"/"),"")</f>
        <v>9.9</v>
      </c>
      <c r="E63" s="35" t="str">
        <f>IF(B59&lt;&gt;"",IF(INDEX(BDHK2,MATCH(B59,DiemHKII!$B$4:$B$58,0),INDEX($Y$7:$AB$20,MATCH(C63,$Y$7:$Y$20,0),$AA$6))&lt;&gt;"",INDEX(BDHK2,MATCH(B59,DiemHKII!$B$4:$B$58,0),INDEX($Y$7:$AB$20,MATCH(C63,$Y$7:$Y$20,0),$AA$6)),"/"),"")</f>
        <v>/</v>
      </c>
      <c r="F63" s="35" t="str">
        <f>IF(B59&lt;&gt;"",IF(INDEX(BDHK2,MATCH(B59,DiemHKII!$B$4:$B$58,0),INDEX($Y$7:$AB$20,MATCH(C63,$Y$7:$Y$20,0),$AB$6))&lt;&gt;"",INDEX(BDHK2,MATCH(B59,DiemHKII!$B$4:$B$58,0),INDEX($Y$7:$AB$20,MATCH(C63,$Y$7:$Y$20,0),$AB$6)),"/"),"")</f>
        <v>/</v>
      </c>
      <c r="G63" s="88"/>
      <c r="H63" s="79" t="s">
        <v>192</v>
      </c>
      <c r="I63" s="81" t="s">
        <v>27</v>
      </c>
      <c r="J63" s="35">
        <f>IF(H59&lt;&gt;"",IF(INDEX(BDHK2,MATCH(H59,DiemHKII!$B$4:$B$58,0),INDEX($Y$7:$AB$20,MATCH(I63,$Y$7:$Y$20,0),$Z$6))&lt;&gt;"",INDEX(BDHK2,MATCH(H59,DiemHKII!$B$4:$B$58,0),INDEX($Y$7:$AB$20,MATCH(I63,$Y$7:$Y$20,0),$Z$6)),"/"),"")</f>
        <v>9.6</v>
      </c>
      <c r="K63" s="35" t="str">
        <f>IF(H59&lt;&gt;"",IF(INDEX(BDHK2,MATCH(H59,DiemHKII!$B$4:$B$58,0),INDEX($Y$7:$AB$20,MATCH(I63,$Y$7:$Y$20,0),$AA$6))&lt;&gt;"",INDEX(BDHK2,MATCH(H59,DiemHKII!$B$4:$B$58,0),INDEX($Y$7:$AB$20,MATCH(I63,$Y$7:$Y$20,0),$AA$6)),"/"),"")</f>
        <v>/</v>
      </c>
      <c r="L63" s="35" t="str">
        <f>IF(H59&lt;&gt;"",IF(INDEX(BDHK2,MATCH(H59,DiemHKII!$B$4:$B$58,0),INDEX($Y$7:$AB$20,MATCH(I63,$Y$7:$Y$20,0),$AB$6))&lt;&gt;"",INDEX(BDHK2,MATCH(H59,DiemHKII!$B$4:$B$58,0),INDEX($Y$7:$AB$20,MATCH(I63,$Y$7:$Y$20,0),$AB$6)),"/"),"")</f>
        <v>/</v>
      </c>
      <c r="M63" s="88"/>
      <c r="N63" s="79" t="s">
        <v>192</v>
      </c>
      <c r="O63" s="81" t="s">
        <v>27</v>
      </c>
      <c r="P63" s="35">
        <f>IF(N59&lt;&gt;"",IF(INDEX(BDHK2,MATCH(N59,DiemHKII!$B$4:$B$58,0),INDEX($Y$7:$AB$20,MATCH(O63,$Y$7:$Y$20,0),$Z$6))&lt;&gt;"",INDEX(BDHK2,MATCH(N59,DiemHKII!$B$4:$B$58,0),INDEX($Y$7:$AB$20,MATCH(O63,$Y$7:$Y$20,0),$Z$6)),"/"),"")</f>
        <v>9.8000000000000007</v>
      </c>
      <c r="Q63" s="35" t="str">
        <f>IF(N59&lt;&gt;"",IF(INDEX(BDHK2,MATCH(N59,DiemHKII!$B$4:$B$58,0),INDEX($Y$7:$AB$20,MATCH(O63,$Y$7:$Y$20,0),$AA$6))&lt;&gt;"",INDEX(BDHK2,MATCH(N59,DiemHKII!$B$4:$B$58,0),INDEX($Y$7:$AB$20,MATCH(O63,$Y$7:$Y$20,0),$AA$6)),"/"),"")</f>
        <v>/</v>
      </c>
      <c r="R63" s="35" t="str">
        <f>IF(N59&lt;&gt;"",IF(INDEX(BDHK2,MATCH(N59,DiemHKII!$B$4:$B$58,0),INDEX($Y$7:$AB$20,MATCH(O63,$Y$7:$Y$20,0),$AB$6))&lt;&gt;"",INDEX(BDHK2,MATCH(N59,DiemHKII!$B$4:$B$58,0),INDEX($Y$7:$AB$20,MATCH(O63,$Y$7:$Y$20,0),$AB$6)),"/"),"")</f>
        <v>/</v>
      </c>
      <c r="S63" s="88"/>
    </row>
    <row r="64" spans="1:19" ht="15.6" customHeight="1">
      <c r="A64" s="88"/>
      <c r="B64" s="79" t="s">
        <v>193</v>
      </c>
      <c r="C64" s="81" t="s">
        <v>28</v>
      </c>
      <c r="D64" s="35">
        <f>IF(B59&lt;&gt;"",IF(INDEX(BDHK2,MATCH(B59,DiemHKII!$B$4:$B$58,0),INDEX($Y$7:$AB$20,MATCH(C64,$Y$7:$Y$20,0),$Z$6))&lt;&gt;"",INDEX(BDHK2,MATCH(B59,DiemHKII!$B$4:$B$58,0),INDEX($Y$7:$AB$20,MATCH(C64,$Y$7:$Y$20,0),$Z$6)),"/"),"")</f>
        <v>9.6</v>
      </c>
      <c r="E64" s="35" t="str">
        <f>IF(B59&lt;&gt;"",IF(INDEX(BDHK2,MATCH(B59,DiemHKII!$B$4:$B$58,0),INDEX($Y$7:$AB$20,MATCH(C64,$Y$7:$Y$20,0),$AA$6))&lt;&gt;"",INDEX(BDHK2,MATCH(B59,DiemHKII!$B$4:$B$58,0),INDEX($Y$7:$AB$20,MATCH(C64,$Y$7:$Y$20,0),$AA$6)),"/"),"")</f>
        <v>/</v>
      </c>
      <c r="F64" s="35" t="str">
        <f>IF(B59&lt;&gt;"",IF(INDEX(BDHK2,MATCH(B59,DiemHKII!$B$4:$B$58,0),INDEX($Y$7:$AB$20,MATCH(C64,$Y$7:$Y$20,0),$AB$6))&lt;&gt;"",INDEX(BDHK2,MATCH(B59,DiemHKII!$B$4:$B$58,0),INDEX($Y$7:$AB$20,MATCH(C64,$Y$7:$Y$20,0),$AB$6)),"/"),"")</f>
        <v>/</v>
      </c>
      <c r="G64" s="88"/>
      <c r="H64" s="79" t="s">
        <v>193</v>
      </c>
      <c r="I64" s="81" t="s">
        <v>28</v>
      </c>
      <c r="J64" s="35">
        <f>IF(H59&lt;&gt;"",IF(INDEX(BDHK2,MATCH(H59,DiemHKII!$B$4:$B$58,0),INDEX($Y$7:$AB$20,MATCH(I64,$Y$7:$Y$20,0),$Z$6))&lt;&gt;"",INDEX(BDHK2,MATCH(H59,DiemHKII!$B$4:$B$58,0),INDEX($Y$7:$AB$20,MATCH(I64,$Y$7:$Y$20,0),$Z$6)),"/"),"")</f>
        <v>9.1999999999999993</v>
      </c>
      <c r="K64" s="35" t="str">
        <f>IF(H59&lt;&gt;"",IF(INDEX(BDHK2,MATCH(H59,DiemHKII!$B$4:$B$58,0),INDEX($Y$7:$AB$20,MATCH(I64,$Y$7:$Y$20,0),$AA$6))&lt;&gt;"",INDEX(BDHK2,MATCH(H59,DiemHKII!$B$4:$B$58,0),INDEX($Y$7:$AB$20,MATCH(I64,$Y$7:$Y$20,0),$AA$6)),"/"),"")</f>
        <v>/</v>
      </c>
      <c r="L64" s="35" t="str">
        <f>IF(H59&lt;&gt;"",IF(INDEX(BDHK2,MATCH(H59,DiemHKII!$B$4:$B$58,0),INDEX($Y$7:$AB$20,MATCH(I64,$Y$7:$Y$20,0),$AB$6))&lt;&gt;"",INDEX(BDHK2,MATCH(H59,DiemHKII!$B$4:$B$58,0),INDEX($Y$7:$AB$20,MATCH(I64,$Y$7:$Y$20,0),$AB$6)),"/"),"")</f>
        <v>/</v>
      </c>
      <c r="M64" s="88"/>
      <c r="N64" s="79" t="s">
        <v>193</v>
      </c>
      <c r="O64" s="81" t="s">
        <v>28</v>
      </c>
      <c r="P64" s="35">
        <f>IF(N59&lt;&gt;"",IF(INDEX(BDHK2,MATCH(N59,DiemHKII!$B$4:$B$58,0),INDEX($Y$7:$AB$20,MATCH(O64,$Y$7:$Y$20,0),$Z$6))&lt;&gt;"",INDEX(BDHK2,MATCH(N59,DiemHKII!$B$4:$B$58,0),INDEX($Y$7:$AB$20,MATCH(O64,$Y$7:$Y$20,0),$Z$6)),"/"),"")</f>
        <v>9.5</v>
      </c>
      <c r="Q64" s="35" t="str">
        <f>IF(N59&lt;&gt;"",IF(INDEX(BDHK2,MATCH(N59,DiemHKII!$B$4:$B$58,0),INDEX($Y$7:$AB$20,MATCH(O64,$Y$7:$Y$20,0),$AA$6))&lt;&gt;"",INDEX(BDHK2,MATCH(N59,DiemHKII!$B$4:$B$58,0),INDEX($Y$7:$AB$20,MATCH(O64,$Y$7:$Y$20,0),$AA$6)),"/"),"")</f>
        <v>/</v>
      </c>
      <c r="R64" s="35" t="str">
        <f>IF(N59&lt;&gt;"",IF(INDEX(BDHK2,MATCH(N59,DiemHKII!$B$4:$B$58,0),INDEX($Y$7:$AB$20,MATCH(O64,$Y$7:$Y$20,0),$AB$6))&lt;&gt;"",INDEX(BDHK2,MATCH(N59,DiemHKII!$B$4:$B$58,0),INDEX($Y$7:$AB$20,MATCH(O64,$Y$7:$Y$20,0),$AB$6)),"/"),"")</f>
        <v>/</v>
      </c>
      <c r="S64" s="88"/>
    </row>
    <row r="65" spans="1:19" ht="15.6" customHeight="1">
      <c r="A65" s="88"/>
      <c r="B65" s="79" t="s">
        <v>194</v>
      </c>
      <c r="C65" s="81" t="s">
        <v>29</v>
      </c>
      <c r="D65" s="35">
        <f>IF(B59&lt;&gt;"",IF(INDEX(BDHK2,MATCH(B59,DiemHKII!$B$4:$B$58,0),INDEX($Y$7:$AB$20,MATCH(C65,$Y$7:$Y$20,0),$Z$6))&lt;&gt;"",INDEX(BDHK2,MATCH(B59,DiemHKII!$B$4:$B$58,0),INDEX($Y$7:$AB$20,MATCH(C65,$Y$7:$Y$20,0),$Z$6)),"/"),"")</f>
        <v>9.6</v>
      </c>
      <c r="E65" s="35" t="str">
        <f>IF(B59&lt;&gt;"",IF(INDEX(BDHK2,MATCH(B59,DiemHKII!$B$4:$B$58,0),INDEX($Y$7:$AB$20,MATCH(C65,$Y$7:$Y$20,0),$AA$6))&lt;&gt;"",INDEX(BDHK2,MATCH(B59,DiemHKII!$B$4:$B$58,0),INDEX($Y$7:$AB$20,MATCH(C65,$Y$7:$Y$20,0),$AA$6)),"/"),"")</f>
        <v>/</v>
      </c>
      <c r="F65" s="35" t="str">
        <f>IF(B59&lt;&gt;"",IF(INDEX(BDHK2,MATCH(B59,DiemHKII!$B$4:$B$58,0),INDEX($Y$7:$AB$20,MATCH(C65,$Y$7:$Y$20,0),$AB$6))&lt;&gt;"",INDEX(BDHK2,MATCH(B59,DiemHKII!$B$4:$B$58,0),INDEX($Y$7:$AB$20,MATCH(C65,$Y$7:$Y$20,0),$AB$6)),"/"),"")</f>
        <v>/</v>
      </c>
      <c r="G65" s="88"/>
      <c r="H65" s="79" t="s">
        <v>194</v>
      </c>
      <c r="I65" s="81" t="s">
        <v>29</v>
      </c>
      <c r="J65" s="35">
        <f>IF(H59&lt;&gt;"",IF(INDEX(BDHK2,MATCH(H59,DiemHKII!$B$4:$B$58,0),INDEX($Y$7:$AB$20,MATCH(I65,$Y$7:$Y$20,0),$Z$6))&lt;&gt;"",INDEX(BDHK2,MATCH(H59,DiemHKII!$B$4:$B$58,0),INDEX($Y$7:$AB$20,MATCH(I65,$Y$7:$Y$20,0),$Z$6)),"/"),"")</f>
        <v>8.6</v>
      </c>
      <c r="K65" s="35" t="str">
        <f>IF(H59&lt;&gt;"",IF(INDEX(BDHK2,MATCH(H59,DiemHKII!$B$4:$B$58,0),INDEX($Y$7:$AB$20,MATCH(I65,$Y$7:$Y$20,0),$AA$6))&lt;&gt;"",INDEX(BDHK2,MATCH(H59,DiemHKII!$B$4:$B$58,0),INDEX($Y$7:$AB$20,MATCH(I65,$Y$7:$Y$20,0),$AA$6)),"/"),"")</f>
        <v>/</v>
      </c>
      <c r="L65" s="35" t="str">
        <f>IF(H59&lt;&gt;"",IF(INDEX(BDHK2,MATCH(H59,DiemHKII!$B$4:$B$58,0),INDEX($Y$7:$AB$20,MATCH(I65,$Y$7:$Y$20,0),$AB$6))&lt;&gt;"",INDEX(BDHK2,MATCH(H59,DiemHKII!$B$4:$B$58,0),INDEX($Y$7:$AB$20,MATCH(I65,$Y$7:$Y$20,0),$AB$6)),"/"),"")</f>
        <v>/</v>
      </c>
      <c r="M65" s="88"/>
      <c r="N65" s="79" t="s">
        <v>194</v>
      </c>
      <c r="O65" s="81" t="s">
        <v>29</v>
      </c>
      <c r="P65" s="35">
        <f>IF(N59&lt;&gt;"",IF(INDEX(BDHK2,MATCH(N59,DiemHKII!$B$4:$B$58,0),INDEX($Y$7:$AB$20,MATCH(O65,$Y$7:$Y$20,0),$Z$6))&lt;&gt;"",INDEX(BDHK2,MATCH(N59,DiemHKII!$B$4:$B$58,0),INDEX($Y$7:$AB$20,MATCH(O65,$Y$7:$Y$20,0),$Z$6)),"/"),"")</f>
        <v>9.5</v>
      </c>
      <c r="Q65" s="35" t="str">
        <f>IF(N59&lt;&gt;"",IF(INDEX(BDHK2,MATCH(N59,DiemHKII!$B$4:$B$58,0),INDEX($Y$7:$AB$20,MATCH(O65,$Y$7:$Y$20,0),$AA$6))&lt;&gt;"",INDEX(BDHK2,MATCH(N59,DiemHKII!$B$4:$B$58,0),INDEX($Y$7:$AB$20,MATCH(O65,$Y$7:$Y$20,0),$AA$6)),"/"),"")</f>
        <v>/</v>
      </c>
      <c r="R65" s="35" t="str">
        <f>IF(N59&lt;&gt;"",IF(INDEX(BDHK2,MATCH(N59,DiemHKII!$B$4:$B$58,0),INDEX($Y$7:$AB$20,MATCH(O65,$Y$7:$Y$20,0),$AB$6))&lt;&gt;"",INDEX(BDHK2,MATCH(N59,DiemHKII!$B$4:$B$58,0),INDEX($Y$7:$AB$20,MATCH(O65,$Y$7:$Y$20,0),$AB$6)),"/"),"")</f>
        <v>/</v>
      </c>
      <c r="S65" s="88"/>
    </row>
    <row r="66" spans="1:19" ht="15.6" customHeight="1">
      <c r="A66" s="88"/>
      <c r="B66" s="79" t="s">
        <v>195</v>
      </c>
      <c r="C66" s="81" t="s">
        <v>120</v>
      </c>
      <c r="D66" s="35">
        <f>IF(B59&lt;&gt;"",IF(INDEX(BDHK2,MATCH(B59,DiemHKII!$B$4:$B$58,0),INDEX($Y$7:$AB$20,MATCH(C66,$Y$7:$Y$20,0),$Z$6))&lt;&gt;"",INDEX(BDHK2,MATCH(B59,DiemHKII!$B$4:$B$58,0),INDEX($Y$7:$AB$20,MATCH(C66,$Y$7:$Y$20,0),$Z$6)),"/"),"")</f>
        <v>9.8000000000000007</v>
      </c>
      <c r="E66" s="35" t="str">
        <f>IF(B59&lt;&gt;"",IF(INDEX(BDHK2,MATCH(B59,DiemHKII!$B$4:$B$58,0),INDEX($Y$7:$AB$20,MATCH(C66,$Y$7:$Y$20,0),$AA$6))&lt;&gt;"",INDEX(BDHK2,MATCH(B59,DiemHKII!$B$4:$B$58,0),INDEX($Y$7:$AB$20,MATCH(C66,$Y$7:$Y$20,0),$AA$6)),"/"),"")</f>
        <v>/</v>
      </c>
      <c r="F66" s="35" t="str">
        <f>IF(B59&lt;&gt;"",IF(INDEX(BDHK2,MATCH(B59,DiemHKII!$B$4:$B$58,0),INDEX($Y$7:$AB$20,MATCH(C66,$Y$7:$Y$20,0),$AB$6))&lt;&gt;"",INDEX(BDHK2,MATCH(B59,DiemHKII!$B$4:$B$58,0),INDEX($Y$7:$AB$20,MATCH(C66,$Y$7:$Y$20,0),$AB$6)),"/"),"")</f>
        <v>/</v>
      </c>
      <c r="G66" s="88"/>
      <c r="H66" s="79" t="s">
        <v>195</v>
      </c>
      <c r="I66" s="81" t="s">
        <v>120</v>
      </c>
      <c r="J66" s="35">
        <f>IF(H59&lt;&gt;"",IF(INDEX(BDHK2,MATCH(H59,DiemHKII!$B$4:$B$58,0),INDEX($Y$7:$AB$20,MATCH(I66,$Y$7:$Y$20,0),$Z$6))&lt;&gt;"",INDEX(BDHK2,MATCH(H59,DiemHKII!$B$4:$B$58,0),INDEX($Y$7:$AB$20,MATCH(I66,$Y$7:$Y$20,0),$Z$6)),"/"),"")</f>
        <v>9.6</v>
      </c>
      <c r="K66" s="35" t="str">
        <f>IF(H59&lt;&gt;"",IF(INDEX(BDHK2,MATCH(H59,DiemHKII!$B$4:$B$58,0),INDEX($Y$7:$AB$20,MATCH(I66,$Y$7:$Y$20,0),$AA$6))&lt;&gt;"",INDEX(BDHK2,MATCH(H59,DiemHKII!$B$4:$B$58,0),INDEX($Y$7:$AB$20,MATCH(I66,$Y$7:$Y$20,0),$AA$6)),"/"),"")</f>
        <v>/</v>
      </c>
      <c r="L66" s="35" t="str">
        <f>IF(H59&lt;&gt;"",IF(INDEX(BDHK2,MATCH(H59,DiemHKII!$B$4:$B$58,0),INDEX($Y$7:$AB$20,MATCH(I66,$Y$7:$Y$20,0),$AB$6))&lt;&gt;"",INDEX(BDHK2,MATCH(H59,DiemHKII!$B$4:$B$58,0),INDEX($Y$7:$AB$20,MATCH(I66,$Y$7:$Y$20,0),$AB$6)),"/"),"")</f>
        <v>/</v>
      </c>
      <c r="M66" s="88"/>
      <c r="N66" s="79" t="s">
        <v>195</v>
      </c>
      <c r="O66" s="81" t="s">
        <v>120</v>
      </c>
      <c r="P66" s="35">
        <f>IF(N59&lt;&gt;"",IF(INDEX(BDHK2,MATCH(N59,DiemHKII!$B$4:$B$58,0),INDEX($Y$7:$AB$20,MATCH(O66,$Y$7:$Y$20,0),$Z$6))&lt;&gt;"",INDEX(BDHK2,MATCH(N59,DiemHKII!$B$4:$B$58,0),INDEX($Y$7:$AB$20,MATCH(O66,$Y$7:$Y$20,0),$Z$6)),"/"),"")</f>
        <v>9.8000000000000007</v>
      </c>
      <c r="Q66" s="35" t="str">
        <f>IF(N59&lt;&gt;"",IF(INDEX(BDHK2,MATCH(N59,DiemHKII!$B$4:$B$58,0),INDEX($Y$7:$AB$20,MATCH(O66,$Y$7:$Y$20,0),$AA$6))&lt;&gt;"",INDEX(BDHK2,MATCH(N59,DiemHKII!$B$4:$B$58,0),INDEX($Y$7:$AB$20,MATCH(O66,$Y$7:$Y$20,0),$AA$6)),"/"),"")</f>
        <v>/</v>
      </c>
      <c r="R66" s="35" t="str">
        <f>IF(N59&lt;&gt;"",IF(INDEX(BDHK2,MATCH(N59,DiemHKII!$B$4:$B$58,0),INDEX($Y$7:$AB$20,MATCH(O66,$Y$7:$Y$20,0),$AB$6))&lt;&gt;"",INDEX(BDHK2,MATCH(N59,DiemHKII!$B$4:$B$58,0),INDEX($Y$7:$AB$20,MATCH(O66,$Y$7:$Y$20,0),$AB$6)),"/"),"")</f>
        <v>/</v>
      </c>
      <c r="S66" s="88"/>
    </row>
    <row r="67" spans="1:19" ht="15.6" customHeight="1">
      <c r="A67" s="88"/>
      <c r="B67" s="79" t="s">
        <v>196</v>
      </c>
      <c r="C67" s="81" t="s">
        <v>30</v>
      </c>
      <c r="D67" s="35">
        <f>IF(B59&lt;&gt;"",IF(INDEX(BDHK2,MATCH(B59,DiemHKII!$B$4:$B$58,0),INDEX($Y$7:$AB$20,MATCH(C67,$Y$7:$Y$20,0),$Z$6))&lt;&gt;"",INDEX(BDHK2,MATCH(B59,DiemHKII!$B$4:$B$58,0),INDEX($Y$7:$AB$20,MATCH(C67,$Y$7:$Y$20,0),$Z$6)),"/"),"")</f>
        <v>8</v>
      </c>
      <c r="E67" s="35" t="str">
        <f>IF(B59&lt;&gt;"",IF(INDEX(BDHK2,MATCH(B59,DiemHKII!$B$4:$B$58,0),INDEX($Y$7:$AB$20,MATCH(C67,$Y$7:$Y$20,0),$AA$6))&lt;&gt;"",INDEX(BDHK2,MATCH(B59,DiemHKII!$B$4:$B$58,0),INDEX($Y$7:$AB$20,MATCH(C67,$Y$7:$Y$20,0),$AA$6)),"/"),"")</f>
        <v>/</v>
      </c>
      <c r="F67" s="35" t="str">
        <f>IF(B59&lt;&gt;"",IF(INDEX(BDHK2,MATCH(B59,DiemHKII!$B$4:$B$58,0),INDEX($Y$7:$AB$20,MATCH(C67,$Y$7:$Y$20,0),$AB$6))&lt;&gt;"",INDEX(BDHK2,MATCH(B59,DiemHKII!$B$4:$B$58,0),INDEX($Y$7:$AB$20,MATCH(C67,$Y$7:$Y$20,0),$AB$6)),"/"),"")</f>
        <v>/</v>
      </c>
      <c r="G67" s="88"/>
      <c r="H67" s="79" t="s">
        <v>196</v>
      </c>
      <c r="I67" s="81" t="s">
        <v>30</v>
      </c>
      <c r="J67" s="35">
        <f>IF(H59&lt;&gt;"",IF(INDEX(BDHK2,MATCH(H59,DiemHKII!$B$4:$B$58,0),INDEX($Y$7:$AB$20,MATCH(I67,$Y$7:$Y$20,0),$Z$6))&lt;&gt;"",INDEX(BDHK2,MATCH(H59,DiemHKII!$B$4:$B$58,0),INDEX($Y$7:$AB$20,MATCH(I67,$Y$7:$Y$20,0),$Z$6)),"/"),"")</f>
        <v>7.3</v>
      </c>
      <c r="K67" s="35" t="str">
        <f>IF(H59&lt;&gt;"",IF(INDEX(BDHK2,MATCH(H59,DiemHKII!$B$4:$B$58,0),INDEX($Y$7:$AB$20,MATCH(I67,$Y$7:$Y$20,0),$AA$6))&lt;&gt;"",INDEX(BDHK2,MATCH(H59,DiemHKII!$B$4:$B$58,0),INDEX($Y$7:$AB$20,MATCH(I67,$Y$7:$Y$20,0),$AA$6)),"/"),"")</f>
        <v>/</v>
      </c>
      <c r="L67" s="35" t="str">
        <f>IF(H59&lt;&gt;"",IF(INDEX(BDHK2,MATCH(H59,DiemHKII!$B$4:$B$58,0),INDEX($Y$7:$AB$20,MATCH(I67,$Y$7:$Y$20,0),$AB$6))&lt;&gt;"",INDEX(BDHK2,MATCH(H59,DiemHKII!$B$4:$B$58,0),INDEX($Y$7:$AB$20,MATCH(I67,$Y$7:$Y$20,0),$AB$6)),"/"),"")</f>
        <v>/</v>
      </c>
      <c r="M67" s="88"/>
      <c r="N67" s="79" t="s">
        <v>196</v>
      </c>
      <c r="O67" s="81" t="s">
        <v>30</v>
      </c>
      <c r="P67" s="35">
        <f>IF(N59&lt;&gt;"",IF(INDEX(BDHK2,MATCH(N59,DiemHKII!$B$4:$B$58,0),INDEX($Y$7:$AB$20,MATCH(O67,$Y$7:$Y$20,0),$Z$6))&lt;&gt;"",INDEX(BDHK2,MATCH(N59,DiemHKII!$B$4:$B$58,0),INDEX($Y$7:$AB$20,MATCH(O67,$Y$7:$Y$20,0),$Z$6)),"/"),"")</f>
        <v>7.6</v>
      </c>
      <c r="Q67" s="35" t="str">
        <f>IF(N59&lt;&gt;"",IF(INDEX(BDHK2,MATCH(N59,DiemHKII!$B$4:$B$58,0),INDEX($Y$7:$AB$20,MATCH(O67,$Y$7:$Y$20,0),$AA$6))&lt;&gt;"",INDEX(BDHK2,MATCH(N59,DiemHKII!$B$4:$B$58,0),INDEX($Y$7:$AB$20,MATCH(O67,$Y$7:$Y$20,0),$AA$6)),"/"),"")</f>
        <v>/</v>
      </c>
      <c r="R67" s="35" t="str">
        <f>IF(N59&lt;&gt;"",IF(INDEX(BDHK2,MATCH(N59,DiemHKII!$B$4:$B$58,0),INDEX($Y$7:$AB$20,MATCH(O67,$Y$7:$Y$20,0),$AB$6))&lt;&gt;"",INDEX(BDHK2,MATCH(N59,DiemHKII!$B$4:$B$58,0),INDEX($Y$7:$AB$20,MATCH(O67,$Y$7:$Y$20,0),$AB$6)),"/"),"")</f>
        <v>/</v>
      </c>
      <c r="S67" s="88"/>
    </row>
    <row r="68" spans="1:19" ht="15.6" customHeight="1">
      <c r="A68" s="88"/>
      <c r="B68" s="79" t="s">
        <v>197</v>
      </c>
      <c r="C68" s="81" t="s">
        <v>31</v>
      </c>
      <c r="D68" s="35">
        <f>IF(B59&lt;&gt;"",IF(INDEX(BDHK2,MATCH(B59,DiemHKII!$B$4:$B$58,0),INDEX($Y$7:$AB$20,MATCH(C68,$Y$7:$Y$20,0),$Z$6))&lt;&gt;"",INDEX(BDHK2,MATCH(B59,DiemHKII!$B$4:$B$58,0),INDEX($Y$7:$AB$20,MATCH(C68,$Y$7:$Y$20,0),$Z$6)),"/"),"")</f>
        <v>9.6999999999999993</v>
      </c>
      <c r="E68" s="35" t="str">
        <f>IF(B59&lt;&gt;"",IF(INDEX(BDHK2,MATCH(B59,DiemHKII!$B$4:$B$58,0),INDEX($Y$7:$AB$20,MATCH(C68,$Y$7:$Y$20,0),$AA$6))&lt;&gt;"",INDEX(BDHK2,MATCH(B59,DiemHKII!$B$4:$B$58,0),INDEX($Y$7:$AB$20,MATCH(C68,$Y$7:$Y$20,0),$AA$6)),"/"),"")</f>
        <v>/</v>
      </c>
      <c r="F68" s="35" t="str">
        <f>IF(B59&lt;&gt;"",IF(INDEX(BDHK2,MATCH(B59,DiemHKII!$B$4:$B$58,0),INDEX($Y$7:$AB$20,MATCH(C68,$Y$7:$Y$20,0),$AB$6))&lt;&gt;"",INDEX(BDHK2,MATCH(B59,DiemHKII!$B$4:$B$58,0),INDEX($Y$7:$AB$20,MATCH(C68,$Y$7:$Y$20,0),$AB$6)),"/"),"")</f>
        <v>/</v>
      </c>
      <c r="G68" s="88"/>
      <c r="H68" s="79" t="s">
        <v>197</v>
      </c>
      <c r="I68" s="81" t="s">
        <v>31</v>
      </c>
      <c r="J68" s="35">
        <f>IF(H59&lt;&gt;"",IF(INDEX(BDHK2,MATCH(H59,DiemHKII!$B$4:$B$58,0),INDEX($Y$7:$AB$20,MATCH(I68,$Y$7:$Y$20,0),$Z$6))&lt;&gt;"",INDEX(BDHK2,MATCH(H59,DiemHKII!$B$4:$B$58,0),INDEX($Y$7:$AB$20,MATCH(I68,$Y$7:$Y$20,0),$Z$6)),"/"),"")</f>
        <v>9.6</v>
      </c>
      <c r="K68" s="35" t="str">
        <f>IF(H59&lt;&gt;"",IF(INDEX(BDHK2,MATCH(H59,DiemHKII!$B$4:$B$58,0),INDEX($Y$7:$AB$20,MATCH(I68,$Y$7:$Y$20,0),$AA$6))&lt;&gt;"",INDEX(BDHK2,MATCH(H59,DiemHKII!$B$4:$B$58,0),INDEX($Y$7:$AB$20,MATCH(I68,$Y$7:$Y$20,0),$AA$6)),"/"),"")</f>
        <v>/</v>
      </c>
      <c r="L68" s="35" t="str">
        <f>IF(H59&lt;&gt;"",IF(INDEX(BDHK2,MATCH(H59,DiemHKII!$B$4:$B$58,0),INDEX($Y$7:$AB$20,MATCH(I68,$Y$7:$Y$20,0),$AB$6))&lt;&gt;"",INDEX(BDHK2,MATCH(H59,DiemHKII!$B$4:$B$58,0),INDEX($Y$7:$AB$20,MATCH(I68,$Y$7:$Y$20,0),$AB$6)),"/"),"")</f>
        <v>/</v>
      </c>
      <c r="M68" s="88"/>
      <c r="N68" s="79" t="s">
        <v>197</v>
      </c>
      <c r="O68" s="81" t="s">
        <v>31</v>
      </c>
      <c r="P68" s="35">
        <f>IF(N59&lt;&gt;"",IF(INDEX(BDHK2,MATCH(N59,DiemHKII!$B$4:$B$58,0),INDEX($Y$7:$AB$20,MATCH(O68,$Y$7:$Y$20,0),$Z$6))&lt;&gt;"",INDEX(BDHK2,MATCH(N59,DiemHKII!$B$4:$B$58,0),INDEX($Y$7:$AB$20,MATCH(O68,$Y$7:$Y$20,0),$Z$6)),"/"),"")</f>
        <v>9.6</v>
      </c>
      <c r="Q68" s="35" t="str">
        <f>IF(N59&lt;&gt;"",IF(INDEX(BDHK2,MATCH(N59,DiemHKII!$B$4:$B$58,0),INDEX($Y$7:$AB$20,MATCH(O68,$Y$7:$Y$20,0),$AA$6))&lt;&gt;"",INDEX(BDHK2,MATCH(N59,DiemHKII!$B$4:$B$58,0),INDEX($Y$7:$AB$20,MATCH(O68,$Y$7:$Y$20,0),$AA$6)),"/"),"")</f>
        <v>/</v>
      </c>
      <c r="R68" s="35" t="str">
        <f>IF(N59&lt;&gt;"",IF(INDEX(BDHK2,MATCH(N59,DiemHKII!$B$4:$B$58,0),INDEX($Y$7:$AB$20,MATCH(O68,$Y$7:$Y$20,0),$AB$6))&lt;&gt;"",INDEX(BDHK2,MATCH(N59,DiemHKII!$B$4:$B$58,0),INDEX($Y$7:$AB$20,MATCH(O68,$Y$7:$Y$20,0),$AB$6)),"/"),"")</f>
        <v>/</v>
      </c>
      <c r="S68" s="88"/>
    </row>
    <row r="69" spans="1:19" ht="15.6" customHeight="1">
      <c r="A69" s="88"/>
      <c r="B69" s="79" t="s">
        <v>198</v>
      </c>
      <c r="C69" s="81" t="s">
        <v>32</v>
      </c>
      <c r="D69" s="35">
        <f>IF(B59&lt;&gt;"",IF(INDEX(BDHK2,MATCH(B59,DiemHKII!$B$4:$B$58,0),INDEX($Y$7:$AB$20,MATCH(C69,$Y$7:$Y$20,0),$Z$6))&lt;&gt;"",INDEX(BDHK2,MATCH(B59,DiemHKII!$B$4:$B$58,0),INDEX($Y$7:$AB$20,MATCH(C69,$Y$7:$Y$20,0),$Z$6)),"/"),"")</f>
        <v>9.6</v>
      </c>
      <c r="E69" s="35" t="str">
        <f>IF(B59&lt;&gt;"",IF(INDEX(BDHK2,MATCH(B59,DiemHKII!$B$4:$B$58,0),INDEX($Y$7:$AB$20,MATCH(C69,$Y$7:$Y$20,0),$AA$6))&lt;&gt;"",INDEX(BDHK2,MATCH(B59,DiemHKII!$B$4:$B$58,0),INDEX($Y$7:$AB$20,MATCH(C69,$Y$7:$Y$20,0),$AA$6)),"/"),"")</f>
        <v>/</v>
      </c>
      <c r="F69" s="35" t="str">
        <f>IF(B59&lt;&gt;"",IF(INDEX(BDHK2,MATCH(B59,DiemHKII!$B$4:$B$58,0),INDEX($Y$7:$AB$20,MATCH(C69,$Y$7:$Y$20,0),$AB$6))&lt;&gt;"",INDEX(BDHK2,MATCH(B59,DiemHKII!$B$4:$B$58,0),INDEX($Y$7:$AB$20,MATCH(C69,$Y$7:$Y$20,0),$AB$6)),"/"),"")</f>
        <v>/</v>
      </c>
      <c r="G69" s="88"/>
      <c r="H69" s="79" t="s">
        <v>198</v>
      </c>
      <c r="I69" s="81" t="s">
        <v>32</v>
      </c>
      <c r="J69" s="35">
        <f>IF(H59&lt;&gt;"",IF(INDEX(BDHK2,MATCH(H59,DiemHKII!$B$4:$B$58,0),INDEX($Y$7:$AB$20,MATCH(I69,$Y$7:$Y$20,0),$Z$6))&lt;&gt;"",INDEX(BDHK2,MATCH(H59,DiemHKII!$B$4:$B$58,0),INDEX($Y$7:$AB$20,MATCH(I69,$Y$7:$Y$20,0),$Z$6)),"/"),"")</f>
        <v>9.8000000000000007</v>
      </c>
      <c r="K69" s="35" t="str">
        <f>IF(H59&lt;&gt;"",IF(INDEX(BDHK2,MATCH(H59,DiemHKII!$B$4:$B$58,0),INDEX($Y$7:$AB$20,MATCH(I69,$Y$7:$Y$20,0),$AA$6))&lt;&gt;"",INDEX(BDHK2,MATCH(H59,DiemHKII!$B$4:$B$58,0),INDEX($Y$7:$AB$20,MATCH(I69,$Y$7:$Y$20,0),$AA$6)),"/"),"")</f>
        <v>/</v>
      </c>
      <c r="L69" s="35" t="str">
        <f>IF(H59&lt;&gt;"",IF(INDEX(BDHK2,MATCH(H59,DiemHKII!$B$4:$B$58,0),INDEX($Y$7:$AB$20,MATCH(I69,$Y$7:$Y$20,0),$AB$6))&lt;&gt;"",INDEX(BDHK2,MATCH(H59,DiemHKII!$B$4:$B$58,0),INDEX($Y$7:$AB$20,MATCH(I69,$Y$7:$Y$20,0),$AB$6)),"/"),"")</f>
        <v>/</v>
      </c>
      <c r="M69" s="88"/>
      <c r="N69" s="79" t="s">
        <v>198</v>
      </c>
      <c r="O69" s="81" t="s">
        <v>32</v>
      </c>
      <c r="P69" s="35">
        <f>IF(N59&lt;&gt;"",IF(INDEX(BDHK2,MATCH(N59,DiemHKII!$B$4:$B$58,0),INDEX($Y$7:$AB$20,MATCH(O69,$Y$7:$Y$20,0),$Z$6))&lt;&gt;"",INDEX(BDHK2,MATCH(N59,DiemHKII!$B$4:$B$58,0),INDEX($Y$7:$AB$20,MATCH(O69,$Y$7:$Y$20,0),$Z$6)),"/"),"")</f>
        <v>9.6</v>
      </c>
      <c r="Q69" s="35" t="str">
        <f>IF(N59&lt;&gt;"",IF(INDEX(BDHK2,MATCH(N59,DiemHKII!$B$4:$B$58,0),INDEX($Y$7:$AB$20,MATCH(O69,$Y$7:$Y$20,0),$AA$6))&lt;&gt;"",INDEX(BDHK2,MATCH(N59,DiemHKII!$B$4:$B$58,0),INDEX($Y$7:$AB$20,MATCH(O69,$Y$7:$Y$20,0),$AA$6)),"/"),"")</f>
        <v>/</v>
      </c>
      <c r="R69" s="35" t="str">
        <f>IF(N59&lt;&gt;"",IF(INDEX(BDHK2,MATCH(N59,DiemHKII!$B$4:$B$58,0),INDEX($Y$7:$AB$20,MATCH(O69,$Y$7:$Y$20,0),$AB$6))&lt;&gt;"",INDEX(BDHK2,MATCH(N59,DiemHKII!$B$4:$B$58,0),INDEX($Y$7:$AB$20,MATCH(O69,$Y$7:$Y$20,0),$AB$6)),"/"),"")</f>
        <v>/</v>
      </c>
      <c r="S69" s="88"/>
    </row>
    <row r="70" spans="1:19" ht="15.6" customHeight="1">
      <c r="A70" s="88"/>
      <c r="B70" s="79" t="s">
        <v>199</v>
      </c>
      <c r="C70" s="81" t="s">
        <v>33</v>
      </c>
      <c r="D70" s="35">
        <f>IF(B59&lt;&gt;"",IF(INDEX(BDHK2,MATCH(B59,DiemHKII!$B$4:$B$58,0),INDEX($Y$7:$AB$20,MATCH(C70,$Y$7:$Y$20,0),$Z$6))&lt;&gt;"",INDEX(BDHK2,MATCH(B59,DiemHKII!$B$4:$B$58,0),INDEX($Y$7:$AB$20,MATCH(C70,$Y$7:$Y$20,0),$Z$6)),"/"),"")</f>
        <v>9.6</v>
      </c>
      <c r="E70" s="35" t="str">
        <f>IF(B59&lt;&gt;"",IF(INDEX(BDHK2,MATCH(B59,DiemHKII!$B$4:$B$58,0),INDEX($Y$7:$AB$20,MATCH(C70,$Y$7:$Y$20,0),$AA$6))&lt;&gt;"",INDEX(BDHK2,MATCH(B59,DiemHKII!$B$4:$B$58,0),INDEX($Y$7:$AB$20,MATCH(C70,$Y$7:$Y$20,0),$AA$6)),"/"),"")</f>
        <v>/</v>
      </c>
      <c r="F70" s="35" t="str">
        <f>IF(B59&lt;&gt;"",IF(INDEX(BDHK2,MATCH(B59,DiemHKII!$B$4:$B$58,0),INDEX($Y$7:$AB$20,MATCH(C70,$Y$7:$Y$20,0),$AB$6))&lt;&gt;"",INDEX(BDHK2,MATCH(B59,DiemHKII!$B$4:$B$58,0),INDEX($Y$7:$AB$20,MATCH(C70,$Y$7:$Y$20,0),$AB$6)),"/"),"")</f>
        <v>/</v>
      </c>
      <c r="G70" s="88"/>
      <c r="H70" s="79" t="s">
        <v>199</v>
      </c>
      <c r="I70" s="81" t="s">
        <v>33</v>
      </c>
      <c r="J70" s="35">
        <f>IF(H59&lt;&gt;"",IF(INDEX(BDHK2,MATCH(H59,DiemHKII!$B$4:$B$58,0),INDEX($Y$7:$AB$20,MATCH(I70,$Y$7:$Y$20,0),$Z$6))&lt;&gt;"",INDEX(BDHK2,MATCH(H59,DiemHKII!$B$4:$B$58,0),INDEX($Y$7:$AB$20,MATCH(I70,$Y$7:$Y$20,0),$Z$6)),"/"),"")</f>
        <v>9.4</v>
      </c>
      <c r="K70" s="35" t="str">
        <f>IF(H59&lt;&gt;"",IF(INDEX(BDHK2,MATCH(H59,DiemHKII!$B$4:$B$58,0),INDEX($Y$7:$AB$20,MATCH(I70,$Y$7:$Y$20,0),$AA$6))&lt;&gt;"",INDEX(BDHK2,MATCH(H59,DiemHKII!$B$4:$B$58,0),INDEX($Y$7:$AB$20,MATCH(I70,$Y$7:$Y$20,0),$AA$6)),"/"),"")</f>
        <v>/</v>
      </c>
      <c r="L70" s="35" t="str">
        <f>IF(H59&lt;&gt;"",IF(INDEX(BDHK2,MATCH(H59,DiemHKII!$B$4:$B$58,0),INDEX($Y$7:$AB$20,MATCH(I70,$Y$7:$Y$20,0),$AB$6))&lt;&gt;"",INDEX(BDHK2,MATCH(H59,DiemHKII!$B$4:$B$58,0),INDEX($Y$7:$AB$20,MATCH(I70,$Y$7:$Y$20,0),$AB$6)),"/"),"")</f>
        <v>/</v>
      </c>
      <c r="M70" s="88"/>
      <c r="N70" s="79" t="s">
        <v>199</v>
      </c>
      <c r="O70" s="81" t="s">
        <v>33</v>
      </c>
      <c r="P70" s="35">
        <f>IF(N59&lt;&gt;"",IF(INDEX(BDHK2,MATCH(N59,DiemHKII!$B$4:$B$58,0),INDEX($Y$7:$AB$20,MATCH(O70,$Y$7:$Y$20,0),$Z$6))&lt;&gt;"",INDEX(BDHK2,MATCH(N59,DiemHKII!$B$4:$B$58,0),INDEX($Y$7:$AB$20,MATCH(O70,$Y$7:$Y$20,0),$Z$6)),"/"),"")</f>
        <v>9.8000000000000007</v>
      </c>
      <c r="Q70" s="35" t="str">
        <f>IF(N59&lt;&gt;"",IF(INDEX(BDHK2,MATCH(N59,DiemHKII!$B$4:$B$58,0),INDEX($Y$7:$AB$20,MATCH(O70,$Y$7:$Y$20,0),$AA$6))&lt;&gt;"",INDEX(BDHK2,MATCH(N59,DiemHKII!$B$4:$B$58,0),INDEX($Y$7:$AB$20,MATCH(O70,$Y$7:$Y$20,0),$AA$6)),"/"),"")</f>
        <v>/</v>
      </c>
      <c r="R70" s="35" t="str">
        <f>IF(N59&lt;&gt;"",IF(INDEX(BDHK2,MATCH(N59,DiemHKII!$B$4:$B$58,0),INDEX($Y$7:$AB$20,MATCH(O70,$Y$7:$Y$20,0),$AB$6))&lt;&gt;"",INDEX(BDHK2,MATCH(N59,DiemHKII!$B$4:$B$58,0),INDEX($Y$7:$AB$20,MATCH(O70,$Y$7:$Y$20,0),$AB$6)),"/"),"")</f>
        <v>/</v>
      </c>
      <c r="S70" s="88"/>
    </row>
    <row r="71" spans="1:19" ht="15.6" customHeight="1">
      <c r="A71" s="88"/>
      <c r="B71" s="79" t="s">
        <v>200</v>
      </c>
      <c r="C71" s="81" t="s">
        <v>60</v>
      </c>
      <c r="D71" s="35">
        <f>IF(B59&lt;&gt;"",IF(INDEX(BDHK2,MATCH(B59,DiemHKII!$B$4:$B$58,0),INDEX($Y$7:$AB$20,MATCH(C71,$Y$7:$Y$20,0),$Z$6))&lt;&gt;"",INDEX(BDHK2,MATCH(B59,DiemHKII!$B$4:$B$58,0),INDEX($Y$7:$AB$20,MATCH(C71,$Y$7:$Y$20,0),$Z$6)),"/"),"")</f>
        <v>9.4</v>
      </c>
      <c r="E71" s="35" t="str">
        <f>IF(B59&lt;&gt;"",IF(INDEX(BDHK2,MATCH(B59,DiemHKII!$B$4:$B$58,0),INDEX($Y$7:$AB$20,MATCH(C71,$Y$7:$Y$20,0),$AA$6))&lt;&gt;"",INDEX(BDHK2,MATCH(B59,DiemHKII!$B$4:$B$58,0),INDEX($Y$7:$AB$20,MATCH(C71,$Y$7:$Y$20,0),$AA$6)),"/"),"")</f>
        <v>/</v>
      </c>
      <c r="F71" s="35" t="str">
        <f>IF(B59&lt;&gt;"",IF(INDEX(BDHK2,MATCH(B59,DiemHKII!$B$4:$B$58,0),INDEX($Y$7:$AB$20,MATCH(C71,$Y$7:$Y$20,0),$AB$6))&lt;&gt;"",INDEX(BDHK2,MATCH(B59,DiemHKII!$B$4:$B$58,0),INDEX($Y$7:$AB$20,MATCH(C71,$Y$7:$Y$20,0),$AB$6)),"/"),"")</f>
        <v>/</v>
      </c>
      <c r="G71" s="88"/>
      <c r="H71" s="79" t="s">
        <v>200</v>
      </c>
      <c r="I71" s="81" t="s">
        <v>60</v>
      </c>
      <c r="J71" s="35">
        <f>IF(H59&lt;&gt;"",IF(INDEX(BDHK2,MATCH(H59,DiemHKII!$B$4:$B$58,0),INDEX($Y$7:$AB$20,MATCH(I71,$Y$7:$Y$20,0),$Z$6))&lt;&gt;"",INDEX(BDHK2,MATCH(H59,DiemHKII!$B$4:$B$58,0),INDEX($Y$7:$AB$20,MATCH(I71,$Y$7:$Y$20,0),$Z$6)),"/"),"")</f>
        <v>9.1</v>
      </c>
      <c r="K71" s="35" t="str">
        <f>IF(H59&lt;&gt;"",IF(INDEX(BDHK2,MATCH(H59,DiemHKII!$B$4:$B$58,0),INDEX($Y$7:$AB$20,MATCH(I71,$Y$7:$Y$20,0),$AA$6))&lt;&gt;"",INDEX(BDHK2,MATCH(H59,DiemHKII!$B$4:$B$58,0),INDEX($Y$7:$AB$20,MATCH(I71,$Y$7:$Y$20,0),$AA$6)),"/"),"")</f>
        <v>/</v>
      </c>
      <c r="L71" s="35" t="str">
        <f>IF(H59&lt;&gt;"",IF(INDEX(BDHK2,MATCH(H59,DiemHKII!$B$4:$B$58,0),INDEX($Y$7:$AB$20,MATCH(I71,$Y$7:$Y$20,0),$AB$6))&lt;&gt;"",INDEX(BDHK2,MATCH(H59,DiemHKII!$B$4:$B$58,0),INDEX($Y$7:$AB$20,MATCH(I71,$Y$7:$Y$20,0),$AB$6)),"/"),"")</f>
        <v>/</v>
      </c>
      <c r="M71" s="88"/>
      <c r="N71" s="79" t="s">
        <v>200</v>
      </c>
      <c r="O71" s="81" t="s">
        <v>60</v>
      </c>
      <c r="P71" s="35">
        <f>IF(N59&lt;&gt;"",IF(INDEX(BDHK2,MATCH(N59,DiemHKII!$B$4:$B$58,0),INDEX($Y$7:$AB$20,MATCH(O71,$Y$7:$Y$20,0),$Z$6))&lt;&gt;"",INDEX(BDHK2,MATCH(N59,DiemHKII!$B$4:$B$58,0),INDEX($Y$7:$AB$20,MATCH(O71,$Y$7:$Y$20,0),$Z$6)),"/"),"")</f>
        <v>9.1</v>
      </c>
      <c r="Q71" s="35" t="str">
        <f>IF(N59&lt;&gt;"",IF(INDEX(BDHK2,MATCH(N59,DiemHKII!$B$4:$B$58,0),INDEX($Y$7:$AB$20,MATCH(O71,$Y$7:$Y$20,0),$AA$6))&lt;&gt;"",INDEX(BDHK2,MATCH(N59,DiemHKII!$B$4:$B$58,0),INDEX($Y$7:$AB$20,MATCH(O71,$Y$7:$Y$20,0),$AA$6)),"/"),"")</f>
        <v>/</v>
      </c>
      <c r="R71" s="35" t="str">
        <f>IF(N59&lt;&gt;"",IF(INDEX(BDHK2,MATCH(N59,DiemHKII!$B$4:$B$58,0),INDEX($Y$7:$AB$20,MATCH(O71,$Y$7:$Y$20,0),$AB$6))&lt;&gt;"",INDEX(BDHK2,MATCH(N59,DiemHKII!$B$4:$B$58,0),INDEX($Y$7:$AB$20,MATCH(O71,$Y$7:$Y$20,0),$AB$6)),"/"),"")</f>
        <v>/</v>
      </c>
      <c r="S71" s="88"/>
    </row>
    <row r="72" spans="1:19" ht="15.6" customHeight="1">
      <c r="A72" s="88"/>
      <c r="B72" s="79" t="s">
        <v>201</v>
      </c>
      <c r="C72" s="81" t="s">
        <v>34</v>
      </c>
      <c r="D72" s="35">
        <f>IF(B59&lt;&gt;"",IF(INDEX(BDHK2,MATCH(B59,DiemHKII!$B$4:$B$58,0),INDEX($Y$7:$AB$20,MATCH(C72,$Y$7:$Y$20,0),$Z$6))&lt;&gt;"",INDEX(BDHK2,MATCH(B59,DiemHKII!$B$4:$B$58,0),INDEX($Y$7:$AB$20,MATCH(C72,$Y$7:$Y$20,0),$Z$6)),"/"),"")</f>
        <v>9.5</v>
      </c>
      <c r="E72" s="35" t="str">
        <f>IF(B59&lt;&gt;"",IF(INDEX(BDHK2,MATCH(B59,DiemHKII!$B$4:$B$58,0),INDEX($Y$7:$AB$20,MATCH(C72,$Y$7:$Y$20,0),$AA$6))&lt;&gt;"",INDEX(BDHK2,MATCH(B59,DiemHKII!$B$4:$B$58,0),INDEX($Y$7:$AB$20,MATCH(C72,$Y$7:$Y$20,0),$AA$6)),"/"),"")</f>
        <v>/</v>
      </c>
      <c r="F72" s="35" t="str">
        <f>IF(B59&lt;&gt;"",IF(INDEX(BDHK2,MATCH(B59,DiemHKII!$B$4:$B$58,0),INDEX($Y$7:$AB$20,MATCH(C72,$Y$7:$Y$20,0),$AB$6))&lt;&gt;"",INDEX(BDHK2,MATCH(B59,DiemHKII!$B$4:$B$58,0),INDEX($Y$7:$AB$20,MATCH(C72,$Y$7:$Y$20,0),$AB$6)),"/"),"")</f>
        <v>/</v>
      </c>
      <c r="G72" s="88"/>
      <c r="H72" s="79" t="s">
        <v>201</v>
      </c>
      <c r="I72" s="81" t="s">
        <v>34</v>
      </c>
      <c r="J72" s="35">
        <f>IF(H59&lt;&gt;"",IF(INDEX(BDHK2,MATCH(H59,DiemHKII!$B$4:$B$58,0),INDEX($Y$7:$AB$20,MATCH(I72,$Y$7:$Y$20,0),$Z$6))&lt;&gt;"",INDEX(BDHK2,MATCH(H59,DiemHKII!$B$4:$B$58,0),INDEX($Y$7:$AB$20,MATCH(I72,$Y$7:$Y$20,0),$Z$6)),"/"),"")</f>
        <v>9.9</v>
      </c>
      <c r="K72" s="35" t="str">
        <f>IF(H59&lt;&gt;"",IF(INDEX(BDHK2,MATCH(H59,DiemHKII!$B$4:$B$58,0),INDEX($Y$7:$AB$20,MATCH(I72,$Y$7:$Y$20,0),$AA$6))&lt;&gt;"",INDEX(BDHK2,MATCH(H59,DiemHKII!$B$4:$B$58,0),INDEX($Y$7:$AB$20,MATCH(I72,$Y$7:$Y$20,0),$AA$6)),"/"),"")</f>
        <v>/</v>
      </c>
      <c r="L72" s="35" t="str">
        <f>IF(H59&lt;&gt;"",IF(INDEX(BDHK2,MATCH(H59,DiemHKII!$B$4:$B$58,0),INDEX($Y$7:$AB$20,MATCH(I72,$Y$7:$Y$20,0),$AB$6))&lt;&gt;"",INDEX(BDHK2,MATCH(H59,DiemHKII!$B$4:$B$58,0),INDEX($Y$7:$AB$20,MATCH(I72,$Y$7:$Y$20,0),$AB$6)),"/"),"")</f>
        <v>/</v>
      </c>
      <c r="M72" s="88"/>
      <c r="N72" s="79" t="s">
        <v>201</v>
      </c>
      <c r="O72" s="81" t="s">
        <v>34</v>
      </c>
      <c r="P72" s="35">
        <f>IF(N59&lt;&gt;"",IF(INDEX(BDHK2,MATCH(N59,DiemHKII!$B$4:$B$58,0),INDEX($Y$7:$AB$20,MATCH(O72,$Y$7:$Y$20,0),$Z$6))&lt;&gt;"",INDEX(BDHK2,MATCH(N59,DiemHKII!$B$4:$B$58,0),INDEX($Y$7:$AB$20,MATCH(O72,$Y$7:$Y$20,0),$Z$6)),"/"),"")</f>
        <v>9.9</v>
      </c>
      <c r="Q72" s="35" t="str">
        <f>IF(N59&lt;&gt;"",IF(INDEX(BDHK2,MATCH(N59,DiemHKII!$B$4:$B$58,0),INDEX($Y$7:$AB$20,MATCH(O72,$Y$7:$Y$20,0),$AA$6))&lt;&gt;"",INDEX(BDHK2,MATCH(N59,DiemHKII!$B$4:$B$58,0),INDEX($Y$7:$AB$20,MATCH(O72,$Y$7:$Y$20,0),$AA$6)),"/"),"")</f>
        <v>/</v>
      </c>
      <c r="R72" s="35" t="str">
        <f>IF(N59&lt;&gt;"",IF(INDEX(BDHK2,MATCH(N59,DiemHKII!$B$4:$B$58,0),INDEX($Y$7:$AB$20,MATCH(O72,$Y$7:$Y$20,0),$AB$6))&lt;&gt;"",INDEX(BDHK2,MATCH(N59,DiemHKII!$B$4:$B$58,0),INDEX($Y$7:$AB$20,MATCH(O72,$Y$7:$Y$20,0),$AB$6)),"/"),"")</f>
        <v>/</v>
      </c>
      <c r="S72" s="88"/>
    </row>
    <row r="73" spans="1:19" ht="15.6" customHeight="1">
      <c r="A73" s="88"/>
      <c r="B73" s="79" t="s">
        <v>202</v>
      </c>
      <c r="C73" s="81" t="s">
        <v>35</v>
      </c>
      <c r="D73" s="35" t="str">
        <f>IF(B59&lt;&gt;"",IF(INDEX(BDHK2,MATCH(B59,DiemHKII!$B$4:$B$58,0),INDEX($Y$7:$AB$20,MATCH(C73,$Y$7:$Y$20,0),$Z$6))&lt;&gt;"",INDEX(BDHK2,MATCH(B59,DiemHKII!$B$4:$B$58,0),INDEX($Y$7:$AB$20,MATCH(C73,$Y$7:$Y$20,0),$Z$6)),"/"),"")</f>
        <v>Đ</v>
      </c>
      <c r="E73" s="35" t="str">
        <f>IF(B59&lt;&gt;"",IF(INDEX(BDHK2,MATCH(B59,DiemHKII!$B$4:$B$58,0),INDEX($Y$7:$AB$20,MATCH(C73,$Y$7:$Y$20,0),$AA$6))&lt;&gt;"",INDEX(BDHK2,MATCH(B59,DiemHKII!$B$4:$B$58,0),INDEX($Y$7:$AB$20,MATCH(C73,$Y$7:$Y$20,0),$AA$6)),"/"),"")</f>
        <v>/</v>
      </c>
      <c r="F73" s="35" t="str">
        <f>IF(B59&lt;&gt;"",IF(INDEX(BDHK2,MATCH(B59,DiemHKII!$B$4:$B$58,0),INDEX($Y$7:$AB$20,MATCH(C73,$Y$7:$Y$20,0),$AB$6))&lt;&gt;"",INDEX(BDHK2,MATCH(B59,DiemHKII!$B$4:$B$58,0),INDEX($Y$7:$AB$20,MATCH(C73,$Y$7:$Y$20,0),$AB$6)),"/"),"")</f>
        <v>Đ</v>
      </c>
      <c r="G73" s="88"/>
      <c r="H73" s="79" t="s">
        <v>202</v>
      </c>
      <c r="I73" s="81" t="s">
        <v>35</v>
      </c>
      <c r="J73" s="35" t="str">
        <f>IF(H59&lt;&gt;"",IF(INDEX(BDHK2,MATCH(H59,DiemHKII!$B$4:$B$58,0),INDEX($Y$7:$AB$20,MATCH(I73,$Y$7:$Y$20,0),$Z$6))&lt;&gt;"",INDEX(BDHK2,MATCH(H59,DiemHKII!$B$4:$B$58,0),INDEX($Y$7:$AB$20,MATCH(I73,$Y$7:$Y$20,0),$Z$6)),"/"),"")</f>
        <v>Đ</v>
      </c>
      <c r="K73" s="35" t="str">
        <f>IF(H59&lt;&gt;"",IF(INDEX(BDHK2,MATCH(H59,DiemHKII!$B$4:$B$58,0),INDEX($Y$7:$AB$20,MATCH(I73,$Y$7:$Y$20,0),$AA$6))&lt;&gt;"",INDEX(BDHK2,MATCH(H59,DiemHKII!$B$4:$B$58,0),INDEX($Y$7:$AB$20,MATCH(I73,$Y$7:$Y$20,0),$AA$6)),"/"),"")</f>
        <v>/</v>
      </c>
      <c r="L73" s="35" t="str">
        <f>IF(H59&lt;&gt;"",IF(INDEX(BDHK2,MATCH(H59,DiemHKII!$B$4:$B$58,0),INDEX($Y$7:$AB$20,MATCH(I73,$Y$7:$Y$20,0),$AB$6))&lt;&gt;"",INDEX(BDHK2,MATCH(H59,DiemHKII!$B$4:$B$58,0),INDEX($Y$7:$AB$20,MATCH(I73,$Y$7:$Y$20,0),$AB$6)),"/"),"")</f>
        <v>Đ</v>
      </c>
      <c r="M73" s="88"/>
      <c r="N73" s="79" t="s">
        <v>202</v>
      </c>
      <c r="O73" s="81" t="s">
        <v>35</v>
      </c>
      <c r="P73" s="35" t="str">
        <f>IF(N59&lt;&gt;"",IF(INDEX(BDHK2,MATCH(N59,DiemHKII!$B$4:$B$58,0),INDEX($Y$7:$AB$20,MATCH(O73,$Y$7:$Y$20,0),$Z$6))&lt;&gt;"",INDEX(BDHK2,MATCH(N59,DiemHKII!$B$4:$B$58,0),INDEX($Y$7:$AB$20,MATCH(O73,$Y$7:$Y$20,0),$Z$6)),"/"),"")</f>
        <v>Đ</v>
      </c>
      <c r="Q73" s="35" t="str">
        <f>IF(N59&lt;&gt;"",IF(INDEX(BDHK2,MATCH(N59,DiemHKII!$B$4:$B$58,0),INDEX($Y$7:$AB$20,MATCH(O73,$Y$7:$Y$20,0),$AA$6))&lt;&gt;"",INDEX(BDHK2,MATCH(N59,DiemHKII!$B$4:$B$58,0),INDEX($Y$7:$AB$20,MATCH(O73,$Y$7:$Y$20,0),$AA$6)),"/"),"")</f>
        <v>/</v>
      </c>
      <c r="R73" s="35" t="str">
        <f>IF(N59&lt;&gt;"",IF(INDEX(BDHK2,MATCH(N59,DiemHKII!$B$4:$B$58,0),INDEX($Y$7:$AB$20,MATCH(O73,$Y$7:$Y$20,0),$AB$6))&lt;&gt;"",INDEX(BDHK2,MATCH(N59,DiemHKII!$B$4:$B$58,0),INDEX($Y$7:$AB$20,MATCH(O73,$Y$7:$Y$20,0),$AB$6)),"/"),"")</f>
        <v>Đ</v>
      </c>
      <c r="S73" s="88"/>
    </row>
    <row r="74" spans="1:19" ht="15.6" customHeight="1">
      <c r="A74" s="88"/>
      <c r="B74" s="79" t="s">
        <v>203</v>
      </c>
      <c r="C74" s="81" t="s">
        <v>121</v>
      </c>
      <c r="D74" s="35">
        <f>IF(B59&lt;&gt;"",IF(INDEX(BDHK2,MATCH(B59,DiemHKII!$B$4:$B$58,0),INDEX($Y$7:$AB$20,MATCH(C74,$Y$7:$Y$20,0),$Z$6))&lt;&gt;"",INDEX(BDHK2,MATCH(B59,DiemHKII!$B$4:$B$58,0),INDEX($Y$7:$AB$20,MATCH(C74,$Y$7:$Y$20,0),$Z$6)),"/"),"")</f>
        <v>9.9</v>
      </c>
      <c r="E74" s="35" t="str">
        <f>IF(B59&lt;&gt;"",IF(INDEX(BDHK2,MATCH(B59,DiemHKII!$B$4:$B$58,0),INDEX($Y$7:$AB$20,MATCH(C74,$Y$7:$Y$20,0),$AA$6))&lt;&gt;"",INDEX(BDHK2,MATCH(B59,DiemHKII!$B$4:$B$58,0),INDEX($Y$7:$AB$20,MATCH(C74,$Y$7:$Y$20,0),$AA$6)),"/"),"")</f>
        <v>/</v>
      </c>
      <c r="F74" s="35" t="str">
        <f>IF(B59&lt;&gt;"",IF(INDEX(BDHK2,MATCH(B59,DiemHKII!$B$4:$B$58,0),INDEX($Y$7:$AB$20,MATCH(C74,$Y$7:$Y$20,0),$AB$6))&lt;&gt;"",INDEX(BDHK2,MATCH(B59,DiemHKII!$B$4:$B$58,0),INDEX($Y$7:$AB$20,MATCH(C74,$Y$7:$Y$20,0),$AB$6)),"/"),"")</f>
        <v>/</v>
      </c>
      <c r="G74" s="88"/>
      <c r="H74" s="79" t="s">
        <v>203</v>
      </c>
      <c r="I74" s="81" t="s">
        <v>121</v>
      </c>
      <c r="J74" s="35">
        <f>IF(H59&lt;&gt;"",IF(INDEX(BDHK2,MATCH(H59,DiemHKII!$B$4:$B$58,0),INDEX($Y$7:$AB$20,MATCH(I74,$Y$7:$Y$20,0),$Z$6))&lt;&gt;"",INDEX(BDHK2,MATCH(H59,DiemHKII!$B$4:$B$58,0),INDEX($Y$7:$AB$20,MATCH(I74,$Y$7:$Y$20,0),$Z$6)),"/"),"")</f>
        <v>9.9</v>
      </c>
      <c r="K74" s="35" t="str">
        <f>IF(H59&lt;&gt;"",IF(INDEX(BDHK2,MATCH(H59,DiemHKII!$B$4:$B$58,0),INDEX($Y$7:$AB$20,MATCH(I74,$Y$7:$Y$20,0),$AA$6))&lt;&gt;"",INDEX(BDHK2,MATCH(H59,DiemHKII!$B$4:$B$58,0),INDEX($Y$7:$AB$20,MATCH(I74,$Y$7:$Y$20,0),$AA$6)),"/"),"")</f>
        <v>/</v>
      </c>
      <c r="L74" s="35" t="str">
        <f>IF(H59&lt;&gt;"",IF(INDEX(BDHK2,MATCH(H59,DiemHKII!$B$4:$B$58,0),INDEX($Y$7:$AB$20,MATCH(I74,$Y$7:$Y$20,0),$AB$6))&lt;&gt;"",INDEX(BDHK2,MATCH(H59,DiemHKII!$B$4:$B$58,0),INDEX($Y$7:$AB$20,MATCH(I74,$Y$7:$Y$20,0),$AB$6)),"/"),"")</f>
        <v>/</v>
      </c>
      <c r="M74" s="88"/>
      <c r="N74" s="79" t="s">
        <v>203</v>
      </c>
      <c r="O74" s="81" t="s">
        <v>121</v>
      </c>
      <c r="P74" s="35">
        <f>IF(N59&lt;&gt;"",IF(INDEX(BDHK2,MATCH(N59,DiemHKII!$B$4:$B$58,0),INDEX($Y$7:$AB$20,MATCH(O74,$Y$7:$Y$20,0),$Z$6))&lt;&gt;"",INDEX(BDHK2,MATCH(N59,DiemHKII!$B$4:$B$58,0),INDEX($Y$7:$AB$20,MATCH(O74,$Y$7:$Y$20,0),$Z$6)),"/"),"")</f>
        <v>9.9</v>
      </c>
      <c r="Q74" s="35" t="str">
        <f>IF(N59&lt;&gt;"",IF(INDEX(BDHK2,MATCH(N59,DiemHKII!$B$4:$B$58,0),INDEX($Y$7:$AB$20,MATCH(O74,$Y$7:$Y$20,0),$AA$6))&lt;&gt;"",INDEX(BDHK2,MATCH(N59,DiemHKII!$B$4:$B$58,0),INDEX($Y$7:$AB$20,MATCH(O74,$Y$7:$Y$20,0),$AA$6)),"/"),"")</f>
        <v>/</v>
      </c>
      <c r="R74" s="35" t="str">
        <f>IF(N59&lt;&gt;"",IF(INDEX(BDHK2,MATCH(N59,DiemHKII!$B$4:$B$58,0),INDEX($Y$7:$AB$20,MATCH(O74,$Y$7:$Y$20,0),$AB$6))&lt;&gt;"",INDEX(BDHK2,MATCH(N59,DiemHKII!$B$4:$B$58,0),INDEX($Y$7:$AB$20,MATCH(O74,$Y$7:$Y$20,0),$AB$6)),"/"),"")</f>
        <v>/</v>
      </c>
      <c r="S74" s="88"/>
    </row>
    <row r="75" spans="1:19" ht="15.6" customHeight="1">
      <c r="A75" s="88"/>
      <c r="B75" s="79" t="s">
        <v>204</v>
      </c>
      <c r="C75" s="81" t="s">
        <v>122</v>
      </c>
      <c r="D75" s="35" t="str">
        <f>IF(B59&lt;&gt;"",IF(INDEX(BDHK2,MATCH(B59,DiemHKII!$B$4:$B$58,0),INDEX($Y$7:$AB$20,MATCH(C75,$Y$7:$Y$20,0),$Z$6))&lt;&gt;"",INDEX(BDHK2,MATCH(B59,DiemHKII!$B$4:$B$58,0),INDEX($Y$7:$AB$20,MATCH(C75,$Y$7:$Y$20,0),$Z$6)),"/"),"")</f>
        <v>/</v>
      </c>
      <c r="E75" s="35" t="str">
        <f>IF(B59&lt;&gt;"",IF(INDEX(BDHK2,MATCH(B59,DiemHKII!$B$4:$B$58,0),INDEX($Y$7:$AB$20,MATCH(C75,$Y$7:$Y$20,0),$AA$6))&lt;&gt;"",INDEX(BDHK2,MATCH(B59,DiemHKII!$B$4:$B$58,0),INDEX($Y$7:$AB$20,MATCH(C75,$Y$7:$Y$20,0),$AA$6)),"/"),"")</f>
        <v>/</v>
      </c>
      <c r="F75" s="35" t="str">
        <f>IF(B59&lt;&gt;"",IF(INDEX(BDHK2,MATCH(B59,DiemHKII!$B$4:$B$58,0),INDEX($Y$7:$AB$20,MATCH(C75,$Y$7:$Y$20,0),$AB$6))&lt;&gt;"",INDEX(BDHK2,MATCH(B59,DiemHKII!$B$4:$B$58,0),INDEX($Y$7:$AB$20,MATCH(C75,$Y$7:$Y$20,0),$AB$6)),"/"),"")</f>
        <v>/</v>
      </c>
      <c r="G75" s="88"/>
      <c r="H75" s="79" t="s">
        <v>204</v>
      </c>
      <c r="I75" s="81" t="s">
        <v>122</v>
      </c>
      <c r="J75" s="35" t="str">
        <f>IF(H59&lt;&gt;"",IF(INDEX(BDHK2,MATCH(H59,DiemHKII!$B$4:$B$58,0),INDEX($Y$7:$AB$20,MATCH(I75,$Y$7:$Y$20,0),$Z$6))&lt;&gt;"",INDEX(BDHK2,MATCH(H59,DiemHKII!$B$4:$B$58,0),INDEX($Y$7:$AB$20,MATCH(I75,$Y$7:$Y$20,0),$Z$6)),"/"),"")</f>
        <v>/</v>
      </c>
      <c r="K75" s="35" t="str">
        <f>IF(H59&lt;&gt;"",IF(INDEX(BDHK2,MATCH(H59,DiemHKII!$B$4:$B$58,0),INDEX($Y$7:$AB$20,MATCH(I75,$Y$7:$Y$20,0),$AA$6))&lt;&gt;"",INDEX(BDHK2,MATCH(H59,DiemHKII!$B$4:$B$58,0),INDEX($Y$7:$AB$20,MATCH(I75,$Y$7:$Y$20,0),$AA$6)),"/"),"")</f>
        <v>/</v>
      </c>
      <c r="L75" s="35" t="str">
        <f>IF(H59&lt;&gt;"",IF(INDEX(BDHK2,MATCH(H59,DiemHKII!$B$4:$B$58,0),INDEX($Y$7:$AB$20,MATCH(I75,$Y$7:$Y$20,0),$AB$6))&lt;&gt;"",INDEX(BDHK2,MATCH(H59,DiemHKII!$B$4:$B$58,0),INDEX($Y$7:$AB$20,MATCH(I75,$Y$7:$Y$20,0),$AB$6)),"/"),"")</f>
        <v>/</v>
      </c>
      <c r="M75" s="88"/>
      <c r="N75" s="79" t="s">
        <v>204</v>
      </c>
      <c r="O75" s="81" t="s">
        <v>122</v>
      </c>
      <c r="P75" s="35" t="str">
        <f>IF(N59&lt;&gt;"",IF(INDEX(BDHK2,MATCH(N59,DiemHKII!$B$4:$B$58,0),INDEX($Y$7:$AB$20,MATCH(O75,$Y$7:$Y$20,0),$Z$6))&lt;&gt;"",INDEX(BDHK2,MATCH(N59,DiemHKII!$B$4:$B$58,0),INDEX($Y$7:$AB$20,MATCH(O75,$Y$7:$Y$20,0),$Z$6)),"/"),"")</f>
        <v>/</v>
      </c>
      <c r="Q75" s="35" t="str">
        <f>IF(N59&lt;&gt;"",IF(INDEX(BDHK2,MATCH(N59,DiemHKII!$B$4:$B$58,0),INDEX($Y$7:$AB$20,MATCH(O75,$Y$7:$Y$20,0),$AA$6))&lt;&gt;"",INDEX(BDHK2,MATCH(N59,DiemHKII!$B$4:$B$58,0),INDEX($Y$7:$AB$20,MATCH(O75,$Y$7:$Y$20,0),$AA$6)),"/"),"")</f>
        <v>/</v>
      </c>
      <c r="R75" s="35" t="str">
        <f>IF(N59&lt;&gt;"",IF(INDEX(BDHK2,MATCH(N59,DiemHKII!$B$4:$B$58,0),INDEX($Y$7:$AB$20,MATCH(O75,$Y$7:$Y$20,0),$AB$6))&lt;&gt;"",INDEX(BDHK2,MATCH(N59,DiemHKII!$B$4:$B$58,0),INDEX($Y$7:$AB$20,MATCH(O75,$Y$7:$Y$20,0),$AB$6)),"/"),"")</f>
        <v>/</v>
      </c>
      <c r="S75" s="88"/>
    </row>
    <row r="76" spans="1:19" ht="15.6" customHeight="1">
      <c r="A76" s="88"/>
      <c r="B76" s="79" t="s">
        <v>208</v>
      </c>
      <c r="C76" s="81" t="s">
        <v>217</v>
      </c>
      <c r="D76" s="80">
        <f>IF(B59&lt;&gt;"",IF(INDEX('TH CANAM'!$A$9:$BF$63,MATCH(B59,'TH CANAM'!$A$9:$A$63,0),46)&lt;&gt;"",INDEX('TH CANAM'!$A$9:$BF$63,MATCH(B59,'TH CANAM'!$A$9:$A$63,0),46),"/"),"")</f>
        <v>9.5</v>
      </c>
      <c r="E76" s="80" t="str">
        <f>IF(B59&lt;&gt;"",IF(INDEX('TH CANAM'!$A$9:$BF$63,MATCH(B59,'TH CANAM'!$A$9:$A$63,0),47)&lt;&gt;"",INDEX('TH CANAM'!$A$9:$BF$63,MATCH(B59,'TH CANAM'!$A$9:$A$63,0),47),"/"),"")</f>
        <v>/</v>
      </c>
      <c r="F76" s="80" t="str">
        <f>IF(B59&lt;&gt;"",IF(INDEX('TH CANAM'!$A$9:$BF$63,MATCH(B59,'TH CANAM'!$A$9:$A$63,0),48)&lt;&gt;"",INDEX('TH CANAM'!$A$9:$BF$63,MATCH(B59,'TH CANAM'!$A$9:$A$63,0),48),"/"),"")</f>
        <v>/</v>
      </c>
      <c r="G76" s="88"/>
      <c r="H76" s="79" t="s">
        <v>208</v>
      </c>
      <c r="I76" s="81" t="s">
        <v>217</v>
      </c>
      <c r="J76" s="80">
        <f>IF(H59&lt;&gt;"",IF(INDEX('TH CANAM'!$A$9:$BF$63,MATCH(H59,'TH CANAM'!$A$9:$A$63,0),46)&lt;&gt;"",INDEX('TH CANAM'!$A$9:$BF$63,MATCH(H59,'TH CANAM'!$A$9:$A$63,0),46),"/"),"")</f>
        <v>9.3000000000000007</v>
      </c>
      <c r="K76" s="80" t="str">
        <f>IF(H59&lt;&gt;"",IF(INDEX('TH CANAM'!$A$9:$BF$63,MATCH(H59,'TH CANAM'!$A$9:$A$63,0),47)&lt;&gt;"",INDEX('TH CANAM'!$A$9:$BF$63,MATCH(H59,'TH CANAM'!$A$9:$A$63,0),47),"/"),"")</f>
        <v>/</v>
      </c>
      <c r="L76" s="80" t="str">
        <f>IF(H59&lt;&gt;"",IF(INDEX('TH CANAM'!$A$9:$BF$63,MATCH(H59,'TH CANAM'!$A$9:$A$63,0),48)&lt;&gt;"",INDEX('TH CANAM'!$A$9:$BF$63,MATCH(H59,'TH CANAM'!$A$9:$A$63,0),48),"/"),"")</f>
        <v>/</v>
      </c>
      <c r="M76" s="88"/>
      <c r="N76" s="79" t="s">
        <v>208</v>
      </c>
      <c r="O76" s="81" t="s">
        <v>217</v>
      </c>
      <c r="P76" s="80">
        <f>IF(N59&lt;&gt;"",IF(INDEX('TH CANAM'!$A$9:$BF$63,MATCH(N59,'TH CANAM'!$A$9:$A$63,0),46)&lt;&gt;"",INDEX('TH CANAM'!$A$9:$BF$63,MATCH(N59,'TH CANAM'!$A$9:$A$63,0),46),"/"),"")</f>
        <v>9.5</v>
      </c>
      <c r="Q76" s="80" t="str">
        <f>IF(N59&lt;&gt;"",IF(INDEX('TH CANAM'!$A$9:$BF$63,MATCH(N59,'TH CANAM'!$A$9:$A$63,0),47)&lt;&gt;"",INDEX('TH CANAM'!$A$9:$BF$63,MATCH(N59,'TH CANAM'!$A$9:$A$63,0),47),"/"),"")</f>
        <v>/</v>
      </c>
      <c r="R76" s="80" t="str">
        <f>IF(N59&lt;&gt;"",IF(INDEX('TH CANAM'!$A$9:$BF$63,MATCH(N59,'TH CANAM'!$A$9:$A$63,0),48)&lt;&gt;"",INDEX('TH CANAM'!$A$9:$BF$63,MATCH(N59,'TH CANAM'!$A$9:$A$63,0),48),"/"),"")</f>
        <v>/</v>
      </c>
      <c r="S76" s="88"/>
    </row>
    <row r="77" spans="1:19" ht="15.6" customHeight="1">
      <c r="A77" s="88"/>
      <c r="B77" s="79" t="s">
        <v>209</v>
      </c>
      <c r="C77" s="82" t="s">
        <v>36</v>
      </c>
      <c r="D77" s="35" t="str">
        <f>IF(B59&lt;&gt;"",IF(INDEX('TH CANAM'!$A$9:$BF$63,MATCH(B59,'TH CANAM'!$A$9:$A$63,0),49)&lt;&gt;"",INDEX('TH CANAM'!$A$9:$BF$63,MATCH(B59,'TH CANAM'!$A$9:$A$63,0),49),"/"),"")</f>
        <v>Giỏi</v>
      </c>
      <c r="E77" s="35" t="str">
        <f>IF(B59&lt;&gt;"",IF(INDEX('TH CANAM'!$A$9:$BF$63,MATCH(B59,'TH CANAM'!$A$9:$A$63,0),50)&lt;&gt;"",INDEX('TH CANAM'!$A$9:$BF$63,MATCH(B59,'TH CANAM'!$A$9:$A$63,0),50),"/"),"")</f>
        <v>/</v>
      </c>
      <c r="F77" s="35" t="str">
        <f>IF(B59&lt;&gt;"",IF(INDEX('TH CANAM'!$A$9:$BF$63,MATCH(B59,'TH CANAM'!$A$9:$A$63,0),51)&lt;&gt;"",INDEX('TH CANAM'!$A$9:$BF$63,MATCH(B59,'TH CANAM'!$A$9:$A$63,0),51),"/"),"")</f>
        <v>/</v>
      </c>
      <c r="G77" s="88"/>
      <c r="H77" s="79" t="s">
        <v>209</v>
      </c>
      <c r="I77" s="82" t="s">
        <v>36</v>
      </c>
      <c r="J77" s="35" t="str">
        <f>IF(H59&lt;&gt;"",IF(INDEX('TH CANAM'!$A$9:$BF$63,MATCH(H59,'TH CANAM'!$A$9:$A$63,0),49)&lt;&gt;"",INDEX('TH CANAM'!$A$9:$BF$63,MATCH(H59,'TH CANAM'!$A$9:$A$63,0),49),"/"),"")</f>
        <v>Giỏi</v>
      </c>
      <c r="K77" s="35" t="str">
        <f>IF(H59&lt;&gt;"",IF(INDEX('TH CANAM'!$A$9:$BF$63,MATCH(H59,'TH CANAM'!$A$9:$A$63,0),50)&lt;&gt;"",INDEX('TH CANAM'!$A$9:$BF$63,MATCH(H59,'TH CANAM'!$A$9:$A$63,0),50),"/"),"")</f>
        <v>/</v>
      </c>
      <c r="L77" s="35" t="str">
        <f>IF(H59&lt;&gt;"",IF(INDEX('TH CANAM'!$A$9:$BF$63,MATCH(H59,'TH CANAM'!$A$9:$A$63,0),51)&lt;&gt;"",INDEX('TH CANAM'!$A$9:$BF$63,MATCH(H59,'TH CANAM'!$A$9:$A$63,0),51),"/"),"")</f>
        <v>/</v>
      </c>
      <c r="M77" s="88"/>
      <c r="N77" s="79" t="s">
        <v>209</v>
      </c>
      <c r="O77" s="82" t="s">
        <v>36</v>
      </c>
      <c r="P77" s="35" t="str">
        <f>IF(N59&lt;&gt;"",IF(INDEX('TH CANAM'!$A$9:$BF$63,MATCH(N59,'TH CANAM'!$A$9:$A$63,0),49)&lt;&gt;"",INDEX('TH CANAM'!$A$9:$BF$63,MATCH(N59,'TH CANAM'!$A$9:$A$63,0),49),"/"),"")</f>
        <v>Giỏi</v>
      </c>
      <c r="Q77" s="35" t="str">
        <f>IF(N59&lt;&gt;"",IF(INDEX('TH CANAM'!$A$9:$BF$63,MATCH(N59,'TH CANAM'!$A$9:$A$63,0),50)&lt;&gt;"",INDEX('TH CANAM'!$A$9:$BF$63,MATCH(N59,'TH CANAM'!$A$9:$A$63,0),50),"/"),"")</f>
        <v>/</v>
      </c>
      <c r="R77" s="35" t="str">
        <f>IF(N59&lt;&gt;"",IF(INDEX('TH CANAM'!$A$9:$BF$63,MATCH(N59,'TH CANAM'!$A$9:$A$63,0),51)&lt;&gt;"",INDEX('TH CANAM'!$A$9:$BF$63,MATCH(N59,'TH CANAM'!$A$9:$A$63,0),51),"/"),"")</f>
        <v>/</v>
      </c>
      <c r="S77" s="88"/>
    </row>
    <row r="78" spans="1:19" ht="15.6" customHeight="1">
      <c r="A78" s="88"/>
      <c r="B78" s="79" t="s">
        <v>210</v>
      </c>
      <c r="C78" s="82" t="s">
        <v>37</v>
      </c>
      <c r="D78" s="35" t="str">
        <f>IF(B59&lt;&gt;"",IF(INDEX('TH CANAM'!$A$9:$BF$63,MATCH(B59,'TH CANAM'!$A$9:$A$63,0),52)&lt;&gt;"",INDEX('TH CANAM'!$A$9:$BF$63,MATCH(B59,'TH CANAM'!$A$9:$A$63,0),52),"/"),"")</f>
        <v>Tốt</v>
      </c>
      <c r="E78" s="35" t="str">
        <f>IF(B59&lt;&gt;"",IF(INDEX('TH CANAM'!$A$9:$BF$63,MATCH(B59,'TH CANAM'!$A$9:$A$63,0),53)&lt;&gt;"",INDEX('TH CANAM'!$A$9:$BF$63,MATCH(B59,'TH CANAM'!$A$9:$A$63,0),53),"/"),"")</f>
        <v>/</v>
      </c>
      <c r="F78" s="35" t="str">
        <f>IF(B59&lt;&gt;"",IF(INDEX('TH CANAM'!$A$9:$BF$63,MATCH(B59,'TH CANAM'!$A$9:$A$63,0),54)&lt;&gt;"",INDEX('TH CANAM'!$A$9:$BF$63,MATCH(B59,'TH CANAM'!$A$9:$A$63,0),54),"/"),"")</f>
        <v>/</v>
      </c>
      <c r="G78" s="88"/>
      <c r="H78" s="79" t="s">
        <v>210</v>
      </c>
      <c r="I78" s="82" t="s">
        <v>37</v>
      </c>
      <c r="J78" s="35" t="str">
        <f>IF(H59&lt;&gt;"",IF(INDEX('TH CANAM'!$A$9:$BF$63,MATCH(H59,'TH CANAM'!$A$9:$A$63,0),52)&lt;&gt;"",INDEX('TH CANAM'!$A$9:$BF$63,MATCH(H59,'TH CANAM'!$A$9:$A$63,0),52),"/"),"")</f>
        <v>Tốt</v>
      </c>
      <c r="K78" s="35" t="str">
        <f>IF(H59&lt;&gt;"",IF(INDEX('TH CANAM'!$A$9:$BF$63,MATCH(H59,'TH CANAM'!$A$9:$A$63,0),53)&lt;&gt;"",INDEX('TH CANAM'!$A$9:$BF$63,MATCH(H59,'TH CANAM'!$A$9:$A$63,0),53),"/"),"")</f>
        <v>/</v>
      </c>
      <c r="L78" s="35" t="str">
        <f>IF(H59&lt;&gt;"",IF(INDEX('TH CANAM'!$A$9:$BF$63,MATCH(H59,'TH CANAM'!$A$9:$A$63,0),54)&lt;&gt;"",INDEX('TH CANAM'!$A$9:$BF$63,MATCH(H59,'TH CANAM'!$A$9:$A$63,0),54),"/"),"")</f>
        <v>/</v>
      </c>
      <c r="M78" s="88"/>
      <c r="N78" s="79" t="s">
        <v>210</v>
      </c>
      <c r="O78" s="82" t="s">
        <v>37</v>
      </c>
      <c r="P78" s="35" t="str">
        <f>IF(N59&lt;&gt;"",IF(INDEX('TH CANAM'!$A$9:$BF$63,MATCH(N59,'TH CANAM'!$A$9:$A$63,0),52)&lt;&gt;"",INDEX('TH CANAM'!$A$9:$BF$63,MATCH(N59,'TH CANAM'!$A$9:$A$63,0),52),"/"),"")</f>
        <v>Tốt</v>
      </c>
      <c r="Q78" s="35" t="str">
        <f>IF(N59&lt;&gt;"",IF(INDEX('TH CANAM'!$A$9:$BF$63,MATCH(N59,'TH CANAM'!$A$9:$A$63,0),53)&lt;&gt;"",INDEX('TH CANAM'!$A$9:$BF$63,MATCH(N59,'TH CANAM'!$A$9:$A$63,0),53),"/"),"")</f>
        <v>/</v>
      </c>
      <c r="R78" s="35" t="str">
        <f>IF(N59&lt;&gt;"",IF(INDEX('TH CANAM'!$A$9:$BF$63,MATCH(N59,'TH CANAM'!$A$9:$A$63,0),54)&lt;&gt;"",INDEX('TH CANAM'!$A$9:$BF$63,MATCH(N59,'TH CANAM'!$A$9:$A$63,0),54),"/"),"")</f>
        <v>/</v>
      </c>
      <c r="S78" s="88"/>
    </row>
    <row r="79" spans="1:19" ht="15.6" customHeight="1">
      <c r="A79" s="88"/>
      <c r="B79" s="79" t="s">
        <v>211</v>
      </c>
      <c r="C79" s="82" t="s">
        <v>25</v>
      </c>
      <c r="D79" s="35" t="str">
        <f>IF(B59&lt;&gt;"",IF(INDEX('TH CANAM'!$A$9:$BF$63,MATCH(B59,'TH CANAM'!$A$9:$A$63,0),57)&lt;&gt;"",INDEX('TH CANAM'!$A$9:$BF$63,MATCH(B59,'TH CANAM'!$A$9:$A$63,0),57),"/"),"")</f>
        <v>HSG</v>
      </c>
      <c r="E79" s="35" t="str">
        <f>IF(B59&lt;&gt;"",IF(INDEX('TH CANAM'!$A$9:$BF$63,MATCH(B59,'TH CANAM'!$A$9:$A$63,0),58)&lt;&gt;"",INDEX('TH CANAM'!$A$9:$BF$63,MATCH(B59,'TH CANAM'!$A$9:$A$63,0),58),"/"),"")</f>
        <v>/</v>
      </c>
      <c r="F79" s="35" t="str">
        <f>IF(B59&lt;&gt;"",IF(INDEX('TH CANAM'!$A$9:$BF$63,MATCH(B59,'TH CANAM'!$A$9:$A$63,0),55)&lt;&gt;"",INDEX('TH CANAM'!$A$9:$BF$63,MATCH(B59,'TH CANAM'!$A$9:$A$63,0),55),"/"),"")</f>
        <v>/</v>
      </c>
      <c r="G79" s="88"/>
      <c r="H79" s="79" t="s">
        <v>211</v>
      </c>
      <c r="I79" s="82" t="s">
        <v>25</v>
      </c>
      <c r="J79" s="35" t="str">
        <f>IF(H59&lt;&gt;"",IF(INDEX('TH CANAM'!$A$9:$BF$63,MATCH(H59,'TH CANAM'!$A$9:$A$63,0),57)&lt;&gt;"",INDEX('TH CANAM'!$A$9:$BF$63,MATCH(H59,'TH CANAM'!$A$9:$A$63,0),57),"/"),"")</f>
        <v>HSG</v>
      </c>
      <c r="K79" s="35" t="str">
        <f>IF(H59&lt;&gt;"",IF(INDEX('TH CANAM'!$A$9:$BF$63,MATCH(H59,'TH CANAM'!$A$9:$A$63,0),58)&lt;&gt;"",INDEX('TH CANAM'!$A$9:$BF$63,MATCH(H59,'TH CANAM'!$A$9:$A$63,0),58),"/"),"")</f>
        <v>/</v>
      </c>
      <c r="L79" s="35" t="str">
        <f>IF(H59&lt;&gt;"",IF(INDEX('TH CANAM'!$A$9:$BF$63,MATCH(H59,'TH CANAM'!$A$9:$A$63,0),55)&lt;&gt;"",INDEX('TH CANAM'!$A$9:$BF$63,MATCH(H59,'TH CANAM'!$A$9:$A$63,0),55),"/"),"")</f>
        <v>/</v>
      </c>
      <c r="M79" s="88"/>
      <c r="N79" s="79" t="s">
        <v>211</v>
      </c>
      <c r="O79" s="82" t="s">
        <v>25</v>
      </c>
      <c r="P79" s="35" t="str">
        <f>IF(N59&lt;&gt;"",IF(INDEX('TH CANAM'!$A$9:$BF$63,MATCH(N59,'TH CANAM'!$A$9:$A$63,0),57)&lt;&gt;"",INDEX('TH CANAM'!$A$9:$BF$63,MATCH(N59,'TH CANAM'!$A$9:$A$63,0),57),"/"),"")</f>
        <v>HSG</v>
      </c>
      <c r="Q79" s="35" t="str">
        <f>IF(N59&lt;&gt;"",IF(INDEX('TH CANAM'!$A$9:$BF$63,MATCH(N59,'TH CANAM'!$A$9:$A$63,0),58)&lt;&gt;"",INDEX('TH CANAM'!$A$9:$BF$63,MATCH(N59,'TH CANAM'!$A$9:$A$63,0),58),"/"),"")</f>
        <v>/</v>
      </c>
      <c r="R79" s="35" t="str">
        <f>IF(N59&lt;&gt;"",IF(INDEX('TH CANAM'!$A$9:$BF$63,MATCH(N59,'TH CANAM'!$A$9:$A$63,0),55)&lt;&gt;"",INDEX('TH CANAM'!$A$9:$BF$63,MATCH(N59,'TH CANAM'!$A$9:$A$63,0),55),"/"),"")</f>
        <v>/</v>
      </c>
      <c r="S79" s="88"/>
    </row>
    <row r="80" spans="1:19" s="251" customFormat="1" ht="15.75" customHeight="1">
      <c r="A80" s="89"/>
      <c r="B80" s="1146" t="s">
        <v>219</v>
      </c>
      <c r="C80" s="1147"/>
      <c r="D80" s="1147"/>
      <c r="E80" s="1147"/>
      <c r="F80" s="1148"/>
      <c r="G80" s="89"/>
      <c r="H80" s="1146" t="s">
        <v>219</v>
      </c>
      <c r="I80" s="1147"/>
      <c r="J80" s="1147"/>
      <c r="K80" s="1147"/>
      <c r="L80" s="1148"/>
      <c r="M80" s="89"/>
      <c r="N80" s="1146" t="s">
        <v>219</v>
      </c>
      <c r="O80" s="1147"/>
      <c r="P80" s="1147"/>
      <c r="Q80" s="1147"/>
      <c r="R80" s="1148"/>
      <c r="S80" s="89"/>
    </row>
    <row r="81" spans="1:19" s="251" customFormat="1" ht="15.6" customHeight="1">
      <c r="A81" s="89"/>
      <c r="B81" s="1143" t="str">
        <f>IF(B59&lt;&gt;"",IF(INDEX(BDHK2,MATCH(B59,DiemHKII!$B$4:$B$58,0),137)&lt;&gt;""," - "&amp;INDEX(BDHK2,MATCH(B59,DiemHKII!$B$4:$B$58,0),137),""),"")</f>
        <v/>
      </c>
      <c r="C81" s="1144"/>
      <c r="D81" s="1144"/>
      <c r="E81" s="1144"/>
      <c r="F81" s="1145"/>
      <c r="G81" s="89"/>
      <c r="H81" s="1143" t="str">
        <f>IF(H59&lt;&gt;"",IF(INDEX(BDHK2,MATCH(H59,DiemHKII!$B$4:$B$58,0),137)&lt;&gt;""," - "&amp;INDEX(BDHK2,MATCH(H59,DiemHKII!$B$4:$B$58,0),137),""),"")</f>
        <v/>
      </c>
      <c r="I81" s="1144"/>
      <c r="J81" s="1144"/>
      <c r="K81" s="1144"/>
      <c r="L81" s="1145"/>
      <c r="M81" s="89"/>
      <c r="N81" s="1143" t="str">
        <f>IF(N59&lt;&gt;"",IF(INDEX(BDHK2,MATCH(N59,DiemHKII!$B$4:$B$58,0),137)&lt;&gt;""," - "&amp;INDEX(BDHK2,MATCH(N59,DiemHKII!$B$4:$B$58,0),137),""),"")</f>
        <v/>
      </c>
      <c r="O81" s="1144"/>
      <c r="P81" s="1144"/>
      <c r="Q81" s="1144"/>
      <c r="R81" s="1145"/>
      <c r="S81" s="89"/>
    </row>
    <row r="82" spans="1:19" s="251" customFormat="1" ht="15.6" customHeight="1">
      <c r="A82" s="89"/>
      <c r="B82" s="1143" t="str">
        <f>IF(B59&lt;&gt;"",IF(INDEX(BDHK2,MATCH(B59,DiemHKII!$B$4:$B$58,0),138)&lt;&gt;""," - "&amp;INDEX(BDHK2,MATCH(B59,DiemHKII!$B$4:$B$58,0),138),""),"")</f>
        <v/>
      </c>
      <c r="C82" s="1144"/>
      <c r="D82" s="1144"/>
      <c r="E82" s="1144"/>
      <c r="F82" s="1145"/>
      <c r="G82" s="89"/>
      <c r="H82" s="1143" t="str">
        <f>IF(H59&lt;&gt;"",IF(INDEX(BDHK2,MATCH(H59,DiemHKII!$B$4:$B$58,0),138)&lt;&gt;""," - "&amp;INDEX(BDHK2,MATCH(H59,DiemHKII!$B$4:$B$58,0),138),""),"")</f>
        <v/>
      </c>
      <c r="I82" s="1144"/>
      <c r="J82" s="1144"/>
      <c r="K82" s="1144"/>
      <c r="L82" s="1145"/>
      <c r="M82" s="89"/>
      <c r="N82" s="1143" t="str">
        <f>IF(N59&lt;&gt;"",IF(INDEX(BDHK2,MATCH(N59,DiemHKII!$B$4:$B$58,0),138)&lt;&gt;""," - "&amp;INDEX(BDHK2,MATCH(N59,DiemHKII!$B$4:$B$58,0),138),""),"")</f>
        <v/>
      </c>
      <c r="O82" s="1144"/>
      <c r="P82" s="1144"/>
      <c r="Q82" s="1144"/>
      <c r="R82" s="1145"/>
      <c r="S82" s="89"/>
    </row>
    <row r="83" spans="1:19" s="251" customFormat="1" ht="15.6" customHeight="1">
      <c r="A83" s="89"/>
      <c r="B83" s="1143" t="str">
        <f>IF(B59&lt;&gt;"",IF(INDEX(BDHK2,MATCH(B59,DiemHKII!$B$4:$B$58,0),139)&lt;&gt;""," - "&amp;INDEX(BDHK2,MATCH(B59,DiemHKII!$B$4:$B$58,0),139),""),"")</f>
        <v/>
      </c>
      <c r="C83" s="1144"/>
      <c r="D83" s="1144"/>
      <c r="E83" s="1144"/>
      <c r="F83" s="1145"/>
      <c r="G83" s="89"/>
      <c r="H83" s="1143" t="str">
        <f>IF(H59&lt;&gt;"",IF(INDEX(BDHK2,MATCH(H59,DiemHKII!$B$4:$B$58,0),139)&lt;&gt;""," - "&amp;INDEX(BDHK2,MATCH(H59,DiemHKII!$B$4:$B$58,0),139),""),"")</f>
        <v/>
      </c>
      <c r="I83" s="1144"/>
      <c r="J83" s="1144"/>
      <c r="K83" s="1144"/>
      <c r="L83" s="1145"/>
      <c r="M83" s="89"/>
      <c r="N83" s="1143" t="str">
        <f>IF(N59&lt;&gt;"",IF(INDEX(BDHK2,MATCH(N59,DiemHKII!$B$4:$B$58,0),139)&lt;&gt;""," - "&amp;INDEX(BDHK2,MATCH(N59,DiemHKII!$B$4:$B$58,0),139),""),"")</f>
        <v/>
      </c>
      <c r="O83" s="1144"/>
      <c r="P83" s="1144"/>
      <c r="Q83" s="1144"/>
      <c r="R83" s="1145"/>
      <c r="S83" s="89"/>
    </row>
    <row r="84" spans="1:19" s="251" customFormat="1" ht="15.6" customHeight="1">
      <c r="A84" s="89"/>
      <c r="B84" s="1143" t="str">
        <f>IF(B59&lt;&gt;"",IF(INDEX(BDHK2,MATCH(B59,DiemHKII!$B$4:$B$58,0),140)&lt;&gt;""," - "&amp;INDEX(BDHK2,MATCH(B59,DiemHKII!$B$4:$B$58,0),140),""),"")</f>
        <v/>
      </c>
      <c r="C84" s="1144"/>
      <c r="D84" s="1144"/>
      <c r="E84" s="1144"/>
      <c r="F84" s="1145"/>
      <c r="G84" s="89"/>
      <c r="H84" s="1143" t="str">
        <f>IF(H59&lt;&gt;"",IF(INDEX(BDHK2,MATCH(H59,DiemHKII!$B$4:$B$58,0),140)&lt;&gt;""," - "&amp;INDEX(BDHK2,MATCH(H59,DiemHKII!$B$4:$B$58,0),140),""),"")</f>
        <v/>
      </c>
      <c r="I84" s="1144"/>
      <c r="J84" s="1144"/>
      <c r="K84" s="1144"/>
      <c r="L84" s="1145"/>
      <c r="M84" s="89"/>
      <c r="N84" s="1143" t="str">
        <f>IF(N59&lt;&gt;"",IF(INDEX(BDHK2,MATCH(N59,DiemHKII!$B$4:$B$58,0),140)&lt;&gt;""," - "&amp;INDEX(BDHK2,MATCH(N59,DiemHKII!$B$4:$B$58,0),140),""),"")</f>
        <v/>
      </c>
      <c r="O84" s="1144"/>
      <c r="P84" s="1144"/>
      <c r="Q84" s="1144"/>
      <c r="R84" s="1145"/>
      <c r="S84" s="89"/>
    </row>
    <row r="85" spans="1:19" ht="8.25" customHeight="1">
      <c r="A85" s="88"/>
      <c r="B85" s="83"/>
      <c r="C85" s="84"/>
      <c r="D85" s="84"/>
      <c r="E85" s="84"/>
      <c r="F85" s="85"/>
      <c r="G85" s="88"/>
      <c r="H85" s="83"/>
      <c r="I85" s="84"/>
      <c r="J85" s="84"/>
      <c r="K85" s="84"/>
      <c r="L85" s="85"/>
      <c r="M85" s="88"/>
      <c r="N85" s="83"/>
      <c r="O85" s="84"/>
      <c r="P85" s="84"/>
      <c r="Q85" s="84"/>
      <c r="R85" s="85"/>
      <c r="S85" s="88"/>
    </row>
    <row r="86" spans="1:19" ht="6.75" customHeight="1">
      <c r="A86" s="88"/>
      <c r="B86" s="87"/>
      <c r="C86" s="87"/>
      <c r="D86" s="1135"/>
      <c r="E86" s="1135"/>
      <c r="F86" s="1135"/>
      <c r="G86" s="88"/>
      <c r="H86" s="87"/>
      <c r="I86" s="87"/>
      <c r="J86" s="1135"/>
      <c r="K86" s="1135"/>
      <c r="L86" s="1135"/>
      <c r="M86" s="88"/>
      <c r="N86" s="87"/>
      <c r="O86" s="87"/>
      <c r="P86" s="1135"/>
      <c r="Q86" s="1135"/>
      <c r="R86" s="1135"/>
      <c r="S86" s="88"/>
    </row>
    <row r="87" spans="1:19" ht="18" customHeight="1">
      <c r="A87" s="88"/>
      <c r="B87" s="477">
        <f>IF(N59="","",IF(N59&lt;MAX(DiemHKII!$B$4:$B$58),N59+1,""))</f>
        <v>10</v>
      </c>
      <c r="C87" s="1140" t="str">
        <f>IF(B87="","",INDEX(DiemHKII!$E$4:$E$58,MATCH(B87,DiemHKII!$B$4:$B$58,0),1)&amp;" "&amp;INDEX(DiemHKII!$F$4:$F$58,MATCH(B87,DiemHKII!$B$4:$B$58,0),1))</f>
        <v>Trương Đắc Điền</v>
      </c>
      <c r="D87" s="1141"/>
      <c r="E87" s="1142"/>
      <c r="F87" s="86" t="str">
        <f>IF('Huong dan'!$C$3="","",'Huong dan'!$C$3)</f>
        <v>12A1</v>
      </c>
      <c r="G87" s="88"/>
      <c r="H87" s="477">
        <f>IF(B87="","",IF(B87&lt;MAX(DiemHKII!$B$4:$B$58),B87+1,""))</f>
        <v>11</v>
      </c>
      <c r="I87" s="1140" t="str">
        <f>IF(H87="","",INDEX(DiemHKII!$E$4:$E$58,MATCH(H87,DiemHKII!$B$4:$B$58,0),1)&amp;" "&amp;INDEX(DiemHKII!$F$4:$F$58,MATCH(H87,DiemHKII!$B$4:$B$58,0),1))</f>
        <v>Hồ Ngọc Hải</v>
      </c>
      <c r="J87" s="1141"/>
      <c r="K87" s="1142"/>
      <c r="L87" s="86" t="str">
        <f>IF('Huong dan'!$C$3="","",'Huong dan'!$C$3)</f>
        <v>12A1</v>
      </c>
      <c r="M87" s="88"/>
      <c r="N87" s="477">
        <f>IF(H87="","",IF(H87&lt;MAX(DiemHKII!$B$4:$B$58),H87+1,""))</f>
        <v>12</v>
      </c>
      <c r="O87" s="1140" t="str">
        <f>IF(N87="","",INDEX(DiemHKII!$E$4:$E$58,MATCH(N87,DiemHKII!$B$4:$B$58,0),1)&amp;" "&amp;INDEX(DiemHKII!$F$4:$F$58,MATCH(N87,DiemHKII!$B$4:$B$58,0),1))</f>
        <v>Hồ Sơn Hậu</v>
      </c>
      <c r="P87" s="1141"/>
      <c r="Q87" s="1142"/>
      <c r="R87" s="86" t="str">
        <f>IF('Huong dan'!$C$3="","",'Huong dan'!$C$3)</f>
        <v>12A1</v>
      </c>
      <c r="S87" s="88"/>
    </row>
    <row r="88" spans="1:19" ht="18.75" customHeight="1">
      <c r="A88" s="88"/>
      <c r="B88" s="1136" t="str">
        <f>" Sinh ngày: "&amp;IF(B87="","",INDEX(DiemHKII!$G$4:$G$58,MATCH(B87,DiemHKII!$B$4:$B$58,0),1))</f>
        <v xml:space="preserve"> Sinh ngày: 08/05/2004</v>
      </c>
      <c r="C88" s="1137"/>
      <c r="D88" s="1137"/>
      <c r="E88" s="1138" t="str">
        <f>IF(B87="","","NS: "&amp;INDEX(DiemHKII!$H$4:$H$58,MATCH(B87,DiemHKII!$B$4:$B$58,0),1))</f>
        <v xml:space="preserve">NS: </v>
      </c>
      <c r="F88" s="1139"/>
      <c r="G88" s="88"/>
      <c r="H88" s="1136" t="str">
        <f>" Sinh ngày: "&amp;IF(H87="","",INDEX(DiemHKII!$G$4:$G$58,MATCH(H87,DiemHKII!$B$4:$B$58,0),1))</f>
        <v xml:space="preserve"> Sinh ngày: 25/10/2004</v>
      </c>
      <c r="I88" s="1137"/>
      <c r="J88" s="1137"/>
      <c r="K88" s="1138" t="str">
        <f>IF(H87="","","NS: "&amp;INDEX(DiemHKII!$H$4:$H$58,MATCH(H87,DiemHKII!$B$4:$B$58,0),1))</f>
        <v xml:space="preserve">NS: </v>
      </c>
      <c r="L88" s="1139"/>
      <c r="M88" s="88"/>
      <c r="N88" s="1136" t="str">
        <f>" Sinh ngày: "&amp;IF(N87="","",INDEX(DiemHKII!$G$4:$G$58,MATCH(N87,DiemHKII!$B$4:$B$58,0),1))</f>
        <v xml:space="preserve"> Sinh ngày: 08/01/2004</v>
      </c>
      <c r="O88" s="1137"/>
      <c r="P88" s="1137"/>
      <c r="Q88" s="1138" t="str">
        <f>IF(N87="","","NS: "&amp;INDEX(DiemHKII!$H$4:$H$58,MATCH(N87,DiemHKII!$B$4:$B$58,0),1))</f>
        <v xml:space="preserve">NS: </v>
      </c>
      <c r="R88" s="1139"/>
      <c r="S88" s="88"/>
    </row>
    <row r="89" spans="1:19" ht="15.75" customHeight="1">
      <c r="A89" s="88"/>
      <c r="B89" s="381" t="s">
        <v>0</v>
      </c>
      <c r="C89" s="381" t="s">
        <v>59</v>
      </c>
      <c r="D89" s="381" t="s">
        <v>73</v>
      </c>
      <c r="E89" s="381" t="s">
        <v>176</v>
      </c>
      <c r="F89" s="381" t="s">
        <v>98</v>
      </c>
      <c r="G89" s="88"/>
      <c r="H89" s="381" t="s">
        <v>0</v>
      </c>
      <c r="I89" s="381" t="s">
        <v>59</v>
      </c>
      <c r="J89" s="381" t="s">
        <v>73</v>
      </c>
      <c r="K89" s="381" t="s">
        <v>176</v>
      </c>
      <c r="L89" s="381" t="s">
        <v>98</v>
      </c>
      <c r="M89" s="88"/>
      <c r="N89" s="381" t="s">
        <v>0</v>
      </c>
      <c r="O89" s="381" t="s">
        <v>59</v>
      </c>
      <c r="P89" s="381" t="s">
        <v>73</v>
      </c>
      <c r="Q89" s="381" t="s">
        <v>176</v>
      </c>
      <c r="R89" s="381" t="s">
        <v>98</v>
      </c>
      <c r="S89" s="88"/>
    </row>
    <row r="90" spans="1:19" ht="15.6" customHeight="1">
      <c r="A90" s="88"/>
      <c r="B90" s="79" t="s">
        <v>191</v>
      </c>
      <c r="C90" s="81" t="s">
        <v>26</v>
      </c>
      <c r="D90" s="35">
        <f>IF(B87&lt;&gt;"",IF(INDEX(BDHK2,MATCH(B87,DiemHKII!$B$4:$B$58,0),INDEX($Y$7:$AB$20,MATCH(C90,$Y$7:$Y$20,0),$Z$6))&lt;&gt;"",INDEX(BDHK2,MATCH(B87,DiemHKII!$B$4:$B$58,0),INDEX($Y$7:$AB$20,MATCH(C90,$Y$7:$Y$20,0),$Z$6)),"/"),"")</f>
        <v>9.4</v>
      </c>
      <c r="E90" s="35" t="str">
        <f>IF(B87&lt;&gt;"",IF(INDEX(BDHK2,MATCH(B87,DiemHKII!$B$4:$B$58,0),INDEX($Y$7:$AB$20,MATCH(C90,$Y$7:$Y$20,0),$AA$6))&lt;&gt;"",INDEX(BDHK2,MATCH(B87,DiemHKII!$B$4:$B$58,0),INDEX($Y$7:$AB$20,MATCH(C90,$Y$7:$Y$20,0),$AA$6)),"/"),"")</f>
        <v>/</v>
      </c>
      <c r="F90" s="35" t="str">
        <f>IF(B87&lt;&gt;"",IF(INDEX(BDHK2,MATCH(B87,DiemHKII!$B$4:$B$58,0),INDEX($Y$7:$AB$20,MATCH(C90,$Y$7:$Y$20,0),$AB$6))&lt;&gt;"",INDEX(BDHK2,MATCH(B87,DiemHKII!$B$4:$B$58,0),INDEX($Y$7:$AB$20,MATCH(C90,$Y$7:$Y$20,0),$AB$6)),"/"),"")</f>
        <v>/</v>
      </c>
      <c r="G90" s="88"/>
      <c r="H90" s="79" t="s">
        <v>191</v>
      </c>
      <c r="I90" s="81" t="s">
        <v>26</v>
      </c>
      <c r="J90" s="35">
        <f>IF(H87&lt;&gt;"",IF(INDEX(BDHK2,MATCH(H87,DiemHKII!$B$4:$B$58,0),INDEX($Y$7:$AB$20,MATCH(I90,$Y$7:$Y$20,0),$Z$6))&lt;&gt;"",INDEX(BDHK2,MATCH(H87,DiemHKII!$B$4:$B$58,0),INDEX($Y$7:$AB$20,MATCH(I90,$Y$7:$Y$20,0),$Z$6)),"/"),"")</f>
        <v>9.6</v>
      </c>
      <c r="K90" s="35" t="str">
        <f>IF(H87&lt;&gt;"",IF(INDEX(BDHK2,MATCH(H87,DiemHKII!$B$4:$B$58,0),INDEX($Y$7:$AB$20,MATCH(I90,$Y$7:$Y$20,0),$AA$6))&lt;&gt;"",INDEX(BDHK2,MATCH(H87,DiemHKII!$B$4:$B$58,0),INDEX($Y$7:$AB$20,MATCH(I90,$Y$7:$Y$20,0),$AA$6)),"/"),"")</f>
        <v>/</v>
      </c>
      <c r="L90" s="35" t="str">
        <f>IF(H87&lt;&gt;"",IF(INDEX(BDHK2,MATCH(H87,DiemHKII!$B$4:$B$58,0),INDEX($Y$7:$AB$20,MATCH(I90,$Y$7:$Y$20,0),$AB$6))&lt;&gt;"",INDEX(BDHK2,MATCH(H87,DiemHKII!$B$4:$B$58,0),INDEX($Y$7:$AB$20,MATCH(I90,$Y$7:$Y$20,0),$AB$6)),"/"),"")</f>
        <v>/</v>
      </c>
      <c r="M90" s="88"/>
      <c r="N90" s="79" t="s">
        <v>191</v>
      </c>
      <c r="O90" s="81" t="s">
        <v>26</v>
      </c>
      <c r="P90" s="35">
        <f>IF(N87&lt;&gt;"",IF(INDEX(BDHK2,MATCH(N87,DiemHKII!$B$4:$B$58,0),INDEX($Y$7:$AB$20,MATCH(O90,$Y$7:$Y$20,0),$Z$6))&lt;&gt;"",INDEX(BDHK2,MATCH(N87,DiemHKII!$B$4:$B$58,0),INDEX($Y$7:$AB$20,MATCH(O90,$Y$7:$Y$20,0),$Z$6)),"/"),"")</f>
        <v>9.4</v>
      </c>
      <c r="Q90" s="35" t="str">
        <f>IF(N87&lt;&gt;"",IF(INDEX(BDHK2,MATCH(N87,DiemHKII!$B$4:$B$58,0),INDEX($Y$7:$AB$20,MATCH(O90,$Y$7:$Y$20,0),$AA$6))&lt;&gt;"",INDEX(BDHK2,MATCH(N87,DiemHKII!$B$4:$B$58,0),INDEX($Y$7:$AB$20,MATCH(O90,$Y$7:$Y$20,0),$AA$6)),"/"),"")</f>
        <v>/</v>
      </c>
      <c r="R90" s="35" t="str">
        <f>IF(N87&lt;&gt;"",IF(INDEX(BDHK2,MATCH(N87,DiemHKII!$B$4:$B$58,0),INDEX($Y$7:$AB$20,MATCH(O90,$Y$7:$Y$20,0),$AB$6))&lt;&gt;"",INDEX(BDHK2,MATCH(N87,DiemHKII!$B$4:$B$58,0),INDEX($Y$7:$AB$20,MATCH(O90,$Y$7:$Y$20,0),$AB$6)),"/"),"")</f>
        <v>/</v>
      </c>
      <c r="S90" s="88"/>
    </row>
    <row r="91" spans="1:19" ht="15.6" customHeight="1">
      <c r="A91" s="88"/>
      <c r="B91" s="79" t="s">
        <v>192</v>
      </c>
      <c r="C91" s="81" t="s">
        <v>27</v>
      </c>
      <c r="D91" s="35">
        <f>IF(B87&lt;&gt;"",IF(INDEX(BDHK2,MATCH(B87,DiemHKII!$B$4:$B$58,0),INDEX($Y$7:$AB$20,MATCH(C91,$Y$7:$Y$20,0),$Z$6))&lt;&gt;"",INDEX(BDHK2,MATCH(B87,DiemHKII!$B$4:$B$58,0),INDEX($Y$7:$AB$20,MATCH(C91,$Y$7:$Y$20,0),$Z$6)),"/"),"")</f>
        <v>9.5</v>
      </c>
      <c r="E91" s="35" t="str">
        <f>IF(B87&lt;&gt;"",IF(INDEX(BDHK2,MATCH(B87,DiemHKII!$B$4:$B$58,0),INDEX($Y$7:$AB$20,MATCH(C91,$Y$7:$Y$20,0),$AA$6))&lt;&gt;"",INDEX(BDHK2,MATCH(B87,DiemHKII!$B$4:$B$58,0),INDEX($Y$7:$AB$20,MATCH(C91,$Y$7:$Y$20,0),$AA$6)),"/"),"")</f>
        <v>/</v>
      </c>
      <c r="F91" s="35" t="str">
        <f>IF(B87&lt;&gt;"",IF(INDEX(BDHK2,MATCH(B87,DiemHKII!$B$4:$B$58,0),INDEX($Y$7:$AB$20,MATCH(C91,$Y$7:$Y$20,0),$AB$6))&lt;&gt;"",INDEX(BDHK2,MATCH(B87,DiemHKII!$B$4:$B$58,0),INDEX($Y$7:$AB$20,MATCH(C91,$Y$7:$Y$20,0),$AB$6)),"/"),"")</f>
        <v>/</v>
      </c>
      <c r="G91" s="88"/>
      <c r="H91" s="79" t="s">
        <v>192</v>
      </c>
      <c r="I91" s="81" t="s">
        <v>27</v>
      </c>
      <c r="J91" s="35">
        <f>IF(H87&lt;&gt;"",IF(INDEX(BDHK2,MATCH(H87,DiemHKII!$B$4:$B$58,0),INDEX($Y$7:$AB$20,MATCH(I91,$Y$7:$Y$20,0),$Z$6))&lt;&gt;"",INDEX(BDHK2,MATCH(H87,DiemHKII!$B$4:$B$58,0),INDEX($Y$7:$AB$20,MATCH(I91,$Y$7:$Y$20,0),$Z$6)),"/"),"")</f>
        <v>9.3000000000000007</v>
      </c>
      <c r="K91" s="35" t="str">
        <f>IF(H87&lt;&gt;"",IF(INDEX(BDHK2,MATCH(H87,DiemHKII!$B$4:$B$58,0),INDEX($Y$7:$AB$20,MATCH(I91,$Y$7:$Y$20,0),$AA$6))&lt;&gt;"",INDEX(BDHK2,MATCH(H87,DiemHKII!$B$4:$B$58,0),INDEX($Y$7:$AB$20,MATCH(I91,$Y$7:$Y$20,0),$AA$6)),"/"),"")</f>
        <v>/</v>
      </c>
      <c r="L91" s="35" t="str">
        <f>IF(H87&lt;&gt;"",IF(INDEX(BDHK2,MATCH(H87,DiemHKII!$B$4:$B$58,0),INDEX($Y$7:$AB$20,MATCH(I91,$Y$7:$Y$20,0),$AB$6))&lt;&gt;"",INDEX(BDHK2,MATCH(H87,DiemHKII!$B$4:$B$58,0),INDEX($Y$7:$AB$20,MATCH(I91,$Y$7:$Y$20,0),$AB$6)),"/"),"")</f>
        <v>/</v>
      </c>
      <c r="M91" s="88"/>
      <c r="N91" s="79" t="s">
        <v>192</v>
      </c>
      <c r="O91" s="81" t="s">
        <v>27</v>
      </c>
      <c r="P91" s="35">
        <f>IF(N87&lt;&gt;"",IF(INDEX(BDHK2,MATCH(N87,DiemHKII!$B$4:$B$58,0),INDEX($Y$7:$AB$20,MATCH(O91,$Y$7:$Y$20,0),$Z$6))&lt;&gt;"",INDEX(BDHK2,MATCH(N87,DiemHKII!$B$4:$B$58,0),INDEX($Y$7:$AB$20,MATCH(O91,$Y$7:$Y$20,0),$Z$6)),"/"),"")</f>
        <v>9.6</v>
      </c>
      <c r="Q91" s="35" t="str">
        <f>IF(N87&lt;&gt;"",IF(INDEX(BDHK2,MATCH(N87,DiemHKII!$B$4:$B$58,0),INDEX($Y$7:$AB$20,MATCH(O91,$Y$7:$Y$20,0),$AA$6))&lt;&gt;"",INDEX(BDHK2,MATCH(N87,DiemHKII!$B$4:$B$58,0),INDEX($Y$7:$AB$20,MATCH(O91,$Y$7:$Y$20,0),$AA$6)),"/"),"")</f>
        <v>/</v>
      </c>
      <c r="R91" s="35" t="str">
        <f>IF(N87&lt;&gt;"",IF(INDEX(BDHK2,MATCH(N87,DiemHKII!$B$4:$B$58,0),INDEX($Y$7:$AB$20,MATCH(O91,$Y$7:$Y$20,0),$AB$6))&lt;&gt;"",INDEX(BDHK2,MATCH(N87,DiemHKII!$B$4:$B$58,0),INDEX($Y$7:$AB$20,MATCH(O91,$Y$7:$Y$20,0),$AB$6)),"/"),"")</f>
        <v>/</v>
      </c>
      <c r="S91" s="88"/>
    </row>
    <row r="92" spans="1:19" ht="15.6" customHeight="1">
      <c r="A92" s="88"/>
      <c r="B92" s="79" t="s">
        <v>193</v>
      </c>
      <c r="C92" s="81" t="s">
        <v>28</v>
      </c>
      <c r="D92" s="35">
        <f>IF(B87&lt;&gt;"",IF(INDEX(BDHK2,MATCH(B87,DiemHKII!$B$4:$B$58,0),INDEX($Y$7:$AB$20,MATCH(C92,$Y$7:$Y$20,0),$Z$6))&lt;&gt;"",INDEX(BDHK2,MATCH(B87,DiemHKII!$B$4:$B$58,0),INDEX($Y$7:$AB$20,MATCH(C92,$Y$7:$Y$20,0),$Z$6)),"/"),"")</f>
        <v>9.6</v>
      </c>
      <c r="E92" s="35" t="str">
        <f>IF(B87&lt;&gt;"",IF(INDEX(BDHK2,MATCH(B87,DiemHKII!$B$4:$B$58,0),INDEX($Y$7:$AB$20,MATCH(C92,$Y$7:$Y$20,0),$AA$6))&lt;&gt;"",INDEX(BDHK2,MATCH(B87,DiemHKII!$B$4:$B$58,0),INDEX($Y$7:$AB$20,MATCH(C92,$Y$7:$Y$20,0),$AA$6)),"/"),"")</f>
        <v>/</v>
      </c>
      <c r="F92" s="35" t="str">
        <f>IF(B87&lt;&gt;"",IF(INDEX(BDHK2,MATCH(B87,DiemHKII!$B$4:$B$58,0),INDEX($Y$7:$AB$20,MATCH(C92,$Y$7:$Y$20,0),$AB$6))&lt;&gt;"",INDEX(BDHK2,MATCH(B87,DiemHKII!$B$4:$B$58,0),INDEX($Y$7:$AB$20,MATCH(C92,$Y$7:$Y$20,0),$AB$6)),"/"),"")</f>
        <v>/</v>
      </c>
      <c r="G92" s="88"/>
      <c r="H92" s="79" t="s">
        <v>193</v>
      </c>
      <c r="I92" s="81" t="s">
        <v>28</v>
      </c>
      <c r="J92" s="35">
        <f>IF(H87&lt;&gt;"",IF(INDEX(BDHK2,MATCH(H87,DiemHKII!$B$4:$B$58,0),INDEX($Y$7:$AB$20,MATCH(I92,$Y$7:$Y$20,0),$Z$6))&lt;&gt;"",INDEX(BDHK2,MATCH(H87,DiemHKII!$B$4:$B$58,0),INDEX($Y$7:$AB$20,MATCH(I92,$Y$7:$Y$20,0),$Z$6)),"/"),"")</f>
        <v>8.9</v>
      </c>
      <c r="K92" s="35" t="str">
        <f>IF(H87&lt;&gt;"",IF(INDEX(BDHK2,MATCH(H87,DiemHKII!$B$4:$B$58,0),INDEX($Y$7:$AB$20,MATCH(I92,$Y$7:$Y$20,0),$AA$6))&lt;&gt;"",INDEX(BDHK2,MATCH(H87,DiemHKII!$B$4:$B$58,0),INDEX($Y$7:$AB$20,MATCH(I92,$Y$7:$Y$20,0),$AA$6)),"/"),"")</f>
        <v>/</v>
      </c>
      <c r="L92" s="35" t="str">
        <f>IF(H87&lt;&gt;"",IF(INDEX(BDHK2,MATCH(H87,DiemHKII!$B$4:$B$58,0),INDEX($Y$7:$AB$20,MATCH(I92,$Y$7:$Y$20,0),$AB$6))&lt;&gt;"",INDEX(BDHK2,MATCH(H87,DiemHKII!$B$4:$B$58,0),INDEX($Y$7:$AB$20,MATCH(I92,$Y$7:$Y$20,0),$AB$6)),"/"),"")</f>
        <v>/</v>
      </c>
      <c r="M92" s="88"/>
      <c r="N92" s="79" t="s">
        <v>193</v>
      </c>
      <c r="O92" s="81" t="s">
        <v>28</v>
      </c>
      <c r="P92" s="35">
        <f>IF(N87&lt;&gt;"",IF(INDEX(BDHK2,MATCH(N87,DiemHKII!$B$4:$B$58,0),INDEX($Y$7:$AB$20,MATCH(O92,$Y$7:$Y$20,0),$Z$6))&lt;&gt;"",INDEX(BDHK2,MATCH(N87,DiemHKII!$B$4:$B$58,0),INDEX($Y$7:$AB$20,MATCH(O92,$Y$7:$Y$20,0),$Z$6)),"/"),"")</f>
        <v>9.1</v>
      </c>
      <c r="Q92" s="35" t="str">
        <f>IF(N87&lt;&gt;"",IF(INDEX(BDHK2,MATCH(N87,DiemHKII!$B$4:$B$58,0),INDEX($Y$7:$AB$20,MATCH(O92,$Y$7:$Y$20,0),$AA$6))&lt;&gt;"",INDEX(BDHK2,MATCH(N87,DiemHKII!$B$4:$B$58,0),INDEX($Y$7:$AB$20,MATCH(O92,$Y$7:$Y$20,0),$AA$6)),"/"),"")</f>
        <v>/</v>
      </c>
      <c r="R92" s="35" t="str">
        <f>IF(N87&lt;&gt;"",IF(INDEX(BDHK2,MATCH(N87,DiemHKII!$B$4:$B$58,0),INDEX($Y$7:$AB$20,MATCH(O92,$Y$7:$Y$20,0),$AB$6))&lt;&gt;"",INDEX(BDHK2,MATCH(N87,DiemHKII!$B$4:$B$58,0),INDEX($Y$7:$AB$20,MATCH(O92,$Y$7:$Y$20,0),$AB$6)),"/"),"")</f>
        <v>/</v>
      </c>
      <c r="S92" s="88"/>
    </row>
    <row r="93" spans="1:19" ht="15.6" customHeight="1">
      <c r="A93" s="88"/>
      <c r="B93" s="79" t="s">
        <v>194</v>
      </c>
      <c r="C93" s="81" t="s">
        <v>29</v>
      </c>
      <c r="D93" s="35">
        <f>IF(B87&lt;&gt;"",IF(INDEX(BDHK2,MATCH(B87,DiemHKII!$B$4:$B$58,0),INDEX($Y$7:$AB$20,MATCH(C93,$Y$7:$Y$20,0),$Z$6))&lt;&gt;"",INDEX(BDHK2,MATCH(B87,DiemHKII!$B$4:$B$58,0),INDEX($Y$7:$AB$20,MATCH(C93,$Y$7:$Y$20,0),$Z$6)),"/"),"")</f>
        <v>9.1</v>
      </c>
      <c r="E93" s="35" t="str">
        <f>IF(B87&lt;&gt;"",IF(INDEX(BDHK2,MATCH(B87,DiemHKII!$B$4:$B$58,0),INDEX($Y$7:$AB$20,MATCH(C93,$Y$7:$Y$20,0),$AA$6))&lt;&gt;"",INDEX(BDHK2,MATCH(B87,DiemHKII!$B$4:$B$58,0),INDEX($Y$7:$AB$20,MATCH(C93,$Y$7:$Y$20,0),$AA$6)),"/"),"")</f>
        <v>/</v>
      </c>
      <c r="F93" s="35" t="str">
        <f>IF(B87&lt;&gt;"",IF(INDEX(BDHK2,MATCH(B87,DiemHKII!$B$4:$B$58,0),INDEX($Y$7:$AB$20,MATCH(C93,$Y$7:$Y$20,0),$AB$6))&lt;&gt;"",INDEX(BDHK2,MATCH(B87,DiemHKII!$B$4:$B$58,0),INDEX($Y$7:$AB$20,MATCH(C93,$Y$7:$Y$20,0),$AB$6)),"/"),"")</f>
        <v>/</v>
      </c>
      <c r="G93" s="88"/>
      <c r="H93" s="79" t="s">
        <v>194</v>
      </c>
      <c r="I93" s="81" t="s">
        <v>29</v>
      </c>
      <c r="J93" s="35">
        <f>IF(H87&lt;&gt;"",IF(INDEX(BDHK2,MATCH(H87,DiemHKII!$B$4:$B$58,0),INDEX($Y$7:$AB$20,MATCH(I93,$Y$7:$Y$20,0),$Z$6))&lt;&gt;"",INDEX(BDHK2,MATCH(H87,DiemHKII!$B$4:$B$58,0),INDEX($Y$7:$AB$20,MATCH(I93,$Y$7:$Y$20,0),$Z$6)),"/"),"")</f>
        <v>9.4</v>
      </c>
      <c r="K93" s="35" t="str">
        <f>IF(H87&lt;&gt;"",IF(INDEX(BDHK2,MATCH(H87,DiemHKII!$B$4:$B$58,0),INDEX($Y$7:$AB$20,MATCH(I93,$Y$7:$Y$20,0),$AA$6))&lt;&gt;"",INDEX(BDHK2,MATCH(H87,DiemHKII!$B$4:$B$58,0),INDEX($Y$7:$AB$20,MATCH(I93,$Y$7:$Y$20,0),$AA$6)),"/"),"")</f>
        <v>/</v>
      </c>
      <c r="L93" s="35" t="str">
        <f>IF(H87&lt;&gt;"",IF(INDEX(BDHK2,MATCH(H87,DiemHKII!$B$4:$B$58,0),INDEX($Y$7:$AB$20,MATCH(I93,$Y$7:$Y$20,0),$AB$6))&lt;&gt;"",INDEX(BDHK2,MATCH(H87,DiemHKII!$B$4:$B$58,0),INDEX($Y$7:$AB$20,MATCH(I93,$Y$7:$Y$20,0),$AB$6)),"/"),"")</f>
        <v>/</v>
      </c>
      <c r="M93" s="88"/>
      <c r="N93" s="79" t="s">
        <v>194</v>
      </c>
      <c r="O93" s="81" t="s">
        <v>29</v>
      </c>
      <c r="P93" s="35">
        <f>IF(N87&lt;&gt;"",IF(INDEX(BDHK2,MATCH(N87,DiemHKII!$B$4:$B$58,0),INDEX($Y$7:$AB$20,MATCH(O93,$Y$7:$Y$20,0),$Z$6))&lt;&gt;"",INDEX(BDHK2,MATCH(N87,DiemHKII!$B$4:$B$58,0),INDEX($Y$7:$AB$20,MATCH(O93,$Y$7:$Y$20,0),$Z$6)),"/"),"")</f>
        <v>9.1</v>
      </c>
      <c r="Q93" s="35" t="str">
        <f>IF(N87&lt;&gt;"",IF(INDEX(BDHK2,MATCH(N87,DiemHKII!$B$4:$B$58,0),INDEX($Y$7:$AB$20,MATCH(O93,$Y$7:$Y$20,0),$AA$6))&lt;&gt;"",INDEX(BDHK2,MATCH(N87,DiemHKII!$B$4:$B$58,0),INDEX($Y$7:$AB$20,MATCH(O93,$Y$7:$Y$20,0),$AA$6)),"/"),"")</f>
        <v>/</v>
      </c>
      <c r="R93" s="35" t="str">
        <f>IF(N87&lt;&gt;"",IF(INDEX(BDHK2,MATCH(N87,DiemHKII!$B$4:$B$58,0),INDEX($Y$7:$AB$20,MATCH(O93,$Y$7:$Y$20,0),$AB$6))&lt;&gt;"",INDEX(BDHK2,MATCH(N87,DiemHKII!$B$4:$B$58,0),INDEX($Y$7:$AB$20,MATCH(O93,$Y$7:$Y$20,0),$AB$6)),"/"),"")</f>
        <v>/</v>
      </c>
      <c r="S93" s="88"/>
    </row>
    <row r="94" spans="1:19" ht="15.6" customHeight="1">
      <c r="A94" s="88"/>
      <c r="B94" s="79" t="s">
        <v>195</v>
      </c>
      <c r="C94" s="81" t="s">
        <v>120</v>
      </c>
      <c r="D94" s="35">
        <f>IF(B87&lt;&gt;"",IF(INDEX(BDHK2,MATCH(B87,DiemHKII!$B$4:$B$58,0),INDEX($Y$7:$AB$20,MATCH(C94,$Y$7:$Y$20,0),$Z$6))&lt;&gt;"",INDEX(BDHK2,MATCH(B87,DiemHKII!$B$4:$B$58,0),INDEX($Y$7:$AB$20,MATCH(C94,$Y$7:$Y$20,0),$Z$6)),"/"),"")</f>
        <v>9.6</v>
      </c>
      <c r="E94" s="35" t="str">
        <f>IF(B87&lt;&gt;"",IF(INDEX(BDHK2,MATCH(B87,DiemHKII!$B$4:$B$58,0),INDEX($Y$7:$AB$20,MATCH(C94,$Y$7:$Y$20,0),$AA$6))&lt;&gt;"",INDEX(BDHK2,MATCH(B87,DiemHKII!$B$4:$B$58,0),INDEX($Y$7:$AB$20,MATCH(C94,$Y$7:$Y$20,0),$AA$6)),"/"),"")</f>
        <v>/</v>
      </c>
      <c r="F94" s="35" t="str">
        <f>IF(B87&lt;&gt;"",IF(INDEX(BDHK2,MATCH(B87,DiemHKII!$B$4:$B$58,0),INDEX($Y$7:$AB$20,MATCH(C94,$Y$7:$Y$20,0),$AB$6))&lt;&gt;"",INDEX(BDHK2,MATCH(B87,DiemHKII!$B$4:$B$58,0),INDEX($Y$7:$AB$20,MATCH(C94,$Y$7:$Y$20,0),$AB$6)),"/"),"")</f>
        <v>/</v>
      </c>
      <c r="G94" s="88"/>
      <c r="H94" s="79" t="s">
        <v>195</v>
      </c>
      <c r="I94" s="81" t="s">
        <v>120</v>
      </c>
      <c r="J94" s="35">
        <f>IF(H87&lt;&gt;"",IF(INDEX(BDHK2,MATCH(H87,DiemHKII!$B$4:$B$58,0),INDEX($Y$7:$AB$20,MATCH(I94,$Y$7:$Y$20,0),$Z$6))&lt;&gt;"",INDEX(BDHK2,MATCH(H87,DiemHKII!$B$4:$B$58,0),INDEX($Y$7:$AB$20,MATCH(I94,$Y$7:$Y$20,0),$Z$6)),"/"),"")</f>
        <v>9.6</v>
      </c>
      <c r="K94" s="35" t="str">
        <f>IF(H87&lt;&gt;"",IF(INDEX(BDHK2,MATCH(H87,DiemHKII!$B$4:$B$58,0),INDEX($Y$7:$AB$20,MATCH(I94,$Y$7:$Y$20,0),$AA$6))&lt;&gt;"",INDEX(BDHK2,MATCH(H87,DiemHKII!$B$4:$B$58,0),INDEX($Y$7:$AB$20,MATCH(I94,$Y$7:$Y$20,0),$AA$6)),"/"),"")</f>
        <v>/</v>
      </c>
      <c r="L94" s="35" t="str">
        <f>IF(H87&lt;&gt;"",IF(INDEX(BDHK2,MATCH(H87,DiemHKII!$B$4:$B$58,0),INDEX($Y$7:$AB$20,MATCH(I94,$Y$7:$Y$20,0),$AB$6))&lt;&gt;"",INDEX(BDHK2,MATCH(H87,DiemHKII!$B$4:$B$58,0),INDEX($Y$7:$AB$20,MATCH(I94,$Y$7:$Y$20,0),$AB$6)),"/"),"")</f>
        <v>/</v>
      </c>
      <c r="M94" s="88"/>
      <c r="N94" s="79" t="s">
        <v>195</v>
      </c>
      <c r="O94" s="81" t="s">
        <v>120</v>
      </c>
      <c r="P94" s="35">
        <f>IF(N87&lt;&gt;"",IF(INDEX(BDHK2,MATCH(N87,DiemHKII!$B$4:$B$58,0),INDEX($Y$7:$AB$20,MATCH(O94,$Y$7:$Y$20,0),$Z$6))&lt;&gt;"",INDEX(BDHK2,MATCH(N87,DiemHKII!$B$4:$B$58,0),INDEX($Y$7:$AB$20,MATCH(O94,$Y$7:$Y$20,0),$Z$6)),"/"),"")</f>
        <v>9.6</v>
      </c>
      <c r="Q94" s="35" t="str">
        <f>IF(N87&lt;&gt;"",IF(INDEX(BDHK2,MATCH(N87,DiemHKII!$B$4:$B$58,0),INDEX($Y$7:$AB$20,MATCH(O94,$Y$7:$Y$20,0),$AA$6))&lt;&gt;"",INDEX(BDHK2,MATCH(N87,DiemHKII!$B$4:$B$58,0),INDEX($Y$7:$AB$20,MATCH(O94,$Y$7:$Y$20,0),$AA$6)),"/"),"")</f>
        <v>/</v>
      </c>
      <c r="R94" s="35" t="str">
        <f>IF(N87&lt;&gt;"",IF(INDEX(BDHK2,MATCH(N87,DiemHKII!$B$4:$B$58,0),INDEX($Y$7:$AB$20,MATCH(O94,$Y$7:$Y$20,0),$AB$6))&lt;&gt;"",INDEX(BDHK2,MATCH(N87,DiemHKII!$B$4:$B$58,0),INDEX($Y$7:$AB$20,MATCH(O94,$Y$7:$Y$20,0),$AB$6)),"/"),"")</f>
        <v>/</v>
      </c>
      <c r="S94" s="88"/>
    </row>
    <row r="95" spans="1:19" ht="15.6" customHeight="1">
      <c r="A95" s="88"/>
      <c r="B95" s="79" t="s">
        <v>196</v>
      </c>
      <c r="C95" s="81" t="s">
        <v>30</v>
      </c>
      <c r="D95" s="35">
        <f>IF(B87&lt;&gt;"",IF(INDEX(BDHK2,MATCH(B87,DiemHKII!$B$4:$B$58,0),INDEX($Y$7:$AB$20,MATCH(C95,$Y$7:$Y$20,0),$Z$6))&lt;&gt;"",INDEX(BDHK2,MATCH(B87,DiemHKII!$B$4:$B$58,0),INDEX($Y$7:$AB$20,MATCH(C95,$Y$7:$Y$20,0),$Z$6)),"/"),"")</f>
        <v>7.8</v>
      </c>
      <c r="E95" s="35" t="str">
        <f>IF(B87&lt;&gt;"",IF(INDEX(BDHK2,MATCH(B87,DiemHKII!$B$4:$B$58,0),INDEX($Y$7:$AB$20,MATCH(C95,$Y$7:$Y$20,0),$AA$6))&lt;&gt;"",INDEX(BDHK2,MATCH(B87,DiemHKII!$B$4:$B$58,0),INDEX($Y$7:$AB$20,MATCH(C95,$Y$7:$Y$20,0),$AA$6)),"/"),"")</f>
        <v>/</v>
      </c>
      <c r="F95" s="35" t="str">
        <f>IF(B87&lt;&gt;"",IF(INDEX(BDHK2,MATCH(B87,DiemHKII!$B$4:$B$58,0),INDEX($Y$7:$AB$20,MATCH(C95,$Y$7:$Y$20,0),$AB$6))&lt;&gt;"",INDEX(BDHK2,MATCH(B87,DiemHKII!$B$4:$B$58,0),INDEX($Y$7:$AB$20,MATCH(C95,$Y$7:$Y$20,0),$AB$6)),"/"),"")</f>
        <v>/</v>
      </c>
      <c r="G95" s="88"/>
      <c r="H95" s="79" t="s">
        <v>196</v>
      </c>
      <c r="I95" s="81" t="s">
        <v>30</v>
      </c>
      <c r="J95" s="35">
        <f>IF(H87&lt;&gt;"",IF(INDEX(BDHK2,MATCH(H87,DiemHKII!$B$4:$B$58,0),INDEX($Y$7:$AB$20,MATCH(I95,$Y$7:$Y$20,0),$Z$6))&lt;&gt;"",INDEX(BDHK2,MATCH(H87,DiemHKII!$B$4:$B$58,0),INDEX($Y$7:$AB$20,MATCH(I95,$Y$7:$Y$20,0),$Z$6)),"/"),"")</f>
        <v>7.1</v>
      </c>
      <c r="K95" s="35" t="str">
        <f>IF(H87&lt;&gt;"",IF(INDEX(BDHK2,MATCH(H87,DiemHKII!$B$4:$B$58,0),INDEX($Y$7:$AB$20,MATCH(I95,$Y$7:$Y$20,0),$AA$6))&lt;&gt;"",INDEX(BDHK2,MATCH(H87,DiemHKII!$B$4:$B$58,0),INDEX($Y$7:$AB$20,MATCH(I95,$Y$7:$Y$20,0),$AA$6)),"/"),"")</f>
        <v>/</v>
      </c>
      <c r="L95" s="35" t="str">
        <f>IF(H87&lt;&gt;"",IF(INDEX(BDHK2,MATCH(H87,DiemHKII!$B$4:$B$58,0),INDEX($Y$7:$AB$20,MATCH(I95,$Y$7:$Y$20,0),$AB$6))&lt;&gt;"",INDEX(BDHK2,MATCH(H87,DiemHKII!$B$4:$B$58,0),INDEX($Y$7:$AB$20,MATCH(I95,$Y$7:$Y$20,0),$AB$6)),"/"),"")</f>
        <v>/</v>
      </c>
      <c r="M95" s="88"/>
      <c r="N95" s="79" t="s">
        <v>196</v>
      </c>
      <c r="O95" s="81" t="s">
        <v>30</v>
      </c>
      <c r="P95" s="35">
        <f>IF(N87&lt;&gt;"",IF(INDEX(BDHK2,MATCH(N87,DiemHKII!$B$4:$B$58,0),INDEX($Y$7:$AB$20,MATCH(O95,$Y$7:$Y$20,0),$Z$6))&lt;&gt;"",INDEX(BDHK2,MATCH(N87,DiemHKII!$B$4:$B$58,0),INDEX($Y$7:$AB$20,MATCH(O95,$Y$7:$Y$20,0),$Z$6)),"/"),"")</f>
        <v>7.4</v>
      </c>
      <c r="Q95" s="35" t="str">
        <f>IF(N87&lt;&gt;"",IF(INDEX(BDHK2,MATCH(N87,DiemHKII!$B$4:$B$58,0),INDEX($Y$7:$AB$20,MATCH(O95,$Y$7:$Y$20,0),$AA$6))&lt;&gt;"",INDEX(BDHK2,MATCH(N87,DiemHKII!$B$4:$B$58,0),INDEX($Y$7:$AB$20,MATCH(O95,$Y$7:$Y$20,0),$AA$6)),"/"),"")</f>
        <v>/</v>
      </c>
      <c r="R95" s="35" t="str">
        <f>IF(N87&lt;&gt;"",IF(INDEX(BDHK2,MATCH(N87,DiemHKII!$B$4:$B$58,0),INDEX($Y$7:$AB$20,MATCH(O95,$Y$7:$Y$20,0),$AB$6))&lt;&gt;"",INDEX(BDHK2,MATCH(N87,DiemHKII!$B$4:$B$58,0),INDEX($Y$7:$AB$20,MATCH(O95,$Y$7:$Y$20,0),$AB$6)),"/"),"")</f>
        <v>/</v>
      </c>
      <c r="S95" s="88"/>
    </row>
    <row r="96" spans="1:19" ht="15.6" customHeight="1">
      <c r="A96" s="88"/>
      <c r="B96" s="79" t="s">
        <v>197</v>
      </c>
      <c r="C96" s="81" t="s">
        <v>31</v>
      </c>
      <c r="D96" s="35">
        <f>IF(B87&lt;&gt;"",IF(INDEX(BDHK2,MATCH(B87,DiemHKII!$B$4:$B$58,0),INDEX($Y$7:$AB$20,MATCH(C96,$Y$7:$Y$20,0),$Z$6))&lt;&gt;"",INDEX(BDHK2,MATCH(B87,DiemHKII!$B$4:$B$58,0),INDEX($Y$7:$AB$20,MATCH(C96,$Y$7:$Y$20,0),$Z$6)),"/"),"")</f>
        <v>9.8000000000000007</v>
      </c>
      <c r="E96" s="35" t="str">
        <f>IF(B87&lt;&gt;"",IF(INDEX(BDHK2,MATCH(B87,DiemHKII!$B$4:$B$58,0),INDEX($Y$7:$AB$20,MATCH(C96,$Y$7:$Y$20,0),$AA$6))&lt;&gt;"",INDEX(BDHK2,MATCH(B87,DiemHKII!$B$4:$B$58,0),INDEX($Y$7:$AB$20,MATCH(C96,$Y$7:$Y$20,0),$AA$6)),"/"),"")</f>
        <v>/</v>
      </c>
      <c r="F96" s="35" t="str">
        <f>IF(B87&lt;&gt;"",IF(INDEX(BDHK2,MATCH(B87,DiemHKII!$B$4:$B$58,0),INDEX($Y$7:$AB$20,MATCH(C96,$Y$7:$Y$20,0),$AB$6))&lt;&gt;"",INDEX(BDHK2,MATCH(B87,DiemHKII!$B$4:$B$58,0),INDEX($Y$7:$AB$20,MATCH(C96,$Y$7:$Y$20,0),$AB$6)),"/"),"")</f>
        <v>/</v>
      </c>
      <c r="G96" s="88"/>
      <c r="H96" s="79" t="s">
        <v>197</v>
      </c>
      <c r="I96" s="81" t="s">
        <v>31</v>
      </c>
      <c r="J96" s="35">
        <f>IF(H87&lt;&gt;"",IF(INDEX(BDHK2,MATCH(H87,DiemHKII!$B$4:$B$58,0),INDEX($Y$7:$AB$20,MATCH(I96,$Y$7:$Y$20,0),$Z$6))&lt;&gt;"",INDEX(BDHK2,MATCH(H87,DiemHKII!$B$4:$B$58,0),INDEX($Y$7:$AB$20,MATCH(I96,$Y$7:$Y$20,0),$Z$6)),"/"),"")</f>
        <v>9.6</v>
      </c>
      <c r="K96" s="35" t="str">
        <f>IF(H87&lt;&gt;"",IF(INDEX(BDHK2,MATCH(H87,DiemHKII!$B$4:$B$58,0),INDEX($Y$7:$AB$20,MATCH(I96,$Y$7:$Y$20,0),$AA$6))&lt;&gt;"",INDEX(BDHK2,MATCH(H87,DiemHKII!$B$4:$B$58,0),INDEX($Y$7:$AB$20,MATCH(I96,$Y$7:$Y$20,0),$AA$6)),"/"),"")</f>
        <v>/</v>
      </c>
      <c r="L96" s="35" t="str">
        <f>IF(H87&lt;&gt;"",IF(INDEX(BDHK2,MATCH(H87,DiemHKII!$B$4:$B$58,0),INDEX($Y$7:$AB$20,MATCH(I96,$Y$7:$Y$20,0),$AB$6))&lt;&gt;"",INDEX(BDHK2,MATCH(H87,DiemHKII!$B$4:$B$58,0),INDEX($Y$7:$AB$20,MATCH(I96,$Y$7:$Y$20,0),$AB$6)),"/"),"")</f>
        <v>/</v>
      </c>
      <c r="M96" s="88"/>
      <c r="N96" s="79" t="s">
        <v>197</v>
      </c>
      <c r="O96" s="81" t="s">
        <v>31</v>
      </c>
      <c r="P96" s="35">
        <f>IF(N87&lt;&gt;"",IF(INDEX(BDHK2,MATCH(N87,DiemHKII!$B$4:$B$58,0),INDEX($Y$7:$AB$20,MATCH(O96,$Y$7:$Y$20,0),$Z$6))&lt;&gt;"",INDEX(BDHK2,MATCH(N87,DiemHKII!$B$4:$B$58,0),INDEX($Y$7:$AB$20,MATCH(O96,$Y$7:$Y$20,0),$Z$6)),"/"),"")</f>
        <v>9.8000000000000007</v>
      </c>
      <c r="Q96" s="35" t="str">
        <f>IF(N87&lt;&gt;"",IF(INDEX(BDHK2,MATCH(N87,DiemHKII!$B$4:$B$58,0),INDEX($Y$7:$AB$20,MATCH(O96,$Y$7:$Y$20,0),$AA$6))&lt;&gt;"",INDEX(BDHK2,MATCH(N87,DiemHKII!$B$4:$B$58,0),INDEX($Y$7:$AB$20,MATCH(O96,$Y$7:$Y$20,0),$AA$6)),"/"),"")</f>
        <v>/</v>
      </c>
      <c r="R96" s="35" t="str">
        <f>IF(N87&lt;&gt;"",IF(INDEX(BDHK2,MATCH(N87,DiemHKII!$B$4:$B$58,0),INDEX($Y$7:$AB$20,MATCH(O96,$Y$7:$Y$20,0),$AB$6))&lt;&gt;"",INDEX(BDHK2,MATCH(N87,DiemHKII!$B$4:$B$58,0),INDEX($Y$7:$AB$20,MATCH(O96,$Y$7:$Y$20,0),$AB$6)),"/"),"")</f>
        <v>/</v>
      </c>
      <c r="S96" s="88"/>
    </row>
    <row r="97" spans="1:19" ht="15.6" customHeight="1">
      <c r="A97" s="88"/>
      <c r="B97" s="79" t="s">
        <v>198</v>
      </c>
      <c r="C97" s="81" t="s">
        <v>32</v>
      </c>
      <c r="D97" s="35">
        <f>IF(B87&lt;&gt;"",IF(INDEX(BDHK2,MATCH(B87,DiemHKII!$B$4:$B$58,0),INDEX($Y$7:$AB$20,MATCH(C97,$Y$7:$Y$20,0),$Z$6))&lt;&gt;"",INDEX(BDHK2,MATCH(B87,DiemHKII!$B$4:$B$58,0),INDEX($Y$7:$AB$20,MATCH(C97,$Y$7:$Y$20,0),$Z$6)),"/"),"")</f>
        <v>9.9</v>
      </c>
      <c r="E97" s="35" t="str">
        <f>IF(B87&lt;&gt;"",IF(INDEX(BDHK2,MATCH(B87,DiemHKII!$B$4:$B$58,0),INDEX($Y$7:$AB$20,MATCH(C97,$Y$7:$Y$20,0),$AA$6))&lt;&gt;"",INDEX(BDHK2,MATCH(B87,DiemHKII!$B$4:$B$58,0),INDEX($Y$7:$AB$20,MATCH(C97,$Y$7:$Y$20,0),$AA$6)),"/"),"")</f>
        <v>/</v>
      </c>
      <c r="F97" s="35" t="str">
        <f>IF(B87&lt;&gt;"",IF(INDEX(BDHK2,MATCH(B87,DiemHKII!$B$4:$B$58,0),INDEX($Y$7:$AB$20,MATCH(C97,$Y$7:$Y$20,0),$AB$6))&lt;&gt;"",INDEX(BDHK2,MATCH(B87,DiemHKII!$B$4:$B$58,0),INDEX($Y$7:$AB$20,MATCH(C97,$Y$7:$Y$20,0),$AB$6)),"/"),"")</f>
        <v>/</v>
      </c>
      <c r="G97" s="88"/>
      <c r="H97" s="79" t="s">
        <v>198</v>
      </c>
      <c r="I97" s="81" t="s">
        <v>32</v>
      </c>
      <c r="J97" s="35">
        <f>IF(H87&lt;&gt;"",IF(INDEX(BDHK2,MATCH(H87,DiemHKII!$B$4:$B$58,0),INDEX($Y$7:$AB$20,MATCH(I97,$Y$7:$Y$20,0),$Z$6))&lt;&gt;"",INDEX(BDHK2,MATCH(H87,DiemHKII!$B$4:$B$58,0),INDEX($Y$7:$AB$20,MATCH(I97,$Y$7:$Y$20,0),$Z$6)),"/"),"")</f>
        <v>9.3000000000000007</v>
      </c>
      <c r="K97" s="35" t="str">
        <f>IF(H87&lt;&gt;"",IF(INDEX(BDHK2,MATCH(H87,DiemHKII!$B$4:$B$58,0),INDEX($Y$7:$AB$20,MATCH(I97,$Y$7:$Y$20,0),$AA$6))&lt;&gt;"",INDEX(BDHK2,MATCH(H87,DiemHKII!$B$4:$B$58,0),INDEX($Y$7:$AB$20,MATCH(I97,$Y$7:$Y$20,0),$AA$6)),"/"),"")</f>
        <v>/</v>
      </c>
      <c r="L97" s="35" t="str">
        <f>IF(H87&lt;&gt;"",IF(INDEX(BDHK2,MATCH(H87,DiemHKII!$B$4:$B$58,0),INDEX($Y$7:$AB$20,MATCH(I97,$Y$7:$Y$20,0),$AB$6))&lt;&gt;"",INDEX(BDHK2,MATCH(H87,DiemHKII!$B$4:$B$58,0),INDEX($Y$7:$AB$20,MATCH(I97,$Y$7:$Y$20,0),$AB$6)),"/"),"")</f>
        <v>/</v>
      </c>
      <c r="M97" s="88"/>
      <c r="N97" s="79" t="s">
        <v>198</v>
      </c>
      <c r="O97" s="81" t="s">
        <v>32</v>
      </c>
      <c r="P97" s="35">
        <f>IF(N87&lt;&gt;"",IF(INDEX(BDHK2,MATCH(N87,DiemHKII!$B$4:$B$58,0),INDEX($Y$7:$AB$20,MATCH(O97,$Y$7:$Y$20,0),$Z$6))&lt;&gt;"",INDEX(BDHK2,MATCH(N87,DiemHKII!$B$4:$B$58,0),INDEX($Y$7:$AB$20,MATCH(O97,$Y$7:$Y$20,0),$Z$6)),"/"),"")</f>
        <v>9.9</v>
      </c>
      <c r="Q97" s="35" t="str">
        <f>IF(N87&lt;&gt;"",IF(INDEX(BDHK2,MATCH(N87,DiemHKII!$B$4:$B$58,0),INDEX($Y$7:$AB$20,MATCH(O97,$Y$7:$Y$20,0),$AA$6))&lt;&gt;"",INDEX(BDHK2,MATCH(N87,DiemHKII!$B$4:$B$58,0),INDEX($Y$7:$AB$20,MATCH(O97,$Y$7:$Y$20,0),$AA$6)),"/"),"")</f>
        <v>/</v>
      </c>
      <c r="R97" s="35" t="str">
        <f>IF(N87&lt;&gt;"",IF(INDEX(BDHK2,MATCH(N87,DiemHKII!$B$4:$B$58,0),INDEX($Y$7:$AB$20,MATCH(O97,$Y$7:$Y$20,0),$AB$6))&lt;&gt;"",INDEX(BDHK2,MATCH(N87,DiemHKII!$B$4:$B$58,0),INDEX($Y$7:$AB$20,MATCH(O97,$Y$7:$Y$20,0),$AB$6)),"/"),"")</f>
        <v>/</v>
      </c>
      <c r="S97" s="88"/>
    </row>
    <row r="98" spans="1:19" ht="15.6" customHeight="1">
      <c r="A98" s="88"/>
      <c r="B98" s="79" t="s">
        <v>199</v>
      </c>
      <c r="C98" s="81" t="s">
        <v>33</v>
      </c>
      <c r="D98" s="35">
        <f>IF(B87&lt;&gt;"",IF(INDEX(BDHK2,MATCH(B87,DiemHKII!$B$4:$B$58,0),INDEX($Y$7:$AB$20,MATCH(C98,$Y$7:$Y$20,0),$Z$6))&lt;&gt;"",INDEX(BDHK2,MATCH(B87,DiemHKII!$B$4:$B$58,0),INDEX($Y$7:$AB$20,MATCH(C98,$Y$7:$Y$20,0),$Z$6)),"/"),"")</f>
        <v>9.3000000000000007</v>
      </c>
      <c r="E98" s="35" t="str">
        <f>IF(B87&lt;&gt;"",IF(INDEX(BDHK2,MATCH(B87,DiemHKII!$B$4:$B$58,0),INDEX($Y$7:$AB$20,MATCH(C98,$Y$7:$Y$20,0),$AA$6))&lt;&gt;"",INDEX(BDHK2,MATCH(B87,DiemHKII!$B$4:$B$58,0),INDEX($Y$7:$AB$20,MATCH(C98,$Y$7:$Y$20,0),$AA$6)),"/"),"")</f>
        <v>/</v>
      </c>
      <c r="F98" s="35" t="str">
        <f>IF(B87&lt;&gt;"",IF(INDEX(BDHK2,MATCH(B87,DiemHKII!$B$4:$B$58,0),INDEX($Y$7:$AB$20,MATCH(C98,$Y$7:$Y$20,0),$AB$6))&lt;&gt;"",INDEX(BDHK2,MATCH(B87,DiemHKII!$B$4:$B$58,0),INDEX($Y$7:$AB$20,MATCH(C98,$Y$7:$Y$20,0),$AB$6)),"/"),"")</f>
        <v>/</v>
      </c>
      <c r="G98" s="88"/>
      <c r="H98" s="79" t="s">
        <v>199</v>
      </c>
      <c r="I98" s="81" t="s">
        <v>33</v>
      </c>
      <c r="J98" s="35">
        <f>IF(H87&lt;&gt;"",IF(INDEX(BDHK2,MATCH(H87,DiemHKII!$B$4:$B$58,0),INDEX($Y$7:$AB$20,MATCH(I98,$Y$7:$Y$20,0),$Z$6))&lt;&gt;"",INDEX(BDHK2,MATCH(H87,DiemHKII!$B$4:$B$58,0),INDEX($Y$7:$AB$20,MATCH(I98,$Y$7:$Y$20,0),$Z$6)),"/"),"")</f>
        <v>9.3000000000000007</v>
      </c>
      <c r="K98" s="35" t="str">
        <f>IF(H87&lt;&gt;"",IF(INDEX(BDHK2,MATCH(H87,DiemHKII!$B$4:$B$58,0),INDEX($Y$7:$AB$20,MATCH(I98,$Y$7:$Y$20,0),$AA$6))&lt;&gt;"",INDEX(BDHK2,MATCH(H87,DiemHKII!$B$4:$B$58,0),INDEX($Y$7:$AB$20,MATCH(I98,$Y$7:$Y$20,0),$AA$6)),"/"),"")</f>
        <v>/</v>
      </c>
      <c r="L98" s="35" t="str">
        <f>IF(H87&lt;&gt;"",IF(INDEX(BDHK2,MATCH(H87,DiemHKII!$B$4:$B$58,0),INDEX($Y$7:$AB$20,MATCH(I98,$Y$7:$Y$20,0),$AB$6))&lt;&gt;"",INDEX(BDHK2,MATCH(H87,DiemHKII!$B$4:$B$58,0),INDEX($Y$7:$AB$20,MATCH(I98,$Y$7:$Y$20,0),$AB$6)),"/"),"")</f>
        <v>/</v>
      </c>
      <c r="M98" s="88"/>
      <c r="N98" s="79" t="s">
        <v>199</v>
      </c>
      <c r="O98" s="81" t="s">
        <v>33</v>
      </c>
      <c r="P98" s="35">
        <f>IF(N87&lt;&gt;"",IF(INDEX(BDHK2,MATCH(N87,DiemHKII!$B$4:$B$58,0),INDEX($Y$7:$AB$20,MATCH(O98,$Y$7:$Y$20,0),$Z$6))&lt;&gt;"",INDEX(BDHK2,MATCH(N87,DiemHKII!$B$4:$B$58,0),INDEX($Y$7:$AB$20,MATCH(O98,$Y$7:$Y$20,0),$Z$6)),"/"),"")</f>
        <v>7.6</v>
      </c>
      <c r="Q98" s="35" t="str">
        <f>IF(N87&lt;&gt;"",IF(INDEX(BDHK2,MATCH(N87,DiemHKII!$B$4:$B$58,0),INDEX($Y$7:$AB$20,MATCH(O98,$Y$7:$Y$20,0),$AA$6))&lt;&gt;"",INDEX(BDHK2,MATCH(N87,DiemHKII!$B$4:$B$58,0),INDEX($Y$7:$AB$20,MATCH(O98,$Y$7:$Y$20,0),$AA$6)),"/"),"")</f>
        <v>/</v>
      </c>
      <c r="R98" s="35" t="str">
        <f>IF(N87&lt;&gt;"",IF(INDEX(BDHK2,MATCH(N87,DiemHKII!$B$4:$B$58,0),INDEX($Y$7:$AB$20,MATCH(O98,$Y$7:$Y$20,0),$AB$6))&lt;&gt;"",INDEX(BDHK2,MATCH(N87,DiemHKII!$B$4:$B$58,0),INDEX($Y$7:$AB$20,MATCH(O98,$Y$7:$Y$20,0),$AB$6)),"/"),"")</f>
        <v>/</v>
      </c>
      <c r="S98" s="88"/>
    </row>
    <row r="99" spans="1:19" ht="15.6" customHeight="1">
      <c r="A99" s="88"/>
      <c r="B99" s="79" t="s">
        <v>200</v>
      </c>
      <c r="C99" s="81" t="s">
        <v>60</v>
      </c>
      <c r="D99" s="35">
        <f>IF(B87&lt;&gt;"",IF(INDEX(BDHK2,MATCH(B87,DiemHKII!$B$4:$B$58,0),INDEX($Y$7:$AB$20,MATCH(C99,$Y$7:$Y$20,0),$Z$6))&lt;&gt;"",INDEX(BDHK2,MATCH(B87,DiemHKII!$B$4:$B$58,0),INDEX($Y$7:$AB$20,MATCH(C99,$Y$7:$Y$20,0),$Z$6)),"/"),"")</f>
        <v>9.5</v>
      </c>
      <c r="E99" s="35" t="str">
        <f>IF(B87&lt;&gt;"",IF(INDEX(BDHK2,MATCH(B87,DiemHKII!$B$4:$B$58,0),INDEX($Y$7:$AB$20,MATCH(C99,$Y$7:$Y$20,0),$AA$6))&lt;&gt;"",INDEX(BDHK2,MATCH(B87,DiemHKII!$B$4:$B$58,0),INDEX($Y$7:$AB$20,MATCH(C99,$Y$7:$Y$20,0),$AA$6)),"/"),"")</f>
        <v>/</v>
      </c>
      <c r="F99" s="35" t="str">
        <f>IF(B87&lt;&gt;"",IF(INDEX(BDHK2,MATCH(B87,DiemHKII!$B$4:$B$58,0),INDEX($Y$7:$AB$20,MATCH(C99,$Y$7:$Y$20,0),$AB$6))&lt;&gt;"",INDEX(BDHK2,MATCH(B87,DiemHKII!$B$4:$B$58,0),INDEX($Y$7:$AB$20,MATCH(C99,$Y$7:$Y$20,0),$AB$6)),"/"),"")</f>
        <v>/</v>
      </c>
      <c r="G99" s="88"/>
      <c r="H99" s="79" t="s">
        <v>200</v>
      </c>
      <c r="I99" s="81" t="s">
        <v>60</v>
      </c>
      <c r="J99" s="35">
        <f>IF(H87&lt;&gt;"",IF(INDEX(BDHK2,MATCH(H87,DiemHKII!$B$4:$B$58,0),INDEX($Y$7:$AB$20,MATCH(I99,$Y$7:$Y$20,0),$Z$6))&lt;&gt;"",INDEX(BDHK2,MATCH(H87,DiemHKII!$B$4:$B$58,0),INDEX($Y$7:$AB$20,MATCH(I99,$Y$7:$Y$20,0),$Z$6)),"/"),"")</f>
        <v>9.1</v>
      </c>
      <c r="K99" s="35" t="str">
        <f>IF(H87&lt;&gt;"",IF(INDEX(BDHK2,MATCH(H87,DiemHKII!$B$4:$B$58,0),INDEX($Y$7:$AB$20,MATCH(I99,$Y$7:$Y$20,0),$AA$6))&lt;&gt;"",INDEX(BDHK2,MATCH(H87,DiemHKII!$B$4:$B$58,0),INDEX($Y$7:$AB$20,MATCH(I99,$Y$7:$Y$20,0),$AA$6)),"/"),"")</f>
        <v>/</v>
      </c>
      <c r="L99" s="35" t="str">
        <f>IF(H87&lt;&gt;"",IF(INDEX(BDHK2,MATCH(H87,DiemHKII!$B$4:$B$58,0),INDEX($Y$7:$AB$20,MATCH(I99,$Y$7:$Y$20,0),$AB$6))&lt;&gt;"",INDEX(BDHK2,MATCH(H87,DiemHKII!$B$4:$B$58,0),INDEX($Y$7:$AB$20,MATCH(I99,$Y$7:$Y$20,0),$AB$6)),"/"),"")</f>
        <v>/</v>
      </c>
      <c r="M99" s="88"/>
      <c r="N99" s="79" t="s">
        <v>200</v>
      </c>
      <c r="O99" s="81" t="s">
        <v>60</v>
      </c>
      <c r="P99" s="35">
        <f>IF(N87&lt;&gt;"",IF(INDEX(BDHK2,MATCH(N87,DiemHKII!$B$4:$B$58,0),INDEX($Y$7:$AB$20,MATCH(O99,$Y$7:$Y$20,0),$Z$6))&lt;&gt;"",INDEX(BDHK2,MATCH(N87,DiemHKII!$B$4:$B$58,0),INDEX($Y$7:$AB$20,MATCH(O99,$Y$7:$Y$20,0),$Z$6)),"/"),"")</f>
        <v>9.1</v>
      </c>
      <c r="Q99" s="35" t="str">
        <f>IF(N87&lt;&gt;"",IF(INDEX(BDHK2,MATCH(N87,DiemHKII!$B$4:$B$58,0),INDEX($Y$7:$AB$20,MATCH(O99,$Y$7:$Y$20,0),$AA$6))&lt;&gt;"",INDEX(BDHK2,MATCH(N87,DiemHKII!$B$4:$B$58,0),INDEX($Y$7:$AB$20,MATCH(O99,$Y$7:$Y$20,0),$AA$6)),"/"),"")</f>
        <v>/</v>
      </c>
      <c r="R99" s="35" t="str">
        <f>IF(N87&lt;&gt;"",IF(INDEX(BDHK2,MATCH(N87,DiemHKII!$B$4:$B$58,0),INDEX($Y$7:$AB$20,MATCH(O99,$Y$7:$Y$20,0),$AB$6))&lt;&gt;"",INDEX(BDHK2,MATCH(N87,DiemHKII!$B$4:$B$58,0),INDEX($Y$7:$AB$20,MATCH(O99,$Y$7:$Y$20,0),$AB$6)),"/"),"")</f>
        <v>/</v>
      </c>
      <c r="S99" s="88"/>
    </row>
    <row r="100" spans="1:19" ht="15.6" customHeight="1">
      <c r="A100" s="88"/>
      <c r="B100" s="79" t="s">
        <v>201</v>
      </c>
      <c r="C100" s="81" t="s">
        <v>34</v>
      </c>
      <c r="D100" s="35">
        <f>IF(B87&lt;&gt;"",IF(INDEX(BDHK2,MATCH(B87,DiemHKII!$B$4:$B$58,0),INDEX($Y$7:$AB$20,MATCH(C100,$Y$7:$Y$20,0),$Z$6))&lt;&gt;"",INDEX(BDHK2,MATCH(B87,DiemHKII!$B$4:$B$58,0),INDEX($Y$7:$AB$20,MATCH(C100,$Y$7:$Y$20,0),$Z$6)),"/"),"")</f>
        <v>9.6</v>
      </c>
      <c r="E100" s="35" t="str">
        <f>IF(B87&lt;&gt;"",IF(INDEX(BDHK2,MATCH(B87,DiemHKII!$B$4:$B$58,0),INDEX($Y$7:$AB$20,MATCH(C100,$Y$7:$Y$20,0),$AA$6))&lt;&gt;"",INDEX(BDHK2,MATCH(B87,DiemHKII!$B$4:$B$58,0),INDEX($Y$7:$AB$20,MATCH(C100,$Y$7:$Y$20,0),$AA$6)),"/"),"")</f>
        <v>/</v>
      </c>
      <c r="F100" s="35" t="str">
        <f>IF(B87&lt;&gt;"",IF(INDEX(BDHK2,MATCH(B87,DiemHKII!$B$4:$B$58,0),INDEX($Y$7:$AB$20,MATCH(C100,$Y$7:$Y$20,0),$AB$6))&lt;&gt;"",INDEX(BDHK2,MATCH(B87,DiemHKII!$B$4:$B$58,0),INDEX($Y$7:$AB$20,MATCH(C100,$Y$7:$Y$20,0),$AB$6)),"/"),"")</f>
        <v>/</v>
      </c>
      <c r="G100" s="88"/>
      <c r="H100" s="79" t="s">
        <v>201</v>
      </c>
      <c r="I100" s="81" t="s">
        <v>34</v>
      </c>
      <c r="J100" s="35">
        <f>IF(H87&lt;&gt;"",IF(INDEX(BDHK2,MATCH(H87,DiemHKII!$B$4:$B$58,0),INDEX($Y$7:$AB$20,MATCH(I100,$Y$7:$Y$20,0),$Z$6))&lt;&gt;"",INDEX(BDHK2,MATCH(H87,DiemHKII!$B$4:$B$58,0),INDEX($Y$7:$AB$20,MATCH(I100,$Y$7:$Y$20,0),$Z$6)),"/"),"")</f>
        <v>9.9</v>
      </c>
      <c r="K100" s="35" t="str">
        <f>IF(H87&lt;&gt;"",IF(INDEX(BDHK2,MATCH(H87,DiemHKII!$B$4:$B$58,0),INDEX($Y$7:$AB$20,MATCH(I100,$Y$7:$Y$20,0),$AA$6))&lt;&gt;"",INDEX(BDHK2,MATCH(H87,DiemHKII!$B$4:$B$58,0),INDEX($Y$7:$AB$20,MATCH(I100,$Y$7:$Y$20,0),$AA$6)),"/"),"")</f>
        <v>/</v>
      </c>
      <c r="L100" s="35" t="str">
        <f>IF(H87&lt;&gt;"",IF(INDEX(BDHK2,MATCH(H87,DiemHKII!$B$4:$B$58,0),INDEX($Y$7:$AB$20,MATCH(I100,$Y$7:$Y$20,0),$AB$6))&lt;&gt;"",INDEX(BDHK2,MATCH(H87,DiemHKII!$B$4:$B$58,0),INDEX($Y$7:$AB$20,MATCH(I100,$Y$7:$Y$20,0),$AB$6)),"/"),"")</f>
        <v>/</v>
      </c>
      <c r="M100" s="88"/>
      <c r="N100" s="79" t="s">
        <v>201</v>
      </c>
      <c r="O100" s="81" t="s">
        <v>34</v>
      </c>
      <c r="P100" s="35">
        <f>IF(N87&lt;&gt;"",IF(INDEX(BDHK2,MATCH(N87,DiemHKII!$B$4:$B$58,0),INDEX($Y$7:$AB$20,MATCH(O100,$Y$7:$Y$20,0),$Z$6))&lt;&gt;"",INDEX(BDHK2,MATCH(N87,DiemHKII!$B$4:$B$58,0),INDEX($Y$7:$AB$20,MATCH(O100,$Y$7:$Y$20,0),$Z$6)),"/"),"")</f>
        <v>9.9</v>
      </c>
      <c r="Q100" s="35" t="str">
        <f>IF(N87&lt;&gt;"",IF(INDEX(BDHK2,MATCH(N87,DiemHKII!$B$4:$B$58,0),INDEX($Y$7:$AB$20,MATCH(O100,$Y$7:$Y$20,0),$AA$6))&lt;&gt;"",INDEX(BDHK2,MATCH(N87,DiemHKII!$B$4:$B$58,0),INDEX($Y$7:$AB$20,MATCH(O100,$Y$7:$Y$20,0),$AA$6)),"/"),"")</f>
        <v>/</v>
      </c>
      <c r="R100" s="35" t="str">
        <f>IF(N87&lt;&gt;"",IF(INDEX(BDHK2,MATCH(N87,DiemHKII!$B$4:$B$58,0),INDEX($Y$7:$AB$20,MATCH(O100,$Y$7:$Y$20,0),$AB$6))&lt;&gt;"",INDEX(BDHK2,MATCH(N87,DiemHKII!$B$4:$B$58,0),INDEX($Y$7:$AB$20,MATCH(O100,$Y$7:$Y$20,0),$AB$6)),"/"),"")</f>
        <v>/</v>
      </c>
      <c r="S100" s="88"/>
    </row>
    <row r="101" spans="1:19" ht="15.6" customHeight="1">
      <c r="A101" s="88"/>
      <c r="B101" s="79" t="s">
        <v>202</v>
      </c>
      <c r="C101" s="81" t="s">
        <v>35</v>
      </c>
      <c r="D101" s="35" t="str">
        <f>IF(B87&lt;&gt;"",IF(INDEX(BDHK2,MATCH(B87,DiemHKII!$B$4:$B$58,0),INDEX($Y$7:$AB$20,MATCH(C101,$Y$7:$Y$20,0),$Z$6))&lt;&gt;"",INDEX(BDHK2,MATCH(B87,DiemHKII!$B$4:$B$58,0),INDEX($Y$7:$AB$20,MATCH(C101,$Y$7:$Y$20,0),$Z$6)),"/"),"")</f>
        <v>Đ</v>
      </c>
      <c r="E101" s="35" t="str">
        <f>IF(B87&lt;&gt;"",IF(INDEX(BDHK2,MATCH(B87,DiemHKII!$B$4:$B$58,0),INDEX($Y$7:$AB$20,MATCH(C101,$Y$7:$Y$20,0),$AA$6))&lt;&gt;"",INDEX(BDHK2,MATCH(B87,DiemHKII!$B$4:$B$58,0),INDEX($Y$7:$AB$20,MATCH(C101,$Y$7:$Y$20,0),$AA$6)),"/"),"")</f>
        <v>/</v>
      </c>
      <c r="F101" s="35" t="str">
        <f>IF(B87&lt;&gt;"",IF(INDEX(BDHK2,MATCH(B87,DiemHKII!$B$4:$B$58,0),INDEX($Y$7:$AB$20,MATCH(C101,$Y$7:$Y$20,0),$AB$6))&lt;&gt;"",INDEX(BDHK2,MATCH(B87,DiemHKII!$B$4:$B$58,0),INDEX($Y$7:$AB$20,MATCH(C101,$Y$7:$Y$20,0),$AB$6)),"/"),"")</f>
        <v>Đ</v>
      </c>
      <c r="G101" s="88"/>
      <c r="H101" s="79" t="s">
        <v>202</v>
      </c>
      <c r="I101" s="81" t="s">
        <v>35</v>
      </c>
      <c r="J101" s="35" t="str">
        <f>IF(H87&lt;&gt;"",IF(INDEX(BDHK2,MATCH(H87,DiemHKII!$B$4:$B$58,0),INDEX($Y$7:$AB$20,MATCH(I101,$Y$7:$Y$20,0),$Z$6))&lt;&gt;"",INDEX(BDHK2,MATCH(H87,DiemHKII!$B$4:$B$58,0),INDEX($Y$7:$AB$20,MATCH(I101,$Y$7:$Y$20,0),$Z$6)),"/"),"")</f>
        <v>Đ</v>
      </c>
      <c r="K101" s="35" t="str">
        <f>IF(H87&lt;&gt;"",IF(INDEX(BDHK2,MATCH(H87,DiemHKII!$B$4:$B$58,0),INDEX($Y$7:$AB$20,MATCH(I101,$Y$7:$Y$20,0),$AA$6))&lt;&gt;"",INDEX(BDHK2,MATCH(H87,DiemHKII!$B$4:$B$58,0),INDEX($Y$7:$AB$20,MATCH(I101,$Y$7:$Y$20,0),$AA$6)),"/"),"")</f>
        <v>/</v>
      </c>
      <c r="L101" s="35" t="str">
        <f>IF(H87&lt;&gt;"",IF(INDEX(BDHK2,MATCH(H87,DiemHKII!$B$4:$B$58,0),INDEX($Y$7:$AB$20,MATCH(I101,$Y$7:$Y$20,0),$AB$6))&lt;&gt;"",INDEX(BDHK2,MATCH(H87,DiemHKII!$B$4:$B$58,0),INDEX($Y$7:$AB$20,MATCH(I101,$Y$7:$Y$20,0),$AB$6)),"/"),"")</f>
        <v>Đ</v>
      </c>
      <c r="M101" s="88"/>
      <c r="N101" s="79" t="s">
        <v>202</v>
      </c>
      <c r="O101" s="81" t="s">
        <v>35</v>
      </c>
      <c r="P101" s="35" t="str">
        <f>IF(N87&lt;&gt;"",IF(INDEX(BDHK2,MATCH(N87,DiemHKII!$B$4:$B$58,0),INDEX($Y$7:$AB$20,MATCH(O101,$Y$7:$Y$20,0),$Z$6))&lt;&gt;"",INDEX(BDHK2,MATCH(N87,DiemHKII!$B$4:$B$58,0),INDEX($Y$7:$AB$20,MATCH(O101,$Y$7:$Y$20,0),$Z$6)),"/"),"")</f>
        <v>Đ</v>
      </c>
      <c r="Q101" s="35" t="str">
        <f>IF(N87&lt;&gt;"",IF(INDEX(BDHK2,MATCH(N87,DiemHKII!$B$4:$B$58,0),INDEX($Y$7:$AB$20,MATCH(O101,$Y$7:$Y$20,0),$AA$6))&lt;&gt;"",INDEX(BDHK2,MATCH(N87,DiemHKII!$B$4:$B$58,0),INDEX($Y$7:$AB$20,MATCH(O101,$Y$7:$Y$20,0),$AA$6)),"/"),"")</f>
        <v>/</v>
      </c>
      <c r="R101" s="35" t="str">
        <f>IF(N87&lt;&gt;"",IF(INDEX(BDHK2,MATCH(N87,DiemHKII!$B$4:$B$58,0),INDEX($Y$7:$AB$20,MATCH(O101,$Y$7:$Y$20,0),$AB$6))&lt;&gt;"",INDEX(BDHK2,MATCH(N87,DiemHKII!$B$4:$B$58,0),INDEX($Y$7:$AB$20,MATCH(O101,$Y$7:$Y$20,0),$AB$6)),"/"),"")</f>
        <v>Đ</v>
      </c>
      <c r="S101" s="88"/>
    </row>
    <row r="102" spans="1:19" ht="15.6" customHeight="1">
      <c r="A102" s="88"/>
      <c r="B102" s="79" t="s">
        <v>203</v>
      </c>
      <c r="C102" s="81" t="s">
        <v>121</v>
      </c>
      <c r="D102" s="35">
        <f>IF(B87&lt;&gt;"",IF(INDEX(BDHK2,MATCH(B87,DiemHKII!$B$4:$B$58,0),INDEX($Y$7:$AB$20,MATCH(C102,$Y$7:$Y$20,0),$Z$6))&lt;&gt;"",INDEX(BDHK2,MATCH(B87,DiemHKII!$B$4:$B$58,0),INDEX($Y$7:$AB$20,MATCH(C102,$Y$7:$Y$20,0),$Z$6)),"/"),"")</f>
        <v>9.9</v>
      </c>
      <c r="E102" s="35" t="str">
        <f>IF(B87&lt;&gt;"",IF(INDEX(BDHK2,MATCH(B87,DiemHKII!$B$4:$B$58,0),INDEX($Y$7:$AB$20,MATCH(C102,$Y$7:$Y$20,0),$AA$6))&lt;&gt;"",INDEX(BDHK2,MATCH(B87,DiemHKII!$B$4:$B$58,0),INDEX($Y$7:$AB$20,MATCH(C102,$Y$7:$Y$20,0),$AA$6)),"/"),"")</f>
        <v>/</v>
      </c>
      <c r="F102" s="35" t="str">
        <f>IF(B87&lt;&gt;"",IF(INDEX(BDHK2,MATCH(B87,DiemHKII!$B$4:$B$58,0),INDEX($Y$7:$AB$20,MATCH(C102,$Y$7:$Y$20,0),$AB$6))&lt;&gt;"",INDEX(BDHK2,MATCH(B87,DiemHKII!$B$4:$B$58,0),INDEX($Y$7:$AB$20,MATCH(C102,$Y$7:$Y$20,0),$AB$6)),"/"),"")</f>
        <v>/</v>
      </c>
      <c r="G102" s="88"/>
      <c r="H102" s="79" t="s">
        <v>203</v>
      </c>
      <c r="I102" s="81" t="s">
        <v>121</v>
      </c>
      <c r="J102" s="35">
        <f>IF(H87&lt;&gt;"",IF(INDEX(BDHK2,MATCH(H87,DiemHKII!$B$4:$B$58,0),INDEX($Y$7:$AB$20,MATCH(I102,$Y$7:$Y$20,0),$Z$6))&lt;&gt;"",INDEX(BDHK2,MATCH(H87,DiemHKII!$B$4:$B$58,0),INDEX($Y$7:$AB$20,MATCH(I102,$Y$7:$Y$20,0),$Z$6)),"/"),"")</f>
        <v>9.4</v>
      </c>
      <c r="K102" s="35" t="str">
        <f>IF(H87&lt;&gt;"",IF(INDEX(BDHK2,MATCH(H87,DiemHKII!$B$4:$B$58,0),INDEX($Y$7:$AB$20,MATCH(I102,$Y$7:$Y$20,0),$AA$6))&lt;&gt;"",INDEX(BDHK2,MATCH(H87,DiemHKII!$B$4:$B$58,0),INDEX($Y$7:$AB$20,MATCH(I102,$Y$7:$Y$20,0),$AA$6)),"/"),"")</f>
        <v>/</v>
      </c>
      <c r="L102" s="35" t="str">
        <f>IF(H87&lt;&gt;"",IF(INDEX(BDHK2,MATCH(H87,DiemHKII!$B$4:$B$58,0),INDEX($Y$7:$AB$20,MATCH(I102,$Y$7:$Y$20,0),$AB$6))&lt;&gt;"",INDEX(BDHK2,MATCH(H87,DiemHKII!$B$4:$B$58,0),INDEX($Y$7:$AB$20,MATCH(I102,$Y$7:$Y$20,0),$AB$6)),"/"),"")</f>
        <v>/</v>
      </c>
      <c r="M102" s="88"/>
      <c r="N102" s="79" t="s">
        <v>203</v>
      </c>
      <c r="O102" s="81" t="s">
        <v>121</v>
      </c>
      <c r="P102" s="35">
        <f>IF(N87&lt;&gt;"",IF(INDEX(BDHK2,MATCH(N87,DiemHKII!$B$4:$B$58,0),INDEX($Y$7:$AB$20,MATCH(O102,$Y$7:$Y$20,0),$Z$6))&lt;&gt;"",INDEX(BDHK2,MATCH(N87,DiemHKII!$B$4:$B$58,0),INDEX($Y$7:$AB$20,MATCH(O102,$Y$7:$Y$20,0),$Z$6)),"/"),"")</f>
        <v>9.9</v>
      </c>
      <c r="Q102" s="35" t="str">
        <f>IF(N87&lt;&gt;"",IF(INDEX(BDHK2,MATCH(N87,DiemHKII!$B$4:$B$58,0),INDEX($Y$7:$AB$20,MATCH(O102,$Y$7:$Y$20,0),$AA$6))&lt;&gt;"",INDEX(BDHK2,MATCH(N87,DiemHKII!$B$4:$B$58,0),INDEX($Y$7:$AB$20,MATCH(O102,$Y$7:$Y$20,0),$AA$6)),"/"),"")</f>
        <v>/</v>
      </c>
      <c r="R102" s="35" t="str">
        <f>IF(N87&lt;&gt;"",IF(INDEX(BDHK2,MATCH(N87,DiemHKII!$B$4:$B$58,0),INDEX($Y$7:$AB$20,MATCH(O102,$Y$7:$Y$20,0),$AB$6))&lt;&gt;"",INDEX(BDHK2,MATCH(N87,DiemHKII!$B$4:$B$58,0),INDEX($Y$7:$AB$20,MATCH(O102,$Y$7:$Y$20,0),$AB$6)),"/"),"")</f>
        <v>/</v>
      </c>
      <c r="S102" s="88"/>
    </row>
    <row r="103" spans="1:19" ht="15.6" customHeight="1">
      <c r="A103" s="88"/>
      <c r="B103" s="79" t="s">
        <v>204</v>
      </c>
      <c r="C103" s="81" t="s">
        <v>122</v>
      </c>
      <c r="D103" s="35" t="str">
        <f>IF(B87&lt;&gt;"",IF(INDEX(BDHK2,MATCH(B87,DiemHKII!$B$4:$B$58,0),INDEX($Y$7:$AB$20,MATCH(C103,$Y$7:$Y$20,0),$Z$6))&lt;&gt;"",INDEX(BDHK2,MATCH(B87,DiemHKII!$B$4:$B$58,0),INDEX($Y$7:$AB$20,MATCH(C103,$Y$7:$Y$20,0),$Z$6)),"/"),"")</f>
        <v>/</v>
      </c>
      <c r="E103" s="35" t="str">
        <f>IF(B87&lt;&gt;"",IF(INDEX(BDHK2,MATCH(B87,DiemHKII!$B$4:$B$58,0),INDEX($Y$7:$AB$20,MATCH(C103,$Y$7:$Y$20,0),$AA$6))&lt;&gt;"",INDEX(BDHK2,MATCH(B87,DiemHKII!$B$4:$B$58,0),INDEX($Y$7:$AB$20,MATCH(C103,$Y$7:$Y$20,0),$AA$6)),"/"),"")</f>
        <v>/</v>
      </c>
      <c r="F103" s="35" t="str">
        <f>IF(B87&lt;&gt;"",IF(INDEX(BDHK2,MATCH(B87,DiemHKII!$B$4:$B$58,0),INDEX($Y$7:$AB$20,MATCH(C103,$Y$7:$Y$20,0),$AB$6))&lt;&gt;"",INDEX(BDHK2,MATCH(B87,DiemHKII!$B$4:$B$58,0),INDEX($Y$7:$AB$20,MATCH(C103,$Y$7:$Y$20,0),$AB$6)),"/"),"")</f>
        <v>/</v>
      </c>
      <c r="G103" s="88"/>
      <c r="H103" s="79" t="s">
        <v>204</v>
      </c>
      <c r="I103" s="81" t="s">
        <v>122</v>
      </c>
      <c r="J103" s="35" t="str">
        <f>IF(H87&lt;&gt;"",IF(INDEX(BDHK2,MATCH(H87,DiemHKII!$B$4:$B$58,0),INDEX($Y$7:$AB$20,MATCH(I103,$Y$7:$Y$20,0),$Z$6))&lt;&gt;"",INDEX(BDHK2,MATCH(H87,DiemHKII!$B$4:$B$58,0),INDEX($Y$7:$AB$20,MATCH(I103,$Y$7:$Y$20,0),$Z$6)),"/"),"")</f>
        <v>/</v>
      </c>
      <c r="K103" s="35" t="str">
        <f>IF(H87&lt;&gt;"",IF(INDEX(BDHK2,MATCH(H87,DiemHKII!$B$4:$B$58,0),INDEX($Y$7:$AB$20,MATCH(I103,$Y$7:$Y$20,0),$AA$6))&lt;&gt;"",INDEX(BDHK2,MATCH(H87,DiemHKII!$B$4:$B$58,0),INDEX($Y$7:$AB$20,MATCH(I103,$Y$7:$Y$20,0),$AA$6)),"/"),"")</f>
        <v>/</v>
      </c>
      <c r="L103" s="35" t="str">
        <f>IF(H87&lt;&gt;"",IF(INDEX(BDHK2,MATCH(H87,DiemHKII!$B$4:$B$58,0),INDEX($Y$7:$AB$20,MATCH(I103,$Y$7:$Y$20,0),$AB$6))&lt;&gt;"",INDEX(BDHK2,MATCH(H87,DiemHKII!$B$4:$B$58,0),INDEX($Y$7:$AB$20,MATCH(I103,$Y$7:$Y$20,0),$AB$6)),"/"),"")</f>
        <v>/</v>
      </c>
      <c r="M103" s="88"/>
      <c r="N103" s="79" t="s">
        <v>204</v>
      </c>
      <c r="O103" s="81" t="s">
        <v>122</v>
      </c>
      <c r="P103" s="35" t="str">
        <f>IF(N87&lt;&gt;"",IF(INDEX(BDHK2,MATCH(N87,DiemHKII!$B$4:$B$58,0),INDEX($Y$7:$AB$20,MATCH(O103,$Y$7:$Y$20,0),$Z$6))&lt;&gt;"",INDEX(BDHK2,MATCH(N87,DiemHKII!$B$4:$B$58,0),INDEX($Y$7:$AB$20,MATCH(O103,$Y$7:$Y$20,0),$Z$6)),"/"),"")</f>
        <v>/</v>
      </c>
      <c r="Q103" s="35" t="str">
        <f>IF(N87&lt;&gt;"",IF(INDEX(BDHK2,MATCH(N87,DiemHKII!$B$4:$B$58,0),INDEX($Y$7:$AB$20,MATCH(O103,$Y$7:$Y$20,0),$AA$6))&lt;&gt;"",INDEX(BDHK2,MATCH(N87,DiemHKII!$B$4:$B$58,0),INDEX($Y$7:$AB$20,MATCH(O103,$Y$7:$Y$20,0),$AA$6)),"/"),"")</f>
        <v>/</v>
      </c>
      <c r="R103" s="35" t="str">
        <f>IF(N87&lt;&gt;"",IF(INDEX(BDHK2,MATCH(N87,DiemHKII!$B$4:$B$58,0),INDEX($Y$7:$AB$20,MATCH(O103,$Y$7:$Y$20,0),$AB$6))&lt;&gt;"",INDEX(BDHK2,MATCH(N87,DiemHKII!$B$4:$B$58,0),INDEX($Y$7:$AB$20,MATCH(O103,$Y$7:$Y$20,0),$AB$6)),"/"),"")</f>
        <v>/</v>
      </c>
      <c r="S103" s="88"/>
    </row>
    <row r="104" spans="1:19" ht="15.6" customHeight="1">
      <c r="A104" s="88"/>
      <c r="B104" s="79" t="s">
        <v>208</v>
      </c>
      <c r="C104" s="81" t="s">
        <v>217</v>
      </c>
      <c r="D104" s="80">
        <f>IF(B87&lt;&gt;"",IF(INDEX('TH CANAM'!$A$9:$BF$63,MATCH(B87,'TH CANAM'!$A$9:$A$63,0),46)&lt;&gt;"",INDEX('TH CANAM'!$A$9:$BF$63,MATCH(B87,'TH CANAM'!$A$9:$A$63,0),46),"/"),"")</f>
        <v>9.4</v>
      </c>
      <c r="E104" s="80" t="str">
        <f>IF(B87&lt;&gt;"",IF(INDEX('TH CANAM'!$A$9:$BF$63,MATCH(B87,'TH CANAM'!$A$9:$A$63,0),47)&lt;&gt;"",INDEX('TH CANAM'!$A$9:$BF$63,MATCH(B87,'TH CANAM'!$A$9:$A$63,0),47),"/"),"")</f>
        <v>/</v>
      </c>
      <c r="F104" s="80" t="str">
        <f>IF(B87&lt;&gt;"",IF(INDEX('TH CANAM'!$A$9:$BF$63,MATCH(B87,'TH CANAM'!$A$9:$A$63,0),48)&lt;&gt;"",INDEX('TH CANAM'!$A$9:$BF$63,MATCH(B87,'TH CANAM'!$A$9:$A$63,0),48),"/"),"")</f>
        <v>/</v>
      </c>
      <c r="G104" s="88"/>
      <c r="H104" s="79" t="s">
        <v>208</v>
      </c>
      <c r="I104" s="81" t="s">
        <v>217</v>
      </c>
      <c r="J104" s="80">
        <f>IF(H87&lt;&gt;"",IF(INDEX('TH CANAM'!$A$9:$BF$63,MATCH(H87,'TH CANAM'!$A$9:$A$63,0),46)&lt;&gt;"",INDEX('TH CANAM'!$A$9:$BF$63,MATCH(H87,'TH CANAM'!$A$9:$A$63,0),46),"/"),"")</f>
        <v>9.1999999999999993</v>
      </c>
      <c r="K104" s="80" t="str">
        <f>IF(H87&lt;&gt;"",IF(INDEX('TH CANAM'!$A$9:$BF$63,MATCH(H87,'TH CANAM'!$A$9:$A$63,0),47)&lt;&gt;"",INDEX('TH CANAM'!$A$9:$BF$63,MATCH(H87,'TH CANAM'!$A$9:$A$63,0),47),"/"),"")</f>
        <v>/</v>
      </c>
      <c r="L104" s="80" t="str">
        <f>IF(H87&lt;&gt;"",IF(INDEX('TH CANAM'!$A$9:$BF$63,MATCH(H87,'TH CANAM'!$A$9:$A$63,0),48)&lt;&gt;"",INDEX('TH CANAM'!$A$9:$BF$63,MATCH(H87,'TH CANAM'!$A$9:$A$63,0),48),"/"),"")</f>
        <v>/</v>
      </c>
      <c r="M104" s="88"/>
      <c r="N104" s="79" t="s">
        <v>208</v>
      </c>
      <c r="O104" s="81" t="s">
        <v>217</v>
      </c>
      <c r="P104" s="80">
        <f>IF(N87&lt;&gt;"",IF(INDEX('TH CANAM'!$A$9:$BF$63,MATCH(N87,'TH CANAM'!$A$9:$A$63,0),46)&lt;&gt;"",INDEX('TH CANAM'!$A$9:$BF$63,MATCH(N87,'TH CANAM'!$A$9:$A$63,0),46),"/"),"")</f>
        <v>9.1999999999999993</v>
      </c>
      <c r="Q104" s="80" t="str">
        <f>IF(N87&lt;&gt;"",IF(INDEX('TH CANAM'!$A$9:$BF$63,MATCH(N87,'TH CANAM'!$A$9:$A$63,0),47)&lt;&gt;"",INDEX('TH CANAM'!$A$9:$BF$63,MATCH(N87,'TH CANAM'!$A$9:$A$63,0),47),"/"),"")</f>
        <v>/</v>
      </c>
      <c r="R104" s="80" t="str">
        <f>IF(N87&lt;&gt;"",IF(INDEX('TH CANAM'!$A$9:$BF$63,MATCH(N87,'TH CANAM'!$A$9:$A$63,0),48)&lt;&gt;"",INDEX('TH CANAM'!$A$9:$BF$63,MATCH(N87,'TH CANAM'!$A$9:$A$63,0),48),"/"),"")</f>
        <v>/</v>
      </c>
      <c r="S104" s="88"/>
    </row>
    <row r="105" spans="1:19" ht="15.6" customHeight="1">
      <c r="A105" s="88"/>
      <c r="B105" s="79" t="s">
        <v>209</v>
      </c>
      <c r="C105" s="82" t="s">
        <v>36</v>
      </c>
      <c r="D105" s="35" t="str">
        <f>IF(B87&lt;&gt;"",IF(INDEX('TH CANAM'!$A$9:$BF$63,MATCH(B87,'TH CANAM'!$A$9:$A$63,0),49)&lt;&gt;"",INDEX('TH CANAM'!$A$9:$BF$63,MATCH(B87,'TH CANAM'!$A$9:$A$63,0),49),"/"),"")</f>
        <v>Giỏi</v>
      </c>
      <c r="E105" s="35" t="str">
        <f>IF(B87&lt;&gt;"",IF(INDEX('TH CANAM'!$A$9:$BF$63,MATCH(B87,'TH CANAM'!$A$9:$A$63,0),50)&lt;&gt;"",INDEX('TH CANAM'!$A$9:$BF$63,MATCH(B87,'TH CANAM'!$A$9:$A$63,0),50),"/"),"")</f>
        <v>/</v>
      </c>
      <c r="F105" s="35" t="str">
        <f>IF(B87&lt;&gt;"",IF(INDEX('TH CANAM'!$A$9:$BF$63,MATCH(B87,'TH CANAM'!$A$9:$A$63,0),51)&lt;&gt;"",INDEX('TH CANAM'!$A$9:$BF$63,MATCH(B87,'TH CANAM'!$A$9:$A$63,0),51),"/"),"")</f>
        <v>/</v>
      </c>
      <c r="G105" s="88"/>
      <c r="H105" s="79" t="s">
        <v>209</v>
      </c>
      <c r="I105" s="82" t="s">
        <v>36</v>
      </c>
      <c r="J105" s="35" t="str">
        <f>IF(H87&lt;&gt;"",IF(INDEX('TH CANAM'!$A$9:$BF$63,MATCH(H87,'TH CANAM'!$A$9:$A$63,0),49)&lt;&gt;"",INDEX('TH CANAM'!$A$9:$BF$63,MATCH(H87,'TH CANAM'!$A$9:$A$63,0),49),"/"),"")</f>
        <v>Giỏi</v>
      </c>
      <c r="K105" s="35" t="str">
        <f>IF(H87&lt;&gt;"",IF(INDEX('TH CANAM'!$A$9:$BF$63,MATCH(H87,'TH CANAM'!$A$9:$A$63,0),50)&lt;&gt;"",INDEX('TH CANAM'!$A$9:$BF$63,MATCH(H87,'TH CANAM'!$A$9:$A$63,0),50),"/"),"")</f>
        <v>/</v>
      </c>
      <c r="L105" s="35" t="str">
        <f>IF(H87&lt;&gt;"",IF(INDEX('TH CANAM'!$A$9:$BF$63,MATCH(H87,'TH CANAM'!$A$9:$A$63,0),51)&lt;&gt;"",INDEX('TH CANAM'!$A$9:$BF$63,MATCH(H87,'TH CANAM'!$A$9:$A$63,0),51),"/"),"")</f>
        <v>/</v>
      </c>
      <c r="M105" s="88"/>
      <c r="N105" s="79" t="s">
        <v>209</v>
      </c>
      <c r="O105" s="82" t="s">
        <v>36</v>
      </c>
      <c r="P105" s="35" t="str">
        <f>IF(N87&lt;&gt;"",IF(INDEX('TH CANAM'!$A$9:$BF$63,MATCH(N87,'TH CANAM'!$A$9:$A$63,0),49)&lt;&gt;"",INDEX('TH CANAM'!$A$9:$BF$63,MATCH(N87,'TH CANAM'!$A$9:$A$63,0),49),"/"),"")</f>
        <v>Giỏi</v>
      </c>
      <c r="Q105" s="35" t="str">
        <f>IF(N87&lt;&gt;"",IF(INDEX('TH CANAM'!$A$9:$BF$63,MATCH(N87,'TH CANAM'!$A$9:$A$63,0),50)&lt;&gt;"",INDEX('TH CANAM'!$A$9:$BF$63,MATCH(N87,'TH CANAM'!$A$9:$A$63,0),50),"/"),"")</f>
        <v>/</v>
      </c>
      <c r="R105" s="35" t="str">
        <f>IF(N87&lt;&gt;"",IF(INDEX('TH CANAM'!$A$9:$BF$63,MATCH(N87,'TH CANAM'!$A$9:$A$63,0),51)&lt;&gt;"",INDEX('TH CANAM'!$A$9:$BF$63,MATCH(N87,'TH CANAM'!$A$9:$A$63,0),51),"/"),"")</f>
        <v>/</v>
      </c>
      <c r="S105" s="88"/>
    </row>
    <row r="106" spans="1:19" ht="15.6" customHeight="1">
      <c r="A106" s="88"/>
      <c r="B106" s="79" t="s">
        <v>210</v>
      </c>
      <c r="C106" s="82" t="s">
        <v>37</v>
      </c>
      <c r="D106" s="35" t="str">
        <f>IF(B87&lt;&gt;"",IF(INDEX('TH CANAM'!$A$9:$BF$63,MATCH(B87,'TH CANAM'!$A$9:$A$63,0),52)&lt;&gt;"",INDEX('TH CANAM'!$A$9:$BF$63,MATCH(B87,'TH CANAM'!$A$9:$A$63,0),52),"/"),"")</f>
        <v>Tốt</v>
      </c>
      <c r="E106" s="35" t="str">
        <f>IF(B87&lt;&gt;"",IF(INDEX('TH CANAM'!$A$9:$BF$63,MATCH(B87,'TH CANAM'!$A$9:$A$63,0),53)&lt;&gt;"",INDEX('TH CANAM'!$A$9:$BF$63,MATCH(B87,'TH CANAM'!$A$9:$A$63,0),53),"/"),"")</f>
        <v>/</v>
      </c>
      <c r="F106" s="35" t="str">
        <f>IF(B87&lt;&gt;"",IF(INDEX('TH CANAM'!$A$9:$BF$63,MATCH(B87,'TH CANAM'!$A$9:$A$63,0),54)&lt;&gt;"",INDEX('TH CANAM'!$A$9:$BF$63,MATCH(B87,'TH CANAM'!$A$9:$A$63,0),54),"/"),"")</f>
        <v>/</v>
      </c>
      <c r="G106" s="88"/>
      <c r="H106" s="79" t="s">
        <v>210</v>
      </c>
      <c r="I106" s="82" t="s">
        <v>37</v>
      </c>
      <c r="J106" s="35" t="str">
        <f>IF(H87&lt;&gt;"",IF(INDEX('TH CANAM'!$A$9:$BF$63,MATCH(H87,'TH CANAM'!$A$9:$A$63,0),52)&lt;&gt;"",INDEX('TH CANAM'!$A$9:$BF$63,MATCH(H87,'TH CANAM'!$A$9:$A$63,0),52),"/"),"")</f>
        <v>Tốt</v>
      </c>
      <c r="K106" s="35" t="str">
        <f>IF(H87&lt;&gt;"",IF(INDEX('TH CANAM'!$A$9:$BF$63,MATCH(H87,'TH CANAM'!$A$9:$A$63,0),53)&lt;&gt;"",INDEX('TH CANAM'!$A$9:$BF$63,MATCH(H87,'TH CANAM'!$A$9:$A$63,0),53),"/"),"")</f>
        <v>/</v>
      </c>
      <c r="L106" s="35" t="str">
        <f>IF(H87&lt;&gt;"",IF(INDEX('TH CANAM'!$A$9:$BF$63,MATCH(H87,'TH CANAM'!$A$9:$A$63,0),54)&lt;&gt;"",INDEX('TH CANAM'!$A$9:$BF$63,MATCH(H87,'TH CANAM'!$A$9:$A$63,0),54),"/"),"")</f>
        <v>/</v>
      </c>
      <c r="M106" s="88"/>
      <c r="N106" s="79" t="s">
        <v>210</v>
      </c>
      <c r="O106" s="82" t="s">
        <v>37</v>
      </c>
      <c r="P106" s="35" t="str">
        <f>IF(N87&lt;&gt;"",IF(INDEX('TH CANAM'!$A$9:$BF$63,MATCH(N87,'TH CANAM'!$A$9:$A$63,0),52)&lt;&gt;"",INDEX('TH CANAM'!$A$9:$BF$63,MATCH(N87,'TH CANAM'!$A$9:$A$63,0),52),"/"),"")</f>
        <v>Tốt</v>
      </c>
      <c r="Q106" s="35" t="str">
        <f>IF(N87&lt;&gt;"",IF(INDEX('TH CANAM'!$A$9:$BF$63,MATCH(N87,'TH CANAM'!$A$9:$A$63,0),53)&lt;&gt;"",INDEX('TH CANAM'!$A$9:$BF$63,MATCH(N87,'TH CANAM'!$A$9:$A$63,0),53),"/"),"")</f>
        <v>/</v>
      </c>
      <c r="R106" s="35" t="str">
        <f>IF(N87&lt;&gt;"",IF(INDEX('TH CANAM'!$A$9:$BF$63,MATCH(N87,'TH CANAM'!$A$9:$A$63,0),54)&lt;&gt;"",INDEX('TH CANAM'!$A$9:$BF$63,MATCH(N87,'TH CANAM'!$A$9:$A$63,0),54),"/"),"")</f>
        <v>/</v>
      </c>
      <c r="S106" s="88"/>
    </row>
    <row r="107" spans="1:19" ht="15.6" customHeight="1">
      <c r="A107" s="88"/>
      <c r="B107" s="79" t="s">
        <v>211</v>
      </c>
      <c r="C107" s="82" t="s">
        <v>25</v>
      </c>
      <c r="D107" s="35" t="str">
        <f>IF(B87&lt;&gt;"",IF(INDEX('TH CANAM'!$A$9:$BF$63,MATCH(B87,'TH CANAM'!$A$9:$A$63,0),57)&lt;&gt;"",INDEX('TH CANAM'!$A$9:$BF$63,MATCH(B87,'TH CANAM'!$A$9:$A$63,0),57),"/"),"")</f>
        <v>HSG</v>
      </c>
      <c r="E107" s="35" t="str">
        <f>IF(B87&lt;&gt;"",IF(INDEX('TH CANAM'!$A$9:$BF$63,MATCH(B87,'TH CANAM'!$A$9:$A$63,0),58)&lt;&gt;"",INDEX('TH CANAM'!$A$9:$BF$63,MATCH(B87,'TH CANAM'!$A$9:$A$63,0),58),"/"),"")</f>
        <v>/</v>
      </c>
      <c r="F107" s="35" t="str">
        <f>IF(B87&lt;&gt;"",IF(INDEX('TH CANAM'!$A$9:$BF$63,MATCH(B87,'TH CANAM'!$A$9:$A$63,0),55)&lt;&gt;"",INDEX('TH CANAM'!$A$9:$BF$63,MATCH(B87,'TH CANAM'!$A$9:$A$63,0),55),"/"),"")</f>
        <v>/</v>
      </c>
      <c r="G107" s="88"/>
      <c r="H107" s="79" t="s">
        <v>211</v>
      </c>
      <c r="I107" s="82" t="s">
        <v>25</v>
      </c>
      <c r="J107" s="35" t="str">
        <f>IF(H87&lt;&gt;"",IF(INDEX('TH CANAM'!$A$9:$BF$63,MATCH(H87,'TH CANAM'!$A$9:$A$63,0),57)&lt;&gt;"",INDEX('TH CANAM'!$A$9:$BF$63,MATCH(H87,'TH CANAM'!$A$9:$A$63,0),57),"/"),"")</f>
        <v>HSG</v>
      </c>
      <c r="K107" s="35" t="str">
        <f>IF(H87&lt;&gt;"",IF(INDEX('TH CANAM'!$A$9:$BF$63,MATCH(H87,'TH CANAM'!$A$9:$A$63,0),58)&lt;&gt;"",INDEX('TH CANAM'!$A$9:$BF$63,MATCH(H87,'TH CANAM'!$A$9:$A$63,0),58),"/"),"")</f>
        <v>/</v>
      </c>
      <c r="L107" s="35" t="str">
        <f>IF(H87&lt;&gt;"",IF(INDEX('TH CANAM'!$A$9:$BF$63,MATCH(H87,'TH CANAM'!$A$9:$A$63,0),55)&lt;&gt;"",INDEX('TH CANAM'!$A$9:$BF$63,MATCH(H87,'TH CANAM'!$A$9:$A$63,0),55),"/"),"")</f>
        <v>/</v>
      </c>
      <c r="M107" s="88"/>
      <c r="N107" s="79" t="s">
        <v>211</v>
      </c>
      <c r="O107" s="82" t="s">
        <v>25</v>
      </c>
      <c r="P107" s="35" t="str">
        <f>IF(N87&lt;&gt;"",IF(INDEX('TH CANAM'!$A$9:$BF$63,MATCH(N87,'TH CANAM'!$A$9:$A$63,0),57)&lt;&gt;"",INDEX('TH CANAM'!$A$9:$BF$63,MATCH(N87,'TH CANAM'!$A$9:$A$63,0),57),"/"),"")</f>
        <v>HSG</v>
      </c>
      <c r="Q107" s="35" t="str">
        <f>IF(N87&lt;&gt;"",IF(INDEX('TH CANAM'!$A$9:$BF$63,MATCH(N87,'TH CANAM'!$A$9:$A$63,0),58)&lt;&gt;"",INDEX('TH CANAM'!$A$9:$BF$63,MATCH(N87,'TH CANAM'!$A$9:$A$63,0),58),"/"),"")</f>
        <v>/</v>
      </c>
      <c r="R107" s="35" t="str">
        <f>IF(N87&lt;&gt;"",IF(INDEX('TH CANAM'!$A$9:$BF$63,MATCH(N87,'TH CANAM'!$A$9:$A$63,0),55)&lt;&gt;"",INDEX('TH CANAM'!$A$9:$BF$63,MATCH(N87,'TH CANAM'!$A$9:$A$63,0),55),"/"),"")</f>
        <v>/</v>
      </c>
      <c r="S107" s="88"/>
    </row>
    <row r="108" spans="1:19" s="251" customFormat="1" ht="15.75" customHeight="1">
      <c r="A108" s="89"/>
      <c r="B108" s="1146" t="s">
        <v>219</v>
      </c>
      <c r="C108" s="1147"/>
      <c r="D108" s="1147"/>
      <c r="E108" s="1147"/>
      <c r="F108" s="1148"/>
      <c r="G108" s="89"/>
      <c r="H108" s="1146" t="s">
        <v>219</v>
      </c>
      <c r="I108" s="1147"/>
      <c r="J108" s="1147"/>
      <c r="K108" s="1147"/>
      <c r="L108" s="1148"/>
      <c r="M108" s="89"/>
      <c r="N108" s="1146" t="s">
        <v>219</v>
      </c>
      <c r="O108" s="1147"/>
      <c r="P108" s="1147"/>
      <c r="Q108" s="1147"/>
      <c r="R108" s="1148"/>
      <c r="S108" s="89"/>
    </row>
    <row r="109" spans="1:19" s="251" customFormat="1" ht="15.6" customHeight="1">
      <c r="A109" s="89"/>
      <c r="B109" s="1143" t="str">
        <f>IF(B87&lt;&gt;"",IF(INDEX(BDHK2,MATCH(B87,DiemHKII!$B$4:$B$58,0),137)&lt;&gt;""," - "&amp;INDEX(BDHK2,MATCH(B87,DiemHKII!$B$4:$B$58,0),137),""),"")</f>
        <v/>
      </c>
      <c r="C109" s="1144"/>
      <c r="D109" s="1144"/>
      <c r="E109" s="1144"/>
      <c r="F109" s="1145"/>
      <c r="G109" s="89"/>
      <c r="H109" s="1143" t="str">
        <f>IF(H87&lt;&gt;"",IF(INDEX(BDHK2,MATCH(H87,DiemHKII!$B$4:$B$58,0),137)&lt;&gt;""," - "&amp;INDEX(BDHK2,MATCH(H87,DiemHKII!$B$4:$B$58,0),137),""),"")</f>
        <v/>
      </c>
      <c r="I109" s="1144"/>
      <c r="J109" s="1144"/>
      <c r="K109" s="1144"/>
      <c r="L109" s="1145"/>
      <c r="M109" s="89"/>
      <c r="N109" s="1143" t="str">
        <f>IF(N87&lt;&gt;"",IF(INDEX(BDHK2,MATCH(N87,DiemHKII!$B$4:$B$58,0),137)&lt;&gt;""," - "&amp;INDEX(BDHK2,MATCH(N87,DiemHKII!$B$4:$B$58,0),137),""),"")</f>
        <v/>
      </c>
      <c r="O109" s="1144"/>
      <c r="P109" s="1144"/>
      <c r="Q109" s="1144"/>
      <c r="R109" s="1145"/>
      <c r="S109" s="89"/>
    </row>
    <row r="110" spans="1:19" s="251" customFormat="1" ht="15.6" customHeight="1">
      <c r="A110" s="89"/>
      <c r="B110" s="1143" t="str">
        <f>IF(B87&lt;&gt;"",IF(INDEX(BDHK2,MATCH(B87,DiemHKII!$B$4:$B$58,0),138)&lt;&gt;""," - "&amp;INDEX(BDHK2,MATCH(B87,DiemHKII!$B$4:$B$58,0),138),""),"")</f>
        <v/>
      </c>
      <c r="C110" s="1144"/>
      <c r="D110" s="1144"/>
      <c r="E110" s="1144"/>
      <c r="F110" s="1145"/>
      <c r="G110" s="89"/>
      <c r="H110" s="1143" t="str">
        <f>IF(H87&lt;&gt;"",IF(INDEX(BDHK2,MATCH(H87,DiemHKII!$B$4:$B$58,0),138)&lt;&gt;""," - "&amp;INDEX(BDHK2,MATCH(H87,DiemHKII!$B$4:$B$58,0),138),""),"")</f>
        <v/>
      </c>
      <c r="I110" s="1144"/>
      <c r="J110" s="1144"/>
      <c r="K110" s="1144"/>
      <c r="L110" s="1145"/>
      <c r="M110" s="89"/>
      <c r="N110" s="1143" t="str">
        <f>IF(N87&lt;&gt;"",IF(INDEX(BDHK2,MATCH(N87,DiemHKII!$B$4:$B$58,0),138)&lt;&gt;""," - "&amp;INDEX(BDHK2,MATCH(N87,DiemHKII!$B$4:$B$58,0),138),""),"")</f>
        <v/>
      </c>
      <c r="O110" s="1144"/>
      <c r="P110" s="1144"/>
      <c r="Q110" s="1144"/>
      <c r="R110" s="1145"/>
      <c r="S110" s="89"/>
    </row>
    <row r="111" spans="1:19" s="251" customFormat="1" ht="15.6" customHeight="1">
      <c r="A111" s="89"/>
      <c r="B111" s="1143" t="str">
        <f>IF(B87&lt;&gt;"",IF(INDEX(BDHK2,MATCH(B87,DiemHKII!$B$4:$B$58,0),139)&lt;&gt;""," - "&amp;INDEX(BDHK2,MATCH(B87,DiemHKII!$B$4:$B$58,0),139),""),"")</f>
        <v/>
      </c>
      <c r="C111" s="1144"/>
      <c r="D111" s="1144"/>
      <c r="E111" s="1144"/>
      <c r="F111" s="1145"/>
      <c r="G111" s="89"/>
      <c r="H111" s="1143" t="str">
        <f>IF(H87&lt;&gt;"",IF(INDEX(BDHK2,MATCH(H87,DiemHKII!$B$4:$B$58,0),139)&lt;&gt;""," - "&amp;INDEX(BDHK2,MATCH(H87,DiemHKII!$B$4:$B$58,0),139),""),"")</f>
        <v/>
      </c>
      <c r="I111" s="1144"/>
      <c r="J111" s="1144"/>
      <c r="K111" s="1144"/>
      <c r="L111" s="1145"/>
      <c r="M111" s="89"/>
      <c r="N111" s="1143" t="str">
        <f>IF(N87&lt;&gt;"",IF(INDEX(BDHK2,MATCH(N87,DiemHKII!$B$4:$B$58,0),139)&lt;&gt;""," - "&amp;INDEX(BDHK2,MATCH(N87,DiemHKII!$B$4:$B$58,0),139),""),"")</f>
        <v/>
      </c>
      <c r="O111" s="1144"/>
      <c r="P111" s="1144"/>
      <c r="Q111" s="1144"/>
      <c r="R111" s="1145"/>
      <c r="S111" s="89"/>
    </row>
    <row r="112" spans="1:19" s="251" customFormat="1" ht="15.6" customHeight="1">
      <c r="A112" s="89"/>
      <c r="B112" s="1143" t="str">
        <f>IF(B87&lt;&gt;"",IF(INDEX(BDHK2,MATCH(B87,DiemHKII!$B$4:$B$58,0),140)&lt;&gt;""," - "&amp;INDEX(BDHK2,MATCH(B87,DiemHKII!$B$4:$B$58,0),140),""),"")</f>
        <v/>
      </c>
      <c r="C112" s="1144"/>
      <c r="D112" s="1144"/>
      <c r="E112" s="1144"/>
      <c r="F112" s="1145"/>
      <c r="G112" s="89"/>
      <c r="H112" s="1143" t="str">
        <f>IF(H87&lt;&gt;"",IF(INDEX(BDHK2,MATCH(H87,DiemHKII!$B$4:$B$58,0),140)&lt;&gt;""," - "&amp;INDEX(BDHK2,MATCH(H87,DiemHKII!$B$4:$B$58,0),140),""),"")</f>
        <v/>
      </c>
      <c r="I112" s="1144"/>
      <c r="J112" s="1144"/>
      <c r="K112" s="1144"/>
      <c r="L112" s="1145"/>
      <c r="M112" s="89"/>
      <c r="N112" s="1143" t="str">
        <f>IF(N87&lt;&gt;"",IF(INDEX(BDHK2,MATCH(N87,DiemHKII!$B$4:$B$58,0),140)&lt;&gt;""," - "&amp;INDEX(BDHK2,MATCH(N87,DiemHKII!$B$4:$B$58,0),140),""),"")</f>
        <v/>
      </c>
      <c r="O112" s="1144"/>
      <c r="P112" s="1144"/>
      <c r="Q112" s="1144"/>
      <c r="R112" s="1145"/>
      <c r="S112" s="89"/>
    </row>
    <row r="113" spans="1:19" ht="8.25" customHeight="1">
      <c r="A113" s="88"/>
      <c r="B113" s="83"/>
      <c r="C113" s="84"/>
      <c r="D113" s="84"/>
      <c r="E113" s="84"/>
      <c r="F113" s="85"/>
      <c r="G113" s="88"/>
      <c r="H113" s="83"/>
      <c r="I113" s="84"/>
      <c r="J113" s="84"/>
      <c r="K113" s="84"/>
      <c r="L113" s="85"/>
      <c r="M113" s="88"/>
      <c r="N113" s="83"/>
      <c r="O113" s="84"/>
      <c r="P113" s="84"/>
      <c r="Q113" s="84"/>
      <c r="R113" s="85"/>
      <c r="S113" s="88"/>
    </row>
    <row r="114" spans="1:19" ht="6.75" customHeight="1">
      <c r="A114" s="88"/>
      <c r="B114" s="87"/>
      <c r="C114" s="87"/>
      <c r="D114" s="1135"/>
      <c r="E114" s="1135"/>
      <c r="F114" s="1135"/>
      <c r="G114" s="88"/>
      <c r="H114" s="87"/>
      <c r="I114" s="87"/>
      <c r="J114" s="1135"/>
      <c r="K114" s="1135"/>
      <c r="L114" s="1135"/>
      <c r="M114" s="88"/>
      <c r="N114" s="87"/>
      <c r="O114" s="87"/>
      <c r="P114" s="1135"/>
      <c r="Q114" s="1135"/>
      <c r="R114" s="1135"/>
      <c r="S114" s="88"/>
    </row>
    <row r="115" spans="1:19" ht="6.75" customHeight="1">
      <c r="A115" s="88"/>
      <c r="B115" s="87"/>
      <c r="C115" s="87"/>
      <c r="D115" s="1135"/>
      <c r="E115" s="1135"/>
      <c r="F115" s="1135"/>
      <c r="G115" s="88"/>
      <c r="H115" s="87"/>
      <c r="I115" s="87"/>
      <c r="J115" s="1135"/>
      <c r="K115" s="1135"/>
      <c r="L115" s="1135"/>
      <c r="M115" s="88"/>
      <c r="N115" s="87"/>
      <c r="O115" s="87"/>
      <c r="P115" s="1135"/>
      <c r="Q115" s="1135"/>
      <c r="R115" s="1135"/>
      <c r="S115" s="88"/>
    </row>
    <row r="116" spans="1:19" ht="18" customHeight="1">
      <c r="A116" s="88"/>
      <c r="B116" s="477">
        <f>IF(N87="","",IF(N87&lt;MAX(DiemHKII!$B$4:$B$58),N87+1,""))</f>
        <v>13</v>
      </c>
      <c r="C116" s="1140" t="str">
        <f>IF(B116="","",INDEX(DiemHKII!$E$4:$E$58,MATCH(B116,DiemHKII!$B$4:$B$58,0),1)&amp;" "&amp;INDEX(DiemHKII!$F$4:$F$58,MATCH(B116,DiemHKII!$B$4:$B$58,0),1))</f>
        <v>Nguyễn Thị Thu  Hiền</v>
      </c>
      <c r="D116" s="1141"/>
      <c r="E116" s="1142"/>
      <c r="F116" s="86" t="str">
        <f>IF('Huong dan'!$C$3="","",'Huong dan'!$C$3)</f>
        <v>12A1</v>
      </c>
      <c r="G116" s="88"/>
      <c r="H116" s="477">
        <f>IF(B116="","",IF(B116&lt;MAX(DiemHKII!$B$4:$B$58),B116+1,""))</f>
        <v>14</v>
      </c>
      <c r="I116" s="1140" t="str">
        <f>IF(H116="","",INDEX(DiemHKII!$E$4:$E$58,MATCH(H116,DiemHKII!$B$4:$B$58,0),1)&amp;" "&amp;INDEX(DiemHKII!$F$4:$F$58,MATCH(H116,DiemHKII!$B$4:$B$58,0),1))</f>
        <v>Lê Phan Ngọc Hiếu</v>
      </c>
      <c r="J116" s="1141"/>
      <c r="K116" s="1142"/>
      <c r="L116" s="86" t="str">
        <f>IF('Huong dan'!$C$3="","",'Huong dan'!$C$3)</f>
        <v>12A1</v>
      </c>
      <c r="M116" s="88"/>
      <c r="N116" s="477">
        <f>IF(H116="","",IF(H116&lt;MAX(DiemHKII!$B$4:$B$58),H116+1,""))</f>
        <v>15</v>
      </c>
      <c r="O116" s="1140" t="str">
        <f>IF(N116="","",INDEX(DiemHKII!$E$4:$E$58,MATCH(N116,DiemHKII!$B$4:$B$58,0),1)&amp;" "&amp;INDEX(DiemHKII!$F$4:$F$58,MATCH(N116,DiemHKII!$B$4:$B$58,0),1))</f>
        <v>Trần Hoàng Hưng</v>
      </c>
      <c r="P116" s="1141"/>
      <c r="Q116" s="1142"/>
      <c r="R116" s="86" t="str">
        <f>IF('Huong dan'!$C$3="","",'Huong dan'!$C$3)</f>
        <v>12A1</v>
      </c>
      <c r="S116" s="88"/>
    </row>
    <row r="117" spans="1:19" ht="18.75" customHeight="1">
      <c r="A117" s="88"/>
      <c r="B117" s="1136" t="str">
        <f>" Sinh ngày: "&amp;IF(B116="","",INDEX(DiemHKII!$G$4:$G$58,MATCH(B116,DiemHKII!$B$4:$B$58,0),1))</f>
        <v xml:space="preserve"> Sinh ngày: 20/05/2004</v>
      </c>
      <c r="C117" s="1137"/>
      <c r="D117" s="1137"/>
      <c r="E117" s="1138" t="str">
        <f>IF(B116="","","NS: "&amp;INDEX(DiemHKII!$H$4:$H$58,MATCH(B116,DiemHKII!$B$4:$B$58,0),1))</f>
        <v xml:space="preserve">NS: </v>
      </c>
      <c r="F117" s="1139"/>
      <c r="G117" s="88"/>
      <c r="H117" s="1136" t="str">
        <f>" Sinh ngày: "&amp;IF(H116="","",INDEX(DiemHKII!$G$4:$G$58,MATCH(H116,DiemHKII!$B$4:$B$58,0),1))</f>
        <v xml:space="preserve"> Sinh ngày: 01/02/2004</v>
      </c>
      <c r="I117" s="1137"/>
      <c r="J117" s="1137"/>
      <c r="K117" s="1138" t="str">
        <f>IF(H116="","","NS: "&amp;INDEX(DiemHKII!$H$4:$H$58,MATCH(H116,DiemHKII!$B$4:$B$58,0),1))</f>
        <v xml:space="preserve">NS: </v>
      </c>
      <c r="L117" s="1139"/>
      <c r="M117" s="88"/>
      <c r="N117" s="1136" t="str">
        <f>" Sinh ngày: "&amp;IF(N116="","",INDEX(DiemHKII!$G$4:$G$58,MATCH(N116,DiemHKII!$B$4:$B$58,0),1))</f>
        <v xml:space="preserve"> Sinh ngày: 11/06/2004</v>
      </c>
      <c r="O117" s="1137"/>
      <c r="P117" s="1137"/>
      <c r="Q117" s="1138" t="str">
        <f>IF(N116="","","NS: "&amp;INDEX(DiemHKII!$H$4:$H$58,MATCH(N116,DiemHKII!$B$4:$B$58,0),1))</f>
        <v xml:space="preserve">NS: </v>
      </c>
      <c r="R117" s="1139"/>
      <c r="S117" s="88"/>
    </row>
    <row r="118" spans="1:19" ht="15.75" customHeight="1">
      <c r="A118" s="88"/>
      <c r="B118" s="381" t="s">
        <v>0</v>
      </c>
      <c r="C118" s="381" t="s">
        <v>59</v>
      </c>
      <c r="D118" s="381" t="s">
        <v>73</v>
      </c>
      <c r="E118" s="381" t="s">
        <v>176</v>
      </c>
      <c r="F118" s="381" t="s">
        <v>98</v>
      </c>
      <c r="G118" s="88"/>
      <c r="H118" s="381" t="s">
        <v>0</v>
      </c>
      <c r="I118" s="381" t="s">
        <v>59</v>
      </c>
      <c r="J118" s="381" t="s">
        <v>73</v>
      </c>
      <c r="K118" s="381" t="s">
        <v>176</v>
      </c>
      <c r="L118" s="381" t="s">
        <v>98</v>
      </c>
      <c r="M118" s="88"/>
      <c r="N118" s="381" t="s">
        <v>0</v>
      </c>
      <c r="O118" s="381" t="s">
        <v>59</v>
      </c>
      <c r="P118" s="381" t="s">
        <v>73</v>
      </c>
      <c r="Q118" s="381" t="s">
        <v>176</v>
      </c>
      <c r="R118" s="381" t="s">
        <v>98</v>
      </c>
      <c r="S118" s="88"/>
    </row>
    <row r="119" spans="1:19" ht="15.6" customHeight="1">
      <c r="A119" s="88"/>
      <c r="B119" s="79" t="s">
        <v>191</v>
      </c>
      <c r="C119" s="81" t="s">
        <v>26</v>
      </c>
      <c r="D119" s="35">
        <f>IF(B116&lt;&gt;"",IF(INDEX(BDHK2,MATCH(B116,DiemHKII!$B$4:$B$58,0),INDEX($Y$7:$AB$20,MATCH(C119,$Y$7:$Y$20,0),$Z$6))&lt;&gt;"",INDEX(BDHK2,MATCH(B116,DiemHKII!$B$4:$B$58,0),INDEX($Y$7:$AB$20,MATCH(C119,$Y$7:$Y$20,0),$Z$6)),"/"),"")</f>
        <v>9.8000000000000007</v>
      </c>
      <c r="E119" s="35" t="str">
        <f>IF(B116&lt;&gt;"",IF(INDEX(BDHK2,MATCH(B116,DiemHKII!$B$4:$B$58,0),INDEX($Y$7:$AB$20,MATCH(C119,$Y$7:$Y$20,0),$AA$6))&lt;&gt;"",INDEX(BDHK2,MATCH(B116,DiemHKII!$B$4:$B$58,0),INDEX($Y$7:$AB$20,MATCH(C119,$Y$7:$Y$20,0),$AA$6)),"/"),"")</f>
        <v>/</v>
      </c>
      <c r="F119" s="35" t="str">
        <f>IF(B116&lt;&gt;"",IF(INDEX(BDHK2,MATCH(B116,DiemHKII!$B$4:$B$58,0),INDEX($Y$7:$AB$20,MATCH(C119,$Y$7:$Y$20,0),$AB$6))&lt;&gt;"",INDEX(BDHK2,MATCH(B116,DiemHKII!$B$4:$B$58,0),INDEX($Y$7:$AB$20,MATCH(C119,$Y$7:$Y$20,0),$AB$6)),"/"),"")</f>
        <v>/</v>
      </c>
      <c r="G119" s="88"/>
      <c r="H119" s="79" t="s">
        <v>191</v>
      </c>
      <c r="I119" s="81" t="s">
        <v>26</v>
      </c>
      <c r="J119" s="35">
        <f>IF(H116&lt;&gt;"",IF(INDEX(BDHK2,MATCH(H116,DiemHKII!$B$4:$B$58,0),INDEX($Y$7:$AB$20,MATCH(I119,$Y$7:$Y$20,0),$Z$6))&lt;&gt;"",INDEX(BDHK2,MATCH(H116,DiemHKII!$B$4:$B$58,0),INDEX($Y$7:$AB$20,MATCH(I119,$Y$7:$Y$20,0),$Z$6)),"/"),"")</f>
        <v>9.9</v>
      </c>
      <c r="K119" s="35" t="str">
        <f>IF(H116&lt;&gt;"",IF(INDEX(BDHK2,MATCH(H116,DiemHKII!$B$4:$B$58,0),INDEX($Y$7:$AB$20,MATCH(I119,$Y$7:$Y$20,0),$AA$6))&lt;&gt;"",INDEX(BDHK2,MATCH(H116,DiemHKII!$B$4:$B$58,0),INDEX($Y$7:$AB$20,MATCH(I119,$Y$7:$Y$20,0),$AA$6)),"/"),"")</f>
        <v>/</v>
      </c>
      <c r="L119" s="35" t="str">
        <f>IF(H116&lt;&gt;"",IF(INDEX(BDHK2,MATCH(H116,DiemHKII!$B$4:$B$58,0),INDEX($Y$7:$AB$20,MATCH(I119,$Y$7:$Y$20,0),$AB$6))&lt;&gt;"",INDEX(BDHK2,MATCH(H116,DiemHKII!$B$4:$B$58,0),INDEX($Y$7:$AB$20,MATCH(I119,$Y$7:$Y$20,0),$AB$6)),"/"),"")</f>
        <v>/</v>
      </c>
      <c r="M119" s="88"/>
      <c r="N119" s="79" t="s">
        <v>191</v>
      </c>
      <c r="O119" s="81" t="s">
        <v>26</v>
      </c>
      <c r="P119" s="35">
        <f>IF(N116&lt;&gt;"",IF(INDEX(BDHK2,MATCH(N116,DiemHKII!$B$4:$B$58,0),INDEX($Y$7:$AB$20,MATCH(O119,$Y$7:$Y$20,0),$Z$6))&lt;&gt;"",INDEX(BDHK2,MATCH(N116,DiemHKII!$B$4:$B$58,0),INDEX($Y$7:$AB$20,MATCH(O119,$Y$7:$Y$20,0),$Z$6)),"/"),"")</f>
        <v>9.6999999999999993</v>
      </c>
      <c r="Q119" s="35" t="str">
        <f>IF(N116&lt;&gt;"",IF(INDEX(BDHK2,MATCH(N116,DiemHKII!$B$4:$B$58,0),INDEX($Y$7:$AB$20,MATCH(O119,$Y$7:$Y$20,0),$AA$6))&lt;&gt;"",INDEX(BDHK2,MATCH(N116,DiemHKII!$B$4:$B$58,0),INDEX($Y$7:$AB$20,MATCH(O119,$Y$7:$Y$20,0),$AA$6)),"/"),"")</f>
        <v>/</v>
      </c>
      <c r="R119" s="35" t="str">
        <f>IF(N116&lt;&gt;"",IF(INDEX(BDHK2,MATCH(N116,DiemHKII!$B$4:$B$58,0),INDEX($Y$7:$AB$20,MATCH(O119,$Y$7:$Y$20,0),$AB$6))&lt;&gt;"",INDEX(BDHK2,MATCH(N116,DiemHKII!$B$4:$B$58,0),INDEX($Y$7:$AB$20,MATCH(O119,$Y$7:$Y$20,0),$AB$6)),"/"),"")</f>
        <v>/</v>
      </c>
      <c r="S119" s="88"/>
    </row>
    <row r="120" spans="1:19" ht="15.6" customHeight="1">
      <c r="A120" s="88"/>
      <c r="B120" s="79" t="s">
        <v>192</v>
      </c>
      <c r="C120" s="81" t="s">
        <v>27</v>
      </c>
      <c r="D120" s="35">
        <f>IF(B116&lt;&gt;"",IF(INDEX(BDHK2,MATCH(B116,DiemHKII!$B$4:$B$58,0),INDEX($Y$7:$AB$20,MATCH(C120,$Y$7:$Y$20,0),$Z$6))&lt;&gt;"",INDEX(BDHK2,MATCH(B116,DiemHKII!$B$4:$B$58,0),INDEX($Y$7:$AB$20,MATCH(C120,$Y$7:$Y$20,0),$Z$6)),"/"),"")</f>
        <v>9.9</v>
      </c>
      <c r="E120" s="35" t="str">
        <f>IF(B116&lt;&gt;"",IF(INDEX(BDHK2,MATCH(B116,DiemHKII!$B$4:$B$58,0),INDEX($Y$7:$AB$20,MATCH(C120,$Y$7:$Y$20,0),$AA$6))&lt;&gt;"",INDEX(BDHK2,MATCH(B116,DiemHKII!$B$4:$B$58,0),INDEX($Y$7:$AB$20,MATCH(C120,$Y$7:$Y$20,0),$AA$6)),"/"),"")</f>
        <v>/</v>
      </c>
      <c r="F120" s="35" t="str">
        <f>IF(B116&lt;&gt;"",IF(INDEX(BDHK2,MATCH(B116,DiemHKII!$B$4:$B$58,0),INDEX($Y$7:$AB$20,MATCH(C120,$Y$7:$Y$20,0),$AB$6))&lt;&gt;"",INDEX(BDHK2,MATCH(B116,DiemHKII!$B$4:$B$58,0),INDEX($Y$7:$AB$20,MATCH(C120,$Y$7:$Y$20,0),$AB$6)),"/"),"")</f>
        <v>/</v>
      </c>
      <c r="G120" s="88"/>
      <c r="H120" s="79" t="s">
        <v>192</v>
      </c>
      <c r="I120" s="81" t="s">
        <v>27</v>
      </c>
      <c r="J120" s="35">
        <f>IF(H116&lt;&gt;"",IF(INDEX(BDHK2,MATCH(H116,DiemHKII!$B$4:$B$58,0),INDEX($Y$7:$AB$20,MATCH(I120,$Y$7:$Y$20,0),$Z$6))&lt;&gt;"",INDEX(BDHK2,MATCH(H116,DiemHKII!$B$4:$B$58,0),INDEX($Y$7:$AB$20,MATCH(I120,$Y$7:$Y$20,0),$Z$6)),"/"),"")</f>
        <v>9.9</v>
      </c>
      <c r="K120" s="35" t="str">
        <f>IF(H116&lt;&gt;"",IF(INDEX(BDHK2,MATCH(H116,DiemHKII!$B$4:$B$58,0),INDEX($Y$7:$AB$20,MATCH(I120,$Y$7:$Y$20,0),$AA$6))&lt;&gt;"",INDEX(BDHK2,MATCH(H116,DiemHKII!$B$4:$B$58,0),INDEX($Y$7:$AB$20,MATCH(I120,$Y$7:$Y$20,0),$AA$6)),"/"),"")</f>
        <v>/</v>
      </c>
      <c r="L120" s="35" t="str">
        <f>IF(H116&lt;&gt;"",IF(INDEX(BDHK2,MATCH(H116,DiemHKII!$B$4:$B$58,0),INDEX($Y$7:$AB$20,MATCH(I120,$Y$7:$Y$20,0),$AB$6))&lt;&gt;"",INDEX(BDHK2,MATCH(H116,DiemHKII!$B$4:$B$58,0),INDEX($Y$7:$AB$20,MATCH(I120,$Y$7:$Y$20,0),$AB$6)),"/"),"")</f>
        <v>/</v>
      </c>
      <c r="M120" s="88"/>
      <c r="N120" s="79" t="s">
        <v>192</v>
      </c>
      <c r="O120" s="81" t="s">
        <v>27</v>
      </c>
      <c r="P120" s="35">
        <f>IF(N116&lt;&gt;"",IF(INDEX(BDHK2,MATCH(N116,DiemHKII!$B$4:$B$58,0),INDEX($Y$7:$AB$20,MATCH(O120,$Y$7:$Y$20,0),$Z$6))&lt;&gt;"",INDEX(BDHK2,MATCH(N116,DiemHKII!$B$4:$B$58,0),INDEX($Y$7:$AB$20,MATCH(O120,$Y$7:$Y$20,0),$Z$6)),"/"),"")</f>
        <v>9.8000000000000007</v>
      </c>
      <c r="Q120" s="35" t="str">
        <f>IF(N116&lt;&gt;"",IF(INDEX(BDHK2,MATCH(N116,DiemHKII!$B$4:$B$58,0),INDEX($Y$7:$AB$20,MATCH(O120,$Y$7:$Y$20,0),$AA$6))&lt;&gt;"",INDEX(BDHK2,MATCH(N116,DiemHKII!$B$4:$B$58,0),INDEX($Y$7:$AB$20,MATCH(O120,$Y$7:$Y$20,0),$AA$6)),"/"),"")</f>
        <v>/</v>
      </c>
      <c r="R120" s="35" t="str">
        <f>IF(N116&lt;&gt;"",IF(INDEX(BDHK2,MATCH(N116,DiemHKII!$B$4:$B$58,0),INDEX($Y$7:$AB$20,MATCH(O120,$Y$7:$Y$20,0),$AB$6))&lt;&gt;"",INDEX(BDHK2,MATCH(N116,DiemHKII!$B$4:$B$58,0),INDEX($Y$7:$AB$20,MATCH(O120,$Y$7:$Y$20,0),$AB$6)),"/"),"")</f>
        <v>/</v>
      </c>
      <c r="S120" s="88"/>
    </row>
    <row r="121" spans="1:19" ht="15.6" customHeight="1">
      <c r="A121" s="88"/>
      <c r="B121" s="79" t="s">
        <v>193</v>
      </c>
      <c r="C121" s="81" t="s">
        <v>28</v>
      </c>
      <c r="D121" s="35">
        <f>IF(B116&lt;&gt;"",IF(INDEX(BDHK2,MATCH(B116,DiemHKII!$B$4:$B$58,0),INDEX($Y$7:$AB$20,MATCH(C121,$Y$7:$Y$20,0),$Z$6))&lt;&gt;"",INDEX(BDHK2,MATCH(B116,DiemHKII!$B$4:$B$58,0),INDEX($Y$7:$AB$20,MATCH(C121,$Y$7:$Y$20,0),$Z$6)),"/"),"")</f>
        <v>9.6</v>
      </c>
      <c r="E121" s="35" t="str">
        <f>IF(B116&lt;&gt;"",IF(INDEX(BDHK2,MATCH(B116,DiemHKII!$B$4:$B$58,0),INDEX($Y$7:$AB$20,MATCH(C121,$Y$7:$Y$20,0),$AA$6))&lt;&gt;"",INDEX(BDHK2,MATCH(B116,DiemHKII!$B$4:$B$58,0),INDEX($Y$7:$AB$20,MATCH(C121,$Y$7:$Y$20,0),$AA$6)),"/"),"")</f>
        <v>/</v>
      </c>
      <c r="F121" s="35" t="str">
        <f>IF(B116&lt;&gt;"",IF(INDEX(BDHK2,MATCH(B116,DiemHKII!$B$4:$B$58,0),INDEX($Y$7:$AB$20,MATCH(C121,$Y$7:$Y$20,0),$AB$6))&lt;&gt;"",INDEX(BDHK2,MATCH(B116,DiemHKII!$B$4:$B$58,0),INDEX($Y$7:$AB$20,MATCH(C121,$Y$7:$Y$20,0),$AB$6)),"/"),"")</f>
        <v>/</v>
      </c>
      <c r="G121" s="88"/>
      <c r="H121" s="79" t="s">
        <v>193</v>
      </c>
      <c r="I121" s="81" t="s">
        <v>28</v>
      </c>
      <c r="J121" s="35">
        <f>IF(H116&lt;&gt;"",IF(INDEX(BDHK2,MATCH(H116,DiemHKII!$B$4:$B$58,0),INDEX($Y$7:$AB$20,MATCH(I121,$Y$7:$Y$20,0),$Z$6))&lt;&gt;"",INDEX(BDHK2,MATCH(H116,DiemHKII!$B$4:$B$58,0),INDEX($Y$7:$AB$20,MATCH(I121,$Y$7:$Y$20,0),$Z$6)),"/"),"")</f>
        <v>9.1999999999999993</v>
      </c>
      <c r="K121" s="35" t="str">
        <f>IF(H116&lt;&gt;"",IF(INDEX(BDHK2,MATCH(H116,DiemHKII!$B$4:$B$58,0),INDEX($Y$7:$AB$20,MATCH(I121,$Y$7:$Y$20,0),$AA$6))&lt;&gt;"",INDEX(BDHK2,MATCH(H116,DiemHKII!$B$4:$B$58,0),INDEX($Y$7:$AB$20,MATCH(I121,$Y$7:$Y$20,0),$AA$6)),"/"),"")</f>
        <v>/</v>
      </c>
      <c r="L121" s="35" t="str">
        <f>IF(H116&lt;&gt;"",IF(INDEX(BDHK2,MATCH(H116,DiemHKII!$B$4:$B$58,0),INDEX($Y$7:$AB$20,MATCH(I121,$Y$7:$Y$20,0),$AB$6))&lt;&gt;"",INDEX(BDHK2,MATCH(H116,DiemHKII!$B$4:$B$58,0),INDEX($Y$7:$AB$20,MATCH(I121,$Y$7:$Y$20,0),$AB$6)),"/"),"")</f>
        <v>/</v>
      </c>
      <c r="M121" s="88"/>
      <c r="N121" s="79" t="s">
        <v>193</v>
      </c>
      <c r="O121" s="81" t="s">
        <v>28</v>
      </c>
      <c r="P121" s="35">
        <f>IF(N116&lt;&gt;"",IF(INDEX(BDHK2,MATCH(N116,DiemHKII!$B$4:$B$58,0),INDEX($Y$7:$AB$20,MATCH(O121,$Y$7:$Y$20,0),$Z$6))&lt;&gt;"",INDEX(BDHK2,MATCH(N116,DiemHKII!$B$4:$B$58,0),INDEX($Y$7:$AB$20,MATCH(O121,$Y$7:$Y$20,0),$Z$6)),"/"),"")</f>
        <v>9</v>
      </c>
      <c r="Q121" s="35" t="str">
        <f>IF(N116&lt;&gt;"",IF(INDEX(BDHK2,MATCH(N116,DiemHKII!$B$4:$B$58,0),INDEX($Y$7:$AB$20,MATCH(O121,$Y$7:$Y$20,0),$AA$6))&lt;&gt;"",INDEX(BDHK2,MATCH(N116,DiemHKII!$B$4:$B$58,0),INDEX($Y$7:$AB$20,MATCH(O121,$Y$7:$Y$20,0),$AA$6)),"/"),"")</f>
        <v>/</v>
      </c>
      <c r="R121" s="35" t="str">
        <f>IF(N116&lt;&gt;"",IF(INDEX(BDHK2,MATCH(N116,DiemHKII!$B$4:$B$58,0),INDEX($Y$7:$AB$20,MATCH(O121,$Y$7:$Y$20,0),$AB$6))&lt;&gt;"",INDEX(BDHK2,MATCH(N116,DiemHKII!$B$4:$B$58,0),INDEX($Y$7:$AB$20,MATCH(O121,$Y$7:$Y$20,0),$AB$6)),"/"),"")</f>
        <v>/</v>
      </c>
      <c r="S121" s="88"/>
    </row>
    <row r="122" spans="1:19" ht="15.6" customHeight="1">
      <c r="A122" s="88"/>
      <c r="B122" s="79" t="s">
        <v>194</v>
      </c>
      <c r="C122" s="81" t="s">
        <v>29</v>
      </c>
      <c r="D122" s="35">
        <f>IF(B116&lt;&gt;"",IF(INDEX(BDHK2,MATCH(B116,DiemHKII!$B$4:$B$58,0),INDEX($Y$7:$AB$20,MATCH(C122,$Y$7:$Y$20,0),$Z$6))&lt;&gt;"",INDEX(BDHK2,MATCH(B116,DiemHKII!$B$4:$B$58,0),INDEX($Y$7:$AB$20,MATCH(C122,$Y$7:$Y$20,0),$Z$6)),"/"),"")</f>
        <v>9.3000000000000007</v>
      </c>
      <c r="E122" s="35" t="str">
        <f>IF(B116&lt;&gt;"",IF(INDEX(BDHK2,MATCH(B116,DiemHKII!$B$4:$B$58,0),INDEX($Y$7:$AB$20,MATCH(C122,$Y$7:$Y$20,0),$AA$6))&lt;&gt;"",INDEX(BDHK2,MATCH(B116,DiemHKII!$B$4:$B$58,0),INDEX($Y$7:$AB$20,MATCH(C122,$Y$7:$Y$20,0),$AA$6)),"/"),"")</f>
        <v>/</v>
      </c>
      <c r="F122" s="35" t="str">
        <f>IF(B116&lt;&gt;"",IF(INDEX(BDHK2,MATCH(B116,DiemHKII!$B$4:$B$58,0),INDEX($Y$7:$AB$20,MATCH(C122,$Y$7:$Y$20,0),$AB$6))&lt;&gt;"",INDEX(BDHK2,MATCH(B116,DiemHKII!$B$4:$B$58,0),INDEX($Y$7:$AB$20,MATCH(C122,$Y$7:$Y$20,0),$AB$6)),"/"),"")</f>
        <v>/</v>
      </c>
      <c r="G122" s="88"/>
      <c r="H122" s="79" t="s">
        <v>194</v>
      </c>
      <c r="I122" s="81" t="s">
        <v>29</v>
      </c>
      <c r="J122" s="35">
        <f>IF(H116&lt;&gt;"",IF(INDEX(BDHK2,MATCH(H116,DiemHKII!$B$4:$B$58,0),INDEX($Y$7:$AB$20,MATCH(I122,$Y$7:$Y$20,0),$Z$6))&lt;&gt;"",INDEX(BDHK2,MATCH(H116,DiemHKII!$B$4:$B$58,0),INDEX($Y$7:$AB$20,MATCH(I122,$Y$7:$Y$20,0),$Z$6)),"/"),"")</f>
        <v>9</v>
      </c>
      <c r="K122" s="35" t="str">
        <f>IF(H116&lt;&gt;"",IF(INDEX(BDHK2,MATCH(H116,DiemHKII!$B$4:$B$58,0),INDEX($Y$7:$AB$20,MATCH(I122,$Y$7:$Y$20,0),$AA$6))&lt;&gt;"",INDEX(BDHK2,MATCH(H116,DiemHKII!$B$4:$B$58,0),INDEX($Y$7:$AB$20,MATCH(I122,$Y$7:$Y$20,0),$AA$6)),"/"),"")</f>
        <v>/</v>
      </c>
      <c r="L122" s="35" t="str">
        <f>IF(H116&lt;&gt;"",IF(INDEX(BDHK2,MATCH(H116,DiemHKII!$B$4:$B$58,0),INDEX($Y$7:$AB$20,MATCH(I122,$Y$7:$Y$20,0),$AB$6))&lt;&gt;"",INDEX(BDHK2,MATCH(H116,DiemHKII!$B$4:$B$58,0),INDEX($Y$7:$AB$20,MATCH(I122,$Y$7:$Y$20,0),$AB$6)),"/"),"")</f>
        <v>/</v>
      </c>
      <c r="M122" s="88"/>
      <c r="N122" s="79" t="s">
        <v>194</v>
      </c>
      <c r="O122" s="81" t="s">
        <v>29</v>
      </c>
      <c r="P122" s="35">
        <f>IF(N116&lt;&gt;"",IF(INDEX(BDHK2,MATCH(N116,DiemHKII!$B$4:$B$58,0),INDEX($Y$7:$AB$20,MATCH(O122,$Y$7:$Y$20,0),$Z$6))&lt;&gt;"",INDEX(BDHK2,MATCH(N116,DiemHKII!$B$4:$B$58,0),INDEX($Y$7:$AB$20,MATCH(O122,$Y$7:$Y$20,0),$Z$6)),"/"),"")</f>
        <v>8.8000000000000007</v>
      </c>
      <c r="Q122" s="35" t="str">
        <f>IF(N116&lt;&gt;"",IF(INDEX(BDHK2,MATCH(N116,DiemHKII!$B$4:$B$58,0),INDEX($Y$7:$AB$20,MATCH(O122,$Y$7:$Y$20,0),$AA$6))&lt;&gt;"",INDEX(BDHK2,MATCH(N116,DiemHKII!$B$4:$B$58,0),INDEX($Y$7:$AB$20,MATCH(O122,$Y$7:$Y$20,0),$AA$6)),"/"),"")</f>
        <v>/</v>
      </c>
      <c r="R122" s="35" t="str">
        <f>IF(N116&lt;&gt;"",IF(INDEX(BDHK2,MATCH(N116,DiemHKII!$B$4:$B$58,0),INDEX($Y$7:$AB$20,MATCH(O122,$Y$7:$Y$20,0),$AB$6))&lt;&gt;"",INDEX(BDHK2,MATCH(N116,DiemHKII!$B$4:$B$58,0),INDEX($Y$7:$AB$20,MATCH(O122,$Y$7:$Y$20,0),$AB$6)),"/"),"")</f>
        <v>/</v>
      </c>
      <c r="S122" s="88"/>
    </row>
    <row r="123" spans="1:19" ht="15.6" customHeight="1">
      <c r="A123" s="88"/>
      <c r="B123" s="79" t="s">
        <v>195</v>
      </c>
      <c r="C123" s="81" t="s">
        <v>120</v>
      </c>
      <c r="D123" s="35">
        <f>IF(B116&lt;&gt;"",IF(INDEX(BDHK2,MATCH(B116,DiemHKII!$B$4:$B$58,0),INDEX($Y$7:$AB$20,MATCH(C123,$Y$7:$Y$20,0),$Z$6))&lt;&gt;"",INDEX(BDHK2,MATCH(B116,DiemHKII!$B$4:$B$58,0),INDEX($Y$7:$AB$20,MATCH(C123,$Y$7:$Y$20,0),$Z$6)),"/"),"")</f>
        <v>9.6</v>
      </c>
      <c r="E123" s="35" t="str">
        <f>IF(B116&lt;&gt;"",IF(INDEX(BDHK2,MATCH(B116,DiemHKII!$B$4:$B$58,0),INDEX($Y$7:$AB$20,MATCH(C123,$Y$7:$Y$20,0),$AA$6))&lt;&gt;"",INDEX(BDHK2,MATCH(B116,DiemHKII!$B$4:$B$58,0),INDEX($Y$7:$AB$20,MATCH(C123,$Y$7:$Y$20,0),$AA$6)),"/"),"")</f>
        <v>/</v>
      </c>
      <c r="F123" s="35" t="str">
        <f>IF(B116&lt;&gt;"",IF(INDEX(BDHK2,MATCH(B116,DiemHKII!$B$4:$B$58,0),INDEX($Y$7:$AB$20,MATCH(C123,$Y$7:$Y$20,0),$AB$6))&lt;&gt;"",INDEX(BDHK2,MATCH(B116,DiemHKII!$B$4:$B$58,0),INDEX($Y$7:$AB$20,MATCH(C123,$Y$7:$Y$20,0),$AB$6)),"/"),"")</f>
        <v>/</v>
      </c>
      <c r="G123" s="88"/>
      <c r="H123" s="79" t="s">
        <v>195</v>
      </c>
      <c r="I123" s="81" t="s">
        <v>120</v>
      </c>
      <c r="J123" s="35">
        <f>IF(H116&lt;&gt;"",IF(INDEX(BDHK2,MATCH(H116,DiemHKII!$B$4:$B$58,0),INDEX($Y$7:$AB$20,MATCH(I123,$Y$7:$Y$20,0),$Z$6))&lt;&gt;"",INDEX(BDHK2,MATCH(H116,DiemHKII!$B$4:$B$58,0),INDEX($Y$7:$AB$20,MATCH(I123,$Y$7:$Y$20,0),$Z$6)),"/"),"")</f>
        <v>9.6</v>
      </c>
      <c r="K123" s="35" t="str">
        <f>IF(H116&lt;&gt;"",IF(INDEX(BDHK2,MATCH(H116,DiemHKII!$B$4:$B$58,0),INDEX($Y$7:$AB$20,MATCH(I123,$Y$7:$Y$20,0),$AA$6))&lt;&gt;"",INDEX(BDHK2,MATCH(H116,DiemHKII!$B$4:$B$58,0),INDEX($Y$7:$AB$20,MATCH(I123,$Y$7:$Y$20,0),$AA$6)),"/"),"")</f>
        <v>/</v>
      </c>
      <c r="L123" s="35" t="str">
        <f>IF(H116&lt;&gt;"",IF(INDEX(BDHK2,MATCH(H116,DiemHKII!$B$4:$B$58,0),INDEX($Y$7:$AB$20,MATCH(I123,$Y$7:$Y$20,0),$AB$6))&lt;&gt;"",INDEX(BDHK2,MATCH(H116,DiemHKII!$B$4:$B$58,0),INDEX($Y$7:$AB$20,MATCH(I123,$Y$7:$Y$20,0),$AB$6)),"/"),"")</f>
        <v>/</v>
      </c>
      <c r="M123" s="88"/>
      <c r="N123" s="79" t="s">
        <v>195</v>
      </c>
      <c r="O123" s="81" t="s">
        <v>120</v>
      </c>
      <c r="P123" s="35">
        <f>IF(N116&lt;&gt;"",IF(INDEX(BDHK2,MATCH(N116,DiemHKII!$B$4:$B$58,0),INDEX($Y$7:$AB$20,MATCH(O123,$Y$7:$Y$20,0),$Z$6))&lt;&gt;"",INDEX(BDHK2,MATCH(N116,DiemHKII!$B$4:$B$58,0),INDEX($Y$7:$AB$20,MATCH(O123,$Y$7:$Y$20,0),$Z$6)),"/"),"")</f>
        <v>9.8000000000000007</v>
      </c>
      <c r="Q123" s="35" t="str">
        <f>IF(N116&lt;&gt;"",IF(INDEX(BDHK2,MATCH(N116,DiemHKII!$B$4:$B$58,0),INDEX($Y$7:$AB$20,MATCH(O123,$Y$7:$Y$20,0),$AA$6))&lt;&gt;"",INDEX(BDHK2,MATCH(N116,DiemHKII!$B$4:$B$58,0),INDEX($Y$7:$AB$20,MATCH(O123,$Y$7:$Y$20,0),$AA$6)),"/"),"")</f>
        <v>/</v>
      </c>
      <c r="R123" s="35" t="str">
        <f>IF(N116&lt;&gt;"",IF(INDEX(BDHK2,MATCH(N116,DiemHKII!$B$4:$B$58,0),INDEX($Y$7:$AB$20,MATCH(O123,$Y$7:$Y$20,0),$AB$6))&lt;&gt;"",INDEX(BDHK2,MATCH(N116,DiemHKII!$B$4:$B$58,0),INDEX($Y$7:$AB$20,MATCH(O123,$Y$7:$Y$20,0),$AB$6)),"/"),"")</f>
        <v>/</v>
      </c>
      <c r="S123" s="88"/>
    </row>
    <row r="124" spans="1:19" ht="15.6" customHeight="1">
      <c r="A124" s="88"/>
      <c r="B124" s="79" t="s">
        <v>196</v>
      </c>
      <c r="C124" s="81" t="s">
        <v>30</v>
      </c>
      <c r="D124" s="35">
        <f>IF(B116&lt;&gt;"",IF(INDEX(BDHK2,MATCH(B116,DiemHKII!$B$4:$B$58,0),INDEX($Y$7:$AB$20,MATCH(C124,$Y$7:$Y$20,0),$Z$6))&lt;&gt;"",INDEX(BDHK2,MATCH(B116,DiemHKII!$B$4:$B$58,0),INDEX($Y$7:$AB$20,MATCH(C124,$Y$7:$Y$20,0),$Z$6)),"/"),"")</f>
        <v>8.3000000000000007</v>
      </c>
      <c r="E124" s="35" t="str">
        <f>IF(B116&lt;&gt;"",IF(INDEX(BDHK2,MATCH(B116,DiemHKII!$B$4:$B$58,0),INDEX($Y$7:$AB$20,MATCH(C124,$Y$7:$Y$20,0),$AA$6))&lt;&gt;"",INDEX(BDHK2,MATCH(B116,DiemHKII!$B$4:$B$58,0),INDEX($Y$7:$AB$20,MATCH(C124,$Y$7:$Y$20,0),$AA$6)),"/"),"")</f>
        <v>/</v>
      </c>
      <c r="F124" s="35" t="str">
        <f>IF(B116&lt;&gt;"",IF(INDEX(BDHK2,MATCH(B116,DiemHKII!$B$4:$B$58,0),INDEX($Y$7:$AB$20,MATCH(C124,$Y$7:$Y$20,0),$AB$6))&lt;&gt;"",INDEX(BDHK2,MATCH(B116,DiemHKII!$B$4:$B$58,0),INDEX($Y$7:$AB$20,MATCH(C124,$Y$7:$Y$20,0),$AB$6)),"/"),"")</f>
        <v>/</v>
      </c>
      <c r="G124" s="88"/>
      <c r="H124" s="79" t="s">
        <v>196</v>
      </c>
      <c r="I124" s="81" t="s">
        <v>30</v>
      </c>
      <c r="J124" s="35">
        <f>IF(H116&lt;&gt;"",IF(INDEX(BDHK2,MATCH(H116,DiemHKII!$B$4:$B$58,0),INDEX($Y$7:$AB$20,MATCH(I124,$Y$7:$Y$20,0),$Z$6))&lt;&gt;"",INDEX(BDHK2,MATCH(H116,DiemHKII!$B$4:$B$58,0),INDEX($Y$7:$AB$20,MATCH(I124,$Y$7:$Y$20,0),$Z$6)),"/"),"")</f>
        <v>7.2</v>
      </c>
      <c r="K124" s="35" t="str">
        <f>IF(H116&lt;&gt;"",IF(INDEX(BDHK2,MATCH(H116,DiemHKII!$B$4:$B$58,0),INDEX($Y$7:$AB$20,MATCH(I124,$Y$7:$Y$20,0),$AA$6))&lt;&gt;"",INDEX(BDHK2,MATCH(H116,DiemHKII!$B$4:$B$58,0),INDEX($Y$7:$AB$20,MATCH(I124,$Y$7:$Y$20,0),$AA$6)),"/"),"")</f>
        <v>/</v>
      </c>
      <c r="L124" s="35" t="str">
        <f>IF(H116&lt;&gt;"",IF(INDEX(BDHK2,MATCH(H116,DiemHKII!$B$4:$B$58,0),INDEX($Y$7:$AB$20,MATCH(I124,$Y$7:$Y$20,0),$AB$6))&lt;&gt;"",INDEX(BDHK2,MATCH(H116,DiemHKII!$B$4:$B$58,0),INDEX($Y$7:$AB$20,MATCH(I124,$Y$7:$Y$20,0),$AB$6)),"/"),"")</f>
        <v>/</v>
      </c>
      <c r="M124" s="88"/>
      <c r="N124" s="79" t="s">
        <v>196</v>
      </c>
      <c r="O124" s="81" t="s">
        <v>30</v>
      </c>
      <c r="P124" s="35">
        <f>IF(N116&lt;&gt;"",IF(INDEX(BDHK2,MATCH(N116,DiemHKII!$B$4:$B$58,0),INDEX($Y$7:$AB$20,MATCH(O124,$Y$7:$Y$20,0),$Z$6))&lt;&gt;"",INDEX(BDHK2,MATCH(N116,DiemHKII!$B$4:$B$58,0),INDEX($Y$7:$AB$20,MATCH(O124,$Y$7:$Y$20,0),$Z$6)),"/"),"")</f>
        <v>7.5</v>
      </c>
      <c r="Q124" s="35" t="str">
        <f>IF(N116&lt;&gt;"",IF(INDEX(BDHK2,MATCH(N116,DiemHKII!$B$4:$B$58,0),INDEX($Y$7:$AB$20,MATCH(O124,$Y$7:$Y$20,0),$AA$6))&lt;&gt;"",INDEX(BDHK2,MATCH(N116,DiemHKII!$B$4:$B$58,0),INDEX($Y$7:$AB$20,MATCH(O124,$Y$7:$Y$20,0),$AA$6)),"/"),"")</f>
        <v>/</v>
      </c>
      <c r="R124" s="35" t="str">
        <f>IF(N116&lt;&gt;"",IF(INDEX(BDHK2,MATCH(N116,DiemHKII!$B$4:$B$58,0),INDEX($Y$7:$AB$20,MATCH(O124,$Y$7:$Y$20,0),$AB$6))&lt;&gt;"",INDEX(BDHK2,MATCH(N116,DiemHKII!$B$4:$B$58,0),INDEX($Y$7:$AB$20,MATCH(O124,$Y$7:$Y$20,0),$AB$6)),"/"),"")</f>
        <v>/</v>
      </c>
      <c r="S124" s="88"/>
    </row>
    <row r="125" spans="1:19" ht="15.6" customHeight="1">
      <c r="A125" s="88"/>
      <c r="B125" s="79" t="s">
        <v>197</v>
      </c>
      <c r="C125" s="81" t="s">
        <v>31</v>
      </c>
      <c r="D125" s="35">
        <f>IF(B116&lt;&gt;"",IF(INDEX(BDHK2,MATCH(B116,DiemHKII!$B$4:$B$58,0),INDEX($Y$7:$AB$20,MATCH(C125,$Y$7:$Y$20,0),$Z$6))&lt;&gt;"",INDEX(BDHK2,MATCH(B116,DiemHKII!$B$4:$B$58,0),INDEX($Y$7:$AB$20,MATCH(C125,$Y$7:$Y$20,0),$Z$6)),"/"),"")</f>
        <v>9.9</v>
      </c>
      <c r="E125" s="35" t="str">
        <f>IF(B116&lt;&gt;"",IF(INDEX(BDHK2,MATCH(B116,DiemHKII!$B$4:$B$58,0),INDEX($Y$7:$AB$20,MATCH(C125,$Y$7:$Y$20,0),$AA$6))&lt;&gt;"",INDEX(BDHK2,MATCH(B116,DiemHKII!$B$4:$B$58,0),INDEX($Y$7:$AB$20,MATCH(C125,$Y$7:$Y$20,0),$AA$6)),"/"),"")</f>
        <v>/</v>
      </c>
      <c r="F125" s="35" t="str">
        <f>IF(B116&lt;&gt;"",IF(INDEX(BDHK2,MATCH(B116,DiemHKII!$B$4:$B$58,0),INDEX($Y$7:$AB$20,MATCH(C125,$Y$7:$Y$20,0),$AB$6))&lt;&gt;"",INDEX(BDHK2,MATCH(B116,DiemHKII!$B$4:$B$58,0),INDEX($Y$7:$AB$20,MATCH(C125,$Y$7:$Y$20,0),$AB$6)),"/"),"")</f>
        <v>/</v>
      </c>
      <c r="G125" s="88"/>
      <c r="H125" s="79" t="s">
        <v>197</v>
      </c>
      <c r="I125" s="81" t="s">
        <v>31</v>
      </c>
      <c r="J125" s="35">
        <f>IF(H116&lt;&gt;"",IF(INDEX(BDHK2,MATCH(H116,DiemHKII!$B$4:$B$58,0),INDEX($Y$7:$AB$20,MATCH(I125,$Y$7:$Y$20,0),$Z$6))&lt;&gt;"",INDEX(BDHK2,MATCH(H116,DiemHKII!$B$4:$B$58,0),INDEX($Y$7:$AB$20,MATCH(I125,$Y$7:$Y$20,0),$Z$6)),"/"),"")</f>
        <v>9.4</v>
      </c>
      <c r="K125" s="35" t="str">
        <f>IF(H116&lt;&gt;"",IF(INDEX(BDHK2,MATCH(H116,DiemHKII!$B$4:$B$58,0),INDEX($Y$7:$AB$20,MATCH(I125,$Y$7:$Y$20,0),$AA$6))&lt;&gt;"",INDEX(BDHK2,MATCH(H116,DiemHKII!$B$4:$B$58,0),INDEX($Y$7:$AB$20,MATCH(I125,$Y$7:$Y$20,0),$AA$6)),"/"),"")</f>
        <v>/</v>
      </c>
      <c r="L125" s="35" t="str">
        <f>IF(H116&lt;&gt;"",IF(INDEX(BDHK2,MATCH(H116,DiemHKII!$B$4:$B$58,0),INDEX($Y$7:$AB$20,MATCH(I125,$Y$7:$Y$20,0),$AB$6))&lt;&gt;"",INDEX(BDHK2,MATCH(H116,DiemHKII!$B$4:$B$58,0),INDEX($Y$7:$AB$20,MATCH(I125,$Y$7:$Y$20,0),$AB$6)),"/"),"")</f>
        <v>/</v>
      </c>
      <c r="M125" s="88"/>
      <c r="N125" s="79" t="s">
        <v>197</v>
      </c>
      <c r="O125" s="81" t="s">
        <v>31</v>
      </c>
      <c r="P125" s="35">
        <f>IF(N116&lt;&gt;"",IF(INDEX(BDHK2,MATCH(N116,DiemHKII!$B$4:$B$58,0),INDEX($Y$7:$AB$20,MATCH(O125,$Y$7:$Y$20,0),$Z$6))&lt;&gt;"",INDEX(BDHK2,MATCH(N116,DiemHKII!$B$4:$B$58,0),INDEX($Y$7:$AB$20,MATCH(O125,$Y$7:$Y$20,0),$Z$6)),"/"),"")</f>
        <v>9.8000000000000007</v>
      </c>
      <c r="Q125" s="35" t="str">
        <f>IF(N116&lt;&gt;"",IF(INDEX(BDHK2,MATCH(N116,DiemHKII!$B$4:$B$58,0),INDEX($Y$7:$AB$20,MATCH(O125,$Y$7:$Y$20,0),$AA$6))&lt;&gt;"",INDEX(BDHK2,MATCH(N116,DiemHKII!$B$4:$B$58,0),INDEX($Y$7:$AB$20,MATCH(O125,$Y$7:$Y$20,0),$AA$6)),"/"),"")</f>
        <v>/</v>
      </c>
      <c r="R125" s="35" t="str">
        <f>IF(N116&lt;&gt;"",IF(INDEX(BDHK2,MATCH(N116,DiemHKII!$B$4:$B$58,0),INDEX($Y$7:$AB$20,MATCH(O125,$Y$7:$Y$20,0),$AB$6))&lt;&gt;"",INDEX(BDHK2,MATCH(N116,DiemHKII!$B$4:$B$58,0),INDEX($Y$7:$AB$20,MATCH(O125,$Y$7:$Y$20,0),$AB$6)),"/"),"")</f>
        <v>/</v>
      </c>
      <c r="S125" s="88"/>
    </row>
    <row r="126" spans="1:19" ht="15.6" customHeight="1">
      <c r="A126" s="88"/>
      <c r="B126" s="79" t="s">
        <v>198</v>
      </c>
      <c r="C126" s="81" t="s">
        <v>32</v>
      </c>
      <c r="D126" s="35">
        <f>IF(B116&lt;&gt;"",IF(INDEX(BDHK2,MATCH(B116,DiemHKII!$B$4:$B$58,0),INDEX($Y$7:$AB$20,MATCH(C126,$Y$7:$Y$20,0),$Z$6))&lt;&gt;"",INDEX(BDHK2,MATCH(B116,DiemHKII!$B$4:$B$58,0),INDEX($Y$7:$AB$20,MATCH(C126,$Y$7:$Y$20,0),$Z$6)),"/"),"")</f>
        <v>9.9</v>
      </c>
      <c r="E126" s="35" t="str">
        <f>IF(B116&lt;&gt;"",IF(INDEX(BDHK2,MATCH(B116,DiemHKII!$B$4:$B$58,0),INDEX($Y$7:$AB$20,MATCH(C126,$Y$7:$Y$20,0),$AA$6))&lt;&gt;"",INDEX(BDHK2,MATCH(B116,DiemHKII!$B$4:$B$58,0),INDEX($Y$7:$AB$20,MATCH(C126,$Y$7:$Y$20,0),$AA$6)),"/"),"")</f>
        <v>/</v>
      </c>
      <c r="F126" s="35" t="str">
        <f>IF(B116&lt;&gt;"",IF(INDEX(BDHK2,MATCH(B116,DiemHKII!$B$4:$B$58,0),INDEX($Y$7:$AB$20,MATCH(C126,$Y$7:$Y$20,0),$AB$6))&lt;&gt;"",INDEX(BDHK2,MATCH(B116,DiemHKII!$B$4:$B$58,0),INDEX($Y$7:$AB$20,MATCH(C126,$Y$7:$Y$20,0),$AB$6)),"/"),"")</f>
        <v>/</v>
      </c>
      <c r="G126" s="88"/>
      <c r="H126" s="79" t="s">
        <v>198</v>
      </c>
      <c r="I126" s="81" t="s">
        <v>32</v>
      </c>
      <c r="J126" s="35">
        <f>IF(H116&lt;&gt;"",IF(INDEX(BDHK2,MATCH(H116,DiemHKII!$B$4:$B$58,0),INDEX($Y$7:$AB$20,MATCH(I126,$Y$7:$Y$20,0),$Z$6))&lt;&gt;"",INDEX(BDHK2,MATCH(H116,DiemHKII!$B$4:$B$58,0),INDEX($Y$7:$AB$20,MATCH(I126,$Y$7:$Y$20,0),$Z$6)),"/"),"")</f>
        <v>9.3000000000000007</v>
      </c>
      <c r="K126" s="35" t="str">
        <f>IF(H116&lt;&gt;"",IF(INDEX(BDHK2,MATCH(H116,DiemHKII!$B$4:$B$58,0),INDEX($Y$7:$AB$20,MATCH(I126,$Y$7:$Y$20,0),$AA$6))&lt;&gt;"",INDEX(BDHK2,MATCH(H116,DiemHKII!$B$4:$B$58,0),INDEX($Y$7:$AB$20,MATCH(I126,$Y$7:$Y$20,0),$AA$6)),"/"),"")</f>
        <v>/</v>
      </c>
      <c r="L126" s="35" t="str">
        <f>IF(H116&lt;&gt;"",IF(INDEX(BDHK2,MATCH(H116,DiemHKII!$B$4:$B$58,0),INDEX($Y$7:$AB$20,MATCH(I126,$Y$7:$Y$20,0),$AB$6))&lt;&gt;"",INDEX(BDHK2,MATCH(H116,DiemHKII!$B$4:$B$58,0),INDEX($Y$7:$AB$20,MATCH(I126,$Y$7:$Y$20,0),$AB$6)),"/"),"")</f>
        <v>/</v>
      </c>
      <c r="M126" s="88"/>
      <c r="N126" s="79" t="s">
        <v>198</v>
      </c>
      <c r="O126" s="81" t="s">
        <v>32</v>
      </c>
      <c r="P126" s="35">
        <f>IF(N116&lt;&gt;"",IF(INDEX(BDHK2,MATCH(N116,DiemHKII!$B$4:$B$58,0),INDEX($Y$7:$AB$20,MATCH(O126,$Y$7:$Y$20,0),$Z$6))&lt;&gt;"",INDEX(BDHK2,MATCH(N116,DiemHKII!$B$4:$B$58,0),INDEX($Y$7:$AB$20,MATCH(O126,$Y$7:$Y$20,0),$Z$6)),"/"),"")</f>
        <v>9.1</v>
      </c>
      <c r="Q126" s="35" t="str">
        <f>IF(N116&lt;&gt;"",IF(INDEX(BDHK2,MATCH(N116,DiemHKII!$B$4:$B$58,0),INDEX($Y$7:$AB$20,MATCH(O126,$Y$7:$Y$20,0),$AA$6))&lt;&gt;"",INDEX(BDHK2,MATCH(N116,DiemHKII!$B$4:$B$58,0),INDEX($Y$7:$AB$20,MATCH(O126,$Y$7:$Y$20,0),$AA$6)),"/"),"")</f>
        <v>/</v>
      </c>
      <c r="R126" s="35" t="str">
        <f>IF(N116&lt;&gt;"",IF(INDEX(BDHK2,MATCH(N116,DiemHKII!$B$4:$B$58,0),INDEX($Y$7:$AB$20,MATCH(O126,$Y$7:$Y$20,0),$AB$6))&lt;&gt;"",INDEX(BDHK2,MATCH(N116,DiemHKII!$B$4:$B$58,0),INDEX($Y$7:$AB$20,MATCH(O126,$Y$7:$Y$20,0),$AB$6)),"/"),"")</f>
        <v>/</v>
      </c>
      <c r="S126" s="88"/>
    </row>
    <row r="127" spans="1:19" ht="15.6" customHeight="1">
      <c r="A127" s="88"/>
      <c r="B127" s="79" t="s">
        <v>199</v>
      </c>
      <c r="C127" s="81" t="s">
        <v>33</v>
      </c>
      <c r="D127" s="35">
        <f>IF(B116&lt;&gt;"",IF(INDEX(BDHK2,MATCH(B116,DiemHKII!$B$4:$B$58,0),INDEX($Y$7:$AB$20,MATCH(C127,$Y$7:$Y$20,0),$Z$6))&lt;&gt;"",INDEX(BDHK2,MATCH(B116,DiemHKII!$B$4:$B$58,0),INDEX($Y$7:$AB$20,MATCH(C127,$Y$7:$Y$20,0),$Z$6)),"/"),"")</f>
        <v>9.4</v>
      </c>
      <c r="E127" s="35" t="str">
        <f>IF(B116&lt;&gt;"",IF(INDEX(BDHK2,MATCH(B116,DiemHKII!$B$4:$B$58,0),INDEX($Y$7:$AB$20,MATCH(C127,$Y$7:$Y$20,0),$AA$6))&lt;&gt;"",INDEX(BDHK2,MATCH(B116,DiemHKII!$B$4:$B$58,0),INDEX($Y$7:$AB$20,MATCH(C127,$Y$7:$Y$20,0),$AA$6)),"/"),"")</f>
        <v>/</v>
      </c>
      <c r="F127" s="35" t="str">
        <f>IF(B116&lt;&gt;"",IF(INDEX(BDHK2,MATCH(B116,DiemHKII!$B$4:$B$58,0),INDEX($Y$7:$AB$20,MATCH(C127,$Y$7:$Y$20,0),$AB$6))&lt;&gt;"",INDEX(BDHK2,MATCH(B116,DiemHKII!$B$4:$B$58,0),INDEX($Y$7:$AB$20,MATCH(C127,$Y$7:$Y$20,0),$AB$6)),"/"),"")</f>
        <v>/</v>
      </c>
      <c r="G127" s="88"/>
      <c r="H127" s="79" t="s">
        <v>199</v>
      </c>
      <c r="I127" s="81" t="s">
        <v>33</v>
      </c>
      <c r="J127" s="35">
        <f>IF(H116&lt;&gt;"",IF(INDEX(BDHK2,MATCH(H116,DiemHKII!$B$4:$B$58,0),INDEX($Y$7:$AB$20,MATCH(I127,$Y$7:$Y$20,0),$Z$6))&lt;&gt;"",INDEX(BDHK2,MATCH(H116,DiemHKII!$B$4:$B$58,0),INDEX($Y$7:$AB$20,MATCH(I127,$Y$7:$Y$20,0),$Z$6)),"/"),"")</f>
        <v>8.1999999999999993</v>
      </c>
      <c r="K127" s="35" t="str">
        <f>IF(H116&lt;&gt;"",IF(INDEX(BDHK2,MATCH(H116,DiemHKII!$B$4:$B$58,0),INDEX($Y$7:$AB$20,MATCH(I127,$Y$7:$Y$20,0),$AA$6))&lt;&gt;"",INDEX(BDHK2,MATCH(H116,DiemHKII!$B$4:$B$58,0),INDEX($Y$7:$AB$20,MATCH(I127,$Y$7:$Y$20,0),$AA$6)),"/"),"")</f>
        <v>/</v>
      </c>
      <c r="L127" s="35" t="str">
        <f>IF(H116&lt;&gt;"",IF(INDEX(BDHK2,MATCH(H116,DiemHKII!$B$4:$B$58,0),INDEX($Y$7:$AB$20,MATCH(I127,$Y$7:$Y$20,0),$AB$6))&lt;&gt;"",INDEX(BDHK2,MATCH(H116,DiemHKII!$B$4:$B$58,0),INDEX($Y$7:$AB$20,MATCH(I127,$Y$7:$Y$20,0),$AB$6)),"/"),"")</f>
        <v>/</v>
      </c>
      <c r="M127" s="88"/>
      <c r="N127" s="79" t="s">
        <v>199</v>
      </c>
      <c r="O127" s="81" t="s">
        <v>33</v>
      </c>
      <c r="P127" s="35">
        <f>IF(N116&lt;&gt;"",IF(INDEX(BDHK2,MATCH(N116,DiemHKII!$B$4:$B$58,0),INDEX($Y$7:$AB$20,MATCH(O127,$Y$7:$Y$20,0),$Z$6))&lt;&gt;"",INDEX(BDHK2,MATCH(N116,DiemHKII!$B$4:$B$58,0),INDEX($Y$7:$AB$20,MATCH(O127,$Y$7:$Y$20,0),$Z$6)),"/"),"")</f>
        <v>9.5</v>
      </c>
      <c r="Q127" s="35" t="str">
        <f>IF(N116&lt;&gt;"",IF(INDEX(BDHK2,MATCH(N116,DiemHKII!$B$4:$B$58,0),INDEX($Y$7:$AB$20,MATCH(O127,$Y$7:$Y$20,0),$AA$6))&lt;&gt;"",INDEX(BDHK2,MATCH(N116,DiemHKII!$B$4:$B$58,0),INDEX($Y$7:$AB$20,MATCH(O127,$Y$7:$Y$20,0),$AA$6)),"/"),"")</f>
        <v>/</v>
      </c>
      <c r="R127" s="35" t="str">
        <f>IF(N116&lt;&gt;"",IF(INDEX(BDHK2,MATCH(N116,DiemHKII!$B$4:$B$58,0),INDEX($Y$7:$AB$20,MATCH(O127,$Y$7:$Y$20,0),$AB$6))&lt;&gt;"",INDEX(BDHK2,MATCH(N116,DiemHKII!$B$4:$B$58,0),INDEX($Y$7:$AB$20,MATCH(O127,$Y$7:$Y$20,0),$AB$6)),"/"),"")</f>
        <v>/</v>
      </c>
      <c r="S127" s="88"/>
    </row>
    <row r="128" spans="1:19" ht="15.6" customHeight="1">
      <c r="A128" s="88"/>
      <c r="B128" s="79" t="s">
        <v>200</v>
      </c>
      <c r="C128" s="81" t="s">
        <v>60</v>
      </c>
      <c r="D128" s="35">
        <f>IF(B116&lt;&gt;"",IF(INDEX(BDHK2,MATCH(B116,DiemHKII!$B$4:$B$58,0),INDEX($Y$7:$AB$20,MATCH(C128,$Y$7:$Y$20,0),$Z$6))&lt;&gt;"",INDEX(BDHK2,MATCH(B116,DiemHKII!$B$4:$B$58,0),INDEX($Y$7:$AB$20,MATCH(C128,$Y$7:$Y$20,0),$Z$6)),"/"),"")</f>
        <v>9.4</v>
      </c>
      <c r="E128" s="35" t="str">
        <f>IF(B116&lt;&gt;"",IF(INDEX(BDHK2,MATCH(B116,DiemHKII!$B$4:$B$58,0),INDEX($Y$7:$AB$20,MATCH(C128,$Y$7:$Y$20,0),$AA$6))&lt;&gt;"",INDEX(BDHK2,MATCH(B116,DiemHKII!$B$4:$B$58,0),INDEX($Y$7:$AB$20,MATCH(C128,$Y$7:$Y$20,0),$AA$6)),"/"),"")</f>
        <v>/</v>
      </c>
      <c r="F128" s="35" t="str">
        <f>IF(B116&lt;&gt;"",IF(INDEX(BDHK2,MATCH(B116,DiemHKII!$B$4:$B$58,0),INDEX($Y$7:$AB$20,MATCH(C128,$Y$7:$Y$20,0),$AB$6))&lt;&gt;"",INDEX(BDHK2,MATCH(B116,DiemHKII!$B$4:$B$58,0),INDEX($Y$7:$AB$20,MATCH(C128,$Y$7:$Y$20,0),$AB$6)),"/"),"")</f>
        <v>/</v>
      </c>
      <c r="G128" s="88"/>
      <c r="H128" s="79" t="s">
        <v>200</v>
      </c>
      <c r="I128" s="81" t="s">
        <v>60</v>
      </c>
      <c r="J128" s="35">
        <f>IF(H116&lt;&gt;"",IF(INDEX(BDHK2,MATCH(H116,DiemHKII!$B$4:$B$58,0),INDEX($Y$7:$AB$20,MATCH(I128,$Y$7:$Y$20,0),$Z$6))&lt;&gt;"",INDEX(BDHK2,MATCH(H116,DiemHKII!$B$4:$B$58,0),INDEX($Y$7:$AB$20,MATCH(I128,$Y$7:$Y$20,0),$Z$6)),"/"),"")</f>
        <v>9.4</v>
      </c>
      <c r="K128" s="35" t="str">
        <f>IF(H116&lt;&gt;"",IF(INDEX(BDHK2,MATCH(H116,DiemHKII!$B$4:$B$58,0),INDEX($Y$7:$AB$20,MATCH(I128,$Y$7:$Y$20,0),$AA$6))&lt;&gt;"",INDEX(BDHK2,MATCH(H116,DiemHKII!$B$4:$B$58,0),INDEX($Y$7:$AB$20,MATCH(I128,$Y$7:$Y$20,0),$AA$6)),"/"),"")</f>
        <v>/</v>
      </c>
      <c r="L128" s="35" t="str">
        <f>IF(H116&lt;&gt;"",IF(INDEX(BDHK2,MATCH(H116,DiemHKII!$B$4:$B$58,0),INDEX($Y$7:$AB$20,MATCH(I128,$Y$7:$Y$20,0),$AB$6))&lt;&gt;"",INDEX(BDHK2,MATCH(H116,DiemHKII!$B$4:$B$58,0),INDEX($Y$7:$AB$20,MATCH(I128,$Y$7:$Y$20,0),$AB$6)),"/"),"")</f>
        <v>/</v>
      </c>
      <c r="M128" s="88"/>
      <c r="N128" s="79" t="s">
        <v>200</v>
      </c>
      <c r="O128" s="81" t="s">
        <v>60</v>
      </c>
      <c r="P128" s="35">
        <f>IF(N116&lt;&gt;"",IF(INDEX(BDHK2,MATCH(N116,DiemHKII!$B$4:$B$58,0),INDEX($Y$7:$AB$20,MATCH(O128,$Y$7:$Y$20,0),$Z$6))&lt;&gt;"",INDEX(BDHK2,MATCH(N116,DiemHKII!$B$4:$B$58,0),INDEX($Y$7:$AB$20,MATCH(O128,$Y$7:$Y$20,0),$Z$6)),"/"),"")</f>
        <v>9.1</v>
      </c>
      <c r="Q128" s="35" t="str">
        <f>IF(N116&lt;&gt;"",IF(INDEX(BDHK2,MATCH(N116,DiemHKII!$B$4:$B$58,0),INDEX($Y$7:$AB$20,MATCH(O128,$Y$7:$Y$20,0),$AA$6))&lt;&gt;"",INDEX(BDHK2,MATCH(N116,DiemHKII!$B$4:$B$58,0),INDEX($Y$7:$AB$20,MATCH(O128,$Y$7:$Y$20,0),$AA$6)),"/"),"")</f>
        <v>/</v>
      </c>
      <c r="R128" s="35" t="str">
        <f>IF(N116&lt;&gt;"",IF(INDEX(BDHK2,MATCH(N116,DiemHKII!$B$4:$B$58,0),INDEX($Y$7:$AB$20,MATCH(O128,$Y$7:$Y$20,0),$AB$6))&lt;&gt;"",INDEX(BDHK2,MATCH(N116,DiemHKII!$B$4:$B$58,0),INDEX($Y$7:$AB$20,MATCH(O128,$Y$7:$Y$20,0),$AB$6)),"/"),"")</f>
        <v>/</v>
      </c>
      <c r="S128" s="88"/>
    </row>
    <row r="129" spans="1:19" ht="15.6" customHeight="1">
      <c r="A129" s="88"/>
      <c r="B129" s="79" t="s">
        <v>201</v>
      </c>
      <c r="C129" s="81" t="s">
        <v>34</v>
      </c>
      <c r="D129" s="35">
        <f>IF(B116&lt;&gt;"",IF(INDEX(BDHK2,MATCH(B116,DiemHKII!$B$4:$B$58,0),INDEX($Y$7:$AB$20,MATCH(C129,$Y$7:$Y$20,0),$Z$6))&lt;&gt;"",INDEX(BDHK2,MATCH(B116,DiemHKII!$B$4:$B$58,0),INDEX($Y$7:$AB$20,MATCH(C129,$Y$7:$Y$20,0),$Z$6)),"/"),"")</f>
        <v>9.9</v>
      </c>
      <c r="E129" s="35" t="str">
        <f>IF(B116&lt;&gt;"",IF(INDEX(BDHK2,MATCH(B116,DiemHKII!$B$4:$B$58,0),INDEX($Y$7:$AB$20,MATCH(C129,$Y$7:$Y$20,0),$AA$6))&lt;&gt;"",INDEX(BDHK2,MATCH(B116,DiemHKII!$B$4:$B$58,0),INDEX($Y$7:$AB$20,MATCH(C129,$Y$7:$Y$20,0),$AA$6)),"/"),"")</f>
        <v>/</v>
      </c>
      <c r="F129" s="35" t="str">
        <f>IF(B116&lt;&gt;"",IF(INDEX(BDHK2,MATCH(B116,DiemHKII!$B$4:$B$58,0),INDEX($Y$7:$AB$20,MATCH(C129,$Y$7:$Y$20,0),$AB$6))&lt;&gt;"",INDEX(BDHK2,MATCH(B116,DiemHKII!$B$4:$B$58,0),INDEX($Y$7:$AB$20,MATCH(C129,$Y$7:$Y$20,0),$AB$6)),"/"),"")</f>
        <v>/</v>
      </c>
      <c r="G129" s="88"/>
      <c r="H129" s="79" t="s">
        <v>201</v>
      </c>
      <c r="I129" s="81" t="s">
        <v>34</v>
      </c>
      <c r="J129" s="35">
        <f>IF(H116&lt;&gt;"",IF(INDEX(BDHK2,MATCH(H116,DiemHKII!$B$4:$B$58,0),INDEX($Y$7:$AB$20,MATCH(I129,$Y$7:$Y$20,0),$Z$6))&lt;&gt;"",INDEX(BDHK2,MATCH(H116,DiemHKII!$B$4:$B$58,0),INDEX($Y$7:$AB$20,MATCH(I129,$Y$7:$Y$20,0),$Z$6)),"/"),"")</f>
        <v>9.9</v>
      </c>
      <c r="K129" s="35" t="str">
        <f>IF(H116&lt;&gt;"",IF(INDEX(BDHK2,MATCH(H116,DiemHKII!$B$4:$B$58,0),INDEX($Y$7:$AB$20,MATCH(I129,$Y$7:$Y$20,0),$AA$6))&lt;&gt;"",INDEX(BDHK2,MATCH(H116,DiemHKII!$B$4:$B$58,0),INDEX($Y$7:$AB$20,MATCH(I129,$Y$7:$Y$20,0),$AA$6)),"/"),"")</f>
        <v>/</v>
      </c>
      <c r="L129" s="35" t="str">
        <f>IF(H116&lt;&gt;"",IF(INDEX(BDHK2,MATCH(H116,DiemHKII!$B$4:$B$58,0),INDEX($Y$7:$AB$20,MATCH(I129,$Y$7:$Y$20,0),$AB$6))&lt;&gt;"",INDEX(BDHK2,MATCH(H116,DiemHKII!$B$4:$B$58,0),INDEX($Y$7:$AB$20,MATCH(I129,$Y$7:$Y$20,0),$AB$6)),"/"),"")</f>
        <v>/</v>
      </c>
      <c r="M129" s="88"/>
      <c r="N129" s="79" t="s">
        <v>201</v>
      </c>
      <c r="O129" s="81" t="s">
        <v>34</v>
      </c>
      <c r="P129" s="35">
        <f>IF(N116&lt;&gt;"",IF(INDEX(BDHK2,MATCH(N116,DiemHKII!$B$4:$B$58,0),INDEX($Y$7:$AB$20,MATCH(O129,$Y$7:$Y$20,0),$Z$6))&lt;&gt;"",INDEX(BDHK2,MATCH(N116,DiemHKII!$B$4:$B$58,0),INDEX($Y$7:$AB$20,MATCH(O129,$Y$7:$Y$20,0),$Z$6)),"/"),"")</f>
        <v>9.9</v>
      </c>
      <c r="Q129" s="35" t="str">
        <f>IF(N116&lt;&gt;"",IF(INDEX(BDHK2,MATCH(N116,DiemHKII!$B$4:$B$58,0),INDEX($Y$7:$AB$20,MATCH(O129,$Y$7:$Y$20,0),$AA$6))&lt;&gt;"",INDEX(BDHK2,MATCH(N116,DiemHKII!$B$4:$B$58,0),INDEX($Y$7:$AB$20,MATCH(O129,$Y$7:$Y$20,0),$AA$6)),"/"),"")</f>
        <v>/</v>
      </c>
      <c r="R129" s="35" t="str">
        <f>IF(N116&lt;&gt;"",IF(INDEX(BDHK2,MATCH(N116,DiemHKII!$B$4:$B$58,0),INDEX($Y$7:$AB$20,MATCH(O129,$Y$7:$Y$20,0),$AB$6))&lt;&gt;"",INDEX(BDHK2,MATCH(N116,DiemHKII!$B$4:$B$58,0),INDEX($Y$7:$AB$20,MATCH(O129,$Y$7:$Y$20,0),$AB$6)),"/"),"")</f>
        <v>/</v>
      </c>
      <c r="S129" s="88"/>
    </row>
    <row r="130" spans="1:19" ht="15.6" customHeight="1">
      <c r="A130" s="88"/>
      <c r="B130" s="79" t="s">
        <v>202</v>
      </c>
      <c r="C130" s="81" t="s">
        <v>35</v>
      </c>
      <c r="D130" s="35" t="str">
        <f>IF(B116&lt;&gt;"",IF(INDEX(BDHK2,MATCH(B116,DiemHKII!$B$4:$B$58,0),INDEX($Y$7:$AB$20,MATCH(C130,$Y$7:$Y$20,0),$Z$6))&lt;&gt;"",INDEX(BDHK2,MATCH(B116,DiemHKII!$B$4:$B$58,0),INDEX($Y$7:$AB$20,MATCH(C130,$Y$7:$Y$20,0),$Z$6)),"/"),"")</f>
        <v>Đ</v>
      </c>
      <c r="E130" s="35" t="str">
        <f>IF(B116&lt;&gt;"",IF(INDEX(BDHK2,MATCH(B116,DiemHKII!$B$4:$B$58,0),INDEX($Y$7:$AB$20,MATCH(C130,$Y$7:$Y$20,0),$AA$6))&lt;&gt;"",INDEX(BDHK2,MATCH(B116,DiemHKII!$B$4:$B$58,0),INDEX($Y$7:$AB$20,MATCH(C130,$Y$7:$Y$20,0),$AA$6)),"/"),"")</f>
        <v>/</v>
      </c>
      <c r="F130" s="35" t="str">
        <f>IF(B116&lt;&gt;"",IF(INDEX(BDHK2,MATCH(B116,DiemHKII!$B$4:$B$58,0),INDEX($Y$7:$AB$20,MATCH(C130,$Y$7:$Y$20,0),$AB$6))&lt;&gt;"",INDEX(BDHK2,MATCH(B116,DiemHKII!$B$4:$B$58,0),INDEX($Y$7:$AB$20,MATCH(C130,$Y$7:$Y$20,0),$AB$6)),"/"),"")</f>
        <v>Đ</v>
      </c>
      <c r="G130" s="88"/>
      <c r="H130" s="79" t="s">
        <v>202</v>
      </c>
      <c r="I130" s="81" t="s">
        <v>35</v>
      </c>
      <c r="J130" s="35" t="str">
        <f>IF(H116&lt;&gt;"",IF(INDEX(BDHK2,MATCH(H116,DiemHKII!$B$4:$B$58,0),INDEX($Y$7:$AB$20,MATCH(I130,$Y$7:$Y$20,0),$Z$6))&lt;&gt;"",INDEX(BDHK2,MATCH(H116,DiemHKII!$B$4:$B$58,0),INDEX($Y$7:$AB$20,MATCH(I130,$Y$7:$Y$20,0),$Z$6)),"/"),"")</f>
        <v>Đ</v>
      </c>
      <c r="K130" s="35" t="str">
        <f>IF(H116&lt;&gt;"",IF(INDEX(BDHK2,MATCH(H116,DiemHKII!$B$4:$B$58,0),INDEX($Y$7:$AB$20,MATCH(I130,$Y$7:$Y$20,0),$AA$6))&lt;&gt;"",INDEX(BDHK2,MATCH(H116,DiemHKII!$B$4:$B$58,0),INDEX($Y$7:$AB$20,MATCH(I130,$Y$7:$Y$20,0),$AA$6)),"/"),"")</f>
        <v>/</v>
      </c>
      <c r="L130" s="35" t="str">
        <f>IF(H116&lt;&gt;"",IF(INDEX(BDHK2,MATCH(H116,DiemHKII!$B$4:$B$58,0),INDEX($Y$7:$AB$20,MATCH(I130,$Y$7:$Y$20,0),$AB$6))&lt;&gt;"",INDEX(BDHK2,MATCH(H116,DiemHKII!$B$4:$B$58,0),INDEX($Y$7:$AB$20,MATCH(I130,$Y$7:$Y$20,0),$AB$6)),"/"),"")</f>
        <v>Đ</v>
      </c>
      <c r="M130" s="88"/>
      <c r="N130" s="79" t="s">
        <v>202</v>
      </c>
      <c r="O130" s="81" t="s">
        <v>35</v>
      </c>
      <c r="P130" s="35" t="str">
        <f>IF(N116&lt;&gt;"",IF(INDEX(BDHK2,MATCH(N116,DiemHKII!$B$4:$B$58,0),INDEX($Y$7:$AB$20,MATCH(O130,$Y$7:$Y$20,0),$Z$6))&lt;&gt;"",INDEX(BDHK2,MATCH(N116,DiemHKII!$B$4:$B$58,0),INDEX($Y$7:$AB$20,MATCH(O130,$Y$7:$Y$20,0),$Z$6)),"/"),"")</f>
        <v>Đ</v>
      </c>
      <c r="Q130" s="35" t="str">
        <f>IF(N116&lt;&gt;"",IF(INDEX(BDHK2,MATCH(N116,DiemHKII!$B$4:$B$58,0),INDEX($Y$7:$AB$20,MATCH(O130,$Y$7:$Y$20,0),$AA$6))&lt;&gt;"",INDEX(BDHK2,MATCH(N116,DiemHKII!$B$4:$B$58,0),INDEX($Y$7:$AB$20,MATCH(O130,$Y$7:$Y$20,0),$AA$6)),"/"),"")</f>
        <v>/</v>
      </c>
      <c r="R130" s="35" t="str">
        <f>IF(N116&lt;&gt;"",IF(INDEX(BDHK2,MATCH(N116,DiemHKII!$B$4:$B$58,0),INDEX($Y$7:$AB$20,MATCH(O130,$Y$7:$Y$20,0),$AB$6))&lt;&gt;"",INDEX(BDHK2,MATCH(N116,DiemHKII!$B$4:$B$58,0),INDEX($Y$7:$AB$20,MATCH(O130,$Y$7:$Y$20,0),$AB$6)),"/"),"")</f>
        <v>Đ</v>
      </c>
      <c r="S130" s="88"/>
    </row>
    <row r="131" spans="1:19" ht="15.6" customHeight="1">
      <c r="A131" s="88"/>
      <c r="B131" s="79" t="s">
        <v>203</v>
      </c>
      <c r="C131" s="81" t="s">
        <v>121</v>
      </c>
      <c r="D131" s="35">
        <f>IF(B116&lt;&gt;"",IF(INDEX(BDHK2,MATCH(B116,DiemHKII!$B$4:$B$58,0),INDEX($Y$7:$AB$20,MATCH(C131,$Y$7:$Y$20,0),$Z$6))&lt;&gt;"",INDEX(BDHK2,MATCH(B116,DiemHKII!$B$4:$B$58,0),INDEX($Y$7:$AB$20,MATCH(C131,$Y$7:$Y$20,0),$Z$6)),"/"),"")</f>
        <v>9.4</v>
      </c>
      <c r="E131" s="35" t="str">
        <f>IF(B116&lt;&gt;"",IF(INDEX(BDHK2,MATCH(B116,DiemHKII!$B$4:$B$58,0),INDEX($Y$7:$AB$20,MATCH(C131,$Y$7:$Y$20,0),$AA$6))&lt;&gt;"",INDEX(BDHK2,MATCH(B116,DiemHKII!$B$4:$B$58,0),INDEX($Y$7:$AB$20,MATCH(C131,$Y$7:$Y$20,0),$AA$6)),"/"),"")</f>
        <v>/</v>
      </c>
      <c r="F131" s="35" t="str">
        <f>IF(B116&lt;&gt;"",IF(INDEX(BDHK2,MATCH(B116,DiemHKII!$B$4:$B$58,0),INDEX($Y$7:$AB$20,MATCH(C131,$Y$7:$Y$20,0),$AB$6))&lt;&gt;"",INDEX(BDHK2,MATCH(B116,DiemHKII!$B$4:$B$58,0),INDEX($Y$7:$AB$20,MATCH(C131,$Y$7:$Y$20,0),$AB$6)),"/"),"")</f>
        <v>/</v>
      </c>
      <c r="G131" s="88"/>
      <c r="H131" s="79" t="s">
        <v>203</v>
      </c>
      <c r="I131" s="81" t="s">
        <v>121</v>
      </c>
      <c r="J131" s="35">
        <f>IF(H116&lt;&gt;"",IF(INDEX(BDHK2,MATCH(H116,DiemHKII!$B$4:$B$58,0),INDEX($Y$7:$AB$20,MATCH(I131,$Y$7:$Y$20,0),$Z$6))&lt;&gt;"",INDEX(BDHK2,MATCH(H116,DiemHKII!$B$4:$B$58,0),INDEX($Y$7:$AB$20,MATCH(I131,$Y$7:$Y$20,0),$Z$6)),"/"),"")</f>
        <v>9.9</v>
      </c>
      <c r="K131" s="35" t="str">
        <f>IF(H116&lt;&gt;"",IF(INDEX(BDHK2,MATCH(H116,DiemHKII!$B$4:$B$58,0),INDEX($Y$7:$AB$20,MATCH(I131,$Y$7:$Y$20,0),$AA$6))&lt;&gt;"",INDEX(BDHK2,MATCH(H116,DiemHKII!$B$4:$B$58,0),INDEX($Y$7:$AB$20,MATCH(I131,$Y$7:$Y$20,0),$AA$6)),"/"),"")</f>
        <v>/</v>
      </c>
      <c r="L131" s="35" t="str">
        <f>IF(H116&lt;&gt;"",IF(INDEX(BDHK2,MATCH(H116,DiemHKII!$B$4:$B$58,0),INDEX($Y$7:$AB$20,MATCH(I131,$Y$7:$Y$20,0),$AB$6))&lt;&gt;"",INDEX(BDHK2,MATCH(H116,DiemHKII!$B$4:$B$58,0),INDEX($Y$7:$AB$20,MATCH(I131,$Y$7:$Y$20,0),$AB$6)),"/"),"")</f>
        <v>/</v>
      </c>
      <c r="M131" s="88"/>
      <c r="N131" s="79" t="s">
        <v>203</v>
      </c>
      <c r="O131" s="81" t="s">
        <v>121</v>
      </c>
      <c r="P131" s="35">
        <f>IF(N116&lt;&gt;"",IF(INDEX(BDHK2,MATCH(N116,DiemHKII!$B$4:$B$58,0),INDEX($Y$7:$AB$20,MATCH(O131,$Y$7:$Y$20,0),$Z$6))&lt;&gt;"",INDEX(BDHK2,MATCH(N116,DiemHKII!$B$4:$B$58,0),INDEX($Y$7:$AB$20,MATCH(O131,$Y$7:$Y$20,0),$Z$6)),"/"),"")</f>
        <v>9.9</v>
      </c>
      <c r="Q131" s="35" t="str">
        <f>IF(N116&lt;&gt;"",IF(INDEX(BDHK2,MATCH(N116,DiemHKII!$B$4:$B$58,0),INDEX($Y$7:$AB$20,MATCH(O131,$Y$7:$Y$20,0),$AA$6))&lt;&gt;"",INDEX(BDHK2,MATCH(N116,DiemHKII!$B$4:$B$58,0),INDEX($Y$7:$AB$20,MATCH(O131,$Y$7:$Y$20,0),$AA$6)),"/"),"")</f>
        <v>/</v>
      </c>
      <c r="R131" s="35" t="str">
        <f>IF(N116&lt;&gt;"",IF(INDEX(BDHK2,MATCH(N116,DiemHKII!$B$4:$B$58,0),INDEX($Y$7:$AB$20,MATCH(O131,$Y$7:$Y$20,0),$AB$6))&lt;&gt;"",INDEX(BDHK2,MATCH(N116,DiemHKII!$B$4:$B$58,0),INDEX($Y$7:$AB$20,MATCH(O131,$Y$7:$Y$20,0),$AB$6)),"/"),"")</f>
        <v>/</v>
      </c>
      <c r="S131" s="88"/>
    </row>
    <row r="132" spans="1:19" ht="15.6" customHeight="1">
      <c r="A132" s="88"/>
      <c r="B132" s="79" t="s">
        <v>204</v>
      </c>
      <c r="C132" s="81" t="s">
        <v>122</v>
      </c>
      <c r="D132" s="35" t="str">
        <f>IF(B116&lt;&gt;"",IF(INDEX(BDHK2,MATCH(B116,DiemHKII!$B$4:$B$58,0),INDEX($Y$7:$AB$20,MATCH(C132,$Y$7:$Y$20,0),$Z$6))&lt;&gt;"",INDEX(BDHK2,MATCH(B116,DiemHKII!$B$4:$B$58,0),INDEX($Y$7:$AB$20,MATCH(C132,$Y$7:$Y$20,0),$Z$6)),"/"),"")</f>
        <v>/</v>
      </c>
      <c r="E132" s="35" t="str">
        <f>IF(B116&lt;&gt;"",IF(INDEX(BDHK2,MATCH(B116,DiemHKII!$B$4:$B$58,0),INDEX($Y$7:$AB$20,MATCH(C132,$Y$7:$Y$20,0),$AA$6))&lt;&gt;"",INDEX(BDHK2,MATCH(B116,DiemHKII!$B$4:$B$58,0),INDEX($Y$7:$AB$20,MATCH(C132,$Y$7:$Y$20,0),$AA$6)),"/"),"")</f>
        <v>/</v>
      </c>
      <c r="F132" s="35" t="str">
        <f>IF(B116&lt;&gt;"",IF(INDEX(BDHK2,MATCH(B116,DiemHKII!$B$4:$B$58,0),INDEX($Y$7:$AB$20,MATCH(C132,$Y$7:$Y$20,0),$AB$6))&lt;&gt;"",INDEX(BDHK2,MATCH(B116,DiemHKII!$B$4:$B$58,0),INDEX($Y$7:$AB$20,MATCH(C132,$Y$7:$Y$20,0),$AB$6)),"/"),"")</f>
        <v>/</v>
      </c>
      <c r="G132" s="88"/>
      <c r="H132" s="79" t="s">
        <v>204</v>
      </c>
      <c r="I132" s="81" t="s">
        <v>122</v>
      </c>
      <c r="J132" s="35" t="str">
        <f>IF(H116&lt;&gt;"",IF(INDEX(BDHK2,MATCH(H116,DiemHKII!$B$4:$B$58,0),INDEX($Y$7:$AB$20,MATCH(I132,$Y$7:$Y$20,0),$Z$6))&lt;&gt;"",INDEX(BDHK2,MATCH(H116,DiemHKII!$B$4:$B$58,0),INDEX($Y$7:$AB$20,MATCH(I132,$Y$7:$Y$20,0),$Z$6)),"/"),"")</f>
        <v>/</v>
      </c>
      <c r="K132" s="35" t="str">
        <f>IF(H116&lt;&gt;"",IF(INDEX(BDHK2,MATCH(H116,DiemHKII!$B$4:$B$58,0),INDEX($Y$7:$AB$20,MATCH(I132,$Y$7:$Y$20,0),$AA$6))&lt;&gt;"",INDEX(BDHK2,MATCH(H116,DiemHKII!$B$4:$B$58,0),INDEX($Y$7:$AB$20,MATCH(I132,$Y$7:$Y$20,0),$AA$6)),"/"),"")</f>
        <v>/</v>
      </c>
      <c r="L132" s="35" t="str">
        <f>IF(H116&lt;&gt;"",IF(INDEX(BDHK2,MATCH(H116,DiemHKII!$B$4:$B$58,0),INDEX($Y$7:$AB$20,MATCH(I132,$Y$7:$Y$20,0),$AB$6))&lt;&gt;"",INDEX(BDHK2,MATCH(H116,DiemHKII!$B$4:$B$58,0),INDEX($Y$7:$AB$20,MATCH(I132,$Y$7:$Y$20,0),$AB$6)),"/"),"")</f>
        <v>/</v>
      </c>
      <c r="M132" s="88"/>
      <c r="N132" s="79" t="s">
        <v>204</v>
      </c>
      <c r="O132" s="81" t="s">
        <v>122</v>
      </c>
      <c r="P132" s="35" t="str">
        <f>IF(N116&lt;&gt;"",IF(INDEX(BDHK2,MATCH(N116,DiemHKII!$B$4:$B$58,0),INDEX($Y$7:$AB$20,MATCH(O132,$Y$7:$Y$20,0),$Z$6))&lt;&gt;"",INDEX(BDHK2,MATCH(N116,DiemHKII!$B$4:$B$58,0),INDEX($Y$7:$AB$20,MATCH(O132,$Y$7:$Y$20,0),$Z$6)),"/"),"")</f>
        <v>/</v>
      </c>
      <c r="Q132" s="35" t="str">
        <f>IF(N116&lt;&gt;"",IF(INDEX(BDHK2,MATCH(N116,DiemHKII!$B$4:$B$58,0),INDEX($Y$7:$AB$20,MATCH(O132,$Y$7:$Y$20,0),$AA$6))&lt;&gt;"",INDEX(BDHK2,MATCH(N116,DiemHKII!$B$4:$B$58,0),INDEX($Y$7:$AB$20,MATCH(O132,$Y$7:$Y$20,0),$AA$6)),"/"),"")</f>
        <v>/</v>
      </c>
      <c r="R132" s="35" t="str">
        <f>IF(N116&lt;&gt;"",IF(INDEX(BDHK2,MATCH(N116,DiemHKII!$B$4:$B$58,0),INDEX($Y$7:$AB$20,MATCH(O132,$Y$7:$Y$20,0),$AB$6))&lt;&gt;"",INDEX(BDHK2,MATCH(N116,DiemHKII!$B$4:$B$58,0),INDEX($Y$7:$AB$20,MATCH(O132,$Y$7:$Y$20,0),$AB$6)),"/"),"")</f>
        <v>/</v>
      </c>
      <c r="S132" s="88"/>
    </row>
    <row r="133" spans="1:19" ht="15.6" customHeight="1">
      <c r="A133" s="88"/>
      <c r="B133" s="79" t="s">
        <v>208</v>
      </c>
      <c r="C133" s="81" t="s">
        <v>217</v>
      </c>
      <c r="D133" s="80">
        <f>IF(B116&lt;&gt;"",IF(INDEX('TH CANAM'!$A$9:$BF$63,MATCH(B116,'TH CANAM'!$A$9:$A$63,0),46)&lt;&gt;"",INDEX('TH CANAM'!$A$9:$BF$63,MATCH(B116,'TH CANAM'!$A$9:$A$63,0),46),"/"),"")</f>
        <v>9.5</v>
      </c>
      <c r="E133" s="80" t="str">
        <f>IF(B116&lt;&gt;"",IF(INDEX('TH CANAM'!$A$9:$BF$63,MATCH(B116,'TH CANAM'!$A$9:$A$63,0),47)&lt;&gt;"",INDEX('TH CANAM'!$A$9:$BF$63,MATCH(B116,'TH CANAM'!$A$9:$A$63,0),47),"/"),"")</f>
        <v>/</v>
      </c>
      <c r="F133" s="80" t="str">
        <f>IF(B116&lt;&gt;"",IF(INDEX('TH CANAM'!$A$9:$BF$63,MATCH(B116,'TH CANAM'!$A$9:$A$63,0),48)&lt;&gt;"",INDEX('TH CANAM'!$A$9:$BF$63,MATCH(B116,'TH CANAM'!$A$9:$A$63,0),48),"/"),"")</f>
        <v>/</v>
      </c>
      <c r="G133" s="88"/>
      <c r="H133" s="79" t="s">
        <v>208</v>
      </c>
      <c r="I133" s="81" t="s">
        <v>217</v>
      </c>
      <c r="J133" s="80">
        <f>IF(H116&lt;&gt;"",IF(INDEX('TH CANAM'!$A$9:$BF$63,MATCH(H116,'TH CANAM'!$A$9:$A$63,0),46)&lt;&gt;"",INDEX('TH CANAM'!$A$9:$BF$63,MATCH(H116,'TH CANAM'!$A$9:$A$63,0),46),"/"),"")</f>
        <v>9.1999999999999993</v>
      </c>
      <c r="K133" s="80" t="str">
        <f>IF(H116&lt;&gt;"",IF(INDEX('TH CANAM'!$A$9:$BF$63,MATCH(H116,'TH CANAM'!$A$9:$A$63,0),47)&lt;&gt;"",INDEX('TH CANAM'!$A$9:$BF$63,MATCH(H116,'TH CANAM'!$A$9:$A$63,0),47),"/"),"")</f>
        <v>/</v>
      </c>
      <c r="L133" s="80" t="str">
        <f>IF(H116&lt;&gt;"",IF(INDEX('TH CANAM'!$A$9:$BF$63,MATCH(H116,'TH CANAM'!$A$9:$A$63,0),48)&lt;&gt;"",INDEX('TH CANAM'!$A$9:$BF$63,MATCH(H116,'TH CANAM'!$A$9:$A$63,0),48),"/"),"")</f>
        <v>/</v>
      </c>
      <c r="M133" s="88"/>
      <c r="N133" s="79" t="s">
        <v>208</v>
      </c>
      <c r="O133" s="81" t="s">
        <v>217</v>
      </c>
      <c r="P133" s="80">
        <f>IF(N116&lt;&gt;"",IF(INDEX('TH CANAM'!$A$9:$BF$63,MATCH(N116,'TH CANAM'!$A$9:$A$63,0),46)&lt;&gt;"",INDEX('TH CANAM'!$A$9:$BF$63,MATCH(N116,'TH CANAM'!$A$9:$A$63,0),46),"/"),"")</f>
        <v>9.3000000000000007</v>
      </c>
      <c r="Q133" s="80" t="str">
        <f>IF(N116&lt;&gt;"",IF(INDEX('TH CANAM'!$A$9:$BF$63,MATCH(N116,'TH CANAM'!$A$9:$A$63,0),47)&lt;&gt;"",INDEX('TH CANAM'!$A$9:$BF$63,MATCH(N116,'TH CANAM'!$A$9:$A$63,0),47),"/"),"")</f>
        <v>/</v>
      </c>
      <c r="R133" s="80" t="str">
        <f>IF(N116&lt;&gt;"",IF(INDEX('TH CANAM'!$A$9:$BF$63,MATCH(N116,'TH CANAM'!$A$9:$A$63,0),48)&lt;&gt;"",INDEX('TH CANAM'!$A$9:$BF$63,MATCH(N116,'TH CANAM'!$A$9:$A$63,0),48),"/"),"")</f>
        <v>/</v>
      </c>
      <c r="S133" s="88"/>
    </row>
    <row r="134" spans="1:19" ht="15.6" customHeight="1">
      <c r="A134" s="88"/>
      <c r="B134" s="79" t="s">
        <v>209</v>
      </c>
      <c r="C134" s="82" t="s">
        <v>36</v>
      </c>
      <c r="D134" s="35" t="str">
        <f>IF(B116&lt;&gt;"",IF(INDEX('TH CANAM'!$A$9:$BF$63,MATCH(B116,'TH CANAM'!$A$9:$A$63,0),49)&lt;&gt;"",INDEX('TH CANAM'!$A$9:$BF$63,MATCH(B116,'TH CANAM'!$A$9:$A$63,0),49),"/"),"")</f>
        <v>Giỏi</v>
      </c>
      <c r="E134" s="35" t="str">
        <f>IF(B116&lt;&gt;"",IF(INDEX('TH CANAM'!$A$9:$BF$63,MATCH(B116,'TH CANAM'!$A$9:$A$63,0),50)&lt;&gt;"",INDEX('TH CANAM'!$A$9:$BF$63,MATCH(B116,'TH CANAM'!$A$9:$A$63,0),50),"/"),"")</f>
        <v>/</v>
      </c>
      <c r="F134" s="35" t="str">
        <f>IF(B116&lt;&gt;"",IF(INDEX('TH CANAM'!$A$9:$BF$63,MATCH(B116,'TH CANAM'!$A$9:$A$63,0),51)&lt;&gt;"",INDEX('TH CANAM'!$A$9:$BF$63,MATCH(B116,'TH CANAM'!$A$9:$A$63,0),51),"/"),"")</f>
        <v>/</v>
      </c>
      <c r="G134" s="88"/>
      <c r="H134" s="79" t="s">
        <v>209</v>
      </c>
      <c r="I134" s="82" t="s">
        <v>36</v>
      </c>
      <c r="J134" s="35" t="str">
        <f>IF(H116&lt;&gt;"",IF(INDEX('TH CANAM'!$A$9:$BF$63,MATCH(H116,'TH CANAM'!$A$9:$A$63,0),49)&lt;&gt;"",INDEX('TH CANAM'!$A$9:$BF$63,MATCH(H116,'TH CANAM'!$A$9:$A$63,0),49),"/"),"")</f>
        <v>Giỏi</v>
      </c>
      <c r="K134" s="35" t="str">
        <f>IF(H116&lt;&gt;"",IF(INDEX('TH CANAM'!$A$9:$BF$63,MATCH(H116,'TH CANAM'!$A$9:$A$63,0),50)&lt;&gt;"",INDEX('TH CANAM'!$A$9:$BF$63,MATCH(H116,'TH CANAM'!$A$9:$A$63,0),50),"/"),"")</f>
        <v>/</v>
      </c>
      <c r="L134" s="35" t="str">
        <f>IF(H116&lt;&gt;"",IF(INDEX('TH CANAM'!$A$9:$BF$63,MATCH(H116,'TH CANAM'!$A$9:$A$63,0),51)&lt;&gt;"",INDEX('TH CANAM'!$A$9:$BF$63,MATCH(H116,'TH CANAM'!$A$9:$A$63,0),51),"/"),"")</f>
        <v>/</v>
      </c>
      <c r="M134" s="88"/>
      <c r="N134" s="79" t="s">
        <v>209</v>
      </c>
      <c r="O134" s="82" t="s">
        <v>36</v>
      </c>
      <c r="P134" s="35" t="str">
        <f>IF(N116&lt;&gt;"",IF(INDEX('TH CANAM'!$A$9:$BF$63,MATCH(N116,'TH CANAM'!$A$9:$A$63,0),49)&lt;&gt;"",INDEX('TH CANAM'!$A$9:$BF$63,MATCH(N116,'TH CANAM'!$A$9:$A$63,0),49),"/"),"")</f>
        <v>Giỏi</v>
      </c>
      <c r="Q134" s="35" t="str">
        <f>IF(N116&lt;&gt;"",IF(INDEX('TH CANAM'!$A$9:$BF$63,MATCH(N116,'TH CANAM'!$A$9:$A$63,0),50)&lt;&gt;"",INDEX('TH CANAM'!$A$9:$BF$63,MATCH(N116,'TH CANAM'!$A$9:$A$63,0),50),"/"),"")</f>
        <v>/</v>
      </c>
      <c r="R134" s="35" t="str">
        <f>IF(N116&lt;&gt;"",IF(INDEX('TH CANAM'!$A$9:$BF$63,MATCH(N116,'TH CANAM'!$A$9:$A$63,0),51)&lt;&gt;"",INDEX('TH CANAM'!$A$9:$BF$63,MATCH(N116,'TH CANAM'!$A$9:$A$63,0),51),"/"),"")</f>
        <v>/</v>
      </c>
      <c r="S134" s="88"/>
    </row>
    <row r="135" spans="1:19" ht="15.6" customHeight="1">
      <c r="A135" s="88"/>
      <c r="B135" s="79" t="s">
        <v>210</v>
      </c>
      <c r="C135" s="82" t="s">
        <v>37</v>
      </c>
      <c r="D135" s="35" t="str">
        <f>IF(B116&lt;&gt;"",IF(INDEX('TH CANAM'!$A$9:$BF$63,MATCH(B116,'TH CANAM'!$A$9:$A$63,0),52)&lt;&gt;"",INDEX('TH CANAM'!$A$9:$BF$63,MATCH(B116,'TH CANAM'!$A$9:$A$63,0),52),"/"),"")</f>
        <v>Tốt</v>
      </c>
      <c r="E135" s="35" t="str">
        <f>IF(B116&lt;&gt;"",IF(INDEX('TH CANAM'!$A$9:$BF$63,MATCH(B116,'TH CANAM'!$A$9:$A$63,0),53)&lt;&gt;"",INDEX('TH CANAM'!$A$9:$BF$63,MATCH(B116,'TH CANAM'!$A$9:$A$63,0),53),"/"),"")</f>
        <v>/</v>
      </c>
      <c r="F135" s="35" t="str">
        <f>IF(B116&lt;&gt;"",IF(INDEX('TH CANAM'!$A$9:$BF$63,MATCH(B116,'TH CANAM'!$A$9:$A$63,0),54)&lt;&gt;"",INDEX('TH CANAM'!$A$9:$BF$63,MATCH(B116,'TH CANAM'!$A$9:$A$63,0),54),"/"),"")</f>
        <v>/</v>
      </c>
      <c r="G135" s="88"/>
      <c r="H135" s="79" t="s">
        <v>210</v>
      </c>
      <c r="I135" s="82" t="s">
        <v>37</v>
      </c>
      <c r="J135" s="35" t="str">
        <f>IF(H116&lt;&gt;"",IF(INDEX('TH CANAM'!$A$9:$BF$63,MATCH(H116,'TH CANAM'!$A$9:$A$63,0),52)&lt;&gt;"",INDEX('TH CANAM'!$A$9:$BF$63,MATCH(H116,'TH CANAM'!$A$9:$A$63,0),52),"/"),"")</f>
        <v>Tốt</v>
      </c>
      <c r="K135" s="35" t="str">
        <f>IF(H116&lt;&gt;"",IF(INDEX('TH CANAM'!$A$9:$BF$63,MATCH(H116,'TH CANAM'!$A$9:$A$63,0),53)&lt;&gt;"",INDEX('TH CANAM'!$A$9:$BF$63,MATCH(H116,'TH CANAM'!$A$9:$A$63,0),53),"/"),"")</f>
        <v>/</v>
      </c>
      <c r="L135" s="35" t="str">
        <f>IF(H116&lt;&gt;"",IF(INDEX('TH CANAM'!$A$9:$BF$63,MATCH(H116,'TH CANAM'!$A$9:$A$63,0),54)&lt;&gt;"",INDEX('TH CANAM'!$A$9:$BF$63,MATCH(H116,'TH CANAM'!$A$9:$A$63,0),54),"/"),"")</f>
        <v>/</v>
      </c>
      <c r="M135" s="88"/>
      <c r="N135" s="79" t="s">
        <v>210</v>
      </c>
      <c r="O135" s="82" t="s">
        <v>37</v>
      </c>
      <c r="P135" s="35" t="str">
        <f>IF(N116&lt;&gt;"",IF(INDEX('TH CANAM'!$A$9:$BF$63,MATCH(N116,'TH CANAM'!$A$9:$A$63,0),52)&lt;&gt;"",INDEX('TH CANAM'!$A$9:$BF$63,MATCH(N116,'TH CANAM'!$A$9:$A$63,0),52),"/"),"")</f>
        <v>Tốt</v>
      </c>
      <c r="Q135" s="35" t="str">
        <f>IF(N116&lt;&gt;"",IF(INDEX('TH CANAM'!$A$9:$BF$63,MATCH(N116,'TH CANAM'!$A$9:$A$63,0),53)&lt;&gt;"",INDEX('TH CANAM'!$A$9:$BF$63,MATCH(N116,'TH CANAM'!$A$9:$A$63,0),53),"/"),"")</f>
        <v>/</v>
      </c>
      <c r="R135" s="35" t="str">
        <f>IF(N116&lt;&gt;"",IF(INDEX('TH CANAM'!$A$9:$BF$63,MATCH(N116,'TH CANAM'!$A$9:$A$63,0),54)&lt;&gt;"",INDEX('TH CANAM'!$A$9:$BF$63,MATCH(N116,'TH CANAM'!$A$9:$A$63,0),54),"/"),"")</f>
        <v>/</v>
      </c>
      <c r="S135" s="88"/>
    </row>
    <row r="136" spans="1:19" ht="15.6" customHeight="1">
      <c r="A136" s="88"/>
      <c r="B136" s="79" t="s">
        <v>211</v>
      </c>
      <c r="C136" s="82" t="s">
        <v>25</v>
      </c>
      <c r="D136" s="35" t="str">
        <f>IF(B116&lt;&gt;"",IF(INDEX('TH CANAM'!$A$9:$BF$63,MATCH(B116,'TH CANAM'!$A$9:$A$63,0),57)&lt;&gt;"",INDEX('TH CANAM'!$A$9:$BF$63,MATCH(B116,'TH CANAM'!$A$9:$A$63,0),57),"/"),"")</f>
        <v>HSG</v>
      </c>
      <c r="E136" s="35" t="str">
        <f>IF(B116&lt;&gt;"",IF(INDEX('TH CANAM'!$A$9:$BF$63,MATCH(B116,'TH CANAM'!$A$9:$A$63,0),58)&lt;&gt;"",INDEX('TH CANAM'!$A$9:$BF$63,MATCH(B116,'TH CANAM'!$A$9:$A$63,0),58),"/"),"")</f>
        <v>/</v>
      </c>
      <c r="F136" s="35" t="str">
        <f>IF(B116&lt;&gt;"",IF(INDEX('TH CANAM'!$A$9:$BF$63,MATCH(B116,'TH CANAM'!$A$9:$A$63,0),55)&lt;&gt;"",INDEX('TH CANAM'!$A$9:$BF$63,MATCH(B116,'TH CANAM'!$A$9:$A$63,0),55),"/"),"")</f>
        <v>/</v>
      </c>
      <c r="G136" s="88"/>
      <c r="H136" s="79" t="s">
        <v>211</v>
      </c>
      <c r="I136" s="82" t="s">
        <v>25</v>
      </c>
      <c r="J136" s="35" t="str">
        <f>IF(H116&lt;&gt;"",IF(INDEX('TH CANAM'!$A$9:$BF$63,MATCH(H116,'TH CANAM'!$A$9:$A$63,0),57)&lt;&gt;"",INDEX('TH CANAM'!$A$9:$BF$63,MATCH(H116,'TH CANAM'!$A$9:$A$63,0),57),"/"),"")</f>
        <v>HSG</v>
      </c>
      <c r="K136" s="35" t="str">
        <f>IF(H116&lt;&gt;"",IF(INDEX('TH CANAM'!$A$9:$BF$63,MATCH(H116,'TH CANAM'!$A$9:$A$63,0),58)&lt;&gt;"",INDEX('TH CANAM'!$A$9:$BF$63,MATCH(H116,'TH CANAM'!$A$9:$A$63,0),58),"/"),"")</f>
        <v>/</v>
      </c>
      <c r="L136" s="35" t="str">
        <f>IF(H116&lt;&gt;"",IF(INDEX('TH CANAM'!$A$9:$BF$63,MATCH(H116,'TH CANAM'!$A$9:$A$63,0),55)&lt;&gt;"",INDEX('TH CANAM'!$A$9:$BF$63,MATCH(H116,'TH CANAM'!$A$9:$A$63,0),55),"/"),"")</f>
        <v>/</v>
      </c>
      <c r="M136" s="88"/>
      <c r="N136" s="79" t="s">
        <v>211</v>
      </c>
      <c r="O136" s="82" t="s">
        <v>25</v>
      </c>
      <c r="P136" s="35" t="str">
        <f>IF(N116&lt;&gt;"",IF(INDEX('TH CANAM'!$A$9:$BF$63,MATCH(N116,'TH CANAM'!$A$9:$A$63,0),57)&lt;&gt;"",INDEX('TH CANAM'!$A$9:$BF$63,MATCH(N116,'TH CANAM'!$A$9:$A$63,0),57),"/"),"")</f>
        <v>HSG</v>
      </c>
      <c r="Q136" s="35" t="str">
        <f>IF(N116&lt;&gt;"",IF(INDEX('TH CANAM'!$A$9:$BF$63,MATCH(N116,'TH CANAM'!$A$9:$A$63,0),58)&lt;&gt;"",INDEX('TH CANAM'!$A$9:$BF$63,MATCH(N116,'TH CANAM'!$A$9:$A$63,0),58),"/"),"")</f>
        <v>/</v>
      </c>
      <c r="R136" s="35" t="str">
        <f>IF(N116&lt;&gt;"",IF(INDEX('TH CANAM'!$A$9:$BF$63,MATCH(N116,'TH CANAM'!$A$9:$A$63,0),55)&lt;&gt;"",INDEX('TH CANAM'!$A$9:$BF$63,MATCH(N116,'TH CANAM'!$A$9:$A$63,0),55),"/"),"")</f>
        <v>/</v>
      </c>
      <c r="S136" s="88"/>
    </row>
    <row r="137" spans="1:19" s="251" customFormat="1" ht="15.75" customHeight="1">
      <c r="A137" s="89"/>
      <c r="B137" s="1146" t="s">
        <v>219</v>
      </c>
      <c r="C137" s="1147"/>
      <c r="D137" s="1147"/>
      <c r="E137" s="1147"/>
      <c r="F137" s="1148"/>
      <c r="G137" s="89"/>
      <c r="H137" s="1146" t="s">
        <v>219</v>
      </c>
      <c r="I137" s="1147"/>
      <c r="J137" s="1147"/>
      <c r="K137" s="1147"/>
      <c r="L137" s="1148"/>
      <c r="M137" s="89"/>
      <c r="N137" s="1146" t="s">
        <v>219</v>
      </c>
      <c r="O137" s="1147"/>
      <c r="P137" s="1147"/>
      <c r="Q137" s="1147"/>
      <c r="R137" s="1148"/>
      <c r="S137" s="89"/>
    </row>
    <row r="138" spans="1:19" s="251" customFormat="1" ht="15.6" customHeight="1">
      <c r="A138" s="89"/>
      <c r="B138" s="1143" t="str">
        <f>IF(B116&lt;&gt;"",IF(INDEX(BDHK2,MATCH(B116,DiemHKII!$B$4:$B$58,0),137)&lt;&gt;""," - "&amp;INDEX(BDHK2,MATCH(B116,DiemHKII!$B$4:$B$58,0),137),""),"")</f>
        <v/>
      </c>
      <c r="C138" s="1144"/>
      <c r="D138" s="1144"/>
      <c r="E138" s="1144"/>
      <c r="F138" s="1145"/>
      <c r="G138" s="89"/>
      <c r="H138" s="1143" t="str">
        <f>IF(H116&lt;&gt;"",IF(INDEX(BDHK2,MATCH(H116,DiemHKII!$B$4:$B$58,0),137)&lt;&gt;""," - "&amp;INDEX(BDHK2,MATCH(H116,DiemHKII!$B$4:$B$58,0),137),""),"")</f>
        <v/>
      </c>
      <c r="I138" s="1144"/>
      <c r="J138" s="1144"/>
      <c r="K138" s="1144"/>
      <c r="L138" s="1145"/>
      <c r="M138" s="89"/>
      <c r="N138" s="1143" t="str">
        <f>IF(N116&lt;&gt;"",IF(INDEX(BDHK2,MATCH(N116,DiemHKII!$B$4:$B$58,0),137)&lt;&gt;""," - "&amp;INDEX(BDHK2,MATCH(N116,DiemHKII!$B$4:$B$58,0),137),""),"")</f>
        <v/>
      </c>
      <c r="O138" s="1144"/>
      <c r="P138" s="1144"/>
      <c r="Q138" s="1144"/>
      <c r="R138" s="1145"/>
      <c r="S138" s="89"/>
    </row>
    <row r="139" spans="1:19" s="251" customFormat="1" ht="15.6" customHeight="1">
      <c r="A139" s="89"/>
      <c r="B139" s="1143" t="str">
        <f>IF(B116&lt;&gt;"",IF(INDEX(BDHK2,MATCH(B116,DiemHKII!$B$4:$B$58,0),138)&lt;&gt;""," - "&amp;INDEX(BDHK2,MATCH(B116,DiemHKII!$B$4:$B$58,0),138),""),"")</f>
        <v/>
      </c>
      <c r="C139" s="1144"/>
      <c r="D139" s="1144"/>
      <c r="E139" s="1144"/>
      <c r="F139" s="1145"/>
      <c r="G139" s="89"/>
      <c r="H139" s="1143" t="str">
        <f>IF(H116&lt;&gt;"",IF(INDEX(BDHK2,MATCH(H116,DiemHKII!$B$4:$B$58,0),138)&lt;&gt;""," - "&amp;INDEX(BDHK2,MATCH(H116,DiemHKII!$B$4:$B$58,0),138),""),"")</f>
        <v/>
      </c>
      <c r="I139" s="1144"/>
      <c r="J139" s="1144"/>
      <c r="K139" s="1144"/>
      <c r="L139" s="1145"/>
      <c r="M139" s="89"/>
      <c r="N139" s="1143" t="str">
        <f>IF(N116&lt;&gt;"",IF(INDEX(BDHK2,MATCH(N116,DiemHKII!$B$4:$B$58,0),138)&lt;&gt;""," - "&amp;INDEX(BDHK2,MATCH(N116,DiemHKII!$B$4:$B$58,0),138),""),"")</f>
        <v/>
      </c>
      <c r="O139" s="1144"/>
      <c r="P139" s="1144"/>
      <c r="Q139" s="1144"/>
      <c r="R139" s="1145"/>
      <c r="S139" s="89"/>
    </row>
    <row r="140" spans="1:19" s="251" customFormat="1" ht="15.6" customHeight="1">
      <c r="A140" s="89"/>
      <c r="B140" s="1143" t="str">
        <f>IF(B116&lt;&gt;"",IF(INDEX(BDHK2,MATCH(B116,DiemHKII!$B$4:$B$58,0),139)&lt;&gt;""," - "&amp;INDEX(BDHK2,MATCH(B116,DiemHKII!$B$4:$B$58,0),139),""),"")</f>
        <v/>
      </c>
      <c r="C140" s="1144"/>
      <c r="D140" s="1144"/>
      <c r="E140" s="1144"/>
      <c r="F140" s="1145"/>
      <c r="G140" s="89"/>
      <c r="H140" s="1143" t="str">
        <f>IF(H116&lt;&gt;"",IF(INDEX(BDHK2,MATCH(H116,DiemHKII!$B$4:$B$58,0),139)&lt;&gt;""," - "&amp;INDEX(BDHK2,MATCH(H116,DiemHKII!$B$4:$B$58,0),139),""),"")</f>
        <v/>
      </c>
      <c r="I140" s="1144"/>
      <c r="J140" s="1144"/>
      <c r="K140" s="1144"/>
      <c r="L140" s="1145"/>
      <c r="M140" s="89"/>
      <c r="N140" s="1143" t="str">
        <f>IF(N116&lt;&gt;"",IF(INDEX(BDHK2,MATCH(N116,DiemHKII!$B$4:$B$58,0),139)&lt;&gt;""," - "&amp;INDEX(BDHK2,MATCH(N116,DiemHKII!$B$4:$B$58,0),139),""),"")</f>
        <v/>
      </c>
      <c r="O140" s="1144"/>
      <c r="P140" s="1144"/>
      <c r="Q140" s="1144"/>
      <c r="R140" s="1145"/>
      <c r="S140" s="89"/>
    </row>
    <row r="141" spans="1:19" s="251" customFormat="1" ht="15.6" customHeight="1">
      <c r="A141" s="89"/>
      <c r="B141" s="1143" t="str">
        <f>IF(B116&lt;&gt;"",IF(INDEX(BDHK2,MATCH(B116,DiemHKII!$B$4:$B$58,0),140)&lt;&gt;""," - "&amp;INDEX(BDHK2,MATCH(B116,DiemHKII!$B$4:$B$58,0),140),""),"")</f>
        <v/>
      </c>
      <c r="C141" s="1144"/>
      <c r="D141" s="1144"/>
      <c r="E141" s="1144"/>
      <c r="F141" s="1145"/>
      <c r="G141" s="89"/>
      <c r="H141" s="1143" t="str">
        <f>IF(H116&lt;&gt;"",IF(INDEX(BDHK2,MATCH(H116,DiemHKII!$B$4:$B$58,0),140)&lt;&gt;""," - "&amp;INDEX(BDHK2,MATCH(H116,DiemHKII!$B$4:$B$58,0),140),""),"")</f>
        <v/>
      </c>
      <c r="I141" s="1144"/>
      <c r="J141" s="1144"/>
      <c r="K141" s="1144"/>
      <c r="L141" s="1145"/>
      <c r="M141" s="89"/>
      <c r="N141" s="1143" t="str">
        <f>IF(N116&lt;&gt;"",IF(INDEX(BDHK2,MATCH(N116,DiemHKII!$B$4:$B$58,0),140)&lt;&gt;""," - "&amp;INDEX(BDHK2,MATCH(N116,DiemHKII!$B$4:$B$58,0),140),""),"")</f>
        <v/>
      </c>
      <c r="O141" s="1144"/>
      <c r="P141" s="1144"/>
      <c r="Q141" s="1144"/>
      <c r="R141" s="1145"/>
      <c r="S141" s="89"/>
    </row>
    <row r="142" spans="1:19" ht="8.25" customHeight="1">
      <c r="A142" s="88"/>
      <c r="B142" s="83"/>
      <c r="C142" s="84"/>
      <c r="D142" s="84"/>
      <c r="E142" s="84"/>
      <c r="F142" s="85"/>
      <c r="G142" s="88"/>
      <c r="H142" s="83"/>
      <c r="I142" s="84"/>
      <c r="J142" s="84"/>
      <c r="K142" s="84"/>
      <c r="L142" s="85"/>
      <c r="M142" s="88"/>
      <c r="N142" s="83"/>
      <c r="O142" s="84"/>
      <c r="P142" s="84"/>
      <c r="Q142" s="84"/>
      <c r="R142" s="85"/>
      <c r="S142" s="88"/>
    </row>
    <row r="143" spans="1:19" ht="6.75" customHeight="1">
      <c r="A143" s="88"/>
      <c r="B143" s="87"/>
      <c r="C143" s="87"/>
      <c r="D143" s="1135"/>
      <c r="E143" s="1135"/>
      <c r="F143" s="1135"/>
      <c r="G143" s="88"/>
      <c r="H143" s="87"/>
      <c r="I143" s="87"/>
      <c r="J143" s="1135"/>
      <c r="K143" s="1135"/>
      <c r="L143" s="1135"/>
      <c r="M143" s="88"/>
      <c r="N143" s="87"/>
      <c r="O143" s="87"/>
      <c r="P143" s="1135"/>
      <c r="Q143" s="1135"/>
      <c r="R143" s="1135"/>
      <c r="S143" s="88"/>
    </row>
    <row r="144" spans="1:19" ht="18" customHeight="1">
      <c r="A144" s="88"/>
      <c r="B144" s="477">
        <f>IF(N116="","",IF(N116&lt;MAX(DiemHKII!$B$4:$B$58),N116+1,""))</f>
        <v>16</v>
      </c>
      <c r="C144" s="1140" t="str">
        <f>IF(B144="","",INDEX(DiemHKII!$E$4:$E$58,MATCH(B144,DiemHKII!$B$4:$B$58,0),1)&amp;" "&amp;INDEX(DiemHKII!$F$4:$F$58,MATCH(B144,DiemHKII!$B$4:$B$58,0),1))</f>
        <v>Trần Đăng Khải</v>
      </c>
      <c r="D144" s="1141"/>
      <c r="E144" s="1142"/>
      <c r="F144" s="86" t="str">
        <f>IF('Huong dan'!$C$3="","",'Huong dan'!$C$3)</f>
        <v>12A1</v>
      </c>
      <c r="G144" s="88"/>
      <c r="H144" s="477">
        <f>IF(B144="","",IF(B144&lt;MAX(DiemHKII!$B$4:$B$58),B144+1,""))</f>
        <v>17</v>
      </c>
      <c r="I144" s="1140" t="str">
        <f>IF(H144="","",INDEX(DiemHKII!$E$4:$E$58,MATCH(H144,DiemHKII!$B$4:$B$58,0),1)&amp;" "&amp;INDEX(DiemHKII!$F$4:$F$58,MATCH(H144,DiemHKII!$B$4:$B$58,0),1))</f>
        <v>Nguyễn Huỳnh Phúc Khang</v>
      </c>
      <c r="J144" s="1141"/>
      <c r="K144" s="1142"/>
      <c r="L144" s="86" t="str">
        <f>IF('Huong dan'!$C$3="","",'Huong dan'!$C$3)</f>
        <v>12A1</v>
      </c>
      <c r="M144" s="88"/>
      <c r="N144" s="477">
        <f>IF(H144="","",IF(H144&lt;MAX(DiemHKII!$B$4:$B$58),H144+1,""))</f>
        <v>18</v>
      </c>
      <c r="O144" s="1140" t="str">
        <f>IF(N144="","",INDEX(DiemHKII!$E$4:$E$58,MATCH(N144,DiemHKII!$B$4:$B$58,0),1)&amp;" "&amp;INDEX(DiemHKII!$F$4:$F$58,MATCH(N144,DiemHKII!$B$4:$B$58,0),1))</f>
        <v>Nguyễn Đăng Khoa</v>
      </c>
      <c r="P144" s="1141"/>
      <c r="Q144" s="1142"/>
      <c r="R144" s="86" t="str">
        <f>IF('Huong dan'!$C$3="","",'Huong dan'!$C$3)</f>
        <v>12A1</v>
      </c>
      <c r="S144" s="88"/>
    </row>
    <row r="145" spans="1:19" ht="18.75" customHeight="1">
      <c r="A145" s="88"/>
      <c r="B145" s="1136" t="str">
        <f>" Sinh ngày: "&amp;IF(B144="","",INDEX(DiemHKII!$G$4:$G$58,MATCH(B144,DiemHKII!$B$4:$B$58,0),1))</f>
        <v xml:space="preserve"> Sinh ngày: 22/04/2004</v>
      </c>
      <c r="C145" s="1137"/>
      <c r="D145" s="1137"/>
      <c r="E145" s="1138" t="str">
        <f>IF(B144="","","NS: "&amp;INDEX(DiemHKII!$H$4:$H$58,MATCH(B144,DiemHKII!$B$4:$B$58,0),1))</f>
        <v xml:space="preserve">NS: </v>
      </c>
      <c r="F145" s="1139"/>
      <c r="G145" s="88"/>
      <c r="H145" s="1136" t="str">
        <f>" Sinh ngày: "&amp;IF(H144="","",INDEX(DiemHKII!$G$4:$G$58,MATCH(H144,DiemHKII!$B$4:$B$58,0),1))</f>
        <v xml:space="preserve"> Sinh ngày: 14/12/2004</v>
      </c>
      <c r="I145" s="1137"/>
      <c r="J145" s="1137"/>
      <c r="K145" s="1138" t="str">
        <f>IF(H144="","","NS: "&amp;INDEX(DiemHKII!$H$4:$H$58,MATCH(H144,DiemHKII!$B$4:$B$58,0),1))</f>
        <v xml:space="preserve">NS: </v>
      </c>
      <c r="L145" s="1139"/>
      <c r="M145" s="88"/>
      <c r="N145" s="1136" t="str">
        <f>" Sinh ngày: "&amp;IF(N144="","",INDEX(DiemHKII!$G$4:$G$58,MATCH(N144,DiemHKII!$B$4:$B$58,0),1))</f>
        <v xml:space="preserve"> Sinh ngày: 07/11/2004</v>
      </c>
      <c r="O145" s="1137"/>
      <c r="P145" s="1137"/>
      <c r="Q145" s="1138" t="str">
        <f>IF(N144="","","NS: "&amp;INDEX(DiemHKII!$H$4:$H$58,MATCH(N144,DiemHKII!$B$4:$B$58,0),1))</f>
        <v xml:space="preserve">NS: </v>
      </c>
      <c r="R145" s="1139"/>
      <c r="S145" s="88"/>
    </row>
    <row r="146" spans="1:19" ht="15.75" customHeight="1">
      <c r="A146" s="88"/>
      <c r="B146" s="381" t="s">
        <v>0</v>
      </c>
      <c r="C146" s="381" t="s">
        <v>59</v>
      </c>
      <c r="D146" s="381" t="s">
        <v>73</v>
      </c>
      <c r="E146" s="381" t="s">
        <v>176</v>
      </c>
      <c r="F146" s="381" t="s">
        <v>98</v>
      </c>
      <c r="G146" s="88"/>
      <c r="H146" s="381" t="s">
        <v>0</v>
      </c>
      <c r="I146" s="381" t="s">
        <v>59</v>
      </c>
      <c r="J146" s="381" t="s">
        <v>73</v>
      </c>
      <c r="K146" s="381" t="s">
        <v>176</v>
      </c>
      <c r="L146" s="381" t="s">
        <v>98</v>
      </c>
      <c r="M146" s="88"/>
      <c r="N146" s="381" t="s">
        <v>0</v>
      </c>
      <c r="O146" s="381" t="s">
        <v>59</v>
      </c>
      <c r="P146" s="381" t="s">
        <v>73</v>
      </c>
      <c r="Q146" s="381" t="s">
        <v>176</v>
      </c>
      <c r="R146" s="381" t="s">
        <v>98</v>
      </c>
      <c r="S146" s="88"/>
    </row>
    <row r="147" spans="1:19" ht="15.6" customHeight="1">
      <c r="A147" s="88"/>
      <c r="B147" s="79" t="s">
        <v>191</v>
      </c>
      <c r="C147" s="81" t="s">
        <v>26</v>
      </c>
      <c r="D147" s="35">
        <f>IF(B144&lt;&gt;"",IF(INDEX(BDHK2,MATCH(B144,DiemHKII!$B$4:$B$58,0),INDEX($Y$7:$AB$20,MATCH(C147,$Y$7:$Y$20,0),$Z$6))&lt;&gt;"",INDEX(BDHK2,MATCH(B144,DiemHKII!$B$4:$B$58,0),INDEX($Y$7:$AB$20,MATCH(C147,$Y$7:$Y$20,0),$Z$6)),"/"),"")</f>
        <v>9.6</v>
      </c>
      <c r="E147" s="35" t="str">
        <f>IF(B144&lt;&gt;"",IF(INDEX(BDHK2,MATCH(B144,DiemHKII!$B$4:$B$58,0),INDEX($Y$7:$AB$20,MATCH(C147,$Y$7:$Y$20,0),$AA$6))&lt;&gt;"",INDEX(BDHK2,MATCH(B144,DiemHKII!$B$4:$B$58,0),INDEX($Y$7:$AB$20,MATCH(C147,$Y$7:$Y$20,0),$AA$6)),"/"),"")</f>
        <v>/</v>
      </c>
      <c r="F147" s="35" t="str">
        <f>IF(B144&lt;&gt;"",IF(INDEX(BDHK2,MATCH(B144,DiemHKII!$B$4:$B$58,0),INDEX($Y$7:$AB$20,MATCH(C147,$Y$7:$Y$20,0),$AB$6))&lt;&gt;"",INDEX(BDHK2,MATCH(B144,DiemHKII!$B$4:$B$58,0),INDEX($Y$7:$AB$20,MATCH(C147,$Y$7:$Y$20,0),$AB$6)),"/"),"")</f>
        <v>/</v>
      </c>
      <c r="G147" s="88"/>
      <c r="H147" s="79" t="s">
        <v>191</v>
      </c>
      <c r="I147" s="81" t="s">
        <v>26</v>
      </c>
      <c r="J147" s="35">
        <f>IF(H144&lt;&gt;"",IF(INDEX(BDHK2,MATCH(H144,DiemHKII!$B$4:$B$58,0),INDEX($Y$7:$AB$20,MATCH(I147,$Y$7:$Y$20,0),$Z$6))&lt;&gt;"",INDEX(BDHK2,MATCH(H144,DiemHKII!$B$4:$B$58,0),INDEX($Y$7:$AB$20,MATCH(I147,$Y$7:$Y$20,0),$Z$6)),"/"),"")</f>
        <v>9</v>
      </c>
      <c r="K147" s="35" t="str">
        <f>IF(H144&lt;&gt;"",IF(INDEX(BDHK2,MATCH(H144,DiemHKII!$B$4:$B$58,0),INDEX($Y$7:$AB$20,MATCH(I147,$Y$7:$Y$20,0),$AA$6))&lt;&gt;"",INDEX(BDHK2,MATCH(H144,DiemHKII!$B$4:$B$58,0),INDEX($Y$7:$AB$20,MATCH(I147,$Y$7:$Y$20,0),$AA$6)),"/"),"")</f>
        <v>/</v>
      </c>
      <c r="L147" s="35" t="str">
        <f>IF(H144&lt;&gt;"",IF(INDEX(BDHK2,MATCH(H144,DiemHKII!$B$4:$B$58,0),INDEX($Y$7:$AB$20,MATCH(I147,$Y$7:$Y$20,0),$AB$6))&lt;&gt;"",INDEX(BDHK2,MATCH(H144,DiemHKII!$B$4:$B$58,0),INDEX($Y$7:$AB$20,MATCH(I147,$Y$7:$Y$20,0),$AB$6)),"/"),"")</f>
        <v>/</v>
      </c>
      <c r="M147" s="88"/>
      <c r="N147" s="79" t="s">
        <v>191</v>
      </c>
      <c r="O147" s="81" t="s">
        <v>26</v>
      </c>
      <c r="P147" s="35">
        <f>IF(N144&lt;&gt;"",IF(INDEX(BDHK2,MATCH(N144,DiemHKII!$B$4:$B$58,0),INDEX($Y$7:$AB$20,MATCH(O147,$Y$7:$Y$20,0),$Z$6))&lt;&gt;"",INDEX(BDHK2,MATCH(N144,DiemHKII!$B$4:$B$58,0),INDEX($Y$7:$AB$20,MATCH(O147,$Y$7:$Y$20,0),$Z$6)),"/"),"")</f>
        <v>9.9</v>
      </c>
      <c r="Q147" s="35" t="str">
        <f>IF(N144&lt;&gt;"",IF(INDEX(BDHK2,MATCH(N144,DiemHKII!$B$4:$B$58,0),INDEX($Y$7:$AB$20,MATCH(O147,$Y$7:$Y$20,0),$AA$6))&lt;&gt;"",INDEX(BDHK2,MATCH(N144,DiemHKII!$B$4:$B$58,0),INDEX($Y$7:$AB$20,MATCH(O147,$Y$7:$Y$20,0),$AA$6)),"/"),"")</f>
        <v>/</v>
      </c>
      <c r="R147" s="35" t="str">
        <f>IF(N144&lt;&gt;"",IF(INDEX(BDHK2,MATCH(N144,DiemHKII!$B$4:$B$58,0),INDEX($Y$7:$AB$20,MATCH(O147,$Y$7:$Y$20,0),$AB$6))&lt;&gt;"",INDEX(BDHK2,MATCH(N144,DiemHKII!$B$4:$B$58,0),INDEX($Y$7:$AB$20,MATCH(O147,$Y$7:$Y$20,0),$AB$6)),"/"),"")</f>
        <v>/</v>
      </c>
      <c r="S147" s="88"/>
    </row>
    <row r="148" spans="1:19" ht="15.6" customHeight="1">
      <c r="A148" s="88"/>
      <c r="B148" s="79" t="s">
        <v>192</v>
      </c>
      <c r="C148" s="81" t="s">
        <v>27</v>
      </c>
      <c r="D148" s="35">
        <f>IF(B144&lt;&gt;"",IF(INDEX(BDHK2,MATCH(B144,DiemHKII!$B$4:$B$58,0),INDEX($Y$7:$AB$20,MATCH(C148,$Y$7:$Y$20,0),$Z$6))&lt;&gt;"",INDEX(BDHK2,MATCH(B144,DiemHKII!$B$4:$B$58,0),INDEX($Y$7:$AB$20,MATCH(C148,$Y$7:$Y$20,0),$Z$6)),"/"),"")</f>
        <v>9.4</v>
      </c>
      <c r="E148" s="35" t="str">
        <f>IF(B144&lt;&gt;"",IF(INDEX(BDHK2,MATCH(B144,DiemHKII!$B$4:$B$58,0),INDEX($Y$7:$AB$20,MATCH(C148,$Y$7:$Y$20,0),$AA$6))&lt;&gt;"",INDEX(BDHK2,MATCH(B144,DiemHKII!$B$4:$B$58,0),INDEX($Y$7:$AB$20,MATCH(C148,$Y$7:$Y$20,0),$AA$6)),"/"),"")</f>
        <v>/</v>
      </c>
      <c r="F148" s="35" t="str">
        <f>IF(B144&lt;&gt;"",IF(INDEX(BDHK2,MATCH(B144,DiemHKII!$B$4:$B$58,0),INDEX($Y$7:$AB$20,MATCH(C148,$Y$7:$Y$20,0),$AB$6))&lt;&gt;"",INDEX(BDHK2,MATCH(B144,DiemHKII!$B$4:$B$58,0),INDEX($Y$7:$AB$20,MATCH(C148,$Y$7:$Y$20,0),$AB$6)),"/"),"")</f>
        <v>/</v>
      </c>
      <c r="G148" s="88"/>
      <c r="H148" s="79" t="s">
        <v>192</v>
      </c>
      <c r="I148" s="81" t="s">
        <v>27</v>
      </c>
      <c r="J148" s="35">
        <f>IF(H144&lt;&gt;"",IF(INDEX(BDHK2,MATCH(H144,DiemHKII!$B$4:$B$58,0),INDEX($Y$7:$AB$20,MATCH(I148,$Y$7:$Y$20,0),$Z$6))&lt;&gt;"",INDEX(BDHK2,MATCH(H144,DiemHKII!$B$4:$B$58,0),INDEX($Y$7:$AB$20,MATCH(I148,$Y$7:$Y$20,0),$Z$6)),"/"),"")</f>
        <v>9.3000000000000007</v>
      </c>
      <c r="K148" s="35" t="str">
        <f>IF(H144&lt;&gt;"",IF(INDEX(BDHK2,MATCH(H144,DiemHKII!$B$4:$B$58,0),INDEX($Y$7:$AB$20,MATCH(I148,$Y$7:$Y$20,0),$AA$6))&lt;&gt;"",INDEX(BDHK2,MATCH(H144,DiemHKII!$B$4:$B$58,0),INDEX($Y$7:$AB$20,MATCH(I148,$Y$7:$Y$20,0),$AA$6)),"/"),"")</f>
        <v>/</v>
      </c>
      <c r="L148" s="35" t="str">
        <f>IF(H144&lt;&gt;"",IF(INDEX(BDHK2,MATCH(H144,DiemHKII!$B$4:$B$58,0),INDEX($Y$7:$AB$20,MATCH(I148,$Y$7:$Y$20,0),$AB$6))&lt;&gt;"",INDEX(BDHK2,MATCH(H144,DiemHKII!$B$4:$B$58,0),INDEX($Y$7:$AB$20,MATCH(I148,$Y$7:$Y$20,0),$AB$6)),"/"),"")</f>
        <v>/</v>
      </c>
      <c r="M148" s="88"/>
      <c r="N148" s="79" t="s">
        <v>192</v>
      </c>
      <c r="O148" s="81" t="s">
        <v>27</v>
      </c>
      <c r="P148" s="35">
        <f>IF(N144&lt;&gt;"",IF(INDEX(BDHK2,MATCH(N144,DiemHKII!$B$4:$B$58,0),INDEX($Y$7:$AB$20,MATCH(O148,$Y$7:$Y$20,0),$Z$6))&lt;&gt;"",INDEX(BDHK2,MATCH(N144,DiemHKII!$B$4:$B$58,0),INDEX($Y$7:$AB$20,MATCH(O148,$Y$7:$Y$20,0),$Z$6)),"/"),"")</f>
        <v>10</v>
      </c>
      <c r="Q148" s="35" t="str">
        <f>IF(N144&lt;&gt;"",IF(INDEX(BDHK2,MATCH(N144,DiemHKII!$B$4:$B$58,0),INDEX($Y$7:$AB$20,MATCH(O148,$Y$7:$Y$20,0),$AA$6))&lt;&gt;"",INDEX(BDHK2,MATCH(N144,DiemHKII!$B$4:$B$58,0),INDEX($Y$7:$AB$20,MATCH(O148,$Y$7:$Y$20,0),$AA$6)),"/"),"")</f>
        <v>/</v>
      </c>
      <c r="R148" s="35" t="str">
        <f>IF(N144&lt;&gt;"",IF(INDEX(BDHK2,MATCH(N144,DiemHKII!$B$4:$B$58,0),INDEX($Y$7:$AB$20,MATCH(O148,$Y$7:$Y$20,0),$AB$6))&lt;&gt;"",INDEX(BDHK2,MATCH(N144,DiemHKII!$B$4:$B$58,0),INDEX($Y$7:$AB$20,MATCH(O148,$Y$7:$Y$20,0),$AB$6)),"/"),"")</f>
        <v>/</v>
      </c>
      <c r="S148" s="88"/>
    </row>
    <row r="149" spans="1:19" ht="15.6" customHeight="1">
      <c r="A149" s="88"/>
      <c r="B149" s="79" t="s">
        <v>193</v>
      </c>
      <c r="C149" s="81" t="s">
        <v>28</v>
      </c>
      <c r="D149" s="35">
        <f>IF(B144&lt;&gt;"",IF(INDEX(BDHK2,MATCH(B144,DiemHKII!$B$4:$B$58,0),INDEX($Y$7:$AB$20,MATCH(C149,$Y$7:$Y$20,0),$Z$6))&lt;&gt;"",INDEX(BDHK2,MATCH(B144,DiemHKII!$B$4:$B$58,0),INDEX($Y$7:$AB$20,MATCH(C149,$Y$7:$Y$20,0),$Z$6)),"/"),"")</f>
        <v>9.6</v>
      </c>
      <c r="E149" s="35" t="str">
        <f>IF(B144&lt;&gt;"",IF(INDEX(BDHK2,MATCH(B144,DiemHKII!$B$4:$B$58,0),INDEX($Y$7:$AB$20,MATCH(C149,$Y$7:$Y$20,0),$AA$6))&lt;&gt;"",INDEX(BDHK2,MATCH(B144,DiemHKII!$B$4:$B$58,0),INDEX($Y$7:$AB$20,MATCH(C149,$Y$7:$Y$20,0),$AA$6)),"/"),"")</f>
        <v>/</v>
      </c>
      <c r="F149" s="35" t="str">
        <f>IF(B144&lt;&gt;"",IF(INDEX(BDHK2,MATCH(B144,DiemHKII!$B$4:$B$58,0),INDEX($Y$7:$AB$20,MATCH(C149,$Y$7:$Y$20,0),$AB$6))&lt;&gt;"",INDEX(BDHK2,MATCH(B144,DiemHKII!$B$4:$B$58,0),INDEX($Y$7:$AB$20,MATCH(C149,$Y$7:$Y$20,0),$AB$6)),"/"),"")</f>
        <v>/</v>
      </c>
      <c r="G149" s="88"/>
      <c r="H149" s="79" t="s">
        <v>193</v>
      </c>
      <c r="I149" s="81" t="s">
        <v>28</v>
      </c>
      <c r="J149" s="35">
        <f>IF(H144&lt;&gt;"",IF(INDEX(BDHK2,MATCH(H144,DiemHKII!$B$4:$B$58,0),INDEX($Y$7:$AB$20,MATCH(I149,$Y$7:$Y$20,0),$Z$6))&lt;&gt;"",INDEX(BDHK2,MATCH(H144,DiemHKII!$B$4:$B$58,0),INDEX($Y$7:$AB$20,MATCH(I149,$Y$7:$Y$20,0),$Z$6)),"/"),"")</f>
        <v>8.3000000000000007</v>
      </c>
      <c r="K149" s="35" t="str">
        <f>IF(H144&lt;&gt;"",IF(INDEX(BDHK2,MATCH(H144,DiemHKII!$B$4:$B$58,0),INDEX($Y$7:$AB$20,MATCH(I149,$Y$7:$Y$20,0),$AA$6))&lt;&gt;"",INDEX(BDHK2,MATCH(H144,DiemHKII!$B$4:$B$58,0),INDEX($Y$7:$AB$20,MATCH(I149,$Y$7:$Y$20,0),$AA$6)),"/"),"")</f>
        <v>/</v>
      </c>
      <c r="L149" s="35" t="str">
        <f>IF(H144&lt;&gt;"",IF(INDEX(BDHK2,MATCH(H144,DiemHKII!$B$4:$B$58,0),INDEX($Y$7:$AB$20,MATCH(I149,$Y$7:$Y$20,0),$AB$6))&lt;&gt;"",INDEX(BDHK2,MATCH(H144,DiemHKII!$B$4:$B$58,0),INDEX($Y$7:$AB$20,MATCH(I149,$Y$7:$Y$20,0),$AB$6)),"/"),"")</f>
        <v>/</v>
      </c>
      <c r="M149" s="88"/>
      <c r="N149" s="79" t="s">
        <v>193</v>
      </c>
      <c r="O149" s="81" t="s">
        <v>28</v>
      </c>
      <c r="P149" s="35">
        <f>IF(N144&lt;&gt;"",IF(INDEX(BDHK2,MATCH(N144,DiemHKII!$B$4:$B$58,0),INDEX($Y$7:$AB$20,MATCH(O149,$Y$7:$Y$20,0),$Z$6))&lt;&gt;"",INDEX(BDHK2,MATCH(N144,DiemHKII!$B$4:$B$58,0),INDEX($Y$7:$AB$20,MATCH(O149,$Y$7:$Y$20,0),$Z$6)),"/"),"")</f>
        <v>9.9</v>
      </c>
      <c r="Q149" s="35" t="str">
        <f>IF(N144&lt;&gt;"",IF(INDEX(BDHK2,MATCH(N144,DiemHKII!$B$4:$B$58,0),INDEX($Y$7:$AB$20,MATCH(O149,$Y$7:$Y$20,0),$AA$6))&lt;&gt;"",INDEX(BDHK2,MATCH(N144,DiemHKII!$B$4:$B$58,0),INDEX($Y$7:$AB$20,MATCH(O149,$Y$7:$Y$20,0),$AA$6)),"/"),"")</f>
        <v>/</v>
      </c>
      <c r="R149" s="35" t="str">
        <f>IF(N144&lt;&gt;"",IF(INDEX(BDHK2,MATCH(N144,DiemHKII!$B$4:$B$58,0),INDEX($Y$7:$AB$20,MATCH(O149,$Y$7:$Y$20,0),$AB$6))&lt;&gt;"",INDEX(BDHK2,MATCH(N144,DiemHKII!$B$4:$B$58,0),INDEX($Y$7:$AB$20,MATCH(O149,$Y$7:$Y$20,0),$AB$6)),"/"),"")</f>
        <v>/</v>
      </c>
      <c r="S149" s="88"/>
    </row>
    <row r="150" spans="1:19" ht="15.6" customHeight="1">
      <c r="A150" s="88"/>
      <c r="B150" s="79" t="s">
        <v>194</v>
      </c>
      <c r="C150" s="81" t="s">
        <v>29</v>
      </c>
      <c r="D150" s="35">
        <f>IF(B144&lt;&gt;"",IF(INDEX(BDHK2,MATCH(B144,DiemHKII!$B$4:$B$58,0),INDEX($Y$7:$AB$20,MATCH(C150,$Y$7:$Y$20,0),$Z$6))&lt;&gt;"",INDEX(BDHK2,MATCH(B144,DiemHKII!$B$4:$B$58,0),INDEX($Y$7:$AB$20,MATCH(C150,$Y$7:$Y$20,0),$Z$6)),"/"),"")</f>
        <v>9</v>
      </c>
      <c r="E150" s="35" t="str">
        <f>IF(B144&lt;&gt;"",IF(INDEX(BDHK2,MATCH(B144,DiemHKII!$B$4:$B$58,0),INDEX($Y$7:$AB$20,MATCH(C150,$Y$7:$Y$20,0),$AA$6))&lt;&gt;"",INDEX(BDHK2,MATCH(B144,DiemHKII!$B$4:$B$58,0),INDEX($Y$7:$AB$20,MATCH(C150,$Y$7:$Y$20,0),$AA$6)),"/"),"")</f>
        <v>/</v>
      </c>
      <c r="F150" s="35" t="str">
        <f>IF(B144&lt;&gt;"",IF(INDEX(BDHK2,MATCH(B144,DiemHKII!$B$4:$B$58,0),INDEX($Y$7:$AB$20,MATCH(C150,$Y$7:$Y$20,0),$AB$6))&lt;&gt;"",INDEX(BDHK2,MATCH(B144,DiemHKII!$B$4:$B$58,0),INDEX($Y$7:$AB$20,MATCH(C150,$Y$7:$Y$20,0),$AB$6)),"/"),"")</f>
        <v>/</v>
      </c>
      <c r="G150" s="88"/>
      <c r="H150" s="79" t="s">
        <v>194</v>
      </c>
      <c r="I150" s="81" t="s">
        <v>29</v>
      </c>
      <c r="J150" s="35">
        <f>IF(H144&lt;&gt;"",IF(INDEX(BDHK2,MATCH(H144,DiemHKII!$B$4:$B$58,0),INDEX($Y$7:$AB$20,MATCH(I150,$Y$7:$Y$20,0),$Z$6))&lt;&gt;"",INDEX(BDHK2,MATCH(H144,DiemHKII!$B$4:$B$58,0),INDEX($Y$7:$AB$20,MATCH(I150,$Y$7:$Y$20,0),$Z$6)),"/"),"")</f>
        <v>9.1999999999999993</v>
      </c>
      <c r="K150" s="35" t="str">
        <f>IF(H144&lt;&gt;"",IF(INDEX(BDHK2,MATCH(H144,DiemHKII!$B$4:$B$58,0),INDEX($Y$7:$AB$20,MATCH(I150,$Y$7:$Y$20,0),$AA$6))&lt;&gt;"",INDEX(BDHK2,MATCH(H144,DiemHKII!$B$4:$B$58,0),INDEX($Y$7:$AB$20,MATCH(I150,$Y$7:$Y$20,0),$AA$6)),"/"),"")</f>
        <v>/</v>
      </c>
      <c r="L150" s="35" t="str">
        <f>IF(H144&lt;&gt;"",IF(INDEX(BDHK2,MATCH(H144,DiemHKII!$B$4:$B$58,0),INDEX($Y$7:$AB$20,MATCH(I150,$Y$7:$Y$20,0),$AB$6))&lt;&gt;"",INDEX(BDHK2,MATCH(H144,DiemHKII!$B$4:$B$58,0),INDEX($Y$7:$AB$20,MATCH(I150,$Y$7:$Y$20,0),$AB$6)),"/"),"")</f>
        <v>/</v>
      </c>
      <c r="M150" s="88"/>
      <c r="N150" s="79" t="s">
        <v>194</v>
      </c>
      <c r="O150" s="81" t="s">
        <v>29</v>
      </c>
      <c r="P150" s="35">
        <f>IF(N144&lt;&gt;"",IF(INDEX(BDHK2,MATCH(N144,DiemHKII!$B$4:$B$58,0),INDEX($Y$7:$AB$20,MATCH(O150,$Y$7:$Y$20,0),$Z$6))&lt;&gt;"",INDEX(BDHK2,MATCH(N144,DiemHKII!$B$4:$B$58,0),INDEX($Y$7:$AB$20,MATCH(O150,$Y$7:$Y$20,0),$Z$6)),"/"),"")</f>
        <v>9.5</v>
      </c>
      <c r="Q150" s="35" t="str">
        <f>IF(N144&lt;&gt;"",IF(INDEX(BDHK2,MATCH(N144,DiemHKII!$B$4:$B$58,0),INDEX($Y$7:$AB$20,MATCH(O150,$Y$7:$Y$20,0),$AA$6))&lt;&gt;"",INDEX(BDHK2,MATCH(N144,DiemHKII!$B$4:$B$58,0),INDEX($Y$7:$AB$20,MATCH(O150,$Y$7:$Y$20,0),$AA$6)),"/"),"")</f>
        <v>/</v>
      </c>
      <c r="R150" s="35" t="str">
        <f>IF(N144&lt;&gt;"",IF(INDEX(BDHK2,MATCH(N144,DiemHKII!$B$4:$B$58,0),INDEX($Y$7:$AB$20,MATCH(O150,$Y$7:$Y$20,0),$AB$6))&lt;&gt;"",INDEX(BDHK2,MATCH(N144,DiemHKII!$B$4:$B$58,0),INDEX($Y$7:$AB$20,MATCH(O150,$Y$7:$Y$20,0),$AB$6)),"/"),"")</f>
        <v>/</v>
      </c>
      <c r="S150" s="88"/>
    </row>
    <row r="151" spans="1:19" ht="15.6" customHeight="1">
      <c r="A151" s="88"/>
      <c r="B151" s="79" t="s">
        <v>195</v>
      </c>
      <c r="C151" s="81" t="s">
        <v>120</v>
      </c>
      <c r="D151" s="35">
        <f>IF(B144&lt;&gt;"",IF(INDEX(BDHK2,MATCH(B144,DiemHKII!$B$4:$B$58,0),INDEX($Y$7:$AB$20,MATCH(C151,$Y$7:$Y$20,0),$Z$6))&lt;&gt;"",INDEX(BDHK2,MATCH(B144,DiemHKII!$B$4:$B$58,0),INDEX($Y$7:$AB$20,MATCH(C151,$Y$7:$Y$20,0),$Z$6)),"/"),"")</f>
        <v>9.8000000000000007</v>
      </c>
      <c r="E151" s="35" t="str">
        <f>IF(B144&lt;&gt;"",IF(INDEX(BDHK2,MATCH(B144,DiemHKII!$B$4:$B$58,0),INDEX($Y$7:$AB$20,MATCH(C151,$Y$7:$Y$20,0),$AA$6))&lt;&gt;"",INDEX(BDHK2,MATCH(B144,DiemHKII!$B$4:$B$58,0),INDEX($Y$7:$AB$20,MATCH(C151,$Y$7:$Y$20,0),$AA$6)),"/"),"")</f>
        <v>/</v>
      </c>
      <c r="F151" s="35" t="str">
        <f>IF(B144&lt;&gt;"",IF(INDEX(BDHK2,MATCH(B144,DiemHKII!$B$4:$B$58,0),INDEX($Y$7:$AB$20,MATCH(C151,$Y$7:$Y$20,0),$AB$6))&lt;&gt;"",INDEX(BDHK2,MATCH(B144,DiemHKII!$B$4:$B$58,0),INDEX($Y$7:$AB$20,MATCH(C151,$Y$7:$Y$20,0),$AB$6)),"/"),"")</f>
        <v>/</v>
      </c>
      <c r="G151" s="88"/>
      <c r="H151" s="79" t="s">
        <v>195</v>
      </c>
      <c r="I151" s="81" t="s">
        <v>120</v>
      </c>
      <c r="J151" s="35">
        <f>IF(H144&lt;&gt;"",IF(INDEX(BDHK2,MATCH(H144,DiemHKII!$B$4:$B$58,0),INDEX($Y$7:$AB$20,MATCH(I151,$Y$7:$Y$20,0),$Z$6))&lt;&gt;"",INDEX(BDHK2,MATCH(H144,DiemHKII!$B$4:$B$58,0),INDEX($Y$7:$AB$20,MATCH(I151,$Y$7:$Y$20,0),$Z$6)),"/"),"")</f>
        <v>9.6</v>
      </c>
      <c r="K151" s="35" t="str">
        <f>IF(H144&lt;&gt;"",IF(INDEX(BDHK2,MATCH(H144,DiemHKII!$B$4:$B$58,0),INDEX($Y$7:$AB$20,MATCH(I151,$Y$7:$Y$20,0),$AA$6))&lt;&gt;"",INDEX(BDHK2,MATCH(H144,DiemHKII!$B$4:$B$58,0),INDEX($Y$7:$AB$20,MATCH(I151,$Y$7:$Y$20,0),$AA$6)),"/"),"")</f>
        <v>/</v>
      </c>
      <c r="L151" s="35" t="str">
        <f>IF(H144&lt;&gt;"",IF(INDEX(BDHK2,MATCH(H144,DiemHKII!$B$4:$B$58,0),INDEX($Y$7:$AB$20,MATCH(I151,$Y$7:$Y$20,0),$AB$6))&lt;&gt;"",INDEX(BDHK2,MATCH(H144,DiemHKII!$B$4:$B$58,0),INDEX($Y$7:$AB$20,MATCH(I151,$Y$7:$Y$20,0),$AB$6)),"/"),"")</f>
        <v>/</v>
      </c>
      <c r="M151" s="88"/>
      <c r="N151" s="79" t="s">
        <v>195</v>
      </c>
      <c r="O151" s="81" t="s">
        <v>120</v>
      </c>
      <c r="P151" s="35">
        <f>IF(N144&lt;&gt;"",IF(INDEX(BDHK2,MATCH(N144,DiemHKII!$B$4:$B$58,0),INDEX($Y$7:$AB$20,MATCH(O151,$Y$7:$Y$20,0),$Z$6))&lt;&gt;"",INDEX(BDHK2,MATCH(N144,DiemHKII!$B$4:$B$58,0),INDEX($Y$7:$AB$20,MATCH(O151,$Y$7:$Y$20,0),$Z$6)),"/"),"")</f>
        <v>9.8000000000000007</v>
      </c>
      <c r="Q151" s="35" t="str">
        <f>IF(N144&lt;&gt;"",IF(INDEX(BDHK2,MATCH(N144,DiemHKII!$B$4:$B$58,0),INDEX($Y$7:$AB$20,MATCH(O151,$Y$7:$Y$20,0),$AA$6))&lt;&gt;"",INDEX(BDHK2,MATCH(N144,DiemHKII!$B$4:$B$58,0),INDEX($Y$7:$AB$20,MATCH(O151,$Y$7:$Y$20,0),$AA$6)),"/"),"")</f>
        <v>/</v>
      </c>
      <c r="R151" s="35" t="str">
        <f>IF(N144&lt;&gt;"",IF(INDEX(BDHK2,MATCH(N144,DiemHKII!$B$4:$B$58,0),INDEX($Y$7:$AB$20,MATCH(O151,$Y$7:$Y$20,0),$AB$6))&lt;&gt;"",INDEX(BDHK2,MATCH(N144,DiemHKII!$B$4:$B$58,0),INDEX($Y$7:$AB$20,MATCH(O151,$Y$7:$Y$20,0),$AB$6)),"/"),"")</f>
        <v>/</v>
      </c>
      <c r="S151" s="88"/>
    </row>
    <row r="152" spans="1:19" ht="15.6" customHeight="1">
      <c r="A152" s="88"/>
      <c r="B152" s="79" t="s">
        <v>196</v>
      </c>
      <c r="C152" s="81" t="s">
        <v>30</v>
      </c>
      <c r="D152" s="35">
        <f>IF(B144&lt;&gt;"",IF(INDEX(BDHK2,MATCH(B144,DiemHKII!$B$4:$B$58,0),INDEX($Y$7:$AB$20,MATCH(C152,$Y$7:$Y$20,0),$Z$6))&lt;&gt;"",INDEX(BDHK2,MATCH(B144,DiemHKII!$B$4:$B$58,0),INDEX($Y$7:$AB$20,MATCH(C152,$Y$7:$Y$20,0),$Z$6)),"/"),"")</f>
        <v>7.3</v>
      </c>
      <c r="E152" s="35" t="str">
        <f>IF(B144&lt;&gt;"",IF(INDEX(BDHK2,MATCH(B144,DiemHKII!$B$4:$B$58,0),INDEX($Y$7:$AB$20,MATCH(C152,$Y$7:$Y$20,0),$AA$6))&lt;&gt;"",INDEX(BDHK2,MATCH(B144,DiemHKII!$B$4:$B$58,0),INDEX($Y$7:$AB$20,MATCH(C152,$Y$7:$Y$20,0),$AA$6)),"/"),"")</f>
        <v>/</v>
      </c>
      <c r="F152" s="35" t="str">
        <f>IF(B144&lt;&gt;"",IF(INDEX(BDHK2,MATCH(B144,DiemHKII!$B$4:$B$58,0),INDEX($Y$7:$AB$20,MATCH(C152,$Y$7:$Y$20,0),$AB$6))&lt;&gt;"",INDEX(BDHK2,MATCH(B144,DiemHKII!$B$4:$B$58,0),INDEX($Y$7:$AB$20,MATCH(C152,$Y$7:$Y$20,0),$AB$6)),"/"),"")</f>
        <v>/</v>
      </c>
      <c r="G152" s="88"/>
      <c r="H152" s="79" t="s">
        <v>196</v>
      </c>
      <c r="I152" s="81" t="s">
        <v>30</v>
      </c>
      <c r="J152" s="35">
        <f>IF(H144&lt;&gt;"",IF(INDEX(BDHK2,MATCH(H144,DiemHKII!$B$4:$B$58,0),INDEX($Y$7:$AB$20,MATCH(I152,$Y$7:$Y$20,0),$Z$6))&lt;&gt;"",INDEX(BDHK2,MATCH(H144,DiemHKII!$B$4:$B$58,0),INDEX($Y$7:$AB$20,MATCH(I152,$Y$7:$Y$20,0),$Z$6)),"/"),"")</f>
        <v>7.9</v>
      </c>
      <c r="K152" s="35" t="str">
        <f>IF(H144&lt;&gt;"",IF(INDEX(BDHK2,MATCH(H144,DiemHKII!$B$4:$B$58,0),INDEX($Y$7:$AB$20,MATCH(I152,$Y$7:$Y$20,0),$AA$6))&lt;&gt;"",INDEX(BDHK2,MATCH(H144,DiemHKII!$B$4:$B$58,0),INDEX($Y$7:$AB$20,MATCH(I152,$Y$7:$Y$20,0),$AA$6)),"/"),"")</f>
        <v>/</v>
      </c>
      <c r="L152" s="35" t="str">
        <f>IF(H144&lt;&gt;"",IF(INDEX(BDHK2,MATCH(H144,DiemHKII!$B$4:$B$58,0),INDEX($Y$7:$AB$20,MATCH(I152,$Y$7:$Y$20,0),$AB$6))&lt;&gt;"",INDEX(BDHK2,MATCH(H144,DiemHKII!$B$4:$B$58,0),INDEX($Y$7:$AB$20,MATCH(I152,$Y$7:$Y$20,0),$AB$6)),"/"),"")</f>
        <v>/</v>
      </c>
      <c r="M152" s="88"/>
      <c r="N152" s="79" t="s">
        <v>196</v>
      </c>
      <c r="O152" s="81" t="s">
        <v>30</v>
      </c>
      <c r="P152" s="35">
        <f>IF(N144&lt;&gt;"",IF(INDEX(BDHK2,MATCH(N144,DiemHKII!$B$4:$B$58,0),INDEX($Y$7:$AB$20,MATCH(O152,$Y$7:$Y$20,0),$Z$6))&lt;&gt;"",INDEX(BDHK2,MATCH(N144,DiemHKII!$B$4:$B$58,0),INDEX($Y$7:$AB$20,MATCH(O152,$Y$7:$Y$20,0),$Z$6)),"/"),"")</f>
        <v>8.1</v>
      </c>
      <c r="Q152" s="35" t="str">
        <f>IF(N144&lt;&gt;"",IF(INDEX(BDHK2,MATCH(N144,DiemHKII!$B$4:$B$58,0),INDEX($Y$7:$AB$20,MATCH(O152,$Y$7:$Y$20,0),$AA$6))&lt;&gt;"",INDEX(BDHK2,MATCH(N144,DiemHKII!$B$4:$B$58,0),INDEX($Y$7:$AB$20,MATCH(O152,$Y$7:$Y$20,0),$AA$6)),"/"),"")</f>
        <v>/</v>
      </c>
      <c r="R152" s="35" t="str">
        <f>IF(N144&lt;&gt;"",IF(INDEX(BDHK2,MATCH(N144,DiemHKII!$B$4:$B$58,0),INDEX($Y$7:$AB$20,MATCH(O152,$Y$7:$Y$20,0),$AB$6))&lt;&gt;"",INDEX(BDHK2,MATCH(N144,DiemHKII!$B$4:$B$58,0),INDEX($Y$7:$AB$20,MATCH(O152,$Y$7:$Y$20,0),$AB$6)),"/"),"")</f>
        <v>/</v>
      </c>
      <c r="S152" s="88"/>
    </row>
    <row r="153" spans="1:19" ht="15.6" customHeight="1">
      <c r="A153" s="88"/>
      <c r="B153" s="79" t="s">
        <v>197</v>
      </c>
      <c r="C153" s="81" t="s">
        <v>31</v>
      </c>
      <c r="D153" s="35">
        <f>IF(B144&lt;&gt;"",IF(INDEX(BDHK2,MATCH(B144,DiemHKII!$B$4:$B$58,0),INDEX($Y$7:$AB$20,MATCH(C153,$Y$7:$Y$20,0),$Z$6))&lt;&gt;"",INDEX(BDHK2,MATCH(B144,DiemHKII!$B$4:$B$58,0),INDEX($Y$7:$AB$20,MATCH(C153,$Y$7:$Y$20,0),$Z$6)),"/"),"")</f>
        <v>9.9</v>
      </c>
      <c r="E153" s="35" t="str">
        <f>IF(B144&lt;&gt;"",IF(INDEX(BDHK2,MATCH(B144,DiemHKII!$B$4:$B$58,0),INDEX($Y$7:$AB$20,MATCH(C153,$Y$7:$Y$20,0),$AA$6))&lt;&gt;"",INDEX(BDHK2,MATCH(B144,DiemHKII!$B$4:$B$58,0),INDEX($Y$7:$AB$20,MATCH(C153,$Y$7:$Y$20,0),$AA$6)),"/"),"")</f>
        <v>/</v>
      </c>
      <c r="F153" s="35" t="str">
        <f>IF(B144&lt;&gt;"",IF(INDEX(BDHK2,MATCH(B144,DiemHKII!$B$4:$B$58,0),INDEX($Y$7:$AB$20,MATCH(C153,$Y$7:$Y$20,0),$AB$6))&lt;&gt;"",INDEX(BDHK2,MATCH(B144,DiemHKII!$B$4:$B$58,0),INDEX($Y$7:$AB$20,MATCH(C153,$Y$7:$Y$20,0),$AB$6)),"/"),"")</f>
        <v>/</v>
      </c>
      <c r="G153" s="88"/>
      <c r="H153" s="79" t="s">
        <v>197</v>
      </c>
      <c r="I153" s="81" t="s">
        <v>31</v>
      </c>
      <c r="J153" s="35">
        <f>IF(H144&lt;&gt;"",IF(INDEX(BDHK2,MATCH(H144,DiemHKII!$B$4:$B$58,0),INDEX($Y$7:$AB$20,MATCH(I153,$Y$7:$Y$20,0),$Z$6))&lt;&gt;"",INDEX(BDHK2,MATCH(H144,DiemHKII!$B$4:$B$58,0),INDEX($Y$7:$AB$20,MATCH(I153,$Y$7:$Y$20,0),$Z$6)),"/"),"")</f>
        <v>9.6</v>
      </c>
      <c r="K153" s="35" t="str">
        <f>IF(H144&lt;&gt;"",IF(INDEX(BDHK2,MATCH(H144,DiemHKII!$B$4:$B$58,0),INDEX($Y$7:$AB$20,MATCH(I153,$Y$7:$Y$20,0),$AA$6))&lt;&gt;"",INDEX(BDHK2,MATCH(H144,DiemHKII!$B$4:$B$58,0),INDEX($Y$7:$AB$20,MATCH(I153,$Y$7:$Y$20,0),$AA$6)),"/"),"")</f>
        <v>/</v>
      </c>
      <c r="L153" s="35" t="str">
        <f>IF(H144&lt;&gt;"",IF(INDEX(BDHK2,MATCH(H144,DiemHKII!$B$4:$B$58,0),INDEX($Y$7:$AB$20,MATCH(I153,$Y$7:$Y$20,0),$AB$6))&lt;&gt;"",INDEX(BDHK2,MATCH(H144,DiemHKII!$B$4:$B$58,0),INDEX($Y$7:$AB$20,MATCH(I153,$Y$7:$Y$20,0),$AB$6)),"/"),"")</f>
        <v>/</v>
      </c>
      <c r="M153" s="88"/>
      <c r="N153" s="79" t="s">
        <v>197</v>
      </c>
      <c r="O153" s="81" t="s">
        <v>31</v>
      </c>
      <c r="P153" s="35">
        <f>IF(N144&lt;&gt;"",IF(INDEX(BDHK2,MATCH(N144,DiemHKII!$B$4:$B$58,0),INDEX($Y$7:$AB$20,MATCH(O153,$Y$7:$Y$20,0),$Z$6))&lt;&gt;"",INDEX(BDHK2,MATCH(N144,DiemHKII!$B$4:$B$58,0),INDEX($Y$7:$AB$20,MATCH(O153,$Y$7:$Y$20,0),$Z$6)),"/"),"")</f>
        <v>9.8000000000000007</v>
      </c>
      <c r="Q153" s="35" t="str">
        <f>IF(N144&lt;&gt;"",IF(INDEX(BDHK2,MATCH(N144,DiemHKII!$B$4:$B$58,0),INDEX($Y$7:$AB$20,MATCH(O153,$Y$7:$Y$20,0),$AA$6))&lt;&gt;"",INDEX(BDHK2,MATCH(N144,DiemHKII!$B$4:$B$58,0),INDEX($Y$7:$AB$20,MATCH(O153,$Y$7:$Y$20,0),$AA$6)),"/"),"")</f>
        <v>/</v>
      </c>
      <c r="R153" s="35" t="str">
        <f>IF(N144&lt;&gt;"",IF(INDEX(BDHK2,MATCH(N144,DiemHKII!$B$4:$B$58,0),INDEX($Y$7:$AB$20,MATCH(O153,$Y$7:$Y$20,0),$AB$6))&lt;&gt;"",INDEX(BDHK2,MATCH(N144,DiemHKII!$B$4:$B$58,0),INDEX($Y$7:$AB$20,MATCH(O153,$Y$7:$Y$20,0),$AB$6)),"/"),"")</f>
        <v>/</v>
      </c>
      <c r="S153" s="88"/>
    </row>
    <row r="154" spans="1:19" ht="15.6" customHeight="1">
      <c r="A154" s="88"/>
      <c r="B154" s="79" t="s">
        <v>198</v>
      </c>
      <c r="C154" s="81" t="s">
        <v>32</v>
      </c>
      <c r="D154" s="35">
        <f>IF(B144&lt;&gt;"",IF(INDEX(BDHK2,MATCH(B144,DiemHKII!$B$4:$B$58,0),INDEX($Y$7:$AB$20,MATCH(C154,$Y$7:$Y$20,0),$Z$6))&lt;&gt;"",INDEX(BDHK2,MATCH(B144,DiemHKII!$B$4:$B$58,0),INDEX($Y$7:$AB$20,MATCH(C154,$Y$7:$Y$20,0),$Z$6)),"/"),"")</f>
        <v>9.9</v>
      </c>
      <c r="E154" s="35" t="str">
        <f>IF(B144&lt;&gt;"",IF(INDEX(BDHK2,MATCH(B144,DiemHKII!$B$4:$B$58,0),INDEX($Y$7:$AB$20,MATCH(C154,$Y$7:$Y$20,0),$AA$6))&lt;&gt;"",INDEX(BDHK2,MATCH(B144,DiemHKII!$B$4:$B$58,0),INDEX($Y$7:$AB$20,MATCH(C154,$Y$7:$Y$20,0),$AA$6)),"/"),"")</f>
        <v>/</v>
      </c>
      <c r="F154" s="35" t="str">
        <f>IF(B144&lt;&gt;"",IF(INDEX(BDHK2,MATCH(B144,DiemHKII!$B$4:$B$58,0),INDEX($Y$7:$AB$20,MATCH(C154,$Y$7:$Y$20,0),$AB$6))&lt;&gt;"",INDEX(BDHK2,MATCH(B144,DiemHKII!$B$4:$B$58,0),INDEX($Y$7:$AB$20,MATCH(C154,$Y$7:$Y$20,0),$AB$6)),"/"),"")</f>
        <v>/</v>
      </c>
      <c r="G154" s="88"/>
      <c r="H154" s="79" t="s">
        <v>198</v>
      </c>
      <c r="I154" s="81" t="s">
        <v>32</v>
      </c>
      <c r="J154" s="35">
        <f>IF(H144&lt;&gt;"",IF(INDEX(BDHK2,MATCH(H144,DiemHKII!$B$4:$B$58,0),INDEX($Y$7:$AB$20,MATCH(I154,$Y$7:$Y$20,0),$Z$6))&lt;&gt;"",INDEX(BDHK2,MATCH(H144,DiemHKII!$B$4:$B$58,0),INDEX($Y$7:$AB$20,MATCH(I154,$Y$7:$Y$20,0),$Z$6)),"/"),"")</f>
        <v>9.9</v>
      </c>
      <c r="K154" s="35" t="str">
        <f>IF(H144&lt;&gt;"",IF(INDEX(BDHK2,MATCH(H144,DiemHKII!$B$4:$B$58,0),INDEX($Y$7:$AB$20,MATCH(I154,$Y$7:$Y$20,0),$AA$6))&lt;&gt;"",INDEX(BDHK2,MATCH(H144,DiemHKII!$B$4:$B$58,0),INDEX($Y$7:$AB$20,MATCH(I154,$Y$7:$Y$20,0),$AA$6)),"/"),"")</f>
        <v>/</v>
      </c>
      <c r="L154" s="35" t="str">
        <f>IF(H144&lt;&gt;"",IF(INDEX(BDHK2,MATCH(H144,DiemHKII!$B$4:$B$58,0),INDEX($Y$7:$AB$20,MATCH(I154,$Y$7:$Y$20,0),$AB$6))&lt;&gt;"",INDEX(BDHK2,MATCH(H144,DiemHKII!$B$4:$B$58,0),INDEX($Y$7:$AB$20,MATCH(I154,$Y$7:$Y$20,0),$AB$6)),"/"),"")</f>
        <v>/</v>
      </c>
      <c r="M154" s="88"/>
      <c r="N154" s="79" t="s">
        <v>198</v>
      </c>
      <c r="O154" s="81" t="s">
        <v>32</v>
      </c>
      <c r="P154" s="35">
        <f>IF(N144&lt;&gt;"",IF(INDEX(BDHK2,MATCH(N144,DiemHKII!$B$4:$B$58,0),INDEX($Y$7:$AB$20,MATCH(O154,$Y$7:$Y$20,0),$Z$6))&lt;&gt;"",INDEX(BDHK2,MATCH(N144,DiemHKII!$B$4:$B$58,0),INDEX($Y$7:$AB$20,MATCH(O154,$Y$7:$Y$20,0),$Z$6)),"/"),"")</f>
        <v>9.9</v>
      </c>
      <c r="Q154" s="35" t="str">
        <f>IF(N144&lt;&gt;"",IF(INDEX(BDHK2,MATCH(N144,DiemHKII!$B$4:$B$58,0),INDEX($Y$7:$AB$20,MATCH(O154,$Y$7:$Y$20,0),$AA$6))&lt;&gt;"",INDEX(BDHK2,MATCH(N144,DiemHKII!$B$4:$B$58,0),INDEX($Y$7:$AB$20,MATCH(O154,$Y$7:$Y$20,0),$AA$6)),"/"),"")</f>
        <v>/</v>
      </c>
      <c r="R154" s="35" t="str">
        <f>IF(N144&lt;&gt;"",IF(INDEX(BDHK2,MATCH(N144,DiemHKII!$B$4:$B$58,0),INDEX($Y$7:$AB$20,MATCH(O154,$Y$7:$Y$20,0),$AB$6))&lt;&gt;"",INDEX(BDHK2,MATCH(N144,DiemHKII!$B$4:$B$58,0),INDEX($Y$7:$AB$20,MATCH(O154,$Y$7:$Y$20,0),$AB$6)),"/"),"")</f>
        <v>/</v>
      </c>
      <c r="S154" s="88"/>
    </row>
    <row r="155" spans="1:19" ht="15.6" customHeight="1">
      <c r="A155" s="88"/>
      <c r="B155" s="79" t="s">
        <v>199</v>
      </c>
      <c r="C155" s="81" t="s">
        <v>33</v>
      </c>
      <c r="D155" s="35">
        <f>IF(B144&lt;&gt;"",IF(INDEX(BDHK2,MATCH(B144,DiemHKII!$B$4:$B$58,0),INDEX($Y$7:$AB$20,MATCH(C155,$Y$7:$Y$20,0),$Z$6))&lt;&gt;"",INDEX(BDHK2,MATCH(B144,DiemHKII!$B$4:$B$58,0),INDEX($Y$7:$AB$20,MATCH(C155,$Y$7:$Y$20,0),$Z$6)),"/"),"")</f>
        <v>9.6999999999999993</v>
      </c>
      <c r="E155" s="35" t="str">
        <f>IF(B144&lt;&gt;"",IF(INDEX(BDHK2,MATCH(B144,DiemHKII!$B$4:$B$58,0),INDEX($Y$7:$AB$20,MATCH(C155,$Y$7:$Y$20,0),$AA$6))&lt;&gt;"",INDEX(BDHK2,MATCH(B144,DiemHKII!$B$4:$B$58,0),INDEX($Y$7:$AB$20,MATCH(C155,$Y$7:$Y$20,0),$AA$6)),"/"),"")</f>
        <v>/</v>
      </c>
      <c r="F155" s="35" t="str">
        <f>IF(B144&lt;&gt;"",IF(INDEX(BDHK2,MATCH(B144,DiemHKII!$B$4:$B$58,0),INDEX($Y$7:$AB$20,MATCH(C155,$Y$7:$Y$20,0),$AB$6))&lt;&gt;"",INDEX(BDHK2,MATCH(B144,DiemHKII!$B$4:$B$58,0),INDEX($Y$7:$AB$20,MATCH(C155,$Y$7:$Y$20,0),$AB$6)),"/"),"")</f>
        <v>/</v>
      </c>
      <c r="G155" s="88"/>
      <c r="H155" s="79" t="s">
        <v>199</v>
      </c>
      <c r="I155" s="81" t="s">
        <v>33</v>
      </c>
      <c r="J155" s="35">
        <f>IF(H144&lt;&gt;"",IF(INDEX(BDHK2,MATCH(H144,DiemHKII!$B$4:$B$58,0),INDEX($Y$7:$AB$20,MATCH(I155,$Y$7:$Y$20,0),$Z$6))&lt;&gt;"",INDEX(BDHK2,MATCH(H144,DiemHKII!$B$4:$B$58,0),INDEX($Y$7:$AB$20,MATCH(I155,$Y$7:$Y$20,0),$Z$6)),"/"),"")</f>
        <v>9.1999999999999993</v>
      </c>
      <c r="K155" s="35" t="str">
        <f>IF(H144&lt;&gt;"",IF(INDEX(BDHK2,MATCH(H144,DiemHKII!$B$4:$B$58,0),INDEX($Y$7:$AB$20,MATCH(I155,$Y$7:$Y$20,0),$AA$6))&lt;&gt;"",INDEX(BDHK2,MATCH(H144,DiemHKII!$B$4:$B$58,0),INDEX($Y$7:$AB$20,MATCH(I155,$Y$7:$Y$20,0),$AA$6)),"/"),"")</f>
        <v>/</v>
      </c>
      <c r="L155" s="35" t="str">
        <f>IF(H144&lt;&gt;"",IF(INDEX(BDHK2,MATCH(H144,DiemHKII!$B$4:$B$58,0),INDEX($Y$7:$AB$20,MATCH(I155,$Y$7:$Y$20,0),$AB$6))&lt;&gt;"",INDEX(BDHK2,MATCH(H144,DiemHKII!$B$4:$B$58,0),INDEX($Y$7:$AB$20,MATCH(I155,$Y$7:$Y$20,0),$AB$6)),"/"),"")</f>
        <v>/</v>
      </c>
      <c r="M155" s="88"/>
      <c r="N155" s="79" t="s">
        <v>199</v>
      </c>
      <c r="O155" s="81" t="s">
        <v>33</v>
      </c>
      <c r="P155" s="35">
        <f>IF(N144&lt;&gt;"",IF(INDEX(BDHK2,MATCH(N144,DiemHKII!$B$4:$B$58,0),INDEX($Y$7:$AB$20,MATCH(O155,$Y$7:$Y$20,0),$Z$6))&lt;&gt;"",INDEX(BDHK2,MATCH(N144,DiemHKII!$B$4:$B$58,0),INDEX($Y$7:$AB$20,MATCH(O155,$Y$7:$Y$20,0),$Z$6)),"/"),"")</f>
        <v>9.3000000000000007</v>
      </c>
      <c r="Q155" s="35" t="str">
        <f>IF(N144&lt;&gt;"",IF(INDEX(BDHK2,MATCH(N144,DiemHKII!$B$4:$B$58,0),INDEX($Y$7:$AB$20,MATCH(O155,$Y$7:$Y$20,0),$AA$6))&lt;&gt;"",INDEX(BDHK2,MATCH(N144,DiemHKII!$B$4:$B$58,0),INDEX($Y$7:$AB$20,MATCH(O155,$Y$7:$Y$20,0),$AA$6)),"/"),"")</f>
        <v>/</v>
      </c>
      <c r="R155" s="35" t="str">
        <f>IF(N144&lt;&gt;"",IF(INDEX(BDHK2,MATCH(N144,DiemHKII!$B$4:$B$58,0),INDEX($Y$7:$AB$20,MATCH(O155,$Y$7:$Y$20,0),$AB$6))&lt;&gt;"",INDEX(BDHK2,MATCH(N144,DiemHKII!$B$4:$B$58,0),INDEX($Y$7:$AB$20,MATCH(O155,$Y$7:$Y$20,0),$AB$6)),"/"),"")</f>
        <v>/</v>
      </c>
      <c r="S155" s="88"/>
    </row>
    <row r="156" spans="1:19" ht="15.6" customHeight="1">
      <c r="A156" s="88"/>
      <c r="B156" s="79" t="s">
        <v>200</v>
      </c>
      <c r="C156" s="81" t="s">
        <v>60</v>
      </c>
      <c r="D156" s="35">
        <f>IF(B144&lt;&gt;"",IF(INDEX(BDHK2,MATCH(B144,DiemHKII!$B$4:$B$58,0),INDEX($Y$7:$AB$20,MATCH(C156,$Y$7:$Y$20,0),$Z$6))&lt;&gt;"",INDEX(BDHK2,MATCH(B144,DiemHKII!$B$4:$B$58,0),INDEX($Y$7:$AB$20,MATCH(C156,$Y$7:$Y$20,0),$Z$6)),"/"),"")</f>
        <v>9.1</v>
      </c>
      <c r="E156" s="35" t="str">
        <f>IF(B144&lt;&gt;"",IF(INDEX(BDHK2,MATCH(B144,DiemHKII!$B$4:$B$58,0),INDEX($Y$7:$AB$20,MATCH(C156,$Y$7:$Y$20,0),$AA$6))&lt;&gt;"",INDEX(BDHK2,MATCH(B144,DiemHKII!$B$4:$B$58,0),INDEX($Y$7:$AB$20,MATCH(C156,$Y$7:$Y$20,0),$AA$6)),"/"),"")</f>
        <v>/</v>
      </c>
      <c r="F156" s="35" t="str">
        <f>IF(B144&lt;&gt;"",IF(INDEX(BDHK2,MATCH(B144,DiemHKII!$B$4:$B$58,0),INDEX($Y$7:$AB$20,MATCH(C156,$Y$7:$Y$20,0),$AB$6))&lt;&gt;"",INDEX(BDHK2,MATCH(B144,DiemHKII!$B$4:$B$58,0),INDEX($Y$7:$AB$20,MATCH(C156,$Y$7:$Y$20,0),$AB$6)),"/"),"")</f>
        <v>/</v>
      </c>
      <c r="G156" s="88"/>
      <c r="H156" s="79" t="s">
        <v>200</v>
      </c>
      <c r="I156" s="81" t="s">
        <v>60</v>
      </c>
      <c r="J156" s="35">
        <f>IF(H144&lt;&gt;"",IF(INDEX(BDHK2,MATCH(H144,DiemHKII!$B$4:$B$58,0),INDEX($Y$7:$AB$20,MATCH(I156,$Y$7:$Y$20,0),$Z$6))&lt;&gt;"",INDEX(BDHK2,MATCH(H144,DiemHKII!$B$4:$B$58,0),INDEX($Y$7:$AB$20,MATCH(I156,$Y$7:$Y$20,0),$Z$6)),"/"),"")</f>
        <v>9.5</v>
      </c>
      <c r="K156" s="35" t="str">
        <f>IF(H144&lt;&gt;"",IF(INDEX(BDHK2,MATCH(H144,DiemHKII!$B$4:$B$58,0),INDEX($Y$7:$AB$20,MATCH(I156,$Y$7:$Y$20,0),$AA$6))&lt;&gt;"",INDEX(BDHK2,MATCH(H144,DiemHKII!$B$4:$B$58,0),INDEX($Y$7:$AB$20,MATCH(I156,$Y$7:$Y$20,0),$AA$6)),"/"),"")</f>
        <v>/</v>
      </c>
      <c r="L156" s="35" t="str">
        <f>IF(H144&lt;&gt;"",IF(INDEX(BDHK2,MATCH(H144,DiemHKII!$B$4:$B$58,0),INDEX($Y$7:$AB$20,MATCH(I156,$Y$7:$Y$20,0),$AB$6))&lt;&gt;"",INDEX(BDHK2,MATCH(H144,DiemHKII!$B$4:$B$58,0),INDEX($Y$7:$AB$20,MATCH(I156,$Y$7:$Y$20,0),$AB$6)),"/"),"")</f>
        <v>/</v>
      </c>
      <c r="M156" s="88"/>
      <c r="N156" s="79" t="s">
        <v>200</v>
      </c>
      <c r="O156" s="81" t="s">
        <v>60</v>
      </c>
      <c r="P156" s="35">
        <f>IF(N144&lt;&gt;"",IF(INDEX(BDHK2,MATCH(N144,DiemHKII!$B$4:$B$58,0),INDEX($Y$7:$AB$20,MATCH(O156,$Y$7:$Y$20,0),$Z$6))&lt;&gt;"",INDEX(BDHK2,MATCH(N144,DiemHKII!$B$4:$B$58,0),INDEX($Y$7:$AB$20,MATCH(O156,$Y$7:$Y$20,0),$Z$6)),"/"),"")</f>
        <v>9.3000000000000007</v>
      </c>
      <c r="Q156" s="35" t="str">
        <f>IF(N144&lt;&gt;"",IF(INDEX(BDHK2,MATCH(N144,DiemHKII!$B$4:$B$58,0),INDEX($Y$7:$AB$20,MATCH(O156,$Y$7:$Y$20,0),$AA$6))&lt;&gt;"",INDEX(BDHK2,MATCH(N144,DiemHKII!$B$4:$B$58,0),INDEX($Y$7:$AB$20,MATCH(O156,$Y$7:$Y$20,0),$AA$6)),"/"),"")</f>
        <v>/</v>
      </c>
      <c r="R156" s="35" t="str">
        <f>IF(N144&lt;&gt;"",IF(INDEX(BDHK2,MATCH(N144,DiemHKII!$B$4:$B$58,0),INDEX($Y$7:$AB$20,MATCH(O156,$Y$7:$Y$20,0),$AB$6))&lt;&gt;"",INDEX(BDHK2,MATCH(N144,DiemHKII!$B$4:$B$58,0),INDEX($Y$7:$AB$20,MATCH(O156,$Y$7:$Y$20,0),$AB$6)),"/"),"")</f>
        <v>/</v>
      </c>
      <c r="S156" s="88"/>
    </row>
    <row r="157" spans="1:19" ht="15.6" customHeight="1">
      <c r="A157" s="88"/>
      <c r="B157" s="79" t="s">
        <v>201</v>
      </c>
      <c r="C157" s="81" t="s">
        <v>34</v>
      </c>
      <c r="D157" s="35">
        <f>IF(B144&lt;&gt;"",IF(INDEX(BDHK2,MATCH(B144,DiemHKII!$B$4:$B$58,0),INDEX($Y$7:$AB$20,MATCH(C157,$Y$7:$Y$20,0),$Z$6))&lt;&gt;"",INDEX(BDHK2,MATCH(B144,DiemHKII!$B$4:$B$58,0),INDEX($Y$7:$AB$20,MATCH(C157,$Y$7:$Y$20,0),$Z$6)),"/"),"")</f>
        <v>9.9</v>
      </c>
      <c r="E157" s="35" t="str">
        <f>IF(B144&lt;&gt;"",IF(INDEX(BDHK2,MATCH(B144,DiemHKII!$B$4:$B$58,0),INDEX($Y$7:$AB$20,MATCH(C157,$Y$7:$Y$20,0),$AA$6))&lt;&gt;"",INDEX(BDHK2,MATCH(B144,DiemHKII!$B$4:$B$58,0),INDEX($Y$7:$AB$20,MATCH(C157,$Y$7:$Y$20,0),$AA$6)),"/"),"")</f>
        <v>/</v>
      </c>
      <c r="F157" s="35" t="str">
        <f>IF(B144&lt;&gt;"",IF(INDEX(BDHK2,MATCH(B144,DiemHKII!$B$4:$B$58,0),INDEX($Y$7:$AB$20,MATCH(C157,$Y$7:$Y$20,0),$AB$6))&lt;&gt;"",INDEX(BDHK2,MATCH(B144,DiemHKII!$B$4:$B$58,0),INDEX($Y$7:$AB$20,MATCH(C157,$Y$7:$Y$20,0),$AB$6)),"/"),"")</f>
        <v>/</v>
      </c>
      <c r="G157" s="88"/>
      <c r="H157" s="79" t="s">
        <v>201</v>
      </c>
      <c r="I157" s="81" t="s">
        <v>34</v>
      </c>
      <c r="J157" s="35">
        <f>IF(H144&lt;&gt;"",IF(INDEX(BDHK2,MATCH(H144,DiemHKII!$B$4:$B$58,0),INDEX($Y$7:$AB$20,MATCH(I157,$Y$7:$Y$20,0),$Z$6))&lt;&gt;"",INDEX(BDHK2,MATCH(H144,DiemHKII!$B$4:$B$58,0),INDEX($Y$7:$AB$20,MATCH(I157,$Y$7:$Y$20,0),$Z$6)),"/"),"")</f>
        <v>9.8000000000000007</v>
      </c>
      <c r="K157" s="35" t="str">
        <f>IF(H144&lt;&gt;"",IF(INDEX(BDHK2,MATCH(H144,DiemHKII!$B$4:$B$58,0),INDEX($Y$7:$AB$20,MATCH(I157,$Y$7:$Y$20,0),$AA$6))&lt;&gt;"",INDEX(BDHK2,MATCH(H144,DiemHKII!$B$4:$B$58,0),INDEX($Y$7:$AB$20,MATCH(I157,$Y$7:$Y$20,0),$AA$6)),"/"),"")</f>
        <v>/</v>
      </c>
      <c r="L157" s="35" t="str">
        <f>IF(H144&lt;&gt;"",IF(INDEX(BDHK2,MATCH(H144,DiemHKII!$B$4:$B$58,0),INDEX($Y$7:$AB$20,MATCH(I157,$Y$7:$Y$20,0),$AB$6))&lt;&gt;"",INDEX(BDHK2,MATCH(H144,DiemHKII!$B$4:$B$58,0),INDEX($Y$7:$AB$20,MATCH(I157,$Y$7:$Y$20,0),$AB$6)),"/"),"")</f>
        <v>/</v>
      </c>
      <c r="M157" s="88"/>
      <c r="N157" s="79" t="s">
        <v>201</v>
      </c>
      <c r="O157" s="81" t="s">
        <v>34</v>
      </c>
      <c r="P157" s="35">
        <f>IF(N144&lt;&gt;"",IF(INDEX(BDHK2,MATCH(N144,DiemHKII!$B$4:$B$58,0),INDEX($Y$7:$AB$20,MATCH(O157,$Y$7:$Y$20,0),$Z$6))&lt;&gt;"",INDEX(BDHK2,MATCH(N144,DiemHKII!$B$4:$B$58,0),INDEX($Y$7:$AB$20,MATCH(O157,$Y$7:$Y$20,0),$Z$6)),"/"),"")</f>
        <v>9.8000000000000007</v>
      </c>
      <c r="Q157" s="35" t="str">
        <f>IF(N144&lt;&gt;"",IF(INDEX(BDHK2,MATCH(N144,DiemHKII!$B$4:$B$58,0),INDEX($Y$7:$AB$20,MATCH(O157,$Y$7:$Y$20,0),$AA$6))&lt;&gt;"",INDEX(BDHK2,MATCH(N144,DiemHKII!$B$4:$B$58,0),INDEX($Y$7:$AB$20,MATCH(O157,$Y$7:$Y$20,0),$AA$6)),"/"),"")</f>
        <v>/</v>
      </c>
      <c r="R157" s="35" t="str">
        <f>IF(N144&lt;&gt;"",IF(INDEX(BDHK2,MATCH(N144,DiemHKII!$B$4:$B$58,0),INDEX($Y$7:$AB$20,MATCH(O157,$Y$7:$Y$20,0),$AB$6))&lt;&gt;"",INDEX(BDHK2,MATCH(N144,DiemHKII!$B$4:$B$58,0),INDEX($Y$7:$AB$20,MATCH(O157,$Y$7:$Y$20,0),$AB$6)),"/"),"")</f>
        <v>/</v>
      </c>
      <c r="S157" s="88"/>
    </row>
    <row r="158" spans="1:19" ht="15.6" customHeight="1">
      <c r="A158" s="88"/>
      <c r="B158" s="79" t="s">
        <v>202</v>
      </c>
      <c r="C158" s="81" t="s">
        <v>35</v>
      </c>
      <c r="D158" s="35" t="str">
        <f>IF(B144&lt;&gt;"",IF(INDEX(BDHK2,MATCH(B144,DiemHKII!$B$4:$B$58,0),INDEX($Y$7:$AB$20,MATCH(C158,$Y$7:$Y$20,0),$Z$6))&lt;&gt;"",INDEX(BDHK2,MATCH(B144,DiemHKII!$B$4:$B$58,0),INDEX($Y$7:$AB$20,MATCH(C158,$Y$7:$Y$20,0),$Z$6)),"/"),"")</f>
        <v>Đ</v>
      </c>
      <c r="E158" s="35" t="str">
        <f>IF(B144&lt;&gt;"",IF(INDEX(BDHK2,MATCH(B144,DiemHKII!$B$4:$B$58,0),INDEX($Y$7:$AB$20,MATCH(C158,$Y$7:$Y$20,0),$AA$6))&lt;&gt;"",INDEX(BDHK2,MATCH(B144,DiemHKII!$B$4:$B$58,0),INDEX($Y$7:$AB$20,MATCH(C158,$Y$7:$Y$20,0),$AA$6)),"/"),"")</f>
        <v>/</v>
      </c>
      <c r="F158" s="35" t="str">
        <f>IF(B144&lt;&gt;"",IF(INDEX(BDHK2,MATCH(B144,DiemHKII!$B$4:$B$58,0),INDEX($Y$7:$AB$20,MATCH(C158,$Y$7:$Y$20,0),$AB$6))&lt;&gt;"",INDEX(BDHK2,MATCH(B144,DiemHKII!$B$4:$B$58,0),INDEX($Y$7:$AB$20,MATCH(C158,$Y$7:$Y$20,0),$AB$6)),"/"),"")</f>
        <v>Đ</v>
      </c>
      <c r="G158" s="88"/>
      <c r="H158" s="79" t="s">
        <v>202</v>
      </c>
      <c r="I158" s="81" t="s">
        <v>35</v>
      </c>
      <c r="J158" s="35" t="str">
        <f>IF(H144&lt;&gt;"",IF(INDEX(BDHK2,MATCH(H144,DiemHKII!$B$4:$B$58,0),INDEX($Y$7:$AB$20,MATCH(I158,$Y$7:$Y$20,0),$Z$6))&lt;&gt;"",INDEX(BDHK2,MATCH(H144,DiemHKII!$B$4:$B$58,0),INDEX($Y$7:$AB$20,MATCH(I158,$Y$7:$Y$20,0),$Z$6)),"/"),"")</f>
        <v>Đ</v>
      </c>
      <c r="K158" s="35" t="str">
        <f>IF(H144&lt;&gt;"",IF(INDEX(BDHK2,MATCH(H144,DiemHKII!$B$4:$B$58,0),INDEX($Y$7:$AB$20,MATCH(I158,$Y$7:$Y$20,0),$AA$6))&lt;&gt;"",INDEX(BDHK2,MATCH(H144,DiemHKII!$B$4:$B$58,0),INDEX($Y$7:$AB$20,MATCH(I158,$Y$7:$Y$20,0),$AA$6)),"/"),"")</f>
        <v>/</v>
      </c>
      <c r="L158" s="35" t="str">
        <f>IF(H144&lt;&gt;"",IF(INDEX(BDHK2,MATCH(H144,DiemHKII!$B$4:$B$58,0),INDEX($Y$7:$AB$20,MATCH(I158,$Y$7:$Y$20,0),$AB$6))&lt;&gt;"",INDEX(BDHK2,MATCH(H144,DiemHKII!$B$4:$B$58,0),INDEX($Y$7:$AB$20,MATCH(I158,$Y$7:$Y$20,0),$AB$6)),"/"),"")</f>
        <v>Đ</v>
      </c>
      <c r="M158" s="88"/>
      <c r="N158" s="79" t="s">
        <v>202</v>
      </c>
      <c r="O158" s="81" t="s">
        <v>35</v>
      </c>
      <c r="P158" s="35" t="str">
        <f>IF(N144&lt;&gt;"",IF(INDEX(BDHK2,MATCH(N144,DiemHKII!$B$4:$B$58,0),INDEX($Y$7:$AB$20,MATCH(O158,$Y$7:$Y$20,0),$Z$6))&lt;&gt;"",INDEX(BDHK2,MATCH(N144,DiemHKII!$B$4:$B$58,0),INDEX($Y$7:$AB$20,MATCH(O158,$Y$7:$Y$20,0),$Z$6)),"/"),"")</f>
        <v>Đ</v>
      </c>
      <c r="Q158" s="35" t="str">
        <f>IF(N144&lt;&gt;"",IF(INDEX(BDHK2,MATCH(N144,DiemHKII!$B$4:$B$58,0),INDEX($Y$7:$AB$20,MATCH(O158,$Y$7:$Y$20,0),$AA$6))&lt;&gt;"",INDEX(BDHK2,MATCH(N144,DiemHKII!$B$4:$B$58,0),INDEX($Y$7:$AB$20,MATCH(O158,$Y$7:$Y$20,0),$AA$6)),"/"),"")</f>
        <v>/</v>
      </c>
      <c r="R158" s="35" t="str">
        <f>IF(N144&lt;&gt;"",IF(INDEX(BDHK2,MATCH(N144,DiemHKII!$B$4:$B$58,0),INDEX($Y$7:$AB$20,MATCH(O158,$Y$7:$Y$20,0),$AB$6))&lt;&gt;"",INDEX(BDHK2,MATCH(N144,DiemHKII!$B$4:$B$58,0),INDEX($Y$7:$AB$20,MATCH(O158,$Y$7:$Y$20,0),$AB$6)),"/"),"")</f>
        <v>Đ</v>
      </c>
      <c r="S158" s="88"/>
    </row>
    <row r="159" spans="1:19" ht="15.6" customHeight="1">
      <c r="A159" s="88"/>
      <c r="B159" s="79" t="s">
        <v>203</v>
      </c>
      <c r="C159" s="81" t="s">
        <v>121</v>
      </c>
      <c r="D159" s="35">
        <f>IF(B144&lt;&gt;"",IF(INDEX(BDHK2,MATCH(B144,DiemHKII!$B$4:$B$58,0),INDEX($Y$7:$AB$20,MATCH(C159,$Y$7:$Y$20,0),$Z$6))&lt;&gt;"",INDEX(BDHK2,MATCH(B144,DiemHKII!$B$4:$B$58,0),INDEX($Y$7:$AB$20,MATCH(C159,$Y$7:$Y$20,0),$Z$6)),"/"),"")</f>
        <v>9.9</v>
      </c>
      <c r="E159" s="35" t="str">
        <f>IF(B144&lt;&gt;"",IF(INDEX(BDHK2,MATCH(B144,DiemHKII!$B$4:$B$58,0),INDEX($Y$7:$AB$20,MATCH(C159,$Y$7:$Y$20,0),$AA$6))&lt;&gt;"",INDEX(BDHK2,MATCH(B144,DiemHKII!$B$4:$B$58,0),INDEX($Y$7:$AB$20,MATCH(C159,$Y$7:$Y$20,0),$AA$6)),"/"),"")</f>
        <v>/</v>
      </c>
      <c r="F159" s="35" t="str">
        <f>IF(B144&lt;&gt;"",IF(INDEX(BDHK2,MATCH(B144,DiemHKII!$B$4:$B$58,0),INDEX($Y$7:$AB$20,MATCH(C159,$Y$7:$Y$20,0),$AB$6))&lt;&gt;"",INDEX(BDHK2,MATCH(B144,DiemHKII!$B$4:$B$58,0),INDEX($Y$7:$AB$20,MATCH(C159,$Y$7:$Y$20,0),$AB$6)),"/"),"")</f>
        <v>/</v>
      </c>
      <c r="G159" s="88"/>
      <c r="H159" s="79" t="s">
        <v>203</v>
      </c>
      <c r="I159" s="81" t="s">
        <v>121</v>
      </c>
      <c r="J159" s="35">
        <f>IF(H144&lt;&gt;"",IF(INDEX(BDHK2,MATCH(H144,DiemHKII!$B$4:$B$58,0),INDEX($Y$7:$AB$20,MATCH(I159,$Y$7:$Y$20,0),$Z$6))&lt;&gt;"",INDEX(BDHK2,MATCH(H144,DiemHKII!$B$4:$B$58,0),INDEX($Y$7:$AB$20,MATCH(I159,$Y$7:$Y$20,0),$Z$6)),"/"),"")</f>
        <v>9.9</v>
      </c>
      <c r="K159" s="35" t="str">
        <f>IF(H144&lt;&gt;"",IF(INDEX(BDHK2,MATCH(H144,DiemHKII!$B$4:$B$58,0),INDEX($Y$7:$AB$20,MATCH(I159,$Y$7:$Y$20,0),$AA$6))&lt;&gt;"",INDEX(BDHK2,MATCH(H144,DiemHKII!$B$4:$B$58,0),INDEX($Y$7:$AB$20,MATCH(I159,$Y$7:$Y$20,0),$AA$6)),"/"),"")</f>
        <v>/</v>
      </c>
      <c r="L159" s="35" t="str">
        <f>IF(H144&lt;&gt;"",IF(INDEX(BDHK2,MATCH(H144,DiemHKII!$B$4:$B$58,0),INDEX($Y$7:$AB$20,MATCH(I159,$Y$7:$Y$20,0),$AB$6))&lt;&gt;"",INDEX(BDHK2,MATCH(H144,DiemHKII!$B$4:$B$58,0),INDEX($Y$7:$AB$20,MATCH(I159,$Y$7:$Y$20,0),$AB$6)),"/"),"")</f>
        <v>/</v>
      </c>
      <c r="M159" s="88"/>
      <c r="N159" s="79" t="s">
        <v>203</v>
      </c>
      <c r="O159" s="81" t="s">
        <v>121</v>
      </c>
      <c r="P159" s="35">
        <f>IF(N144&lt;&gt;"",IF(INDEX(BDHK2,MATCH(N144,DiemHKII!$B$4:$B$58,0),INDEX($Y$7:$AB$20,MATCH(O159,$Y$7:$Y$20,0),$Z$6))&lt;&gt;"",INDEX(BDHK2,MATCH(N144,DiemHKII!$B$4:$B$58,0),INDEX($Y$7:$AB$20,MATCH(O159,$Y$7:$Y$20,0),$Z$6)),"/"),"")</f>
        <v>9.9</v>
      </c>
      <c r="Q159" s="35" t="str">
        <f>IF(N144&lt;&gt;"",IF(INDEX(BDHK2,MATCH(N144,DiemHKII!$B$4:$B$58,0),INDEX($Y$7:$AB$20,MATCH(O159,$Y$7:$Y$20,0),$AA$6))&lt;&gt;"",INDEX(BDHK2,MATCH(N144,DiemHKII!$B$4:$B$58,0),INDEX($Y$7:$AB$20,MATCH(O159,$Y$7:$Y$20,0),$AA$6)),"/"),"")</f>
        <v>/</v>
      </c>
      <c r="R159" s="35" t="str">
        <f>IF(N144&lt;&gt;"",IF(INDEX(BDHK2,MATCH(N144,DiemHKII!$B$4:$B$58,0),INDEX($Y$7:$AB$20,MATCH(O159,$Y$7:$Y$20,0),$AB$6))&lt;&gt;"",INDEX(BDHK2,MATCH(N144,DiemHKII!$B$4:$B$58,0),INDEX($Y$7:$AB$20,MATCH(O159,$Y$7:$Y$20,0),$AB$6)),"/"),"")</f>
        <v>/</v>
      </c>
      <c r="S159" s="88"/>
    </row>
    <row r="160" spans="1:19" ht="15.6" customHeight="1">
      <c r="A160" s="88"/>
      <c r="B160" s="79" t="s">
        <v>204</v>
      </c>
      <c r="C160" s="81" t="s">
        <v>122</v>
      </c>
      <c r="D160" s="35" t="str">
        <f>IF(B144&lt;&gt;"",IF(INDEX(BDHK2,MATCH(B144,DiemHKII!$B$4:$B$58,0),INDEX($Y$7:$AB$20,MATCH(C160,$Y$7:$Y$20,0),$Z$6))&lt;&gt;"",INDEX(BDHK2,MATCH(B144,DiemHKII!$B$4:$B$58,0),INDEX($Y$7:$AB$20,MATCH(C160,$Y$7:$Y$20,0),$Z$6)),"/"),"")</f>
        <v>/</v>
      </c>
      <c r="E160" s="35" t="str">
        <f>IF(B144&lt;&gt;"",IF(INDEX(BDHK2,MATCH(B144,DiemHKII!$B$4:$B$58,0),INDEX($Y$7:$AB$20,MATCH(C160,$Y$7:$Y$20,0),$AA$6))&lt;&gt;"",INDEX(BDHK2,MATCH(B144,DiemHKII!$B$4:$B$58,0),INDEX($Y$7:$AB$20,MATCH(C160,$Y$7:$Y$20,0),$AA$6)),"/"),"")</f>
        <v>/</v>
      </c>
      <c r="F160" s="35" t="str">
        <f>IF(B144&lt;&gt;"",IF(INDEX(BDHK2,MATCH(B144,DiemHKII!$B$4:$B$58,0),INDEX($Y$7:$AB$20,MATCH(C160,$Y$7:$Y$20,0),$AB$6))&lt;&gt;"",INDEX(BDHK2,MATCH(B144,DiemHKII!$B$4:$B$58,0),INDEX($Y$7:$AB$20,MATCH(C160,$Y$7:$Y$20,0),$AB$6)),"/"),"")</f>
        <v>/</v>
      </c>
      <c r="G160" s="88"/>
      <c r="H160" s="79" t="s">
        <v>204</v>
      </c>
      <c r="I160" s="81" t="s">
        <v>122</v>
      </c>
      <c r="J160" s="35" t="str">
        <f>IF(H144&lt;&gt;"",IF(INDEX(BDHK2,MATCH(H144,DiemHKII!$B$4:$B$58,0),INDEX($Y$7:$AB$20,MATCH(I160,$Y$7:$Y$20,0),$Z$6))&lt;&gt;"",INDEX(BDHK2,MATCH(H144,DiemHKII!$B$4:$B$58,0),INDEX($Y$7:$AB$20,MATCH(I160,$Y$7:$Y$20,0),$Z$6)),"/"),"")</f>
        <v>/</v>
      </c>
      <c r="K160" s="35" t="str">
        <f>IF(H144&lt;&gt;"",IF(INDEX(BDHK2,MATCH(H144,DiemHKII!$B$4:$B$58,0),INDEX($Y$7:$AB$20,MATCH(I160,$Y$7:$Y$20,0),$AA$6))&lt;&gt;"",INDEX(BDHK2,MATCH(H144,DiemHKII!$B$4:$B$58,0),INDEX($Y$7:$AB$20,MATCH(I160,$Y$7:$Y$20,0),$AA$6)),"/"),"")</f>
        <v>/</v>
      </c>
      <c r="L160" s="35" t="str">
        <f>IF(H144&lt;&gt;"",IF(INDEX(BDHK2,MATCH(H144,DiemHKII!$B$4:$B$58,0),INDEX($Y$7:$AB$20,MATCH(I160,$Y$7:$Y$20,0),$AB$6))&lt;&gt;"",INDEX(BDHK2,MATCH(H144,DiemHKII!$B$4:$B$58,0),INDEX($Y$7:$AB$20,MATCH(I160,$Y$7:$Y$20,0),$AB$6)),"/"),"")</f>
        <v>/</v>
      </c>
      <c r="M160" s="88"/>
      <c r="N160" s="79" t="s">
        <v>204</v>
      </c>
      <c r="O160" s="81" t="s">
        <v>122</v>
      </c>
      <c r="P160" s="35" t="str">
        <f>IF(N144&lt;&gt;"",IF(INDEX(BDHK2,MATCH(N144,DiemHKII!$B$4:$B$58,0),INDEX($Y$7:$AB$20,MATCH(O160,$Y$7:$Y$20,0),$Z$6))&lt;&gt;"",INDEX(BDHK2,MATCH(N144,DiemHKII!$B$4:$B$58,0),INDEX($Y$7:$AB$20,MATCH(O160,$Y$7:$Y$20,0),$Z$6)),"/"),"")</f>
        <v>/</v>
      </c>
      <c r="Q160" s="35" t="str">
        <f>IF(N144&lt;&gt;"",IF(INDEX(BDHK2,MATCH(N144,DiemHKII!$B$4:$B$58,0),INDEX($Y$7:$AB$20,MATCH(O160,$Y$7:$Y$20,0),$AA$6))&lt;&gt;"",INDEX(BDHK2,MATCH(N144,DiemHKII!$B$4:$B$58,0),INDEX($Y$7:$AB$20,MATCH(O160,$Y$7:$Y$20,0),$AA$6)),"/"),"")</f>
        <v>/</v>
      </c>
      <c r="R160" s="35" t="str">
        <f>IF(N144&lt;&gt;"",IF(INDEX(BDHK2,MATCH(N144,DiemHKII!$B$4:$B$58,0),INDEX($Y$7:$AB$20,MATCH(O160,$Y$7:$Y$20,0),$AB$6))&lt;&gt;"",INDEX(BDHK2,MATCH(N144,DiemHKII!$B$4:$B$58,0),INDEX($Y$7:$AB$20,MATCH(O160,$Y$7:$Y$20,0),$AB$6)),"/"),"")</f>
        <v>/</v>
      </c>
      <c r="S160" s="88"/>
    </row>
    <row r="161" spans="1:19" ht="15.6" customHeight="1">
      <c r="A161" s="88"/>
      <c r="B161" s="79" t="s">
        <v>208</v>
      </c>
      <c r="C161" s="81" t="s">
        <v>217</v>
      </c>
      <c r="D161" s="80">
        <f>IF(B144&lt;&gt;"",IF(INDEX('TH CANAM'!$A$9:$BF$63,MATCH(B144,'TH CANAM'!$A$9:$A$63,0),46)&lt;&gt;"",INDEX('TH CANAM'!$A$9:$BF$63,MATCH(B144,'TH CANAM'!$A$9:$A$63,0),46),"/"),"")</f>
        <v>9.4</v>
      </c>
      <c r="E161" s="80" t="str">
        <f>IF(B144&lt;&gt;"",IF(INDEX('TH CANAM'!$A$9:$BF$63,MATCH(B144,'TH CANAM'!$A$9:$A$63,0),47)&lt;&gt;"",INDEX('TH CANAM'!$A$9:$BF$63,MATCH(B144,'TH CANAM'!$A$9:$A$63,0),47),"/"),"")</f>
        <v>/</v>
      </c>
      <c r="F161" s="80" t="str">
        <f>IF(B144&lt;&gt;"",IF(INDEX('TH CANAM'!$A$9:$BF$63,MATCH(B144,'TH CANAM'!$A$9:$A$63,0),48)&lt;&gt;"",INDEX('TH CANAM'!$A$9:$BF$63,MATCH(B144,'TH CANAM'!$A$9:$A$63,0),48),"/"),"")</f>
        <v>/</v>
      </c>
      <c r="G161" s="88"/>
      <c r="H161" s="79" t="s">
        <v>208</v>
      </c>
      <c r="I161" s="81" t="s">
        <v>217</v>
      </c>
      <c r="J161" s="80">
        <f>IF(H144&lt;&gt;"",IF(INDEX('TH CANAM'!$A$9:$BF$63,MATCH(H144,'TH CANAM'!$A$9:$A$63,0),46)&lt;&gt;"",INDEX('TH CANAM'!$A$9:$BF$63,MATCH(H144,'TH CANAM'!$A$9:$A$63,0),46),"/"),"")</f>
        <v>9.3000000000000007</v>
      </c>
      <c r="K161" s="80" t="str">
        <f>IF(H144&lt;&gt;"",IF(INDEX('TH CANAM'!$A$9:$BF$63,MATCH(H144,'TH CANAM'!$A$9:$A$63,0),47)&lt;&gt;"",INDEX('TH CANAM'!$A$9:$BF$63,MATCH(H144,'TH CANAM'!$A$9:$A$63,0),47),"/"),"")</f>
        <v>/</v>
      </c>
      <c r="L161" s="80" t="str">
        <f>IF(H144&lt;&gt;"",IF(INDEX('TH CANAM'!$A$9:$BF$63,MATCH(H144,'TH CANAM'!$A$9:$A$63,0),48)&lt;&gt;"",INDEX('TH CANAM'!$A$9:$BF$63,MATCH(H144,'TH CANAM'!$A$9:$A$63,0),48),"/"),"")</f>
        <v>/</v>
      </c>
      <c r="M161" s="88"/>
      <c r="N161" s="79" t="s">
        <v>208</v>
      </c>
      <c r="O161" s="81" t="s">
        <v>217</v>
      </c>
      <c r="P161" s="80">
        <f>IF(N144&lt;&gt;"",IF(INDEX('TH CANAM'!$A$9:$BF$63,MATCH(N144,'TH CANAM'!$A$9:$A$63,0),46)&lt;&gt;"",INDEX('TH CANAM'!$A$9:$BF$63,MATCH(N144,'TH CANAM'!$A$9:$A$63,0),46),"/"),"")</f>
        <v>9.6</v>
      </c>
      <c r="Q161" s="80" t="str">
        <f>IF(N144&lt;&gt;"",IF(INDEX('TH CANAM'!$A$9:$BF$63,MATCH(N144,'TH CANAM'!$A$9:$A$63,0),47)&lt;&gt;"",INDEX('TH CANAM'!$A$9:$BF$63,MATCH(N144,'TH CANAM'!$A$9:$A$63,0),47),"/"),"")</f>
        <v>/</v>
      </c>
      <c r="R161" s="80" t="str">
        <f>IF(N144&lt;&gt;"",IF(INDEX('TH CANAM'!$A$9:$BF$63,MATCH(N144,'TH CANAM'!$A$9:$A$63,0),48)&lt;&gt;"",INDEX('TH CANAM'!$A$9:$BF$63,MATCH(N144,'TH CANAM'!$A$9:$A$63,0),48),"/"),"")</f>
        <v>/</v>
      </c>
      <c r="S161" s="88"/>
    </row>
    <row r="162" spans="1:19" ht="15.6" customHeight="1">
      <c r="A162" s="88"/>
      <c r="B162" s="79" t="s">
        <v>209</v>
      </c>
      <c r="C162" s="82" t="s">
        <v>36</v>
      </c>
      <c r="D162" s="35" t="str">
        <f>IF(B144&lt;&gt;"",IF(INDEX('TH CANAM'!$A$9:$BF$63,MATCH(B144,'TH CANAM'!$A$9:$A$63,0),49)&lt;&gt;"",INDEX('TH CANAM'!$A$9:$BF$63,MATCH(B144,'TH CANAM'!$A$9:$A$63,0),49),"/"),"")</f>
        <v>Giỏi</v>
      </c>
      <c r="E162" s="35" t="str">
        <f>IF(B144&lt;&gt;"",IF(INDEX('TH CANAM'!$A$9:$BF$63,MATCH(B144,'TH CANAM'!$A$9:$A$63,0),50)&lt;&gt;"",INDEX('TH CANAM'!$A$9:$BF$63,MATCH(B144,'TH CANAM'!$A$9:$A$63,0),50),"/"),"")</f>
        <v>/</v>
      </c>
      <c r="F162" s="35" t="str">
        <f>IF(B144&lt;&gt;"",IF(INDEX('TH CANAM'!$A$9:$BF$63,MATCH(B144,'TH CANAM'!$A$9:$A$63,0),51)&lt;&gt;"",INDEX('TH CANAM'!$A$9:$BF$63,MATCH(B144,'TH CANAM'!$A$9:$A$63,0),51),"/"),"")</f>
        <v>/</v>
      </c>
      <c r="G162" s="88"/>
      <c r="H162" s="79" t="s">
        <v>209</v>
      </c>
      <c r="I162" s="82" t="s">
        <v>36</v>
      </c>
      <c r="J162" s="35" t="str">
        <f>IF(H144&lt;&gt;"",IF(INDEX('TH CANAM'!$A$9:$BF$63,MATCH(H144,'TH CANAM'!$A$9:$A$63,0),49)&lt;&gt;"",INDEX('TH CANAM'!$A$9:$BF$63,MATCH(H144,'TH CANAM'!$A$9:$A$63,0),49),"/"),"")</f>
        <v>Giỏi</v>
      </c>
      <c r="K162" s="35" t="str">
        <f>IF(H144&lt;&gt;"",IF(INDEX('TH CANAM'!$A$9:$BF$63,MATCH(H144,'TH CANAM'!$A$9:$A$63,0),50)&lt;&gt;"",INDEX('TH CANAM'!$A$9:$BF$63,MATCH(H144,'TH CANAM'!$A$9:$A$63,0),50),"/"),"")</f>
        <v>/</v>
      </c>
      <c r="L162" s="35" t="str">
        <f>IF(H144&lt;&gt;"",IF(INDEX('TH CANAM'!$A$9:$BF$63,MATCH(H144,'TH CANAM'!$A$9:$A$63,0),51)&lt;&gt;"",INDEX('TH CANAM'!$A$9:$BF$63,MATCH(H144,'TH CANAM'!$A$9:$A$63,0),51),"/"),"")</f>
        <v>/</v>
      </c>
      <c r="M162" s="88"/>
      <c r="N162" s="79" t="s">
        <v>209</v>
      </c>
      <c r="O162" s="82" t="s">
        <v>36</v>
      </c>
      <c r="P162" s="35" t="str">
        <f>IF(N144&lt;&gt;"",IF(INDEX('TH CANAM'!$A$9:$BF$63,MATCH(N144,'TH CANAM'!$A$9:$A$63,0),49)&lt;&gt;"",INDEX('TH CANAM'!$A$9:$BF$63,MATCH(N144,'TH CANAM'!$A$9:$A$63,0),49),"/"),"")</f>
        <v>Giỏi</v>
      </c>
      <c r="Q162" s="35" t="str">
        <f>IF(N144&lt;&gt;"",IF(INDEX('TH CANAM'!$A$9:$BF$63,MATCH(N144,'TH CANAM'!$A$9:$A$63,0),50)&lt;&gt;"",INDEX('TH CANAM'!$A$9:$BF$63,MATCH(N144,'TH CANAM'!$A$9:$A$63,0),50),"/"),"")</f>
        <v>/</v>
      </c>
      <c r="R162" s="35" t="str">
        <f>IF(N144&lt;&gt;"",IF(INDEX('TH CANAM'!$A$9:$BF$63,MATCH(N144,'TH CANAM'!$A$9:$A$63,0),51)&lt;&gt;"",INDEX('TH CANAM'!$A$9:$BF$63,MATCH(N144,'TH CANAM'!$A$9:$A$63,0),51),"/"),"")</f>
        <v>/</v>
      </c>
      <c r="S162" s="88"/>
    </row>
    <row r="163" spans="1:19" ht="15.6" customHeight="1">
      <c r="A163" s="88"/>
      <c r="B163" s="79" t="s">
        <v>210</v>
      </c>
      <c r="C163" s="82" t="s">
        <v>37</v>
      </c>
      <c r="D163" s="35" t="str">
        <f>IF(B144&lt;&gt;"",IF(INDEX('TH CANAM'!$A$9:$BF$63,MATCH(B144,'TH CANAM'!$A$9:$A$63,0),52)&lt;&gt;"",INDEX('TH CANAM'!$A$9:$BF$63,MATCH(B144,'TH CANAM'!$A$9:$A$63,0),52),"/"),"")</f>
        <v>Tốt</v>
      </c>
      <c r="E163" s="35" t="str">
        <f>IF(B144&lt;&gt;"",IF(INDEX('TH CANAM'!$A$9:$BF$63,MATCH(B144,'TH CANAM'!$A$9:$A$63,0),53)&lt;&gt;"",INDEX('TH CANAM'!$A$9:$BF$63,MATCH(B144,'TH CANAM'!$A$9:$A$63,0),53),"/"),"")</f>
        <v>/</v>
      </c>
      <c r="F163" s="35" t="str">
        <f>IF(B144&lt;&gt;"",IF(INDEX('TH CANAM'!$A$9:$BF$63,MATCH(B144,'TH CANAM'!$A$9:$A$63,0),54)&lt;&gt;"",INDEX('TH CANAM'!$A$9:$BF$63,MATCH(B144,'TH CANAM'!$A$9:$A$63,0),54),"/"),"")</f>
        <v>/</v>
      </c>
      <c r="G163" s="88"/>
      <c r="H163" s="79" t="s">
        <v>210</v>
      </c>
      <c r="I163" s="82" t="s">
        <v>37</v>
      </c>
      <c r="J163" s="35" t="str">
        <f>IF(H144&lt;&gt;"",IF(INDEX('TH CANAM'!$A$9:$BF$63,MATCH(H144,'TH CANAM'!$A$9:$A$63,0),52)&lt;&gt;"",INDEX('TH CANAM'!$A$9:$BF$63,MATCH(H144,'TH CANAM'!$A$9:$A$63,0),52),"/"),"")</f>
        <v>Tốt</v>
      </c>
      <c r="K163" s="35" t="str">
        <f>IF(H144&lt;&gt;"",IF(INDEX('TH CANAM'!$A$9:$BF$63,MATCH(H144,'TH CANAM'!$A$9:$A$63,0),53)&lt;&gt;"",INDEX('TH CANAM'!$A$9:$BF$63,MATCH(H144,'TH CANAM'!$A$9:$A$63,0),53),"/"),"")</f>
        <v>/</v>
      </c>
      <c r="L163" s="35" t="str">
        <f>IF(H144&lt;&gt;"",IF(INDEX('TH CANAM'!$A$9:$BF$63,MATCH(H144,'TH CANAM'!$A$9:$A$63,0),54)&lt;&gt;"",INDEX('TH CANAM'!$A$9:$BF$63,MATCH(H144,'TH CANAM'!$A$9:$A$63,0),54),"/"),"")</f>
        <v>/</v>
      </c>
      <c r="M163" s="88"/>
      <c r="N163" s="79" t="s">
        <v>210</v>
      </c>
      <c r="O163" s="82" t="s">
        <v>37</v>
      </c>
      <c r="P163" s="35" t="str">
        <f>IF(N144&lt;&gt;"",IF(INDEX('TH CANAM'!$A$9:$BF$63,MATCH(N144,'TH CANAM'!$A$9:$A$63,0),52)&lt;&gt;"",INDEX('TH CANAM'!$A$9:$BF$63,MATCH(N144,'TH CANAM'!$A$9:$A$63,0),52),"/"),"")</f>
        <v>Tốt</v>
      </c>
      <c r="Q163" s="35" t="str">
        <f>IF(N144&lt;&gt;"",IF(INDEX('TH CANAM'!$A$9:$BF$63,MATCH(N144,'TH CANAM'!$A$9:$A$63,0),53)&lt;&gt;"",INDEX('TH CANAM'!$A$9:$BF$63,MATCH(N144,'TH CANAM'!$A$9:$A$63,0),53),"/"),"")</f>
        <v>/</v>
      </c>
      <c r="R163" s="35" t="str">
        <f>IF(N144&lt;&gt;"",IF(INDEX('TH CANAM'!$A$9:$BF$63,MATCH(N144,'TH CANAM'!$A$9:$A$63,0),54)&lt;&gt;"",INDEX('TH CANAM'!$A$9:$BF$63,MATCH(N144,'TH CANAM'!$A$9:$A$63,0),54),"/"),"")</f>
        <v>/</v>
      </c>
      <c r="S163" s="88"/>
    </row>
    <row r="164" spans="1:19" ht="15.6" customHeight="1">
      <c r="A164" s="88"/>
      <c r="B164" s="79" t="s">
        <v>211</v>
      </c>
      <c r="C164" s="82" t="s">
        <v>25</v>
      </c>
      <c r="D164" s="35" t="str">
        <f>IF(B144&lt;&gt;"",IF(INDEX('TH CANAM'!$A$9:$BF$63,MATCH(B144,'TH CANAM'!$A$9:$A$63,0),57)&lt;&gt;"",INDEX('TH CANAM'!$A$9:$BF$63,MATCH(B144,'TH CANAM'!$A$9:$A$63,0),57),"/"),"")</f>
        <v>HSG</v>
      </c>
      <c r="E164" s="35" t="str">
        <f>IF(B144&lt;&gt;"",IF(INDEX('TH CANAM'!$A$9:$BF$63,MATCH(B144,'TH CANAM'!$A$9:$A$63,0),58)&lt;&gt;"",INDEX('TH CANAM'!$A$9:$BF$63,MATCH(B144,'TH CANAM'!$A$9:$A$63,0),58),"/"),"")</f>
        <v>/</v>
      </c>
      <c r="F164" s="35" t="str">
        <f>IF(B144&lt;&gt;"",IF(INDEX('TH CANAM'!$A$9:$BF$63,MATCH(B144,'TH CANAM'!$A$9:$A$63,0),55)&lt;&gt;"",INDEX('TH CANAM'!$A$9:$BF$63,MATCH(B144,'TH CANAM'!$A$9:$A$63,0),55),"/"),"")</f>
        <v>/</v>
      </c>
      <c r="G164" s="88"/>
      <c r="H164" s="79" t="s">
        <v>211</v>
      </c>
      <c r="I164" s="82" t="s">
        <v>25</v>
      </c>
      <c r="J164" s="35" t="str">
        <f>IF(H144&lt;&gt;"",IF(INDEX('TH CANAM'!$A$9:$BF$63,MATCH(H144,'TH CANAM'!$A$9:$A$63,0),57)&lt;&gt;"",INDEX('TH CANAM'!$A$9:$BF$63,MATCH(H144,'TH CANAM'!$A$9:$A$63,0),57),"/"),"")</f>
        <v>HSG</v>
      </c>
      <c r="K164" s="35" t="str">
        <f>IF(H144&lt;&gt;"",IF(INDEX('TH CANAM'!$A$9:$BF$63,MATCH(H144,'TH CANAM'!$A$9:$A$63,0),58)&lt;&gt;"",INDEX('TH CANAM'!$A$9:$BF$63,MATCH(H144,'TH CANAM'!$A$9:$A$63,0),58),"/"),"")</f>
        <v>/</v>
      </c>
      <c r="L164" s="35" t="str">
        <f>IF(H144&lt;&gt;"",IF(INDEX('TH CANAM'!$A$9:$BF$63,MATCH(H144,'TH CANAM'!$A$9:$A$63,0),55)&lt;&gt;"",INDEX('TH CANAM'!$A$9:$BF$63,MATCH(H144,'TH CANAM'!$A$9:$A$63,0),55),"/"),"")</f>
        <v>/</v>
      </c>
      <c r="M164" s="88"/>
      <c r="N164" s="79" t="s">
        <v>211</v>
      </c>
      <c r="O164" s="82" t="s">
        <v>25</v>
      </c>
      <c r="P164" s="35" t="str">
        <f>IF(N144&lt;&gt;"",IF(INDEX('TH CANAM'!$A$9:$BF$63,MATCH(N144,'TH CANAM'!$A$9:$A$63,0),57)&lt;&gt;"",INDEX('TH CANAM'!$A$9:$BF$63,MATCH(N144,'TH CANAM'!$A$9:$A$63,0),57),"/"),"")</f>
        <v>HSG</v>
      </c>
      <c r="Q164" s="35" t="str">
        <f>IF(N144&lt;&gt;"",IF(INDEX('TH CANAM'!$A$9:$BF$63,MATCH(N144,'TH CANAM'!$A$9:$A$63,0),58)&lt;&gt;"",INDEX('TH CANAM'!$A$9:$BF$63,MATCH(N144,'TH CANAM'!$A$9:$A$63,0),58),"/"),"")</f>
        <v>/</v>
      </c>
      <c r="R164" s="35" t="str">
        <f>IF(N144&lt;&gt;"",IF(INDEX('TH CANAM'!$A$9:$BF$63,MATCH(N144,'TH CANAM'!$A$9:$A$63,0),55)&lt;&gt;"",INDEX('TH CANAM'!$A$9:$BF$63,MATCH(N144,'TH CANAM'!$A$9:$A$63,0),55),"/"),"")</f>
        <v>/</v>
      </c>
      <c r="S164" s="88"/>
    </row>
    <row r="165" spans="1:19" s="251" customFormat="1" ht="15.75" customHeight="1">
      <c r="A165" s="89"/>
      <c r="B165" s="1146" t="s">
        <v>219</v>
      </c>
      <c r="C165" s="1147"/>
      <c r="D165" s="1147"/>
      <c r="E165" s="1147"/>
      <c r="F165" s="1148"/>
      <c r="G165" s="89"/>
      <c r="H165" s="1146" t="s">
        <v>219</v>
      </c>
      <c r="I165" s="1147"/>
      <c r="J165" s="1147"/>
      <c r="K165" s="1147"/>
      <c r="L165" s="1148"/>
      <c r="M165" s="89"/>
      <c r="N165" s="1146" t="s">
        <v>219</v>
      </c>
      <c r="O165" s="1147"/>
      <c r="P165" s="1147"/>
      <c r="Q165" s="1147"/>
      <c r="R165" s="1148"/>
      <c r="S165" s="89"/>
    </row>
    <row r="166" spans="1:19" s="251" customFormat="1" ht="15.6" customHeight="1">
      <c r="A166" s="89"/>
      <c r="B166" s="1143" t="str">
        <f>IF(B144&lt;&gt;"",IF(INDEX(BDHK2,MATCH(B144,DiemHKII!$B$4:$B$58,0),137)&lt;&gt;""," - "&amp;INDEX(BDHK2,MATCH(B144,DiemHKII!$B$4:$B$58,0),137),""),"")</f>
        <v/>
      </c>
      <c r="C166" s="1144"/>
      <c r="D166" s="1144"/>
      <c r="E166" s="1144"/>
      <c r="F166" s="1145"/>
      <c r="G166" s="89"/>
      <c r="H166" s="1143" t="str">
        <f>IF(H144&lt;&gt;"",IF(INDEX(BDHK2,MATCH(H144,DiemHKII!$B$4:$B$58,0),137)&lt;&gt;""," - "&amp;INDEX(BDHK2,MATCH(H144,DiemHKII!$B$4:$B$58,0),137),""),"")</f>
        <v/>
      </c>
      <c r="I166" s="1144"/>
      <c r="J166" s="1144"/>
      <c r="K166" s="1144"/>
      <c r="L166" s="1145"/>
      <c r="M166" s="89"/>
      <c r="N166" s="1143" t="str">
        <f>IF(N144&lt;&gt;"",IF(INDEX(BDHK2,MATCH(N144,DiemHKII!$B$4:$B$58,0),137)&lt;&gt;""," - "&amp;INDEX(BDHK2,MATCH(N144,DiemHKII!$B$4:$B$58,0),137),""),"")</f>
        <v/>
      </c>
      <c r="O166" s="1144"/>
      <c r="P166" s="1144"/>
      <c r="Q166" s="1144"/>
      <c r="R166" s="1145"/>
      <c r="S166" s="89"/>
    </row>
    <row r="167" spans="1:19" s="251" customFormat="1" ht="15.6" customHeight="1">
      <c r="A167" s="89"/>
      <c r="B167" s="1143" t="str">
        <f>IF(B144&lt;&gt;"",IF(INDEX(BDHK2,MATCH(B144,DiemHKII!$B$4:$B$58,0),138)&lt;&gt;""," - "&amp;INDEX(BDHK2,MATCH(B144,DiemHKII!$B$4:$B$58,0),138),""),"")</f>
        <v/>
      </c>
      <c r="C167" s="1144"/>
      <c r="D167" s="1144"/>
      <c r="E167" s="1144"/>
      <c r="F167" s="1145"/>
      <c r="G167" s="89"/>
      <c r="H167" s="1143" t="str">
        <f>IF(H144&lt;&gt;"",IF(INDEX(BDHK2,MATCH(H144,DiemHKII!$B$4:$B$58,0),138)&lt;&gt;""," - "&amp;INDEX(BDHK2,MATCH(H144,DiemHKII!$B$4:$B$58,0),138),""),"")</f>
        <v/>
      </c>
      <c r="I167" s="1144"/>
      <c r="J167" s="1144"/>
      <c r="K167" s="1144"/>
      <c r="L167" s="1145"/>
      <c r="M167" s="89"/>
      <c r="N167" s="1143" t="str">
        <f>IF(N144&lt;&gt;"",IF(INDEX(BDHK2,MATCH(N144,DiemHKII!$B$4:$B$58,0),138)&lt;&gt;""," - "&amp;INDEX(BDHK2,MATCH(N144,DiemHKII!$B$4:$B$58,0),138),""),"")</f>
        <v/>
      </c>
      <c r="O167" s="1144"/>
      <c r="P167" s="1144"/>
      <c r="Q167" s="1144"/>
      <c r="R167" s="1145"/>
      <c r="S167" s="89"/>
    </row>
    <row r="168" spans="1:19" s="251" customFormat="1" ht="15.6" customHeight="1">
      <c r="A168" s="89"/>
      <c r="B168" s="1143" t="str">
        <f>IF(B144&lt;&gt;"",IF(INDEX(BDHK2,MATCH(B144,DiemHKII!$B$4:$B$58,0),139)&lt;&gt;""," - "&amp;INDEX(BDHK2,MATCH(B144,DiemHKII!$B$4:$B$58,0),139),""),"")</f>
        <v/>
      </c>
      <c r="C168" s="1144"/>
      <c r="D168" s="1144"/>
      <c r="E168" s="1144"/>
      <c r="F168" s="1145"/>
      <c r="G168" s="89"/>
      <c r="H168" s="1143" t="str">
        <f>IF(H144&lt;&gt;"",IF(INDEX(BDHK2,MATCH(H144,DiemHKII!$B$4:$B$58,0),139)&lt;&gt;""," - "&amp;INDEX(BDHK2,MATCH(H144,DiemHKII!$B$4:$B$58,0),139),""),"")</f>
        <v/>
      </c>
      <c r="I168" s="1144"/>
      <c r="J168" s="1144"/>
      <c r="K168" s="1144"/>
      <c r="L168" s="1145"/>
      <c r="M168" s="89"/>
      <c r="N168" s="1143" t="str">
        <f>IF(N144&lt;&gt;"",IF(INDEX(BDHK2,MATCH(N144,DiemHKII!$B$4:$B$58,0),139)&lt;&gt;""," - "&amp;INDEX(BDHK2,MATCH(N144,DiemHKII!$B$4:$B$58,0),139),""),"")</f>
        <v/>
      </c>
      <c r="O168" s="1144"/>
      <c r="P168" s="1144"/>
      <c r="Q168" s="1144"/>
      <c r="R168" s="1145"/>
      <c r="S168" s="89"/>
    </row>
    <row r="169" spans="1:19" s="251" customFormat="1" ht="15.6" customHeight="1">
      <c r="A169" s="89"/>
      <c r="B169" s="1143" t="str">
        <f>IF(B144&lt;&gt;"",IF(INDEX(BDHK2,MATCH(B144,DiemHKII!$B$4:$B$58,0),140)&lt;&gt;""," - "&amp;INDEX(BDHK2,MATCH(B144,DiemHKII!$B$4:$B$58,0),140),""),"")</f>
        <v/>
      </c>
      <c r="C169" s="1144"/>
      <c r="D169" s="1144"/>
      <c r="E169" s="1144"/>
      <c r="F169" s="1145"/>
      <c r="G169" s="89"/>
      <c r="H169" s="1143" t="str">
        <f>IF(H144&lt;&gt;"",IF(INDEX(BDHK2,MATCH(H144,DiemHKII!$B$4:$B$58,0),140)&lt;&gt;""," - "&amp;INDEX(BDHK2,MATCH(H144,DiemHKII!$B$4:$B$58,0),140),""),"")</f>
        <v/>
      </c>
      <c r="I169" s="1144"/>
      <c r="J169" s="1144"/>
      <c r="K169" s="1144"/>
      <c r="L169" s="1145"/>
      <c r="M169" s="89"/>
      <c r="N169" s="1143" t="str">
        <f>IF(N144&lt;&gt;"",IF(INDEX(BDHK2,MATCH(N144,DiemHKII!$B$4:$B$58,0),140)&lt;&gt;""," - "&amp;INDEX(BDHK2,MATCH(N144,DiemHKII!$B$4:$B$58,0),140),""),"")</f>
        <v/>
      </c>
      <c r="O169" s="1144"/>
      <c r="P169" s="1144"/>
      <c r="Q169" s="1144"/>
      <c r="R169" s="1145"/>
      <c r="S169" s="89"/>
    </row>
    <row r="170" spans="1:19" ht="8.25" customHeight="1">
      <c r="A170" s="88"/>
      <c r="B170" s="83"/>
      <c r="C170" s="84"/>
      <c r="D170" s="84"/>
      <c r="E170" s="84"/>
      <c r="F170" s="85"/>
      <c r="G170" s="88"/>
      <c r="H170" s="83"/>
      <c r="I170" s="84"/>
      <c r="J170" s="84"/>
      <c r="K170" s="84"/>
      <c r="L170" s="85"/>
      <c r="M170" s="88"/>
      <c r="N170" s="83"/>
      <c r="O170" s="84"/>
      <c r="P170" s="84"/>
      <c r="Q170" s="84"/>
      <c r="R170" s="85"/>
      <c r="S170" s="88"/>
    </row>
    <row r="171" spans="1:19" ht="6.75" customHeight="1">
      <c r="A171" s="88"/>
      <c r="B171" s="87"/>
      <c r="C171" s="87"/>
      <c r="D171" s="1135"/>
      <c r="E171" s="1135"/>
      <c r="F171" s="1135"/>
      <c r="G171" s="88"/>
      <c r="H171" s="87"/>
      <c r="I171" s="87"/>
      <c r="J171" s="1135"/>
      <c r="K171" s="1135"/>
      <c r="L171" s="1135"/>
      <c r="M171" s="88"/>
      <c r="N171" s="87"/>
      <c r="O171" s="87"/>
      <c r="P171" s="1135"/>
      <c r="Q171" s="1135"/>
      <c r="R171" s="1135"/>
      <c r="S171" s="88"/>
    </row>
    <row r="172" spans="1:19" ht="6.75" customHeight="1">
      <c r="A172" s="88"/>
      <c r="B172" s="87"/>
      <c r="C172" s="87"/>
      <c r="D172" s="1135"/>
      <c r="E172" s="1135"/>
      <c r="F172" s="1135"/>
      <c r="G172" s="88"/>
      <c r="H172" s="87"/>
      <c r="I172" s="87"/>
      <c r="J172" s="1135"/>
      <c r="K172" s="1135"/>
      <c r="L172" s="1135"/>
      <c r="M172" s="88"/>
      <c r="N172" s="87"/>
      <c r="O172" s="87"/>
      <c r="P172" s="1135"/>
      <c r="Q172" s="1135"/>
      <c r="R172" s="1135"/>
      <c r="S172" s="88"/>
    </row>
    <row r="173" spans="1:19" ht="18" customHeight="1">
      <c r="A173" s="88"/>
      <c r="B173" s="477">
        <f>IF(N144="","",IF(N144&lt;MAX(DiemHKII!$B$4:$B$58),N144+1,""))</f>
        <v>19</v>
      </c>
      <c r="C173" s="1140" t="str">
        <f>IF(B173="","",INDEX(DiemHKII!$E$4:$E$58,MATCH(B173,DiemHKII!$B$4:$B$58,0),1)&amp;" "&amp;INDEX(DiemHKII!$F$4:$F$58,MATCH(B173,DiemHKII!$B$4:$B$58,0),1))</f>
        <v>Lê Tiến Khôi</v>
      </c>
      <c r="D173" s="1141"/>
      <c r="E173" s="1142"/>
      <c r="F173" s="86" t="str">
        <f>IF('Huong dan'!$C$3="","",'Huong dan'!$C$3)</f>
        <v>12A1</v>
      </c>
      <c r="G173" s="88"/>
      <c r="H173" s="477">
        <f>IF(B173="","",IF(B173&lt;MAX(DiemHKII!$B$4:$B$58),B173+1,""))</f>
        <v>20</v>
      </c>
      <c r="I173" s="1140" t="str">
        <f>IF(H173="","",INDEX(DiemHKII!$E$4:$E$58,MATCH(H173,DiemHKII!$B$4:$B$58,0),1)&amp;" "&amp;INDEX(DiemHKII!$F$4:$F$58,MATCH(H173,DiemHKII!$B$4:$B$58,0),1))</f>
        <v>Nguyễn Phúc Lâm</v>
      </c>
      <c r="J173" s="1141"/>
      <c r="K173" s="1142"/>
      <c r="L173" s="86" t="str">
        <f>IF('Huong dan'!$C$3="","",'Huong dan'!$C$3)</f>
        <v>12A1</v>
      </c>
      <c r="M173" s="88"/>
      <c r="N173" s="477">
        <f>IF(H173="","",IF(H173&lt;MAX(DiemHKII!$B$4:$B$58),H173+1,""))</f>
        <v>21</v>
      </c>
      <c r="O173" s="1140" t="str">
        <f>IF(N173="","",INDEX(DiemHKII!$E$4:$E$58,MATCH(N173,DiemHKII!$B$4:$B$58,0),1)&amp;" "&amp;INDEX(DiemHKII!$F$4:$F$58,MATCH(N173,DiemHKII!$B$4:$B$58,0),1))</f>
        <v>Phạm Tấn Lộc</v>
      </c>
      <c r="P173" s="1141"/>
      <c r="Q173" s="1142"/>
      <c r="R173" s="86" t="str">
        <f>IF('Huong dan'!$C$3="","",'Huong dan'!$C$3)</f>
        <v>12A1</v>
      </c>
      <c r="S173" s="88"/>
    </row>
    <row r="174" spans="1:19" ht="18.75" customHeight="1">
      <c r="A174" s="88"/>
      <c r="B174" s="1136" t="str">
        <f>" Sinh ngày: "&amp;IF(B173="","",INDEX(DiemHKII!$G$4:$G$58,MATCH(B173,DiemHKII!$B$4:$B$58,0),1))</f>
        <v xml:space="preserve"> Sinh ngày: 14/10/2004</v>
      </c>
      <c r="C174" s="1137"/>
      <c r="D174" s="1137"/>
      <c r="E174" s="1138" t="str">
        <f>IF(B173="","","NS: "&amp;INDEX(DiemHKII!$H$4:$H$58,MATCH(B173,DiemHKII!$B$4:$B$58,0),1))</f>
        <v xml:space="preserve">NS: </v>
      </c>
      <c r="F174" s="1139"/>
      <c r="G174" s="88"/>
      <c r="H174" s="1136" t="str">
        <f>" Sinh ngày: "&amp;IF(H173="","",INDEX(DiemHKII!$G$4:$G$58,MATCH(H173,DiemHKII!$B$4:$B$58,0),1))</f>
        <v xml:space="preserve"> Sinh ngày: 02/04/2004</v>
      </c>
      <c r="I174" s="1137"/>
      <c r="J174" s="1137"/>
      <c r="K174" s="1138" t="str">
        <f>IF(H173="","","NS: "&amp;INDEX(DiemHKII!$H$4:$H$58,MATCH(H173,DiemHKII!$B$4:$B$58,0),1))</f>
        <v xml:space="preserve">NS: </v>
      </c>
      <c r="L174" s="1139"/>
      <c r="M174" s="88"/>
      <c r="N174" s="1136" t="str">
        <f>" Sinh ngày: "&amp;IF(N173="","",INDEX(DiemHKII!$G$4:$G$58,MATCH(N173,DiemHKII!$B$4:$B$58,0),1))</f>
        <v xml:space="preserve"> Sinh ngày: 05/07/2004</v>
      </c>
      <c r="O174" s="1137"/>
      <c r="P174" s="1137"/>
      <c r="Q174" s="1138" t="str">
        <f>IF(N173="","","NS: "&amp;INDEX(DiemHKII!$H$4:$H$58,MATCH(N173,DiemHKII!$B$4:$B$58,0),1))</f>
        <v xml:space="preserve">NS: </v>
      </c>
      <c r="R174" s="1139"/>
      <c r="S174" s="88"/>
    </row>
    <row r="175" spans="1:19" ht="15.75" customHeight="1">
      <c r="A175" s="88"/>
      <c r="B175" s="381" t="s">
        <v>0</v>
      </c>
      <c r="C175" s="381" t="s">
        <v>59</v>
      </c>
      <c r="D175" s="381" t="s">
        <v>73</v>
      </c>
      <c r="E175" s="381" t="s">
        <v>176</v>
      </c>
      <c r="F175" s="381" t="s">
        <v>98</v>
      </c>
      <c r="G175" s="88"/>
      <c r="H175" s="381" t="s">
        <v>0</v>
      </c>
      <c r="I175" s="381" t="s">
        <v>59</v>
      </c>
      <c r="J175" s="381" t="s">
        <v>73</v>
      </c>
      <c r="K175" s="381" t="s">
        <v>176</v>
      </c>
      <c r="L175" s="381" t="s">
        <v>98</v>
      </c>
      <c r="M175" s="88"/>
      <c r="N175" s="381" t="s">
        <v>0</v>
      </c>
      <c r="O175" s="381" t="s">
        <v>59</v>
      </c>
      <c r="P175" s="381" t="s">
        <v>73</v>
      </c>
      <c r="Q175" s="381" t="s">
        <v>176</v>
      </c>
      <c r="R175" s="381" t="s">
        <v>98</v>
      </c>
      <c r="S175" s="88"/>
    </row>
    <row r="176" spans="1:19" ht="15.6" customHeight="1">
      <c r="A176" s="88"/>
      <c r="B176" s="79" t="s">
        <v>191</v>
      </c>
      <c r="C176" s="81" t="s">
        <v>26</v>
      </c>
      <c r="D176" s="35">
        <f>IF(B173&lt;&gt;"",IF(INDEX(BDHK2,MATCH(B173,DiemHKII!$B$4:$B$58,0),INDEX($Y$7:$AB$20,MATCH(C176,$Y$7:$Y$20,0),$Z$6))&lt;&gt;"",INDEX(BDHK2,MATCH(B173,DiemHKII!$B$4:$B$58,0),INDEX($Y$7:$AB$20,MATCH(C176,$Y$7:$Y$20,0),$Z$6)),"/"),"")</f>
        <v>10</v>
      </c>
      <c r="E176" s="35" t="str">
        <f>IF(B173&lt;&gt;"",IF(INDEX(BDHK2,MATCH(B173,DiemHKII!$B$4:$B$58,0),INDEX($Y$7:$AB$20,MATCH(C176,$Y$7:$Y$20,0),$AA$6))&lt;&gt;"",INDEX(BDHK2,MATCH(B173,DiemHKII!$B$4:$B$58,0),INDEX($Y$7:$AB$20,MATCH(C176,$Y$7:$Y$20,0),$AA$6)),"/"),"")</f>
        <v>/</v>
      </c>
      <c r="F176" s="35" t="str">
        <f>IF(B173&lt;&gt;"",IF(INDEX(BDHK2,MATCH(B173,DiemHKII!$B$4:$B$58,0),INDEX($Y$7:$AB$20,MATCH(C176,$Y$7:$Y$20,0),$AB$6))&lt;&gt;"",INDEX(BDHK2,MATCH(B173,DiemHKII!$B$4:$B$58,0),INDEX($Y$7:$AB$20,MATCH(C176,$Y$7:$Y$20,0),$AB$6)),"/"),"")</f>
        <v>/</v>
      </c>
      <c r="G176" s="88"/>
      <c r="H176" s="79" t="s">
        <v>191</v>
      </c>
      <c r="I176" s="81" t="s">
        <v>26</v>
      </c>
      <c r="J176" s="35">
        <f>IF(H173&lt;&gt;"",IF(INDEX(BDHK2,MATCH(H173,DiemHKII!$B$4:$B$58,0),INDEX($Y$7:$AB$20,MATCH(I176,$Y$7:$Y$20,0),$Z$6))&lt;&gt;"",INDEX(BDHK2,MATCH(H173,DiemHKII!$B$4:$B$58,0),INDEX($Y$7:$AB$20,MATCH(I176,$Y$7:$Y$20,0),$Z$6)),"/"),"")</f>
        <v>9.3000000000000007</v>
      </c>
      <c r="K176" s="35" t="str">
        <f>IF(H173&lt;&gt;"",IF(INDEX(BDHK2,MATCH(H173,DiemHKII!$B$4:$B$58,0),INDEX($Y$7:$AB$20,MATCH(I176,$Y$7:$Y$20,0),$AA$6))&lt;&gt;"",INDEX(BDHK2,MATCH(H173,DiemHKII!$B$4:$B$58,0),INDEX($Y$7:$AB$20,MATCH(I176,$Y$7:$Y$20,0),$AA$6)),"/"),"")</f>
        <v>/</v>
      </c>
      <c r="L176" s="35" t="str">
        <f>IF(H173&lt;&gt;"",IF(INDEX(BDHK2,MATCH(H173,DiemHKII!$B$4:$B$58,0),INDEX($Y$7:$AB$20,MATCH(I176,$Y$7:$Y$20,0),$AB$6))&lt;&gt;"",INDEX(BDHK2,MATCH(H173,DiemHKII!$B$4:$B$58,0),INDEX($Y$7:$AB$20,MATCH(I176,$Y$7:$Y$20,0),$AB$6)),"/"),"")</f>
        <v>/</v>
      </c>
      <c r="M176" s="88"/>
      <c r="N176" s="79" t="s">
        <v>191</v>
      </c>
      <c r="O176" s="81" t="s">
        <v>26</v>
      </c>
      <c r="P176" s="35">
        <f>IF(N173&lt;&gt;"",IF(INDEX(BDHK2,MATCH(N173,DiemHKII!$B$4:$B$58,0),INDEX($Y$7:$AB$20,MATCH(O176,$Y$7:$Y$20,0),$Z$6))&lt;&gt;"",INDEX(BDHK2,MATCH(N173,DiemHKII!$B$4:$B$58,0),INDEX($Y$7:$AB$20,MATCH(O176,$Y$7:$Y$20,0),$Z$6)),"/"),"")</f>
        <v>9.5</v>
      </c>
      <c r="Q176" s="35" t="str">
        <f>IF(N173&lt;&gt;"",IF(INDEX(BDHK2,MATCH(N173,DiemHKII!$B$4:$B$58,0),INDEX($Y$7:$AB$20,MATCH(O176,$Y$7:$Y$20,0),$AA$6))&lt;&gt;"",INDEX(BDHK2,MATCH(N173,DiemHKII!$B$4:$B$58,0),INDEX($Y$7:$AB$20,MATCH(O176,$Y$7:$Y$20,0),$AA$6)),"/"),"")</f>
        <v>/</v>
      </c>
      <c r="R176" s="35" t="str">
        <f>IF(N173&lt;&gt;"",IF(INDEX(BDHK2,MATCH(N173,DiemHKII!$B$4:$B$58,0),INDEX($Y$7:$AB$20,MATCH(O176,$Y$7:$Y$20,0),$AB$6))&lt;&gt;"",INDEX(BDHK2,MATCH(N173,DiemHKII!$B$4:$B$58,0),INDEX($Y$7:$AB$20,MATCH(O176,$Y$7:$Y$20,0),$AB$6)),"/"),"")</f>
        <v>/</v>
      </c>
      <c r="S176" s="88"/>
    </row>
    <row r="177" spans="1:19" ht="15.6" customHeight="1">
      <c r="A177" s="88"/>
      <c r="B177" s="79" t="s">
        <v>192</v>
      </c>
      <c r="C177" s="81" t="s">
        <v>27</v>
      </c>
      <c r="D177" s="35">
        <f>IF(B173&lt;&gt;"",IF(INDEX(BDHK2,MATCH(B173,DiemHKII!$B$4:$B$58,0),INDEX($Y$7:$AB$20,MATCH(C177,$Y$7:$Y$20,0),$Z$6))&lt;&gt;"",INDEX(BDHK2,MATCH(B173,DiemHKII!$B$4:$B$58,0),INDEX($Y$7:$AB$20,MATCH(C177,$Y$7:$Y$20,0),$Z$6)),"/"),"")</f>
        <v>10</v>
      </c>
      <c r="E177" s="35" t="str">
        <f>IF(B173&lt;&gt;"",IF(INDEX(BDHK2,MATCH(B173,DiemHKII!$B$4:$B$58,0),INDEX($Y$7:$AB$20,MATCH(C177,$Y$7:$Y$20,0),$AA$6))&lt;&gt;"",INDEX(BDHK2,MATCH(B173,DiemHKII!$B$4:$B$58,0),INDEX($Y$7:$AB$20,MATCH(C177,$Y$7:$Y$20,0),$AA$6)),"/"),"")</f>
        <v>/</v>
      </c>
      <c r="F177" s="35" t="str">
        <f>IF(B173&lt;&gt;"",IF(INDEX(BDHK2,MATCH(B173,DiemHKII!$B$4:$B$58,0),INDEX($Y$7:$AB$20,MATCH(C177,$Y$7:$Y$20,0),$AB$6))&lt;&gt;"",INDEX(BDHK2,MATCH(B173,DiemHKII!$B$4:$B$58,0),INDEX($Y$7:$AB$20,MATCH(C177,$Y$7:$Y$20,0),$AB$6)),"/"),"")</f>
        <v>/</v>
      </c>
      <c r="G177" s="88"/>
      <c r="H177" s="79" t="s">
        <v>192</v>
      </c>
      <c r="I177" s="81" t="s">
        <v>27</v>
      </c>
      <c r="J177" s="35">
        <f>IF(H173&lt;&gt;"",IF(INDEX(BDHK2,MATCH(H173,DiemHKII!$B$4:$B$58,0),INDEX($Y$7:$AB$20,MATCH(I177,$Y$7:$Y$20,0),$Z$6))&lt;&gt;"",INDEX(BDHK2,MATCH(H173,DiemHKII!$B$4:$B$58,0),INDEX($Y$7:$AB$20,MATCH(I177,$Y$7:$Y$20,0),$Z$6)),"/"),"")</f>
        <v>8.9</v>
      </c>
      <c r="K177" s="35" t="str">
        <f>IF(H173&lt;&gt;"",IF(INDEX(BDHK2,MATCH(H173,DiemHKII!$B$4:$B$58,0),INDEX($Y$7:$AB$20,MATCH(I177,$Y$7:$Y$20,0),$AA$6))&lt;&gt;"",INDEX(BDHK2,MATCH(H173,DiemHKII!$B$4:$B$58,0),INDEX($Y$7:$AB$20,MATCH(I177,$Y$7:$Y$20,0),$AA$6)),"/"),"")</f>
        <v>/</v>
      </c>
      <c r="L177" s="35" t="str">
        <f>IF(H173&lt;&gt;"",IF(INDEX(BDHK2,MATCH(H173,DiemHKII!$B$4:$B$58,0),INDEX($Y$7:$AB$20,MATCH(I177,$Y$7:$Y$20,0),$AB$6))&lt;&gt;"",INDEX(BDHK2,MATCH(H173,DiemHKII!$B$4:$B$58,0),INDEX($Y$7:$AB$20,MATCH(I177,$Y$7:$Y$20,0),$AB$6)),"/"),"")</f>
        <v>/</v>
      </c>
      <c r="M177" s="88"/>
      <c r="N177" s="79" t="s">
        <v>192</v>
      </c>
      <c r="O177" s="81" t="s">
        <v>27</v>
      </c>
      <c r="P177" s="35">
        <f>IF(N173&lt;&gt;"",IF(INDEX(BDHK2,MATCH(N173,DiemHKII!$B$4:$B$58,0),INDEX($Y$7:$AB$20,MATCH(O177,$Y$7:$Y$20,0),$Z$6))&lt;&gt;"",INDEX(BDHK2,MATCH(N173,DiemHKII!$B$4:$B$58,0),INDEX($Y$7:$AB$20,MATCH(O177,$Y$7:$Y$20,0),$Z$6)),"/"),"")</f>
        <v>9.4</v>
      </c>
      <c r="Q177" s="35" t="str">
        <f>IF(N173&lt;&gt;"",IF(INDEX(BDHK2,MATCH(N173,DiemHKII!$B$4:$B$58,0),INDEX($Y$7:$AB$20,MATCH(O177,$Y$7:$Y$20,0),$AA$6))&lt;&gt;"",INDEX(BDHK2,MATCH(N173,DiemHKII!$B$4:$B$58,0),INDEX($Y$7:$AB$20,MATCH(O177,$Y$7:$Y$20,0),$AA$6)),"/"),"")</f>
        <v>/</v>
      </c>
      <c r="R177" s="35" t="str">
        <f>IF(N173&lt;&gt;"",IF(INDEX(BDHK2,MATCH(N173,DiemHKII!$B$4:$B$58,0),INDEX($Y$7:$AB$20,MATCH(O177,$Y$7:$Y$20,0),$AB$6))&lt;&gt;"",INDEX(BDHK2,MATCH(N173,DiemHKII!$B$4:$B$58,0),INDEX($Y$7:$AB$20,MATCH(O177,$Y$7:$Y$20,0),$AB$6)),"/"),"")</f>
        <v>/</v>
      </c>
      <c r="S177" s="88"/>
    </row>
    <row r="178" spans="1:19" ht="15.6" customHeight="1">
      <c r="A178" s="88"/>
      <c r="B178" s="79" t="s">
        <v>193</v>
      </c>
      <c r="C178" s="81" t="s">
        <v>28</v>
      </c>
      <c r="D178" s="35">
        <f>IF(B173&lt;&gt;"",IF(INDEX(BDHK2,MATCH(B173,DiemHKII!$B$4:$B$58,0),INDEX($Y$7:$AB$20,MATCH(C178,$Y$7:$Y$20,0),$Z$6))&lt;&gt;"",INDEX(BDHK2,MATCH(B173,DiemHKII!$B$4:$B$58,0),INDEX($Y$7:$AB$20,MATCH(C178,$Y$7:$Y$20,0),$Z$6)),"/"),"")</f>
        <v>9.9</v>
      </c>
      <c r="E178" s="35" t="str">
        <f>IF(B173&lt;&gt;"",IF(INDEX(BDHK2,MATCH(B173,DiemHKII!$B$4:$B$58,0),INDEX($Y$7:$AB$20,MATCH(C178,$Y$7:$Y$20,0),$AA$6))&lt;&gt;"",INDEX(BDHK2,MATCH(B173,DiemHKII!$B$4:$B$58,0),INDEX($Y$7:$AB$20,MATCH(C178,$Y$7:$Y$20,0),$AA$6)),"/"),"")</f>
        <v>/</v>
      </c>
      <c r="F178" s="35" t="str">
        <f>IF(B173&lt;&gt;"",IF(INDEX(BDHK2,MATCH(B173,DiemHKII!$B$4:$B$58,0),INDEX($Y$7:$AB$20,MATCH(C178,$Y$7:$Y$20,0),$AB$6))&lt;&gt;"",INDEX(BDHK2,MATCH(B173,DiemHKII!$B$4:$B$58,0),INDEX($Y$7:$AB$20,MATCH(C178,$Y$7:$Y$20,0),$AB$6)),"/"),"")</f>
        <v>/</v>
      </c>
      <c r="G178" s="88"/>
      <c r="H178" s="79" t="s">
        <v>193</v>
      </c>
      <c r="I178" s="81" t="s">
        <v>28</v>
      </c>
      <c r="J178" s="35">
        <f>IF(H173&lt;&gt;"",IF(INDEX(BDHK2,MATCH(H173,DiemHKII!$B$4:$B$58,0),INDEX($Y$7:$AB$20,MATCH(I178,$Y$7:$Y$20,0),$Z$6))&lt;&gt;"",INDEX(BDHK2,MATCH(H173,DiemHKII!$B$4:$B$58,0),INDEX($Y$7:$AB$20,MATCH(I178,$Y$7:$Y$20,0),$Z$6)),"/"),"")</f>
        <v>9.3000000000000007</v>
      </c>
      <c r="K178" s="35" t="str">
        <f>IF(H173&lt;&gt;"",IF(INDEX(BDHK2,MATCH(H173,DiemHKII!$B$4:$B$58,0),INDEX($Y$7:$AB$20,MATCH(I178,$Y$7:$Y$20,0),$AA$6))&lt;&gt;"",INDEX(BDHK2,MATCH(H173,DiemHKII!$B$4:$B$58,0),INDEX($Y$7:$AB$20,MATCH(I178,$Y$7:$Y$20,0),$AA$6)),"/"),"")</f>
        <v>/</v>
      </c>
      <c r="L178" s="35" t="str">
        <f>IF(H173&lt;&gt;"",IF(INDEX(BDHK2,MATCH(H173,DiemHKII!$B$4:$B$58,0),INDEX($Y$7:$AB$20,MATCH(I178,$Y$7:$Y$20,0),$AB$6))&lt;&gt;"",INDEX(BDHK2,MATCH(H173,DiemHKII!$B$4:$B$58,0),INDEX($Y$7:$AB$20,MATCH(I178,$Y$7:$Y$20,0),$AB$6)),"/"),"")</f>
        <v>/</v>
      </c>
      <c r="M178" s="88"/>
      <c r="N178" s="79" t="s">
        <v>193</v>
      </c>
      <c r="O178" s="81" t="s">
        <v>28</v>
      </c>
      <c r="P178" s="35">
        <f>IF(N173&lt;&gt;"",IF(INDEX(BDHK2,MATCH(N173,DiemHKII!$B$4:$B$58,0),INDEX($Y$7:$AB$20,MATCH(O178,$Y$7:$Y$20,0),$Z$6))&lt;&gt;"",INDEX(BDHK2,MATCH(N173,DiemHKII!$B$4:$B$58,0),INDEX($Y$7:$AB$20,MATCH(O178,$Y$7:$Y$20,0),$Z$6)),"/"),"")</f>
        <v>9.1</v>
      </c>
      <c r="Q178" s="35" t="str">
        <f>IF(N173&lt;&gt;"",IF(INDEX(BDHK2,MATCH(N173,DiemHKII!$B$4:$B$58,0),INDEX($Y$7:$AB$20,MATCH(O178,$Y$7:$Y$20,0),$AA$6))&lt;&gt;"",INDEX(BDHK2,MATCH(N173,DiemHKII!$B$4:$B$58,0),INDEX($Y$7:$AB$20,MATCH(O178,$Y$7:$Y$20,0),$AA$6)),"/"),"")</f>
        <v>/</v>
      </c>
      <c r="R178" s="35" t="str">
        <f>IF(N173&lt;&gt;"",IF(INDEX(BDHK2,MATCH(N173,DiemHKII!$B$4:$B$58,0),INDEX($Y$7:$AB$20,MATCH(O178,$Y$7:$Y$20,0),$AB$6))&lt;&gt;"",INDEX(BDHK2,MATCH(N173,DiemHKII!$B$4:$B$58,0),INDEX($Y$7:$AB$20,MATCH(O178,$Y$7:$Y$20,0),$AB$6)),"/"),"")</f>
        <v>/</v>
      </c>
      <c r="S178" s="88"/>
    </row>
    <row r="179" spans="1:19" ht="15.6" customHeight="1">
      <c r="A179" s="88"/>
      <c r="B179" s="79" t="s">
        <v>194</v>
      </c>
      <c r="C179" s="81" t="s">
        <v>29</v>
      </c>
      <c r="D179" s="35">
        <f>IF(B173&lt;&gt;"",IF(INDEX(BDHK2,MATCH(B173,DiemHKII!$B$4:$B$58,0),INDEX($Y$7:$AB$20,MATCH(C179,$Y$7:$Y$20,0),$Z$6))&lt;&gt;"",INDEX(BDHK2,MATCH(B173,DiemHKII!$B$4:$B$58,0),INDEX($Y$7:$AB$20,MATCH(C179,$Y$7:$Y$20,0),$Z$6)),"/"),"")</f>
        <v>9.4</v>
      </c>
      <c r="E179" s="35" t="str">
        <f>IF(B173&lt;&gt;"",IF(INDEX(BDHK2,MATCH(B173,DiemHKII!$B$4:$B$58,0),INDEX($Y$7:$AB$20,MATCH(C179,$Y$7:$Y$20,0),$AA$6))&lt;&gt;"",INDEX(BDHK2,MATCH(B173,DiemHKII!$B$4:$B$58,0),INDEX($Y$7:$AB$20,MATCH(C179,$Y$7:$Y$20,0),$AA$6)),"/"),"")</f>
        <v>/</v>
      </c>
      <c r="F179" s="35" t="str">
        <f>IF(B173&lt;&gt;"",IF(INDEX(BDHK2,MATCH(B173,DiemHKII!$B$4:$B$58,0),INDEX($Y$7:$AB$20,MATCH(C179,$Y$7:$Y$20,0),$AB$6))&lt;&gt;"",INDEX(BDHK2,MATCH(B173,DiemHKII!$B$4:$B$58,0),INDEX($Y$7:$AB$20,MATCH(C179,$Y$7:$Y$20,0),$AB$6)),"/"),"")</f>
        <v>/</v>
      </c>
      <c r="G179" s="88"/>
      <c r="H179" s="79" t="s">
        <v>194</v>
      </c>
      <c r="I179" s="81" t="s">
        <v>29</v>
      </c>
      <c r="J179" s="35">
        <f>IF(H173&lt;&gt;"",IF(INDEX(BDHK2,MATCH(H173,DiemHKII!$B$4:$B$58,0),INDEX($Y$7:$AB$20,MATCH(I179,$Y$7:$Y$20,0),$Z$6))&lt;&gt;"",INDEX(BDHK2,MATCH(H173,DiemHKII!$B$4:$B$58,0),INDEX($Y$7:$AB$20,MATCH(I179,$Y$7:$Y$20,0),$Z$6)),"/"),"")</f>
        <v>8.6</v>
      </c>
      <c r="K179" s="35" t="str">
        <f>IF(H173&lt;&gt;"",IF(INDEX(BDHK2,MATCH(H173,DiemHKII!$B$4:$B$58,0),INDEX($Y$7:$AB$20,MATCH(I179,$Y$7:$Y$20,0),$AA$6))&lt;&gt;"",INDEX(BDHK2,MATCH(H173,DiemHKII!$B$4:$B$58,0),INDEX($Y$7:$AB$20,MATCH(I179,$Y$7:$Y$20,0),$AA$6)),"/"),"")</f>
        <v>/</v>
      </c>
      <c r="L179" s="35" t="str">
        <f>IF(H173&lt;&gt;"",IF(INDEX(BDHK2,MATCH(H173,DiemHKII!$B$4:$B$58,0),INDEX($Y$7:$AB$20,MATCH(I179,$Y$7:$Y$20,0),$AB$6))&lt;&gt;"",INDEX(BDHK2,MATCH(H173,DiemHKII!$B$4:$B$58,0),INDEX($Y$7:$AB$20,MATCH(I179,$Y$7:$Y$20,0),$AB$6)),"/"),"")</f>
        <v>/</v>
      </c>
      <c r="M179" s="88"/>
      <c r="N179" s="79" t="s">
        <v>194</v>
      </c>
      <c r="O179" s="81" t="s">
        <v>29</v>
      </c>
      <c r="P179" s="35">
        <f>IF(N173&lt;&gt;"",IF(INDEX(BDHK2,MATCH(N173,DiemHKII!$B$4:$B$58,0),INDEX($Y$7:$AB$20,MATCH(O179,$Y$7:$Y$20,0),$Z$6))&lt;&gt;"",INDEX(BDHK2,MATCH(N173,DiemHKII!$B$4:$B$58,0),INDEX($Y$7:$AB$20,MATCH(O179,$Y$7:$Y$20,0),$Z$6)),"/"),"")</f>
        <v>8.8000000000000007</v>
      </c>
      <c r="Q179" s="35" t="str">
        <f>IF(N173&lt;&gt;"",IF(INDEX(BDHK2,MATCH(N173,DiemHKII!$B$4:$B$58,0),INDEX($Y$7:$AB$20,MATCH(O179,$Y$7:$Y$20,0),$AA$6))&lt;&gt;"",INDEX(BDHK2,MATCH(N173,DiemHKII!$B$4:$B$58,0),INDEX($Y$7:$AB$20,MATCH(O179,$Y$7:$Y$20,0),$AA$6)),"/"),"")</f>
        <v>/</v>
      </c>
      <c r="R179" s="35" t="str">
        <f>IF(N173&lt;&gt;"",IF(INDEX(BDHK2,MATCH(N173,DiemHKII!$B$4:$B$58,0),INDEX($Y$7:$AB$20,MATCH(O179,$Y$7:$Y$20,0),$AB$6))&lt;&gt;"",INDEX(BDHK2,MATCH(N173,DiemHKII!$B$4:$B$58,0),INDEX($Y$7:$AB$20,MATCH(O179,$Y$7:$Y$20,0),$AB$6)),"/"),"")</f>
        <v>/</v>
      </c>
      <c r="S179" s="88"/>
    </row>
    <row r="180" spans="1:19" ht="15.6" customHeight="1">
      <c r="A180" s="88"/>
      <c r="B180" s="79" t="s">
        <v>195</v>
      </c>
      <c r="C180" s="81" t="s">
        <v>120</v>
      </c>
      <c r="D180" s="35">
        <f>IF(B173&lt;&gt;"",IF(INDEX(BDHK2,MATCH(B173,DiemHKII!$B$4:$B$58,0),INDEX($Y$7:$AB$20,MATCH(C180,$Y$7:$Y$20,0),$Z$6))&lt;&gt;"",INDEX(BDHK2,MATCH(B173,DiemHKII!$B$4:$B$58,0),INDEX($Y$7:$AB$20,MATCH(C180,$Y$7:$Y$20,0),$Z$6)),"/"),"")</f>
        <v>9.8000000000000007</v>
      </c>
      <c r="E180" s="35" t="str">
        <f>IF(B173&lt;&gt;"",IF(INDEX(BDHK2,MATCH(B173,DiemHKII!$B$4:$B$58,0),INDEX($Y$7:$AB$20,MATCH(C180,$Y$7:$Y$20,0),$AA$6))&lt;&gt;"",INDEX(BDHK2,MATCH(B173,DiemHKII!$B$4:$B$58,0),INDEX($Y$7:$AB$20,MATCH(C180,$Y$7:$Y$20,0),$AA$6)),"/"),"")</f>
        <v>/</v>
      </c>
      <c r="F180" s="35" t="str">
        <f>IF(B173&lt;&gt;"",IF(INDEX(BDHK2,MATCH(B173,DiemHKII!$B$4:$B$58,0),INDEX($Y$7:$AB$20,MATCH(C180,$Y$7:$Y$20,0),$AB$6))&lt;&gt;"",INDEX(BDHK2,MATCH(B173,DiemHKII!$B$4:$B$58,0),INDEX($Y$7:$AB$20,MATCH(C180,$Y$7:$Y$20,0),$AB$6)),"/"),"")</f>
        <v>/</v>
      </c>
      <c r="G180" s="88"/>
      <c r="H180" s="79" t="s">
        <v>195</v>
      </c>
      <c r="I180" s="81" t="s">
        <v>120</v>
      </c>
      <c r="J180" s="35">
        <f>IF(H173&lt;&gt;"",IF(INDEX(BDHK2,MATCH(H173,DiemHKII!$B$4:$B$58,0),INDEX($Y$7:$AB$20,MATCH(I180,$Y$7:$Y$20,0),$Z$6))&lt;&gt;"",INDEX(BDHK2,MATCH(H173,DiemHKII!$B$4:$B$58,0),INDEX($Y$7:$AB$20,MATCH(I180,$Y$7:$Y$20,0),$Z$6)),"/"),"")</f>
        <v>9.8000000000000007</v>
      </c>
      <c r="K180" s="35" t="str">
        <f>IF(H173&lt;&gt;"",IF(INDEX(BDHK2,MATCH(H173,DiemHKII!$B$4:$B$58,0),INDEX($Y$7:$AB$20,MATCH(I180,$Y$7:$Y$20,0),$AA$6))&lt;&gt;"",INDEX(BDHK2,MATCH(H173,DiemHKII!$B$4:$B$58,0),INDEX($Y$7:$AB$20,MATCH(I180,$Y$7:$Y$20,0),$AA$6)),"/"),"")</f>
        <v>/</v>
      </c>
      <c r="L180" s="35" t="str">
        <f>IF(H173&lt;&gt;"",IF(INDEX(BDHK2,MATCH(H173,DiemHKII!$B$4:$B$58,0),INDEX($Y$7:$AB$20,MATCH(I180,$Y$7:$Y$20,0),$AB$6))&lt;&gt;"",INDEX(BDHK2,MATCH(H173,DiemHKII!$B$4:$B$58,0),INDEX($Y$7:$AB$20,MATCH(I180,$Y$7:$Y$20,0),$AB$6)),"/"),"")</f>
        <v>/</v>
      </c>
      <c r="M180" s="88"/>
      <c r="N180" s="79" t="s">
        <v>195</v>
      </c>
      <c r="O180" s="81" t="s">
        <v>120</v>
      </c>
      <c r="P180" s="35">
        <f>IF(N173&lt;&gt;"",IF(INDEX(BDHK2,MATCH(N173,DiemHKII!$B$4:$B$58,0),INDEX($Y$7:$AB$20,MATCH(O180,$Y$7:$Y$20,0),$Z$6))&lt;&gt;"",INDEX(BDHK2,MATCH(N173,DiemHKII!$B$4:$B$58,0),INDEX($Y$7:$AB$20,MATCH(O180,$Y$7:$Y$20,0),$Z$6)),"/"),"")</f>
        <v>9.8000000000000007</v>
      </c>
      <c r="Q180" s="35" t="str">
        <f>IF(N173&lt;&gt;"",IF(INDEX(BDHK2,MATCH(N173,DiemHKII!$B$4:$B$58,0),INDEX($Y$7:$AB$20,MATCH(O180,$Y$7:$Y$20,0),$AA$6))&lt;&gt;"",INDEX(BDHK2,MATCH(N173,DiemHKII!$B$4:$B$58,0),INDEX($Y$7:$AB$20,MATCH(O180,$Y$7:$Y$20,0),$AA$6)),"/"),"")</f>
        <v>/</v>
      </c>
      <c r="R180" s="35" t="str">
        <f>IF(N173&lt;&gt;"",IF(INDEX(BDHK2,MATCH(N173,DiemHKII!$B$4:$B$58,0),INDEX($Y$7:$AB$20,MATCH(O180,$Y$7:$Y$20,0),$AB$6))&lt;&gt;"",INDEX(BDHK2,MATCH(N173,DiemHKII!$B$4:$B$58,0),INDEX($Y$7:$AB$20,MATCH(O180,$Y$7:$Y$20,0),$AB$6)),"/"),"")</f>
        <v>/</v>
      </c>
      <c r="S180" s="88"/>
    </row>
    <row r="181" spans="1:19" ht="15.6" customHeight="1">
      <c r="A181" s="88"/>
      <c r="B181" s="79" t="s">
        <v>196</v>
      </c>
      <c r="C181" s="81" t="s">
        <v>30</v>
      </c>
      <c r="D181" s="35">
        <f>IF(B173&lt;&gt;"",IF(INDEX(BDHK2,MATCH(B173,DiemHKII!$B$4:$B$58,0),INDEX($Y$7:$AB$20,MATCH(C181,$Y$7:$Y$20,0),$Z$6))&lt;&gt;"",INDEX(BDHK2,MATCH(B173,DiemHKII!$B$4:$B$58,0),INDEX($Y$7:$AB$20,MATCH(C181,$Y$7:$Y$20,0),$Z$6)),"/"),"")</f>
        <v>7.5</v>
      </c>
      <c r="E181" s="35" t="str">
        <f>IF(B173&lt;&gt;"",IF(INDEX(BDHK2,MATCH(B173,DiemHKII!$B$4:$B$58,0),INDEX($Y$7:$AB$20,MATCH(C181,$Y$7:$Y$20,0),$AA$6))&lt;&gt;"",INDEX(BDHK2,MATCH(B173,DiemHKII!$B$4:$B$58,0),INDEX($Y$7:$AB$20,MATCH(C181,$Y$7:$Y$20,0),$AA$6)),"/"),"")</f>
        <v>/</v>
      </c>
      <c r="F181" s="35" t="str">
        <f>IF(B173&lt;&gt;"",IF(INDEX(BDHK2,MATCH(B173,DiemHKII!$B$4:$B$58,0),INDEX($Y$7:$AB$20,MATCH(C181,$Y$7:$Y$20,0),$AB$6))&lt;&gt;"",INDEX(BDHK2,MATCH(B173,DiemHKII!$B$4:$B$58,0),INDEX($Y$7:$AB$20,MATCH(C181,$Y$7:$Y$20,0),$AB$6)),"/"),"")</f>
        <v>/</v>
      </c>
      <c r="G181" s="88"/>
      <c r="H181" s="79" t="s">
        <v>196</v>
      </c>
      <c r="I181" s="81" t="s">
        <v>30</v>
      </c>
      <c r="J181" s="35">
        <f>IF(H173&lt;&gt;"",IF(INDEX(BDHK2,MATCH(H173,DiemHKII!$B$4:$B$58,0),INDEX($Y$7:$AB$20,MATCH(I181,$Y$7:$Y$20,0),$Z$6))&lt;&gt;"",INDEX(BDHK2,MATCH(H173,DiemHKII!$B$4:$B$58,0),INDEX($Y$7:$AB$20,MATCH(I181,$Y$7:$Y$20,0),$Z$6)),"/"),"")</f>
        <v>7.4</v>
      </c>
      <c r="K181" s="35" t="str">
        <f>IF(H173&lt;&gt;"",IF(INDEX(BDHK2,MATCH(H173,DiemHKII!$B$4:$B$58,0),INDEX($Y$7:$AB$20,MATCH(I181,$Y$7:$Y$20,0),$AA$6))&lt;&gt;"",INDEX(BDHK2,MATCH(H173,DiemHKII!$B$4:$B$58,0),INDEX($Y$7:$AB$20,MATCH(I181,$Y$7:$Y$20,0),$AA$6)),"/"),"")</f>
        <v>/</v>
      </c>
      <c r="L181" s="35" t="str">
        <f>IF(H173&lt;&gt;"",IF(INDEX(BDHK2,MATCH(H173,DiemHKII!$B$4:$B$58,0),INDEX($Y$7:$AB$20,MATCH(I181,$Y$7:$Y$20,0),$AB$6))&lt;&gt;"",INDEX(BDHK2,MATCH(H173,DiemHKII!$B$4:$B$58,0),INDEX($Y$7:$AB$20,MATCH(I181,$Y$7:$Y$20,0),$AB$6)),"/"),"")</f>
        <v>/</v>
      </c>
      <c r="M181" s="88"/>
      <c r="N181" s="79" t="s">
        <v>196</v>
      </c>
      <c r="O181" s="81" t="s">
        <v>30</v>
      </c>
      <c r="P181" s="35">
        <f>IF(N173&lt;&gt;"",IF(INDEX(BDHK2,MATCH(N173,DiemHKII!$B$4:$B$58,0),INDEX($Y$7:$AB$20,MATCH(O181,$Y$7:$Y$20,0),$Z$6))&lt;&gt;"",INDEX(BDHK2,MATCH(N173,DiemHKII!$B$4:$B$58,0),INDEX($Y$7:$AB$20,MATCH(O181,$Y$7:$Y$20,0),$Z$6)),"/"),"")</f>
        <v>7.3</v>
      </c>
      <c r="Q181" s="35" t="str">
        <f>IF(N173&lt;&gt;"",IF(INDEX(BDHK2,MATCH(N173,DiemHKII!$B$4:$B$58,0),INDEX($Y$7:$AB$20,MATCH(O181,$Y$7:$Y$20,0),$AA$6))&lt;&gt;"",INDEX(BDHK2,MATCH(N173,DiemHKII!$B$4:$B$58,0),INDEX($Y$7:$AB$20,MATCH(O181,$Y$7:$Y$20,0),$AA$6)),"/"),"")</f>
        <v>/</v>
      </c>
      <c r="R181" s="35" t="str">
        <f>IF(N173&lt;&gt;"",IF(INDEX(BDHK2,MATCH(N173,DiemHKII!$B$4:$B$58,0),INDEX($Y$7:$AB$20,MATCH(O181,$Y$7:$Y$20,0),$AB$6))&lt;&gt;"",INDEX(BDHK2,MATCH(N173,DiemHKII!$B$4:$B$58,0),INDEX($Y$7:$AB$20,MATCH(O181,$Y$7:$Y$20,0),$AB$6)),"/"),"")</f>
        <v>/</v>
      </c>
      <c r="S181" s="88"/>
    </row>
    <row r="182" spans="1:19" ht="15.6" customHeight="1">
      <c r="A182" s="88"/>
      <c r="B182" s="79" t="s">
        <v>197</v>
      </c>
      <c r="C182" s="81" t="s">
        <v>31</v>
      </c>
      <c r="D182" s="35">
        <f>IF(B173&lt;&gt;"",IF(INDEX(BDHK2,MATCH(B173,DiemHKII!$B$4:$B$58,0),INDEX($Y$7:$AB$20,MATCH(C182,$Y$7:$Y$20,0),$Z$6))&lt;&gt;"",INDEX(BDHK2,MATCH(B173,DiemHKII!$B$4:$B$58,0),INDEX($Y$7:$AB$20,MATCH(C182,$Y$7:$Y$20,0),$Z$6)),"/"),"")</f>
        <v>9.4</v>
      </c>
      <c r="E182" s="35" t="str">
        <f>IF(B173&lt;&gt;"",IF(INDEX(BDHK2,MATCH(B173,DiemHKII!$B$4:$B$58,0),INDEX($Y$7:$AB$20,MATCH(C182,$Y$7:$Y$20,0),$AA$6))&lt;&gt;"",INDEX(BDHK2,MATCH(B173,DiemHKII!$B$4:$B$58,0),INDEX($Y$7:$AB$20,MATCH(C182,$Y$7:$Y$20,0),$AA$6)),"/"),"")</f>
        <v>/</v>
      </c>
      <c r="F182" s="35" t="str">
        <f>IF(B173&lt;&gt;"",IF(INDEX(BDHK2,MATCH(B173,DiemHKII!$B$4:$B$58,0),INDEX($Y$7:$AB$20,MATCH(C182,$Y$7:$Y$20,0),$AB$6))&lt;&gt;"",INDEX(BDHK2,MATCH(B173,DiemHKII!$B$4:$B$58,0),INDEX($Y$7:$AB$20,MATCH(C182,$Y$7:$Y$20,0),$AB$6)),"/"),"")</f>
        <v>/</v>
      </c>
      <c r="G182" s="88"/>
      <c r="H182" s="79" t="s">
        <v>197</v>
      </c>
      <c r="I182" s="81" t="s">
        <v>31</v>
      </c>
      <c r="J182" s="35">
        <f>IF(H173&lt;&gt;"",IF(INDEX(BDHK2,MATCH(H173,DiemHKII!$B$4:$B$58,0),INDEX($Y$7:$AB$20,MATCH(I182,$Y$7:$Y$20,0),$Z$6))&lt;&gt;"",INDEX(BDHK2,MATCH(H173,DiemHKII!$B$4:$B$58,0),INDEX($Y$7:$AB$20,MATCH(I182,$Y$7:$Y$20,0),$Z$6)),"/"),"")</f>
        <v>9.6</v>
      </c>
      <c r="K182" s="35" t="str">
        <f>IF(H173&lt;&gt;"",IF(INDEX(BDHK2,MATCH(H173,DiemHKII!$B$4:$B$58,0),INDEX($Y$7:$AB$20,MATCH(I182,$Y$7:$Y$20,0),$AA$6))&lt;&gt;"",INDEX(BDHK2,MATCH(H173,DiemHKII!$B$4:$B$58,0),INDEX($Y$7:$AB$20,MATCH(I182,$Y$7:$Y$20,0),$AA$6)),"/"),"")</f>
        <v>/</v>
      </c>
      <c r="L182" s="35" t="str">
        <f>IF(H173&lt;&gt;"",IF(INDEX(BDHK2,MATCH(H173,DiemHKII!$B$4:$B$58,0),INDEX($Y$7:$AB$20,MATCH(I182,$Y$7:$Y$20,0),$AB$6))&lt;&gt;"",INDEX(BDHK2,MATCH(H173,DiemHKII!$B$4:$B$58,0),INDEX($Y$7:$AB$20,MATCH(I182,$Y$7:$Y$20,0),$AB$6)),"/"),"")</f>
        <v>/</v>
      </c>
      <c r="M182" s="88"/>
      <c r="N182" s="79" t="s">
        <v>197</v>
      </c>
      <c r="O182" s="81" t="s">
        <v>31</v>
      </c>
      <c r="P182" s="35">
        <f>IF(N173&lt;&gt;"",IF(INDEX(BDHK2,MATCH(N173,DiemHKII!$B$4:$B$58,0),INDEX($Y$7:$AB$20,MATCH(O182,$Y$7:$Y$20,0),$Z$6))&lt;&gt;"",INDEX(BDHK2,MATCH(N173,DiemHKII!$B$4:$B$58,0),INDEX($Y$7:$AB$20,MATCH(O182,$Y$7:$Y$20,0),$Z$6)),"/"),"")</f>
        <v>9.8000000000000007</v>
      </c>
      <c r="Q182" s="35" t="str">
        <f>IF(N173&lt;&gt;"",IF(INDEX(BDHK2,MATCH(N173,DiemHKII!$B$4:$B$58,0),INDEX($Y$7:$AB$20,MATCH(O182,$Y$7:$Y$20,0),$AA$6))&lt;&gt;"",INDEX(BDHK2,MATCH(N173,DiemHKII!$B$4:$B$58,0),INDEX($Y$7:$AB$20,MATCH(O182,$Y$7:$Y$20,0),$AA$6)),"/"),"")</f>
        <v>/</v>
      </c>
      <c r="R182" s="35" t="str">
        <f>IF(N173&lt;&gt;"",IF(INDEX(BDHK2,MATCH(N173,DiemHKII!$B$4:$B$58,0),INDEX($Y$7:$AB$20,MATCH(O182,$Y$7:$Y$20,0),$AB$6))&lt;&gt;"",INDEX(BDHK2,MATCH(N173,DiemHKII!$B$4:$B$58,0),INDEX($Y$7:$AB$20,MATCH(O182,$Y$7:$Y$20,0),$AB$6)),"/"),"")</f>
        <v>/</v>
      </c>
      <c r="S182" s="88"/>
    </row>
    <row r="183" spans="1:19" ht="15.6" customHeight="1">
      <c r="A183" s="88"/>
      <c r="B183" s="79" t="s">
        <v>198</v>
      </c>
      <c r="C183" s="81" t="s">
        <v>32</v>
      </c>
      <c r="D183" s="35">
        <f>IF(B173&lt;&gt;"",IF(INDEX(BDHK2,MATCH(B173,DiemHKII!$B$4:$B$58,0),INDEX($Y$7:$AB$20,MATCH(C183,$Y$7:$Y$20,0),$Z$6))&lt;&gt;"",INDEX(BDHK2,MATCH(B173,DiemHKII!$B$4:$B$58,0),INDEX($Y$7:$AB$20,MATCH(C183,$Y$7:$Y$20,0),$Z$6)),"/"),"")</f>
        <v>9.6</v>
      </c>
      <c r="E183" s="35" t="str">
        <f>IF(B173&lt;&gt;"",IF(INDEX(BDHK2,MATCH(B173,DiemHKII!$B$4:$B$58,0),INDEX($Y$7:$AB$20,MATCH(C183,$Y$7:$Y$20,0),$AA$6))&lt;&gt;"",INDEX(BDHK2,MATCH(B173,DiemHKII!$B$4:$B$58,0),INDEX($Y$7:$AB$20,MATCH(C183,$Y$7:$Y$20,0),$AA$6)),"/"),"")</f>
        <v>/</v>
      </c>
      <c r="F183" s="35" t="str">
        <f>IF(B173&lt;&gt;"",IF(INDEX(BDHK2,MATCH(B173,DiemHKII!$B$4:$B$58,0),INDEX($Y$7:$AB$20,MATCH(C183,$Y$7:$Y$20,0),$AB$6))&lt;&gt;"",INDEX(BDHK2,MATCH(B173,DiemHKII!$B$4:$B$58,0),INDEX($Y$7:$AB$20,MATCH(C183,$Y$7:$Y$20,0),$AB$6)),"/"),"")</f>
        <v>/</v>
      </c>
      <c r="G183" s="88"/>
      <c r="H183" s="79" t="s">
        <v>198</v>
      </c>
      <c r="I183" s="81" t="s">
        <v>32</v>
      </c>
      <c r="J183" s="35">
        <f>IF(H173&lt;&gt;"",IF(INDEX(BDHK2,MATCH(H173,DiemHKII!$B$4:$B$58,0),INDEX($Y$7:$AB$20,MATCH(I183,$Y$7:$Y$20,0),$Z$6))&lt;&gt;"",INDEX(BDHK2,MATCH(H173,DiemHKII!$B$4:$B$58,0),INDEX($Y$7:$AB$20,MATCH(I183,$Y$7:$Y$20,0),$Z$6)),"/"),"")</f>
        <v>9.1</v>
      </c>
      <c r="K183" s="35" t="str">
        <f>IF(H173&lt;&gt;"",IF(INDEX(BDHK2,MATCH(H173,DiemHKII!$B$4:$B$58,0),INDEX($Y$7:$AB$20,MATCH(I183,$Y$7:$Y$20,0),$AA$6))&lt;&gt;"",INDEX(BDHK2,MATCH(H173,DiemHKII!$B$4:$B$58,0),INDEX($Y$7:$AB$20,MATCH(I183,$Y$7:$Y$20,0),$AA$6)),"/"),"")</f>
        <v>/</v>
      </c>
      <c r="L183" s="35" t="str">
        <f>IF(H173&lt;&gt;"",IF(INDEX(BDHK2,MATCH(H173,DiemHKII!$B$4:$B$58,0),INDEX($Y$7:$AB$20,MATCH(I183,$Y$7:$Y$20,0),$AB$6))&lt;&gt;"",INDEX(BDHK2,MATCH(H173,DiemHKII!$B$4:$B$58,0),INDEX($Y$7:$AB$20,MATCH(I183,$Y$7:$Y$20,0),$AB$6)),"/"),"")</f>
        <v>/</v>
      </c>
      <c r="M183" s="88"/>
      <c r="N183" s="79" t="s">
        <v>198</v>
      </c>
      <c r="O183" s="81" t="s">
        <v>32</v>
      </c>
      <c r="P183" s="35">
        <f>IF(N173&lt;&gt;"",IF(INDEX(BDHK2,MATCH(N173,DiemHKII!$B$4:$B$58,0),INDEX($Y$7:$AB$20,MATCH(O183,$Y$7:$Y$20,0),$Z$6))&lt;&gt;"",INDEX(BDHK2,MATCH(N173,DiemHKII!$B$4:$B$58,0),INDEX($Y$7:$AB$20,MATCH(O183,$Y$7:$Y$20,0),$Z$6)),"/"),"")</f>
        <v>9.9</v>
      </c>
      <c r="Q183" s="35" t="str">
        <f>IF(N173&lt;&gt;"",IF(INDEX(BDHK2,MATCH(N173,DiemHKII!$B$4:$B$58,0),INDEX($Y$7:$AB$20,MATCH(O183,$Y$7:$Y$20,0),$AA$6))&lt;&gt;"",INDEX(BDHK2,MATCH(N173,DiemHKII!$B$4:$B$58,0),INDEX($Y$7:$AB$20,MATCH(O183,$Y$7:$Y$20,0),$AA$6)),"/"),"")</f>
        <v>/</v>
      </c>
      <c r="R183" s="35" t="str">
        <f>IF(N173&lt;&gt;"",IF(INDEX(BDHK2,MATCH(N173,DiemHKII!$B$4:$B$58,0),INDEX($Y$7:$AB$20,MATCH(O183,$Y$7:$Y$20,0),$AB$6))&lt;&gt;"",INDEX(BDHK2,MATCH(N173,DiemHKII!$B$4:$B$58,0),INDEX($Y$7:$AB$20,MATCH(O183,$Y$7:$Y$20,0),$AB$6)),"/"),"")</f>
        <v>/</v>
      </c>
      <c r="S183" s="88"/>
    </row>
    <row r="184" spans="1:19" ht="15.6" customHeight="1">
      <c r="A184" s="88"/>
      <c r="B184" s="79" t="s">
        <v>199</v>
      </c>
      <c r="C184" s="81" t="s">
        <v>33</v>
      </c>
      <c r="D184" s="35">
        <f>IF(B173&lt;&gt;"",IF(INDEX(BDHK2,MATCH(B173,DiemHKII!$B$4:$B$58,0),INDEX($Y$7:$AB$20,MATCH(C184,$Y$7:$Y$20,0),$Z$6))&lt;&gt;"",INDEX(BDHK2,MATCH(B173,DiemHKII!$B$4:$B$58,0),INDEX($Y$7:$AB$20,MATCH(C184,$Y$7:$Y$20,0),$Z$6)),"/"),"")</f>
        <v>9.4</v>
      </c>
      <c r="E184" s="35" t="str">
        <f>IF(B173&lt;&gt;"",IF(INDEX(BDHK2,MATCH(B173,DiemHKII!$B$4:$B$58,0),INDEX($Y$7:$AB$20,MATCH(C184,$Y$7:$Y$20,0),$AA$6))&lt;&gt;"",INDEX(BDHK2,MATCH(B173,DiemHKII!$B$4:$B$58,0),INDEX($Y$7:$AB$20,MATCH(C184,$Y$7:$Y$20,0),$AA$6)),"/"),"")</f>
        <v>/</v>
      </c>
      <c r="F184" s="35" t="str">
        <f>IF(B173&lt;&gt;"",IF(INDEX(BDHK2,MATCH(B173,DiemHKII!$B$4:$B$58,0),INDEX($Y$7:$AB$20,MATCH(C184,$Y$7:$Y$20,0),$AB$6))&lt;&gt;"",INDEX(BDHK2,MATCH(B173,DiemHKII!$B$4:$B$58,0),INDEX($Y$7:$AB$20,MATCH(C184,$Y$7:$Y$20,0),$AB$6)),"/"),"")</f>
        <v>/</v>
      </c>
      <c r="G184" s="88"/>
      <c r="H184" s="79" t="s">
        <v>199</v>
      </c>
      <c r="I184" s="81" t="s">
        <v>33</v>
      </c>
      <c r="J184" s="35">
        <f>IF(H173&lt;&gt;"",IF(INDEX(BDHK2,MATCH(H173,DiemHKII!$B$4:$B$58,0),INDEX($Y$7:$AB$20,MATCH(I184,$Y$7:$Y$20,0),$Z$6))&lt;&gt;"",INDEX(BDHK2,MATCH(H173,DiemHKII!$B$4:$B$58,0),INDEX($Y$7:$AB$20,MATCH(I184,$Y$7:$Y$20,0),$Z$6)),"/"),"")</f>
        <v>7.4</v>
      </c>
      <c r="K184" s="35" t="str">
        <f>IF(H173&lt;&gt;"",IF(INDEX(BDHK2,MATCH(H173,DiemHKII!$B$4:$B$58,0),INDEX($Y$7:$AB$20,MATCH(I184,$Y$7:$Y$20,0),$AA$6))&lt;&gt;"",INDEX(BDHK2,MATCH(H173,DiemHKII!$B$4:$B$58,0),INDEX($Y$7:$AB$20,MATCH(I184,$Y$7:$Y$20,0),$AA$6)),"/"),"")</f>
        <v>/</v>
      </c>
      <c r="L184" s="35" t="str">
        <f>IF(H173&lt;&gt;"",IF(INDEX(BDHK2,MATCH(H173,DiemHKII!$B$4:$B$58,0),INDEX($Y$7:$AB$20,MATCH(I184,$Y$7:$Y$20,0),$AB$6))&lt;&gt;"",INDEX(BDHK2,MATCH(H173,DiemHKII!$B$4:$B$58,0),INDEX($Y$7:$AB$20,MATCH(I184,$Y$7:$Y$20,0),$AB$6)),"/"),"")</f>
        <v>/</v>
      </c>
      <c r="M184" s="88"/>
      <c r="N184" s="79" t="s">
        <v>199</v>
      </c>
      <c r="O184" s="81" t="s">
        <v>33</v>
      </c>
      <c r="P184" s="35">
        <f>IF(N173&lt;&gt;"",IF(INDEX(BDHK2,MATCH(N173,DiemHKII!$B$4:$B$58,0),INDEX($Y$7:$AB$20,MATCH(O184,$Y$7:$Y$20,0),$Z$6))&lt;&gt;"",INDEX(BDHK2,MATCH(N173,DiemHKII!$B$4:$B$58,0),INDEX($Y$7:$AB$20,MATCH(O184,$Y$7:$Y$20,0),$Z$6)),"/"),"")</f>
        <v>8.8000000000000007</v>
      </c>
      <c r="Q184" s="35" t="str">
        <f>IF(N173&lt;&gt;"",IF(INDEX(BDHK2,MATCH(N173,DiemHKII!$B$4:$B$58,0),INDEX($Y$7:$AB$20,MATCH(O184,$Y$7:$Y$20,0),$AA$6))&lt;&gt;"",INDEX(BDHK2,MATCH(N173,DiemHKII!$B$4:$B$58,0),INDEX($Y$7:$AB$20,MATCH(O184,$Y$7:$Y$20,0),$AA$6)),"/"),"")</f>
        <v>/</v>
      </c>
      <c r="R184" s="35" t="str">
        <f>IF(N173&lt;&gt;"",IF(INDEX(BDHK2,MATCH(N173,DiemHKII!$B$4:$B$58,0),INDEX($Y$7:$AB$20,MATCH(O184,$Y$7:$Y$20,0),$AB$6))&lt;&gt;"",INDEX(BDHK2,MATCH(N173,DiemHKII!$B$4:$B$58,0),INDEX($Y$7:$AB$20,MATCH(O184,$Y$7:$Y$20,0),$AB$6)),"/"),"")</f>
        <v>/</v>
      </c>
      <c r="S184" s="88"/>
    </row>
    <row r="185" spans="1:19" ht="15.6" customHeight="1">
      <c r="A185" s="88"/>
      <c r="B185" s="79" t="s">
        <v>200</v>
      </c>
      <c r="C185" s="81" t="s">
        <v>60</v>
      </c>
      <c r="D185" s="35">
        <f>IF(B173&lt;&gt;"",IF(INDEX(BDHK2,MATCH(B173,DiemHKII!$B$4:$B$58,0),INDEX($Y$7:$AB$20,MATCH(C185,$Y$7:$Y$20,0),$Z$6))&lt;&gt;"",INDEX(BDHK2,MATCH(B173,DiemHKII!$B$4:$B$58,0),INDEX($Y$7:$AB$20,MATCH(C185,$Y$7:$Y$20,0),$Z$6)),"/"),"")</f>
        <v>9.6</v>
      </c>
      <c r="E185" s="35" t="str">
        <f>IF(B173&lt;&gt;"",IF(INDEX(BDHK2,MATCH(B173,DiemHKII!$B$4:$B$58,0),INDEX($Y$7:$AB$20,MATCH(C185,$Y$7:$Y$20,0),$AA$6))&lt;&gt;"",INDEX(BDHK2,MATCH(B173,DiemHKII!$B$4:$B$58,0),INDEX($Y$7:$AB$20,MATCH(C185,$Y$7:$Y$20,0),$AA$6)),"/"),"")</f>
        <v>/</v>
      </c>
      <c r="F185" s="35" t="str">
        <f>IF(B173&lt;&gt;"",IF(INDEX(BDHK2,MATCH(B173,DiemHKII!$B$4:$B$58,0),INDEX($Y$7:$AB$20,MATCH(C185,$Y$7:$Y$20,0),$AB$6))&lt;&gt;"",INDEX(BDHK2,MATCH(B173,DiemHKII!$B$4:$B$58,0),INDEX($Y$7:$AB$20,MATCH(C185,$Y$7:$Y$20,0),$AB$6)),"/"),"")</f>
        <v>/</v>
      </c>
      <c r="G185" s="88"/>
      <c r="H185" s="79" t="s">
        <v>200</v>
      </c>
      <c r="I185" s="81" t="s">
        <v>60</v>
      </c>
      <c r="J185" s="35">
        <f>IF(H173&lt;&gt;"",IF(INDEX(BDHK2,MATCH(H173,DiemHKII!$B$4:$B$58,0),INDEX($Y$7:$AB$20,MATCH(I185,$Y$7:$Y$20,0),$Z$6))&lt;&gt;"",INDEX(BDHK2,MATCH(H173,DiemHKII!$B$4:$B$58,0),INDEX($Y$7:$AB$20,MATCH(I185,$Y$7:$Y$20,0),$Z$6)),"/"),"")</f>
        <v>9.1</v>
      </c>
      <c r="K185" s="35" t="str">
        <f>IF(H173&lt;&gt;"",IF(INDEX(BDHK2,MATCH(H173,DiemHKII!$B$4:$B$58,0),INDEX($Y$7:$AB$20,MATCH(I185,$Y$7:$Y$20,0),$AA$6))&lt;&gt;"",INDEX(BDHK2,MATCH(H173,DiemHKII!$B$4:$B$58,0),INDEX($Y$7:$AB$20,MATCH(I185,$Y$7:$Y$20,0),$AA$6)),"/"),"")</f>
        <v>/</v>
      </c>
      <c r="L185" s="35" t="str">
        <f>IF(H173&lt;&gt;"",IF(INDEX(BDHK2,MATCH(H173,DiemHKII!$B$4:$B$58,0),INDEX($Y$7:$AB$20,MATCH(I185,$Y$7:$Y$20,0),$AB$6))&lt;&gt;"",INDEX(BDHK2,MATCH(H173,DiemHKII!$B$4:$B$58,0),INDEX($Y$7:$AB$20,MATCH(I185,$Y$7:$Y$20,0),$AB$6)),"/"),"")</f>
        <v>/</v>
      </c>
      <c r="M185" s="88"/>
      <c r="N185" s="79" t="s">
        <v>200</v>
      </c>
      <c r="O185" s="81" t="s">
        <v>60</v>
      </c>
      <c r="P185" s="35">
        <f>IF(N173&lt;&gt;"",IF(INDEX(BDHK2,MATCH(N173,DiemHKII!$B$4:$B$58,0),INDEX($Y$7:$AB$20,MATCH(O185,$Y$7:$Y$20,0),$Z$6))&lt;&gt;"",INDEX(BDHK2,MATCH(N173,DiemHKII!$B$4:$B$58,0),INDEX($Y$7:$AB$20,MATCH(O185,$Y$7:$Y$20,0),$Z$6)),"/"),"")</f>
        <v>8.8000000000000007</v>
      </c>
      <c r="Q185" s="35" t="str">
        <f>IF(N173&lt;&gt;"",IF(INDEX(BDHK2,MATCH(N173,DiemHKII!$B$4:$B$58,0),INDEX($Y$7:$AB$20,MATCH(O185,$Y$7:$Y$20,0),$AA$6))&lt;&gt;"",INDEX(BDHK2,MATCH(N173,DiemHKII!$B$4:$B$58,0),INDEX($Y$7:$AB$20,MATCH(O185,$Y$7:$Y$20,0),$AA$6)),"/"),"")</f>
        <v>/</v>
      </c>
      <c r="R185" s="35" t="str">
        <f>IF(N173&lt;&gt;"",IF(INDEX(BDHK2,MATCH(N173,DiemHKII!$B$4:$B$58,0),INDEX($Y$7:$AB$20,MATCH(O185,$Y$7:$Y$20,0),$AB$6))&lt;&gt;"",INDEX(BDHK2,MATCH(N173,DiemHKII!$B$4:$B$58,0),INDEX($Y$7:$AB$20,MATCH(O185,$Y$7:$Y$20,0),$AB$6)),"/"),"")</f>
        <v>/</v>
      </c>
      <c r="S185" s="88"/>
    </row>
    <row r="186" spans="1:19" ht="15.6" customHeight="1">
      <c r="A186" s="88"/>
      <c r="B186" s="79" t="s">
        <v>201</v>
      </c>
      <c r="C186" s="81" t="s">
        <v>34</v>
      </c>
      <c r="D186" s="35">
        <f>IF(B173&lt;&gt;"",IF(INDEX(BDHK2,MATCH(B173,DiemHKII!$B$4:$B$58,0),INDEX($Y$7:$AB$20,MATCH(C186,$Y$7:$Y$20,0),$Z$6))&lt;&gt;"",INDEX(BDHK2,MATCH(B173,DiemHKII!$B$4:$B$58,0),INDEX($Y$7:$AB$20,MATCH(C186,$Y$7:$Y$20,0),$Z$6)),"/"),"")</f>
        <v>9.8000000000000007</v>
      </c>
      <c r="E186" s="35" t="str">
        <f>IF(B173&lt;&gt;"",IF(INDEX(BDHK2,MATCH(B173,DiemHKII!$B$4:$B$58,0),INDEX($Y$7:$AB$20,MATCH(C186,$Y$7:$Y$20,0),$AA$6))&lt;&gt;"",INDEX(BDHK2,MATCH(B173,DiemHKII!$B$4:$B$58,0),INDEX($Y$7:$AB$20,MATCH(C186,$Y$7:$Y$20,0),$AA$6)),"/"),"")</f>
        <v>/</v>
      </c>
      <c r="F186" s="35" t="str">
        <f>IF(B173&lt;&gt;"",IF(INDEX(BDHK2,MATCH(B173,DiemHKII!$B$4:$B$58,0),INDEX($Y$7:$AB$20,MATCH(C186,$Y$7:$Y$20,0),$AB$6))&lt;&gt;"",INDEX(BDHK2,MATCH(B173,DiemHKII!$B$4:$B$58,0),INDEX($Y$7:$AB$20,MATCH(C186,$Y$7:$Y$20,0),$AB$6)),"/"),"")</f>
        <v>/</v>
      </c>
      <c r="G186" s="88"/>
      <c r="H186" s="79" t="s">
        <v>201</v>
      </c>
      <c r="I186" s="81" t="s">
        <v>34</v>
      </c>
      <c r="J186" s="35">
        <f>IF(H173&lt;&gt;"",IF(INDEX(BDHK2,MATCH(H173,DiemHKII!$B$4:$B$58,0),INDEX($Y$7:$AB$20,MATCH(I186,$Y$7:$Y$20,0),$Z$6))&lt;&gt;"",INDEX(BDHK2,MATCH(H173,DiemHKII!$B$4:$B$58,0),INDEX($Y$7:$AB$20,MATCH(I186,$Y$7:$Y$20,0),$Z$6)),"/"),"")</f>
        <v>9.9</v>
      </c>
      <c r="K186" s="35" t="str">
        <f>IF(H173&lt;&gt;"",IF(INDEX(BDHK2,MATCH(H173,DiemHKII!$B$4:$B$58,0),INDEX($Y$7:$AB$20,MATCH(I186,$Y$7:$Y$20,0),$AA$6))&lt;&gt;"",INDEX(BDHK2,MATCH(H173,DiemHKII!$B$4:$B$58,0),INDEX($Y$7:$AB$20,MATCH(I186,$Y$7:$Y$20,0),$AA$6)),"/"),"")</f>
        <v>/</v>
      </c>
      <c r="L186" s="35" t="str">
        <f>IF(H173&lt;&gt;"",IF(INDEX(BDHK2,MATCH(H173,DiemHKII!$B$4:$B$58,0),INDEX($Y$7:$AB$20,MATCH(I186,$Y$7:$Y$20,0),$AB$6))&lt;&gt;"",INDEX(BDHK2,MATCH(H173,DiemHKII!$B$4:$B$58,0),INDEX($Y$7:$AB$20,MATCH(I186,$Y$7:$Y$20,0),$AB$6)),"/"),"")</f>
        <v>/</v>
      </c>
      <c r="M186" s="88"/>
      <c r="N186" s="79" t="s">
        <v>201</v>
      </c>
      <c r="O186" s="81" t="s">
        <v>34</v>
      </c>
      <c r="P186" s="35">
        <f>IF(N173&lt;&gt;"",IF(INDEX(BDHK2,MATCH(N173,DiemHKII!$B$4:$B$58,0),INDEX($Y$7:$AB$20,MATCH(O186,$Y$7:$Y$20,0),$Z$6))&lt;&gt;"",INDEX(BDHK2,MATCH(N173,DiemHKII!$B$4:$B$58,0),INDEX($Y$7:$AB$20,MATCH(O186,$Y$7:$Y$20,0),$Z$6)),"/"),"")</f>
        <v>9.8000000000000007</v>
      </c>
      <c r="Q186" s="35" t="str">
        <f>IF(N173&lt;&gt;"",IF(INDEX(BDHK2,MATCH(N173,DiemHKII!$B$4:$B$58,0),INDEX($Y$7:$AB$20,MATCH(O186,$Y$7:$Y$20,0),$AA$6))&lt;&gt;"",INDEX(BDHK2,MATCH(N173,DiemHKII!$B$4:$B$58,0),INDEX($Y$7:$AB$20,MATCH(O186,$Y$7:$Y$20,0),$AA$6)),"/"),"")</f>
        <v>/</v>
      </c>
      <c r="R186" s="35" t="str">
        <f>IF(N173&lt;&gt;"",IF(INDEX(BDHK2,MATCH(N173,DiemHKII!$B$4:$B$58,0),INDEX($Y$7:$AB$20,MATCH(O186,$Y$7:$Y$20,0),$AB$6))&lt;&gt;"",INDEX(BDHK2,MATCH(N173,DiemHKII!$B$4:$B$58,0),INDEX($Y$7:$AB$20,MATCH(O186,$Y$7:$Y$20,0),$AB$6)),"/"),"")</f>
        <v>/</v>
      </c>
      <c r="S186" s="88"/>
    </row>
    <row r="187" spans="1:19" ht="15.6" customHeight="1">
      <c r="A187" s="88"/>
      <c r="B187" s="79" t="s">
        <v>202</v>
      </c>
      <c r="C187" s="81" t="s">
        <v>35</v>
      </c>
      <c r="D187" s="35" t="str">
        <f>IF(B173&lt;&gt;"",IF(INDEX(BDHK2,MATCH(B173,DiemHKII!$B$4:$B$58,0),INDEX($Y$7:$AB$20,MATCH(C187,$Y$7:$Y$20,0),$Z$6))&lt;&gt;"",INDEX(BDHK2,MATCH(B173,DiemHKII!$B$4:$B$58,0),INDEX($Y$7:$AB$20,MATCH(C187,$Y$7:$Y$20,0),$Z$6)),"/"),"")</f>
        <v>Đ</v>
      </c>
      <c r="E187" s="35" t="str">
        <f>IF(B173&lt;&gt;"",IF(INDEX(BDHK2,MATCH(B173,DiemHKII!$B$4:$B$58,0),INDEX($Y$7:$AB$20,MATCH(C187,$Y$7:$Y$20,0),$AA$6))&lt;&gt;"",INDEX(BDHK2,MATCH(B173,DiemHKII!$B$4:$B$58,0),INDEX($Y$7:$AB$20,MATCH(C187,$Y$7:$Y$20,0),$AA$6)),"/"),"")</f>
        <v>/</v>
      </c>
      <c r="F187" s="35" t="str">
        <f>IF(B173&lt;&gt;"",IF(INDEX(BDHK2,MATCH(B173,DiemHKII!$B$4:$B$58,0),INDEX($Y$7:$AB$20,MATCH(C187,$Y$7:$Y$20,0),$AB$6))&lt;&gt;"",INDEX(BDHK2,MATCH(B173,DiemHKII!$B$4:$B$58,0),INDEX($Y$7:$AB$20,MATCH(C187,$Y$7:$Y$20,0),$AB$6)),"/"),"")</f>
        <v>Đ</v>
      </c>
      <c r="G187" s="88"/>
      <c r="H187" s="79" t="s">
        <v>202</v>
      </c>
      <c r="I187" s="81" t="s">
        <v>35</v>
      </c>
      <c r="J187" s="35" t="str">
        <f>IF(H173&lt;&gt;"",IF(INDEX(BDHK2,MATCH(H173,DiemHKII!$B$4:$B$58,0),INDEX($Y$7:$AB$20,MATCH(I187,$Y$7:$Y$20,0),$Z$6))&lt;&gt;"",INDEX(BDHK2,MATCH(H173,DiemHKII!$B$4:$B$58,0),INDEX($Y$7:$AB$20,MATCH(I187,$Y$7:$Y$20,0),$Z$6)),"/"),"")</f>
        <v>Đ</v>
      </c>
      <c r="K187" s="35" t="str">
        <f>IF(H173&lt;&gt;"",IF(INDEX(BDHK2,MATCH(H173,DiemHKII!$B$4:$B$58,0),INDEX($Y$7:$AB$20,MATCH(I187,$Y$7:$Y$20,0),$AA$6))&lt;&gt;"",INDEX(BDHK2,MATCH(H173,DiemHKII!$B$4:$B$58,0),INDEX($Y$7:$AB$20,MATCH(I187,$Y$7:$Y$20,0),$AA$6)),"/"),"")</f>
        <v>/</v>
      </c>
      <c r="L187" s="35" t="str">
        <f>IF(H173&lt;&gt;"",IF(INDEX(BDHK2,MATCH(H173,DiemHKII!$B$4:$B$58,0),INDEX($Y$7:$AB$20,MATCH(I187,$Y$7:$Y$20,0),$AB$6))&lt;&gt;"",INDEX(BDHK2,MATCH(H173,DiemHKII!$B$4:$B$58,0),INDEX($Y$7:$AB$20,MATCH(I187,$Y$7:$Y$20,0),$AB$6)),"/"),"")</f>
        <v>Đ</v>
      </c>
      <c r="M187" s="88"/>
      <c r="N187" s="79" t="s">
        <v>202</v>
      </c>
      <c r="O187" s="81" t="s">
        <v>35</v>
      </c>
      <c r="P187" s="35" t="str">
        <f>IF(N173&lt;&gt;"",IF(INDEX(BDHK2,MATCH(N173,DiemHKII!$B$4:$B$58,0),INDEX($Y$7:$AB$20,MATCH(O187,$Y$7:$Y$20,0),$Z$6))&lt;&gt;"",INDEX(BDHK2,MATCH(N173,DiemHKII!$B$4:$B$58,0),INDEX($Y$7:$AB$20,MATCH(O187,$Y$7:$Y$20,0),$Z$6)),"/"),"")</f>
        <v>Đ</v>
      </c>
      <c r="Q187" s="35" t="str">
        <f>IF(N173&lt;&gt;"",IF(INDEX(BDHK2,MATCH(N173,DiemHKII!$B$4:$B$58,0),INDEX($Y$7:$AB$20,MATCH(O187,$Y$7:$Y$20,0),$AA$6))&lt;&gt;"",INDEX(BDHK2,MATCH(N173,DiemHKII!$B$4:$B$58,0),INDEX($Y$7:$AB$20,MATCH(O187,$Y$7:$Y$20,0),$AA$6)),"/"),"")</f>
        <v>/</v>
      </c>
      <c r="R187" s="35" t="str">
        <f>IF(N173&lt;&gt;"",IF(INDEX(BDHK2,MATCH(N173,DiemHKII!$B$4:$B$58,0),INDEX($Y$7:$AB$20,MATCH(O187,$Y$7:$Y$20,0),$AB$6))&lt;&gt;"",INDEX(BDHK2,MATCH(N173,DiemHKII!$B$4:$B$58,0),INDEX($Y$7:$AB$20,MATCH(O187,$Y$7:$Y$20,0),$AB$6)),"/"),"")</f>
        <v>Đ</v>
      </c>
      <c r="S187" s="88"/>
    </row>
    <row r="188" spans="1:19" ht="15.6" customHeight="1">
      <c r="A188" s="88"/>
      <c r="B188" s="79" t="s">
        <v>203</v>
      </c>
      <c r="C188" s="81" t="s">
        <v>121</v>
      </c>
      <c r="D188" s="35">
        <f>IF(B173&lt;&gt;"",IF(INDEX(BDHK2,MATCH(B173,DiemHKII!$B$4:$B$58,0),INDEX($Y$7:$AB$20,MATCH(C188,$Y$7:$Y$20,0),$Z$6))&lt;&gt;"",INDEX(BDHK2,MATCH(B173,DiemHKII!$B$4:$B$58,0),INDEX($Y$7:$AB$20,MATCH(C188,$Y$7:$Y$20,0),$Z$6)),"/"),"")</f>
        <v>9.9</v>
      </c>
      <c r="E188" s="35" t="str">
        <f>IF(B173&lt;&gt;"",IF(INDEX(BDHK2,MATCH(B173,DiemHKII!$B$4:$B$58,0),INDEX($Y$7:$AB$20,MATCH(C188,$Y$7:$Y$20,0),$AA$6))&lt;&gt;"",INDEX(BDHK2,MATCH(B173,DiemHKII!$B$4:$B$58,0),INDEX($Y$7:$AB$20,MATCH(C188,$Y$7:$Y$20,0),$AA$6)),"/"),"")</f>
        <v>/</v>
      </c>
      <c r="F188" s="35" t="str">
        <f>IF(B173&lt;&gt;"",IF(INDEX(BDHK2,MATCH(B173,DiemHKII!$B$4:$B$58,0),INDEX($Y$7:$AB$20,MATCH(C188,$Y$7:$Y$20,0),$AB$6))&lt;&gt;"",INDEX(BDHK2,MATCH(B173,DiemHKII!$B$4:$B$58,0),INDEX($Y$7:$AB$20,MATCH(C188,$Y$7:$Y$20,0),$AB$6)),"/"),"")</f>
        <v>/</v>
      </c>
      <c r="G188" s="88"/>
      <c r="H188" s="79" t="s">
        <v>203</v>
      </c>
      <c r="I188" s="81" t="s">
        <v>121</v>
      </c>
      <c r="J188" s="35">
        <f>IF(H173&lt;&gt;"",IF(INDEX(BDHK2,MATCH(H173,DiemHKII!$B$4:$B$58,0),INDEX($Y$7:$AB$20,MATCH(I188,$Y$7:$Y$20,0),$Z$6))&lt;&gt;"",INDEX(BDHK2,MATCH(H173,DiemHKII!$B$4:$B$58,0),INDEX($Y$7:$AB$20,MATCH(I188,$Y$7:$Y$20,0),$Z$6)),"/"),"")</f>
        <v>9.9</v>
      </c>
      <c r="K188" s="35" t="str">
        <f>IF(H173&lt;&gt;"",IF(INDEX(BDHK2,MATCH(H173,DiemHKII!$B$4:$B$58,0),INDEX($Y$7:$AB$20,MATCH(I188,$Y$7:$Y$20,0),$AA$6))&lt;&gt;"",INDEX(BDHK2,MATCH(H173,DiemHKII!$B$4:$B$58,0),INDEX($Y$7:$AB$20,MATCH(I188,$Y$7:$Y$20,0),$AA$6)),"/"),"")</f>
        <v>/</v>
      </c>
      <c r="L188" s="35" t="str">
        <f>IF(H173&lt;&gt;"",IF(INDEX(BDHK2,MATCH(H173,DiemHKII!$B$4:$B$58,0),INDEX($Y$7:$AB$20,MATCH(I188,$Y$7:$Y$20,0),$AB$6))&lt;&gt;"",INDEX(BDHK2,MATCH(H173,DiemHKII!$B$4:$B$58,0),INDEX($Y$7:$AB$20,MATCH(I188,$Y$7:$Y$20,0),$AB$6)),"/"),"")</f>
        <v>/</v>
      </c>
      <c r="M188" s="88"/>
      <c r="N188" s="79" t="s">
        <v>203</v>
      </c>
      <c r="O188" s="81" t="s">
        <v>121</v>
      </c>
      <c r="P188" s="35">
        <f>IF(N173&lt;&gt;"",IF(INDEX(BDHK2,MATCH(N173,DiemHKII!$B$4:$B$58,0),INDEX($Y$7:$AB$20,MATCH(O188,$Y$7:$Y$20,0),$Z$6))&lt;&gt;"",INDEX(BDHK2,MATCH(N173,DiemHKII!$B$4:$B$58,0),INDEX($Y$7:$AB$20,MATCH(O188,$Y$7:$Y$20,0),$Z$6)),"/"),"")</f>
        <v>9.9</v>
      </c>
      <c r="Q188" s="35" t="str">
        <f>IF(N173&lt;&gt;"",IF(INDEX(BDHK2,MATCH(N173,DiemHKII!$B$4:$B$58,0),INDEX($Y$7:$AB$20,MATCH(O188,$Y$7:$Y$20,0),$AA$6))&lt;&gt;"",INDEX(BDHK2,MATCH(N173,DiemHKII!$B$4:$B$58,0),INDEX($Y$7:$AB$20,MATCH(O188,$Y$7:$Y$20,0),$AA$6)),"/"),"")</f>
        <v>/</v>
      </c>
      <c r="R188" s="35" t="str">
        <f>IF(N173&lt;&gt;"",IF(INDEX(BDHK2,MATCH(N173,DiemHKII!$B$4:$B$58,0),INDEX($Y$7:$AB$20,MATCH(O188,$Y$7:$Y$20,0),$AB$6))&lt;&gt;"",INDEX(BDHK2,MATCH(N173,DiemHKII!$B$4:$B$58,0),INDEX($Y$7:$AB$20,MATCH(O188,$Y$7:$Y$20,0),$AB$6)),"/"),"")</f>
        <v>/</v>
      </c>
      <c r="S188" s="88"/>
    </row>
    <row r="189" spans="1:19" ht="15.6" customHeight="1">
      <c r="A189" s="88"/>
      <c r="B189" s="79" t="s">
        <v>204</v>
      </c>
      <c r="C189" s="81" t="s">
        <v>122</v>
      </c>
      <c r="D189" s="35" t="str">
        <f>IF(B173&lt;&gt;"",IF(INDEX(BDHK2,MATCH(B173,DiemHKII!$B$4:$B$58,0),INDEX($Y$7:$AB$20,MATCH(C189,$Y$7:$Y$20,0),$Z$6))&lt;&gt;"",INDEX(BDHK2,MATCH(B173,DiemHKII!$B$4:$B$58,0),INDEX($Y$7:$AB$20,MATCH(C189,$Y$7:$Y$20,0),$Z$6)),"/"),"")</f>
        <v>/</v>
      </c>
      <c r="E189" s="35" t="str">
        <f>IF(B173&lt;&gt;"",IF(INDEX(BDHK2,MATCH(B173,DiemHKII!$B$4:$B$58,0),INDEX($Y$7:$AB$20,MATCH(C189,$Y$7:$Y$20,0),$AA$6))&lt;&gt;"",INDEX(BDHK2,MATCH(B173,DiemHKII!$B$4:$B$58,0),INDEX($Y$7:$AB$20,MATCH(C189,$Y$7:$Y$20,0),$AA$6)),"/"),"")</f>
        <v>/</v>
      </c>
      <c r="F189" s="35" t="str">
        <f>IF(B173&lt;&gt;"",IF(INDEX(BDHK2,MATCH(B173,DiemHKII!$B$4:$B$58,0),INDEX($Y$7:$AB$20,MATCH(C189,$Y$7:$Y$20,0),$AB$6))&lt;&gt;"",INDEX(BDHK2,MATCH(B173,DiemHKII!$B$4:$B$58,0),INDEX($Y$7:$AB$20,MATCH(C189,$Y$7:$Y$20,0),$AB$6)),"/"),"")</f>
        <v>/</v>
      </c>
      <c r="G189" s="88"/>
      <c r="H189" s="79" t="s">
        <v>204</v>
      </c>
      <c r="I189" s="81" t="s">
        <v>122</v>
      </c>
      <c r="J189" s="35" t="str">
        <f>IF(H173&lt;&gt;"",IF(INDEX(BDHK2,MATCH(H173,DiemHKII!$B$4:$B$58,0),INDEX($Y$7:$AB$20,MATCH(I189,$Y$7:$Y$20,0),$Z$6))&lt;&gt;"",INDEX(BDHK2,MATCH(H173,DiemHKII!$B$4:$B$58,0),INDEX($Y$7:$AB$20,MATCH(I189,$Y$7:$Y$20,0),$Z$6)),"/"),"")</f>
        <v>/</v>
      </c>
      <c r="K189" s="35" t="str">
        <f>IF(H173&lt;&gt;"",IF(INDEX(BDHK2,MATCH(H173,DiemHKII!$B$4:$B$58,0),INDEX($Y$7:$AB$20,MATCH(I189,$Y$7:$Y$20,0),$AA$6))&lt;&gt;"",INDEX(BDHK2,MATCH(H173,DiemHKII!$B$4:$B$58,0),INDEX($Y$7:$AB$20,MATCH(I189,$Y$7:$Y$20,0),$AA$6)),"/"),"")</f>
        <v>/</v>
      </c>
      <c r="L189" s="35" t="str">
        <f>IF(H173&lt;&gt;"",IF(INDEX(BDHK2,MATCH(H173,DiemHKII!$B$4:$B$58,0),INDEX($Y$7:$AB$20,MATCH(I189,$Y$7:$Y$20,0),$AB$6))&lt;&gt;"",INDEX(BDHK2,MATCH(H173,DiemHKII!$B$4:$B$58,0),INDEX($Y$7:$AB$20,MATCH(I189,$Y$7:$Y$20,0),$AB$6)),"/"),"")</f>
        <v>/</v>
      </c>
      <c r="M189" s="88"/>
      <c r="N189" s="79" t="s">
        <v>204</v>
      </c>
      <c r="O189" s="81" t="s">
        <v>122</v>
      </c>
      <c r="P189" s="35" t="str">
        <f>IF(N173&lt;&gt;"",IF(INDEX(BDHK2,MATCH(N173,DiemHKII!$B$4:$B$58,0),INDEX($Y$7:$AB$20,MATCH(O189,$Y$7:$Y$20,0),$Z$6))&lt;&gt;"",INDEX(BDHK2,MATCH(N173,DiemHKII!$B$4:$B$58,0),INDEX($Y$7:$AB$20,MATCH(O189,$Y$7:$Y$20,0),$Z$6)),"/"),"")</f>
        <v>/</v>
      </c>
      <c r="Q189" s="35" t="str">
        <f>IF(N173&lt;&gt;"",IF(INDEX(BDHK2,MATCH(N173,DiemHKII!$B$4:$B$58,0),INDEX($Y$7:$AB$20,MATCH(O189,$Y$7:$Y$20,0),$AA$6))&lt;&gt;"",INDEX(BDHK2,MATCH(N173,DiemHKII!$B$4:$B$58,0),INDEX($Y$7:$AB$20,MATCH(O189,$Y$7:$Y$20,0),$AA$6)),"/"),"")</f>
        <v>/</v>
      </c>
      <c r="R189" s="35" t="str">
        <f>IF(N173&lt;&gt;"",IF(INDEX(BDHK2,MATCH(N173,DiemHKII!$B$4:$B$58,0),INDEX($Y$7:$AB$20,MATCH(O189,$Y$7:$Y$20,0),$AB$6))&lt;&gt;"",INDEX(BDHK2,MATCH(N173,DiemHKII!$B$4:$B$58,0),INDEX($Y$7:$AB$20,MATCH(O189,$Y$7:$Y$20,0),$AB$6)),"/"),"")</f>
        <v>/</v>
      </c>
      <c r="S189" s="88"/>
    </row>
    <row r="190" spans="1:19" ht="15.6" customHeight="1">
      <c r="A190" s="88"/>
      <c r="B190" s="79" t="s">
        <v>208</v>
      </c>
      <c r="C190" s="81" t="s">
        <v>217</v>
      </c>
      <c r="D190" s="80">
        <f>IF(B173&lt;&gt;"",IF(INDEX('TH CANAM'!$A$9:$BF$63,MATCH(B173,'TH CANAM'!$A$9:$A$63,0),46)&lt;&gt;"",INDEX('TH CANAM'!$A$9:$BF$63,MATCH(B173,'TH CANAM'!$A$9:$A$63,0),46),"/"),"")</f>
        <v>9.5</v>
      </c>
      <c r="E190" s="80" t="str">
        <f>IF(B173&lt;&gt;"",IF(INDEX('TH CANAM'!$A$9:$BF$63,MATCH(B173,'TH CANAM'!$A$9:$A$63,0),47)&lt;&gt;"",INDEX('TH CANAM'!$A$9:$BF$63,MATCH(B173,'TH CANAM'!$A$9:$A$63,0),47),"/"),"")</f>
        <v>/</v>
      </c>
      <c r="F190" s="80" t="str">
        <f>IF(B173&lt;&gt;"",IF(INDEX('TH CANAM'!$A$9:$BF$63,MATCH(B173,'TH CANAM'!$A$9:$A$63,0),48)&lt;&gt;"",INDEX('TH CANAM'!$A$9:$BF$63,MATCH(B173,'TH CANAM'!$A$9:$A$63,0),48),"/"),"")</f>
        <v>/</v>
      </c>
      <c r="G190" s="88"/>
      <c r="H190" s="79" t="s">
        <v>208</v>
      </c>
      <c r="I190" s="81" t="s">
        <v>217</v>
      </c>
      <c r="J190" s="80">
        <f>IF(H173&lt;&gt;"",IF(INDEX('TH CANAM'!$A$9:$BF$63,MATCH(H173,'TH CANAM'!$A$9:$A$63,0),46)&lt;&gt;"",INDEX('TH CANAM'!$A$9:$BF$63,MATCH(H173,'TH CANAM'!$A$9:$A$63,0),46),"/"),"")</f>
        <v>9</v>
      </c>
      <c r="K190" s="80" t="str">
        <f>IF(H173&lt;&gt;"",IF(INDEX('TH CANAM'!$A$9:$BF$63,MATCH(H173,'TH CANAM'!$A$9:$A$63,0),47)&lt;&gt;"",INDEX('TH CANAM'!$A$9:$BF$63,MATCH(H173,'TH CANAM'!$A$9:$A$63,0),47),"/"),"")</f>
        <v>/</v>
      </c>
      <c r="L190" s="80" t="str">
        <f>IF(H173&lt;&gt;"",IF(INDEX('TH CANAM'!$A$9:$BF$63,MATCH(H173,'TH CANAM'!$A$9:$A$63,0),48)&lt;&gt;"",INDEX('TH CANAM'!$A$9:$BF$63,MATCH(H173,'TH CANAM'!$A$9:$A$63,0),48),"/"),"")</f>
        <v>/</v>
      </c>
      <c r="M190" s="88"/>
      <c r="N190" s="79" t="s">
        <v>208</v>
      </c>
      <c r="O190" s="81" t="s">
        <v>217</v>
      </c>
      <c r="P190" s="80">
        <f>IF(N173&lt;&gt;"",IF(INDEX('TH CANAM'!$A$9:$BF$63,MATCH(N173,'TH CANAM'!$A$9:$A$63,0),46)&lt;&gt;"",INDEX('TH CANAM'!$A$9:$BF$63,MATCH(N173,'TH CANAM'!$A$9:$A$63,0),46),"/"),"")</f>
        <v>9.1999999999999993</v>
      </c>
      <c r="Q190" s="80" t="str">
        <f>IF(N173&lt;&gt;"",IF(INDEX('TH CANAM'!$A$9:$BF$63,MATCH(N173,'TH CANAM'!$A$9:$A$63,0),47)&lt;&gt;"",INDEX('TH CANAM'!$A$9:$BF$63,MATCH(N173,'TH CANAM'!$A$9:$A$63,0),47),"/"),"")</f>
        <v>/</v>
      </c>
      <c r="R190" s="80" t="str">
        <f>IF(N173&lt;&gt;"",IF(INDEX('TH CANAM'!$A$9:$BF$63,MATCH(N173,'TH CANAM'!$A$9:$A$63,0),48)&lt;&gt;"",INDEX('TH CANAM'!$A$9:$BF$63,MATCH(N173,'TH CANAM'!$A$9:$A$63,0),48),"/"),"")</f>
        <v>/</v>
      </c>
      <c r="S190" s="88"/>
    </row>
    <row r="191" spans="1:19" ht="15.6" customHeight="1">
      <c r="A191" s="88"/>
      <c r="B191" s="79" t="s">
        <v>209</v>
      </c>
      <c r="C191" s="82" t="s">
        <v>36</v>
      </c>
      <c r="D191" s="35" t="str">
        <f>IF(B173&lt;&gt;"",IF(INDEX('TH CANAM'!$A$9:$BF$63,MATCH(B173,'TH CANAM'!$A$9:$A$63,0),49)&lt;&gt;"",INDEX('TH CANAM'!$A$9:$BF$63,MATCH(B173,'TH CANAM'!$A$9:$A$63,0),49),"/"),"")</f>
        <v>Giỏi</v>
      </c>
      <c r="E191" s="35" t="str">
        <f>IF(B173&lt;&gt;"",IF(INDEX('TH CANAM'!$A$9:$BF$63,MATCH(B173,'TH CANAM'!$A$9:$A$63,0),50)&lt;&gt;"",INDEX('TH CANAM'!$A$9:$BF$63,MATCH(B173,'TH CANAM'!$A$9:$A$63,0),50),"/"),"")</f>
        <v>/</v>
      </c>
      <c r="F191" s="35" t="str">
        <f>IF(B173&lt;&gt;"",IF(INDEX('TH CANAM'!$A$9:$BF$63,MATCH(B173,'TH CANAM'!$A$9:$A$63,0),51)&lt;&gt;"",INDEX('TH CANAM'!$A$9:$BF$63,MATCH(B173,'TH CANAM'!$A$9:$A$63,0),51),"/"),"")</f>
        <v>/</v>
      </c>
      <c r="G191" s="88"/>
      <c r="H191" s="79" t="s">
        <v>209</v>
      </c>
      <c r="I191" s="82" t="s">
        <v>36</v>
      </c>
      <c r="J191" s="35" t="str">
        <f>IF(H173&lt;&gt;"",IF(INDEX('TH CANAM'!$A$9:$BF$63,MATCH(H173,'TH CANAM'!$A$9:$A$63,0),49)&lt;&gt;"",INDEX('TH CANAM'!$A$9:$BF$63,MATCH(H173,'TH CANAM'!$A$9:$A$63,0),49),"/"),"")</f>
        <v>Giỏi</v>
      </c>
      <c r="K191" s="35" t="str">
        <f>IF(H173&lt;&gt;"",IF(INDEX('TH CANAM'!$A$9:$BF$63,MATCH(H173,'TH CANAM'!$A$9:$A$63,0),50)&lt;&gt;"",INDEX('TH CANAM'!$A$9:$BF$63,MATCH(H173,'TH CANAM'!$A$9:$A$63,0),50),"/"),"")</f>
        <v>/</v>
      </c>
      <c r="L191" s="35" t="str">
        <f>IF(H173&lt;&gt;"",IF(INDEX('TH CANAM'!$A$9:$BF$63,MATCH(H173,'TH CANAM'!$A$9:$A$63,0),51)&lt;&gt;"",INDEX('TH CANAM'!$A$9:$BF$63,MATCH(H173,'TH CANAM'!$A$9:$A$63,0),51),"/"),"")</f>
        <v>/</v>
      </c>
      <c r="M191" s="88"/>
      <c r="N191" s="79" t="s">
        <v>209</v>
      </c>
      <c r="O191" s="82" t="s">
        <v>36</v>
      </c>
      <c r="P191" s="35" t="str">
        <f>IF(N173&lt;&gt;"",IF(INDEX('TH CANAM'!$A$9:$BF$63,MATCH(N173,'TH CANAM'!$A$9:$A$63,0),49)&lt;&gt;"",INDEX('TH CANAM'!$A$9:$BF$63,MATCH(N173,'TH CANAM'!$A$9:$A$63,0),49),"/"),"")</f>
        <v>Giỏi</v>
      </c>
      <c r="Q191" s="35" t="str">
        <f>IF(N173&lt;&gt;"",IF(INDEX('TH CANAM'!$A$9:$BF$63,MATCH(N173,'TH CANAM'!$A$9:$A$63,0),50)&lt;&gt;"",INDEX('TH CANAM'!$A$9:$BF$63,MATCH(N173,'TH CANAM'!$A$9:$A$63,0),50),"/"),"")</f>
        <v>/</v>
      </c>
      <c r="R191" s="35" t="str">
        <f>IF(N173&lt;&gt;"",IF(INDEX('TH CANAM'!$A$9:$BF$63,MATCH(N173,'TH CANAM'!$A$9:$A$63,0),51)&lt;&gt;"",INDEX('TH CANAM'!$A$9:$BF$63,MATCH(N173,'TH CANAM'!$A$9:$A$63,0),51),"/"),"")</f>
        <v>/</v>
      </c>
      <c r="S191" s="88"/>
    </row>
    <row r="192" spans="1:19" ht="15.6" customHeight="1">
      <c r="A192" s="88"/>
      <c r="B192" s="79" t="s">
        <v>210</v>
      </c>
      <c r="C192" s="82" t="s">
        <v>37</v>
      </c>
      <c r="D192" s="35" t="str">
        <f>IF(B173&lt;&gt;"",IF(INDEX('TH CANAM'!$A$9:$BF$63,MATCH(B173,'TH CANAM'!$A$9:$A$63,0),52)&lt;&gt;"",INDEX('TH CANAM'!$A$9:$BF$63,MATCH(B173,'TH CANAM'!$A$9:$A$63,0),52),"/"),"")</f>
        <v>Tốt</v>
      </c>
      <c r="E192" s="35" t="str">
        <f>IF(B173&lt;&gt;"",IF(INDEX('TH CANAM'!$A$9:$BF$63,MATCH(B173,'TH CANAM'!$A$9:$A$63,0),53)&lt;&gt;"",INDEX('TH CANAM'!$A$9:$BF$63,MATCH(B173,'TH CANAM'!$A$9:$A$63,0),53),"/"),"")</f>
        <v>/</v>
      </c>
      <c r="F192" s="35" t="str">
        <f>IF(B173&lt;&gt;"",IF(INDEX('TH CANAM'!$A$9:$BF$63,MATCH(B173,'TH CANAM'!$A$9:$A$63,0),54)&lt;&gt;"",INDEX('TH CANAM'!$A$9:$BF$63,MATCH(B173,'TH CANAM'!$A$9:$A$63,0),54),"/"),"")</f>
        <v>/</v>
      </c>
      <c r="G192" s="88"/>
      <c r="H192" s="79" t="s">
        <v>210</v>
      </c>
      <c r="I192" s="82" t="s">
        <v>37</v>
      </c>
      <c r="J192" s="35" t="str">
        <f>IF(H173&lt;&gt;"",IF(INDEX('TH CANAM'!$A$9:$BF$63,MATCH(H173,'TH CANAM'!$A$9:$A$63,0),52)&lt;&gt;"",INDEX('TH CANAM'!$A$9:$BF$63,MATCH(H173,'TH CANAM'!$A$9:$A$63,0),52),"/"),"")</f>
        <v>Tốt</v>
      </c>
      <c r="K192" s="35" t="str">
        <f>IF(H173&lt;&gt;"",IF(INDEX('TH CANAM'!$A$9:$BF$63,MATCH(H173,'TH CANAM'!$A$9:$A$63,0),53)&lt;&gt;"",INDEX('TH CANAM'!$A$9:$BF$63,MATCH(H173,'TH CANAM'!$A$9:$A$63,0),53),"/"),"")</f>
        <v>/</v>
      </c>
      <c r="L192" s="35" t="str">
        <f>IF(H173&lt;&gt;"",IF(INDEX('TH CANAM'!$A$9:$BF$63,MATCH(H173,'TH CANAM'!$A$9:$A$63,0),54)&lt;&gt;"",INDEX('TH CANAM'!$A$9:$BF$63,MATCH(H173,'TH CANAM'!$A$9:$A$63,0),54),"/"),"")</f>
        <v>/</v>
      </c>
      <c r="M192" s="88"/>
      <c r="N192" s="79" t="s">
        <v>210</v>
      </c>
      <c r="O192" s="82" t="s">
        <v>37</v>
      </c>
      <c r="P192" s="35" t="str">
        <f>IF(N173&lt;&gt;"",IF(INDEX('TH CANAM'!$A$9:$BF$63,MATCH(N173,'TH CANAM'!$A$9:$A$63,0),52)&lt;&gt;"",INDEX('TH CANAM'!$A$9:$BF$63,MATCH(N173,'TH CANAM'!$A$9:$A$63,0),52),"/"),"")</f>
        <v>Tốt</v>
      </c>
      <c r="Q192" s="35" t="str">
        <f>IF(N173&lt;&gt;"",IF(INDEX('TH CANAM'!$A$9:$BF$63,MATCH(N173,'TH CANAM'!$A$9:$A$63,0),53)&lt;&gt;"",INDEX('TH CANAM'!$A$9:$BF$63,MATCH(N173,'TH CANAM'!$A$9:$A$63,0),53),"/"),"")</f>
        <v>/</v>
      </c>
      <c r="R192" s="35" t="str">
        <f>IF(N173&lt;&gt;"",IF(INDEX('TH CANAM'!$A$9:$BF$63,MATCH(N173,'TH CANAM'!$A$9:$A$63,0),54)&lt;&gt;"",INDEX('TH CANAM'!$A$9:$BF$63,MATCH(N173,'TH CANAM'!$A$9:$A$63,0),54),"/"),"")</f>
        <v>/</v>
      </c>
      <c r="S192" s="88"/>
    </row>
    <row r="193" spans="1:19" ht="15.6" customHeight="1">
      <c r="A193" s="88"/>
      <c r="B193" s="79" t="s">
        <v>211</v>
      </c>
      <c r="C193" s="82" t="s">
        <v>25</v>
      </c>
      <c r="D193" s="35" t="str">
        <f>IF(B173&lt;&gt;"",IF(INDEX('TH CANAM'!$A$9:$BF$63,MATCH(B173,'TH CANAM'!$A$9:$A$63,0),57)&lt;&gt;"",INDEX('TH CANAM'!$A$9:$BF$63,MATCH(B173,'TH CANAM'!$A$9:$A$63,0),57),"/"),"")</f>
        <v>HSG</v>
      </c>
      <c r="E193" s="35" t="str">
        <f>IF(B173&lt;&gt;"",IF(INDEX('TH CANAM'!$A$9:$BF$63,MATCH(B173,'TH CANAM'!$A$9:$A$63,0),58)&lt;&gt;"",INDEX('TH CANAM'!$A$9:$BF$63,MATCH(B173,'TH CANAM'!$A$9:$A$63,0),58),"/"),"")</f>
        <v>/</v>
      </c>
      <c r="F193" s="35" t="str">
        <f>IF(B173&lt;&gt;"",IF(INDEX('TH CANAM'!$A$9:$BF$63,MATCH(B173,'TH CANAM'!$A$9:$A$63,0),55)&lt;&gt;"",INDEX('TH CANAM'!$A$9:$BF$63,MATCH(B173,'TH CANAM'!$A$9:$A$63,0),55),"/"),"")</f>
        <v>/</v>
      </c>
      <c r="G193" s="88"/>
      <c r="H193" s="79" t="s">
        <v>211</v>
      </c>
      <c r="I193" s="82" t="s">
        <v>25</v>
      </c>
      <c r="J193" s="35" t="str">
        <f>IF(H173&lt;&gt;"",IF(INDEX('TH CANAM'!$A$9:$BF$63,MATCH(H173,'TH CANAM'!$A$9:$A$63,0),57)&lt;&gt;"",INDEX('TH CANAM'!$A$9:$BF$63,MATCH(H173,'TH CANAM'!$A$9:$A$63,0),57),"/"),"")</f>
        <v>HSG</v>
      </c>
      <c r="K193" s="35" t="str">
        <f>IF(H173&lt;&gt;"",IF(INDEX('TH CANAM'!$A$9:$BF$63,MATCH(H173,'TH CANAM'!$A$9:$A$63,0),58)&lt;&gt;"",INDEX('TH CANAM'!$A$9:$BF$63,MATCH(H173,'TH CANAM'!$A$9:$A$63,0),58),"/"),"")</f>
        <v>/</v>
      </c>
      <c r="L193" s="35" t="str">
        <f>IF(H173&lt;&gt;"",IF(INDEX('TH CANAM'!$A$9:$BF$63,MATCH(H173,'TH CANAM'!$A$9:$A$63,0),55)&lt;&gt;"",INDEX('TH CANAM'!$A$9:$BF$63,MATCH(H173,'TH CANAM'!$A$9:$A$63,0),55),"/"),"")</f>
        <v>/</v>
      </c>
      <c r="M193" s="88"/>
      <c r="N193" s="79" t="s">
        <v>211</v>
      </c>
      <c r="O193" s="82" t="s">
        <v>25</v>
      </c>
      <c r="P193" s="35" t="str">
        <f>IF(N173&lt;&gt;"",IF(INDEX('TH CANAM'!$A$9:$BF$63,MATCH(N173,'TH CANAM'!$A$9:$A$63,0),57)&lt;&gt;"",INDEX('TH CANAM'!$A$9:$BF$63,MATCH(N173,'TH CANAM'!$A$9:$A$63,0),57),"/"),"")</f>
        <v>HSG</v>
      </c>
      <c r="Q193" s="35" t="str">
        <f>IF(N173&lt;&gt;"",IF(INDEX('TH CANAM'!$A$9:$BF$63,MATCH(N173,'TH CANAM'!$A$9:$A$63,0),58)&lt;&gt;"",INDEX('TH CANAM'!$A$9:$BF$63,MATCH(N173,'TH CANAM'!$A$9:$A$63,0),58),"/"),"")</f>
        <v>/</v>
      </c>
      <c r="R193" s="35" t="str">
        <f>IF(N173&lt;&gt;"",IF(INDEX('TH CANAM'!$A$9:$BF$63,MATCH(N173,'TH CANAM'!$A$9:$A$63,0),55)&lt;&gt;"",INDEX('TH CANAM'!$A$9:$BF$63,MATCH(N173,'TH CANAM'!$A$9:$A$63,0),55),"/"),"")</f>
        <v>/</v>
      </c>
      <c r="S193" s="88"/>
    </row>
    <row r="194" spans="1:19" s="251" customFormat="1" ht="15.75" customHeight="1">
      <c r="A194" s="89"/>
      <c r="B194" s="1146" t="s">
        <v>219</v>
      </c>
      <c r="C194" s="1147"/>
      <c r="D194" s="1147"/>
      <c r="E194" s="1147"/>
      <c r="F194" s="1148"/>
      <c r="G194" s="89"/>
      <c r="H194" s="1146" t="s">
        <v>219</v>
      </c>
      <c r="I194" s="1147"/>
      <c r="J194" s="1147"/>
      <c r="K194" s="1147"/>
      <c r="L194" s="1148"/>
      <c r="M194" s="89"/>
      <c r="N194" s="1146" t="s">
        <v>219</v>
      </c>
      <c r="O194" s="1147"/>
      <c r="P194" s="1147"/>
      <c r="Q194" s="1147"/>
      <c r="R194" s="1148"/>
      <c r="S194" s="89"/>
    </row>
    <row r="195" spans="1:19" s="251" customFormat="1" ht="15.6" customHeight="1">
      <c r="A195" s="89"/>
      <c r="B195" s="1143" t="str">
        <f>IF(B173&lt;&gt;"",IF(INDEX(BDHK2,MATCH(B173,DiemHKII!$B$4:$B$58,0),137)&lt;&gt;""," - "&amp;INDEX(BDHK2,MATCH(B173,DiemHKII!$B$4:$B$58,0),137),""),"")</f>
        <v/>
      </c>
      <c r="C195" s="1144"/>
      <c r="D195" s="1144"/>
      <c r="E195" s="1144"/>
      <c r="F195" s="1145"/>
      <c r="G195" s="89"/>
      <c r="H195" s="1143" t="str">
        <f>IF(H173&lt;&gt;"",IF(INDEX(BDHK2,MATCH(H173,DiemHKII!$B$4:$B$58,0),137)&lt;&gt;""," - "&amp;INDEX(BDHK2,MATCH(H173,DiemHKII!$B$4:$B$58,0),137),""),"")</f>
        <v/>
      </c>
      <c r="I195" s="1144"/>
      <c r="J195" s="1144"/>
      <c r="K195" s="1144"/>
      <c r="L195" s="1145"/>
      <c r="M195" s="89"/>
      <c r="N195" s="1143" t="str">
        <f>IF(N173&lt;&gt;"",IF(INDEX(BDHK2,MATCH(N173,DiemHKII!$B$4:$B$58,0),137)&lt;&gt;""," - "&amp;INDEX(BDHK2,MATCH(N173,DiemHKII!$B$4:$B$58,0),137),""),"")</f>
        <v/>
      </c>
      <c r="O195" s="1144"/>
      <c r="P195" s="1144"/>
      <c r="Q195" s="1144"/>
      <c r="R195" s="1145"/>
      <c r="S195" s="89"/>
    </row>
    <row r="196" spans="1:19" s="251" customFormat="1" ht="15.6" customHeight="1">
      <c r="A196" s="89"/>
      <c r="B196" s="1143" t="str">
        <f>IF(B173&lt;&gt;"",IF(INDEX(BDHK2,MATCH(B173,DiemHKII!$B$4:$B$58,0),138)&lt;&gt;""," - "&amp;INDEX(BDHK2,MATCH(B173,DiemHKII!$B$4:$B$58,0),138),""),"")</f>
        <v/>
      </c>
      <c r="C196" s="1144"/>
      <c r="D196" s="1144"/>
      <c r="E196" s="1144"/>
      <c r="F196" s="1145"/>
      <c r="G196" s="89"/>
      <c r="H196" s="1143" t="str">
        <f>IF(H173&lt;&gt;"",IF(INDEX(BDHK2,MATCH(H173,DiemHKII!$B$4:$B$58,0),138)&lt;&gt;""," - "&amp;INDEX(BDHK2,MATCH(H173,DiemHKII!$B$4:$B$58,0),138),""),"")</f>
        <v/>
      </c>
      <c r="I196" s="1144"/>
      <c r="J196" s="1144"/>
      <c r="K196" s="1144"/>
      <c r="L196" s="1145"/>
      <c r="M196" s="89"/>
      <c r="N196" s="1143" t="str">
        <f>IF(N173&lt;&gt;"",IF(INDEX(BDHK2,MATCH(N173,DiemHKII!$B$4:$B$58,0),138)&lt;&gt;""," - "&amp;INDEX(BDHK2,MATCH(N173,DiemHKII!$B$4:$B$58,0),138),""),"")</f>
        <v/>
      </c>
      <c r="O196" s="1144"/>
      <c r="P196" s="1144"/>
      <c r="Q196" s="1144"/>
      <c r="R196" s="1145"/>
      <c r="S196" s="89"/>
    </row>
    <row r="197" spans="1:19" s="251" customFormat="1" ht="15.6" customHeight="1">
      <c r="A197" s="89"/>
      <c r="B197" s="1143" t="str">
        <f>IF(B173&lt;&gt;"",IF(INDEX(BDHK2,MATCH(B173,DiemHKII!$B$4:$B$58,0),139)&lt;&gt;""," - "&amp;INDEX(BDHK2,MATCH(B173,DiemHKII!$B$4:$B$58,0),139),""),"")</f>
        <v/>
      </c>
      <c r="C197" s="1144"/>
      <c r="D197" s="1144"/>
      <c r="E197" s="1144"/>
      <c r="F197" s="1145"/>
      <c r="G197" s="89"/>
      <c r="H197" s="1143" t="str">
        <f>IF(H173&lt;&gt;"",IF(INDEX(BDHK2,MATCH(H173,DiemHKII!$B$4:$B$58,0),139)&lt;&gt;""," - "&amp;INDEX(BDHK2,MATCH(H173,DiemHKII!$B$4:$B$58,0),139),""),"")</f>
        <v/>
      </c>
      <c r="I197" s="1144"/>
      <c r="J197" s="1144"/>
      <c r="K197" s="1144"/>
      <c r="L197" s="1145"/>
      <c r="M197" s="89"/>
      <c r="N197" s="1143" t="str">
        <f>IF(N173&lt;&gt;"",IF(INDEX(BDHK2,MATCH(N173,DiemHKII!$B$4:$B$58,0),139)&lt;&gt;""," - "&amp;INDEX(BDHK2,MATCH(N173,DiemHKII!$B$4:$B$58,0),139),""),"")</f>
        <v/>
      </c>
      <c r="O197" s="1144"/>
      <c r="P197" s="1144"/>
      <c r="Q197" s="1144"/>
      <c r="R197" s="1145"/>
      <c r="S197" s="89"/>
    </row>
    <row r="198" spans="1:19" s="251" customFormat="1" ht="15.6" customHeight="1">
      <c r="A198" s="89"/>
      <c r="B198" s="1143" t="str">
        <f>IF(B173&lt;&gt;"",IF(INDEX(BDHK2,MATCH(B173,DiemHKII!$B$4:$B$58,0),140)&lt;&gt;""," - "&amp;INDEX(BDHK2,MATCH(B173,DiemHKII!$B$4:$B$58,0),140),""),"")</f>
        <v/>
      </c>
      <c r="C198" s="1144"/>
      <c r="D198" s="1144"/>
      <c r="E198" s="1144"/>
      <c r="F198" s="1145"/>
      <c r="G198" s="89"/>
      <c r="H198" s="1143" t="str">
        <f>IF(H173&lt;&gt;"",IF(INDEX(BDHK2,MATCH(H173,DiemHKII!$B$4:$B$58,0),140)&lt;&gt;""," - "&amp;INDEX(BDHK2,MATCH(H173,DiemHKII!$B$4:$B$58,0),140),""),"")</f>
        <v/>
      </c>
      <c r="I198" s="1144"/>
      <c r="J198" s="1144"/>
      <c r="K198" s="1144"/>
      <c r="L198" s="1145"/>
      <c r="M198" s="89"/>
      <c r="N198" s="1143" t="str">
        <f>IF(N173&lt;&gt;"",IF(INDEX(BDHK2,MATCH(N173,DiemHKII!$B$4:$B$58,0),140)&lt;&gt;""," - "&amp;INDEX(BDHK2,MATCH(N173,DiemHKII!$B$4:$B$58,0),140),""),"")</f>
        <v/>
      </c>
      <c r="O198" s="1144"/>
      <c r="P198" s="1144"/>
      <c r="Q198" s="1144"/>
      <c r="R198" s="1145"/>
      <c r="S198" s="89"/>
    </row>
    <row r="199" spans="1:19" ht="8.25" customHeight="1">
      <c r="A199" s="88"/>
      <c r="B199" s="83"/>
      <c r="C199" s="84"/>
      <c r="D199" s="84"/>
      <c r="E199" s="84"/>
      <c r="F199" s="85"/>
      <c r="G199" s="88"/>
      <c r="H199" s="83"/>
      <c r="I199" s="84"/>
      <c r="J199" s="84"/>
      <c r="K199" s="84"/>
      <c r="L199" s="85"/>
      <c r="M199" s="88"/>
      <c r="N199" s="83"/>
      <c r="O199" s="84"/>
      <c r="P199" s="84"/>
      <c r="Q199" s="84"/>
      <c r="R199" s="85"/>
      <c r="S199" s="88"/>
    </row>
    <row r="200" spans="1:19" ht="6.75" customHeight="1">
      <c r="A200" s="88"/>
      <c r="B200" s="87"/>
      <c r="C200" s="87"/>
      <c r="D200" s="1135"/>
      <c r="E200" s="1135"/>
      <c r="F200" s="1135"/>
      <c r="G200" s="88"/>
      <c r="H200" s="87"/>
      <c r="I200" s="87"/>
      <c r="J200" s="1135"/>
      <c r="K200" s="1135"/>
      <c r="L200" s="1135"/>
      <c r="M200" s="88"/>
      <c r="N200" s="87"/>
      <c r="O200" s="87"/>
      <c r="P200" s="1135"/>
      <c r="Q200" s="1135"/>
      <c r="R200" s="1135"/>
      <c r="S200" s="88"/>
    </row>
    <row r="201" spans="1:19" ht="18" customHeight="1">
      <c r="A201" s="88"/>
      <c r="B201" s="477">
        <f>IF(N173="","",IF(N173&lt;MAX(DiemHKII!$B$4:$B$58),N173+1,""))</f>
        <v>22</v>
      </c>
      <c r="C201" s="1140" t="str">
        <f>IF(B201="","",INDEX(DiemHKII!$E$4:$E$58,MATCH(B201,DiemHKII!$B$4:$B$58,0),1)&amp;" "&amp;INDEX(DiemHKII!$F$4:$F$58,MATCH(B201,DiemHKII!$B$4:$B$58,0),1))</f>
        <v>Phạm Thị Khả  My</v>
      </c>
      <c r="D201" s="1141"/>
      <c r="E201" s="1142"/>
      <c r="F201" s="86" t="str">
        <f>IF('Huong dan'!$C$3="","",'Huong dan'!$C$3)</f>
        <v>12A1</v>
      </c>
      <c r="G201" s="88"/>
      <c r="H201" s="477">
        <f>IF(B201="","",IF(B201&lt;MAX(DiemHKII!$B$4:$B$58),B201+1,""))</f>
        <v>23</v>
      </c>
      <c r="I201" s="1140" t="str">
        <f>IF(H201="","",INDEX(DiemHKII!$E$4:$E$58,MATCH(H201,DiemHKII!$B$4:$B$58,0),1)&amp;" "&amp;INDEX(DiemHKII!$F$4:$F$58,MATCH(H201,DiemHKII!$B$4:$B$58,0),1))</f>
        <v>Lê Na</v>
      </c>
      <c r="J201" s="1141"/>
      <c r="K201" s="1142"/>
      <c r="L201" s="86" t="str">
        <f>IF('Huong dan'!$C$3="","",'Huong dan'!$C$3)</f>
        <v>12A1</v>
      </c>
      <c r="M201" s="88"/>
      <c r="N201" s="477">
        <f>IF(H201="","",IF(H201&lt;MAX(DiemHKII!$B$4:$B$58),H201+1,""))</f>
        <v>24</v>
      </c>
      <c r="O201" s="1140" t="str">
        <f>IF(N201="","",INDEX(DiemHKII!$E$4:$E$58,MATCH(N201,DiemHKII!$B$4:$B$58,0),1)&amp;" "&amp;INDEX(DiemHKII!$F$4:$F$58,MATCH(N201,DiemHKII!$B$4:$B$58,0),1))</f>
        <v>Quách Tống Minh Nhật</v>
      </c>
      <c r="P201" s="1141"/>
      <c r="Q201" s="1142"/>
      <c r="R201" s="86" t="str">
        <f>IF('Huong dan'!$C$3="","",'Huong dan'!$C$3)</f>
        <v>12A1</v>
      </c>
      <c r="S201" s="88"/>
    </row>
    <row r="202" spans="1:19" ht="18.75" customHeight="1">
      <c r="A202" s="88"/>
      <c r="B202" s="1136" t="str">
        <f>" Sinh ngày: "&amp;IF(B201="","",INDEX(DiemHKII!$G$4:$G$58,MATCH(B201,DiemHKII!$B$4:$B$58,0),1))</f>
        <v xml:space="preserve"> Sinh ngày: 28/02/2004</v>
      </c>
      <c r="C202" s="1137"/>
      <c r="D202" s="1137"/>
      <c r="E202" s="1138" t="str">
        <f>IF(B201="","","NS: "&amp;INDEX(DiemHKII!$H$4:$H$58,MATCH(B201,DiemHKII!$B$4:$B$58,0),1))</f>
        <v xml:space="preserve">NS: </v>
      </c>
      <c r="F202" s="1139"/>
      <c r="G202" s="88"/>
      <c r="H202" s="1136" t="str">
        <f>" Sinh ngày: "&amp;IF(H201="","",INDEX(DiemHKII!$G$4:$G$58,MATCH(H201,DiemHKII!$B$4:$B$58,0),1))</f>
        <v xml:space="preserve"> Sinh ngày: 29/02/2004</v>
      </c>
      <c r="I202" s="1137"/>
      <c r="J202" s="1137"/>
      <c r="K202" s="1138" t="str">
        <f>IF(H201="","","NS: "&amp;INDEX(DiemHKII!$H$4:$H$58,MATCH(H201,DiemHKII!$B$4:$B$58,0),1))</f>
        <v xml:space="preserve">NS: </v>
      </c>
      <c r="L202" s="1139"/>
      <c r="M202" s="88"/>
      <c r="N202" s="1136" t="str">
        <f>" Sinh ngày: "&amp;IF(N201="","",INDEX(DiemHKII!$G$4:$G$58,MATCH(N201,DiemHKII!$B$4:$B$58,0),1))</f>
        <v xml:space="preserve"> Sinh ngày: 01/12/2004</v>
      </c>
      <c r="O202" s="1137"/>
      <c r="P202" s="1137"/>
      <c r="Q202" s="1138" t="str">
        <f>IF(N201="","","NS: "&amp;INDEX(DiemHKII!$H$4:$H$58,MATCH(N201,DiemHKII!$B$4:$B$58,0),1))</f>
        <v xml:space="preserve">NS: </v>
      </c>
      <c r="R202" s="1139"/>
      <c r="S202" s="88"/>
    </row>
    <row r="203" spans="1:19" ht="15.75" customHeight="1">
      <c r="A203" s="88"/>
      <c r="B203" s="381" t="s">
        <v>0</v>
      </c>
      <c r="C203" s="381" t="s">
        <v>59</v>
      </c>
      <c r="D203" s="381" t="s">
        <v>73</v>
      </c>
      <c r="E203" s="381" t="s">
        <v>176</v>
      </c>
      <c r="F203" s="381" t="s">
        <v>98</v>
      </c>
      <c r="G203" s="88"/>
      <c r="H203" s="381" t="s">
        <v>0</v>
      </c>
      <c r="I203" s="381" t="s">
        <v>59</v>
      </c>
      <c r="J203" s="381" t="s">
        <v>73</v>
      </c>
      <c r="K203" s="381" t="s">
        <v>176</v>
      </c>
      <c r="L203" s="381" t="s">
        <v>98</v>
      </c>
      <c r="M203" s="88"/>
      <c r="N203" s="381" t="s">
        <v>0</v>
      </c>
      <c r="O203" s="381" t="s">
        <v>59</v>
      </c>
      <c r="P203" s="381" t="s">
        <v>73</v>
      </c>
      <c r="Q203" s="381" t="s">
        <v>176</v>
      </c>
      <c r="R203" s="381" t="s">
        <v>98</v>
      </c>
      <c r="S203" s="88"/>
    </row>
    <row r="204" spans="1:19" ht="15.6" customHeight="1">
      <c r="A204" s="88"/>
      <c r="B204" s="79" t="s">
        <v>191</v>
      </c>
      <c r="C204" s="81" t="s">
        <v>26</v>
      </c>
      <c r="D204" s="35">
        <f>IF(B201&lt;&gt;"",IF(INDEX(BDHK2,MATCH(B201,DiemHKII!$B$4:$B$58,0),INDEX($Y$7:$AB$20,MATCH(C204,$Y$7:$Y$20,0),$Z$6))&lt;&gt;"",INDEX(BDHK2,MATCH(B201,DiemHKII!$B$4:$B$58,0),INDEX($Y$7:$AB$20,MATCH(C204,$Y$7:$Y$20,0),$Z$6)),"/"),"")</f>
        <v>9.5</v>
      </c>
      <c r="E204" s="35" t="str">
        <f>IF(B201&lt;&gt;"",IF(INDEX(BDHK2,MATCH(B201,DiemHKII!$B$4:$B$58,0),INDEX($Y$7:$AB$20,MATCH(C204,$Y$7:$Y$20,0),$AA$6))&lt;&gt;"",INDEX(BDHK2,MATCH(B201,DiemHKII!$B$4:$B$58,0),INDEX($Y$7:$AB$20,MATCH(C204,$Y$7:$Y$20,0),$AA$6)),"/"),"")</f>
        <v>/</v>
      </c>
      <c r="F204" s="35" t="str">
        <f>IF(B201&lt;&gt;"",IF(INDEX(BDHK2,MATCH(B201,DiemHKII!$B$4:$B$58,0),INDEX($Y$7:$AB$20,MATCH(C204,$Y$7:$Y$20,0),$AB$6))&lt;&gt;"",INDEX(BDHK2,MATCH(B201,DiemHKII!$B$4:$B$58,0),INDEX($Y$7:$AB$20,MATCH(C204,$Y$7:$Y$20,0),$AB$6)),"/"),"")</f>
        <v>/</v>
      </c>
      <c r="G204" s="88"/>
      <c r="H204" s="79" t="s">
        <v>191</v>
      </c>
      <c r="I204" s="81" t="s">
        <v>26</v>
      </c>
      <c r="J204" s="35">
        <f>IF(H201&lt;&gt;"",IF(INDEX(BDHK2,MATCH(H201,DiemHKII!$B$4:$B$58,0),INDEX($Y$7:$AB$20,MATCH(I204,$Y$7:$Y$20,0),$Z$6))&lt;&gt;"",INDEX(BDHK2,MATCH(H201,DiemHKII!$B$4:$B$58,0),INDEX($Y$7:$AB$20,MATCH(I204,$Y$7:$Y$20,0),$Z$6)),"/"),"")</f>
        <v>9.4</v>
      </c>
      <c r="K204" s="35" t="str">
        <f>IF(H201&lt;&gt;"",IF(INDEX(BDHK2,MATCH(H201,DiemHKII!$B$4:$B$58,0),INDEX($Y$7:$AB$20,MATCH(I204,$Y$7:$Y$20,0),$AA$6))&lt;&gt;"",INDEX(BDHK2,MATCH(H201,DiemHKII!$B$4:$B$58,0),INDEX($Y$7:$AB$20,MATCH(I204,$Y$7:$Y$20,0),$AA$6)),"/"),"")</f>
        <v>/</v>
      </c>
      <c r="L204" s="35" t="str">
        <f>IF(H201&lt;&gt;"",IF(INDEX(BDHK2,MATCH(H201,DiemHKII!$B$4:$B$58,0),INDEX($Y$7:$AB$20,MATCH(I204,$Y$7:$Y$20,0),$AB$6))&lt;&gt;"",INDEX(BDHK2,MATCH(H201,DiemHKII!$B$4:$B$58,0),INDEX($Y$7:$AB$20,MATCH(I204,$Y$7:$Y$20,0),$AB$6)),"/"),"")</f>
        <v>/</v>
      </c>
      <c r="M204" s="88"/>
      <c r="N204" s="79" t="s">
        <v>191</v>
      </c>
      <c r="O204" s="81" t="s">
        <v>26</v>
      </c>
      <c r="P204" s="35">
        <f>IF(N201&lt;&gt;"",IF(INDEX(BDHK2,MATCH(N201,DiemHKII!$B$4:$B$58,0),INDEX($Y$7:$AB$20,MATCH(O204,$Y$7:$Y$20,0),$Z$6))&lt;&gt;"",INDEX(BDHK2,MATCH(N201,DiemHKII!$B$4:$B$58,0),INDEX($Y$7:$AB$20,MATCH(O204,$Y$7:$Y$20,0),$Z$6)),"/"),"")</f>
        <v>9.3000000000000007</v>
      </c>
      <c r="Q204" s="35" t="str">
        <f>IF(N201&lt;&gt;"",IF(INDEX(BDHK2,MATCH(N201,DiemHKII!$B$4:$B$58,0),INDEX($Y$7:$AB$20,MATCH(O204,$Y$7:$Y$20,0),$AA$6))&lt;&gt;"",INDEX(BDHK2,MATCH(N201,DiemHKII!$B$4:$B$58,0),INDEX($Y$7:$AB$20,MATCH(O204,$Y$7:$Y$20,0),$AA$6)),"/"),"")</f>
        <v>/</v>
      </c>
      <c r="R204" s="35" t="str">
        <f>IF(N201&lt;&gt;"",IF(INDEX(BDHK2,MATCH(N201,DiemHKII!$B$4:$B$58,0),INDEX($Y$7:$AB$20,MATCH(O204,$Y$7:$Y$20,0),$AB$6))&lt;&gt;"",INDEX(BDHK2,MATCH(N201,DiemHKII!$B$4:$B$58,0),INDEX($Y$7:$AB$20,MATCH(O204,$Y$7:$Y$20,0),$AB$6)),"/"),"")</f>
        <v>/</v>
      </c>
      <c r="S204" s="88"/>
    </row>
    <row r="205" spans="1:19" ht="15.6" customHeight="1">
      <c r="A205" s="88"/>
      <c r="B205" s="79" t="s">
        <v>192</v>
      </c>
      <c r="C205" s="81" t="s">
        <v>27</v>
      </c>
      <c r="D205" s="35">
        <f>IF(B201&lt;&gt;"",IF(INDEX(BDHK2,MATCH(B201,DiemHKII!$B$4:$B$58,0),INDEX($Y$7:$AB$20,MATCH(C205,$Y$7:$Y$20,0),$Z$6))&lt;&gt;"",INDEX(BDHK2,MATCH(B201,DiemHKII!$B$4:$B$58,0),INDEX($Y$7:$AB$20,MATCH(C205,$Y$7:$Y$20,0),$Z$6)),"/"),"")</f>
        <v>9.5</v>
      </c>
      <c r="E205" s="35" t="str">
        <f>IF(B201&lt;&gt;"",IF(INDEX(BDHK2,MATCH(B201,DiemHKII!$B$4:$B$58,0),INDEX($Y$7:$AB$20,MATCH(C205,$Y$7:$Y$20,0),$AA$6))&lt;&gt;"",INDEX(BDHK2,MATCH(B201,DiemHKII!$B$4:$B$58,0),INDEX($Y$7:$AB$20,MATCH(C205,$Y$7:$Y$20,0),$AA$6)),"/"),"")</f>
        <v>/</v>
      </c>
      <c r="F205" s="35" t="str">
        <f>IF(B201&lt;&gt;"",IF(INDEX(BDHK2,MATCH(B201,DiemHKII!$B$4:$B$58,0),INDEX($Y$7:$AB$20,MATCH(C205,$Y$7:$Y$20,0),$AB$6))&lt;&gt;"",INDEX(BDHK2,MATCH(B201,DiemHKII!$B$4:$B$58,0),INDEX($Y$7:$AB$20,MATCH(C205,$Y$7:$Y$20,0),$AB$6)),"/"),"")</f>
        <v>/</v>
      </c>
      <c r="G205" s="88"/>
      <c r="H205" s="79" t="s">
        <v>192</v>
      </c>
      <c r="I205" s="81" t="s">
        <v>27</v>
      </c>
      <c r="J205" s="35">
        <f>IF(H201&lt;&gt;"",IF(INDEX(BDHK2,MATCH(H201,DiemHKII!$B$4:$B$58,0),INDEX($Y$7:$AB$20,MATCH(I205,$Y$7:$Y$20,0),$Z$6))&lt;&gt;"",INDEX(BDHK2,MATCH(H201,DiemHKII!$B$4:$B$58,0),INDEX($Y$7:$AB$20,MATCH(I205,$Y$7:$Y$20,0),$Z$6)),"/"),"")</f>
        <v>9.6999999999999993</v>
      </c>
      <c r="K205" s="35" t="str">
        <f>IF(H201&lt;&gt;"",IF(INDEX(BDHK2,MATCH(H201,DiemHKII!$B$4:$B$58,0),INDEX($Y$7:$AB$20,MATCH(I205,$Y$7:$Y$20,0),$AA$6))&lt;&gt;"",INDEX(BDHK2,MATCH(H201,DiemHKII!$B$4:$B$58,0),INDEX($Y$7:$AB$20,MATCH(I205,$Y$7:$Y$20,0),$AA$6)),"/"),"")</f>
        <v>/</v>
      </c>
      <c r="L205" s="35" t="str">
        <f>IF(H201&lt;&gt;"",IF(INDEX(BDHK2,MATCH(H201,DiemHKII!$B$4:$B$58,0),INDEX($Y$7:$AB$20,MATCH(I205,$Y$7:$Y$20,0),$AB$6))&lt;&gt;"",INDEX(BDHK2,MATCH(H201,DiemHKII!$B$4:$B$58,0),INDEX($Y$7:$AB$20,MATCH(I205,$Y$7:$Y$20,0),$AB$6)),"/"),"")</f>
        <v>/</v>
      </c>
      <c r="M205" s="88"/>
      <c r="N205" s="79" t="s">
        <v>192</v>
      </c>
      <c r="O205" s="81" t="s">
        <v>27</v>
      </c>
      <c r="P205" s="35">
        <f>IF(N201&lt;&gt;"",IF(INDEX(BDHK2,MATCH(N201,DiemHKII!$B$4:$B$58,0),INDEX($Y$7:$AB$20,MATCH(O205,$Y$7:$Y$20,0),$Z$6))&lt;&gt;"",INDEX(BDHK2,MATCH(N201,DiemHKII!$B$4:$B$58,0),INDEX($Y$7:$AB$20,MATCH(O205,$Y$7:$Y$20,0),$Z$6)),"/"),"")</f>
        <v>9.1999999999999993</v>
      </c>
      <c r="Q205" s="35" t="str">
        <f>IF(N201&lt;&gt;"",IF(INDEX(BDHK2,MATCH(N201,DiemHKII!$B$4:$B$58,0),INDEX($Y$7:$AB$20,MATCH(O205,$Y$7:$Y$20,0),$AA$6))&lt;&gt;"",INDEX(BDHK2,MATCH(N201,DiemHKII!$B$4:$B$58,0),INDEX($Y$7:$AB$20,MATCH(O205,$Y$7:$Y$20,0),$AA$6)),"/"),"")</f>
        <v>/</v>
      </c>
      <c r="R205" s="35" t="str">
        <f>IF(N201&lt;&gt;"",IF(INDEX(BDHK2,MATCH(N201,DiemHKII!$B$4:$B$58,0),INDEX($Y$7:$AB$20,MATCH(O205,$Y$7:$Y$20,0),$AB$6))&lt;&gt;"",INDEX(BDHK2,MATCH(N201,DiemHKII!$B$4:$B$58,0),INDEX($Y$7:$AB$20,MATCH(O205,$Y$7:$Y$20,0),$AB$6)),"/"),"")</f>
        <v>/</v>
      </c>
      <c r="S205" s="88"/>
    </row>
    <row r="206" spans="1:19" ht="15.6" customHeight="1">
      <c r="A206" s="88"/>
      <c r="B206" s="79" t="s">
        <v>193</v>
      </c>
      <c r="C206" s="81" t="s">
        <v>28</v>
      </c>
      <c r="D206" s="35">
        <f>IF(B201&lt;&gt;"",IF(INDEX(BDHK2,MATCH(B201,DiemHKII!$B$4:$B$58,0),INDEX($Y$7:$AB$20,MATCH(C206,$Y$7:$Y$20,0),$Z$6))&lt;&gt;"",INDEX(BDHK2,MATCH(B201,DiemHKII!$B$4:$B$58,0),INDEX($Y$7:$AB$20,MATCH(C206,$Y$7:$Y$20,0),$Z$6)),"/"),"")</f>
        <v>9.4</v>
      </c>
      <c r="E206" s="35" t="str">
        <f>IF(B201&lt;&gt;"",IF(INDEX(BDHK2,MATCH(B201,DiemHKII!$B$4:$B$58,0),INDEX($Y$7:$AB$20,MATCH(C206,$Y$7:$Y$20,0),$AA$6))&lt;&gt;"",INDEX(BDHK2,MATCH(B201,DiemHKII!$B$4:$B$58,0),INDEX($Y$7:$AB$20,MATCH(C206,$Y$7:$Y$20,0),$AA$6)),"/"),"")</f>
        <v>/</v>
      </c>
      <c r="F206" s="35" t="str">
        <f>IF(B201&lt;&gt;"",IF(INDEX(BDHK2,MATCH(B201,DiemHKII!$B$4:$B$58,0),INDEX($Y$7:$AB$20,MATCH(C206,$Y$7:$Y$20,0),$AB$6))&lt;&gt;"",INDEX(BDHK2,MATCH(B201,DiemHKII!$B$4:$B$58,0),INDEX($Y$7:$AB$20,MATCH(C206,$Y$7:$Y$20,0),$AB$6)),"/"),"")</f>
        <v>/</v>
      </c>
      <c r="G206" s="88"/>
      <c r="H206" s="79" t="s">
        <v>193</v>
      </c>
      <c r="I206" s="81" t="s">
        <v>28</v>
      </c>
      <c r="J206" s="35">
        <f>IF(H201&lt;&gt;"",IF(INDEX(BDHK2,MATCH(H201,DiemHKII!$B$4:$B$58,0),INDEX($Y$7:$AB$20,MATCH(I206,$Y$7:$Y$20,0),$Z$6))&lt;&gt;"",INDEX(BDHK2,MATCH(H201,DiemHKII!$B$4:$B$58,0),INDEX($Y$7:$AB$20,MATCH(I206,$Y$7:$Y$20,0),$Z$6)),"/"),"")</f>
        <v>9</v>
      </c>
      <c r="K206" s="35" t="str">
        <f>IF(H201&lt;&gt;"",IF(INDEX(BDHK2,MATCH(H201,DiemHKII!$B$4:$B$58,0),INDEX($Y$7:$AB$20,MATCH(I206,$Y$7:$Y$20,0),$AA$6))&lt;&gt;"",INDEX(BDHK2,MATCH(H201,DiemHKII!$B$4:$B$58,0),INDEX($Y$7:$AB$20,MATCH(I206,$Y$7:$Y$20,0),$AA$6)),"/"),"")</f>
        <v>/</v>
      </c>
      <c r="L206" s="35" t="str">
        <f>IF(H201&lt;&gt;"",IF(INDEX(BDHK2,MATCH(H201,DiemHKII!$B$4:$B$58,0),INDEX($Y$7:$AB$20,MATCH(I206,$Y$7:$Y$20,0),$AB$6))&lt;&gt;"",INDEX(BDHK2,MATCH(H201,DiemHKII!$B$4:$B$58,0),INDEX($Y$7:$AB$20,MATCH(I206,$Y$7:$Y$20,0),$AB$6)),"/"),"")</f>
        <v>/</v>
      </c>
      <c r="M206" s="88"/>
      <c r="N206" s="79" t="s">
        <v>193</v>
      </c>
      <c r="O206" s="81" t="s">
        <v>28</v>
      </c>
      <c r="P206" s="35">
        <f>IF(N201&lt;&gt;"",IF(INDEX(BDHK2,MATCH(N201,DiemHKII!$B$4:$B$58,0),INDEX($Y$7:$AB$20,MATCH(O206,$Y$7:$Y$20,0),$Z$6))&lt;&gt;"",INDEX(BDHK2,MATCH(N201,DiemHKII!$B$4:$B$58,0),INDEX($Y$7:$AB$20,MATCH(O206,$Y$7:$Y$20,0),$Z$6)),"/"),"")</f>
        <v>8.9</v>
      </c>
      <c r="Q206" s="35" t="str">
        <f>IF(N201&lt;&gt;"",IF(INDEX(BDHK2,MATCH(N201,DiemHKII!$B$4:$B$58,0),INDEX($Y$7:$AB$20,MATCH(O206,$Y$7:$Y$20,0),$AA$6))&lt;&gt;"",INDEX(BDHK2,MATCH(N201,DiemHKII!$B$4:$B$58,0),INDEX($Y$7:$AB$20,MATCH(O206,$Y$7:$Y$20,0),$AA$6)),"/"),"")</f>
        <v>/</v>
      </c>
      <c r="R206" s="35" t="str">
        <f>IF(N201&lt;&gt;"",IF(INDEX(BDHK2,MATCH(N201,DiemHKII!$B$4:$B$58,0),INDEX($Y$7:$AB$20,MATCH(O206,$Y$7:$Y$20,0),$AB$6))&lt;&gt;"",INDEX(BDHK2,MATCH(N201,DiemHKII!$B$4:$B$58,0),INDEX($Y$7:$AB$20,MATCH(O206,$Y$7:$Y$20,0),$AB$6)),"/"),"")</f>
        <v>/</v>
      </c>
      <c r="S206" s="88"/>
    </row>
    <row r="207" spans="1:19" ht="15.6" customHeight="1">
      <c r="A207" s="88"/>
      <c r="B207" s="79" t="s">
        <v>194</v>
      </c>
      <c r="C207" s="81" t="s">
        <v>29</v>
      </c>
      <c r="D207" s="35">
        <f>IF(B201&lt;&gt;"",IF(INDEX(BDHK2,MATCH(B201,DiemHKII!$B$4:$B$58,0),INDEX($Y$7:$AB$20,MATCH(C207,$Y$7:$Y$20,0),$Z$6))&lt;&gt;"",INDEX(BDHK2,MATCH(B201,DiemHKII!$B$4:$B$58,0),INDEX($Y$7:$AB$20,MATCH(C207,$Y$7:$Y$20,0),$Z$6)),"/"),"")</f>
        <v>9.5</v>
      </c>
      <c r="E207" s="35" t="str">
        <f>IF(B201&lt;&gt;"",IF(INDEX(BDHK2,MATCH(B201,DiemHKII!$B$4:$B$58,0),INDEX($Y$7:$AB$20,MATCH(C207,$Y$7:$Y$20,0),$AA$6))&lt;&gt;"",INDEX(BDHK2,MATCH(B201,DiemHKII!$B$4:$B$58,0),INDEX($Y$7:$AB$20,MATCH(C207,$Y$7:$Y$20,0),$AA$6)),"/"),"")</f>
        <v>/</v>
      </c>
      <c r="F207" s="35" t="str">
        <f>IF(B201&lt;&gt;"",IF(INDEX(BDHK2,MATCH(B201,DiemHKII!$B$4:$B$58,0),INDEX($Y$7:$AB$20,MATCH(C207,$Y$7:$Y$20,0),$AB$6))&lt;&gt;"",INDEX(BDHK2,MATCH(B201,DiemHKII!$B$4:$B$58,0),INDEX($Y$7:$AB$20,MATCH(C207,$Y$7:$Y$20,0),$AB$6)),"/"),"")</f>
        <v>/</v>
      </c>
      <c r="G207" s="88"/>
      <c r="H207" s="79" t="s">
        <v>194</v>
      </c>
      <c r="I207" s="81" t="s">
        <v>29</v>
      </c>
      <c r="J207" s="35">
        <f>IF(H201&lt;&gt;"",IF(INDEX(BDHK2,MATCH(H201,DiemHKII!$B$4:$B$58,0),INDEX($Y$7:$AB$20,MATCH(I207,$Y$7:$Y$20,0),$Z$6))&lt;&gt;"",INDEX(BDHK2,MATCH(H201,DiemHKII!$B$4:$B$58,0),INDEX($Y$7:$AB$20,MATCH(I207,$Y$7:$Y$20,0),$Z$6)),"/"),"")</f>
        <v>9.1</v>
      </c>
      <c r="K207" s="35" t="str">
        <f>IF(H201&lt;&gt;"",IF(INDEX(BDHK2,MATCH(H201,DiemHKII!$B$4:$B$58,0),INDEX($Y$7:$AB$20,MATCH(I207,$Y$7:$Y$20,0),$AA$6))&lt;&gt;"",INDEX(BDHK2,MATCH(H201,DiemHKII!$B$4:$B$58,0),INDEX($Y$7:$AB$20,MATCH(I207,$Y$7:$Y$20,0),$AA$6)),"/"),"")</f>
        <v>/</v>
      </c>
      <c r="L207" s="35" t="str">
        <f>IF(H201&lt;&gt;"",IF(INDEX(BDHK2,MATCH(H201,DiemHKII!$B$4:$B$58,0),INDEX($Y$7:$AB$20,MATCH(I207,$Y$7:$Y$20,0),$AB$6))&lt;&gt;"",INDEX(BDHK2,MATCH(H201,DiemHKII!$B$4:$B$58,0),INDEX($Y$7:$AB$20,MATCH(I207,$Y$7:$Y$20,0),$AB$6)),"/"),"")</f>
        <v>/</v>
      </c>
      <c r="M207" s="88"/>
      <c r="N207" s="79" t="s">
        <v>194</v>
      </c>
      <c r="O207" s="81" t="s">
        <v>29</v>
      </c>
      <c r="P207" s="35">
        <f>IF(N201&lt;&gt;"",IF(INDEX(BDHK2,MATCH(N201,DiemHKII!$B$4:$B$58,0),INDEX($Y$7:$AB$20,MATCH(O207,$Y$7:$Y$20,0),$Z$6))&lt;&gt;"",INDEX(BDHK2,MATCH(N201,DiemHKII!$B$4:$B$58,0),INDEX($Y$7:$AB$20,MATCH(O207,$Y$7:$Y$20,0),$Z$6)),"/"),"")</f>
        <v>8.4</v>
      </c>
      <c r="Q207" s="35" t="str">
        <f>IF(N201&lt;&gt;"",IF(INDEX(BDHK2,MATCH(N201,DiemHKII!$B$4:$B$58,0),INDEX($Y$7:$AB$20,MATCH(O207,$Y$7:$Y$20,0),$AA$6))&lt;&gt;"",INDEX(BDHK2,MATCH(N201,DiemHKII!$B$4:$B$58,0),INDEX($Y$7:$AB$20,MATCH(O207,$Y$7:$Y$20,0),$AA$6)),"/"),"")</f>
        <v>/</v>
      </c>
      <c r="R207" s="35" t="str">
        <f>IF(N201&lt;&gt;"",IF(INDEX(BDHK2,MATCH(N201,DiemHKII!$B$4:$B$58,0),INDEX($Y$7:$AB$20,MATCH(O207,$Y$7:$Y$20,0),$AB$6))&lt;&gt;"",INDEX(BDHK2,MATCH(N201,DiemHKII!$B$4:$B$58,0),INDEX($Y$7:$AB$20,MATCH(O207,$Y$7:$Y$20,0),$AB$6)),"/"),"")</f>
        <v>/</v>
      </c>
      <c r="S207" s="88"/>
    </row>
    <row r="208" spans="1:19" ht="15.6" customHeight="1">
      <c r="A208" s="88"/>
      <c r="B208" s="79" t="s">
        <v>195</v>
      </c>
      <c r="C208" s="81" t="s">
        <v>120</v>
      </c>
      <c r="D208" s="35">
        <f>IF(B201&lt;&gt;"",IF(INDEX(BDHK2,MATCH(B201,DiemHKII!$B$4:$B$58,0),INDEX($Y$7:$AB$20,MATCH(C208,$Y$7:$Y$20,0),$Z$6))&lt;&gt;"",INDEX(BDHK2,MATCH(B201,DiemHKII!$B$4:$B$58,0),INDEX($Y$7:$AB$20,MATCH(C208,$Y$7:$Y$20,0),$Z$6)),"/"),"")</f>
        <v>9.8000000000000007</v>
      </c>
      <c r="E208" s="35" t="str">
        <f>IF(B201&lt;&gt;"",IF(INDEX(BDHK2,MATCH(B201,DiemHKII!$B$4:$B$58,0),INDEX($Y$7:$AB$20,MATCH(C208,$Y$7:$Y$20,0),$AA$6))&lt;&gt;"",INDEX(BDHK2,MATCH(B201,DiemHKII!$B$4:$B$58,0),INDEX($Y$7:$AB$20,MATCH(C208,$Y$7:$Y$20,0),$AA$6)),"/"),"")</f>
        <v>/</v>
      </c>
      <c r="F208" s="35" t="str">
        <f>IF(B201&lt;&gt;"",IF(INDEX(BDHK2,MATCH(B201,DiemHKII!$B$4:$B$58,0),INDEX($Y$7:$AB$20,MATCH(C208,$Y$7:$Y$20,0),$AB$6))&lt;&gt;"",INDEX(BDHK2,MATCH(B201,DiemHKII!$B$4:$B$58,0),INDEX($Y$7:$AB$20,MATCH(C208,$Y$7:$Y$20,0),$AB$6)),"/"),"")</f>
        <v>/</v>
      </c>
      <c r="G208" s="88"/>
      <c r="H208" s="79" t="s">
        <v>195</v>
      </c>
      <c r="I208" s="81" t="s">
        <v>120</v>
      </c>
      <c r="J208" s="35">
        <f>IF(H201&lt;&gt;"",IF(INDEX(BDHK2,MATCH(H201,DiemHKII!$B$4:$B$58,0),INDEX($Y$7:$AB$20,MATCH(I208,$Y$7:$Y$20,0),$Z$6))&lt;&gt;"",INDEX(BDHK2,MATCH(H201,DiemHKII!$B$4:$B$58,0),INDEX($Y$7:$AB$20,MATCH(I208,$Y$7:$Y$20,0),$Z$6)),"/"),"")</f>
        <v>9.6</v>
      </c>
      <c r="K208" s="35" t="str">
        <f>IF(H201&lt;&gt;"",IF(INDEX(BDHK2,MATCH(H201,DiemHKII!$B$4:$B$58,0),INDEX($Y$7:$AB$20,MATCH(I208,$Y$7:$Y$20,0),$AA$6))&lt;&gt;"",INDEX(BDHK2,MATCH(H201,DiemHKII!$B$4:$B$58,0),INDEX($Y$7:$AB$20,MATCH(I208,$Y$7:$Y$20,0),$AA$6)),"/"),"")</f>
        <v>/</v>
      </c>
      <c r="L208" s="35" t="str">
        <f>IF(H201&lt;&gt;"",IF(INDEX(BDHK2,MATCH(H201,DiemHKII!$B$4:$B$58,0),INDEX($Y$7:$AB$20,MATCH(I208,$Y$7:$Y$20,0),$AB$6))&lt;&gt;"",INDEX(BDHK2,MATCH(H201,DiemHKII!$B$4:$B$58,0),INDEX($Y$7:$AB$20,MATCH(I208,$Y$7:$Y$20,0),$AB$6)),"/"),"")</f>
        <v>/</v>
      </c>
      <c r="M208" s="88"/>
      <c r="N208" s="79" t="s">
        <v>195</v>
      </c>
      <c r="O208" s="81" t="s">
        <v>120</v>
      </c>
      <c r="P208" s="35">
        <f>IF(N201&lt;&gt;"",IF(INDEX(BDHK2,MATCH(N201,DiemHKII!$B$4:$B$58,0),INDEX($Y$7:$AB$20,MATCH(O208,$Y$7:$Y$20,0),$Z$6))&lt;&gt;"",INDEX(BDHK2,MATCH(N201,DiemHKII!$B$4:$B$58,0),INDEX($Y$7:$AB$20,MATCH(O208,$Y$7:$Y$20,0),$Z$6)),"/"),"")</f>
        <v>9.8000000000000007</v>
      </c>
      <c r="Q208" s="35" t="str">
        <f>IF(N201&lt;&gt;"",IF(INDEX(BDHK2,MATCH(N201,DiemHKII!$B$4:$B$58,0),INDEX($Y$7:$AB$20,MATCH(O208,$Y$7:$Y$20,0),$AA$6))&lt;&gt;"",INDEX(BDHK2,MATCH(N201,DiemHKII!$B$4:$B$58,0),INDEX($Y$7:$AB$20,MATCH(O208,$Y$7:$Y$20,0),$AA$6)),"/"),"")</f>
        <v>/</v>
      </c>
      <c r="R208" s="35" t="str">
        <f>IF(N201&lt;&gt;"",IF(INDEX(BDHK2,MATCH(N201,DiemHKII!$B$4:$B$58,0),INDEX($Y$7:$AB$20,MATCH(O208,$Y$7:$Y$20,0),$AB$6))&lt;&gt;"",INDEX(BDHK2,MATCH(N201,DiemHKII!$B$4:$B$58,0),INDEX($Y$7:$AB$20,MATCH(O208,$Y$7:$Y$20,0),$AB$6)),"/"),"")</f>
        <v>/</v>
      </c>
      <c r="S208" s="88"/>
    </row>
    <row r="209" spans="1:19" ht="15.6" customHeight="1">
      <c r="A209" s="88"/>
      <c r="B209" s="79" t="s">
        <v>196</v>
      </c>
      <c r="C209" s="81" t="s">
        <v>30</v>
      </c>
      <c r="D209" s="35">
        <f>IF(B201&lt;&gt;"",IF(INDEX(BDHK2,MATCH(B201,DiemHKII!$B$4:$B$58,0),INDEX($Y$7:$AB$20,MATCH(C209,$Y$7:$Y$20,0),$Z$6))&lt;&gt;"",INDEX(BDHK2,MATCH(B201,DiemHKII!$B$4:$B$58,0),INDEX($Y$7:$AB$20,MATCH(C209,$Y$7:$Y$20,0),$Z$6)),"/"),"")</f>
        <v>7.4</v>
      </c>
      <c r="E209" s="35" t="str">
        <f>IF(B201&lt;&gt;"",IF(INDEX(BDHK2,MATCH(B201,DiemHKII!$B$4:$B$58,0),INDEX($Y$7:$AB$20,MATCH(C209,$Y$7:$Y$20,0),$AA$6))&lt;&gt;"",INDEX(BDHK2,MATCH(B201,DiemHKII!$B$4:$B$58,0),INDEX($Y$7:$AB$20,MATCH(C209,$Y$7:$Y$20,0),$AA$6)),"/"),"")</f>
        <v>/</v>
      </c>
      <c r="F209" s="35" t="str">
        <f>IF(B201&lt;&gt;"",IF(INDEX(BDHK2,MATCH(B201,DiemHKII!$B$4:$B$58,0),INDEX($Y$7:$AB$20,MATCH(C209,$Y$7:$Y$20,0),$AB$6))&lt;&gt;"",INDEX(BDHK2,MATCH(B201,DiemHKII!$B$4:$B$58,0),INDEX($Y$7:$AB$20,MATCH(C209,$Y$7:$Y$20,0),$AB$6)),"/"),"")</f>
        <v>/</v>
      </c>
      <c r="G209" s="88"/>
      <c r="H209" s="79" t="s">
        <v>196</v>
      </c>
      <c r="I209" s="81" t="s">
        <v>30</v>
      </c>
      <c r="J209" s="35">
        <f>IF(H201&lt;&gt;"",IF(INDEX(BDHK2,MATCH(H201,DiemHKII!$B$4:$B$58,0),INDEX($Y$7:$AB$20,MATCH(I209,$Y$7:$Y$20,0),$Z$6))&lt;&gt;"",INDEX(BDHK2,MATCH(H201,DiemHKII!$B$4:$B$58,0),INDEX($Y$7:$AB$20,MATCH(I209,$Y$7:$Y$20,0),$Z$6)),"/"),"")</f>
        <v>7.7</v>
      </c>
      <c r="K209" s="35" t="str">
        <f>IF(H201&lt;&gt;"",IF(INDEX(BDHK2,MATCH(H201,DiemHKII!$B$4:$B$58,0),INDEX($Y$7:$AB$20,MATCH(I209,$Y$7:$Y$20,0),$AA$6))&lt;&gt;"",INDEX(BDHK2,MATCH(H201,DiemHKII!$B$4:$B$58,0),INDEX($Y$7:$AB$20,MATCH(I209,$Y$7:$Y$20,0),$AA$6)),"/"),"")</f>
        <v>/</v>
      </c>
      <c r="L209" s="35" t="str">
        <f>IF(H201&lt;&gt;"",IF(INDEX(BDHK2,MATCH(H201,DiemHKII!$B$4:$B$58,0),INDEX($Y$7:$AB$20,MATCH(I209,$Y$7:$Y$20,0),$AB$6))&lt;&gt;"",INDEX(BDHK2,MATCH(H201,DiemHKII!$B$4:$B$58,0),INDEX($Y$7:$AB$20,MATCH(I209,$Y$7:$Y$20,0),$AB$6)),"/"),"")</f>
        <v>/</v>
      </c>
      <c r="M209" s="88"/>
      <c r="N209" s="79" t="s">
        <v>196</v>
      </c>
      <c r="O209" s="81" t="s">
        <v>30</v>
      </c>
      <c r="P209" s="35">
        <f>IF(N201&lt;&gt;"",IF(INDEX(BDHK2,MATCH(N201,DiemHKII!$B$4:$B$58,0),INDEX($Y$7:$AB$20,MATCH(O209,$Y$7:$Y$20,0),$Z$6))&lt;&gt;"",INDEX(BDHK2,MATCH(N201,DiemHKII!$B$4:$B$58,0),INDEX($Y$7:$AB$20,MATCH(O209,$Y$7:$Y$20,0),$Z$6)),"/"),"")</f>
        <v>6.9</v>
      </c>
      <c r="Q209" s="35" t="str">
        <f>IF(N201&lt;&gt;"",IF(INDEX(BDHK2,MATCH(N201,DiemHKII!$B$4:$B$58,0),INDEX($Y$7:$AB$20,MATCH(O209,$Y$7:$Y$20,0),$AA$6))&lt;&gt;"",INDEX(BDHK2,MATCH(N201,DiemHKII!$B$4:$B$58,0),INDEX($Y$7:$AB$20,MATCH(O209,$Y$7:$Y$20,0),$AA$6)),"/"),"")</f>
        <v>/</v>
      </c>
      <c r="R209" s="35" t="str">
        <f>IF(N201&lt;&gt;"",IF(INDEX(BDHK2,MATCH(N201,DiemHKII!$B$4:$B$58,0),INDEX($Y$7:$AB$20,MATCH(O209,$Y$7:$Y$20,0),$AB$6))&lt;&gt;"",INDEX(BDHK2,MATCH(N201,DiemHKII!$B$4:$B$58,0),INDEX($Y$7:$AB$20,MATCH(O209,$Y$7:$Y$20,0),$AB$6)),"/"),"")</f>
        <v>/</v>
      </c>
      <c r="S209" s="88"/>
    </row>
    <row r="210" spans="1:19" ht="15.6" customHeight="1">
      <c r="A210" s="88"/>
      <c r="B210" s="79" t="s">
        <v>197</v>
      </c>
      <c r="C210" s="81" t="s">
        <v>31</v>
      </c>
      <c r="D210" s="35">
        <f>IF(B201&lt;&gt;"",IF(INDEX(BDHK2,MATCH(B201,DiemHKII!$B$4:$B$58,0),INDEX($Y$7:$AB$20,MATCH(C210,$Y$7:$Y$20,0),$Z$6))&lt;&gt;"",INDEX(BDHK2,MATCH(B201,DiemHKII!$B$4:$B$58,0),INDEX($Y$7:$AB$20,MATCH(C210,$Y$7:$Y$20,0),$Z$6)),"/"),"")</f>
        <v>9.6</v>
      </c>
      <c r="E210" s="35" t="str">
        <f>IF(B201&lt;&gt;"",IF(INDEX(BDHK2,MATCH(B201,DiemHKII!$B$4:$B$58,0),INDEX($Y$7:$AB$20,MATCH(C210,$Y$7:$Y$20,0),$AA$6))&lt;&gt;"",INDEX(BDHK2,MATCH(B201,DiemHKII!$B$4:$B$58,0),INDEX($Y$7:$AB$20,MATCH(C210,$Y$7:$Y$20,0),$AA$6)),"/"),"")</f>
        <v>/</v>
      </c>
      <c r="F210" s="35" t="str">
        <f>IF(B201&lt;&gt;"",IF(INDEX(BDHK2,MATCH(B201,DiemHKII!$B$4:$B$58,0),INDEX($Y$7:$AB$20,MATCH(C210,$Y$7:$Y$20,0),$AB$6))&lt;&gt;"",INDEX(BDHK2,MATCH(B201,DiemHKII!$B$4:$B$58,0),INDEX($Y$7:$AB$20,MATCH(C210,$Y$7:$Y$20,0),$AB$6)),"/"),"")</f>
        <v>/</v>
      </c>
      <c r="G210" s="88"/>
      <c r="H210" s="79" t="s">
        <v>197</v>
      </c>
      <c r="I210" s="81" t="s">
        <v>31</v>
      </c>
      <c r="J210" s="35">
        <f>IF(H201&lt;&gt;"",IF(INDEX(BDHK2,MATCH(H201,DiemHKII!$B$4:$B$58,0),INDEX($Y$7:$AB$20,MATCH(I210,$Y$7:$Y$20,0),$Z$6))&lt;&gt;"",INDEX(BDHK2,MATCH(H201,DiemHKII!$B$4:$B$58,0),INDEX($Y$7:$AB$20,MATCH(I210,$Y$7:$Y$20,0),$Z$6)),"/"),"")</f>
        <v>9.8000000000000007</v>
      </c>
      <c r="K210" s="35" t="str">
        <f>IF(H201&lt;&gt;"",IF(INDEX(BDHK2,MATCH(H201,DiemHKII!$B$4:$B$58,0),INDEX($Y$7:$AB$20,MATCH(I210,$Y$7:$Y$20,0),$AA$6))&lt;&gt;"",INDEX(BDHK2,MATCH(H201,DiemHKII!$B$4:$B$58,0),INDEX($Y$7:$AB$20,MATCH(I210,$Y$7:$Y$20,0),$AA$6)),"/"),"")</f>
        <v>/</v>
      </c>
      <c r="L210" s="35" t="str">
        <f>IF(H201&lt;&gt;"",IF(INDEX(BDHK2,MATCH(H201,DiemHKII!$B$4:$B$58,0),INDEX($Y$7:$AB$20,MATCH(I210,$Y$7:$Y$20,0),$AB$6))&lt;&gt;"",INDEX(BDHK2,MATCH(H201,DiemHKII!$B$4:$B$58,0),INDEX($Y$7:$AB$20,MATCH(I210,$Y$7:$Y$20,0),$AB$6)),"/"),"")</f>
        <v>/</v>
      </c>
      <c r="M210" s="88"/>
      <c r="N210" s="79" t="s">
        <v>197</v>
      </c>
      <c r="O210" s="81" t="s">
        <v>31</v>
      </c>
      <c r="P210" s="35">
        <f>IF(N201&lt;&gt;"",IF(INDEX(BDHK2,MATCH(N201,DiemHKII!$B$4:$B$58,0),INDEX($Y$7:$AB$20,MATCH(O210,$Y$7:$Y$20,0),$Z$6))&lt;&gt;"",INDEX(BDHK2,MATCH(N201,DiemHKII!$B$4:$B$58,0),INDEX($Y$7:$AB$20,MATCH(O210,$Y$7:$Y$20,0),$Z$6)),"/"),"")</f>
        <v>9.8000000000000007</v>
      </c>
      <c r="Q210" s="35" t="str">
        <f>IF(N201&lt;&gt;"",IF(INDEX(BDHK2,MATCH(N201,DiemHKII!$B$4:$B$58,0),INDEX($Y$7:$AB$20,MATCH(O210,$Y$7:$Y$20,0),$AA$6))&lt;&gt;"",INDEX(BDHK2,MATCH(N201,DiemHKII!$B$4:$B$58,0),INDEX($Y$7:$AB$20,MATCH(O210,$Y$7:$Y$20,0),$AA$6)),"/"),"")</f>
        <v>/</v>
      </c>
      <c r="R210" s="35" t="str">
        <f>IF(N201&lt;&gt;"",IF(INDEX(BDHK2,MATCH(N201,DiemHKII!$B$4:$B$58,0),INDEX($Y$7:$AB$20,MATCH(O210,$Y$7:$Y$20,0),$AB$6))&lt;&gt;"",INDEX(BDHK2,MATCH(N201,DiemHKII!$B$4:$B$58,0),INDEX($Y$7:$AB$20,MATCH(O210,$Y$7:$Y$20,0),$AB$6)),"/"),"")</f>
        <v>/</v>
      </c>
      <c r="S210" s="88"/>
    </row>
    <row r="211" spans="1:19" ht="15.6" customHeight="1">
      <c r="A211" s="88"/>
      <c r="B211" s="79" t="s">
        <v>198</v>
      </c>
      <c r="C211" s="81" t="s">
        <v>32</v>
      </c>
      <c r="D211" s="35">
        <f>IF(B201&lt;&gt;"",IF(INDEX(BDHK2,MATCH(B201,DiemHKII!$B$4:$B$58,0),INDEX($Y$7:$AB$20,MATCH(C211,$Y$7:$Y$20,0),$Z$6))&lt;&gt;"",INDEX(BDHK2,MATCH(B201,DiemHKII!$B$4:$B$58,0),INDEX($Y$7:$AB$20,MATCH(C211,$Y$7:$Y$20,0),$Z$6)),"/"),"")</f>
        <v>9.8000000000000007</v>
      </c>
      <c r="E211" s="35" t="str">
        <f>IF(B201&lt;&gt;"",IF(INDEX(BDHK2,MATCH(B201,DiemHKII!$B$4:$B$58,0),INDEX($Y$7:$AB$20,MATCH(C211,$Y$7:$Y$20,0),$AA$6))&lt;&gt;"",INDEX(BDHK2,MATCH(B201,DiemHKII!$B$4:$B$58,0),INDEX($Y$7:$AB$20,MATCH(C211,$Y$7:$Y$20,0),$AA$6)),"/"),"")</f>
        <v>/</v>
      </c>
      <c r="F211" s="35" t="str">
        <f>IF(B201&lt;&gt;"",IF(INDEX(BDHK2,MATCH(B201,DiemHKII!$B$4:$B$58,0),INDEX($Y$7:$AB$20,MATCH(C211,$Y$7:$Y$20,0),$AB$6))&lt;&gt;"",INDEX(BDHK2,MATCH(B201,DiemHKII!$B$4:$B$58,0),INDEX($Y$7:$AB$20,MATCH(C211,$Y$7:$Y$20,0),$AB$6)),"/"),"")</f>
        <v>/</v>
      </c>
      <c r="G211" s="88"/>
      <c r="H211" s="79" t="s">
        <v>198</v>
      </c>
      <c r="I211" s="81" t="s">
        <v>32</v>
      </c>
      <c r="J211" s="35">
        <f>IF(H201&lt;&gt;"",IF(INDEX(BDHK2,MATCH(H201,DiemHKII!$B$4:$B$58,0),INDEX($Y$7:$AB$20,MATCH(I211,$Y$7:$Y$20,0),$Z$6))&lt;&gt;"",INDEX(BDHK2,MATCH(H201,DiemHKII!$B$4:$B$58,0),INDEX($Y$7:$AB$20,MATCH(I211,$Y$7:$Y$20,0),$Z$6)),"/"),"")</f>
        <v>9.9</v>
      </c>
      <c r="K211" s="35" t="str">
        <f>IF(H201&lt;&gt;"",IF(INDEX(BDHK2,MATCH(H201,DiemHKII!$B$4:$B$58,0),INDEX($Y$7:$AB$20,MATCH(I211,$Y$7:$Y$20,0),$AA$6))&lt;&gt;"",INDEX(BDHK2,MATCH(H201,DiemHKII!$B$4:$B$58,0),INDEX($Y$7:$AB$20,MATCH(I211,$Y$7:$Y$20,0),$AA$6)),"/"),"")</f>
        <v>/</v>
      </c>
      <c r="L211" s="35" t="str">
        <f>IF(H201&lt;&gt;"",IF(INDEX(BDHK2,MATCH(H201,DiemHKII!$B$4:$B$58,0),INDEX($Y$7:$AB$20,MATCH(I211,$Y$7:$Y$20,0),$AB$6))&lt;&gt;"",INDEX(BDHK2,MATCH(H201,DiemHKII!$B$4:$B$58,0),INDEX($Y$7:$AB$20,MATCH(I211,$Y$7:$Y$20,0),$AB$6)),"/"),"")</f>
        <v>/</v>
      </c>
      <c r="M211" s="88"/>
      <c r="N211" s="79" t="s">
        <v>198</v>
      </c>
      <c r="O211" s="81" t="s">
        <v>32</v>
      </c>
      <c r="P211" s="35">
        <f>IF(N201&lt;&gt;"",IF(INDEX(BDHK2,MATCH(N201,DiemHKII!$B$4:$B$58,0),INDEX($Y$7:$AB$20,MATCH(O211,$Y$7:$Y$20,0),$Z$6))&lt;&gt;"",INDEX(BDHK2,MATCH(N201,DiemHKII!$B$4:$B$58,0),INDEX($Y$7:$AB$20,MATCH(O211,$Y$7:$Y$20,0),$Z$6)),"/"),"")</f>
        <v>9.6</v>
      </c>
      <c r="Q211" s="35" t="str">
        <f>IF(N201&lt;&gt;"",IF(INDEX(BDHK2,MATCH(N201,DiemHKII!$B$4:$B$58,0),INDEX($Y$7:$AB$20,MATCH(O211,$Y$7:$Y$20,0),$AA$6))&lt;&gt;"",INDEX(BDHK2,MATCH(N201,DiemHKII!$B$4:$B$58,0),INDEX($Y$7:$AB$20,MATCH(O211,$Y$7:$Y$20,0),$AA$6)),"/"),"")</f>
        <v>/</v>
      </c>
      <c r="R211" s="35" t="str">
        <f>IF(N201&lt;&gt;"",IF(INDEX(BDHK2,MATCH(N201,DiemHKII!$B$4:$B$58,0),INDEX($Y$7:$AB$20,MATCH(O211,$Y$7:$Y$20,0),$AB$6))&lt;&gt;"",INDEX(BDHK2,MATCH(N201,DiemHKII!$B$4:$B$58,0),INDEX($Y$7:$AB$20,MATCH(O211,$Y$7:$Y$20,0),$AB$6)),"/"),"")</f>
        <v>/</v>
      </c>
      <c r="S211" s="88"/>
    </row>
    <row r="212" spans="1:19" ht="15.6" customHeight="1">
      <c r="A212" s="88"/>
      <c r="B212" s="79" t="s">
        <v>199</v>
      </c>
      <c r="C212" s="81" t="s">
        <v>33</v>
      </c>
      <c r="D212" s="35">
        <f>IF(B201&lt;&gt;"",IF(INDEX(BDHK2,MATCH(B201,DiemHKII!$B$4:$B$58,0),INDEX($Y$7:$AB$20,MATCH(C212,$Y$7:$Y$20,0),$Z$6))&lt;&gt;"",INDEX(BDHK2,MATCH(B201,DiemHKII!$B$4:$B$58,0),INDEX($Y$7:$AB$20,MATCH(C212,$Y$7:$Y$20,0),$Z$6)),"/"),"")</f>
        <v>9.1999999999999993</v>
      </c>
      <c r="E212" s="35" t="str">
        <f>IF(B201&lt;&gt;"",IF(INDEX(BDHK2,MATCH(B201,DiemHKII!$B$4:$B$58,0),INDEX($Y$7:$AB$20,MATCH(C212,$Y$7:$Y$20,0),$AA$6))&lt;&gt;"",INDEX(BDHK2,MATCH(B201,DiemHKII!$B$4:$B$58,0),INDEX($Y$7:$AB$20,MATCH(C212,$Y$7:$Y$20,0),$AA$6)),"/"),"")</f>
        <v>/</v>
      </c>
      <c r="F212" s="35" t="str">
        <f>IF(B201&lt;&gt;"",IF(INDEX(BDHK2,MATCH(B201,DiemHKII!$B$4:$B$58,0),INDEX($Y$7:$AB$20,MATCH(C212,$Y$7:$Y$20,0),$AB$6))&lt;&gt;"",INDEX(BDHK2,MATCH(B201,DiemHKII!$B$4:$B$58,0),INDEX($Y$7:$AB$20,MATCH(C212,$Y$7:$Y$20,0),$AB$6)),"/"),"")</f>
        <v>/</v>
      </c>
      <c r="G212" s="88"/>
      <c r="H212" s="79" t="s">
        <v>199</v>
      </c>
      <c r="I212" s="81" t="s">
        <v>33</v>
      </c>
      <c r="J212" s="35">
        <f>IF(H201&lt;&gt;"",IF(INDEX(BDHK2,MATCH(H201,DiemHKII!$B$4:$B$58,0),INDEX($Y$7:$AB$20,MATCH(I212,$Y$7:$Y$20,0),$Z$6))&lt;&gt;"",INDEX(BDHK2,MATCH(H201,DiemHKII!$B$4:$B$58,0),INDEX($Y$7:$AB$20,MATCH(I212,$Y$7:$Y$20,0),$Z$6)),"/"),"")</f>
        <v>8.6</v>
      </c>
      <c r="K212" s="35" t="str">
        <f>IF(H201&lt;&gt;"",IF(INDEX(BDHK2,MATCH(H201,DiemHKII!$B$4:$B$58,0),INDEX($Y$7:$AB$20,MATCH(I212,$Y$7:$Y$20,0),$AA$6))&lt;&gt;"",INDEX(BDHK2,MATCH(H201,DiemHKII!$B$4:$B$58,0),INDEX($Y$7:$AB$20,MATCH(I212,$Y$7:$Y$20,0),$AA$6)),"/"),"")</f>
        <v>/</v>
      </c>
      <c r="L212" s="35" t="str">
        <f>IF(H201&lt;&gt;"",IF(INDEX(BDHK2,MATCH(H201,DiemHKII!$B$4:$B$58,0),INDEX($Y$7:$AB$20,MATCH(I212,$Y$7:$Y$20,0),$AB$6))&lt;&gt;"",INDEX(BDHK2,MATCH(H201,DiemHKII!$B$4:$B$58,0),INDEX($Y$7:$AB$20,MATCH(I212,$Y$7:$Y$20,0),$AB$6)),"/"),"")</f>
        <v>/</v>
      </c>
      <c r="M212" s="88"/>
      <c r="N212" s="79" t="s">
        <v>199</v>
      </c>
      <c r="O212" s="81" t="s">
        <v>33</v>
      </c>
      <c r="P212" s="35">
        <f>IF(N201&lt;&gt;"",IF(INDEX(BDHK2,MATCH(N201,DiemHKII!$B$4:$B$58,0),INDEX($Y$7:$AB$20,MATCH(O212,$Y$7:$Y$20,0),$Z$6))&lt;&gt;"",INDEX(BDHK2,MATCH(N201,DiemHKII!$B$4:$B$58,0),INDEX($Y$7:$AB$20,MATCH(O212,$Y$7:$Y$20,0),$Z$6)),"/"),"")</f>
        <v>9.4</v>
      </c>
      <c r="Q212" s="35" t="str">
        <f>IF(N201&lt;&gt;"",IF(INDEX(BDHK2,MATCH(N201,DiemHKII!$B$4:$B$58,0),INDEX($Y$7:$AB$20,MATCH(O212,$Y$7:$Y$20,0),$AA$6))&lt;&gt;"",INDEX(BDHK2,MATCH(N201,DiemHKII!$B$4:$B$58,0),INDEX($Y$7:$AB$20,MATCH(O212,$Y$7:$Y$20,0),$AA$6)),"/"),"")</f>
        <v>/</v>
      </c>
      <c r="R212" s="35" t="str">
        <f>IF(N201&lt;&gt;"",IF(INDEX(BDHK2,MATCH(N201,DiemHKII!$B$4:$B$58,0),INDEX($Y$7:$AB$20,MATCH(O212,$Y$7:$Y$20,0),$AB$6))&lt;&gt;"",INDEX(BDHK2,MATCH(N201,DiemHKII!$B$4:$B$58,0),INDEX($Y$7:$AB$20,MATCH(O212,$Y$7:$Y$20,0),$AB$6)),"/"),"")</f>
        <v>/</v>
      </c>
      <c r="S212" s="88"/>
    </row>
    <row r="213" spans="1:19" ht="15.6" customHeight="1">
      <c r="A213" s="88"/>
      <c r="B213" s="79" t="s">
        <v>200</v>
      </c>
      <c r="C213" s="81" t="s">
        <v>60</v>
      </c>
      <c r="D213" s="35">
        <f>IF(B201&lt;&gt;"",IF(INDEX(BDHK2,MATCH(B201,DiemHKII!$B$4:$B$58,0),INDEX($Y$7:$AB$20,MATCH(C213,$Y$7:$Y$20,0),$Z$6))&lt;&gt;"",INDEX(BDHK2,MATCH(B201,DiemHKII!$B$4:$B$58,0),INDEX($Y$7:$AB$20,MATCH(C213,$Y$7:$Y$20,0),$Z$6)),"/"),"")</f>
        <v>9.8000000000000007</v>
      </c>
      <c r="E213" s="35" t="str">
        <f>IF(B201&lt;&gt;"",IF(INDEX(BDHK2,MATCH(B201,DiemHKII!$B$4:$B$58,0),INDEX($Y$7:$AB$20,MATCH(C213,$Y$7:$Y$20,0),$AA$6))&lt;&gt;"",INDEX(BDHK2,MATCH(B201,DiemHKII!$B$4:$B$58,0),INDEX($Y$7:$AB$20,MATCH(C213,$Y$7:$Y$20,0),$AA$6)),"/"),"")</f>
        <v>/</v>
      </c>
      <c r="F213" s="35" t="str">
        <f>IF(B201&lt;&gt;"",IF(INDEX(BDHK2,MATCH(B201,DiemHKII!$B$4:$B$58,0),INDEX($Y$7:$AB$20,MATCH(C213,$Y$7:$Y$20,0),$AB$6))&lt;&gt;"",INDEX(BDHK2,MATCH(B201,DiemHKII!$B$4:$B$58,0),INDEX($Y$7:$AB$20,MATCH(C213,$Y$7:$Y$20,0),$AB$6)),"/"),"")</f>
        <v>/</v>
      </c>
      <c r="G213" s="88"/>
      <c r="H213" s="79" t="s">
        <v>200</v>
      </c>
      <c r="I213" s="81" t="s">
        <v>60</v>
      </c>
      <c r="J213" s="35">
        <f>IF(H201&lt;&gt;"",IF(INDEX(BDHK2,MATCH(H201,DiemHKII!$B$4:$B$58,0),INDEX($Y$7:$AB$20,MATCH(I213,$Y$7:$Y$20,0),$Z$6))&lt;&gt;"",INDEX(BDHK2,MATCH(H201,DiemHKII!$B$4:$B$58,0),INDEX($Y$7:$AB$20,MATCH(I213,$Y$7:$Y$20,0),$Z$6)),"/"),"")</f>
        <v>9.4</v>
      </c>
      <c r="K213" s="35" t="str">
        <f>IF(H201&lt;&gt;"",IF(INDEX(BDHK2,MATCH(H201,DiemHKII!$B$4:$B$58,0),INDEX($Y$7:$AB$20,MATCH(I213,$Y$7:$Y$20,0),$AA$6))&lt;&gt;"",INDEX(BDHK2,MATCH(H201,DiemHKII!$B$4:$B$58,0),INDEX($Y$7:$AB$20,MATCH(I213,$Y$7:$Y$20,0),$AA$6)),"/"),"")</f>
        <v>/</v>
      </c>
      <c r="L213" s="35" t="str">
        <f>IF(H201&lt;&gt;"",IF(INDEX(BDHK2,MATCH(H201,DiemHKII!$B$4:$B$58,0),INDEX($Y$7:$AB$20,MATCH(I213,$Y$7:$Y$20,0),$AB$6))&lt;&gt;"",INDEX(BDHK2,MATCH(H201,DiemHKII!$B$4:$B$58,0),INDEX($Y$7:$AB$20,MATCH(I213,$Y$7:$Y$20,0),$AB$6)),"/"),"")</f>
        <v>/</v>
      </c>
      <c r="M213" s="88"/>
      <c r="N213" s="79" t="s">
        <v>200</v>
      </c>
      <c r="O213" s="81" t="s">
        <v>60</v>
      </c>
      <c r="P213" s="35">
        <f>IF(N201&lt;&gt;"",IF(INDEX(BDHK2,MATCH(N201,DiemHKII!$B$4:$B$58,0),INDEX($Y$7:$AB$20,MATCH(O213,$Y$7:$Y$20,0),$Z$6))&lt;&gt;"",INDEX(BDHK2,MATCH(N201,DiemHKII!$B$4:$B$58,0),INDEX($Y$7:$AB$20,MATCH(O213,$Y$7:$Y$20,0),$Z$6)),"/"),"")</f>
        <v>9.4</v>
      </c>
      <c r="Q213" s="35" t="str">
        <f>IF(N201&lt;&gt;"",IF(INDEX(BDHK2,MATCH(N201,DiemHKII!$B$4:$B$58,0),INDEX($Y$7:$AB$20,MATCH(O213,$Y$7:$Y$20,0),$AA$6))&lt;&gt;"",INDEX(BDHK2,MATCH(N201,DiemHKII!$B$4:$B$58,0),INDEX($Y$7:$AB$20,MATCH(O213,$Y$7:$Y$20,0),$AA$6)),"/"),"")</f>
        <v>/</v>
      </c>
      <c r="R213" s="35" t="str">
        <f>IF(N201&lt;&gt;"",IF(INDEX(BDHK2,MATCH(N201,DiemHKII!$B$4:$B$58,0),INDEX($Y$7:$AB$20,MATCH(O213,$Y$7:$Y$20,0),$AB$6))&lt;&gt;"",INDEX(BDHK2,MATCH(N201,DiemHKII!$B$4:$B$58,0),INDEX($Y$7:$AB$20,MATCH(O213,$Y$7:$Y$20,0),$AB$6)),"/"),"")</f>
        <v>/</v>
      </c>
      <c r="S213" s="88"/>
    </row>
    <row r="214" spans="1:19" ht="15.6" customHeight="1">
      <c r="A214" s="88"/>
      <c r="B214" s="79" t="s">
        <v>201</v>
      </c>
      <c r="C214" s="81" t="s">
        <v>34</v>
      </c>
      <c r="D214" s="35">
        <f>IF(B201&lt;&gt;"",IF(INDEX(BDHK2,MATCH(B201,DiemHKII!$B$4:$B$58,0),INDEX($Y$7:$AB$20,MATCH(C214,$Y$7:$Y$20,0),$Z$6))&lt;&gt;"",INDEX(BDHK2,MATCH(B201,DiemHKII!$B$4:$B$58,0),INDEX($Y$7:$AB$20,MATCH(C214,$Y$7:$Y$20,0),$Z$6)),"/"),"")</f>
        <v>9.8000000000000007</v>
      </c>
      <c r="E214" s="35" t="str">
        <f>IF(B201&lt;&gt;"",IF(INDEX(BDHK2,MATCH(B201,DiemHKII!$B$4:$B$58,0),INDEX($Y$7:$AB$20,MATCH(C214,$Y$7:$Y$20,0),$AA$6))&lt;&gt;"",INDEX(BDHK2,MATCH(B201,DiemHKII!$B$4:$B$58,0),INDEX($Y$7:$AB$20,MATCH(C214,$Y$7:$Y$20,0),$AA$6)),"/"),"")</f>
        <v>/</v>
      </c>
      <c r="F214" s="35" t="str">
        <f>IF(B201&lt;&gt;"",IF(INDEX(BDHK2,MATCH(B201,DiemHKII!$B$4:$B$58,0),INDEX($Y$7:$AB$20,MATCH(C214,$Y$7:$Y$20,0),$AB$6))&lt;&gt;"",INDEX(BDHK2,MATCH(B201,DiemHKII!$B$4:$B$58,0),INDEX($Y$7:$AB$20,MATCH(C214,$Y$7:$Y$20,0),$AB$6)),"/"),"")</f>
        <v>/</v>
      </c>
      <c r="G214" s="88"/>
      <c r="H214" s="79" t="s">
        <v>201</v>
      </c>
      <c r="I214" s="81" t="s">
        <v>34</v>
      </c>
      <c r="J214" s="35">
        <f>IF(H201&lt;&gt;"",IF(INDEX(BDHK2,MATCH(H201,DiemHKII!$B$4:$B$58,0),INDEX($Y$7:$AB$20,MATCH(I214,$Y$7:$Y$20,0),$Z$6))&lt;&gt;"",INDEX(BDHK2,MATCH(H201,DiemHKII!$B$4:$B$58,0),INDEX($Y$7:$AB$20,MATCH(I214,$Y$7:$Y$20,0),$Z$6)),"/"),"")</f>
        <v>9.9</v>
      </c>
      <c r="K214" s="35" t="str">
        <f>IF(H201&lt;&gt;"",IF(INDEX(BDHK2,MATCH(H201,DiemHKII!$B$4:$B$58,0),INDEX($Y$7:$AB$20,MATCH(I214,$Y$7:$Y$20,0),$AA$6))&lt;&gt;"",INDEX(BDHK2,MATCH(H201,DiemHKII!$B$4:$B$58,0),INDEX($Y$7:$AB$20,MATCH(I214,$Y$7:$Y$20,0),$AA$6)),"/"),"")</f>
        <v>/</v>
      </c>
      <c r="L214" s="35" t="str">
        <f>IF(H201&lt;&gt;"",IF(INDEX(BDHK2,MATCH(H201,DiemHKII!$B$4:$B$58,0),INDEX($Y$7:$AB$20,MATCH(I214,$Y$7:$Y$20,0),$AB$6))&lt;&gt;"",INDEX(BDHK2,MATCH(H201,DiemHKII!$B$4:$B$58,0),INDEX($Y$7:$AB$20,MATCH(I214,$Y$7:$Y$20,0),$AB$6)),"/"),"")</f>
        <v>/</v>
      </c>
      <c r="M214" s="88"/>
      <c r="N214" s="79" t="s">
        <v>201</v>
      </c>
      <c r="O214" s="81" t="s">
        <v>34</v>
      </c>
      <c r="P214" s="35">
        <f>IF(N201&lt;&gt;"",IF(INDEX(BDHK2,MATCH(N201,DiemHKII!$B$4:$B$58,0),INDEX($Y$7:$AB$20,MATCH(O214,$Y$7:$Y$20,0),$Z$6))&lt;&gt;"",INDEX(BDHK2,MATCH(N201,DiemHKII!$B$4:$B$58,0),INDEX($Y$7:$AB$20,MATCH(O214,$Y$7:$Y$20,0),$Z$6)),"/"),"")</f>
        <v>9.8000000000000007</v>
      </c>
      <c r="Q214" s="35" t="str">
        <f>IF(N201&lt;&gt;"",IF(INDEX(BDHK2,MATCH(N201,DiemHKII!$B$4:$B$58,0),INDEX($Y$7:$AB$20,MATCH(O214,$Y$7:$Y$20,0),$AA$6))&lt;&gt;"",INDEX(BDHK2,MATCH(N201,DiemHKII!$B$4:$B$58,0),INDEX($Y$7:$AB$20,MATCH(O214,$Y$7:$Y$20,0),$AA$6)),"/"),"")</f>
        <v>/</v>
      </c>
      <c r="R214" s="35" t="str">
        <f>IF(N201&lt;&gt;"",IF(INDEX(BDHK2,MATCH(N201,DiemHKII!$B$4:$B$58,0),INDEX($Y$7:$AB$20,MATCH(O214,$Y$7:$Y$20,0),$AB$6))&lt;&gt;"",INDEX(BDHK2,MATCH(N201,DiemHKII!$B$4:$B$58,0),INDEX($Y$7:$AB$20,MATCH(O214,$Y$7:$Y$20,0),$AB$6)),"/"),"")</f>
        <v>/</v>
      </c>
      <c r="S214" s="88"/>
    </row>
    <row r="215" spans="1:19" ht="15.6" customHeight="1">
      <c r="A215" s="88"/>
      <c r="B215" s="79" t="s">
        <v>202</v>
      </c>
      <c r="C215" s="81" t="s">
        <v>35</v>
      </c>
      <c r="D215" s="35" t="str">
        <f>IF(B201&lt;&gt;"",IF(INDEX(BDHK2,MATCH(B201,DiemHKII!$B$4:$B$58,0),INDEX($Y$7:$AB$20,MATCH(C215,$Y$7:$Y$20,0),$Z$6))&lt;&gt;"",INDEX(BDHK2,MATCH(B201,DiemHKII!$B$4:$B$58,0),INDEX($Y$7:$AB$20,MATCH(C215,$Y$7:$Y$20,0),$Z$6)),"/"),"")</f>
        <v>Đ</v>
      </c>
      <c r="E215" s="35" t="str">
        <f>IF(B201&lt;&gt;"",IF(INDEX(BDHK2,MATCH(B201,DiemHKII!$B$4:$B$58,0),INDEX($Y$7:$AB$20,MATCH(C215,$Y$7:$Y$20,0),$AA$6))&lt;&gt;"",INDEX(BDHK2,MATCH(B201,DiemHKII!$B$4:$B$58,0),INDEX($Y$7:$AB$20,MATCH(C215,$Y$7:$Y$20,0),$AA$6)),"/"),"")</f>
        <v>/</v>
      </c>
      <c r="F215" s="35" t="str">
        <f>IF(B201&lt;&gt;"",IF(INDEX(BDHK2,MATCH(B201,DiemHKII!$B$4:$B$58,0),INDEX($Y$7:$AB$20,MATCH(C215,$Y$7:$Y$20,0),$AB$6))&lt;&gt;"",INDEX(BDHK2,MATCH(B201,DiemHKII!$B$4:$B$58,0),INDEX($Y$7:$AB$20,MATCH(C215,$Y$7:$Y$20,0),$AB$6)),"/"),"")</f>
        <v>Đ</v>
      </c>
      <c r="G215" s="88"/>
      <c r="H215" s="79" t="s">
        <v>202</v>
      </c>
      <c r="I215" s="81" t="s">
        <v>35</v>
      </c>
      <c r="J215" s="35" t="str">
        <f>IF(H201&lt;&gt;"",IF(INDEX(BDHK2,MATCH(H201,DiemHKII!$B$4:$B$58,0),INDEX($Y$7:$AB$20,MATCH(I215,$Y$7:$Y$20,0),$Z$6))&lt;&gt;"",INDEX(BDHK2,MATCH(H201,DiemHKII!$B$4:$B$58,0),INDEX($Y$7:$AB$20,MATCH(I215,$Y$7:$Y$20,0),$Z$6)),"/"),"")</f>
        <v>Đ</v>
      </c>
      <c r="K215" s="35" t="str">
        <f>IF(H201&lt;&gt;"",IF(INDEX(BDHK2,MATCH(H201,DiemHKII!$B$4:$B$58,0),INDEX($Y$7:$AB$20,MATCH(I215,$Y$7:$Y$20,0),$AA$6))&lt;&gt;"",INDEX(BDHK2,MATCH(H201,DiemHKII!$B$4:$B$58,0),INDEX($Y$7:$AB$20,MATCH(I215,$Y$7:$Y$20,0),$AA$6)),"/"),"")</f>
        <v>/</v>
      </c>
      <c r="L215" s="35" t="str">
        <f>IF(H201&lt;&gt;"",IF(INDEX(BDHK2,MATCH(H201,DiemHKII!$B$4:$B$58,0),INDEX($Y$7:$AB$20,MATCH(I215,$Y$7:$Y$20,0),$AB$6))&lt;&gt;"",INDEX(BDHK2,MATCH(H201,DiemHKII!$B$4:$B$58,0),INDEX($Y$7:$AB$20,MATCH(I215,$Y$7:$Y$20,0),$AB$6)),"/"),"")</f>
        <v>Đ</v>
      </c>
      <c r="M215" s="88"/>
      <c r="N215" s="79" t="s">
        <v>202</v>
      </c>
      <c r="O215" s="81" t="s">
        <v>35</v>
      </c>
      <c r="P215" s="35" t="str">
        <f>IF(N201&lt;&gt;"",IF(INDEX(BDHK2,MATCH(N201,DiemHKII!$B$4:$B$58,0),INDEX($Y$7:$AB$20,MATCH(O215,$Y$7:$Y$20,0),$Z$6))&lt;&gt;"",INDEX(BDHK2,MATCH(N201,DiemHKII!$B$4:$B$58,0),INDEX($Y$7:$AB$20,MATCH(O215,$Y$7:$Y$20,0),$Z$6)),"/"),"")</f>
        <v>Đ</v>
      </c>
      <c r="Q215" s="35" t="str">
        <f>IF(N201&lt;&gt;"",IF(INDEX(BDHK2,MATCH(N201,DiemHKII!$B$4:$B$58,0),INDEX($Y$7:$AB$20,MATCH(O215,$Y$7:$Y$20,0),$AA$6))&lt;&gt;"",INDEX(BDHK2,MATCH(N201,DiemHKII!$B$4:$B$58,0),INDEX($Y$7:$AB$20,MATCH(O215,$Y$7:$Y$20,0),$AA$6)),"/"),"")</f>
        <v>/</v>
      </c>
      <c r="R215" s="35" t="str">
        <f>IF(N201&lt;&gt;"",IF(INDEX(BDHK2,MATCH(N201,DiemHKII!$B$4:$B$58,0),INDEX($Y$7:$AB$20,MATCH(O215,$Y$7:$Y$20,0),$AB$6))&lt;&gt;"",INDEX(BDHK2,MATCH(N201,DiemHKII!$B$4:$B$58,0),INDEX($Y$7:$AB$20,MATCH(O215,$Y$7:$Y$20,0),$AB$6)),"/"),"")</f>
        <v>Đ</v>
      </c>
      <c r="S215" s="88"/>
    </row>
    <row r="216" spans="1:19" ht="15.6" customHeight="1">
      <c r="A216" s="88"/>
      <c r="B216" s="79" t="s">
        <v>203</v>
      </c>
      <c r="C216" s="81" t="s">
        <v>121</v>
      </c>
      <c r="D216" s="35">
        <f>IF(B201&lt;&gt;"",IF(INDEX(BDHK2,MATCH(B201,DiemHKII!$B$4:$B$58,0),INDEX($Y$7:$AB$20,MATCH(C216,$Y$7:$Y$20,0),$Z$6))&lt;&gt;"",INDEX(BDHK2,MATCH(B201,DiemHKII!$B$4:$B$58,0),INDEX($Y$7:$AB$20,MATCH(C216,$Y$7:$Y$20,0),$Z$6)),"/"),"")</f>
        <v>9.9</v>
      </c>
      <c r="E216" s="35" t="str">
        <f>IF(B201&lt;&gt;"",IF(INDEX(BDHK2,MATCH(B201,DiemHKII!$B$4:$B$58,0),INDEX($Y$7:$AB$20,MATCH(C216,$Y$7:$Y$20,0),$AA$6))&lt;&gt;"",INDEX(BDHK2,MATCH(B201,DiemHKII!$B$4:$B$58,0),INDEX($Y$7:$AB$20,MATCH(C216,$Y$7:$Y$20,0),$AA$6)),"/"),"")</f>
        <v>/</v>
      </c>
      <c r="F216" s="35" t="str">
        <f>IF(B201&lt;&gt;"",IF(INDEX(BDHK2,MATCH(B201,DiemHKII!$B$4:$B$58,0),INDEX($Y$7:$AB$20,MATCH(C216,$Y$7:$Y$20,0),$AB$6))&lt;&gt;"",INDEX(BDHK2,MATCH(B201,DiemHKII!$B$4:$B$58,0),INDEX($Y$7:$AB$20,MATCH(C216,$Y$7:$Y$20,0),$AB$6)),"/"),"")</f>
        <v>/</v>
      </c>
      <c r="G216" s="88"/>
      <c r="H216" s="79" t="s">
        <v>203</v>
      </c>
      <c r="I216" s="81" t="s">
        <v>121</v>
      </c>
      <c r="J216" s="35">
        <f>IF(H201&lt;&gt;"",IF(INDEX(BDHK2,MATCH(H201,DiemHKII!$B$4:$B$58,0),INDEX($Y$7:$AB$20,MATCH(I216,$Y$7:$Y$20,0),$Z$6))&lt;&gt;"",INDEX(BDHK2,MATCH(H201,DiemHKII!$B$4:$B$58,0),INDEX($Y$7:$AB$20,MATCH(I216,$Y$7:$Y$20,0),$Z$6)),"/"),"")</f>
        <v>9.4</v>
      </c>
      <c r="K216" s="35" t="str">
        <f>IF(H201&lt;&gt;"",IF(INDEX(BDHK2,MATCH(H201,DiemHKII!$B$4:$B$58,0),INDEX($Y$7:$AB$20,MATCH(I216,$Y$7:$Y$20,0),$AA$6))&lt;&gt;"",INDEX(BDHK2,MATCH(H201,DiemHKII!$B$4:$B$58,0),INDEX($Y$7:$AB$20,MATCH(I216,$Y$7:$Y$20,0),$AA$6)),"/"),"")</f>
        <v>/</v>
      </c>
      <c r="L216" s="35" t="str">
        <f>IF(H201&lt;&gt;"",IF(INDEX(BDHK2,MATCH(H201,DiemHKII!$B$4:$B$58,0),INDEX($Y$7:$AB$20,MATCH(I216,$Y$7:$Y$20,0),$AB$6))&lt;&gt;"",INDEX(BDHK2,MATCH(H201,DiemHKII!$B$4:$B$58,0),INDEX($Y$7:$AB$20,MATCH(I216,$Y$7:$Y$20,0),$AB$6)),"/"),"")</f>
        <v>/</v>
      </c>
      <c r="M216" s="88"/>
      <c r="N216" s="79" t="s">
        <v>203</v>
      </c>
      <c r="O216" s="81" t="s">
        <v>121</v>
      </c>
      <c r="P216" s="35">
        <f>IF(N201&lt;&gt;"",IF(INDEX(BDHK2,MATCH(N201,DiemHKII!$B$4:$B$58,0),INDEX($Y$7:$AB$20,MATCH(O216,$Y$7:$Y$20,0),$Z$6))&lt;&gt;"",INDEX(BDHK2,MATCH(N201,DiemHKII!$B$4:$B$58,0),INDEX($Y$7:$AB$20,MATCH(O216,$Y$7:$Y$20,0),$Z$6)),"/"),"")</f>
        <v>9.9</v>
      </c>
      <c r="Q216" s="35" t="str">
        <f>IF(N201&lt;&gt;"",IF(INDEX(BDHK2,MATCH(N201,DiemHKII!$B$4:$B$58,0),INDEX($Y$7:$AB$20,MATCH(O216,$Y$7:$Y$20,0),$AA$6))&lt;&gt;"",INDEX(BDHK2,MATCH(N201,DiemHKII!$B$4:$B$58,0),INDEX($Y$7:$AB$20,MATCH(O216,$Y$7:$Y$20,0),$AA$6)),"/"),"")</f>
        <v>/</v>
      </c>
      <c r="R216" s="35" t="str">
        <f>IF(N201&lt;&gt;"",IF(INDEX(BDHK2,MATCH(N201,DiemHKII!$B$4:$B$58,0),INDEX($Y$7:$AB$20,MATCH(O216,$Y$7:$Y$20,0),$AB$6))&lt;&gt;"",INDEX(BDHK2,MATCH(N201,DiemHKII!$B$4:$B$58,0),INDEX($Y$7:$AB$20,MATCH(O216,$Y$7:$Y$20,0),$AB$6)),"/"),"")</f>
        <v>/</v>
      </c>
      <c r="S216" s="88"/>
    </row>
    <row r="217" spans="1:19" ht="15.6" customHeight="1">
      <c r="A217" s="88"/>
      <c r="B217" s="79" t="s">
        <v>204</v>
      </c>
      <c r="C217" s="81" t="s">
        <v>122</v>
      </c>
      <c r="D217" s="35" t="str">
        <f>IF(B201&lt;&gt;"",IF(INDEX(BDHK2,MATCH(B201,DiemHKII!$B$4:$B$58,0),INDEX($Y$7:$AB$20,MATCH(C217,$Y$7:$Y$20,0),$Z$6))&lt;&gt;"",INDEX(BDHK2,MATCH(B201,DiemHKII!$B$4:$B$58,0),INDEX($Y$7:$AB$20,MATCH(C217,$Y$7:$Y$20,0),$Z$6)),"/"),"")</f>
        <v>/</v>
      </c>
      <c r="E217" s="35" t="str">
        <f>IF(B201&lt;&gt;"",IF(INDEX(BDHK2,MATCH(B201,DiemHKII!$B$4:$B$58,0),INDEX($Y$7:$AB$20,MATCH(C217,$Y$7:$Y$20,0),$AA$6))&lt;&gt;"",INDEX(BDHK2,MATCH(B201,DiemHKII!$B$4:$B$58,0),INDEX($Y$7:$AB$20,MATCH(C217,$Y$7:$Y$20,0),$AA$6)),"/"),"")</f>
        <v>/</v>
      </c>
      <c r="F217" s="35" t="str">
        <f>IF(B201&lt;&gt;"",IF(INDEX(BDHK2,MATCH(B201,DiemHKII!$B$4:$B$58,0),INDEX($Y$7:$AB$20,MATCH(C217,$Y$7:$Y$20,0),$AB$6))&lt;&gt;"",INDEX(BDHK2,MATCH(B201,DiemHKII!$B$4:$B$58,0),INDEX($Y$7:$AB$20,MATCH(C217,$Y$7:$Y$20,0),$AB$6)),"/"),"")</f>
        <v>/</v>
      </c>
      <c r="G217" s="88"/>
      <c r="H217" s="79" t="s">
        <v>204</v>
      </c>
      <c r="I217" s="81" t="s">
        <v>122</v>
      </c>
      <c r="J217" s="35" t="str">
        <f>IF(H201&lt;&gt;"",IF(INDEX(BDHK2,MATCH(H201,DiemHKII!$B$4:$B$58,0),INDEX($Y$7:$AB$20,MATCH(I217,$Y$7:$Y$20,0),$Z$6))&lt;&gt;"",INDEX(BDHK2,MATCH(H201,DiemHKII!$B$4:$B$58,0),INDEX($Y$7:$AB$20,MATCH(I217,$Y$7:$Y$20,0),$Z$6)),"/"),"")</f>
        <v>/</v>
      </c>
      <c r="K217" s="35" t="str">
        <f>IF(H201&lt;&gt;"",IF(INDEX(BDHK2,MATCH(H201,DiemHKII!$B$4:$B$58,0),INDEX($Y$7:$AB$20,MATCH(I217,$Y$7:$Y$20,0),$AA$6))&lt;&gt;"",INDEX(BDHK2,MATCH(H201,DiemHKII!$B$4:$B$58,0),INDEX($Y$7:$AB$20,MATCH(I217,$Y$7:$Y$20,0),$AA$6)),"/"),"")</f>
        <v>/</v>
      </c>
      <c r="L217" s="35" t="str">
        <f>IF(H201&lt;&gt;"",IF(INDEX(BDHK2,MATCH(H201,DiemHKII!$B$4:$B$58,0),INDEX($Y$7:$AB$20,MATCH(I217,$Y$7:$Y$20,0),$AB$6))&lt;&gt;"",INDEX(BDHK2,MATCH(H201,DiemHKII!$B$4:$B$58,0),INDEX($Y$7:$AB$20,MATCH(I217,$Y$7:$Y$20,0),$AB$6)),"/"),"")</f>
        <v>/</v>
      </c>
      <c r="M217" s="88"/>
      <c r="N217" s="79" t="s">
        <v>204</v>
      </c>
      <c r="O217" s="81" t="s">
        <v>122</v>
      </c>
      <c r="P217" s="35" t="str">
        <f>IF(N201&lt;&gt;"",IF(INDEX(BDHK2,MATCH(N201,DiemHKII!$B$4:$B$58,0),INDEX($Y$7:$AB$20,MATCH(O217,$Y$7:$Y$20,0),$Z$6))&lt;&gt;"",INDEX(BDHK2,MATCH(N201,DiemHKII!$B$4:$B$58,0),INDEX($Y$7:$AB$20,MATCH(O217,$Y$7:$Y$20,0),$Z$6)),"/"),"")</f>
        <v>/</v>
      </c>
      <c r="Q217" s="35" t="str">
        <f>IF(N201&lt;&gt;"",IF(INDEX(BDHK2,MATCH(N201,DiemHKII!$B$4:$B$58,0),INDEX($Y$7:$AB$20,MATCH(O217,$Y$7:$Y$20,0),$AA$6))&lt;&gt;"",INDEX(BDHK2,MATCH(N201,DiemHKII!$B$4:$B$58,0),INDEX($Y$7:$AB$20,MATCH(O217,$Y$7:$Y$20,0),$AA$6)),"/"),"")</f>
        <v>/</v>
      </c>
      <c r="R217" s="35" t="str">
        <f>IF(N201&lt;&gt;"",IF(INDEX(BDHK2,MATCH(N201,DiemHKII!$B$4:$B$58,0),INDEX($Y$7:$AB$20,MATCH(O217,$Y$7:$Y$20,0),$AB$6))&lt;&gt;"",INDEX(BDHK2,MATCH(N201,DiemHKII!$B$4:$B$58,0),INDEX($Y$7:$AB$20,MATCH(O217,$Y$7:$Y$20,0),$AB$6)),"/"),"")</f>
        <v>/</v>
      </c>
      <c r="S217" s="88"/>
    </row>
    <row r="218" spans="1:19" ht="15.6" customHeight="1">
      <c r="A218" s="88"/>
      <c r="B218" s="79" t="s">
        <v>208</v>
      </c>
      <c r="C218" s="81" t="s">
        <v>217</v>
      </c>
      <c r="D218" s="80">
        <f>IF(B201&lt;&gt;"",IF(INDEX('TH CANAM'!$A$9:$BF$63,MATCH(B201,'TH CANAM'!$A$9:$A$63,0),46)&lt;&gt;"",INDEX('TH CANAM'!$A$9:$BF$63,MATCH(B201,'TH CANAM'!$A$9:$A$63,0),46),"/"),"")</f>
        <v>9.4</v>
      </c>
      <c r="E218" s="80" t="str">
        <f>IF(B201&lt;&gt;"",IF(INDEX('TH CANAM'!$A$9:$BF$63,MATCH(B201,'TH CANAM'!$A$9:$A$63,0),47)&lt;&gt;"",INDEX('TH CANAM'!$A$9:$BF$63,MATCH(B201,'TH CANAM'!$A$9:$A$63,0),47),"/"),"")</f>
        <v>/</v>
      </c>
      <c r="F218" s="80" t="str">
        <f>IF(B201&lt;&gt;"",IF(INDEX('TH CANAM'!$A$9:$BF$63,MATCH(B201,'TH CANAM'!$A$9:$A$63,0),48)&lt;&gt;"",INDEX('TH CANAM'!$A$9:$BF$63,MATCH(B201,'TH CANAM'!$A$9:$A$63,0),48),"/"),"")</f>
        <v>/</v>
      </c>
      <c r="G218" s="88"/>
      <c r="H218" s="79" t="s">
        <v>208</v>
      </c>
      <c r="I218" s="81" t="s">
        <v>217</v>
      </c>
      <c r="J218" s="80">
        <f>IF(H201&lt;&gt;"",IF(INDEX('TH CANAM'!$A$9:$BF$63,MATCH(H201,'TH CANAM'!$A$9:$A$63,0),46)&lt;&gt;"",INDEX('TH CANAM'!$A$9:$BF$63,MATCH(H201,'TH CANAM'!$A$9:$A$63,0),46),"/"),"")</f>
        <v>9.3000000000000007</v>
      </c>
      <c r="K218" s="80" t="str">
        <f>IF(H201&lt;&gt;"",IF(INDEX('TH CANAM'!$A$9:$BF$63,MATCH(H201,'TH CANAM'!$A$9:$A$63,0),47)&lt;&gt;"",INDEX('TH CANAM'!$A$9:$BF$63,MATCH(H201,'TH CANAM'!$A$9:$A$63,0),47),"/"),"")</f>
        <v>/</v>
      </c>
      <c r="L218" s="80" t="str">
        <f>IF(H201&lt;&gt;"",IF(INDEX('TH CANAM'!$A$9:$BF$63,MATCH(H201,'TH CANAM'!$A$9:$A$63,0),48)&lt;&gt;"",INDEX('TH CANAM'!$A$9:$BF$63,MATCH(H201,'TH CANAM'!$A$9:$A$63,0),48),"/"),"")</f>
        <v>/</v>
      </c>
      <c r="M218" s="88"/>
      <c r="N218" s="79" t="s">
        <v>208</v>
      </c>
      <c r="O218" s="81" t="s">
        <v>217</v>
      </c>
      <c r="P218" s="80">
        <f>IF(N201&lt;&gt;"",IF(INDEX('TH CANAM'!$A$9:$BF$63,MATCH(N201,'TH CANAM'!$A$9:$A$63,0),46)&lt;&gt;"",INDEX('TH CANAM'!$A$9:$BF$63,MATCH(N201,'TH CANAM'!$A$9:$A$63,0),46),"/"),"")</f>
        <v>9.1999999999999993</v>
      </c>
      <c r="Q218" s="80" t="str">
        <f>IF(N201&lt;&gt;"",IF(INDEX('TH CANAM'!$A$9:$BF$63,MATCH(N201,'TH CANAM'!$A$9:$A$63,0),47)&lt;&gt;"",INDEX('TH CANAM'!$A$9:$BF$63,MATCH(N201,'TH CANAM'!$A$9:$A$63,0),47),"/"),"")</f>
        <v>/</v>
      </c>
      <c r="R218" s="80" t="str">
        <f>IF(N201&lt;&gt;"",IF(INDEX('TH CANAM'!$A$9:$BF$63,MATCH(N201,'TH CANAM'!$A$9:$A$63,0),48)&lt;&gt;"",INDEX('TH CANAM'!$A$9:$BF$63,MATCH(N201,'TH CANAM'!$A$9:$A$63,0),48),"/"),"")</f>
        <v>/</v>
      </c>
      <c r="S218" s="88"/>
    </row>
    <row r="219" spans="1:19" ht="15.6" customHeight="1">
      <c r="A219" s="88"/>
      <c r="B219" s="79" t="s">
        <v>209</v>
      </c>
      <c r="C219" s="82" t="s">
        <v>36</v>
      </c>
      <c r="D219" s="35" t="str">
        <f>IF(B201&lt;&gt;"",IF(INDEX('TH CANAM'!$A$9:$BF$63,MATCH(B201,'TH CANAM'!$A$9:$A$63,0),49)&lt;&gt;"",INDEX('TH CANAM'!$A$9:$BF$63,MATCH(B201,'TH CANAM'!$A$9:$A$63,0),49),"/"),"")</f>
        <v>Giỏi</v>
      </c>
      <c r="E219" s="35" t="str">
        <f>IF(B201&lt;&gt;"",IF(INDEX('TH CANAM'!$A$9:$BF$63,MATCH(B201,'TH CANAM'!$A$9:$A$63,0),50)&lt;&gt;"",INDEX('TH CANAM'!$A$9:$BF$63,MATCH(B201,'TH CANAM'!$A$9:$A$63,0),50),"/"),"")</f>
        <v>/</v>
      </c>
      <c r="F219" s="35" t="str">
        <f>IF(B201&lt;&gt;"",IF(INDEX('TH CANAM'!$A$9:$BF$63,MATCH(B201,'TH CANAM'!$A$9:$A$63,0),51)&lt;&gt;"",INDEX('TH CANAM'!$A$9:$BF$63,MATCH(B201,'TH CANAM'!$A$9:$A$63,0),51),"/"),"")</f>
        <v>/</v>
      </c>
      <c r="G219" s="88"/>
      <c r="H219" s="79" t="s">
        <v>209</v>
      </c>
      <c r="I219" s="82" t="s">
        <v>36</v>
      </c>
      <c r="J219" s="35" t="str">
        <f>IF(H201&lt;&gt;"",IF(INDEX('TH CANAM'!$A$9:$BF$63,MATCH(H201,'TH CANAM'!$A$9:$A$63,0),49)&lt;&gt;"",INDEX('TH CANAM'!$A$9:$BF$63,MATCH(H201,'TH CANAM'!$A$9:$A$63,0),49),"/"),"")</f>
        <v>Giỏi</v>
      </c>
      <c r="K219" s="35" t="str">
        <f>IF(H201&lt;&gt;"",IF(INDEX('TH CANAM'!$A$9:$BF$63,MATCH(H201,'TH CANAM'!$A$9:$A$63,0),50)&lt;&gt;"",INDEX('TH CANAM'!$A$9:$BF$63,MATCH(H201,'TH CANAM'!$A$9:$A$63,0),50),"/"),"")</f>
        <v>/</v>
      </c>
      <c r="L219" s="35" t="str">
        <f>IF(H201&lt;&gt;"",IF(INDEX('TH CANAM'!$A$9:$BF$63,MATCH(H201,'TH CANAM'!$A$9:$A$63,0),51)&lt;&gt;"",INDEX('TH CANAM'!$A$9:$BF$63,MATCH(H201,'TH CANAM'!$A$9:$A$63,0),51),"/"),"")</f>
        <v>/</v>
      </c>
      <c r="M219" s="88"/>
      <c r="N219" s="79" t="s">
        <v>209</v>
      </c>
      <c r="O219" s="82" t="s">
        <v>36</v>
      </c>
      <c r="P219" s="35" t="str">
        <f>IF(N201&lt;&gt;"",IF(INDEX('TH CANAM'!$A$9:$BF$63,MATCH(N201,'TH CANAM'!$A$9:$A$63,0),49)&lt;&gt;"",INDEX('TH CANAM'!$A$9:$BF$63,MATCH(N201,'TH CANAM'!$A$9:$A$63,0),49),"/"),"")</f>
        <v>Giỏi</v>
      </c>
      <c r="Q219" s="35" t="str">
        <f>IF(N201&lt;&gt;"",IF(INDEX('TH CANAM'!$A$9:$BF$63,MATCH(N201,'TH CANAM'!$A$9:$A$63,0),50)&lt;&gt;"",INDEX('TH CANAM'!$A$9:$BF$63,MATCH(N201,'TH CANAM'!$A$9:$A$63,0),50),"/"),"")</f>
        <v>/</v>
      </c>
      <c r="R219" s="35" t="str">
        <f>IF(N201&lt;&gt;"",IF(INDEX('TH CANAM'!$A$9:$BF$63,MATCH(N201,'TH CANAM'!$A$9:$A$63,0),51)&lt;&gt;"",INDEX('TH CANAM'!$A$9:$BF$63,MATCH(N201,'TH CANAM'!$A$9:$A$63,0),51),"/"),"")</f>
        <v>/</v>
      </c>
      <c r="S219" s="88"/>
    </row>
    <row r="220" spans="1:19" ht="15.6" customHeight="1">
      <c r="A220" s="88"/>
      <c r="B220" s="79" t="s">
        <v>210</v>
      </c>
      <c r="C220" s="82" t="s">
        <v>37</v>
      </c>
      <c r="D220" s="35" t="str">
        <f>IF(B201&lt;&gt;"",IF(INDEX('TH CANAM'!$A$9:$BF$63,MATCH(B201,'TH CANAM'!$A$9:$A$63,0),52)&lt;&gt;"",INDEX('TH CANAM'!$A$9:$BF$63,MATCH(B201,'TH CANAM'!$A$9:$A$63,0),52),"/"),"")</f>
        <v>Tốt</v>
      </c>
      <c r="E220" s="35" t="str">
        <f>IF(B201&lt;&gt;"",IF(INDEX('TH CANAM'!$A$9:$BF$63,MATCH(B201,'TH CANAM'!$A$9:$A$63,0),53)&lt;&gt;"",INDEX('TH CANAM'!$A$9:$BF$63,MATCH(B201,'TH CANAM'!$A$9:$A$63,0),53),"/"),"")</f>
        <v>/</v>
      </c>
      <c r="F220" s="35" t="str">
        <f>IF(B201&lt;&gt;"",IF(INDEX('TH CANAM'!$A$9:$BF$63,MATCH(B201,'TH CANAM'!$A$9:$A$63,0),54)&lt;&gt;"",INDEX('TH CANAM'!$A$9:$BF$63,MATCH(B201,'TH CANAM'!$A$9:$A$63,0),54),"/"),"")</f>
        <v>/</v>
      </c>
      <c r="G220" s="88"/>
      <c r="H220" s="79" t="s">
        <v>210</v>
      </c>
      <c r="I220" s="82" t="s">
        <v>37</v>
      </c>
      <c r="J220" s="35" t="str">
        <f>IF(H201&lt;&gt;"",IF(INDEX('TH CANAM'!$A$9:$BF$63,MATCH(H201,'TH CANAM'!$A$9:$A$63,0),52)&lt;&gt;"",INDEX('TH CANAM'!$A$9:$BF$63,MATCH(H201,'TH CANAM'!$A$9:$A$63,0),52),"/"),"")</f>
        <v>Tốt</v>
      </c>
      <c r="K220" s="35" t="str">
        <f>IF(H201&lt;&gt;"",IF(INDEX('TH CANAM'!$A$9:$BF$63,MATCH(H201,'TH CANAM'!$A$9:$A$63,0),53)&lt;&gt;"",INDEX('TH CANAM'!$A$9:$BF$63,MATCH(H201,'TH CANAM'!$A$9:$A$63,0),53),"/"),"")</f>
        <v>/</v>
      </c>
      <c r="L220" s="35" t="str">
        <f>IF(H201&lt;&gt;"",IF(INDEX('TH CANAM'!$A$9:$BF$63,MATCH(H201,'TH CANAM'!$A$9:$A$63,0),54)&lt;&gt;"",INDEX('TH CANAM'!$A$9:$BF$63,MATCH(H201,'TH CANAM'!$A$9:$A$63,0),54),"/"),"")</f>
        <v>/</v>
      </c>
      <c r="M220" s="88"/>
      <c r="N220" s="79" t="s">
        <v>210</v>
      </c>
      <c r="O220" s="82" t="s">
        <v>37</v>
      </c>
      <c r="P220" s="35" t="str">
        <f>IF(N201&lt;&gt;"",IF(INDEX('TH CANAM'!$A$9:$BF$63,MATCH(N201,'TH CANAM'!$A$9:$A$63,0),52)&lt;&gt;"",INDEX('TH CANAM'!$A$9:$BF$63,MATCH(N201,'TH CANAM'!$A$9:$A$63,0),52),"/"),"")</f>
        <v>Tốt</v>
      </c>
      <c r="Q220" s="35" t="str">
        <f>IF(N201&lt;&gt;"",IF(INDEX('TH CANAM'!$A$9:$BF$63,MATCH(N201,'TH CANAM'!$A$9:$A$63,0),53)&lt;&gt;"",INDEX('TH CANAM'!$A$9:$BF$63,MATCH(N201,'TH CANAM'!$A$9:$A$63,0),53),"/"),"")</f>
        <v>/</v>
      </c>
      <c r="R220" s="35" t="str">
        <f>IF(N201&lt;&gt;"",IF(INDEX('TH CANAM'!$A$9:$BF$63,MATCH(N201,'TH CANAM'!$A$9:$A$63,0),54)&lt;&gt;"",INDEX('TH CANAM'!$A$9:$BF$63,MATCH(N201,'TH CANAM'!$A$9:$A$63,0),54),"/"),"")</f>
        <v>/</v>
      </c>
      <c r="S220" s="88"/>
    </row>
    <row r="221" spans="1:19" ht="15.6" customHeight="1">
      <c r="A221" s="88"/>
      <c r="B221" s="79" t="s">
        <v>211</v>
      </c>
      <c r="C221" s="82" t="s">
        <v>25</v>
      </c>
      <c r="D221" s="35" t="str">
        <f>IF(B201&lt;&gt;"",IF(INDEX('TH CANAM'!$A$9:$BF$63,MATCH(B201,'TH CANAM'!$A$9:$A$63,0),57)&lt;&gt;"",INDEX('TH CANAM'!$A$9:$BF$63,MATCH(B201,'TH CANAM'!$A$9:$A$63,0),57),"/"),"")</f>
        <v>HSG</v>
      </c>
      <c r="E221" s="35" t="str">
        <f>IF(B201&lt;&gt;"",IF(INDEX('TH CANAM'!$A$9:$BF$63,MATCH(B201,'TH CANAM'!$A$9:$A$63,0),58)&lt;&gt;"",INDEX('TH CANAM'!$A$9:$BF$63,MATCH(B201,'TH CANAM'!$A$9:$A$63,0),58),"/"),"")</f>
        <v>/</v>
      </c>
      <c r="F221" s="35" t="str">
        <f>IF(B201&lt;&gt;"",IF(INDEX('TH CANAM'!$A$9:$BF$63,MATCH(B201,'TH CANAM'!$A$9:$A$63,0),55)&lt;&gt;"",INDEX('TH CANAM'!$A$9:$BF$63,MATCH(B201,'TH CANAM'!$A$9:$A$63,0),55),"/"),"")</f>
        <v>/</v>
      </c>
      <c r="G221" s="88"/>
      <c r="H221" s="79" t="s">
        <v>211</v>
      </c>
      <c r="I221" s="82" t="s">
        <v>25</v>
      </c>
      <c r="J221" s="35" t="str">
        <f>IF(H201&lt;&gt;"",IF(INDEX('TH CANAM'!$A$9:$BF$63,MATCH(H201,'TH CANAM'!$A$9:$A$63,0),57)&lt;&gt;"",INDEX('TH CANAM'!$A$9:$BF$63,MATCH(H201,'TH CANAM'!$A$9:$A$63,0),57),"/"),"")</f>
        <v>HSG</v>
      </c>
      <c r="K221" s="35" t="str">
        <f>IF(H201&lt;&gt;"",IF(INDEX('TH CANAM'!$A$9:$BF$63,MATCH(H201,'TH CANAM'!$A$9:$A$63,0),58)&lt;&gt;"",INDEX('TH CANAM'!$A$9:$BF$63,MATCH(H201,'TH CANAM'!$A$9:$A$63,0),58),"/"),"")</f>
        <v>/</v>
      </c>
      <c r="L221" s="35" t="str">
        <f>IF(H201&lt;&gt;"",IF(INDEX('TH CANAM'!$A$9:$BF$63,MATCH(H201,'TH CANAM'!$A$9:$A$63,0),55)&lt;&gt;"",INDEX('TH CANAM'!$A$9:$BF$63,MATCH(H201,'TH CANAM'!$A$9:$A$63,0),55),"/"),"")</f>
        <v>/</v>
      </c>
      <c r="M221" s="88"/>
      <c r="N221" s="79" t="s">
        <v>211</v>
      </c>
      <c r="O221" s="82" t="s">
        <v>25</v>
      </c>
      <c r="P221" s="35" t="str">
        <f>IF(N201&lt;&gt;"",IF(INDEX('TH CANAM'!$A$9:$BF$63,MATCH(N201,'TH CANAM'!$A$9:$A$63,0),57)&lt;&gt;"",INDEX('TH CANAM'!$A$9:$BF$63,MATCH(N201,'TH CANAM'!$A$9:$A$63,0),57),"/"),"")</f>
        <v>HSG</v>
      </c>
      <c r="Q221" s="35" t="str">
        <f>IF(N201&lt;&gt;"",IF(INDEX('TH CANAM'!$A$9:$BF$63,MATCH(N201,'TH CANAM'!$A$9:$A$63,0),58)&lt;&gt;"",INDEX('TH CANAM'!$A$9:$BF$63,MATCH(N201,'TH CANAM'!$A$9:$A$63,0),58),"/"),"")</f>
        <v>/</v>
      </c>
      <c r="R221" s="35" t="str">
        <f>IF(N201&lt;&gt;"",IF(INDEX('TH CANAM'!$A$9:$BF$63,MATCH(N201,'TH CANAM'!$A$9:$A$63,0),55)&lt;&gt;"",INDEX('TH CANAM'!$A$9:$BF$63,MATCH(N201,'TH CANAM'!$A$9:$A$63,0),55),"/"),"")</f>
        <v>/</v>
      </c>
      <c r="S221" s="88"/>
    </row>
    <row r="222" spans="1:19" s="251" customFormat="1" ht="15.75" customHeight="1">
      <c r="A222" s="89"/>
      <c r="B222" s="1146" t="s">
        <v>219</v>
      </c>
      <c r="C222" s="1147"/>
      <c r="D222" s="1147"/>
      <c r="E222" s="1147"/>
      <c r="F222" s="1148"/>
      <c r="G222" s="89"/>
      <c r="H222" s="1146" t="s">
        <v>219</v>
      </c>
      <c r="I222" s="1147"/>
      <c r="J222" s="1147"/>
      <c r="K222" s="1147"/>
      <c r="L222" s="1148"/>
      <c r="M222" s="89"/>
      <c r="N222" s="1146" t="s">
        <v>219</v>
      </c>
      <c r="O222" s="1147"/>
      <c r="P222" s="1147"/>
      <c r="Q222" s="1147"/>
      <c r="R222" s="1148"/>
      <c r="S222" s="89"/>
    </row>
    <row r="223" spans="1:19" s="251" customFormat="1" ht="15.6" customHeight="1">
      <c r="A223" s="89"/>
      <c r="B223" s="1143" t="str">
        <f>IF(B201&lt;&gt;"",IF(INDEX(BDHK2,MATCH(B201,DiemHKII!$B$4:$B$58,0),137)&lt;&gt;""," - "&amp;INDEX(BDHK2,MATCH(B201,DiemHKII!$B$4:$B$58,0),137),""),"")</f>
        <v/>
      </c>
      <c r="C223" s="1144"/>
      <c r="D223" s="1144"/>
      <c r="E223" s="1144"/>
      <c r="F223" s="1145"/>
      <c r="G223" s="89"/>
      <c r="H223" s="1143" t="str">
        <f>IF(H201&lt;&gt;"",IF(INDEX(BDHK2,MATCH(H201,DiemHKII!$B$4:$B$58,0),137)&lt;&gt;""," - "&amp;INDEX(BDHK2,MATCH(H201,DiemHKII!$B$4:$B$58,0),137),""),"")</f>
        <v/>
      </c>
      <c r="I223" s="1144"/>
      <c r="J223" s="1144"/>
      <c r="K223" s="1144"/>
      <c r="L223" s="1145"/>
      <c r="M223" s="89"/>
      <c r="N223" s="1143" t="str">
        <f>IF(N201&lt;&gt;"",IF(INDEX(BDHK2,MATCH(N201,DiemHKII!$B$4:$B$58,0),137)&lt;&gt;""," - "&amp;INDEX(BDHK2,MATCH(N201,DiemHKII!$B$4:$B$58,0),137),""),"")</f>
        <v/>
      </c>
      <c r="O223" s="1144"/>
      <c r="P223" s="1144"/>
      <c r="Q223" s="1144"/>
      <c r="R223" s="1145"/>
      <c r="S223" s="89"/>
    </row>
    <row r="224" spans="1:19" s="251" customFormat="1" ht="15.6" customHeight="1">
      <c r="A224" s="89"/>
      <c r="B224" s="1143" t="str">
        <f>IF(B201&lt;&gt;"",IF(INDEX(BDHK2,MATCH(B201,DiemHKII!$B$4:$B$58,0),138)&lt;&gt;""," - "&amp;INDEX(BDHK2,MATCH(B201,DiemHKII!$B$4:$B$58,0),138),""),"")</f>
        <v/>
      </c>
      <c r="C224" s="1144"/>
      <c r="D224" s="1144"/>
      <c r="E224" s="1144"/>
      <c r="F224" s="1145"/>
      <c r="G224" s="89"/>
      <c r="H224" s="1143" t="str">
        <f>IF(H201&lt;&gt;"",IF(INDEX(BDHK2,MATCH(H201,DiemHKII!$B$4:$B$58,0),138)&lt;&gt;""," - "&amp;INDEX(BDHK2,MATCH(H201,DiemHKII!$B$4:$B$58,0),138),""),"")</f>
        <v/>
      </c>
      <c r="I224" s="1144"/>
      <c r="J224" s="1144"/>
      <c r="K224" s="1144"/>
      <c r="L224" s="1145"/>
      <c r="M224" s="89"/>
      <c r="N224" s="1143" t="str">
        <f>IF(N201&lt;&gt;"",IF(INDEX(BDHK2,MATCH(N201,DiemHKII!$B$4:$B$58,0),138)&lt;&gt;""," - "&amp;INDEX(BDHK2,MATCH(N201,DiemHKII!$B$4:$B$58,0),138),""),"")</f>
        <v/>
      </c>
      <c r="O224" s="1144"/>
      <c r="P224" s="1144"/>
      <c r="Q224" s="1144"/>
      <c r="R224" s="1145"/>
      <c r="S224" s="89"/>
    </row>
    <row r="225" spans="1:19" s="251" customFormat="1" ht="15.6" customHeight="1">
      <c r="A225" s="89"/>
      <c r="B225" s="1143" t="str">
        <f>IF(B201&lt;&gt;"",IF(INDEX(BDHK2,MATCH(B201,DiemHKII!$B$4:$B$58,0),139)&lt;&gt;""," - "&amp;INDEX(BDHK2,MATCH(B201,DiemHKII!$B$4:$B$58,0),139),""),"")</f>
        <v/>
      </c>
      <c r="C225" s="1144"/>
      <c r="D225" s="1144"/>
      <c r="E225" s="1144"/>
      <c r="F225" s="1145"/>
      <c r="G225" s="89"/>
      <c r="H225" s="1143" t="str">
        <f>IF(H201&lt;&gt;"",IF(INDEX(BDHK2,MATCH(H201,DiemHKII!$B$4:$B$58,0),139)&lt;&gt;""," - "&amp;INDEX(BDHK2,MATCH(H201,DiemHKII!$B$4:$B$58,0),139),""),"")</f>
        <v/>
      </c>
      <c r="I225" s="1144"/>
      <c r="J225" s="1144"/>
      <c r="K225" s="1144"/>
      <c r="L225" s="1145"/>
      <c r="M225" s="89"/>
      <c r="N225" s="1143" t="str">
        <f>IF(N201&lt;&gt;"",IF(INDEX(BDHK2,MATCH(N201,DiemHKII!$B$4:$B$58,0),139)&lt;&gt;""," - "&amp;INDEX(BDHK2,MATCH(N201,DiemHKII!$B$4:$B$58,0),139),""),"")</f>
        <v/>
      </c>
      <c r="O225" s="1144"/>
      <c r="P225" s="1144"/>
      <c r="Q225" s="1144"/>
      <c r="R225" s="1145"/>
      <c r="S225" s="89"/>
    </row>
    <row r="226" spans="1:19" s="251" customFormat="1" ht="15.6" customHeight="1">
      <c r="A226" s="89"/>
      <c r="B226" s="1143" t="str">
        <f>IF(B201&lt;&gt;"",IF(INDEX(BDHK2,MATCH(B201,DiemHKII!$B$4:$B$58,0),140)&lt;&gt;""," - "&amp;INDEX(BDHK2,MATCH(B201,DiemHKII!$B$4:$B$58,0),140),""),"")</f>
        <v/>
      </c>
      <c r="C226" s="1144"/>
      <c r="D226" s="1144"/>
      <c r="E226" s="1144"/>
      <c r="F226" s="1145"/>
      <c r="G226" s="89"/>
      <c r="H226" s="1143" t="str">
        <f>IF(H201&lt;&gt;"",IF(INDEX(BDHK2,MATCH(H201,DiemHKII!$B$4:$B$58,0),140)&lt;&gt;""," - "&amp;INDEX(BDHK2,MATCH(H201,DiemHKII!$B$4:$B$58,0),140),""),"")</f>
        <v/>
      </c>
      <c r="I226" s="1144"/>
      <c r="J226" s="1144"/>
      <c r="K226" s="1144"/>
      <c r="L226" s="1145"/>
      <c r="M226" s="89"/>
      <c r="N226" s="1143" t="str">
        <f>IF(N201&lt;&gt;"",IF(INDEX(BDHK2,MATCH(N201,DiemHKII!$B$4:$B$58,0),140)&lt;&gt;""," - "&amp;INDEX(BDHK2,MATCH(N201,DiemHKII!$B$4:$B$58,0),140),""),"")</f>
        <v/>
      </c>
      <c r="O226" s="1144"/>
      <c r="P226" s="1144"/>
      <c r="Q226" s="1144"/>
      <c r="R226" s="1145"/>
      <c r="S226" s="89"/>
    </row>
    <row r="227" spans="1:19" ht="8.25" customHeight="1">
      <c r="A227" s="88"/>
      <c r="B227" s="83"/>
      <c r="C227" s="84"/>
      <c r="D227" s="84"/>
      <c r="E227" s="84"/>
      <c r="F227" s="85"/>
      <c r="G227" s="88"/>
      <c r="H227" s="83"/>
      <c r="I227" s="84"/>
      <c r="J227" s="84"/>
      <c r="K227" s="84"/>
      <c r="L227" s="85"/>
      <c r="M227" s="88"/>
      <c r="N227" s="83"/>
      <c r="O227" s="84"/>
      <c r="P227" s="84"/>
      <c r="Q227" s="84"/>
      <c r="R227" s="85"/>
      <c r="S227" s="88"/>
    </row>
    <row r="228" spans="1:19" ht="6.75" customHeight="1">
      <c r="A228" s="88"/>
      <c r="B228" s="87"/>
      <c r="C228" s="87"/>
      <c r="D228" s="1135"/>
      <c r="E228" s="1135"/>
      <c r="F228" s="1135"/>
      <c r="G228" s="88"/>
      <c r="H228" s="87"/>
      <c r="I228" s="87"/>
      <c r="J228" s="1135"/>
      <c r="K228" s="1135"/>
      <c r="L228" s="1135"/>
      <c r="M228" s="88"/>
      <c r="N228" s="87"/>
      <c r="O228" s="87"/>
      <c r="P228" s="1135"/>
      <c r="Q228" s="1135"/>
      <c r="R228" s="1135"/>
      <c r="S228" s="88"/>
    </row>
    <row r="229" spans="1:19" ht="6.75" customHeight="1">
      <c r="A229" s="88"/>
      <c r="B229" s="87"/>
      <c r="C229" s="87"/>
      <c r="D229" s="1135"/>
      <c r="E229" s="1135"/>
      <c r="F229" s="1135"/>
      <c r="G229" s="88"/>
      <c r="H229" s="87"/>
      <c r="I229" s="87"/>
      <c r="J229" s="1135"/>
      <c r="K229" s="1135"/>
      <c r="L229" s="1135"/>
      <c r="M229" s="88"/>
      <c r="N229" s="87"/>
      <c r="O229" s="87"/>
      <c r="P229" s="1135"/>
      <c r="Q229" s="1135"/>
      <c r="R229" s="1135"/>
      <c r="S229" s="88"/>
    </row>
    <row r="230" spans="1:19" ht="18" customHeight="1">
      <c r="A230" s="88"/>
      <c r="B230" s="477">
        <f>IF(N201="","",IF(N201&lt;MAX(DiemHKII!$B$4:$B$58),N201+1,""))</f>
        <v>25</v>
      </c>
      <c r="C230" s="1140" t="str">
        <f>IF(B230="","",INDEX(DiemHKII!$E$4:$E$58,MATCH(B230,DiemHKII!$B$4:$B$58,0),1)&amp;" "&amp;INDEX(DiemHKII!$F$4:$F$58,MATCH(B230,DiemHKII!$B$4:$B$58,0),1))</f>
        <v>Nguyễn Thục Nhi</v>
      </c>
      <c r="D230" s="1141"/>
      <c r="E230" s="1142"/>
      <c r="F230" s="86" t="str">
        <f>IF('Huong dan'!$C$3="","",'Huong dan'!$C$3)</f>
        <v>12A1</v>
      </c>
      <c r="G230" s="88"/>
      <c r="H230" s="477">
        <f>IF(B230="","",IF(B230&lt;MAX(DiemHKII!$B$4:$B$58),B230+1,""))</f>
        <v>26</v>
      </c>
      <c r="I230" s="1140" t="str">
        <f>IF(H230="","",INDEX(DiemHKII!$E$4:$E$58,MATCH(H230,DiemHKII!$B$4:$B$58,0),1)&amp;" "&amp;INDEX(DiemHKII!$F$4:$F$58,MATCH(H230,DiemHKII!$B$4:$B$58,0),1))</f>
        <v>Trần Thị Hải Như</v>
      </c>
      <c r="J230" s="1141"/>
      <c r="K230" s="1142"/>
      <c r="L230" s="86" t="str">
        <f>IF('Huong dan'!$C$3="","",'Huong dan'!$C$3)</f>
        <v>12A1</v>
      </c>
      <c r="M230" s="88"/>
      <c r="N230" s="477">
        <f>IF(H230="","",IF(H230&lt;MAX(DiemHKII!$B$4:$B$58),H230+1,""))</f>
        <v>27</v>
      </c>
      <c r="O230" s="1140" t="str">
        <f>IF(N230="","",INDEX(DiemHKII!$E$4:$E$58,MATCH(N230,DiemHKII!$B$4:$B$58,0),1)&amp;" "&amp;INDEX(DiemHKII!$F$4:$F$58,MATCH(N230,DiemHKII!$B$4:$B$58,0),1))</f>
        <v>Nguyễn Bá Nhật Quang</v>
      </c>
      <c r="P230" s="1141"/>
      <c r="Q230" s="1142"/>
      <c r="R230" s="86" t="str">
        <f>IF('Huong dan'!$C$3="","",'Huong dan'!$C$3)</f>
        <v>12A1</v>
      </c>
      <c r="S230" s="88"/>
    </row>
    <row r="231" spans="1:19" ht="18.75" customHeight="1">
      <c r="A231" s="88"/>
      <c r="B231" s="1136" t="str">
        <f>" Sinh ngày: "&amp;IF(B230="","",INDEX(DiemHKII!$G$4:$G$58,MATCH(B230,DiemHKII!$B$4:$B$58,0),1))</f>
        <v xml:space="preserve"> Sinh ngày: 04/10/2004</v>
      </c>
      <c r="C231" s="1137"/>
      <c r="D231" s="1137"/>
      <c r="E231" s="1138" t="str">
        <f>IF(B230="","","NS: "&amp;INDEX(DiemHKII!$H$4:$H$58,MATCH(B230,DiemHKII!$B$4:$B$58,0),1))</f>
        <v xml:space="preserve">NS: </v>
      </c>
      <c r="F231" s="1139"/>
      <c r="G231" s="88"/>
      <c r="H231" s="1136" t="str">
        <f>" Sinh ngày: "&amp;IF(H230="","",INDEX(DiemHKII!$G$4:$G$58,MATCH(H230,DiemHKII!$B$4:$B$58,0),1))</f>
        <v xml:space="preserve"> Sinh ngày: 17/08/2004</v>
      </c>
      <c r="I231" s="1137"/>
      <c r="J231" s="1137"/>
      <c r="K231" s="1138" t="str">
        <f>IF(H230="","","NS: "&amp;INDEX(DiemHKII!$H$4:$H$58,MATCH(H230,DiemHKII!$B$4:$B$58,0),1))</f>
        <v xml:space="preserve">NS: </v>
      </c>
      <c r="L231" s="1139"/>
      <c r="M231" s="88"/>
      <c r="N231" s="1136" t="str">
        <f>" Sinh ngày: "&amp;IF(N230="","",INDEX(DiemHKII!$G$4:$G$58,MATCH(N230,DiemHKII!$B$4:$B$58,0),1))</f>
        <v xml:space="preserve"> Sinh ngày: 18/07/2004</v>
      </c>
      <c r="O231" s="1137"/>
      <c r="P231" s="1137"/>
      <c r="Q231" s="1138" t="str">
        <f>IF(N230="","","NS: "&amp;INDEX(DiemHKII!$H$4:$H$58,MATCH(N230,DiemHKII!$B$4:$B$58,0),1))</f>
        <v xml:space="preserve">NS: </v>
      </c>
      <c r="R231" s="1139"/>
      <c r="S231" s="88"/>
    </row>
    <row r="232" spans="1:19" ht="15.75" customHeight="1">
      <c r="A232" s="88"/>
      <c r="B232" s="381" t="s">
        <v>0</v>
      </c>
      <c r="C232" s="381" t="s">
        <v>59</v>
      </c>
      <c r="D232" s="381" t="s">
        <v>73</v>
      </c>
      <c r="E232" s="381" t="s">
        <v>176</v>
      </c>
      <c r="F232" s="381" t="s">
        <v>98</v>
      </c>
      <c r="G232" s="88"/>
      <c r="H232" s="381" t="s">
        <v>0</v>
      </c>
      <c r="I232" s="381" t="s">
        <v>59</v>
      </c>
      <c r="J232" s="381" t="s">
        <v>73</v>
      </c>
      <c r="K232" s="381" t="s">
        <v>176</v>
      </c>
      <c r="L232" s="381" t="s">
        <v>98</v>
      </c>
      <c r="M232" s="88"/>
      <c r="N232" s="381" t="s">
        <v>0</v>
      </c>
      <c r="O232" s="381" t="s">
        <v>59</v>
      </c>
      <c r="P232" s="381" t="s">
        <v>73</v>
      </c>
      <c r="Q232" s="381" t="s">
        <v>176</v>
      </c>
      <c r="R232" s="381" t="s">
        <v>98</v>
      </c>
      <c r="S232" s="88"/>
    </row>
    <row r="233" spans="1:19" ht="15.6" customHeight="1">
      <c r="A233" s="88"/>
      <c r="B233" s="79" t="s">
        <v>191</v>
      </c>
      <c r="C233" s="81" t="s">
        <v>26</v>
      </c>
      <c r="D233" s="35">
        <f>IF(B230&lt;&gt;"",IF(INDEX(BDHK2,MATCH(B230,DiemHKII!$B$4:$B$58,0),INDEX($Y$7:$AB$20,MATCH(C233,$Y$7:$Y$20,0),$Z$6))&lt;&gt;"",INDEX(BDHK2,MATCH(B230,DiemHKII!$B$4:$B$58,0),INDEX($Y$7:$AB$20,MATCH(C233,$Y$7:$Y$20,0),$Z$6)),"/"),"")</f>
        <v>9.8000000000000007</v>
      </c>
      <c r="E233" s="35" t="str">
        <f>IF(B230&lt;&gt;"",IF(INDEX(BDHK2,MATCH(B230,DiemHKII!$B$4:$B$58,0),INDEX($Y$7:$AB$20,MATCH(C233,$Y$7:$Y$20,0),$AA$6))&lt;&gt;"",INDEX(BDHK2,MATCH(B230,DiemHKII!$B$4:$B$58,0),INDEX($Y$7:$AB$20,MATCH(C233,$Y$7:$Y$20,0),$AA$6)),"/"),"")</f>
        <v>/</v>
      </c>
      <c r="F233" s="35" t="str">
        <f>IF(B230&lt;&gt;"",IF(INDEX(BDHK2,MATCH(B230,DiemHKII!$B$4:$B$58,0),INDEX($Y$7:$AB$20,MATCH(C233,$Y$7:$Y$20,0),$AB$6))&lt;&gt;"",INDEX(BDHK2,MATCH(B230,DiemHKII!$B$4:$B$58,0),INDEX($Y$7:$AB$20,MATCH(C233,$Y$7:$Y$20,0),$AB$6)),"/"),"")</f>
        <v>/</v>
      </c>
      <c r="G233" s="88"/>
      <c r="H233" s="79" t="s">
        <v>191</v>
      </c>
      <c r="I233" s="81" t="s">
        <v>26</v>
      </c>
      <c r="J233" s="35">
        <f>IF(H230&lt;&gt;"",IF(INDEX(BDHK2,MATCH(H230,DiemHKII!$B$4:$B$58,0),INDEX($Y$7:$AB$20,MATCH(I233,$Y$7:$Y$20,0),$Z$6))&lt;&gt;"",INDEX(BDHK2,MATCH(H230,DiemHKII!$B$4:$B$58,0),INDEX($Y$7:$AB$20,MATCH(I233,$Y$7:$Y$20,0),$Z$6)),"/"),"")</f>
        <v>9.3000000000000007</v>
      </c>
      <c r="K233" s="35" t="str">
        <f>IF(H230&lt;&gt;"",IF(INDEX(BDHK2,MATCH(H230,DiemHKII!$B$4:$B$58,0),INDEX($Y$7:$AB$20,MATCH(I233,$Y$7:$Y$20,0),$AA$6))&lt;&gt;"",INDEX(BDHK2,MATCH(H230,DiemHKII!$B$4:$B$58,0),INDEX($Y$7:$AB$20,MATCH(I233,$Y$7:$Y$20,0),$AA$6)),"/"),"")</f>
        <v>/</v>
      </c>
      <c r="L233" s="35" t="str">
        <f>IF(H230&lt;&gt;"",IF(INDEX(BDHK2,MATCH(H230,DiemHKII!$B$4:$B$58,0),INDEX($Y$7:$AB$20,MATCH(I233,$Y$7:$Y$20,0),$AB$6))&lt;&gt;"",INDEX(BDHK2,MATCH(H230,DiemHKII!$B$4:$B$58,0),INDEX($Y$7:$AB$20,MATCH(I233,$Y$7:$Y$20,0),$AB$6)),"/"),"")</f>
        <v>/</v>
      </c>
      <c r="M233" s="88"/>
      <c r="N233" s="79" t="s">
        <v>191</v>
      </c>
      <c r="O233" s="81" t="s">
        <v>26</v>
      </c>
      <c r="P233" s="35">
        <f>IF(N230&lt;&gt;"",IF(INDEX(BDHK2,MATCH(N230,DiemHKII!$B$4:$B$58,0),INDEX($Y$7:$AB$20,MATCH(O233,$Y$7:$Y$20,0),$Z$6))&lt;&gt;"",INDEX(BDHK2,MATCH(N230,DiemHKII!$B$4:$B$58,0),INDEX($Y$7:$AB$20,MATCH(O233,$Y$7:$Y$20,0),$Z$6)),"/"),"")</f>
        <v>9.6</v>
      </c>
      <c r="Q233" s="35" t="str">
        <f>IF(N230&lt;&gt;"",IF(INDEX(BDHK2,MATCH(N230,DiemHKII!$B$4:$B$58,0),INDEX($Y$7:$AB$20,MATCH(O233,$Y$7:$Y$20,0),$AA$6))&lt;&gt;"",INDEX(BDHK2,MATCH(N230,DiemHKII!$B$4:$B$58,0),INDEX($Y$7:$AB$20,MATCH(O233,$Y$7:$Y$20,0),$AA$6)),"/"),"")</f>
        <v>/</v>
      </c>
      <c r="R233" s="35" t="str">
        <f>IF(N230&lt;&gt;"",IF(INDEX(BDHK2,MATCH(N230,DiemHKII!$B$4:$B$58,0),INDEX($Y$7:$AB$20,MATCH(O233,$Y$7:$Y$20,0),$AB$6))&lt;&gt;"",INDEX(BDHK2,MATCH(N230,DiemHKII!$B$4:$B$58,0),INDEX($Y$7:$AB$20,MATCH(O233,$Y$7:$Y$20,0),$AB$6)),"/"),"")</f>
        <v>/</v>
      </c>
      <c r="S233" s="88"/>
    </row>
    <row r="234" spans="1:19" ht="15.6" customHeight="1">
      <c r="A234" s="88"/>
      <c r="B234" s="79" t="s">
        <v>192</v>
      </c>
      <c r="C234" s="81" t="s">
        <v>27</v>
      </c>
      <c r="D234" s="35">
        <f>IF(B230&lt;&gt;"",IF(INDEX(BDHK2,MATCH(B230,DiemHKII!$B$4:$B$58,0),INDEX($Y$7:$AB$20,MATCH(C234,$Y$7:$Y$20,0),$Z$6))&lt;&gt;"",INDEX(BDHK2,MATCH(B230,DiemHKII!$B$4:$B$58,0),INDEX($Y$7:$AB$20,MATCH(C234,$Y$7:$Y$20,0),$Z$6)),"/"),"")</f>
        <v>9.6999999999999993</v>
      </c>
      <c r="E234" s="35" t="str">
        <f>IF(B230&lt;&gt;"",IF(INDEX(BDHK2,MATCH(B230,DiemHKII!$B$4:$B$58,0),INDEX($Y$7:$AB$20,MATCH(C234,$Y$7:$Y$20,0),$AA$6))&lt;&gt;"",INDEX(BDHK2,MATCH(B230,DiemHKII!$B$4:$B$58,0),INDEX($Y$7:$AB$20,MATCH(C234,$Y$7:$Y$20,0),$AA$6)),"/"),"")</f>
        <v>/</v>
      </c>
      <c r="F234" s="35" t="str">
        <f>IF(B230&lt;&gt;"",IF(INDEX(BDHK2,MATCH(B230,DiemHKII!$B$4:$B$58,0),INDEX($Y$7:$AB$20,MATCH(C234,$Y$7:$Y$20,0),$AB$6))&lt;&gt;"",INDEX(BDHK2,MATCH(B230,DiemHKII!$B$4:$B$58,0),INDEX($Y$7:$AB$20,MATCH(C234,$Y$7:$Y$20,0),$AB$6)),"/"),"")</f>
        <v>/</v>
      </c>
      <c r="G234" s="88"/>
      <c r="H234" s="79" t="s">
        <v>192</v>
      </c>
      <c r="I234" s="81" t="s">
        <v>27</v>
      </c>
      <c r="J234" s="35">
        <f>IF(H230&lt;&gt;"",IF(INDEX(BDHK2,MATCH(H230,DiemHKII!$B$4:$B$58,0),INDEX($Y$7:$AB$20,MATCH(I234,$Y$7:$Y$20,0),$Z$6))&lt;&gt;"",INDEX(BDHK2,MATCH(H230,DiemHKII!$B$4:$B$58,0),INDEX($Y$7:$AB$20,MATCH(I234,$Y$7:$Y$20,0),$Z$6)),"/"),"")</f>
        <v>9.6999999999999993</v>
      </c>
      <c r="K234" s="35" t="str">
        <f>IF(H230&lt;&gt;"",IF(INDEX(BDHK2,MATCH(H230,DiemHKII!$B$4:$B$58,0),INDEX($Y$7:$AB$20,MATCH(I234,$Y$7:$Y$20,0),$AA$6))&lt;&gt;"",INDEX(BDHK2,MATCH(H230,DiemHKII!$B$4:$B$58,0),INDEX($Y$7:$AB$20,MATCH(I234,$Y$7:$Y$20,0),$AA$6)),"/"),"")</f>
        <v>/</v>
      </c>
      <c r="L234" s="35" t="str">
        <f>IF(H230&lt;&gt;"",IF(INDEX(BDHK2,MATCH(H230,DiemHKII!$B$4:$B$58,0),INDEX($Y$7:$AB$20,MATCH(I234,$Y$7:$Y$20,0),$AB$6))&lt;&gt;"",INDEX(BDHK2,MATCH(H230,DiemHKII!$B$4:$B$58,0),INDEX($Y$7:$AB$20,MATCH(I234,$Y$7:$Y$20,0),$AB$6)),"/"),"")</f>
        <v>/</v>
      </c>
      <c r="M234" s="88"/>
      <c r="N234" s="79" t="s">
        <v>192</v>
      </c>
      <c r="O234" s="81" t="s">
        <v>27</v>
      </c>
      <c r="P234" s="35">
        <f>IF(N230&lt;&gt;"",IF(INDEX(BDHK2,MATCH(N230,DiemHKII!$B$4:$B$58,0),INDEX($Y$7:$AB$20,MATCH(O234,$Y$7:$Y$20,0),$Z$6))&lt;&gt;"",INDEX(BDHK2,MATCH(N230,DiemHKII!$B$4:$B$58,0),INDEX($Y$7:$AB$20,MATCH(O234,$Y$7:$Y$20,0),$Z$6)),"/"),"")</f>
        <v>9.9</v>
      </c>
      <c r="Q234" s="35" t="str">
        <f>IF(N230&lt;&gt;"",IF(INDEX(BDHK2,MATCH(N230,DiemHKII!$B$4:$B$58,0),INDEX($Y$7:$AB$20,MATCH(O234,$Y$7:$Y$20,0),$AA$6))&lt;&gt;"",INDEX(BDHK2,MATCH(N230,DiemHKII!$B$4:$B$58,0),INDEX($Y$7:$AB$20,MATCH(O234,$Y$7:$Y$20,0),$AA$6)),"/"),"")</f>
        <v>/</v>
      </c>
      <c r="R234" s="35" t="str">
        <f>IF(N230&lt;&gt;"",IF(INDEX(BDHK2,MATCH(N230,DiemHKII!$B$4:$B$58,0),INDEX($Y$7:$AB$20,MATCH(O234,$Y$7:$Y$20,0),$AB$6))&lt;&gt;"",INDEX(BDHK2,MATCH(N230,DiemHKII!$B$4:$B$58,0),INDEX($Y$7:$AB$20,MATCH(O234,$Y$7:$Y$20,0),$AB$6)),"/"),"")</f>
        <v>/</v>
      </c>
      <c r="S234" s="88"/>
    </row>
    <row r="235" spans="1:19" ht="15.6" customHeight="1">
      <c r="A235" s="88"/>
      <c r="B235" s="79" t="s">
        <v>193</v>
      </c>
      <c r="C235" s="81" t="s">
        <v>28</v>
      </c>
      <c r="D235" s="35">
        <f>IF(B230&lt;&gt;"",IF(INDEX(BDHK2,MATCH(B230,DiemHKII!$B$4:$B$58,0),INDEX($Y$7:$AB$20,MATCH(C235,$Y$7:$Y$20,0),$Z$6))&lt;&gt;"",INDEX(BDHK2,MATCH(B230,DiemHKII!$B$4:$B$58,0),INDEX($Y$7:$AB$20,MATCH(C235,$Y$7:$Y$20,0),$Z$6)),"/"),"")</f>
        <v>9.8000000000000007</v>
      </c>
      <c r="E235" s="35" t="str">
        <f>IF(B230&lt;&gt;"",IF(INDEX(BDHK2,MATCH(B230,DiemHKII!$B$4:$B$58,0),INDEX($Y$7:$AB$20,MATCH(C235,$Y$7:$Y$20,0),$AA$6))&lt;&gt;"",INDEX(BDHK2,MATCH(B230,DiemHKII!$B$4:$B$58,0),INDEX($Y$7:$AB$20,MATCH(C235,$Y$7:$Y$20,0),$AA$6)),"/"),"")</f>
        <v>/</v>
      </c>
      <c r="F235" s="35" t="str">
        <f>IF(B230&lt;&gt;"",IF(INDEX(BDHK2,MATCH(B230,DiemHKII!$B$4:$B$58,0),INDEX($Y$7:$AB$20,MATCH(C235,$Y$7:$Y$20,0),$AB$6))&lt;&gt;"",INDEX(BDHK2,MATCH(B230,DiemHKII!$B$4:$B$58,0),INDEX($Y$7:$AB$20,MATCH(C235,$Y$7:$Y$20,0),$AB$6)),"/"),"")</f>
        <v>/</v>
      </c>
      <c r="G235" s="88"/>
      <c r="H235" s="79" t="s">
        <v>193</v>
      </c>
      <c r="I235" s="81" t="s">
        <v>28</v>
      </c>
      <c r="J235" s="35">
        <f>IF(H230&lt;&gt;"",IF(INDEX(BDHK2,MATCH(H230,DiemHKII!$B$4:$B$58,0),INDEX($Y$7:$AB$20,MATCH(I235,$Y$7:$Y$20,0),$Z$6))&lt;&gt;"",INDEX(BDHK2,MATCH(H230,DiemHKII!$B$4:$B$58,0),INDEX($Y$7:$AB$20,MATCH(I235,$Y$7:$Y$20,0),$Z$6)),"/"),"")</f>
        <v>9.5</v>
      </c>
      <c r="K235" s="35" t="str">
        <f>IF(H230&lt;&gt;"",IF(INDEX(BDHK2,MATCH(H230,DiemHKII!$B$4:$B$58,0),INDEX($Y$7:$AB$20,MATCH(I235,$Y$7:$Y$20,0),$AA$6))&lt;&gt;"",INDEX(BDHK2,MATCH(H230,DiemHKII!$B$4:$B$58,0),INDEX($Y$7:$AB$20,MATCH(I235,$Y$7:$Y$20,0),$AA$6)),"/"),"")</f>
        <v>/</v>
      </c>
      <c r="L235" s="35" t="str">
        <f>IF(H230&lt;&gt;"",IF(INDEX(BDHK2,MATCH(H230,DiemHKII!$B$4:$B$58,0),INDEX($Y$7:$AB$20,MATCH(I235,$Y$7:$Y$20,0),$AB$6))&lt;&gt;"",INDEX(BDHK2,MATCH(H230,DiemHKII!$B$4:$B$58,0),INDEX($Y$7:$AB$20,MATCH(I235,$Y$7:$Y$20,0),$AB$6)),"/"),"")</f>
        <v>/</v>
      </c>
      <c r="M235" s="88"/>
      <c r="N235" s="79" t="s">
        <v>193</v>
      </c>
      <c r="O235" s="81" t="s">
        <v>28</v>
      </c>
      <c r="P235" s="35">
        <f>IF(N230&lt;&gt;"",IF(INDEX(BDHK2,MATCH(N230,DiemHKII!$B$4:$B$58,0),INDEX($Y$7:$AB$20,MATCH(O235,$Y$7:$Y$20,0),$Z$6))&lt;&gt;"",INDEX(BDHK2,MATCH(N230,DiemHKII!$B$4:$B$58,0),INDEX($Y$7:$AB$20,MATCH(O235,$Y$7:$Y$20,0),$Z$6)),"/"),"")</f>
        <v>9.4</v>
      </c>
      <c r="Q235" s="35" t="str">
        <f>IF(N230&lt;&gt;"",IF(INDEX(BDHK2,MATCH(N230,DiemHKII!$B$4:$B$58,0),INDEX($Y$7:$AB$20,MATCH(O235,$Y$7:$Y$20,0),$AA$6))&lt;&gt;"",INDEX(BDHK2,MATCH(N230,DiemHKII!$B$4:$B$58,0),INDEX($Y$7:$AB$20,MATCH(O235,$Y$7:$Y$20,0),$AA$6)),"/"),"")</f>
        <v>/</v>
      </c>
      <c r="R235" s="35" t="str">
        <f>IF(N230&lt;&gt;"",IF(INDEX(BDHK2,MATCH(N230,DiemHKII!$B$4:$B$58,0),INDEX($Y$7:$AB$20,MATCH(O235,$Y$7:$Y$20,0),$AB$6))&lt;&gt;"",INDEX(BDHK2,MATCH(N230,DiemHKII!$B$4:$B$58,0),INDEX($Y$7:$AB$20,MATCH(O235,$Y$7:$Y$20,0),$AB$6)),"/"),"")</f>
        <v>/</v>
      </c>
      <c r="S235" s="88"/>
    </row>
    <row r="236" spans="1:19" ht="15.6" customHeight="1">
      <c r="A236" s="88"/>
      <c r="B236" s="79" t="s">
        <v>194</v>
      </c>
      <c r="C236" s="81" t="s">
        <v>29</v>
      </c>
      <c r="D236" s="35">
        <f>IF(B230&lt;&gt;"",IF(INDEX(BDHK2,MATCH(B230,DiemHKII!$B$4:$B$58,0),INDEX($Y$7:$AB$20,MATCH(C236,$Y$7:$Y$20,0),$Z$6))&lt;&gt;"",INDEX(BDHK2,MATCH(B230,DiemHKII!$B$4:$B$58,0),INDEX($Y$7:$AB$20,MATCH(C236,$Y$7:$Y$20,0),$Z$6)),"/"),"")</f>
        <v>8.9</v>
      </c>
      <c r="E236" s="35" t="str">
        <f>IF(B230&lt;&gt;"",IF(INDEX(BDHK2,MATCH(B230,DiemHKII!$B$4:$B$58,0),INDEX($Y$7:$AB$20,MATCH(C236,$Y$7:$Y$20,0),$AA$6))&lt;&gt;"",INDEX(BDHK2,MATCH(B230,DiemHKII!$B$4:$B$58,0),INDEX($Y$7:$AB$20,MATCH(C236,$Y$7:$Y$20,0),$AA$6)),"/"),"")</f>
        <v>/</v>
      </c>
      <c r="F236" s="35" t="str">
        <f>IF(B230&lt;&gt;"",IF(INDEX(BDHK2,MATCH(B230,DiemHKII!$B$4:$B$58,0),INDEX($Y$7:$AB$20,MATCH(C236,$Y$7:$Y$20,0),$AB$6))&lt;&gt;"",INDEX(BDHK2,MATCH(B230,DiemHKII!$B$4:$B$58,0),INDEX($Y$7:$AB$20,MATCH(C236,$Y$7:$Y$20,0),$AB$6)),"/"),"")</f>
        <v>/</v>
      </c>
      <c r="G236" s="88"/>
      <c r="H236" s="79" t="s">
        <v>194</v>
      </c>
      <c r="I236" s="81" t="s">
        <v>29</v>
      </c>
      <c r="J236" s="35">
        <f>IF(H230&lt;&gt;"",IF(INDEX(BDHK2,MATCH(H230,DiemHKII!$B$4:$B$58,0),INDEX($Y$7:$AB$20,MATCH(I236,$Y$7:$Y$20,0),$Z$6))&lt;&gt;"",INDEX(BDHK2,MATCH(H230,DiemHKII!$B$4:$B$58,0),INDEX($Y$7:$AB$20,MATCH(I236,$Y$7:$Y$20,0),$Z$6)),"/"),"")</f>
        <v>9</v>
      </c>
      <c r="K236" s="35" t="str">
        <f>IF(H230&lt;&gt;"",IF(INDEX(BDHK2,MATCH(H230,DiemHKII!$B$4:$B$58,0),INDEX($Y$7:$AB$20,MATCH(I236,$Y$7:$Y$20,0),$AA$6))&lt;&gt;"",INDEX(BDHK2,MATCH(H230,DiemHKII!$B$4:$B$58,0),INDEX($Y$7:$AB$20,MATCH(I236,$Y$7:$Y$20,0),$AA$6)),"/"),"")</f>
        <v>/</v>
      </c>
      <c r="L236" s="35" t="str">
        <f>IF(H230&lt;&gt;"",IF(INDEX(BDHK2,MATCH(H230,DiemHKII!$B$4:$B$58,0),INDEX($Y$7:$AB$20,MATCH(I236,$Y$7:$Y$20,0),$AB$6))&lt;&gt;"",INDEX(BDHK2,MATCH(H230,DiemHKII!$B$4:$B$58,0),INDEX($Y$7:$AB$20,MATCH(I236,$Y$7:$Y$20,0),$AB$6)),"/"),"")</f>
        <v>/</v>
      </c>
      <c r="M236" s="88"/>
      <c r="N236" s="79" t="s">
        <v>194</v>
      </c>
      <c r="O236" s="81" t="s">
        <v>29</v>
      </c>
      <c r="P236" s="35">
        <f>IF(N230&lt;&gt;"",IF(INDEX(BDHK2,MATCH(N230,DiemHKII!$B$4:$B$58,0),INDEX($Y$7:$AB$20,MATCH(O236,$Y$7:$Y$20,0),$Z$6))&lt;&gt;"",INDEX(BDHK2,MATCH(N230,DiemHKII!$B$4:$B$58,0),INDEX($Y$7:$AB$20,MATCH(O236,$Y$7:$Y$20,0),$Z$6)),"/"),"")</f>
        <v>8.9</v>
      </c>
      <c r="Q236" s="35" t="str">
        <f>IF(N230&lt;&gt;"",IF(INDEX(BDHK2,MATCH(N230,DiemHKII!$B$4:$B$58,0),INDEX($Y$7:$AB$20,MATCH(O236,$Y$7:$Y$20,0),$AA$6))&lt;&gt;"",INDEX(BDHK2,MATCH(N230,DiemHKII!$B$4:$B$58,0),INDEX($Y$7:$AB$20,MATCH(O236,$Y$7:$Y$20,0),$AA$6)),"/"),"")</f>
        <v>/</v>
      </c>
      <c r="R236" s="35" t="str">
        <f>IF(N230&lt;&gt;"",IF(INDEX(BDHK2,MATCH(N230,DiemHKII!$B$4:$B$58,0),INDEX($Y$7:$AB$20,MATCH(O236,$Y$7:$Y$20,0),$AB$6))&lt;&gt;"",INDEX(BDHK2,MATCH(N230,DiemHKII!$B$4:$B$58,0),INDEX($Y$7:$AB$20,MATCH(O236,$Y$7:$Y$20,0),$AB$6)),"/"),"")</f>
        <v>/</v>
      </c>
      <c r="S236" s="88"/>
    </row>
    <row r="237" spans="1:19" ht="15.6" customHeight="1">
      <c r="A237" s="88"/>
      <c r="B237" s="79" t="s">
        <v>195</v>
      </c>
      <c r="C237" s="81" t="s">
        <v>120</v>
      </c>
      <c r="D237" s="35">
        <f>IF(B230&lt;&gt;"",IF(INDEX(BDHK2,MATCH(B230,DiemHKII!$B$4:$B$58,0),INDEX($Y$7:$AB$20,MATCH(C237,$Y$7:$Y$20,0),$Z$6))&lt;&gt;"",INDEX(BDHK2,MATCH(B230,DiemHKII!$B$4:$B$58,0),INDEX($Y$7:$AB$20,MATCH(C237,$Y$7:$Y$20,0),$Z$6)),"/"),"")</f>
        <v>9.8000000000000007</v>
      </c>
      <c r="E237" s="35" t="str">
        <f>IF(B230&lt;&gt;"",IF(INDEX(BDHK2,MATCH(B230,DiemHKII!$B$4:$B$58,0),INDEX($Y$7:$AB$20,MATCH(C237,$Y$7:$Y$20,0),$AA$6))&lt;&gt;"",INDEX(BDHK2,MATCH(B230,DiemHKII!$B$4:$B$58,0),INDEX($Y$7:$AB$20,MATCH(C237,$Y$7:$Y$20,0),$AA$6)),"/"),"")</f>
        <v>/</v>
      </c>
      <c r="F237" s="35" t="str">
        <f>IF(B230&lt;&gt;"",IF(INDEX(BDHK2,MATCH(B230,DiemHKII!$B$4:$B$58,0),INDEX($Y$7:$AB$20,MATCH(C237,$Y$7:$Y$20,0),$AB$6))&lt;&gt;"",INDEX(BDHK2,MATCH(B230,DiemHKII!$B$4:$B$58,0),INDEX($Y$7:$AB$20,MATCH(C237,$Y$7:$Y$20,0),$AB$6)),"/"),"")</f>
        <v>/</v>
      </c>
      <c r="G237" s="88"/>
      <c r="H237" s="79" t="s">
        <v>195</v>
      </c>
      <c r="I237" s="81" t="s">
        <v>120</v>
      </c>
      <c r="J237" s="35">
        <f>IF(H230&lt;&gt;"",IF(INDEX(BDHK2,MATCH(H230,DiemHKII!$B$4:$B$58,0),INDEX($Y$7:$AB$20,MATCH(I237,$Y$7:$Y$20,0),$Z$6))&lt;&gt;"",INDEX(BDHK2,MATCH(H230,DiemHKII!$B$4:$B$58,0),INDEX($Y$7:$AB$20,MATCH(I237,$Y$7:$Y$20,0),$Z$6)),"/"),"")</f>
        <v>9.6</v>
      </c>
      <c r="K237" s="35" t="str">
        <f>IF(H230&lt;&gt;"",IF(INDEX(BDHK2,MATCH(H230,DiemHKII!$B$4:$B$58,0),INDEX($Y$7:$AB$20,MATCH(I237,$Y$7:$Y$20,0),$AA$6))&lt;&gt;"",INDEX(BDHK2,MATCH(H230,DiemHKII!$B$4:$B$58,0),INDEX($Y$7:$AB$20,MATCH(I237,$Y$7:$Y$20,0),$AA$6)),"/"),"")</f>
        <v>/</v>
      </c>
      <c r="L237" s="35" t="str">
        <f>IF(H230&lt;&gt;"",IF(INDEX(BDHK2,MATCH(H230,DiemHKII!$B$4:$B$58,0),INDEX($Y$7:$AB$20,MATCH(I237,$Y$7:$Y$20,0),$AB$6))&lt;&gt;"",INDEX(BDHK2,MATCH(H230,DiemHKII!$B$4:$B$58,0),INDEX($Y$7:$AB$20,MATCH(I237,$Y$7:$Y$20,0),$AB$6)),"/"),"")</f>
        <v>/</v>
      </c>
      <c r="M237" s="88"/>
      <c r="N237" s="79" t="s">
        <v>195</v>
      </c>
      <c r="O237" s="81" t="s">
        <v>120</v>
      </c>
      <c r="P237" s="35">
        <f>IF(N230&lt;&gt;"",IF(INDEX(BDHK2,MATCH(N230,DiemHKII!$B$4:$B$58,0),INDEX($Y$7:$AB$20,MATCH(O237,$Y$7:$Y$20,0),$Z$6))&lt;&gt;"",INDEX(BDHK2,MATCH(N230,DiemHKII!$B$4:$B$58,0),INDEX($Y$7:$AB$20,MATCH(O237,$Y$7:$Y$20,0),$Z$6)),"/"),"")</f>
        <v>9.8000000000000007</v>
      </c>
      <c r="Q237" s="35" t="str">
        <f>IF(N230&lt;&gt;"",IF(INDEX(BDHK2,MATCH(N230,DiemHKII!$B$4:$B$58,0),INDEX($Y$7:$AB$20,MATCH(O237,$Y$7:$Y$20,0),$AA$6))&lt;&gt;"",INDEX(BDHK2,MATCH(N230,DiemHKII!$B$4:$B$58,0),INDEX($Y$7:$AB$20,MATCH(O237,$Y$7:$Y$20,0),$AA$6)),"/"),"")</f>
        <v>/</v>
      </c>
      <c r="R237" s="35" t="str">
        <f>IF(N230&lt;&gt;"",IF(INDEX(BDHK2,MATCH(N230,DiemHKII!$B$4:$B$58,0),INDEX($Y$7:$AB$20,MATCH(O237,$Y$7:$Y$20,0),$AB$6))&lt;&gt;"",INDEX(BDHK2,MATCH(N230,DiemHKII!$B$4:$B$58,0),INDEX($Y$7:$AB$20,MATCH(O237,$Y$7:$Y$20,0),$AB$6)),"/"),"")</f>
        <v>/</v>
      </c>
      <c r="S237" s="88"/>
    </row>
    <row r="238" spans="1:19" ht="15.6" customHeight="1">
      <c r="A238" s="88"/>
      <c r="B238" s="79" t="s">
        <v>196</v>
      </c>
      <c r="C238" s="81" t="s">
        <v>30</v>
      </c>
      <c r="D238" s="35">
        <f>IF(B230&lt;&gt;"",IF(INDEX(BDHK2,MATCH(B230,DiemHKII!$B$4:$B$58,0),INDEX($Y$7:$AB$20,MATCH(C238,$Y$7:$Y$20,0),$Z$6))&lt;&gt;"",INDEX(BDHK2,MATCH(B230,DiemHKII!$B$4:$B$58,0),INDEX($Y$7:$AB$20,MATCH(C238,$Y$7:$Y$20,0),$Z$6)),"/"),"")</f>
        <v>7.9</v>
      </c>
      <c r="E238" s="35" t="str">
        <f>IF(B230&lt;&gt;"",IF(INDEX(BDHK2,MATCH(B230,DiemHKII!$B$4:$B$58,0),INDEX($Y$7:$AB$20,MATCH(C238,$Y$7:$Y$20,0),$AA$6))&lt;&gt;"",INDEX(BDHK2,MATCH(B230,DiemHKII!$B$4:$B$58,0),INDEX($Y$7:$AB$20,MATCH(C238,$Y$7:$Y$20,0),$AA$6)),"/"),"")</f>
        <v>/</v>
      </c>
      <c r="F238" s="35" t="str">
        <f>IF(B230&lt;&gt;"",IF(INDEX(BDHK2,MATCH(B230,DiemHKII!$B$4:$B$58,0),INDEX($Y$7:$AB$20,MATCH(C238,$Y$7:$Y$20,0),$AB$6))&lt;&gt;"",INDEX(BDHK2,MATCH(B230,DiemHKII!$B$4:$B$58,0),INDEX($Y$7:$AB$20,MATCH(C238,$Y$7:$Y$20,0),$AB$6)),"/"),"")</f>
        <v>/</v>
      </c>
      <c r="G238" s="88"/>
      <c r="H238" s="79" t="s">
        <v>196</v>
      </c>
      <c r="I238" s="81" t="s">
        <v>30</v>
      </c>
      <c r="J238" s="35">
        <f>IF(H230&lt;&gt;"",IF(INDEX(BDHK2,MATCH(H230,DiemHKII!$B$4:$B$58,0),INDEX($Y$7:$AB$20,MATCH(I238,$Y$7:$Y$20,0),$Z$6))&lt;&gt;"",INDEX(BDHK2,MATCH(H230,DiemHKII!$B$4:$B$58,0),INDEX($Y$7:$AB$20,MATCH(I238,$Y$7:$Y$20,0),$Z$6)),"/"),"")</f>
        <v>7.3</v>
      </c>
      <c r="K238" s="35" t="str">
        <f>IF(H230&lt;&gt;"",IF(INDEX(BDHK2,MATCH(H230,DiemHKII!$B$4:$B$58,0),INDEX($Y$7:$AB$20,MATCH(I238,$Y$7:$Y$20,0),$AA$6))&lt;&gt;"",INDEX(BDHK2,MATCH(H230,DiemHKII!$B$4:$B$58,0),INDEX($Y$7:$AB$20,MATCH(I238,$Y$7:$Y$20,0),$AA$6)),"/"),"")</f>
        <v>/</v>
      </c>
      <c r="L238" s="35" t="str">
        <f>IF(H230&lt;&gt;"",IF(INDEX(BDHK2,MATCH(H230,DiemHKII!$B$4:$B$58,0),INDEX($Y$7:$AB$20,MATCH(I238,$Y$7:$Y$20,0),$AB$6))&lt;&gt;"",INDEX(BDHK2,MATCH(H230,DiemHKII!$B$4:$B$58,0),INDEX($Y$7:$AB$20,MATCH(I238,$Y$7:$Y$20,0),$AB$6)),"/"),"")</f>
        <v>/</v>
      </c>
      <c r="M238" s="88"/>
      <c r="N238" s="79" t="s">
        <v>196</v>
      </c>
      <c r="O238" s="81" t="s">
        <v>30</v>
      </c>
      <c r="P238" s="35">
        <f>IF(N230&lt;&gt;"",IF(INDEX(BDHK2,MATCH(N230,DiemHKII!$B$4:$B$58,0),INDEX($Y$7:$AB$20,MATCH(O238,$Y$7:$Y$20,0),$Z$6))&lt;&gt;"",INDEX(BDHK2,MATCH(N230,DiemHKII!$B$4:$B$58,0),INDEX($Y$7:$AB$20,MATCH(O238,$Y$7:$Y$20,0),$Z$6)),"/"),"")</f>
        <v>7.6</v>
      </c>
      <c r="Q238" s="35" t="str">
        <f>IF(N230&lt;&gt;"",IF(INDEX(BDHK2,MATCH(N230,DiemHKII!$B$4:$B$58,0),INDEX($Y$7:$AB$20,MATCH(O238,$Y$7:$Y$20,0),$AA$6))&lt;&gt;"",INDEX(BDHK2,MATCH(N230,DiemHKII!$B$4:$B$58,0),INDEX($Y$7:$AB$20,MATCH(O238,$Y$7:$Y$20,0),$AA$6)),"/"),"")</f>
        <v>/</v>
      </c>
      <c r="R238" s="35" t="str">
        <f>IF(N230&lt;&gt;"",IF(INDEX(BDHK2,MATCH(N230,DiemHKII!$B$4:$B$58,0),INDEX($Y$7:$AB$20,MATCH(O238,$Y$7:$Y$20,0),$AB$6))&lt;&gt;"",INDEX(BDHK2,MATCH(N230,DiemHKII!$B$4:$B$58,0),INDEX($Y$7:$AB$20,MATCH(O238,$Y$7:$Y$20,0),$AB$6)),"/"),"")</f>
        <v>/</v>
      </c>
      <c r="S238" s="88"/>
    </row>
    <row r="239" spans="1:19" ht="15.6" customHeight="1">
      <c r="A239" s="88"/>
      <c r="B239" s="79" t="s">
        <v>197</v>
      </c>
      <c r="C239" s="81" t="s">
        <v>31</v>
      </c>
      <c r="D239" s="35">
        <f>IF(B230&lt;&gt;"",IF(INDEX(BDHK2,MATCH(B230,DiemHKII!$B$4:$B$58,0),INDEX($Y$7:$AB$20,MATCH(C239,$Y$7:$Y$20,0),$Z$6))&lt;&gt;"",INDEX(BDHK2,MATCH(B230,DiemHKII!$B$4:$B$58,0),INDEX($Y$7:$AB$20,MATCH(C239,$Y$7:$Y$20,0),$Z$6)),"/"),"")</f>
        <v>9.8000000000000007</v>
      </c>
      <c r="E239" s="35" t="str">
        <f>IF(B230&lt;&gt;"",IF(INDEX(BDHK2,MATCH(B230,DiemHKII!$B$4:$B$58,0),INDEX($Y$7:$AB$20,MATCH(C239,$Y$7:$Y$20,0),$AA$6))&lt;&gt;"",INDEX(BDHK2,MATCH(B230,DiemHKII!$B$4:$B$58,0),INDEX($Y$7:$AB$20,MATCH(C239,$Y$7:$Y$20,0),$AA$6)),"/"),"")</f>
        <v>/</v>
      </c>
      <c r="F239" s="35" t="str">
        <f>IF(B230&lt;&gt;"",IF(INDEX(BDHK2,MATCH(B230,DiemHKII!$B$4:$B$58,0),INDEX($Y$7:$AB$20,MATCH(C239,$Y$7:$Y$20,0),$AB$6))&lt;&gt;"",INDEX(BDHK2,MATCH(B230,DiemHKII!$B$4:$B$58,0),INDEX($Y$7:$AB$20,MATCH(C239,$Y$7:$Y$20,0),$AB$6)),"/"),"")</f>
        <v>/</v>
      </c>
      <c r="G239" s="88"/>
      <c r="H239" s="79" t="s">
        <v>197</v>
      </c>
      <c r="I239" s="81" t="s">
        <v>31</v>
      </c>
      <c r="J239" s="35">
        <f>IF(H230&lt;&gt;"",IF(INDEX(BDHK2,MATCH(H230,DiemHKII!$B$4:$B$58,0),INDEX($Y$7:$AB$20,MATCH(I239,$Y$7:$Y$20,0),$Z$6))&lt;&gt;"",INDEX(BDHK2,MATCH(H230,DiemHKII!$B$4:$B$58,0),INDEX($Y$7:$AB$20,MATCH(I239,$Y$7:$Y$20,0),$Z$6)),"/"),"")</f>
        <v>9.4</v>
      </c>
      <c r="K239" s="35" t="str">
        <f>IF(H230&lt;&gt;"",IF(INDEX(BDHK2,MATCH(H230,DiemHKII!$B$4:$B$58,0),INDEX($Y$7:$AB$20,MATCH(I239,$Y$7:$Y$20,0),$AA$6))&lt;&gt;"",INDEX(BDHK2,MATCH(H230,DiemHKII!$B$4:$B$58,0),INDEX($Y$7:$AB$20,MATCH(I239,$Y$7:$Y$20,0),$AA$6)),"/"),"")</f>
        <v>/</v>
      </c>
      <c r="L239" s="35" t="str">
        <f>IF(H230&lt;&gt;"",IF(INDEX(BDHK2,MATCH(H230,DiemHKII!$B$4:$B$58,0),INDEX($Y$7:$AB$20,MATCH(I239,$Y$7:$Y$20,0),$AB$6))&lt;&gt;"",INDEX(BDHK2,MATCH(H230,DiemHKII!$B$4:$B$58,0),INDEX($Y$7:$AB$20,MATCH(I239,$Y$7:$Y$20,0),$AB$6)),"/"),"")</f>
        <v>/</v>
      </c>
      <c r="M239" s="88"/>
      <c r="N239" s="79" t="s">
        <v>197</v>
      </c>
      <c r="O239" s="81" t="s">
        <v>31</v>
      </c>
      <c r="P239" s="35">
        <f>IF(N230&lt;&gt;"",IF(INDEX(BDHK2,MATCH(N230,DiemHKII!$B$4:$B$58,0),INDEX($Y$7:$AB$20,MATCH(O239,$Y$7:$Y$20,0),$Z$6))&lt;&gt;"",INDEX(BDHK2,MATCH(N230,DiemHKII!$B$4:$B$58,0),INDEX($Y$7:$AB$20,MATCH(O239,$Y$7:$Y$20,0),$Z$6)),"/"),"")</f>
        <v>9.9</v>
      </c>
      <c r="Q239" s="35" t="str">
        <f>IF(N230&lt;&gt;"",IF(INDEX(BDHK2,MATCH(N230,DiemHKII!$B$4:$B$58,0),INDEX($Y$7:$AB$20,MATCH(O239,$Y$7:$Y$20,0),$AA$6))&lt;&gt;"",INDEX(BDHK2,MATCH(N230,DiemHKII!$B$4:$B$58,0),INDEX($Y$7:$AB$20,MATCH(O239,$Y$7:$Y$20,0),$AA$6)),"/"),"")</f>
        <v>/</v>
      </c>
      <c r="R239" s="35" t="str">
        <f>IF(N230&lt;&gt;"",IF(INDEX(BDHK2,MATCH(N230,DiemHKII!$B$4:$B$58,0),INDEX($Y$7:$AB$20,MATCH(O239,$Y$7:$Y$20,0),$AB$6))&lt;&gt;"",INDEX(BDHK2,MATCH(N230,DiemHKII!$B$4:$B$58,0),INDEX($Y$7:$AB$20,MATCH(O239,$Y$7:$Y$20,0),$AB$6)),"/"),"")</f>
        <v>/</v>
      </c>
      <c r="S239" s="88"/>
    </row>
    <row r="240" spans="1:19" ht="15.6" customHeight="1">
      <c r="A240" s="88"/>
      <c r="B240" s="79" t="s">
        <v>198</v>
      </c>
      <c r="C240" s="81" t="s">
        <v>32</v>
      </c>
      <c r="D240" s="35">
        <f>IF(B230&lt;&gt;"",IF(INDEX(BDHK2,MATCH(B230,DiemHKII!$B$4:$B$58,0),INDEX($Y$7:$AB$20,MATCH(C240,$Y$7:$Y$20,0),$Z$6))&lt;&gt;"",INDEX(BDHK2,MATCH(B230,DiemHKII!$B$4:$B$58,0),INDEX($Y$7:$AB$20,MATCH(C240,$Y$7:$Y$20,0),$Z$6)),"/"),"")</f>
        <v>9.8000000000000007</v>
      </c>
      <c r="E240" s="35" t="str">
        <f>IF(B230&lt;&gt;"",IF(INDEX(BDHK2,MATCH(B230,DiemHKII!$B$4:$B$58,0),INDEX($Y$7:$AB$20,MATCH(C240,$Y$7:$Y$20,0),$AA$6))&lt;&gt;"",INDEX(BDHK2,MATCH(B230,DiemHKII!$B$4:$B$58,0),INDEX($Y$7:$AB$20,MATCH(C240,$Y$7:$Y$20,0),$AA$6)),"/"),"")</f>
        <v>/</v>
      </c>
      <c r="F240" s="35" t="str">
        <f>IF(B230&lt;&gt;"",IF(INDEX(BDHK2,MATCH(B230,DiemHKII!$B$4:$B$58,0),INDEX($Y$7:$AB$20,MATCH(C240,$Y$7:$Y$20,0),$AB$6))&lt;&gt;"",INDEX(BDHK2,MATCH(B230,DiemHKII!$B$4:$B$58,0),INDEX($Y$7:$AB$20,MATCH(C240,$Y$7:$Y$20,0),$AB$6)),"/"),"")</f>
        <v>/</v>
      </c>
      <c r="G240" s="88"/>
      <c r="H240" s="79" t="s">
        <v>198</v>
      </c>
      <c r="I240" s="81" t="s">
        <v>32</v>
      </c>
      <c r="J240" s="35">
        <f>IF(H230&lt;&gt;"",IF(INDEX(BDHK2,MATCH(H230,DiemHKII!$B$4:$B$58,0),INDEX($Y$7:$AB$20,MATCH(I240,$Y$7:$Y$20,0),$Z$6))&lt;&gt;"",INDEX(BDHK2,MATCH(H230,DiemHKII!$B$4:$B$58,0),INDEX($Y$7:$AB$20,MATCH(I240,$Y$7:$Y$20,0),$Z$6)),"/"),"")</f>
        <v>9.8000000000000007</v>
      </c>
      <c r="K240" s="35" t="str">
        <f>IF(H230&lt;&gt;"",IF(INDEX(BDHK2,MATCH(H230,DiemHKII!$B$4:$B$58,0),INDEX($Y$7:$AB$20,MATCH(I240,$Y$7:$Y$20,0),$AA$6))&lt;&gt;"",INDEX(BDHK2,MATCH(H230,DiemHKII!$B$4:$B$58,0),INDEX($Y$7:$AB$20,MATCH(I240,$Y$7:$Y$20,0),$AA$6)),"/"),"")</f>
        <v>/</v>
      </c>
      <c r="L240" s="35" t="str">
        <f>IF(H230&lt;&gt;"",IF(INDEX(BDHK2,MATCH(H230,DiemHKII!$B$4:$B$58,0),INDEX($Y$7:$AB$20,MATCH(I240,$Y$7:$Y$20,0),$AB$6))&lt;&gt;"",INDEX(BDHK2,MATCH(H230,DiemHKII!$B$4:$B$58,0),INDEX($Y$7:$AB$20,MATCH(I240,$Y$7:$Y$20,0),$AB$6)),"/"),"")</f>
        <v>/</v>
      </c>
      <c r="M240" s="88"/>
      <c r="N240" s="79" t="s">
        <v>198</v>
      </c>
      <c r="O240" s="81" t="s">
        <v>32</v>
      </c>
      <c r="P240" s="35">
        <f>IF(N230&lt;&gt;"",IF(INDEX(BDHK2,MATCH(N230,DiemHKII!$B$4:$B$58,0),INDEX($Y$7:$AB$20,MATCH(O240,$Y$7:$Y$20,0),$Z$6))&lt;&gt;"",INDEX(BDHK2,MATCH(N230,DiemHKII!$B$4:$B$58,0),INDEX($Y$7:$AB$20,MATCH(O240,$Y$7:$Y$20,0),$Z$6)),"/"),"")</f>
        <v>9.9</v>
      </c>
      <c r="Q240" s="35" t="str">
        <f>IF(N230&lt;&gt;"",IF(INDEX(BDHK2,MATCH(N230,DiemHKII!$B$4:$B$58,0),INDEX($Y$7:$AB$20,MATCH(O240,$Y$7:$Y$20,0),$AA$6))&lt;&gt;"",INDEX(BDHK2,MATCH(N230,DiemHKII!$B$4:$B$58,0),INDEX($Y$7:$AB$20,MATCH(O240,$Y$7:$Y$20,0),$AA$6)),"/"),"")</f>
        <v>/</v>
      </c>
      <c r="R240" s="35" t="str">
        <f>IF(N230&lt;&gt;"",IF(INDEX(BDHK2,MATCH(N230,DiemHKII!$B$4:$B$58,0),INDEX($Y$7:$AB$20,MATCH(O240,$Y$7:$Y$20,0),$AB$6))&lt;&gt;"",INDEX(BDHK2,MATCH(N230,DiemHKII!$B$4:$B$58,0),INDEX($Y$7:$AB$20,MATCH(O240,$Y$7:$Y$20,0),$AB$6)),"/"),"")</f>
        <v>/</v>
      </c>
      <c r="S240" s="88"/>
    </row>
    <row r="241" spans="1:19" ht="15.6" customHeight="1">
      <c r="A241" s="88"/>
      <c r="B241" s="79" t="s">
        <v>199</v>
      </c>
      <c r="C241" s="81" t="s">
        <v>33</v>
      </c>
      <c r="D241" s="35">
        <f>IF(B230&lt;&gt;"",IF(INDEX(BDHK2,MATCH(B230,DiemHKII!$B$4:$B$58,0),INDEX($Y$7:$AB$20,MATCH(C241,$Y$7:$Y$20,0),$Z$6))&lt;&gt;"",INDEX(BDHK2,MATCH(B230,DiemHKII!$B$4:$B$58,0),INDEX($Y$7:$AB$20,MATCH(C241,$Y$7:$Y$20,0),$Z$6)),"/"),"")</f>
        <v>9.6</v>
      </c>
      <c r="E241" s="35" t="str">
        <f>IF(B230&lt;&gt;"",IF(INDEX(BDHK2,MATCH(B230,DiemHKII!$B$4:$B$58,0),INDEX($Y$7:$AB$20,MATCH(C241,$Y$7:$Y$20,0),$AA$6))&lt;&gt;"",INDEX(BDHK2,MATCH(B230,DiemHKII!$B$4:$B$58,0),INDEX($Y$7:$AB$20,MATCH(C241,$Y$7:$Y$20,0),$AA$6)),"/"),"")</f>
        <v>/</v>
      </c>
      <c r="F241" s="35" t="str">
        <f>IF(B230&lt;&gt;"",IF(INDEX(BDHK2,MATCH(B230,DiemHKII!$B$4:$B$58,0),INDEX($Y$7:$AB$20,MATCH(C241,$Y$7:$Y$20,0),$AB$6))&lt;&gt;"",INDEX(BDHK2,MATCH(B230,DiemHKII!$B$4:$B$58,0),INDEX($Y$7:$AB$20,MATCH(C241,$Y$7:$Y$20,0),$AB$6)),"/"),"")</f>
        <v>/</v>
      </c>
      <c r="G241" s="88"/>
      <c r="H241" s="79" t="s">
        <v>199</v>
      </c>
      <c r="I241" s="81" t="s">
        <v>33</v>
      </c>
      <c r="J241" s="35">
        <f>IF(H230&lt;&gt;"",IF(INDEX(BDHK2,MATCH(H230,DiemHKII!$B$4:$B$58,0),INDEX($Y$7:$AB$20,MATCH(I241,$Y$7:$Y$20,0),$Z$6))&lt;&gt;"",INDEX(BDHK2,MATCH(H230,DiemHKII!$B$4:$B$58,0),INDEX($Y$7:$AB$20,MATCH(I241,$Y$7:$Y$20,0),$Z$6)),"/"),"")</f>
        <v>9.3000000000000007</v>
      </c>
      <c r="K241" s="35" t="str">
        <f>IF(H230&lt;&gt;"",IF(INDEX(BDHK2,MATCH(H230,DiemHKII!$B$4:$B$58,0),INDEX($Y$7:$AB$20,MATCH(I241,$Y$7:$Y$20,0),$AA$6))&lt;&gt;"",INDEX(BDHK2,MATCH(H230,DiemHKII!$B$4:$B$58,0),INDEX($Y$7:$AB$20,MATCH(I241,$Y$7:$Y$20,0),$AA$6)),"/"),"")</f>
        <v>/</v>
      </c>
      <c r="L241" s="35" t="str">
        <f>IF(H230&lt;&gt;"",IF(INDEX(BDHK2,MATCH(H230,DiemHKII!$B$4:$B$58,0),INDEX($Y$7:$AB$20,MATCH(I241,$Y$7:$Y$20,0),$AB$6))&lt;&gt;"",INDEX(BDHK2,MATCH(H230,DiemHKII!$B$4:$B$58,0),INDEX($Y$7:$AB$20,MATCH(I241,$Y$7:$Y$20,0),$AB$6)),"/"),"")</f>
        <v>/</v>
      </c>
      <c r="M241" s="88"/>
      <c r="N241" s="79" t="s">
        <v>199</v>
      </c>
      <c r="O241" s="81" t="s">
        <v>33</v>
      </c>
      <c r="P241" s="35">
        <f>IF(N230&lt;&gt;"",IF(INDEX(BDHK2,MATCH(N230,DiemHKII!$B$4:$B$58,0),INDEX($Y$7:$AB$20,MATCH(O241,$Y$7:$Y$20,0),$Z$6))&lt;&gt;"",INDEX(BDHK2,MATCH(N230,DiemHKII!$B$4:$B$58,0),INDEX($Y$7:$AB$20,MATCH(O241,$Y$7:$Y$20,0),$Z$6)),"/"),"")</f>
        <v>9.1999999999999993</v>
      </c>
      <c r="Q241" s="35" t="str">
        <f>IF(N230&lt;&gt;"",IF(INDEX(BDHK2,MATCH(N230,DiemHKII!$B$4:$B$58,0),INDEX($Y$7:$AB$20,MATCH(O241,$Y$7:$Y$20,0),$AA$6))&lt;&gt;"",INDEX(BDHK2,MATCH(N230,DiemHKII!$B$4:$B$58,0),INDEX($Y$7:$AB$20,MATCH(O241,$Y$7:$Y$20,0),$AA$6)),"/"),"")</f>
        <v>/</v>
      </c>
      <c r="R241" s="35" t="str">
        <f>IF(N230&lt;&gt;"",IF(INDEX(BDHK2,MATCH(N230,DiemHKII!$B$4:$B$58,0),INDEX($Y$7:$AB$20,MATCH(O241,$Y$7:$Y$20,0),$AB$6))&lt;&gt;"",INDEX(BDHK2,MATCH(N230,DiemHKII!$B$4:$B$58,0),INDEX($Y$7:$AB$20,MATCH(O241,$Y$7:$Y$20,0),$AB$6)),"/"),"")</f>
        <v>/</v>
      </c>
      <c r="S241" s="88"/>
    </row>
    <row r="242" spans="1:19" ht="15.6" customHeight="1">
      <c r="A242" s="88"/>
      <c r="B242" s="79" t="s">
        <v>200</v>
      </c>
      <c r="C242" s="81" t="s">
        <v>60</v>
      </c>
      <c r="D242" s="35">
        <f>IF(B230&lt;&gt;"",IF(INDEX(BDHK2,MATCH(B230,DiemHKII!$B$4:$B$58,0),INDEX($Y$7:$AB$20,MATCH(C242,$Y$7:$Y$20,0),$Z$6))&lt;&gt;"",INDEX(BDHK2,MATCH(B230,DiemHKII!$B$4:$B$58,0),INDEX($Y$7:$AB$20,MATCH(C242,$Y$7:$Y$20,0),$Z$6)),"/"),"")</f>
        <v>9.1</v>
      </c>
      <c r="E242" s="35" t="str">
        <f>IF(B230&lt;&gt;"",IF(INDEX(BDHK2,MATCH(B230,DiemHKII!$B$4:$B$58,0),INDEX($Y$7:$AB$20,MATCH(C242,$Y$7:$Y$20,0),$AA$6))&lt;&gt;"",INDEX(BDHK2,MATCH(B230,DiemHKII!$B$4:$B$58,0),INDEX($Y$7:$AB$20,MATCH(C242,$Y$7:$Y$20,0),$AA$6)),"/"),"")</f>
        <v>/</v>
      </c>
      <c r="F242" s="35" t="str">
        <f>IF(B230&lt;&gt;"",IF(INDEX(BDHK2,MATCH(B230,DiemHKII!$B$4:$B$58,0),INDEX($Y$7:$AB$20,MATCH(C242,$Y$7:$Y$20,0),$AB$6))&lt;&gt;"",INDEX(BDHK2,MATCH(B230,DiemHKII!$B$4:$B$58,0),INDEX($Y$7:$AB$20,MATCH(C242,$Y$7:$Y$20,0),$AB$6)),"/"),"")</f>
        <v>/</v>
      </c>
      <c r="G242" s="88"/>
      <c r="H242" s="79" t="s">
        <v>200</v>
      </c>
      <c r="I242" s="81" t="s">
        <v>60</v>
      </c>
      <c r="J242" s="35">
        <f>IF(H230&lt;&gt;"",IF(INDEX(BDHK2,MATCH(H230,DiemHKII!$B$4:$B$58,0),INDEX($Y$7:$AB$20,MATCH(I242,$Y$7:$Y$20,0),$Z$6))&lt;&gt;"",INDEX(BDHK2,MATCH(H230,DiemHKII!$B$4:$B$58,0),INDEX($Y$7:$AB$20,MATCH(I242,$Y$7:$Y$20,0),$Z$6)),"/"),"")</f>
        <v>8.8000000000000007</v>
      </c>
      <c r="K242" s="35" t="str">
        <f>IF(H230&lt;&gt;"",IF(INDEX(BDHK2,MATCH(H230,DiemHKII!$B$4:$B$58,0),INDEX($Y$7:$AB$20,MATCH(I242,$Y$7:$Y$20,0),$AA$6))&lt;&gt;"",INDEX(BDHK2,MATCH(H230,DiemHKII!$B$4:$B$58,0),INDEX($Y$7:$AB$20,MATCH(I242,$Y$7:$Y$20,0),$AA$6)),"/"),"")</f>
        <v>/</v>
      </c>
      <c r="L242" s="35" t="str">
        <f>IF(H230&lt;&gt;"",IF(INDEX(BDHK2,MATCH(H230,DiemHKII!$B$4:$B$58,0),INDEX($Y$7:$AB$20,MATCH(I242,$Y$7:$Y$20,0),$AB$6))&lt;&gt;"",INDEX(BDHK2,MATCH(H230,DiemHKII!$B$4:$B$58,0),INDEX($Y$7:$AB$20,MATCH(I242,$Y$7:$Y$20,0),$AB$6)),"/"),"")</f>
        <v>/</v>
      </c>
      <c r="M242" s="88"/>
      <c r="N242" s="79" t="s">
        <v>200</v>
      </c>
      <c r="O242" s="81" t="s">
        <v>60</v>
      </c>
      <c r="P242" s="35">
        <f>IF(N230&lt;&gt;"",IF(INDEX(BDHK2,MATCH(N230,DiemHKII!$B$4:$B$58,0),INDEX($Y$7:$AB$20,MATCH(O242,$Y$7:$Y$20,0),$Z$6))&lt;&gt;"",INDEX(BDHK2,MATCH(N230,DiemHKII!$B$4:$B$58,0),INDEX($Y$7:$AB$20,MATCH(O242,$Y$7:$Y$20,0),$Z$6)),"/"),"")</f>
        <v>9.5</v>
      </c>
      <c r="Q242" s="35" t="str">
        <f>IF(N230&lt;&gt;"",IF(INDEX(BDHK2,MATCH(N230,DiemHKII!$B$4:$B$58,0),INDEX($Y$7:$AB$20,MATCH(O242,$Y$7:$Y$20,0),$AA$6))&lt;&gt;"",INDEX(BDHK2,MATCH(N230,DiemHKII!$B$4:$B$58,0),INDEX($Y$7:$AB$20,MATCH(O242,$Y$7:$Y$20,0),$AA$6)),"/"),"")</f>
        <v>/</v>
      </c>
      <c r="R242" s="35" t="str">
        <f>IF(N230&lt;&gt;"",IF(INDEX(BDHK2,MATCH(N230,DiemHKII!$B$4:$B$58,0),INDEX($Y$7:$AB$20,MATCH(O242,$Y$7:$Y$20,0),$AB$6))&lt;&gt;"",INDEX(BDHK2,MATCH(N230,DiemHKII!$B$4:$B$58,0),INDEX($Y$7:$AB$20,MATCH(O242,$Y$7:$Y$20,0),$AB$6)),"/"),"")</f>
        <v>/</v>
      </c>
      <c r="S242" s="88"/>
    </row>
    <row r="243" spans="1:19" ht="15.6" customHeight="1">
      <c r="A243" s="88"/>
      <c r="B243" s="79" t="s">
        <v>201</v>
      </c>
      <c r="C243" s="81" t="s">
        <v>34</v>
      </c>
      <c r="D243" s="35">
        <f>IF(B230&lt;&gt;"",IF(INDEX(BDHK2,MATCH(B230,DiemHKII!$B$4:$B$58,0),INDEX($Y$7:$AB$20,MATCH(C243,$Y$7:$Y$20,0),$Z$6))&lt;&gt;"",INDEX(BDHK2,MATCH(B230,DiemHKII!$B$4:$B$58,0),INDEX($Y$7:$AB$20,MATCH(C243,$Y$7:$Y$20,0),$Z$6)),"/"),"")</f>
        <v>9.5</v>
      </c>
      <c r="E243" s="35" t="str">
        <f>IF(B230&lt;&gt;"",IF(INDEX(BDHK2,MATCH(B230,DiemHKII!$B$4:$B$58,0),INDEX($Y$7:$AB$20,MATCH(C243,$Y$7:$Y$20,0),$AA$6))&lt;&gt;"",INDEX(BDHK2,MATCH(B230,DiemHKII!$B$4:$B$58,0),INDEX($Y$7:$AB$20,MATCH(C243,$Y$7:$Y$20,0),$AA$6)),"/"),"")</f>
        <v>/</v>
      </c>
      <c r="F243" s="35" t="str">
        <f>IF(B230&lt;&gt;"",IF(INDEX(BDHK2,MATCH(B230,DiemHKII!$B$4:$B$58,0),INDEX($Y$7:$AB$20,MATCH(C243,$Y$7:$Y$20,0),$AB$6))&lt;&gt;"",INDEX(BDHK2,MATCH(B230,DiemHKII!$B$4:$B$58,0),INDEX($Y$7:$AB$20,MATCH(C243,$Y$7:$Y$20,0),$AB$6)),"/"),"")</f>
        <v>/</v>
      </c>
      <c r="G243" s="88"/>
      <c r="H243" s="79" t="s">
        <v>201</v>
      </c>
      <c r="I243" s="81" t="s">
        <v>34</v>
      </c>
      <c r="J243" s="35">
        <f>IF(H230&lt;&gt;"",IF(INDEX(BDHK2,MATCH(H230,DiemHKII!$B$4:$B$58,0),INDEX($Y$7:$AB$20,MATCH(I243,$Y$7:$Y$20,0),$Z$6))&lt;&gt;"",INDEX(BDHK2,MATCH(H230,DiemHKII!$B$4:$B$58,0),INDEX($Y$7:$AB$20,MATCH(I243,$Y$7:$Y$20,0),$Z$6)),"/"),"")</f>
        <v>9.4</v>
      </c>
      <c r="K243" s="35" t="str">
        <f>IF(H230&lt;&gt;"",IF(INDEX(BDHK2,MATCH(H230,DiemHKII!$B$4:$B$58,0),INDEX($Y$7:$AB$20,MATCH(I243,$Y$7:$Y$20,0),$AA$6))&lt;&gt;"",INDEX(BDHK2,MATCH(H230,DiemHKII!$B$4:$B$58,0),INDEX($Y$7:$AB$20,MATCH(I243,$Y$7:$Y$20,0),$AA$6)),"/"),"")</f>
        <v>/</v>
      </c>
      <c r="L243" s="35" t="str">
        <f>IF(H230&lt;&gt;"",IF(INDEX(BDHK2,MATCH(H230,DiemHKII!$B$4:$B$58,0),INDEX($Y$7:$AB$20,MATCH(I243,$Y$7:$Y$20,0),$AB$6))&lt;&gt;"",INDEX(BDHK2,MATCH(H230,DiemHKII!$B$4:$B$58,0),INDEX($Y$7:$AB$20,MATCH(I243,$Y$7:$Y$20,0),$AB$6)),"/"),"")</f>
        <v>/</v>
      </c>
      <c r="M243" s="88"/>
      <c r="N243" s="79" t="s">
        <v>201</v>
      </c>
      <c r="O243" s="81" t="s">
        <v>34</v>
      </c>
      <c r="P243" s="35">
        <f>IF(N230&lt;&gt;"",IF(INDEX(BDHK2,MATCH(N230,DiemHKII!$B$4:$B$58,0),INDEX($Y$7:$AB$20,MATCH(O243,$Y$7:$Y$20,0),$Z$6))&lt;&gt;"",INDEX(BDHK2,MATCH(N230,DiemHKII!$B$4:$B$58,0),INDEX($Y$7:$AB$20,MATCH(O243,$Y$7:$Y$20,0),$Z$6)),"/"),"")</f>
        <v>9.9</v>
      </c>
      <c r="Q243" s="35" t="str">
        <f>IF(N230&lt;&gt;"",IF(INDEX(BDHK2,MATCH(N230,DiemHKII!$B$4:$B$58,0),INDEX($Y$7:$AB$20,MATCH(O243,$Y$7:$Y$20,0),$AA$6))&lt;&gt;"",INDEX(BDHK2,MATCH(N230,DiemHKII!$B$4:$B$58,0),INDEX($Y$7:$AB$20,MATCH(O243,$Y$7:$Y$20,0),$AA$6)),"/"),"")</f>
        <v>/</v>
      </c>
      <c r="R243" s="35" t="str">
        <f>IF(N230&lt;&gt;"",IF(INDEX(BDHK2,MATCH(N230,DiemHKII!$B$4:$B$58,0),INDEX($Y$7:$AB$20,MATCH(O243,$Y$7:$Y$20,0),$AB$6))&lt;&gt;"",INDEX(BDHK2,MATCH(N230,DiemHKII!$B$4:$B$58,0),INDEX($Y$7:$AB$20,MATCH(O243,$Y$7:$Y$20,0),$AB$6)),"/"),"")</f>
        <v>/</v>
      </c>
      <c r="S243" s="88"/>
    </row>
    <row r="244" spans="1:19" ht="15.6" customHeight="1">
      <c r="A244" s="88"/>
      <c r="B244" s="79" t="s">
        <v>202</v>
      </c>
      <c r="C244" s="81" t="s">
        <v>35</v>
      </c>
      <c r="D244" s="35" t="str">
        <f>IF(B230&lt;&gt;"",IF(INDEX(BDHK2,MATCH(B230,DiemHKII!$B$4:$B$58,0),INDEX($Y$7:$AB$20,MATCH(C244,$Y$7:$Y$20,0),$Z$6))&lt;&gt;"",INDEX(BDHK2,MATCH(B230,DiemHKII!$B$4:$B$58,0),INDEX($Y$7:$AB$20,MATCH(C244,$Y$7:$Y$20,0),$Z$6)),"/"),"")</f>
        <v>Đ</v>
      </c>
      <c r="E244" s="35" t="str">
        <f>IF(B230&lt;&gt;"",IF(INDEX(BDHK2,MATCH(B230,DiemHKII!$B$4:$B$58,0),INDEX($Y$7:$AB$20,MATCH(C244,$Y$7:$Y$20,0),$AA$6))&lt;&gt;"",INDEX(BDHK2,MATCH(B230,DiemHKII!$B$4:$B$58,0),INDEX($Y$7:$AB$20,MATCH(C244,$Y$7:$Y$20,0),$AA$6)),"/"),"")</f>
        <v>/</v>
      </c>
      <c r="F244" s="35" t="str">
        <f>IF(B230&lt;&gt;"",IF(INDEX(BDHK2,MATCH(B230,DiemHKII!$B$4:$B$58,0),INDEX($Y$7:$AB$20,MATCH(C244,$Y$7:$Y$20,0),$AB$6))&lt;&gt;"",INDEX(BDHK2,MATCH(B230,DiemHKII!$B$4:$B$58,0),INDEX($Y$7:$AB$20,MATCH(C244,$Y$7:$Y$20,0),$AB$6)),"/"),"")</f>
        <v>Đ</v>
      </c>
      <c r="G244" s="88"/>
      <c r="H244" s="79" t="s">
        <v>202</v>
      </c>
      <c r="I244" s="81" t="s">
        <v>35</v>
      </c>
      <c r="J244" s="35" t="str">
        <f>IF(H230&lt;&gt;"",IF(INDEX(BDHK2,MATCH(H230,DiemHKII!$B$4:$B$58,0),INDEX($Y$7:$AB$20,MATCH(I244,$Y$7:$Y$20,0),$Z$6))&lt;&gt;"",INDEX(BDHK2,MATCH(H230,DiemHKII!$B$4:$B$58,0),INDEX($Y$7:$AB$20,MATCH(I244,$Y$7:$Y$20,0),$Z$6)),"/"),"")</f>
        <v>Đ</v>
      </c>
      <c r="K244" s="35" t="str">
        <f>IF(H230&lt;&gt;"",IF(INDEX(BDHK2,MATCH(H230,DiemHKII!$B$4:$B$58,0),INDEX($Y$7:$AB$20,MATCH(I244,$Y$7:$Y$20,0),$AA$6))&lt;&gt;"",INDEX(BDHK2,MATCH(H230,DiemHKII!$B$4:$B$58,0),INDEX($Y$7:$AB$20,MATCH(I244,$Y$7:$Y$20,0),$AA$6)),"/"),"")</f>
        <v>/</v>
      </c>
      <c r="L244" s="35" t="str">
        <f>IF(H230&lt;&gt;"",IF(INDEX(BDHK2,MATCH(H230,DiemHKII!$B$4:$B$58,0),INDEX($Y$7:$AB$20,MATCH(I244,$Y$7:$Y$20,0),$AB$6))&lt;&gt;"",INDEX(BDHK2,MATCH(H230,DiemHKII!$B$4:$B$58,0),INDEX($Y$7:$AB$20,MATCH(I244,$Y$7:$Y$20,0),$AB$6)),"/"),"")</f>
        <v>Đ</v>
      </c>
      <c r="M244" s="88"/>
      <c r="N244" s="79" t="s">
        <v>202</v>
      </c>
      <c r="O244" s="81" t="s">
        <v>35</v>
      </c>
      <c r="P244" s="35" t="str">
        <f>IF(N230&lt;&gt;"",IF(INDEX(BDHK2,MATCH(N230,DiemHKII!$B$4:$B$58,0),INDEX($Y$7:$AB$20,MATCH(O244,$Y$7:$Y$20,0),$Z$6))&lt;&gt;"",INDEX(BDHK2,MATCH(N230,DiemHKII!$B$4:$B$58,0),INDEX($Y$7:$AB$20,MATCH(O244,$Y$7:$Y$20,0),$Z$6)),"/"),"")</f>
        <v>Đ</v>
      </c>
      <c r="Q244" s="35" t="str">
        <f>IF(N230&lt;&gt;"",IF(INDEX(BDHK2,MATCH(N230,DiemHKII!$B$4:$B$58,0),INDEX($Y$7:$AB$20,MATCH(O244,$Y$7:$Y$20,0),$AA$6))&lt;&gt;"",INDEX(BDHK2,MATCH(N230,DiemHKII!$B$4:$B$58,0),INDEX($Y$7:$AB$20,MATCH(O244,$Y$7:$Y$20,0),$AA$6)),"/"),"")</f>
        <v>/</v>
      </c>
      <c r="R244" s="35" t="str">
        <f>IF(N230&lt;&gt;"",IF(INDEX(BDHK2,MATCH(N230,DiemHKII!$B$4:$B$58,0),INDEX($Y$7:$AB$20,MATCH(O244,$Y$7:$Y$20,0),$AB$6))&lt;&gt;"",INDEX(BDHK2,MATCH(N230,DiemHKII!$B$4:$B$58,0),INDEX($Y$7:$AB$20,MATCH(O244,$Y$7:$Y$20,0),$AB$6)),"/"),"")</f>
        <v>Đ</v>
      </c>
      <c r="S244" s="88"/>
    </row>
    <row r="245" spans="1:19" ht="15.6" customHeight="1">
      <c r="A245" s="88"/>
      <c r="B245" s="79" t="s">
        <v>203</v>
      </c>
      <c r="C245" s="81" t="s">
        <v>121</v>
      </c>
      <c r="D245" s="35">
        <f>IF(B230&lt;&gt;"",IF(INDEX(BDHK2,MATCH(B230,DiemHKII!$B$4:$B$58,0),INDEX($Y$7:$AB$20,MATCH(C245,$Y$7:$Y$20,0),$Z$6))&lt;&gt;"",INDEX(BDHK2,MATCH(B230,DiemHKII!$B$4:$B$58,0),INDEX($Y$7:$AB$20,MATCH(C245,$Y$7:$Y$20,0),$Z$6)),"/"),"")</f>
        <v>9.9</v>
      </c>
      <c r="E245" s="35" t="str">
        <f>IF(B230&lt;&gt;"",IF(INDEX(BDHK2,MATCH(B230,DiemHKII!$B$4:$B$58,0),INDEX($Y$7:$AB$20,MATCH(C245,$Y$7:$Y$20,0),$AA$6))&lt;&gt;"",INDEX(BDHK2,MATCH(B230,DiemHKII!$B$4:$B$58,0),INDEX($Y$7:$AB$20,MATCH(C245,$Y$7:$Y$20,0),$AA$6)),"/"),"")</f>
        <v>/</v>
      </c>
      <c r="F245" s="35" t="str">
        <f>IF(B230&lt;&gt;"",IF(INDEX(BDHK2,MATCH(B230,DiemHKII!$B$4:$B$58,0),INDEX($Y$7:$AB$20,MATCH(C245,$Y$7:$Y$20,0),$AB$6))&lt;&gt;"",INDEX(BDHK2,MATCH(B230,DiemHKII!$B$4:$B$58,0),INDEX($Y$7:$AB$20,MATCH(C245,$Y$7:$Y$20,0),$AB$6)),"/"),"")</f>
        <v>/</v>
      </c>
      <c r="G245" s="88"/>
      <c r="H245" s="79" t="s">
        <v>203</v>
      </c>
      <c r="I245" s="81" t="s">
        <v>121</v>
      </c>
      <c r="J245" s="35">
        <f>IF(H230&lt;&gt;"",IF(INDEX(BDHK2,MATCH(H230,DiemHKII!$B$4:$B$58,0),INDEX($Y$7:$AB$20,MATCH(I245,$Y$7:$Y$20,0),$Z$6))&lt;&gt;"",INDEX(BDHK2,MATCH(H230,DiemHKII!$B$4:$B$58,0),INDEX($Y$7:$AB$20,MATCH(I245,$Y$7:$Y$20,0),$Z$6)),"/"),"")</f>
        <v>9.9</v>
      </c>
      <c r="K245" s="35" t="str">
        <f>IF(H230&lt;&gt;"",IF(INDEX(BDHK2,MATCH(H230,DiemHKII!$B$4:$B$58,0),INDEX($Y$7:$AB$20,MATCH(I245,$Y$7:$Y$20,0),$AA$6))&lt;&gt;"",INDEX(BDHK2,MATCH(H230,DiemHKII!$B$4:$B$58,0),INDEX($Y$7:$AB$20,MATCH(I245,$Y$7:$Y$20,0),$AA$6)),"/"),"")</f>
        <v>/</v>
      </c>
      <c r="L245" s="35" t="str">
        <f>IF(H230&lt;&gt;"",IF(INDEX(BDHK2,MATCH(H230,DiemHKII!$B$4:$B$58,0),INDEX($Y$7:$AB$20,MATCH(I245,$Y$7:$Y$20,0),$AB$6))&lt;&gt;"",INDEX(BDHK2,MATCH(H230,DiemHKII!$B$4:$B$58,0),INDEX($Y$7:$AB$20,MATCH(I245,$Y$7:$Y$20,0),$AB$6)),"/"),"")</f>
        <v>/</v>
      </c>
      <c r="M245" s="88"/>
      <c r="N245" s="79" t="s">
        <v>203</v>
      </c>
      <c r="O245" s="81" t="s">
        <v>121</v>
      </c>
      <c r="P245" s="35">
        <f>IF(N230&lt;&gt;"",IF(INDEX(BDHK2,MATCH(N230,DiemHKII!$B$4:$B$58,0),INDEX($Y$7:$AB$20,MATCH(O245,$Y$7:$Y$20,0),$Z$6))&lt;&gt;"",INDEX(BDHK2,MATCH(N230,DiemHKII!$B$4:$B$58,0),INDEX($Y$7:$AB$20,MATCH(O245,$Y$7:$Y$20,0),$Z$6)),"/"),"")</f>
        <v>9.9</v>
      </c>
      <c r="Q245" s="35" t="str">
        <f>IF(N230&lt;&gt;"",IF(INDEX(BDHK2,MATCH(N230,DiemHKII!$B$4:$B$58,0),INDEX($Y$7:$AB$20,MATCH(O245,$Y$7:$Y$20,0),$AA$6))&lt;&gt;"",INDEX(BDHK2,MATCH(N230,DiemHKII!$B$4:$B$58,0),INDEX($Y$7:$AB$20,MATCH(O245,$Y$7:$Y$20,0),$AA$6)),"/"),"")</f>
        <v>/</v>
      </c>
      <c r="R245" s="35" t="str">
        <f>IF(N230&lt;&gt;"",IF(INDEX(BDHK2,MATCH(N230,DiemHKII!$B$4:$B$58,0),INDEX($Y$7:$AB$20,MATCH(O245,$Y$7:$Y$20,0),$AB$6))&lt;&gt;"",INDEX(BDHK2,MATCH(N230,DiemHKII!$B$4:$B$58,0),INDEX($Y$7:$AB$20,MATCH(O245,$Y$7:$Y$20,0),$AB$6)),"/"),"")</f>
        <v>/</v>
      </c>
      <c r="S245" s="88"/>
    </row>
    <row r="246" spans="1:19" ht="15.6" customHeight="1">
      <c r="A246" s="88"/>
      <c r="B246" s="79" t="s">
        <v>204</v>
      </c>
      <c r="C246" s="81" t="s">
        <v>122</v>
      </c>
      <c r="D246" s="35" t="str">
        <f>IF(B230&lt;&gt;"",IF(INDEX(BDHK2,MATCH(B230,DiemHKII!$B$4:$B$58,0),INDEX($Y$7:$AB$20,MATCH(C246,$Y$7:$Y$20,0),$Z$6))&lt;&gt;"",INDEX(BDHK2,MATCH(B230,DiemHKII!$B$4:$B$58,0),INDEX($Y$7:$AB$20,MATCH(C246,$Y$7:$Y$20,0),$Z$6)),"/"),"")</f>
        <v>/</v>
      </c>
      <c r="E246" s="35" t="str">
        <f>IF(B230&lt;&gt;"",IF(INDEX(BDHK2,MATCH(B230,DiemHKII!$B$4:$B$58,0),INDEX($Y$7:$AB$20,MATCH(C246,$Y$7:$Y$20,0),$AA$6))&lt;&gt;"",INDEX(BDHK2,MATCH(B230,DiemHKII!$B$4:$B$58,0),INDEX($Y$7:$AB$20,MATCH(C246,$Y$7:$Y$20,0),$AA$6)),"/"),"")</f>
        <v>/</v>
      </c>
      <c r="F246" s="35" t="str">
        <f>IF(B230&lt;&gt;"",IF(INDEX(BDHK2,MATCH(B230,DiemHKII!$B$4:$B$58,0),INDEX($Y$7:$AB$20,MATCH(C246,$Y$7:$Y$20,0),$AB$6))&lt;&gt;"",INDEX(BDHK2,MATCH(B230,DiemHKII!$B$4:$B$58,0),INDEX($Y$7:$AB$20,MATCH(C246,$Y$7:$Y$20,0),$AB$6)),"/"),"")</f>
        <v>/</v>
      </c>
      <c r="G246" s="88"/>
      <c r="H246" s="79" t="s">
        <v>204</v>
      </c>
      <c r="I246" s="81" t="s">
        <v>122</v>
      </c>
      <c r="J246" s="35" t="str">
        <f>IF(H230&lt;&gt;"",IF(INDEX(BDHK2,MATCH(H230,DiemHKII!$B$4:$B$58,0),INDEX($Y$7:$AB$20,MATCH(I246,$Y$7:$Y$20,0),$Z$6))&lt;&gt;"",INDEX(BDHK2,MATCH(H230,DiemHKII!$B$4:$B$58,0),INDEX($Y$7:$AB$20,MATCH(I246,$Y$7:$Y$20,0),$Z$6)),"/"),"")</f>
        <v>/</v>
      </c>
      <c r="K246" s="35" t="str">
        <f>IF(H230&lt;&gt;"",IF(INDEX(BDHK2,MATCH(H230,DiemHKII!$B$4:$B$58,0),INDEX($Y$7:$AB$20,MATCH(I246,$Y$7:$Y$20,0),$AA$6))&lt;&gt;"",INDEX(BDHK2,MATCH(H230,DiemHKII!$B$4:$B$58,0),INDEX($Y$7:$AB$20,MATCH(I246,$Y$7:$Y$20,0),$AA$6)),"/"),"")</f>
        <v>/</v>
      </c>
      <c r="L246" s="35" t="str">
        <f>IF(H230&lt;&gt;"",IF(INDEX(BDHK2,MATCH(H230,DiemHKII!$B$4:$B$58,0),INDEX($Y$7:$AB$20,MATCH(I246,$Y$7:$Y$20,0),$AB$6))&lt;&gt;"",INDEX(BDHK2,MATCH(H230,DiemHKII!$B$4:$B$58,0),INDEX($Y$7:$AB$20,MATCH(I246,$Y$7:$Y$20,0),$AB$6)),"/"),"")</f>
        <v>/</v>
      </c>
      <c r="M246" s="88"/>
      <c r="N246" s="79" t="s">
        <v>204</v>
      </c>
      <c r="O246" s="81" t="s">
        <v>122</v>
      </c>
      <c r="P246" s="35" t="str">
        <f>IF(N230&lt;&gt;"",IF(INDEX(BDHK2,MATCH(N230,DiemHKII!$B$4:$B$58,0),INDEX($Y$7:$AB$20,MATCH(O246,$Y$7:$Y$20,0),$Z$6))&lt;&gt;"",INDEX(BDHK2,MATCH(N230,DiemHKII!$B$4:$B$58,0),INDEX($Y$7:$AB$20,MATCH(O246,$Y$7:$Y$20,0),$Z$6)),"/"),"")</f>
        <v>/</v>
      </c>
      <c r="Q246" s="35" t="str">
        <f>IF(N230&lt;&gt;"",IF(INDEX(BDHK2,MATCH(N230,DiemHKII!$B$4:$B$58,0),INDEX($Y$7:$AB$20,MATCH(O246,$Y$7:$Y$20,0),$AA$6))&lt;&gt;"",INDEX(BDHK2,MATCH(N230,DiemHKII!$B$4:$B$58,0),INDEX($Y$7:$AB$20,MATCH(O246,$Y$7:$Y$20,0),$AA$6)),"/"),"")</f>
        <v>/</v>
      </c>
      <c r="R246" s="35" t="str">
        <f>IF(N230&lt;&gt;"",IF(INDEX(BDHK2,MATCH(N230,DiemHKII!$B$4:$B$58,0),INDEX($Y$7:$AB$20,MATCH(O246,$Y$7:$Y$20,0),$AB$6))&lt;&gt;"",INDEX(BDHK2,MATCH(N230,DiemHKII!$B$4:$B$58,0),INDEX($Y$7:$AB$20,MATCH(O246,$Y$7:$Y$20,0),$AB$6)),"/"),"")</f>
        <v>/</v>
      </c>
      <c r="S246" s="88"/>
    </row>
    <row r="247" spans="1:19" ht="15.6" customHeight="1">
      <c r="A247" s="88"/>
      <c r="B247" s="79" t="s">
        <v>208</v>
      </c>
      <c r="C247" s="81" t="s">
        <v>217</v>
      </c>
      <c r="D247" s="80">
        <f>IF(B230&lt;&gt;"",IF(INDEX('TH CANAM'!$A$9:$BF$63,MATCH(B230,'TH CANAM'!$A$9:$A$63,0),46)&lt;&gt;"",INDEX('TH CANAM'!$A$9:$BF$63,MATCH(B230,'TH CANAM'!$A$9:$A$63,0),46),"/"),"")</f>
        <v>9.5</v>
      </c>
      <c r="E247" s="80" t="str">
        <f>IF(B230&lt;&gt;"",IF(INDEX('TH CANAM'!$A$9:$BF$63,MATCH(B230,'TH CANAM'!$A$9:$A$63,0),47)&lt;&gt;"",INDEX('TH CANAM'!$A$9:$BF$63,MATCH(B230,'TH CANAM'!$A$9:$A$63,0),47),"/"),"")</f>
        <v>/</v>
      </c>
      <c r="F247" s="80" t="str">
        <f>IF(B230&lt;&gt;"",IF(INDEX('TH CANAM'!$A$9:$BF$63,MATCH(B230,'TH CANAM'!$A$9:$A$63,0),48)&lt;&gt;"",INDEX('TH CANAM'!$A$9:$BF$63,MATCH(B230,'TH CANAM'!$A$9:$A$63,0),48),"/"),"")</f>
        <v>/</v>
      </c>
      <c r="G247" s="88"/>
      <c r="H247" s="79" t="s">
        <v>208</v>
      </c>
      <c r="I247" s="81" t="s">
        <v>217</v>
      </c>
      <c r="J247" s="80">
        <f>IF(H230&lt;&gt;"",IF(INDEX('TH CANAM'!$A$9:$BF$63,MATCH(H230,'TH CANAM'!$A$9:$A$63,0),46)&lt;&gt;"",INDEX('TH CANAM'!$A$9:$BF$63,MATCH(H230,'TH CANAM'!$A$9:$A$63,0),46),"/"),"")</f>
        <v>9.3000000000000007</v>
      </c>
      <c r="K247" s="80" t="str">
        <f>IF(H230&lt;&gt;"",IF(INDEX('TH CANAM'!$A$9:$BF$63,MATCH(H230,'TH CANAM'!$A$9:$A$63,0),47)&lt;&gt;"",INDEX('TH CANAM'!$A$9:$BF$63,MATCH(H230,'TH CANAM'!$A$9:$A$63,0),47),"/"),"")</f>
        <v>/</v>
      </c>
      <c r="L247" s="80" t="str">
        <f>IF(H230&lt;&gt;"",IF(INDEX('TH CANAM'!$A$9:$BF$63,MATCH(H230,'TH CANAM'!$A$9:$A$63,0),48)&lt;&gt;"",INDEX('TH CANAM'!$A$9:$BF$63,MATCH(H230,'TH CANAM'!$A$9:$A$63,0),48),"/"),"")</f>
        <v>/</v>
      </c>
      <c r="M247" s="88"/>
      <c r="N247" s="79" t="s">
        <v>208</v>
      </c>
      <c r="O247" s="81" t="s">
        <v>217</v>
      </c>
      <c r="P247" s="80">
        <f>IF(N230&lt;&gt;"",IF(INDEX('TH CANAM'!$A$9:$BF$63,MATCH(N230,'TH CANAM'!$A$9:$A$63,0),46)&lt;&gt;"",INDEX('TH CANAM'!$A$9:$BF$63,MATCH(N230,'TH CANAM'!$A$9:$A$63,0),46),"/"),"")</f>
        <v>9.5</v>
      </c>
      <c r="Q247" s="80" t="str">
        <f>IF(N230&lt;&gt;"",IF(INDEX('TH CANAM'!$A$9:$BF$63,MATCH(N230,'TH CANAM'!$A$9:$A$63,0),47)&lt;&gt;"",INDEX('TH CANAM'!$A$9:$BF$63,MATCH(N230,'TH CANAM'!$A$9:$A$63,0),47),"/"),"")</f>
        <v>/</v>
      </c>
      <c r="R247" s="80" t="str">
        <f>IF(N230&lt;&gt;"",IF(INDEX('TH CANAM'!$A$9:$BF$63,MATCH(N230,'TH CANAM'!$A$9:$A$63,0),48)&lt;&gt;"",INDEX('TH CANAM'!$A$9:$BF$63,MATCH(N230,'TH CANAM'!$A$9:$A$63,0),48),"/"),"")</f>
        <v>/</v>
      </c>
      <c r="S247" s="88"/>
    </row>
    <row r="248" spans="1:19" ht="15.6" customHeight="1">
      <c r="A248" s="88"/>
      <c r="B248" s="79" t="s">
        <v>209</v>
      </c>
      <c r="C248" s="82" t="s">
        <v>36</v>
      </c>
      <c r="D248" s="35" t="str">
        <f>IF(B230&lt;&gt;"",IF(INDEX('TH CANAM'!$A$9:$BF$63,MATCH(B230,'TH CANAM'!$A$9:$A$63,0),49)&lt;&gt;"",INDEX('TH CANAM'!$A$9:$BF$63,MATCH(B230,'TH CANAM'!$A$9:$A$63,0),49),"/"),"")</f>
        <v>Giỏi</v>
      </c>
      <c r="E248" s="35" t="str">
        <f>IF(B230&lt;&gt;"",IF(INDEX('TH CANAM'!$A$9:$BF$63,MATCH(B230,'TH CANAM'!$A$9:$A$63,0),50)&lt;&gt;"",INDEX('TH CANAM'!$A$9:$BF$63,MATCH(B230,'TH CANAM'!$A$9:$A$63,0),50),"/"),"")</f>
        <v>/</v>
      </c>
      <c r="F248" s="35" t="str">
        <f>IF(B230&lt;&gt;"",IF(INDEX('TH CANAM'!$A$9:$BF$63,MATCH(B230,'TH CANAM'!$A$9:$A$63,0),51)&lt;&gt;"",INDEX('TH CANAM'!$A$9:$BF$63,MATCH(B230,'TH CANAM'!$A$9:$A$63,0),51),"/"),"")</f>
        <v>/</v>
      </c>
      <c r="G248" s="88"/>
      <c r="H248" s="79" t="s">
        <v>209</v>
      </c>
      <c r="I248" s="82" t="s">
        <v>36</v>
      </c>
      <c r="J248" s="35" t="str">
        <f>IF(H230&lt;&gt;"",IF(INDEX('TH CANAM'!$A$9:$BF$63,MATCH(H230,'TH CANAM'!$A$9:$A$63,0),49)&lt;&gt;"",INDEX('TH CANAM'!$A$9:$BF$63,MATCH(H230,'TH CANAM'!$A$9:$A$63,0),49),"/"),"")</f>
        <v>Giỏi</v>
      </c>
      <c r="K248" s="35" t="str">
        <f>IF(H230&lt;&gt;"",IF(INDEX('TH CANAM'!$A$9:$BF$63,MATCH(H230,'TH CANAM'!$A$9:$A$63,0),50)&lt;&gt;"",INDEX('TH CANAM'!$A$9:$BF$63,MATCH(H230,'TH CANAM'!$A$9:$A$63,0),50),"/"),"")</f>
        <v>/</v>
      </c>
      <c r="L248" s="35" t="str">
        <f>IF(H230&lt;&gt;"",IF(INDEX('TH CANAM'!$A$9:$BF$63,MATCH(H230,'TH CANAM'!$A$9:$A$63,0),51)&lt;&gt;"",INDEX('TH CANAM'!$A$9:$BF$63,MATCH(H230,'TH CANAM'!$A$9:$A$63,0),51),"/"),"")</f>
        <v>/</v>
      </c>
      <c r="M248" s="88"/>
      <c r="N248" s="79" t="s">
        <v>209</v>
      </c>
      <c r="O248" s="82" t="s">
        <v>36</v>
      </c>
      <c r="P248" s="35" t="str">
        <f>IF(N230&lt;&gt;"",IF(INDEX('TH CANAM'!$A$9:$BF$63,MATCH(N230,'TH CANAM'!$A$9:$A$63,0),49)&lt;&gt;"",INDEX('TH CANAM'!$A$9:$BF$63,MATCH(N230,'TH CANAM'!$A$9:$A$63,0),49),"/"),"")</f>
        <v>Giỏi</v>
      </c>
      <c r="Q248" s="35" t="str">
        <f>IF(N230&lt;&gt;"",IF(INDEX('TH CANAM'!$A$9:$BF$63,MATCH(N230,'TH CANAM'!$A$9:$A$63,0),50)&lt;&gt;"",INDEX('TH CANAM'!$A$9:$BF$63,MATCH(N230,'TH CANAM'!$A$9:$A$63,0),50),"/"),"")</f>
        <v>/</v>
      </c>
      <c r="R248" s="35" t="str">
        <f>IF(N230&lt;&gt;"",IF(INDEX('TH CANAM'!$A$9:$BF$63,MATCH(N230,'TH CANAM'!$A$9:$A$63,0),51)&lt;&gt;"",INDEX('TH CANAM'!$A$9:$BF$63,MATCH(N230,'TH CANAM'!$A$9:$A$63,0),51),"/"),"")</f>
        <v>/</v>
      </c>
      <c r="S248" s="88"/>
    </row>
    <row r="249" spans="1:19" ht="15.6" customHeight="1">
      <c r="A249" s="88"/>
      <c r="B249" s="79" t="s">
        <v>210</v>
      </c>
      <c r="C249" s="82" t="s">
        <v>37</v>
      </c>
      <c r="D249" s="35" t="str">
        <f>IF(B230&lt;&gt;"",IF(INDEX('TH CANAM'!$A$9:$BF$63,MATCH(B230,'TH CANAM'!$A$9:$A$63,0),52)&lt;&gt;"",INDEX('TH CANAM'!$A$9:$BF$63,MATCH(B230,'TH CANAM'!$A$9:$A$63,0),52),"/"),"")</f>
        <v>Tốt</v>
      </c>
      <c r="E249" s="35" t="str">
        <f>IF(B230&lt;&gt;"",IF(INDEX('TH CANAM'!$A$9:$BF$63,MATCH(B230,'TH CANAM'!$A$9:$A$63,0),53)&lt;&gt;"",INDEX('TH CANAM'!$A$9:$BF$63,MATCH(B230,'TH CANAM'!$A$9:$A$63,0),53),"/"),"")</f>
        <v>/</v>
      </c>
      <c r="F249" s="35" t="str">
        <f>IF(B230&lt;&gt;"",IF(INDEX('TH CANAM'!$A$9:$BF$63,MATCH(B230,'TH CANAM'!$A$9:$A$63,0),54)&lt;&gt;"",INDEX('TH CANAM'!$A$9:$BF$63,MATCH(B230,'TH CANAM'!$A$9:$A$63,0),54),"/"),"")</f>
        <v>/</v>
      </c>
      <c r="G249" s="88"/>
      <c r="H249" s="79" t="s">
        <v>210</v>
      </c>
      <c r="I249" s="82" t="s">
        <v>37</v>
      </c>
      <c r="J249" s="35" t="str">
        <f>IF(H230&lt;&gt;"",IF(INDEX('TH CANAM'!$A$9:$BF$63,MATCH(H230,'TH CANAM'!$A$9:$A$63,0),52)&lt;&gt;"",INDEX('TH CANAM'!$A$9:$BF$63,MATCH(H230,'TH CANAM'!$A$9:$A$63,0),52),"/"),"")</f>
        <v>Tốt</v>
      </c>
      <c r="K249" s="35" t="str">
        <f>IF(H230&lt;&gt;"",IF(INDEX('TH CANAM'!$A$9:$BF$63,MATCH(H230,'TH CANAM'!$A$9:$A$63,0),53)&lt;&gt;"",INDEX('TH CANAM'!$A$9:$BF$63,MATCH(H230,'TH CANAM'!$A$9:$A$63,0),53),"/"),"")</f>
        <v>/</v>
      </c>
      <c r="L249" s="35" t="str">
        <f>IF(H230&lt;&gt;"",IF(INDEX('TH CANAM'!$A$9:$BF$63,MATCH(H230,'TH CANAM'!$A$9:$A$63,0),54)&lt;&gt;"",INDEX('TH CANAM'!$A$9:$BF$63,MATCH(H230,'TH CANAM'!$A$9:$A$63,0),54),"/"),"")</f>
        <v>/</v>
      </c>
      <c r="M249" s="88"/>
      <c r="N249" s="79" t="s">
        <v>210</v>
      </c>
      <c r="O249" s="82" t="s">
        <v>37</v>
      </c>
      <c r="P249" s="35" t="str">
        <f>IF(N230&lt;&gt;"",IF(INDEX('TH CANAM'!$A$9:$BF$63,MATCH(N230,'TH CANAM'!$A$9:$A$63,0),52)&lt;&gt;"",INDEX('TH CANAM'!$A$9:$BF$63,MATCH(N230,'TH CANAM'!$A$9:$A$63,0),52),"/"),"")</f>
        <v>Tốt</v>
      </c>
      <c r="Q249" s="35" t="str">
        <f>IF(N230&lt;&gt;"",IF(INDEX('TH CANAM'!$A$9:$BF$63,MATCH(N230,'TH CANAM'!$A$9:$A$63,0),53)&lt;&gt;"",INDEX('TH CANAM'!$A$9:$BF$63,MATCH(N230,'TH CANAM'!$A$9:$A$63,0),53),"/"),"")</f>
        <v>/</v>
      </c>
      <c r="R249" s="35" t="str">
        <f>IF(N230&lt;&gt;"",IF(INDEX('TH CANAM'!$A$9:$BF$63,MATCH(N230,'TH CANAM'!$A$9:$A$63,0),54)&lt;&gt;"",INDEX('TH CANAM'!$A$9:$BF$63,MATCH(N230,'TH CANAM'!$A$9:$A$63,0),54),"/"),"")</f>
        <v>/</v>
      </c>
      <c r="S249" s="88"/>
    </row>
    <row r="250" spans="1:19" ht="15.6" customHeight="1">
      <c r="A250" s="88"/>
      <c r="B250" s="79" t="s">
        <v>211</v>
      </c>
      <c r="C250" s="82" t="s">
        <v>25</v>
      </c>
      <c r="D250" s="35" t="str">
        <f>IF(B230&lt;&gt;"",IF(INDEX('TH CANAM'!$A$9:$BF$63,MATCH(B230,'TH CANAM'!$A$9:$A$63,0),57)&lt;&gt;"",INDEX('TH CANAM'!$A$9:$BF$63,MATCH(B230,'TH CANAM'!$A$9:$A$63,0),57),"/"),"")</f>
        <v>HSG</v>
      </c>
      <c r="E250" s="35" t="str">
        <f>IF(B230&lt;&gt;"",IF(INDEX('TH CANAM'!$A$9:$BF$63,MATCH(B230,'TH CANAM'!$A$9:$A$63,0),58)&lt;&gt;"",INDEX('TH CANAM'!$A$9:$BF$63,MATCH(B230,'TH CANAM'!$A$9:$A$63,0),58),"/"),"")</f>
        <v>/</v>
      </c>
      <c r="F250" s="35" t="str">
        <f>IF(B230&lt;&gt;"",IF(INDEX('TH CANAM'!$A$9:$BF$63,MATCH(B230,'TH CANAM'!$A$9:$A$63,0),55)&lt;&gt;"",INDEX('TH CANAM'!$A$9:$BF$63,MATCH(B230,'TH CANAM'!$A$9:$A$63,0),55),"/"),"")</f>
        <v>/</v>
      </c>
      <c r="G250" s="88"/>
      <c r="H250" s="79" t="s">
        <v>211</v>
      </c>
      <c r="I250" s="82" t="s">
        <v>25</v>
      </c>
      <c r="J250" s="35" t="str">
        <f>IF(H230&lt;&gt;"",IF(INDEX('TH CANAM'!$A$9:$BF$63,MATCH(H230,'TH CANAM'!$A$9:$A$63,0),57)&lt;&gt;"",INDEX('TH CANAM'!$A$9:$BF$63,MATCH(H230,'TH CANAM'!$A$9:$A$63,0),57),"/"),"")</f>
        <v>HSG</v>
      </c>
      <c r="K250" s="35" t="str">
        <f>IF(H230&lt;&gt;"",IF(INDEX('TH CANAM'!$A$9:$BF$63,MATCH(H230,'TH CANAM'!$A$9:$A$63,0),58)&lt;&gt;"",INDEX('TH CANAM'!$A$9:$BF$63,MATCH(H230,'TH CANAM'!$A$9:$A$63,0),58),"/"),"")</f>
        <v>/</v>
      </c>
      <c r="L250" s="35" t="str">
        <f>IF(H230&lt;&gt;"",IF(INDEX('TH CANAM'!$A$9:$BF$63,MATCH(H230,'TH CANAM'!$A$9:$A$63,0),55)&lt;&gt;"",INDEX('TH CANAM'!$A$9:$BF$63,MATCH(H230,'TH CANAM'!$A$9:$A$63,0),55),"/"),"")</f>
        <v>/</v>
      </c>
      <c r="M250" s="88"/>
      <c r="N250" s="79" t="s">
        <v>211</v>
      </c>
      <c r="O250" s="82" t="s">
        <v>25</v>
      </c>
      <c r="P250" s="35" t="str">
        <f>IF(N230&lt;&gt;"",IF(INDEX('TH CANAM'!$A$9:$BF$63,MATCH(N230,'TH CANAM'!$A$9:$A$63,0),57)&lt;&gt;"",INDEX('TH CANAM'!$A$9:$BF$63,MATCH(N230,'TH CANAM'!$A$9:$A$63,0),57),"/"),"")</f>
        <v>HSG</v>
      </c>
      <c r="Q250" s="35" t="str">
        <f>IF(N230&lt;&gt;"",IF(INDEX('TH CANAM'!$A$9:$BF$63,MATCH(N230,'TH CANAM'!$A$9:$A$63,0),58)&lt;&gt;"",INDEX('TH CANAM'!$A$9:$BF$63,MATCH(N230,'TH CANAM'!$A$9:$A$63,0),58),"/"),"")</f>
        <v>/</v>
      </c>
      <c r="R250" s="35" t="str">
        <f>IF(N230&lt;&gt;"",IF(INDEX('TH CANAM'!$A$9:$BF$63,MATCH(N230,'TH CANAM'!$A$9:$A$63,0),55)&lt;&gt;"",INDEX('TH CANAM'!$A$9:$BF$63,MATCH(N230,'TH CANAM'!$A$9:$A$63,0),55),"/"),"")</f>
        <v>/</v>
      </c>
      <c r="S250" s="88"/>
    </row>
    <row r="251" spans="1:19" s="251" customFormat="1" ht="15.75" customHeight="1">
      <c r="A251" s="89"/>
      <c r="B251" s="1146" t="s">
        <v>219</v>
      </c>
      <c r="C251" s="1147"/>
      <c r="D251" s="1147"/>
      <c r="E251" s="1147"/>
      <c r="F251" s="1148"/>
      <c r="G251" s="89"/>
      <c r="H251" s="1146" t="s">
        <v>219</v>
      </c>
      <c r="I251" s="1147"/>
      <c r="J251" s="1147"/>
      <c r="K251" s="1147"/>
      <c r="L251" s="1148"/>
      <c r="M251" s="89"/>
      <c r="N251" s="1146" t="s">
        <v>219</v>
      </c>
      <c r="O251" s="1147"/>
      <c r="P251" s="1147"/>
      <c r="Q251" s="1147"/>
      <c r="R251" s="1148"/>
      <c r="S251" s="89"/>
    </row>
    <row r="252" spans="1:19" s="251" customFormat="1" ht="15.6" customHeight="1">
      <c r="A252" s="89"/>
      <c r="B252" s="1143" t="str">
        <f>IF(B230&lt;&gt;"",IF(INDEX(BDHK2,MATCH(B230,DiemHKII!$B$4:$B$58,0),137)&lt;&gt;""," - "&amp;INDEX(BDHK2,MATCH(B230,DiemHKII!$B$4:$B$58,0),137),""),"")</f>
        <v/>
      </c>
      <c r="C252" s="1144"/>
      <c r="D252" s="1144"/>
      <c r="E252" s="1144"/>
      <c r="F252" s="1145"/>
      <c r="G252" s="89"/>
      <c r="H252" s="1143" t="str">
        <f>IF(H230&lt;&gt;"",IF(INDEX(BDHK2,MATCH(H230,DiemHKII!$B$4:$B$58,0),137)&lt;&gt;""," - "&amp;INDEX(BDHK2,MATCH(H230,DiemHKII!$B$4:$B$58,0),137),""),"")</f>
        <v/>
      </c>
      <c r="I252" s="1144"/>
      <c r="J252" s="1144"/>
      <c r="K252" s="1144"/>
      <c r="L252" s="1145"/>
      <c r="M252" s="89"/>
      <c r="N252" s="1143" t="str">
        <f>IF(N230&lt;&gt;"",IF(INDEX(BDHK2,MATCH(N230,DiemHKII!$B$4:$B$58,0),137)&lt;&gt;""," - "&amp;INDEX(BDHK2,MATCH(N230,DiemHKII!$B$4:$B$58,0),137),""),"")</f>
        <v/>
      </c>
      <c r="O252" s="1144"/>
      <c r="P252" s="1144"/>
      <c r="Q252" s="1144"/>
      <c r="R252" s="1145"/>
      <c r="S252" s="89"/>
    </row>
    <row r="253" spans="1:19" s="251" customFormat="1" ht="15.6" customHeight="1">
      <c r="A253" s="89"/>
      <c r="B253" s="1143" t="str">
        <f>IF(B230&lt;&gt;"",IF(INDEX(BDHK2,MATCH(B230,DiemHKII!$B$4:$B$58,0),138)&lt;&gt;""," - "&amp;INDEX(BDHK2,MATCH(B230,DiemHKII!$B$4:$B$58,0),138),""),"")</f>
        <v/>
      </c>
      <c r="C253" s="1144"/>
      <c r="D253" s="1144"/>
      <c r="E253" s="1144"/>
      <c r="F253" s="1145"/>
      <c r="G253" s="89"/>
      <c r="H253" s="1143" t="str">
        <f>IF(H230&lt;&gt;"",IF(INDEX(BDHK2,MATCH(H230,DiemHKII!$B$4:$B$58,0),138)&lt;&gt;""," - "&amp;INDEX(BDHK2,MATCH(H230,DiemHKII!$B$4:$B$58,0),138),""),"")</f>
        <v/>
      </c>
      <c r="I253" s="1144"/>
      <c r="J253" s="1144"/>
      <c r="K253" s="1144"/>
      <c r="L253" s="1145"/>
      <c r="M253" s="89"/>
      <c r="N253" s="1143" t="str">
        <f>IF(N230&lt;&gt;"",IF(INDEX(BDHK2,MATCH(N230,DiemHKII!$B$4:$B$58,0),138)&lt;&gt;""," - "&amp;INDEX(BDHK2,MATCH(N230,DiemHKII!$B$4:$B$58,0),138),""),"")</f>
        <v/>
      </c>
      <c r="O253" s="1144"/>
      <c r="P253" s="1144"/>
      <c r="Q253" s="1144"/>
      <c r="R253" s="1145"/>
      <c r="S253" s="89"/>
    </row>
    <row r="254" spans="1:19" s="251" customFormat="1" ht="15.6" customHeight="1">
      <c r="A254" s="89"/>
      <c r="B254" s="1143" t="str">
        <f>IF(B230&lt;&gt;"",IF(INDEX(BDHK2,MATCH(B230,DiemHKII!$B$4:$B$58,0),139)&lt;&gt;""," - "&amp;INDEX(BDHK2,MATCH(B230,DiemHKII!$B$4:$B$58,0),139),""),"")</f>
        <v/>
      </c>
      <c r="C254" s="1144"/>
      <c r="D254" s="1144"/>
      <c r="E254" s="1144"/>
      <c r="F254" s="1145"/>
      <c r="G254" s="89"/>
      <c r="H254" s="1143" t="str">
        <f>IF(H230&lt;&gt;"",IF(INDEX(BDHK2,MATCH(H230,DiemHKII!$B$4:$B$58,0),139)&lt;&gt;""," - "&amp;INDEX(BDHK2,MATCH(H230,DiemHKII!$B$4:$B$58,0),139),""),"")</f>
        <v/>
      </c>
      <c r="I254" s="1144"/>
      <c r="J254" s="1144"/>
      <c r="K254" s="1144"/>
      <c r="L254" s="1145"/>
      <c r="M254" s="89"/>
      <c r="N254" s="1143" t="str">
        <f>IF(N230&lt;&gt;"",IF(INDEX(BDHK2,MATCH(N230,DiemHKII!$B$4:$B$58,0),139)&lt;&gt;""," - "&amp;INDEX(BDHK2,MATCH(N230,DiemHKII!$B$4:$B$58,0),139),""),"")</f>
        <v/>
      </c>
      <c r="O254" s="1144"/>
      <c r="P254" s="1144"/>
      <c r="Q254" s="1144"/>
      <c r="R254" s="1145"/>
      <c r="S254" s="89"/>
    </row>
    <row r="255" spans="1:19" s="251" customFormat="1" ht="15.6" customHeight="1">
      <c r="A255" s="89"/>
      <c r="B255" s="1143" t="str">
        <f>IF(B230&lt;&gt;"",IF(INDEX(BDHK2,MATCH(B230,DiemHKII!$B$4:$B$58,0),140)&lt;&gt;""," - "&amp;INDEX(BDHK2,MATCH(B230,DiemHKII!$B$4:$B$58,0),140),""),"")</f>
        <v/>
      </c>
      <c r="C255" s="1144"/>
      <c r="D255" s="1144"/>
      <c r="E255" s="1144"/>
      <c r="F255" s="1145"/>
      <c r="G255" s="89"/>
      <c r="H255" s="1143" t="str">
        <f>IF(H230&lt;&gt;"",IF(INDEX(BDHK2,MATCH(H230,DiemHKII!$B$4:$B$58,0),140)&lt;&gt;""," - "&amp;INDEX(BDHK2,MATCH(H230,DiemHKII!$B$4:$B$58,0),140),""),"")</f>
        <v/>
      </c>
      <c r="I255" s="1144"/>
      <c r="J255" s="1144"/>
      <c r="K255" s="1144"/>
      <c r="L255" s="1145"/>
      <c r="M255" s="89"/>
      <c r="N255" s="1143" t="str">
        <f>IF(N230&lt;&gt;"",IF(INDEX(BDHK2,MATCH(N230,DiemHKII!$B$4:$B$58,0),140)&lt;&gt;""," - "&amp;INDEX(BDHK2,MATCH(N230,DiemHKII!$B$4:$B$58,0),140),""),"")</f>
        <v/>
      </c>
      <c r="O255" s="1144"/>
      <c r="P255" s="1144"/>
      <c r="Q255" s="1144"/>
      <c r="R255" s="1145"/>
      <c r="S255" s="89"/>
    </row>
    <row r="256" spans="1:19" ht="8.25" customHeight="1">
      <c r="A256" s="88"/>
      <c r="B256" s="83"/>
      <c r="C256" s="84"/>
      <c r="D256" s="84"/>
      <c r="E256" s="84"/>
      <c r="F256" s="85"/>
      <c r="G256" s="88"/>
      <c r="H256" s="83"/>
      <c r="I256" s="84"/>
      <c r="J256" s="84"/>
      <c r="K256" s="84"/>
      <c r="L256" s="85"/>
      <c r="M256" s="88"/>
      <c r="N256" s="83"/>
      <c r="O256" s="84"/>
      <c r="P256" s="84"/>
      <c r="Q256" s="84"/>
      <c r="R256" s="85"/>
      <c r="S256" s="88"/>
    </row>
    <row r="257" spans="1:19" ht="6.75" customHeight="1">
      <c r="A257" s="88"/>
      <c r="B257" s="87"/>
      <c r="C257" s="87"/>
      <c r="D257" s="1135"/>
      <c r="E257" s="1135"/>
      <c r="F257" s="1135"/>
      <c r="G257" s="88"/>
      <c r="H257" s="87"/>
      <c r="I257" s="87"/>
      <c r="J257" s="1135"/>
      <c r="K257" s="1135"/>
      <c r="L257" s="1135"/>
      <c r="M257" s="88"/>
      <c r="N257" s="87"/>
      <c r="O257" s="87"/>
      <c r="P257" s="1135"/>
      <c r="Q257" s="1135"/>
      <c r="R257" s="1135"/>
      <c r="S257" s="88"/>
    </row>
    <row r="258" spans="1:19" ht="18" customHeight="1">
      <c r="A258" s="88"/>
      <c r="B258" s="477">
        <f>IF(N230="","",IF(N230&lt;MAX(DiemHKII!$B$4:$B$58),N230+1,""))</f>
        <v>28</v>
      </c>
      <c r="C258" s="1140" t="str">
        <f>IF(B258="","",INDEX(DiemHKII!$E$4:$E$58,MATCH(B258,DiemHKII!$B$4:$B$58,0),1)&amp;" "&amp;INDEX(DiemHKII!$F$4:$F$58,MATCH(B258,DiemHKII!$B$4:$B$58,0),1))</f>
        <v>Phan Trương Kiến Quốc</v>
      </c>
      <c r="D258" s="1141"/>
      <c r="E258" s="1142"/>
      <c r="F258" s="86" t="str">
        <f>IF('Huong dan'!$C$3="","",'Huong dan'!$C$3)</f>
        <v>12A1</v>
      </c>
      <c r="G258" s="88"/>
      <c r="H258" s="477">
        <f>IF(B258="","",IF(B258&lt;MAX(DiemHKII!$B$4:$B$58),B258+1,""))</f>
        <v>29</v>
      </c>
      <c r="I258" s="1140" t="str">
        <f>IF(H258="","",INDEX(DiemHKII!$E$4:$E$58,MATCH(H258,DiemHKII!$B$4:$B$58,0),1)&amp;" "&amp;INDEX(DiemHKII!$F$4:$F$58,MATCH(H258,DiemHKII!$B$4:$B$58,0),1))</f>
        <v>Trần Thị Như Quỳnh</v>
      </c>
      <c r="J258" s="1141"/>
      <c r="K258" s="1142"/>
      <c r="L258" s="86" t="str">
        <f>IF('Huong dan'!$C$3="","",'Huong dan'!$C$3)</f>
        <v>12A1</v>
      </c>
      <c r="M258" s="88"/>
      <c r="N258" s="477">
        <f>IF(H258="","",IF(H258&lt;MAX(DiemHKII!$B$4:$B$58),H258+1,""))</f>
        <v>30</v>
      </c>
      <c r="O258" s="1140" t="str">
        <f>IF(N258="","",INDEX(DiemHKII!$E$4:$E$58,MATCH(N258,DiemHKII!$B$4:$B$58,0),1)&amp;" "&amp;INDEX(DiemHKII!$F$4:$F$58,MATCH(N258,DiemHKII!$B$4:$B$58,0),1))</f>
        <v>Nguyễn Thái Sơn</v>
      </c>
      <c r="P258" s="1141"/>
      <c r="Q258" s="1142"/>
      <c r="R258" s="86" t="str">
        <f>IF('Huong dan'!$C$3="","",'Huong dan'!$C$3)</f>
        <v>12A1</v>
      </c>
      <c r="S258" s="88"/>
    </row>
    <row r="259" spans="1:19" ht="18.75" customHeight="1">
      <c r="A259" s="88"/>
      <c r="B259" s="1136" t="str">
        <f>" Sinh ngày: "&amp;IF(B258="","",INDEX(DiemHKII!$G$4:$G$58,MATCH(B258,DiemHKII!$B$4:$B$58,0),1))</f>
        <v xml:space="preserve"> Sinh ngày: 03/12/2004</v>
      </c>
      <c r="C259" s="1137"/>
      <c r="D259" s="1137"/>
      <c r="E259" s="1138" t="str">
        <f>IF(B258="","","NS: "&amp;INDEX(DiemHKII!$H$4:$H$58,MATCH(B258,DiemHKII!$B$4:$B$58,0),1))</f>
        <v xml:space="preserve">NS: </v>
      </c>
      <c r="F259" s="1139"/>
      <c r="G259" s="88"/>
      <c r="H259" s="1136" t="str">
        <f>" Sinh ngày: "&amp;IF(H258="","",INDEX(DiemHKII!$G$4:$G$58,MATCH(H258,DiemHKII!$B$4:$B$58,0),1))</f>
        <v xml:space="preserve"> Sinh ngày: 28/01/2004</v>
      </c>
      <c r="I259" s="1137"/>
      <c r="J259" s="1137"/>
      <c r="K259" s="1138" t="str">
        <f>IF(H258="","","NS: "&amp;INDEX(DiemHKII!$H$4:$H$58,MATCH(H258,DiemHKII!$B$4:$B$58,0),1))</f>
        <v xml:space="preserve">NS: </v>
      </c>
      <c r="L259" s="1139"/>
      <c r="M259" s="88"/>
      <c r="N259" s="1136" t="str">
        <f>" Sinh ngày: "&amp;IF(N258="","",INDEX(DiemHKII!$G$4:$G$58,MATCH(N258,DiemHKII!$B$4:$B$58,0),1))</f>
        <v xml:space="preserve"> Sinh ngày: 14/04/2004</v>
      </c>
      <c r="O259" s="1137"/>
      <c r="P259" s="1137"/>
      <c r="Q259" s="1138" t="str">
        <f>IF(N258="","","NS: "&amp;INDEX(DiemHKII!$H$4:$H$58,MATCH(N258,DiemHKII!$B$4:$B$58,0),1))</f>
        <v xml:space="preserve">NS: </v>
      </c>
      <c r="R259" s="1139"/>
      <c r="S259" s="88"/>
    </row>
    <row r="260" spans="1:19" ht="15.75" customHeight="1">
      <c r="A260" s="88"/>
      <c r="B260" s="381" t="s">
        <v>0</v>
      </c>
      <c r="C260" s="381" t="s">
        <v>59</v>
      </c>
      <c r="D260" s="381" t="s">
        <v>73</v>
      </c>
      <c r="E260" s="381" t="s">
        <v>176</v>
      </c>
      <c r="F260" s="381" t="s">
        <v>98</v>
      </c>
      <c r="G260" s="88"/>
      <c r="H260" s="381" t="s">
        <v>0</v>
      </c>
      <c r="I260" s="381" t="s">
        <v>59</v>
      </c>
      <c r="J260" s="381" t="s">
        <v>73</v>
      </c>
      <c r="K260" s="381" t="s">
        <v>176</v>
      </c>
      <c r="L260" s="381" t="s">
        <v>98</v>
      </c>
      <c r="M260" s="88"/>
      <c r="N260" s="381" t="s">
        <v>0</v>
      </c>
      <c r="O260" s="381" t="s">
        <v>59</v>
      </c>
      <c r="P260" s="381" t="s">
        <v>73</v>
      </c>
      <c r="Q260" s="381" t="s">
        <v>176</v>
      </c>
      <c r="R260" s="381" t="s">
        <v>98</v>
      </c>
      <c r="S260" s="88"/>
    </row>
    <row r="261" spans="1:19" ht="15.6" customHeight="1">
      <c r="A261" s="88"/>
      <c r="B261" s="79" t="s">
        <v>191</v>
      </c>
      <c r="C261" s="81" t="s">
        <v>26</v>
      </c>
      <c r="D261" s="35">
        <f>IF(B258&lt;&gt;"",IF(INDEX(BDHK2,MATCH(B258,DiemHKII!$B$4:$B$58,0),INDEX($Y$7:$AB$20,MATCH(C261,$Y$7:$Y$20,0),$Z$6))&lt;&gt;"",INDEX(BDHK2,MATCH(B258,DiemHKII!$B$4:$B$58,0),INDEX($Y$7:$AB$20,MATCH(C261,$Y$7:$Y$20,0),$Z$6)),"/"),"")</f>
        <v>9.5</v>
      </c>
      <c r="E261" s="35" t="str">
        <f>IF(B258&lt;&gt;"",IF(INDEX(BDHK2,MATCH(B258,DiemHKII!$B$4:$B$58,0),INDEX($Y$7:$AB$20,MATCH(C261,$Y$7:$Y$20,0),$AA$6))&lt;&gt;"",INDEX(BDHK2,MATCH(B258,DiemHKII!$B$4:$B$58,0),INDEX($Y$7:$AB$20,MATCH(C261,$Y$7:$Y$20,0),$AA$6)),"/"),"")</f>
        <v>/</v>
      </c>
      <c r="F261" s="35" t="str">
        <f>IF(B258&lt;&gt;"",IF(INDEX(BDHK2,MATCH(B258,DiemHKII!$B$4:$B$58,0),INDEX($Y$7:$AB$20,MATCH(C261,$Y$7:$Y$20,0),$AB$6))&lt;&gt;"",INDEX(BDHK2,MATCH(B258,DiemHKII!$B$4:$B$58,0),INDEX($Y$7:$AB$20,MATCH(C261,$Y$7:$Y$20,0),$AB$6)),"/"),"")</f>
        <v>/</v>
      </c>
      <c r="G261" s="88"/>
      <c r="H261" s="79" t="s">
        <v>191</v>
      </c>
      <c r="I261" s="81" t="s">
        <v>26</v>
      </c>
      <c r="J261" s="35">
        <f>IF(H258&lt;&gt;"",IF(INDEX(BDHK2,MATCH(H258,DiemHKII!$B$4:$B$58,0),INDEX($Y$7:$AB$20,MATCH(I261,$Y$7:$Y$20,0),$Z$6))&lt;&gt;"",INDEX(BDHK2,MATCH(H258,DiemHKII!$B$4:$B$58,0),INDEX($Y$7:$AB$20,MATCH(I261,$Y$7:$Y$20,0),$Z$6)),"/"),"")</f>
        <v>9.8000000000000007</v>
      </c>
      <c r="K261" s="35" t="str">
        <f>IF(H258&lt;&gt;"",IF(INDEX(BDHK2,MATCH(H258,DiemHKII!$B$4:$B$58,0),INDEX($Y$7:$AB$20,MATCH(I261,$Y$7:$Y$20,0),$AA$6))&lt;&gt;"",INDEX(BDHK2,MATCH(H258,DiemHKII!$B$4:$B$58,0),INDEX($Y$7:$AB$20,MATCH(I261,$Y$7:$Y$20,0),$AA$6)),"/"),"")</f>
        <v>/</v>
      </c>
      <c r="L261" s="35" t="str">
        <f>IF(H258&lt;&gt;"",IF(INDEX(BDHK2,MATCH(H258,DiemHKII!$B$4:$B$58,0),INDEX($Y$7:$AB$20,MATCH(I261,$Y$7:$Y$20,0),$AB$6))&lt;&gt;"",INDEX(BDHK2,MATCH(H258,DiemHKII!$B$4:$B$58,0),INDEX($Y$7:$AB$20,MATCH(I261,$Y$7:$Y$20,0),$AB$6)),"/"),"")</f>
        <v>/</v>
      </c>
      <c r="M261" s="88"/>
      <c r="N261" s="79" t="s">
        <v>191</v>
      </c>
      <c r="O261" s="81" t="s">
        <v>26</v>
      </c>
      <c r="P261" s="35">
        <f>IF(N258&lt;&gt;"",IF(INDEX(BDHK2,MATCH(N258,DiemHKII!$B$4:$B$58,0),INDEX($Y$7:$AB$20,MATCH(O261,$Y$7:$Y$20,0),$Z$6))&lt;&gt;"",INDEX(BDHK2,MATCH(N258,DiemHKII!$B$4:$B$58,0),INDEX($Y$7:$AB$20,MATCH(O261,$Y$7:$Y$20,0),$Z$6)),"/"),"")</f>
        <v>9.8000000000000007</v>
      </c>
      <c r="Q261" s="35" t="str">
        <f>IF(N258&lt;&gt;"",IF(INDEX(BDHK2,MATCH(N258,DiemHKII!$B$4:$B$58,0),INDEX($Y$7:$AB$20,MATCH(O261,$Y$7:$Y$20,0),$AA$6))&lt;&gt;"",INDEX(BDHK2,MATCH(N258,DiemHKII!$B$4:$B$58,0),INDEX($Y$7:$AB$20,MATCH(O261,$Y$7:$Y$20,0),$AA$6)),"/"),"")</f>
        <v>/</v>
      </c>
      <c r="R261" s="35" t="str">
        <f>IF(N258&lt;&gt;"",IF(INDEX(BDHK2,MATCH(N258,DiemHKII!$B$4:$B$58,0),INDEX($Y$7:$AB$20,MATCH(O261,$Y$7:$Y$20,0),$AB$6))&lt;&gt;"",INDEX(BDHK2,MATCH(N258,DiemHKII!$B$4:$B$58,0),INDEX($Y$7:$AB$20,MATCH(O261,$Y$7:$Y$20,0),$AB$6)),"/"),"")</f>
        <v>/</v>
      </c>
      <c r="S261" s="88"/>
    </row>
    <row r="262" spans="1:19" ht="15.6" customHeight="1">
      <c r="A262" s="88"/>
      <c r="B262" s="79" t="s">
        <v>192</v>
      </c>
      <c r="C262" s="81" t="s">
        <v>27</v>
      </c>
      <c r="D262" s="35">
        <f>IF(B258&lt;&gt;"",IF(INDEX(BDHK2,MATCH(B258,DiemHKII!$B$4:$B$58,0),INDEX($Y$7:$AB$20,MATCH(C262,$Y$7:$Y$20,0),$Z$6))&lt;&gt;"",INDEX(BDHK2,MATCH(B258,DiemHKII!$B$4:$B$58,0),INDEX($Y$7:$AB$20,MATCH(C262,$Y$7:$Y$20,0),$Z$6)),"/"),"")</f>
        <v>9.1999999999999993</v>
      </c>
      <c r="E262" s="35" t="str">
        <f>IF(B258&lt;&gt;"",IF(INDEX(BDHK2,MATCH(B258,DiemHKII!$B$4:$B$58,0),INDEX($Y$7:$AB$20,MATCH(C262,$Y$7:$Y$20,0),$AA$6))&lt;&gt;"",INDEX(BDHK2,MATCH(B258,DiemHKII!$B$4:$B$58,0),INDEX($Y$7:$AB$20,MATCH(C262,$Y$7:$Y$20,0),$AA$6)),"/"),"")</f>
        <v>/</v>
      </c>
      <c r="F262" s="35" t="str">
        <f>IF(B258&lt;&gt;"",IF(INDEX(BDHK2,MATCH(B258,DiemHKII!$B$4:$B$58,0),INDEX($Y$7:$AB$20,MATCH(C262,$Y$7:$Y$20,0),$AB$6))&lt;&gt;"",INDEX(BDHK2,MATCH(B258,DiemHKII!$B$4:$B$58,0),INDEX($Y$7:$AB$20,MATCH(C262,$Y$7:$Y$20,0),$AB$6)),"/"),"")</f>
        <v>/</v>
      </c>
      <c r="G262" s="88"/>
      <c r="H262" s="79" t="s">
        <v>192</v>
      </c>
      <c r="I262" s="81" t="s">
        <v>27</v>
      </c>
      <c r="J262" s="35">
        <f>IF(H258&lt;&gt;"",IF(INDEX(BDHK2,MATCH(H258,DiemHKII!$B$4:$B$58,0),INDEX($Y$7:$AB$20,MATCH(I262,$Y$7:$Y$20,0),$Z$6))&lt;&gt;"",INDEX(BDHK2,MATCH(H258,DiemHKII!$B$4:$B$58,0),INDEX($Y$7:$AB$20,MATCH(I262,$Y$7:$Y$20,0),$Z$6)),"/"),"")</f>
        <v>9.9</v>
      </c>
      <c r="K262" s="35" t="str">
        <f>IF(H258&lt;&gt;"",IF(INDEX(BDHK2,MATCH(H258,DiemHKII!$B$4:$B$58,0),INDEX($Y$7:$AB$20,MATCH(I262,$Y$7:$Y$20,0),$AA$6))&lt;&gt;"",INDEX(BDHK2,MATCH(H258,DiemHKII!$B$4:$B$58,0),INDEX($Y$7:$AB$20,MATCH(I262,$Y$7:$Y$20,0),$AA$6)),"/"),"")</f>
        <v>/</v>
      </c>
      <c r="L262" s="35" t="str">
        <f>IF(H258&lt;&gt;"",IF(INDEX(BDHK2,MATCH(H258,DiemHKII!$B$4:$B$58,0),INDEX($Y$7:$AB$20,MATCH(I262,$Y$7:$Y$20,0),$AB$6))&lt;&gt;"",INDEX(BDHK2,MATCH(H258,DiemHKII!$B$4:$B$58,0),INDEX($Y$7:$AB$20,MATCH(I262,$Y$7:$Y$20,0),$AB$6)),"/"),"")</f>
        <v>/</v>
      </c>
      <c r="M262" s="88"/>
      <c r="N262" s="79" t="s">
        <v>192</v>
      </c>
      <c r="O262" s="81" t="s">
        <v>27</v>
      </c>
      <c r="P262" s="35">
        <f>IF(N258&lt;&gt;"",IF(INDEX(BDHK2,MATCH(N258,DiemHKII!$B$4:$B$58,0),INDEX($Y$7:$AB$20,MATCH(O262,$Y$7:$Y$20,0),$Z$6))&lt;&gt;"",INDEX(BDHK2,MATCH(N258,DiemHKII!$B$4:$B$58,0),INDEX($Y$7:$AB$20,MATCH(O262,$Y$7:$Y$20,0),$Z$6)),"/"),"")</f>
        <v>9.6</v>
      </c>
      <c r="Q262" s="35" t="str">
        <f>IF(N258&lt;&gt;"",IF(INDEX(BDHK2,MATCH(N258,DiemHKII!$B$4:$B$58,0),INDEX($Y$7:$AB$20,MATCH(O262,$Y$7:$Y$20,0),$AA$6))&lt;&gt;"",INDEX(BDHK2,MATCH(N258,DiemHKII!$B$4:$B$58,0),INDEX($Y$7:$AB$20,MATCH(O262,$Y$7:$Y$20,0),$AA$6)),"/"),"")</f>
        <v>/</v>
      </c>
      <c r="R262" s="35" t="str">
        <f>IF(N258&lt;&gt;"",IF(INDEX(BDHK2,MATCH(N258,DiemHKII!$B$4:$B$58,0),INDEX($Y$7:$AB$20,MATCH(O262,$Y$7:$Y$20,0),$AB$6))&lt;&gt;"",INDEX(BDHK2,MATCH(N258,DiemHKII!$B$4:$B$58,0),INDEX($Y$7:$AB$20,MATCH(O262,$Y$7:$Y$20,0),$AB$6)),"/"),"")</f>
        <v>/</v>
      </c>
      <c r="S262" s="88"/>
    </row>
    <row r="263" spans="1:19" ht="15.6" customHeight="1">
      <c r="A263" s="88"/>
      <c r="B263" s="79" t="s">
        <v>193</v>
      </c>
      <c r="C263" s="81" t="s">
        <v>28</v>
      </c>
      <c r="D263" s="35">
        <f>IF(B258&lt;&gt;"",IF(INDEX(BDHK2,MATCH(B258,DiemHKII!$B$4:$B$58,0),INDEX($Y$7:$AB$20,MATCH(C263,$Y$7:$Y$20,0),$Z$6))&lt;&gt;"",INDEX(BDHK2,MATCH(B258,DiemHKII!$B$4:$B$58,0),INDEX($Y$7:$AB$20,MATCH(C263,$Y$7:$Y$20,0),$Z$6)),"/"),"")</f>
        <v>8.9</v>
      </c>
      <c r="E263" s="35" t="str">
        <f>IF(B258&lt;&gt;"",IF(INDEX(BDHK2,MATCH(B258,DiemHKII!$B$4:$B$58,0),INDEX($Y$7:$AB$20,MATCH(C263,$Y$7:$Y$20,0),$AA$6))&lt;&gt;"",INDEX(BDHK2,MATCH(B258,DiemHKII!$B$4:$B$58,0),INDEX($Y$7:$AB$20,MATCH(C263,$Y$7:$Y$20,0),$AA$6)),"/"),"")</f>
        <v>/</v>
      </c>
      <c r="F263" s="35" t="str">
        <f>IF(B258&lt;&gt;"",IF(INDEX(BDHK2,MATCH(B258,DiemHKII!$B$4:$B$58,0),INDEX($Y$7:$AB$20,MATCH(C263,$Y$7:$Y$20,0),$AB$6))&lt;&gt;"",INDEX(BDHK2,MATCH(B258,DiemHKII!$B$4:$B$58,0),INDEX($Y$7:$AB$20,MATCH(C263,$Y$7:$Y$20,0),$AB$6)),"/"),"")</f>
        <v>/</v>
      </c>
      <c r="G263" s="88"/>
      <c r="H263" s="79" t="s">
        <v>193</v>
      </c>
      <c r="I263" s="81" t="s">
        <v>28</v>
      </c>
      <c r="J263" s="35">
        <f>IF(H258&lt;&gt;"",IF(INDEX(BDHK2,MATCH(H258,DiemHKII!$B$4:$B$58,0),INDEX($Y$7:$AB$20,MATCH(I263,$Y$7:$Y$20,0),$Z$6))&lt;&gt;"",INDEX(BDHK2,MATCH(H258,DiemHKII!$B$4:$B$58,0),INDEX($Y$7:$AB$20,MATCH(I263,$Y$7:$Y$20,0),$Z$6)),"/"),"")</f>
        <v>9.4</v>
      </c>
      <c r="K263" s="35" t="str">
        <f>IF(H258&lt;&gt;"",IF(INDEX(BDHK2,MATCH(H258,DiemHKII!$B$4:$B$58,0),INDEX($Y$7:$AB$20,MATCH(I263,$Y$7:$Y$20,0),$AA$6))&lt;&gt;"",INDEX(BDHK2,MATCH(H258,DiemHKII!$B$4:$B$58,0),INDEX($Y$7:$AB$20,MATCH(I263,$Y$7:$Y$20,0),$AA$6)),"/"),"")</f>
        <v>/</v>
      </c>
      <c r="L263" s="35" t="str">
        <f>IF(H258&lt;&gt;"",IF(INDEX(BDHK2,MATCH(H258,DiemHKII!$B$4:$B$58,0),INDEX($Y$7:$AB$20,MATCH(I263,$Y$7:$Y$20,0),$AB$6))&lt;&gt;"",INDEX(BDHK2,MATCH(H258,DiemHKII!$B$4:$B$58,0),INDEX($Y$7:$AB$20,MATCH(I263,$Y$7:$Y$20,0),$AB$6)),"/"),"")</f>
        <v>/</v>
      </c>
      <c r="M263" s="88"/>
      <c r="N263" s="79" t="s">
        <v>193</v>
      </c>
      <c r="O263" s="81" t="s">
        <v>28</v>
      </c>
      <c r="P263" s="35">
        <f>IF(N258&lt;&gt;"",IF(INDEX(BDHK2,MATCH(N258,DiemHKII!$B$4:$B$58,0),INDEX($Y$7:$AB$20,MATCH(O263,$Y$7:$Y$20,0),$Z$6))&lt;&gt;"",INDEX(BDHK2,MATCH(N258,DiemHKII!$B$4:$B$58,0),INDEX($Y$7:$AB$20,MATCH(O263,$Y$7:$Y$20,0),$Z$6)),"/"),"")</f>
        <v>9</v>
      </c>
      <c r="Q263" s="35" t="str">
        <f>IF(N258&lt;&gt;"",IF(INDEX(BDHK2,MATCH(N258,DiemHKII!$B$4:$B$58,0),INDEX($Y$7:$AB$20,MATCH(O263,$Y$7:$Y$20,0),$AA$6))&lt;&gt;"",INDEX(BDHK2,MATCH(N258,DiemHKII!$B$4:$B$58,0),INDEX($Y$7:$AB$20,MATCH(O263,$Y$7:$Y$20,0),$AA$6)),"/"),"")</f>
        <v>/</v>
      </c>
      <c r="R263" s="35" t="str">
        <f>IF(N258&lt;&gt;"",IF(INDEX(BDHK2,MATCH(N258,DiemHKII!$B$4:$B$58,0),INDEX($Y$7:$AB$20,MATCH(O263,$Y$7:$Y$20,0),$AB$6))&lt;&gt;"",INDEX(BDHK2,MATCH(N258,DiemHKII!$B$4:$B$58,0),INDEX($Y$7:$AB$20,MATCH(O263,$Y$7:$Y$20,0),$AB$6)),"/"),"")</f>
        <v>/</v>
      </c>
      <c r="S263" s="88"/>
    </row>
    <row r="264" spans="1:19" ht="15.6" customHeight="1">
      <c r="A264" s="88"/>
      <c r="B264" s="79" t="s">
        <v>194</v>
      </c>
      <c r="C264" s="81" t="s">
        <v>29</v>
      </c>
      <c r="D264" s="35">
        <f>IF(B258&lt;&gt;"",IF(INDEX(BDHK2,MATCH(B258,DiemHKII!$B$4:$B$58,0),INDEX($Y$7:$AB$20,MATCH(C264,$Y$7:$Y$20,0),$Z$6))&lt;&gt;"",INDEX(BDHK2,MATCH(B258,DiemHKII!$B$4:$B$58,0),INDEX($Y$7:$AB$20,MATCH(C264,$Y$7:$Y$20,0),$Z$6)),"/"),"")</f>
        <v>9.5</v>
      </c>
      <c r="E264" s="35" t="str">
        <f>IF(B258&lt;&gt;"",IF(INDEX(BDHK2,MATCH(B258,DiemHKII!$B$4:$B$58,0),INDEX($Y$7:$AB$20,MATCH(C264,$Y$7:$Y$20,0),$AA$6))&lt;&gt;"",INDEX(BDHK2,MATCH(B258,DiemHKII!$B$4:$B$58,0),INDEX($Y$7:$AB$20,MATCH(C264,$Y$7:$Y$20,0),$AA$6)),"/"),"")</f>
        <v>/</v>
      </c>
      <c r="F264" s="35" t="str">
        <f>IF(B258&lt;&gt;"",IF(INDEX(BDHK2,MATCH(B258,DiemHKII!$B$4:$B$58,0),INDEX($Y$7:$AB$20,MATCH(C264,$Y$7:$Y$20,0),$AB$6))&lt;&gt;"",INDEX(BDHK2,MATCH(B258,DiemHKII!$B$4:$B$58,0),INDEX($Y$7:$AB$20,MATCH(C264,$Y$7:$Y$20,0),$AB$6)),"/"),"")</f>
        <v>/</v>
      </c>
      <c r="G264" s="88"/>
      <c r="H264" s="79" t="s">
        <v>194</v>
      </c>
      <c r="I264" s="81" t="s">
        <v>29</v>
      </c>
      <c r="J264" s="35">
        <f>IF(H258&lt;&gt;"",IF(INDEX(BDHK2,MATCH(H258,DiemHKII!$B$4:$B$58,0),INDEX($Y$7:$AB$20,MATCH(I264,$Y$7:$Y$20,0),$Z$6))&lt;&gt;"",INDEX(BDHK2,MATCH(H258,DiemHKII!$B$4:$B$58,0),INDEX($Y$7:$AB$20,MATCH(I264,$Y$7:$Y$20,0),$Z$6)),"/"),"")</f>
        <v>9.3000000000000007</v>
      </c>
      <c r="K264" s="35" t="str">
        <f>IF(H258&lt;&gt;"",IF(INDEX(BDHK2,MATCH(H258,DiemHKII!$B$4:$B$58,0),INDEX($Y$7:$AB$20,MATCH(I264,$Y$7:$Y$20,0),$AA$6))&lt;&gt;"",INDEX(BDHK2,MATCH(H258,DiemHKII!$B$4:$B$58,0),INDEX($Y$7:$AB$20,MATCH(I264,$Y$7:$Y$20,0),$AA$6)),"/"),"")</f>
        <v>/</v>
      </c>
      <c r="L264" s="35" t="str">
        <f>IF(H258&lt;&gt;"",IF(INDEX(BDHK2,MATCH(H258,DiemHKII!$B$4:$B$58,0),INDEX($Y$7:$AB$20,MATCH(I264,$Y$7:$Y$20,0),$AB$6))&lt;&gt;"",INDEX(BDHK2,MATCH(H258,DiemHKII!$B$4:$B$58,0),INDEX($Y$7:$AB$20,MATCH(I264,$Y$7:$Y$20,0),$AB$6)),"/"),"")</f>
        <v>/</v>
      </c>
      <c r="M264" s="88"/>
      <c r="N264" s="79" t="s">
        <v>194</v>
      </c>
      <c r="O264" s="81" t="s">
        <v>29</v>
      </c>
      <c r="P264" s="35">
        <f>IF(N258&lt;&gt;"",IF(INDEX(BDHK2,MATCH(N258,DiemHKII!$B$4:$B$58,0),INDEX($Y$7:$AB$20,MATCH(O264,$Y$7:$Y$20,0),$Z$6))&lt;&gt;"",INDEX(BDHK2,MATCH(N258,DiemHKII!$B$4:$B$58,0),INDEX($Y$7:$AB$20,MATCH(O264,$Y$7:$Y$20,0),$Z$6)),"/"),"")</f>
        <v>8.5</v>
      </c>
      <c r="Q264" s="35" t="str">
        <f>IF(N258&lt;&gt;"",IF(INDEX(BDHK2,MATCH(N258,DiemHKII!$B$4:$B$58,0),INDEX($Y$7:$AB$20,MATCH(O264,$Y$7:$Y$20,0),$AA$6))&lt;&gt;"",INDEX(BDHK2,MATCH(N258,DiemHKII!$B$4:$B$58,0),INDEX($Y$7:$AB$20,MATCH(O264,$Y$7:$Y$20,0),$AA$6)),"/"),"")</f>
        <v>/</v>
      </c>
      <c r="R264" s="35" t="str">
        <f>IF(N258&lt;&gt;"",IF(INDEX(BDHK2,MATCH(N258,DiemHKII!$B$4:$B$58,0),INDEX($Y$7:$AB$20,MATCH(O264,$Y$7:$Y$20,0),$AB$6))&lt;&gt;"",INDEX(BDHK2,MATCH(N258,DiemHKII!$B$4:$B$58,0),INDEX($Y$7:$AB$20,MATCH(O264,$Y$7:$Y$20,0),$AB$6)),"/"),"")</f>
        <v>/</v>
      </c>
      <c r="S264" s="88"/>
    </row>
    <row r="265" spans="1:19" ht="15.6" customHeight="1">
      <c r="A265" s="88"/>
      <c r="B265" s="79" t="s">
        <v>195</v>
      </c>
      <c r="C265" s="81" t="s">
        <v>120</v>
      </c>
      <c r="D265" s="35">
        <f>IF(B258&lt;&gt;"",IF(INDEX(BDHK2,MATCH(B258,DiemHKII!$B$4:$B$58,0),INDEX($Y$7:$AB$20,MATCH(C265,$Y$7:$Y$20,0),$Z$6))&lt;&gt;"",INDEX(BDHK2,MATCH(B258,DiemHKII!$B$4:$B$58,0),INDEX($Y$7:$AB$20,MATCH(C265,$Y$7:$Y$20,0),$Z$6)),"/"),"")</f>
        <v>9.8000000000000007</v>
      </c>
      <c r="E265" s="35" t="str">
        <f>IF(B258&lt;&gt;"",IF(INDEX(BDHK2,MATCH(B258,DiemHKII!$B$4:$B$58,0),INDEX($Y$7:$AB$20,MATCH(C265,$Y$7:$Y$20,0),$AA$6))&lt;&gt;"",INDEX(BDHK2,MATCH(B258,DiemHKII!$B$4:$B$58,0),INDEX($Y$7:$AB$20,MATCH(C265,$Y$7:$Y$20,0),$AA$6)),"/"),"")</f>
        <v>/</v>
      </c>
      <c r="F265" s="35" t="str">
        <f>IF(B258&lt;&gt;"",IF(INDEX(BDHK2,MATCH(B258,DiemHKII!$B$4:$B$58,0),INDEX($Y$7:$AB$20,MATCH(C265,$Y$7:$Y$20,0),$AB$6))&lt;&gt;"",INDEX(BDHK2,MATCH(B258,DiemHKII!$B$4:$B$58,0),INDEX($Y$7:$AB$20,MATCH(C265,$Y$7:$Y$20,0),$AB$6)),"/"),"")</f>
        <v>/</v>
      </c>
      <c r="G265" s="88"/>
      <c r="H265" s="79" t="s">
        <v>195</v>
      </c>
      <c r="I265" s="81" t="s">
        <v>120</v>
      </c>
      <c r="J265" s="35">
        <f>IF(H258&lt;&gt;"",IF(INDEX(BDHK2,MATCH(H258,DiemHKII!$B$4:$B$58,0),INDEX($Y$7:$AB$20,MATCH(I265,$Y$7:$Y$20,0),$Z$6))&lt;&gt;"",INDEX(BDHK2,MATCH(H258,DiemHKII!$B$4:$B$58,0),INDEX($Y$7:$AB$20,MATCH(I265,$Y$7:$Y$20,0),$Z$6)),"/"),"")</f>
        <v>9.9</v>
      </c>
      <c r="K265" s="35" t="str">
        <f>IF(H258&lt;&gt;"",IF(INDEX(BDHK2,MATCH(H258,DiemHKII!$B$4:$B$58,0),INDEX($Y$7:$AB$20,MATCH(I265,$Y$7:$Y$20,0),$AA$6))&lt;&gt;"",INDEX(BDHK2,MATCH(H258,DiemHKII!$B$4:$B$58,0),INDEX($Y$7:$AB$20,MATCH(I265,$Y$7:$Y$20,0),$AA$6)),"/"),"")</f>
        <v>/</v>
      </c>
      <c r="L265" s="35" t="str">
        <f>IF(H258&lt;&gt;"",IF(INDEX(BDHK2,MATCH(H258,DiemHKII!$B$4:$B$58,0),INDEX($Y$7:$AB$20,MATCH(I265,$Y$7:$Y$20,0),$AB$6))&lt;&gt;"",INDEX(BDHK2,MATCH(H258,DiemHKII!$B$4:$B$58,0),INDEX($Y$7:$AB$20,MATCH(I265,$Y$7:$Y$20,0),$AB$6)),"/"),"")</f>
        <v>/</v>
      </c>
      <c r="M265" s="88"/>
      <c r="N265" s="79" t="s">
        <v>195</v>
      </c>
      <c r="O265" s="81" t="s">
        <v>120</v>
      </c>
      <c r="P265" s="35">
        <f>IF(N258&lt;&gt;"",IF(INDEX(BDHK2,MATCH(N258,DiemHKII!$B$4:$B$58,0),INDEX($Y$7:$AB$20,MATCH(O265,$Y$7:$Y$20,0),$Z$6))&lt;&gt;"",INDEX(BDHK2,MATCH(N258,DiemHKII!$B$4:$B$58,0),INDEX($Y$7:$AB$20,MATCH(O265,$Y$7:$Y$20,0),$Z$6)),"/"),"")</f>
        <v>9.8000000000000007</v>
      </c>
      <c r="Q265" s="35" t="str">
        <f>IF(N258&lt;&gt;"",IF(INDEX(BDHK2,MATCH(N258,DiemHKII!$B$4:$B$58,0),INDEX($Y$7:$AB$20,MATCH(O265,$Y$7:$Y$20,0),$AA$6))&lt;&gt;"",INDEX(BDHK2,MATCH(N258,DiemHKII!$B$4:$B$58,0),INDEX($Y$7:$AB$20,MATCH(O265,$Y$7:$Y$20,0),$AA$6)),"/"),"")</f>
        <v>/</v>
      </c>
      <c r="R265" s="35" t="str">
        <f>IF(N258&lt;&gt;"",IF(INDEX(BDHK2,MATCH(N258,DiemHKII!$B$4:$B$58,0),INDEX($Y$7:$AB$20,MATCH(O265,$Y$7:$Y$20,0),$AB$6))&lt;&gt;"",INDEX(BDHK2,MATCH(N258,DiemHKII!$B$4:$B$58,0),INDEX($Y$7:$AB$20,MATCH(O265,$Y$7:$Y$20,0),$AB$6)),"/"),"")</f>
        <v>/</v>
      </c>
      <c r="S265" s="88"/>
    </row>
    <row r="266" spans="1:19" ht="15.6" customHeight="1">
      <c r="A266" s="88"/>
      <c r="B266" s="79" t="s">
        <v>196</v>
      </c>
      <c r="C266" s="81" t="s">
        <v>30</v>
      </c>
      <c r="D266" s="35">
        <f>IF(B258&lt;&gt;"",IF(INDEX(BDHK2,MATCH(B258,DiemHKII!$B$4:$B$58,0),INDEX($Y$7:$AB$20,MATCH(C266,$Y$7:$Y$20,0),$Z$6))&lt;&gt;"",INDEX(BDHK2,MATCH(B258,DiemHKII!$B$4:$B$58,0),INDEX($Y$7:$AB$20,MATCH(C266,$Y$7:$Y$20,0),$Z$6)),"/"),"")</f>
        <v>7.7</v>
      </c>
      <c r="E266" s="35" t="str">
        <f>IF(B258&lt;&gt;"",IF(INDEX(BDHK2,MATCH(B258,DiemHKII!$B$4:$B$58,0),INDEX($Y$7:$AB$20,MATCH(C266,$Y$7:$Y$20,0),$AA$6))&lt;&gt;"",INDEX(BDHK2,MATCH(B258,DiemHKII!$B$4:$B$58,0),INDEX($Y$7:$AB$20,MATCH(C266,$Y$7:$Y$20,0),$AA$6)),"/"),"")</f>
        <v>/</v>
      </c>
      <c r="F266" s="35" t="str">
        <f>IF(B258&lt;&gt;"",IF(INDEX(BDHK2,MATCH(B258,DiemHKII!$B$4:$B$58,0),INDEX($Y$7:$AB$20,MATCH(C266,$Y$7:$Y$20,0),$AB$6))&lt;&gt;"",INDEX(BDHK2,MATCH(B258,DiemHKII!$B$4:$B$58,0),INDEX($Y$7:$AB$20,MATCH(C266,$Y$7:$Y$20,0),$AB$6)),"/"),"")</f>
        <v>/</v>
      </c>
      <c r="G266" s="88"/>
      <c r="H266" s="79" t="s">
        <v>196</v>
      </c>
      <c r="I266" s="81" t="s">
        <v>30</v>
      </c>
      <c r="J266" s="35">
        <f>IF(H258&lt;&gt;"",IF(INDEX(BDHK2,MATCH(H258,DiemHKII!$B$4:$B$58,0),INDEX($Y$7:$AB$20,MATCH(I266,$Y$7:$Y$20,0),$Z$6))&lt;&gt;"",INDEX(BDHK2,MATCH(H258,DiemHKII!$B$4:$B$58,0),INDEX($Y$7:$AB$20,MATCH(I266,$Y$7:$Y$20,0),$Z$6)),"/"),"")</f>
        <v>7.8</v>
      </c>
      <c r="K266" s="35" t="str">
        <f>IF(H258&lt;&gt;"",IF(INDEX(BDHK2,MATCH(H258,DiemHKII!$B$4:$B$58,0),INDEX($Y$7:$AB$20,MATCH(I266,$Y$7:$Y$20,0),$AA$6))&lt;&gt;"",INDEX(BDHK2,MATCH(H258,DiemHKII!$B$4:$B$58,0),INDEX($Y$7:$AB$20,MATCH(I266,$Y$7:$Y$20,0),$AA$6)),"/"),"")</f>
        <v>/</v>
      </c>
      <c r="L266" s="35" t="str">
        <f>IF(H258&lt;&gt;"",IF(INDEX(BDHK2,MATCH(H258,DiemHKII!$B$4:$B$58,0),INDEX($Y$7:$AB$20,MATCH(I266,$Y$7:$Y$20,0),$AB$6))&lt;&gt;"",INDEX(BDHK2,MATCH(H258,DiemHKII!$B$4:$B$58,0),INDEX($Y$7:$AB$20,MATCH(I266,$Y$7:$Y$20,0),$AB$6)),"/"),"")</f>
        <v>/</v>
      </c>
      <c r="M266" s="88"/>
      <c r="N266" s="79" t="s">
        <v>196</v>
      </c>
      <c r="O266" s="81" t="s">
        <v>30</v>
      </c>
      <c r="P266" s="35">
        <f>IF(N258&lt;&gt;"",IF(INDEX(BDHK2,MATCH(N258,DiemHKII!$B$4:$B$58,0),INDEX($Y$7:$AB$20,MATCH(O266,$Y$7:$Y$20,0),$Z$6))&lt;&gt;"",INDEX(BDHK2,MATCH(N258,DiemHKII!$B$4:$B$58,0),INDEX($Y$7:$AB$20,MATCH(O266,$Y$7:$Y$20,0),$Z$6)),"/"),"")</f>
        <v>6.7</v>
      </c>
      <c r="Q266" s="35" t="str">
        <f>IF(N258&lt;&gt;"",IF(INDEX(BDHK2,MATCH(N258,DiemHKII!$B$4:$B$58,0),INDEX($Y$7:$AB$20,MATCH(O266,$Y$7:$Y$20,0),$AA$6))&lt;&gt;"",INDEX(BDHK2,MATCH(N258,DiemHKII!$B$4:$B$58,0),INDEX($Y$7:$AB$20,MATCH(O266,$Y$7:$Y$20,0),$AA$6)),"/"),"")</f>
        <v>/</v>
      </c>
      <c r="R266" s="35" t="str">
        <f>IF(N258&lt;&gt;"",IF(INDEX(BDHK2,MATCH(N258,DiemHKII!$B$4:$B$58,0),INDEX($Y$7:$AB$20,MATCH(O266,$Y$7:$Y$20,0),$AB$6))&lt;&gt;"",INDEX(BDHK2,MATCH(N258,DiemHKII!$B$4:$B$58,0),INDEX($Y$7:$AB$20,MATCH(O266,$Y$7:$Y$20,0),$AB$6)),"/"),"")</f>
        <v>/</v>
      </c>
      <c r="S266" s="88"/>
    </row>
    <row r="267" spans="1:19" ht="15.6" customHeight="1">
      <c r="A267" s="88"/>
      <c r="B267" s="79" t="s">
        <v>197</v>
      </c>
      <c r="C267" s="81" t="s">
        <v>31</v>
      </c>
      <c r="D267" s="35">
        <f>IF(B258&lt;&gt;"",IF(INDEX(BDHK2,MATCH(B258,DiemHKII!$B$4:$B$58,0),INDEX($Y$7:$AB$20,MATCH(C267,$Y$7:$Y$20,0),$Z$6))&lt;&gt;"",INDEX(BDHK2,MATCH(B258,DiemHKII!$B$4:$B$58,0),INDEX($Y$7:$AB$20,MATCH(C267,$Y$7:$Y$20,0),$Z$6)),"/"),"")</f>
        <v>9.6</v>
      </c>
      <c r="E267" s="35" t="str">
        <f>IF(B258&lt;&gt;"",IF(INDEX(BDHK2,MATCH(B258,DiemHKII!$B$4:$B$58,0),INDEX($Y$7:$AB$20,MATCH(C267,$Y$7:$Y$20,0),$AA$6))&lt;&gt;"",INDEX(BDHK2,MATCH(B258,DiemHKII!$B$4:$B$58,0),INDEX($Y$7:$AB$20,MATCH(C267,$Y$7:$Y$20,0),$AA$6)),"/"),"")</f>
        <v>/</v>
      </c>
      <c r="F267" s="35" t="str">
        <f>IF(B258&lt;&gt;"",IF(INDEX(BDHK2,MATCH(B258,DiemHKII!$B$4:$B$58,0),INDEX($Y$7:$AB$20,MATCH(C267,$Y$7:$Y$20,0),$AB$6))&lt;&gt;"",INDEX(BDHK2,MATCH(B258,DiemHKII!$B$4:$B$58,0),INDEX($Y$7:$AB$20,MATCH(C267,$Y$7:$Y$20,0),$AB$6)),"/"),"")</f>
        <v>/</v>
      </c>
      <c r="G267" s="88"/>
      <c r="H267" s="79" t="s">
        <v>197</v>
      </c>
      <c r="I267" s="81" t="s">
        <v>31</v>
      </c>
      <c r="J267" s="35">
        <f>IF(H258&lt;&gt;"",IF(INDEX(BDHK2,MATCH(H258,DiemHKII!$B$4:$B$58,0),INDEX($Y$7:$AB$20,MATCH(I267,$Y$7:$Y$20,0),$Z$6))&lt;&gt;"",INDEX(BDHK2,MATCH(H258,DiemHKII!$B$4:$B$58,0),INDEX($Y$7:$AB$20,MATCH(I267,$Y$7:$Y$20,0),$Z$6)),"/"),"")</f>
        <v>9.6</v>
      </c>
      <c r="K267" s="35" t="str">
        <f>IF(H258&lt;&gt;"",IF(INDEX(BDHK2,MATCH(H258,DiemHKII!$B$4:$B$58,0),INDEX($Y$7:$AB$20,MATCH(I267,$Y$7:$Y$20,0),$AA$6))&lt;&gt;"",INDEX(BDHK2,MATCH(H258,DiemHKII!$B$4:$B$58,0),INDEX($Y$7:$AB$20,MATCH(I267,$Y$7:$Y$20,0),$AA$6)),"/"),"")</f>
        <v>/</v>
      </c>
      <c r="L267" s="35" t="str">
        <f>IF(H258&lt;&gt;"",IF(INDEX(BDHK2,MATCH(H258,DiemHKII!$B$4:$B$58,0),INDEX($Y$7:$AB$20,MATCH(I267,$Y$7:$Y$20,0),$AB$6))&lt;&gt;"",INDEX(BDHK2,MATCH(H258,DiemHKII!$B$4:$B$58,0),INDEX($Y$7:$AB$20,MATCH(I267,$Y$7:$Y$20,0),$AB$6)),"/"),"")</f>
        <v>/</v>
      </c>
      <c r="M267" s="88"/>
      <c r="N267" s="79" t="s">
        <v>197</v>
      </c>
      <c r="O267" s="81" t="s">
        <v>31</v>
      </c>
      <c r="P267" s="35">
        <f>IF(N258&lt;&gt;"",IF(INDEX(BDHK2,MATCH(N258,DiemHKII!$B$4:$B$58,0),INDEX($Y$7:$AB$20,MATCH(O267,$Y$7:$Y$20,0),$Z$6))&lt;&gt;"",INDEX(BDHK2,MATCH(N258,DiemHKII!$B$4:$B$58,0),INDEX($Y$7:$AB$20,MATCH(O267,$Y$7:$Y$20,0),$Z$6)),"/"),"")</f>
        <v>9.4</v>
      </c>
      <c r="Q267" s="35" t="str">
        <f>IF(N258&lt;&gt;"",IF(INDEX(BDHK2,MATCH(N258,DiemHKII!$B$4:$B$58,0),INDEX($Y$7:$AB$20,MATCH(O267,$Y$7:$Y$20,0),$AA$6))&lt;&gt;"",INDEX(BDHK2,MATCH(N258,DiemHKII!$B$4:$B$58,0),INDEX($Y$7:$AB$20,MATCH(O267,$Y$7:$Y$20,0),$AA$6)),"/"),"")</f>
        <v>/</v>
      </c>
      <c r="R267" s="35" t="str">
        <f>IF(N258&lt;&gt;"",IF(INDEX(BDHK2,MATCH(N258,DiemHKII!$B$4:$B$58,0),INDEX($Y$7:$AB$20,MATCH(O267,$Y$7:$Y$20,0),$AB$6))&lt;&gt;"",INDEX(BDHK2,MATCH(N258,DiemHKII!$B$4:$B$58,0),INDEX($Y$7:$AB$20,MATCH(O267,$Y$7:$Y$20,0),$AB$6)),"/"),"")</f>
        <v>/</v>
      </c>
      <c r="S267" s="88"/>
    </row>
    <row r="268" spans="1:19" ht="15.6" customHeight="1">
      <c r="A268" s="88"/>
      <c r="B268" s="79" t="s">
        <v>198</v>
      </c>
      <c r="C268" s="81" t="s">
        <v>32</v>
      </c>
      <c r="D268" s="35">
        <f>IF(B258&lt;&gt;"",IF(INDEX(BDHK2,MATCH(B258,DiemHKII!$B$4:$B$58,0),INDEX($Y$7:$AB$20,MATCH(C268,$Y$7:$Y$20,0),$Z$6))&lt;&gt;"",INDEX(BDHK2,MATCH(B258,DiemHKII!$B$4:$B$58,0),INDEX($Y$7:$AB$20,MATCH(C268,$Y$7:$Y$20,0),$Z$6)),"/"),"")</f>
        <v>9.9</v>
      </c>
      <c r="E268" s="35" t="str">
        <f>IF(B258&lt;&gt;"",IF(INDEX(BDHK2,MATCH(B258,DiemHKII!$B$4:$B$58,0),INDEX($Y$7:$AB$20,MATCH(C268,$Y$7:$Y$20,0),$AA$6))&lt;&gt;"",INDEX(BDHK2,MATCH(B258,DiemHKII!$B$4:$B$58,0),INDEX($Y$7:$AB$20,MATCH(C268,$Y$7:$Y$20,0),$AA$6)),"/"),"")</f>
        <v>/</v>
      </c>
      <c r="F268" s="35" t="str">
        <f>IF(B258&lt;&gt;"",IF(INDEX(BDHK2,MATCH(B258,DiemHKII!$B$4:$B$58,0),INDEX($Y$7:$AB$20,MATCH(C268,$Y$7:$Y$20,0),$AB$6))&lt;&gt;"",INDEX(BDHK2,MATCH(B258,DiemHKII!$B$4:$B$58,0),INDEX($Y$7:$AB$20,MATCH(C268,$Y$7:$Y$20,0),$AB$6)),"/"),"")</f>
        <v>/</v>
      </c>
      <c r="G268" s="88"/>
      <c r="H268" s="79" t="s">
        <v>198</v>
      </c>
      <c r="I268" s="81" t="s">
        <v>32</v>
      </c>
      <c r="J268" s="35">
        <f>IF(H258&lt;&gt;"",IF(INDEX(BDHK2,MATCH(H258,DiemHKII!$B$4:$B$58,0),INDEX($Y$7:$AB$20,MATCH(I268,$Y$7:$Y$20,0),$Z$6))&lt;&gt;"",INDEX(BDHK2,MATCH(H258,DiemHKII!$B$4:$B$58,0),INDEX($Y$7:$AB$20,MATCH(I268,$Y$7:$Y$20,0),$Z$6)),"/"),"")</f>
        <v>9.6</v>
      </c>
      <c r="K268" s="35" t="str">
        <f>IF(H258&lt;&gt;"",IF(INDEX(BDHK2,MATCH(H258,DiemHKII!$B$4:$B$58,0),INDEX($Y$7:$AB$20,MATCH(I268,$Y$7:$Y$20,0),$AA$6))&lt;&gt;"",INDEX(BDHK2,MATCH(H258,DiemHKII!$B$4:$B$58,0),INDEX($Y$7:$AB$20,MATCH(I268,$Y$7:$Y$20,0),$AA$6)),"/"),"")</f>
        <v>/</v>
      </c>
      <c r="L268" s="35" t="str">
        <f>IF(H258&lt;&gt;"",IF(INDEX(BDHK2,MATCH(H258,DiemHKII!$B$4:$B$58,0),INDEX($Y$7:$AB$20,MATCH(I268,$Y$7:$Y$20,0),$AB$6))&lt;&gt;"",INDEX(BDHK2,MATCH(H258,DiemHKII!$B$4:$B$58,0),INDEX($Y$7:$AB$20,MATCH(I268,$Y$7:$Y$20,0),$AB$6)),"/"),"")</f>
        <v>/</v>
      </c>
      <c r="M268" s="88"/>
      <c r="N268" s="79" t="s">
        <v>198</v>
      </c>
      <c r="O268" s="81" t="s">
        <v>32</v>
      </c>
      <c r="P268" s="35">
        <f>IF(N258&lt;&gt;"",IF(INDEX(BDHK2,MATCH(N258,DiemHKII!$B$4:$B$58,0),INDEX($Y$7:$AB$20,MATCH(O268,$Y$7:$Y$20,0),$Z$6))&lt;&gt;"",INDEX(BDHK2,MATCH(N258,DiemHKII!$B$4:$B$58,0),INDEX($Y$7:$AB$20,MATCH(O268,$Y$7:$Y$20,0),$Z$6)),"/"),"")</f>
        <v>9.8000000000000007</v>
      </c>
      <c r="Q268" s="35" t="str">
        <f>IF(N258&lt;&gt;"",IF(INDEX(BDHK2,MATCH(N258,DiemHKII!$B$4:$B$58,0),INDEX($Y$7:$AB$20,MATCH(O268,$Y$7:$Y$20,0),$AA$6))&lt;&gt;"",INDEX(BDHK2,MATCH(N258,DiemHKII!$B$4:$B$58,0),INDEX($Y$7:$AB$20,MATCH(O268,$Y$7:$Y$20,0),$AA$6)),"/"),"")</f>
        <v>/</v>
      </c>
      <c r="R268" s="35" t="str">
        <f>IF(N258&lt;&gt;"",IF(INDEX(BDHK2,MATCH(N258,DiemHKII!$B$4:$B$58,0),INDEX($Y$7:$AB$20,MATCH(O268,$Y$7:$Y$20,0),$AB$6))&lt;&gt;"",INDEX(BDHK2,MATCH(N258,DiemHKII!$B$4:$B$58,0),INDEX($Y$7:$AB$20,MATCH(O268,$Y$7:$Y$20,0),$AB$6)),"/"),"")</f>
        <v>/</v>
      </c>
      <c r="S268" s="88"/>
    </row>
    <row r="269" spans="1:19" ht="15.6" customHeight="1">
      <c r="A269" s="88"/>
      <c r="B269" s="79" t="s">
        <v>199</v>
      </c>
      <c r="C269" s="81" t="s">
        <v>33</v>
      </c>
      <c r="D269" s="35">
        <f>IF(B258&lt;&gt;"",IF(INDEX(BDHK2,MATCH(B258,DiemHKII!$B$4:$B$58,0),INDEX($Y$7:$AB$20,MATCH(C269,$Y$7:$Y$20,0),$Z$6))&lt;&gt;"",INDEX(BDHK2,MATCH(B258,DiemHKII!$B$4:$B$58,0),INDEX($Y$7:$AB$20,MATCH(C269,$Y$7:$Y$20,0),$Z$6)),"/"),"")</f>
        <v>7.5</v>
      </c>
      <c r="E269" s="35" t="str">
        <f>IF(B258&lt;&gt;"",IF(INDEX(BDHK2,MATCH(B258,DiemHKII!$B$4:$B$58,0),INDEX($Y$7:$AB$20,MATCH(C269,$Y$7:$Y$20,0),$AA$6))&lt;&gt;"",INDEX(BDHK2,MATCH(B258,DiemHKII!$B$4:$B$58,0),INDEX($Y$7:$AB$20,MATCH(C269,$Y$7:$Y$20,0),$AA$6)),"/"),"")</f>
        <v>/</v>
      </c>
      <c r="F269" s="35" t="str">
        <f>IF(B258&lt;&gt;"",IF(INDEX(BDHK2,MATCH(B258,DiemHKII!$B$4:$B$58,0),INDEX($Y$7:$AB$20,MATCH(C269,$Y$7:$Y$20,0),$AB$6))&lt;&gt;"",INDEX(BDHK2,MATCH(B258,DiemHKII!$B$4:$B$58,0),INDEX($Y$7:$AB$20,MATCH(C269,$Y$7:$Y$20,0),$AB$6)),"/"),"")</f>
        <v>/</v>
      </c>
      <c r="G269" s="88"/>
      <c r="H269" s="79" t="s">
        <v>199</v>
      </c>
      <c r="I269" s="81" t="s">
        <v>33</v>
      </c>
      <c r="J269" s="35">
        <f>IF(H258&lt;&gt;"",IF(INDEX(BDHK2,MATCH(H258,DiemHKII!$B$4:$B$58,0),INDEX($Y$7:$AB$20,MATCH(I269,$Y$7:$Y$20,0),$Z$6))&lt;&gt;"",INDEX(BDHK2,MATCH(H258,DiemHKII!$B$4:$B$58,0),INDEX($Y$7:$AB$20,MATCH(I269,$Y$7:$Y$20,0),$Z$6)),"/"),"")</f>
        <v>8.6999999999999993</v>
      </c>
      <c r="K269" s="35" t="str">
        <f>IF(H258&lt;&gt;"",IF(INDEX(BDHK2,MATCH(H258,DiemHKII!$B$4:$B$58,0),INDEX($Y$7:$AB$20,MATCH(I269,$Y$7:$Y$20,0),$AA$6))&lt;&gt;"",INDEX(BDHK2,MATCH(H258,DiemHKII!$B$4:$B$58,0),INDEX($Y$7:$AB$20,MATCH(I269,$Y$7:$Y$20,0),$AA$6)),"/"),"")</f>
        <v>/</v>
      </c>
      <c r="L269" s="35" t="str">
        <f>IF(H258&lt;&gt;"",IF(INDEX(BDHK2,MATCH(H258,DiemHKII!$B$4:$B$58,0),INDEX($Y$7:$AB$20,MATCH(I269,$Y$7:$Y$20,0),$AB$6))&lt;&gt;"",INDEX(BDHK2,MATCH(H258,DiemHKII!$B$4:$B$58,0),INDEX($Y$7:$AB$20,MATCH(I269,$Y$7:$Y$20,0),$AB$6)),"/"),"")</f>
        <v>/</v>
      </c>
      <c r="M269" s="88"/>
      <c r="N269" s="79" t="s">
        <v>199</v>
      </c>
      <c r="O269" s="81" t="s">
        <v>33</v>
      </c>
      <c r="P269" s="35">
        <f>IF(N258&lt;&gt;"",IF(INDEX(BDHK2,MATCH(N258,DiemHKII!$B$4:$B$58,0),INDEX($Y$7:$AB$20,MATCH(O269,$Y$7:$Y$20,0),$Z$6))&lt;&gt;"",INDEX(BDHK2,MATCH(N258,DiemHKII!$B$4:$B$58,0),INDEX($Y$7:$AB$20,MATCH(O269,$Y$7:$Y$20,0),$Z$6)),"/"),"")</f>
        <v>8.6</v>
      </c>
      <c r="Q269" s="35" t="str">
        <f>IF(N258&lt;&gt;"",IF(INDEX(BDHK2,MATCH(N258,DiemHKII!$B$4:$B$58,0),INDEX($Y$7:$AB$20,MATCH(O269,$Y$7:$Y$20,0),$AA$6))&lt;&gt;"",INDEX(BDHK2,MATCH(N258,DiemHKII!$B$4:$B$58,0),INDEX($Y$7:$AB$20,MATCH(O269,$Y$7:$Y$20,0),$AA$6)),"/"),"")</f>
        <v>/</v>
      </c>
      <c r="R269" s="35" t="str">
        <f>IF(N258&lt;&gt;"",IF(INDEX(BDHK2,MATCH(N258,DiemHKII!$B$4:$B$58,0),INDEX($Y$7:$AB$20,MATCH(O269,$Y$7:$Y$20,0),$AB$6))&lt;&gt;"",INDEX(BDHK2,MATCH(N258,DiemHKII!$B$4:$B$58,0),INDEX($Y$7:$AB$20,MATCH(O269,$Y$7:$Y$20,0),$AB$6)),"/"),"")</f>
        <v>/</v>
      </c>
      <c r="S269" s="88"/>
    </row>
    <row r="270" spans="1:19" ht="15.6" customHeight="1">
      <c r="A270" s="88"/>
      <c r="B270" s="79" t="s">
        <v>200</v>
      </c>
      <c r="C270" s="81" t="s">
        <v>60</v>
      </c>
      <c r="D270" s="35">
        <f>IF(B258&lt;&gt;"",IF(INDEX(BDHK2,MATCH(B258,DiemHKII!$B$4:$B$58,0),INDEX($Y$7:$AB$20,MATCH(C270,$Y$7:$Y$20,0),$Z$6))&lt;&gt;"",INDEX(BDHK2,MATCH(B258,DiemHKII!$B$4:$B$58,0),INDEX($Y$7:$AB$20,MATCH(C270,$Y$7:$Y$20,0),$Z$6)),"/"),"")</f>
        <v>9.1</v>
      </c>
      <c r="E270" s="35" t="str">
        <f>IF(B258&lt;&gt;"",IF(INDEX(BDHK2,MATCH(B258,DiemHKII!$B$4:$B$58,0),INDEX($Y$7:$AB$20,MATCH(C270,$Y$7:$Y$20,0),$AA$6))&lt;&gt;"",INDEX(BDHK2,MATCH(B258,DiemHKII!$B$4:$B$58,0),INDEX($Y$7:$AB$20,MATCH(C270,$Y$7:$Y$20,0),$AA$6)),"/"),"")</f>
        <v>/</v>
      </c>
      <c r="F270" s="35" t="str">
        <f>IF(B258&lt;&gt;"",IF(INDEX(BDHK2,MATCH(B258,DiemHKII!$B$4:$B$58,0),INDEX($Y$7:$AB$20,MATCH(C270,$Y$7:$Y$20,0),$AB$6))&lt;&gt;"",INDEX(BDHK2,MATCH(B258,DiemHKII!$B$4:$B$58,0),INDEX($Y$7:$AB$20,MATCH(C270,$Y$7:$Y$20,0),$AB$6)),"/"),"")</f>
        <v>/</v>
      </c>
      <c r="G270" s="88"/>
      <c r="H270" s="79" t="s">
        <v>200</v>
      </c>
      <c r="I270" s="81" t="s">
        <v>60</v>
      </c>
      <c r="J270" s="35">
        <f>IF(H258&lt;&gt;"",IF(INDEX(BDHK2,MATCH(H258,DiemHKII!$B$4:$B$58,0),INDEX($Y$7:$AB$20,MATCH(I270,$Y$7:$Y$20,0),$Z$6))&lt;&gt;"",INDEX(BDHK2,MATCH(H258,DiemHKII!$B$4:$B$58,0),INDEX($Y$7:$AB$20,MATCH(I270,$Y$7:$Y$20,0),$Z$6)),"/"),"")</f>
        <v>9.5</v>
      </c>
      <c r="K270" s="35" t="str">
        <f>IF(H258&lt;&gt;"",IF(INDEX(BDHK2,MATCH(H258,DiemHKII!$B$4:$B$58,0),INDEX($Y$7:$AB$20,MATCH(I270,$Y$7:$Y$20,0),$AA$6))&lt;&gt;"",INDEX(BDHK2,MATCH(H258,DiemHKII!$B$4:$B$58,0),INDEX($Y$7:$AB$20,MATCH(I270,$Y$7:$Y$20,0),$AA$6)),"/"),"")</f>
        <v>/</v>
      </c>
      <c r="L270" s="35" t="str">
        <f>IF(H258&lt;&gt;"",IF(INDEX(BDHK2,MATCH(H258,DiemHKII!$B$4:$B$58,0),INDEX($Y$7:$AB$20,MATCH(I270,$Y$7:$Y$20,0),$AB$6))&lt;&gt;"",INDEX(BDHK2,MATCH(H258,DiemHKII!$B$4:$B$58,0),INDEX($Y$7:$AB$20,MATCH(I270,$Y$7:$Y$20,0),$AB$6)),"/"),"")</f>
        <v>/</v>
      </c>
      <c r="M270" s="88"/>
      <c r="N270" s="79" t="s">
        <v>200</v>
      </c>
      <c r="O270" s="81" t="s">
        <v>60</v>
      </c>
      <c r="P270" s="35">
        <f>IF(N258&lt;&gt;"",IF(INDEX(BDHK2,MATCH(N258,DiemHKII!$B$4:$B$58,0),INDEX($Y$7:$AB$20,MATCH(O270,$Y$7:$Y$20,0),$Z$6))&lt;&gt;"",INDEX(BDHK2,MATCH(N258,DiemHKII!$B$4:$B$58,0),INDEX($Y$7:$AB$20,MATCH(O270,$Y$7:$Y$20,0),$Z$6)),"/"),"")</f>
        <v>9.1</v>
      </c>
      <c r="Q270" s="35" t="str">
        <f>IF(N258&lt;&gt;"",IF(INDEX(BDHK2,MATCH(N258,DiemHKII!$B$4:$B$58,0),INDEX($Y$7:$AB$20,MATCH(O270,$Y$7:$Y$20,0),$AA$6))&lt;&gt;"",INDEX(BDHK2,MATCH(N258,DiemHKII!$B$4:$B$58,0),INDEX($Y$7:$AB$20,MATCH(O270,$Y$7:$Y$20,0),$AA$6)),"/"),"")</f>
        <v>/</v>
      </c>
      <c r="R270" s="35" t="str">
        <f>IF(N258&lt;&gt;"",IF(INDEX(BDHK2,MATCH(N258,DiemHKII!$B$4:$B$58,0),INDEX($Y$7:$AB$20,MATCH(O270,$Y$7:$Y$20,0),$AB$6))&lt;&gt;"",INDEX(BDHK2,MATCH(N258,DiemHKII!$B$4:$B$58,0),INDEX($Y$7:$AB$20,MATCH(O270,$Y$7:$Y$20,0),$AB$6)),"/"),"")</f>
        <v>/</v>
      </c>
      <c r="S270" s="88"/>
    </row>
    <row r="271" spans="1:19" ht="15.6" customHeight="1">
      <c r="A271" s="88"/>
      <c r="B271" s="79" t="s">
        <v>201</v>
      </c>
      <c r="C271" s="81" t="s">
        <v>34</v>
      </c>
      <c r="D271" s="35">
        <f>IF(B258&lt;&gt;"",IF(INDEX(BDHK2,MATCH(B258,DiemHKII!$B$4:$B$58,0),INDEX($Y$7:$AB$20,MATCH(C271,$Y$7:$Y$20,0),$Z$6))&lt;&gt;"",INDEX(BDHK2,MATCH(B258,DiemHKII!$B$4:$B$58,0),INDEX($Y$7:$AB$20,MATCH(C271,$Y$7:$Y$20,0),$Z$6)),"/"),"")</f>
        <v>9.8000000000000007</v>
      </c>
      <c r="E271" s="35" t="str">
        <f>IF(B258&lt;&gt;"",IF(INDEX(BDHK2,MATCH(B258,DiemHKII!$B$4:$B$58,0),INDEX($Y$7:$AB$20,MATCH(C271,$Y$7:$Y$20,0),$AA$6))&lt;&gt;"",INDEX(BDHK2,MATCH(B258,DiemHKII!$B$4:$B$58,0),INDEX($Y$7:$AB$20,MATCH(C271,$Y$7:$Y$20,0),$AA$6)),"/"),"")</f>
        <v>/</v>
      </c>
      <c r="F271" s="35" t="str">
        <f>IF(B258&lt;&gt;"",IF(INDEX(BDHK2,MATCH(B258,DiemHKII!$B$4:$B$58,0),INDEX($Y$7:$AB$20,MATCH(C271,$Y$7:$Y$20,0),$AB$6))&lt;&gt;"",INDEX(BDHK2,MATCH(B258,DiemHKII!$B$4:$B$58,0),INDEX($Y$7:$AB$20,MATCH(C271,$Y$7:$Y$20,0),$AB$6)),"/"),"")</f>
        <v>/</v>
      </c>
      <c r="G271" s="88"/>
      <c r="H271" s="79" t="s">
        <v>201</v>
      </c>
      <c r="I271" s="81" t="s">
        <v>34</v>
      </c>
      <c r="J271" s="35">
        <f>IF(H258&lt;&gt;"",IF(INDEX(BDHK2,MATCH(H258,DiemHKII!$B$4:$B$58,0),INDEX($Y$7:$AB$20,MATCH(I271,$Y$7:$Y$20,0),$Z$6))&lt;&gt;"",INDEX(BDHK2,MATCH(H258,DiemHKII!$B$4:$B$58,0),INDEX($Y$7:$AB$20,MATCH(I271,$Y$7:$Y$20,0),$Z$6)),"/"),"")</f>
        <v>9.8000000000000007</v>
      </c>
      <c r="K271" s="35" t="str">
        <f>IF(H258&lt;&gt;"",IF(INDEX(BDHK2,MATCH(H258,DiemHKII!$B$4:$B$58,0),INDEX($Y$7:$AB$20,MATCH(I271,$Y$7:$Y$20,0),$AA$6))&lt;&gt;"",INDEX(BDHK2,MATCH(H258,DiemHKII!$B$4:$B$58,0),INDEX($Y$7:$AB$20,MATCH(I271,$Y$7:$Y$20,0),$AA$6)),"/"),"")</f>
        <v>/</v>
      </c>
      <c r="L271" s="35" t="str">
        <f>IF(H258&lt;&gt;"",IF(INDEX(BDHK2,MATCH(H258,DiemHKII!$B$4:$B$58,0),INDEX($Y$7:$AB$20,MATCH(I271,$Y$7:$Y$20,0),$AB$6))&lt;&gt;"",INDEX(BDHK2,MATCH(H258,DiemHKII!$B$4:$B$58,0),INDEX($Y$7:$AB$20,MATCH(I271,$Y$7:$Y$20,0),$AB$6)),"/"),"")</f>
        <v>/</v>
      </c>
      <c r="M271" s="88"/>
      <c r="N271" s="79" t="s">
        <v>201</v>
      </c>
      <c r="O271" s="81" t="s">
        <v>34</v>
      </c>
      <c r="P271" s="35">
        <f>IF(N258&lt;&gt;"",IF(INDEX(BDHK2,MATCH(N258,DiemHKII!$B$4:$B$58,0),INDEX($Y$7:$AB$20,MATCH(O271,$Y$7:$Y$20,0),$Z$6))&lt;&gt;"",INDEX(BDHK2,MATCH(N258,DiemHKII!$B$4:$B$58,0),INDEX($Y$7:$AB$20,MATCH(O271,$Y$7:$Y$20,0),$Z$6)),"/"),"")</f>
        <v>9.8000000000000007</v>
      </c>
      <c r="Q271" s="35" t="str">
        <f>IF(N258&lt;&gt;"",IF(INDEX(BDHK2,MATCH(N258,DiemHKII!$B$4:$B$58,0),INDEX($Y$7:$AB$20,MATCH(O271,$Y$7:$Y$20,0),$AA$6))&lt;&gt;"",INDEX(BDHK2,MATCH(N258,DiemHKII!$B$4:$B$58,0),INDEX($Y$7:$AB$20,MATCH(O271,$Y$7:$Y$20,0),$AA$6)),"/"),"")</f>
        <v>/</v>
      </c>
      <c r="R271" s="35" t="str">
        <f>IF(N258&lt;&gt;"",IF(INDEX(BDHK2,MATCH(N258,DiemHKII!$B$4:$B$58,0),INDEX($Y$7:$AB$20,MATCH(O271,$Y$7:$Y$20,0),$AB$6))&lt;&gt;"",INDEX(BDHK2,MATCH(N258,DiemHKII!$B$4:$B$58,0),INDEX($Y$7:$AB$20,MATCH(O271,$Y$7:$Y$20,0),$AB$6)),"/"),"")</f>
        <v>/</v>
      </c>
      <c r="S271" s="88"/>
    </row>
    <row r="272" spans="1:19" ht="15.6" customHeight="1">
      <c r="A272" s="88"/>
      <c r="B272" s="79" t="s">
        <v>202</v>
      </c>
      <c r="C272" s="81" t="s">
        <v>35</v>
      </c>
      <c r="D272" s="35" t="str">
        <f>IF(B258&lt;&gt;"",IF(INDEX(BDHK2,MATCH(B258,DiemHKII!$B$4:$B$58,0),INDEX($Y$7:$AB$20,MATCH(C272,$Y$7:$Y$20,0),$Z$6))&lt;&gt;"",INDEX(BDHK2,MATCH(B258,DiemHKII!$B$4:$B$58,0),INDEX($Y$7:$AB$20,MATCH(C272,$Y$7:$Y$20,0),$Z$6)),"/"),"")</f>
        <v>Đ</v>
      </c>
      <c r="E272" s="35" t="str">
        <f>IF(B258&lt;&gt;"",IF(INDEX(BDHK2,MATCH(B258,DiemHKII!$B$4:$B$58,0),INDEX($Y$7:$AB$20,MATCH(C272,$Y$7:$Y$20,0),$AA$6))&lt;&gt;"",INDEX(BDHK2,MATCH(B258,DiemHKII!$B$4:$B$58,0),INDEX($Y$7:$AB$20,MATCH(C272,$Y$7:$Y$20,0),$AA$6)),"/"),"")</f>
        <v>/</v>
      </c>
      <c r="F272" s="35" t="str">
        <f>IF(B258&lt;&gt;"",IF(INDEX(BDHK2,MATCH(B258,DiemHKII!$B$4:$B$58,0),INDEX($Y$7:$AB$20,MATCH(C272,$Y$7:$Y$20,0),$AB$6))&lt;&gt;"",INDEX(BDHK2,MATCH(B258,DiemHKII!$B$4:$B$58,0),INDEX($Y$7:$AB$20,MATCH(C272,$Y$7:$Y$20,0),$AB$6)),"/"),"")</f>
        <v>Đ</v>
      </c>
      <c r="G272" s="88"/>
      <c r="H272" s="79" t="s">
        <v>202</v>
      </c>
      <c r="I272" s="81" t="s">
        <v>35</v>
      </c>
      <c r="J272" s="35" t="str">
        <f>IF(H258&lt;&gt;"",IF(INDEX(BDHK2,MATCH(H258,DiemHKII!$B$4:$B$58,0),INDEX($Y$7:$AB$20,MATCH(I272,$Y$7:$Y$20,0),$Z$6))&lt;&gt;"",INDEX(BDHK2,MATCH(H258,DiemHKII!$B$4:$B$58,0),INDEX($Y$7:$AB$20,MATCH(I272,$Y$7:$Y$20,0),$Z$6)),"/"),"")</f>
        <v>Đ</v>
      </c>
      <c r="K272" s="35" t="str">
        <f>IF(H258&lt;&gt;"",IF(INDEX(BDHK2,MATCH(H258,DiemHKII!$B$4:$B$58,0),INDEX($Y$7:$AB$20,MATCH(I272,$Y$7:$Y$20,0),$AA$6))&lt;&gt;"",INDEX(BDHK2,MATCH(H258,DiemHKII!$B$4:$B$58,0),INDEX($Y$7:$AB$20,MATCH(I272,$Y$7:$Y$20,0),$AA$6)),"/"),"")</f>
        <v>/</v>
      </c>
      <c r="L272" s="35" t="str">
        <f>IF(H258&lt;&gt;"",IF(INDEX(BDHK2,MATCH(H258,DiemHKII!$B$4:$B$58,0),INDEX($Y$7:$AB$20,MATCH(I272,$Y$7:$Y$20,0),$AB$6))&lt;&gt;"",INDEX(BDHK2,MATCH(H258,DiemHKII!$B$4:$B$58,0),INDEX($Y$7:$AB$20,MATCH(I272,$Y$7:$Y$20,0),$AB$6)),"/"),"")</f>
        <v>Đ</v>
      </c>
      <c r="M272" s="88"/>
      <c r="N272" s="79" t="s">
        <v>202</v>
      </c>
      <c r="O272" s="81" t="s">
        <v>35</v>
      </c>
      <c r="P272" s="35" t="str">
        <f>IF(N258&lt;&gt;"",IF(INDEX(BDHK2,MATCH(N258,DiemHKII!$B$4:$B$58,0),INDEX($Y$7:$AB$20,MATCH(O272,$Y$7:$Y$20,0),$Z$6))&lt;&gt;"",INDEX(BDHK2,MATCH(N258,DiemHKII!$B$4:$B$58,0),INDEX($Y$7:$AB$20,MATCH(O272,$Y$7:$Y$20,0),$Z$6)),"/"),"")</f>
        <v>Đ</v>
      </c>
      <c r="Q272" s="35" t="str">
        <f>IF(N258&lt;&gt;"",IF(INDEX(BDHK2,MATCH(N258,DiemHKII!$B$4:$B$58,0),INDEX($Y$7:$AB$20,MATCH(O272,$Y$7:$Y$20,0),$AA$6))&lt;&gt;"",INDEX(BDHK2,MATCH(N258,DiemHKII!$B$4:$B$58,0),INDEX($Y$7:$AB$20,MATCH(O272,$Y$7:$Y$20,0),$AA$6)),"/"),"")</f>
        <v>/</v>
      </c>
      <c r="R272" s="35" t="str">
        <f>IF(N258&lt;&gt;"",IF(INDEX(BDHK2,MATCH(N258,DiemHKII!$B$4:$B$58,0),INDEX($Y$7:$AB$20,MATCH(O272,$Y$7:$Y$20,0),$AB$6))&lt;&gt;"",INDEX(BDHK2,MATCH(N258,DiemHKII!$B$4:$B$58,0),INDEX($Y$7:$AB$20,MATCH(O272,$Y$7:$Y$20,0),$AB$6)),"/"),"")</f>
        <v>Đ</v>
      </c>
      <c r="S272" s="88"/>
    </row>
    <row r="273" spans="1:19" ht="15.6" customHeight="1">
      <c r="A273" s="88"/>
      <c r="B273" s="79" t="s">
        <v>203</v>
      </c>
      <c r="C273" s="81" t="s">
        <v>121</v>
      </c>
      <c r="D273" s="35">
        <f>IF(B258&lt;&gt;"",IF(INDEX(BDHK2,MATCH(B258,DiemHKII!$B$4:$B$58,0),INDEX($Y$7:$AB$20,MATCH(C273,$Y$7:$Y$20,0),$Z$6))&lt;&gt;"",INDEX(BDHK2,MATCH(B258,DiemHKII!$B$4:$B$58,0),INDEX($Y$7:$AB$20,MATCH(C273,$Y$7:$Y$20,0),$Z$6)),"/"),"")</f>
        <v>9.9</v>
      </c>
      <c r="E273" s="35" t="str">
        <f>IF(B258&lt;&gt;"",IF(INDEX(BDHK2,MATCH(B258,DiemHKII!$B$4:$B$58,0),INDEX($Y$7:$AB$20,MATCH(C273,$Y$7:$Y$20,0),$AA$6))&lt;&gt;"",INDEX(BDHK2,MATCH(B258,DiemHKII!$B$4:$B$58,0),INDEX($Y$7:$AB$20,MATCH(C273,$Y$7:$Y$20,0),$AA$6)),"/"),"")</f>
        <v>/</v>
      </c>
      <c r="F273" s="35" t="str">
        <f>IF(B258&lt;&gt;"",IF(INDEX(BDHK2,MATCH(B258,DiemHKII!$B$4:$B$58,0),INDEX($Y$7:$AB$20,MATCH(C273,$Y$7:$Y$20,0),$AB$6))&lt;&gt;"",INDEX(BDHK2,MATCH(B258,DiemHKII!$B$4:$B$58,0),INDEX($Y$7:$AB$20,MATCH(C273,$Y$7:$Y$20,0),$AB$6)),"/"),"")</f>
        <v>/</v>
      </c>
      <c r="G273" s="88"/>
      <c r="H273" s="79" t="s">
        <v>203</v>
      </c>
      <c r="I273" s="81" t="s">
        <v>121</v>
      </c>
      <c r="J273" s="35">
        <f>IF(H258&lt;&gt;"",IF(INDEX(BDHK2,MATCH(H258,DiemHKII!$B$4:$B$58,0),INDEX($Y$7:$AB$20,MATCH(I273,$Y$7:$Y$20,0),$Z$6))&lt;&gt;"",INDEX(BDHK2,MATCH(H258,DiemHKII!$B$4:$B$58,0),INDEX($Y$7:$AB$20,MATCH(I273,$Y$7:$Y$20,0),$Z$6)),"/"),"")</f>
        <v>9.9</v>
      </c>
      <c r="K273" s="35" t="str">
        <f>IF(H258&lt;&gt;"",IF(INDEX(BDHK2,MATCH(H258,DiemHKII!$B$4:$B$58,0),INDEX($Y$7:$AB$20,MATCH(I273,$Y$7:$Y$20,0),$AA$6))&lt;&gt;"",INDEX(BDHK2,MATCH(H258,DiemHKII!$B$4:$B$58,0),INDEX($Y$7:$AB$20,MATCH(I273,$Y$7:$Y$20,0),$AA$6)),"/"),"")</f>
        <v>/</v>
      </c>
      <c r="L273" s="35" t="str">
        <f>IF(H258&lt;&gt;"",IF(INDEX(BDHK2,MATCH(H258,DiemHKII!$B$4:$B$58,0),INDEX($Y$7:$AB$20,MATCH(I273,$Y$7:$Y$20,0),$AB$6))&lt;&gt;"",INDEX(BDHK2,MATCH(H258,DiemHKII!$B$4:$B$58,0),INDEX($Y$7:$AB$20,MATCH(I273,$Y$7:$Y$20,0),$AB$6)),"/"),"")</f>
        <v>/</v>
      </c>
      <c r="M273" s="88"/>
      <c r="N273" s="79" t="s">
        <v>203</v>
      </c>
      <c r="O273" s="81" t="s">
        <v>121</v>
      </c>
      <c r="P273" s="35">
        <f>IF(N258&lt;&gt;"",IF(INDEX(BDHK2,MATCH(N258,DiemHKII!$B$4:$B$58,0),INDEX($Y$7:$AB$20,MATCH(O273,$Y$7:$Y$20,0),$Z$6))&lt;&gt;"",INDEX(BDHK2,MATCH(N258,DiemHKII!$B$4:$B$58,0),INDEX($Y$7:$AB$20,MATCH(O273,$Y$7:$Y$20,0),$Z$6)),"/"),"")</f>
        <v>9.9</v>
      </c>
      <c r="Q273" s="35" t="str">
        <f>IF(N258&lt;&gt;"",IF(INDEX(BDHK2,MATCH(N258,DiemHKII!$B$4:$B$58,0),INDEX($Y$7:$AB$20,MATCH(O273,$Y$7:$Y$20,0),$AA$6))&lt;&gt;"",INDEX(BDHK2,MATCH(N258,DiemHKII!$B$4:$B$58,0),INDEX($Y$7:$AB$20,MATCH(O273,$Y$7:$Y$20,0),$AA$6)),"/"),"")</f>
        <v>/</v>
      </c>
      <c r="R273" s="35" t="str">
        <f>IF(N258&lt;&gt;"",IF(INDEX(BDHK2,MATCH(N258,DiemHKII!$B$4:$B$58,0),INDEX($Y$7:$AB$20,MATCH(O273,$Y$7:$Y$20,0),$AB$6))&lt;&gt;"",INDEX(BDHK2,MATCH(N258,DiemHKII!$B$4:$B$58,0),INDEX($Y$7:$AB$20,MATCH(O273,$Y$7:$Y$20,0),$AB$6)),"/"),"")</f>
        <v>/</v>
      </c>
      <c r="S273" s="88"/>
    </row>
    <row r="274" spans="1:19" ht="15.6" customHeight="1">
      <c r="A274" s="88"/>
      <c r="B274" s="79" t="s">
        <v>204</v>
      </c>
      <c r="C274" s="81" t="s">
        <v>122</v>
      </c>
      <c r="D274" s="35" t="str">
        <f>IF(B258&lt;&gt;"",IF(INDEX(BDHK2,MATCH(B258,DiemHKII!$B$4:$B$58,0),INDEX($Y$7:$AB$20,MATCH(C274,$Y$7:$Y$20,0),$Z$6))&lt;&gt;"",INDEX(BDHK2,MATCH(B258,DiemHKII!$B$4:$B$58,0),INDEX($Y$7:$AB$20,MATCH(C274,$Y$7:$Y$20,0),$Z$6)),"/"),"")</f>
        <v>/</v>
      </c>
      <c r="E274" s="35" t="str">
        <f>IF(B258&lt;&gt;"",IF(INDEX(BDHK2,MATCH(B258,DiemHKII!$B$4:$B$58,0),INDEX($Y$7:$AB$20,MATCH(C274,$Y$7:$Y$20,0),$AA$6))&lt;&gt;"",INDEX(BDHK2,MATCH(B258,DiemHKII!$B$4:$B$58,0),INDEX($Y$7:$AB$20,MATCH(C274,$Y$7:$Y$20,0),$AA$6)),"/"),"")</f>
        <v>/</v>
      </c>
      <c r="F274" s="35" t="str">
        <f>IF(B258&lt;&gt;"",IF(INDEX(BDHK2,MATCH(B258,DiemHKII!$B$4:$B$58,0),INDEX($Y$7:$AB$20,MATCH(C274,$Y$7:$Y$20,0),$AB$6))&lt;&gt;"",INDEX(BDHK2,MATCH(B258,DiemHKII!$B$4:$B$58,0),INDEX($Y$7:$AB$20,MATCH(C274,$Y$7:$Y$20,0),$AB$6)),"/"),"")</f>
        <v>/</v>
      </c>
      <c r="G274" s="88"/>
      <c r="H274" s="79" t="s">
        <v>204</v>
      </c>
      <c r="I274" s="81" t="s">
        <v>122</v>
      </c>
      <c r="J274" s="35" t="str">
        <f>IF(H258&lt;&gt;"",IF(INDEX(BDHK2,MATCH(H258,DiemHKII!$B$4:$B$58,0),INDEX($Y$7:$AB$20,MATCH(I274,$Y$7:$Y$20,0),$Z$6))&lt;&gt;"",INDEX(BDHK2,MATCH(H258,DiemHKII!$B$4:$B$58,0),INDEX($Y$7:$AB$20,MATCH(I274,$Y$7:$Y$20,0),$Z$6)),"/"),"")</f>
        <v>/</v>
      </c>
      <c r="K274" s="35" t="str">
        <f>IF(H258&lt;&gt;"",IF(INDEX(BDHK2,MATCH(H258,DiemHKII!$B$4:$B$58,0),INDEX($Y$7:$AB$20,MATCH(I274,$Y$7:$Y$20,0),$AA$6))&lt;&gt;"",INDEX(BDHK2,MATCH(H258,DiemHKII!$B$4:$B$58,0),INDEX($Y$7:$AB$20,MATCH(I274,$Y$7:$Y$20,0),$AA$6)),"/"),"")</f>
        <v>/</v>
      </c>
      <c r="L274" s="35" t="str">
        <f>IF(H258&lt;&gt;"",IF(INDEX(BDHK2,MATCH(H258,DiemHKII!$B$4:$B$58,0),INDEX($Y$7:$AB$20,MATCH(I274,$Y$7:$Y$20,0),$AB$6))&lt;&gt;"",INDEX(BDHK2,MATCH(H258,DiemHKII!$B$4:$B$58,0),INDEX($Y$7:$AB$20,MATCH(I274,$Y$7:$Y$20,0),$AB$6)),"/"),"")</f>
        <v>/</v>
      </c>
      <c r="M274" s="88"/>
      <c r="N274" s="79" t="s">
        <v>204</v>
      </c>
      <c r="O274" s="81" t="s">
        <v>122</v>
      </c>
      <c r="P274" s="35" t="str">
        <f>IF(N258&lt;&gt;"",IF(INDEX(BDHK2,MATCH(N258,DiemHKII!$B$4:$B$58,0),INDEX($Y$7:$AB$20,MATCH(O274,$Y$7:$Y$20,0),$Z$6))&lt;&gt;"",INDEX(BDHK2,MATCH(N258,DiemHKII!$B$4:$B$58,0),INDEX($Y$7:$AB$20,MATCH(O274,$Y$7:$Y$20,0),$Z$6)),"/"),"")</f>
        <v>/</v>
      </c>
      <c r="Q274" s="35" t="str">
        <f>IF(N258&lt;&gt;"",IF(INDEX(BDHK2,MATCH(N258,DiemHKII!$B$4:$B$58,0),INDEX($Y$7:$AB$20,MATCH(O274,$Y$7:$Y$20,0),$AA$6))&lt;&gt;"",INDEX(BDHK2,MATCH(N258,DiemHKII!$B$4:$B$58,0),INDEX($Y$7:$AB$20,MATCH(O274,$Y$7:$Y$20,0),$AA$6)),"/"),"")</f>
        <v>/</v>
      </c>
      <c r="R274" s="35" t="str">
        <f>IF(N258&lt;&gt;"",IF(INDEX(BDHK2,MATCH(N258,DiemHKII!$B$4:$B$58,0),INDEX($Y$7:$AB$20,MATCH(O274,$Y$7:$Y$20,0),$AB$6))&lt;&gt;"",INDEX(BDHK2,MATCH(N258,DiemHKII!$B$4:$B$58,0),INDEX($Y$7:$AB$20,MATCH(O274,$Y$7:$Y$20,0),$AB$6)),"/"),"")</f>
        <v>/</v>
      </c>
      <c r="S274" s="88"/>
    </row>
    <row r="275" spans="1:19" ht="15.6" customHeight="1">
      <c r="A275" s="88"/>
      <c r="B275" s="79" t="s">
        <v>208</v>
      </c>
      <c r="C275" s="81" t="s">
        <v>217</v>
      </c>
      <c r="D275" s="80">
        <f>IF(B258&lt;&gt;"",IF(INDEX('TH CANAM'!$A$9:$BF$63,MATCH(B258,'TH CANAM'!$A$9:$A$63,0),46)&lt;&gt;"",INDEX('TH CANAM'!$A$9:$BF$63,MATCH(B258,'TH CANAM'!$A$9:$A$63,0),46),"/"),"")</f>
        <v>9.1999999999999993</v>
      </c>
      <c r="E275" s="80" t="str">
        <f>IF(B258&lt;&gt;"",IF(INDEX('TH CANAM'!$A$9:$BF$63,MATCH(B258,'TH CANAM'!$A$9:$A$63,0),47)&lt;&gt;"",INDEX('TH CANAM'!$A$9:$BF$63,MATCH(B258,'TH CANAM'!$A$9:$A$63,0),47),"/"),"")</f>
        <v>/</v>
      </c>
      <c r="F275" s="80" t="str">
        <f>IF(B258&lt;&gt;"",IF(INDEX('TH CANAM'!$A$9:$BF$63,MATCH(B258,'TH CANAM'!$A$9:$A$63,0),48)&lt;&gt;"",INDEX('TH CANAM'!$A$9:$BF$63,MATCH(B258,'TH CANAM'!$A$9:$A$63,0),48),"/"),"")</f>
        <v>/</v>
      </c>
      <c r="G275" s="88"/>
      <c r="H275" s="79" t="s">
        <v>208</v>
      </c>
      <c r="I275" s="81" t="s">
        <v>217</v>
      </c>
      <c r="J275" s="80">
        <f>IF(H258&lt;&gt;"",IF(INDEX('TH CANAM'!$A$9:$BF$63,MATCH(H258,'TH CANAM'!$A$9:$A$63,0),46)&lt;&gt;"",INDEX('TH CANAM'!$A$9:$BF$63,MATCH(H258,'TH CANAM'!$A$9:$A$63,0),46),"/"),"")</f>
        <v>9.4</v>
      </c>
      <c r="K275" s="80" t="str">
        <f>IF(H258&lt;&gt;"",IF(INDEX('TH CANAM'!$A$9:$BF$63,MATCH(H258,'TH CANAM'!$A$9:$A$63,0),47)&lt;&gt;"",INDEX('TH CANAM'!$A$9:$BF$63,MATCH(H258,'TH CANAM'!$A$9:$A$63,0),47),"/"),"")</f>
        <v>/</v>
      </c>
      <c r="L275" s="80" t="str">
        <f>IF(H258&lt;&gt;"",IF(INDEX('TH CANAM'!$A$9:$BF$63,MATCH(H258,'TH CANAM'!$A$9:$A$63,0),48)&lt;&gt;"",INDEX('TH CANAM'!$A$9:$BF$63,MATCH(H258,'TH CANAM'!$A$9:$A$63,0),48),"/"),"")</f>
        <v>/</v>
      </c>
      <c r="M275" s="88"/>
      <c r="N275" s="79" t="s">
        <v>208</v>
      </c>
      <c r="O275" s="81" t="s">
        <v>217</v>
      </c>
      <c r="P275" s="80">
        <f>IF(N258&lt;&gt;"",IF(INDEX('TH CANAM'!$A$9:$BF$63,MATCH(N258,'TH CANAM'!$A$9:$A$63,0),46)&lt;&gt;"",INDEX('TH CANAM'!$A$9:$BF$63,MATCH(N258,'TH CANAM'!$A$9:$A$63,0),46),"/"),"")</f>
        <v>9.1999999999999993</v>
      </c>
      <c r="Q275" s="80" t="str">
        <f>IF(N258&lt;&gt;"",IF(INDEX('TH CANAM'!$A$9:$BF$63,MATCH(N258,'TH CANAM'!$A$9:$A$63,0),47)&lt;&gt;"",INDEX('TH CANAM'!$A$9:$BF$63,MATCH(N258,'TH CANAM'!$A$9:$A$63,0),47),"/"),"")</f>
        <v>/</v>
      </c>
      <c r="R275" s="80" t="str">
        <f>IF(N258&lt;&gt;"",IF(INDEX('TH CANAM'!$A$9:$BF$63,MATCH(N258,'TH CANAM'!$A$9:$A$63,0),48)&lt;&gt;"",INDEX('TH CANAM'!$A$9:$BF$63,MATCH(N258,'TH CANAM'!$A$9:$A$63,0),48),"/"),"")</f>
        <v>/</v>
      </c>
      <c r="S275" s="88"/>
    </row>
    <row r="276" spans="1:19" ht="15.6" customHeight="1">
      <c r="A276" s="88"/>
      <c r="B276" s="79" t="s">
        <v>209</v>
      </c>
      <c r="C276" s="82" t="s">
        <v>36</v>
      </c>
      <c r="D276" s="35" t="str">
        <f>IF(B258&lt;&gt;"",IF(INDEX('TH CANAM'!$A$9:$BF$63,MATCH(B258,'TH CANAM'!$A$9:$A$63,0),49)&lt;&gt;"",INDEX('TH CANAM'!$A$9:$BF$63,MATCH(B258,'TH CANAM'!$A$9:$A$63,0),49),"/"),"")</f>
        <v>Giỏi</v>
      </c>
      <c r="E276" s="35" t="str">
        <f>IF(B258&lt;&gt;"",IF(INDEX('TH CANAM'!$A$9:$BF$63,MATCH(B258,'TH CANAM'!$A$9:$A$63,0),50)&lt;&gt;"",INDEX('TH CANAM'!$A$9:$BF$63,MATCH(B258,'TH CANAM'!$A$9:$A$63,0),50),"/"),"")</f>
        <v>/</v>
      </c>
      <c r="F276" s="35" t="str">
        <f>IF(B258&lt;&gt;"",IF(INDEX('TH CANAM'!$A$9:$BF$63,MATCH(B258,'TH CANAM'!$A$9:$A$63,0),51)&lt;&gt;"",INDEX('TH CANAM'!$A$9:$BF$63,MATCH(B258,'TH CANAM'!$A$9:$A$63,0),51),"/"),"")</f>
        <v>/</v>
      </c>
      <c r="G276" s="88"/>
      <c r="H276" s="79" t="s">
        <v>209</v>
      </c>
      <c r="I276" s="82" t="s">
        <v>36</v>
      </c>
      <c r="J276" s="35" t="str">
        <f>IF(H258&lt;&gt;"",IF(INDEX('TH CANAM'!$A$9:$BF$63,MATCH(H258,'TH CANAM'!$A$9:$A$63,0),49)&lt;&gt;"",INDEX('TH CANAM'!$A$9:$BF$63,MATCH(H258,'TH CANAM'!$A$9:$A$63,0),49),"/"),"")</f>
        <v>Giỏi</v>
      </c>
      <c r="K276" s="35" t="str">
        <f>IF(H258&lt;&gt;"",IF(INDEX('TH CANAM'!$A$9:$BF$63,MATCH(H258,'TH CANAM'!$A$9:$A$63,0),50)&lt;&gt;"",INDEX('TH CANAM'!$A$9:$BF$63,MATCH(H258,'TH CANAM'!$A$9:$A$63,0),50),"/"),"")</f>
        <v>/</v>
      </c>
      <c r="L276" s="35" t="str">
        <f>IF(H258&lt;&gt;"",IF(INDEX('TH CANAM'!$A$9:$BF$63,MATCH(H258,'TH CANAM'!$A$9:$A$63,0),51)&lt;&gt;"",INDEX('TH CANAM'!$A$9:$BF$63,MATCH(H258,'TH CANAM'!$A$9:$A$63,0),51),"/"),"")</f>
        <v>/</v>
      </c>
      <c r="M276" s="88"/>
      <c r="N276" s="79" t="s">
        <v>209</v>
      </c>
      <c r="O276" s="82" t="s">
        <v>36</v>
      </c>
      <c r="P276" s="35" t="str">
        <f>IF(N258&lt;&gt;"",IF(INDEX('TH CANAM'!$A$9:$BF$63,MATCH(N258,'TH CANAM'!$A$9:$A$63,0),49)&lt;&gt;"",INDEX('TH CANAM'!$A$9:$BF$63,MATCH(N258,'TH CANAM'!$A$9:$A$63,0),49),"/"),"")</f>
        <v>Giỏi</v>
      </c>
      <c r="Q276" s="35" t="str">
        <f>IF(N258&lt;&gt;"",IF(INDEX('TH CANAM'!$A$9:$BF$63,MATCH(N258,'TH CANAM'!$A$9:$A$63,0),50)&lt;&gt;"",INDEX('TH CANAM'!$A$9:$BF$63,MATCH(N258,'TH CANAM'!$A$9:$A$63,0),50),"/"),"")</f>
        <v>/</v>
      </c>
      <c r="R276" s="35" t="str">
        <f>IF(N258&lt;&gt;"",IF(INDEX('TH CANAM'!$A$9:$BF$63,MATCH(N258,'TH CANAM'!$A$9:$A$63,0),51)&lt;&gt;"",INDEX('TH CANAM'!$A$9:$BF$63,MATCH(N258,'TH CANAM'!$A$9:$A$63,0),51),"/"),"")</f>
        <v>/</v>
      </c>
      <c r="S276" s="88"/>
    </row>
    <row r="277" spans="1:19" ht="15.6" customHeight="1">
      <c r="A277" s="88"/>
      <c r="B277" s="79" t="s">
        <v>210</v>
      </c>
      <c r="C277" s="82" t="s">
        <v>37</v>
      </c>
      <c r="D277" s="35" t="str">
        <f>IF(B258&lt;&gt;"",IF(INDEX('TH CANAM'!$A$9:$BF$63,MATCH(B258,'TH CANAM'!$A$9:$A$63,0),52)&lt;&gt;"",INDEX('TH CANAM'!$A$9:$BF$63,MATCH(B258,'TH CANAM'!$A$9:$A$63,0),52),"/"),"")</f>
        <v>Tốt</v>
      </c>
      <c r="E277" s="35" t="str">
        <f>IF(B258&lt;&gt;"",IF(INDEX('TH CANAM'!$A$9:$BF$63,MATCH(B258,'TH CANAM'!$A$9:$A$63,0),53)&lt;&gt;"",INDEX('TH CANAM'!$A$9:$BF$63,MATCH(B258,'TH CANAM'!$A$9:$A$63,0),53),"/"),"")</f>
        <v>/</v>
      </c>
      <c r="F277" s="35" t="str">
        <f>IF(B258&lt;&gt;"",IF(INDEX('TH CANAM'!$A$9:$BF$63,MATCH(B258,'TH CANAM'!$A$9:$A$63,0),54)&lt;&gt;"",INDEX('TH CANAM'!$A$9:$BF$63,MATCH(B258,'TH CANAM'!$A$9:$A$63,0),54),"/"),"")</f>
        <v>/</v>
      </c>
      <c r="G277" s="88"/>
      <c r="H277" s="79" t="s">
        <v>210</v>
      </c>
      <c r="I277" s="82" t="s">
        <v>37</v>
      </c>
      <c r="J277" s="35" t="str">
        <f>IF(H258&lt;&gt;"",IF(INDEX('TH CANAM'!$A$9:$BF$63,MATCH(H258,'TH CANAM'!$A$9:$A$63,0),52)&lt;&gt;"",INDEX('TH CANAM'!$A$9:$BF$63,MATCH(H258,'TH CANAM'!$A$9:$A$63,0),52),"/"),"")</f>
        <v>Tốt</v>
      </c>
      <c r="K277" s="35" t="str">
        <f>IF(H258&lt;&gt;"",IF(INDEX('TH CANAM'!$A$9:$BF$63,MATCH(H258,'TH CANAM'!$A$9:$A$63,0),53)&lt;&gt;"",INDEX('TH CANAM'!$A$9:$BF$63,MATCH(H258,'TH CANAM'!$A$9:$A$63,0),53),"/"),"")</f>
        <v>/</v>
      </c>
      <c r="L277" s="35" t="str">
        <f>IF(H258&lt;&gt;"",IF(INDEX('TH CANAM'!$A$9:$BF$63,MATCH(H258,'TH CANAM'!$A$9:$A$63,0),54)&lt;&gt;"",INDEX('TH CANAM'!$A$9:$BF$63,MATCH(H258,'TH CANAM'!$A$9:$A$63,0),54),"/"),"")</f>
        <v>/</v>
      </c>
      <c r="M277" s="88"/>
      <c r="N277" s="79" t="s">
        <v>210</v>
      </c>
      <c r="O277" s="82" t="s">
        <v>37</v>
      </c>
      <c r="P277" s="35" t="str">
        <f>IF(N258&lt;&gt;"",IF(INDEX('TH CANAM'!$A$9:$BF$63,MATCH(N258,'TH CANAM'!$A$9:$A$63,0),52)&lt;&gt;"",INDEX('TH CANAM'!$A$9:$BF$63,MATCH(N258,'TH CANAM'!$A$9:$A$63,0),52),"/"),"")</f>
        <v>Tốt</v>
      </c>
      <c r="Q277" s="35" t="str">
        <f>IF(N258&lt;&gt;"",IF(INDEX('TH CANAM'!$A$9:$BF$63,MATCH(N258,'TH CANAM'!$A$9:$A$63,0),53)&lt;&gt;"",INDEX('TH CANAM'!$A$9:$BF$63,MATCH(N258,'TH CANAM'!$A$9:$A$63,0),53),"/"),"")</f>
        <v>/</v>
      </c>
      <c r="R277" s="35" t="str">
        <f>IF(N258&lt;&gt;"",IF(INDEX('TH CANAM'!$A$9:$BF$63,MATCH(N258,'TH CANAM'!$A$9:$A$63,0),54)&lt;&gt;"",INDEX('TH CANAM'!$A$9:$BF$63,MATCH(N258,'TH CANAM'!$A$9:$A$63,0),54),"/"),"")</f>
        <v>/</v>
      </c>
      <c r="S277" s="88"/>
    </row>
    <row r="278" spans="1:19" ht="15.6" customHeight="1">
      <c r="A278" s="88"/>
      <c r="B278" s="79" t="s">
        <v>211</v>
      </c>
      <c r="C278" s="82" t="s">
        <v>25</v>
      </c>
      <c r="D278" s="35" t="str">
        <f>IF(B258&lt;&gt;"",IF(INDEX('TH CANAM'!$A$9:$BF$63,MATCH(B258,'TH CANAM'!$A$9:$A$63,0),57)&lt;&gt;"",INDEX('TH CANAM'!$A$9:$BF$63,MATCH(B258,'TH CANAM'!$A$9:$A$63,0),57),"/"),"")</f>
        <v>HSG</v>
      </c>
      <c r="E278" s="35" t="str">
        <f>IF(B258&lt;&gt;"",IF(INDEX('TH CANAM'!$A$9:$BF$63,MATCH(B258,'TH CANAM'!$A$9:$A$63,0),58)&lt;&gt;"",INDEX('TH CANAM'!$A$9:$BF$63,MATCH(B258,'TH CANAM'!$A$9:$A$63,0),58),"/"),"")</f>
        <v>/</v>
      </c>
      <c r="F278" s="35" t="str">
        <f>IF(B258&lt;&gt;"",IF(INDEX('TH CANAM'!$A$9:$BF$63,MATCH(B258,'TH CANAM'!$A$9:$A$63,0),55)&lt;&gt;"",INDEX('TH CANAM'!$A$9:$BF$63,MATCH(B258,'TH CANAM'!$A$9:$A$63,0),55),"/"),"")</f>
        <v>/</v>
      </c>
      <c r="G278" s="88"/>
      <c r="H278" s="79" t="s">
        <v>211</v>
      </c>
      <c r="I278" s="82" t="s">
        <v>25</v>
      </c>
      <c r="J278" s="35" t="str">
        <f>IF(H258&lt;&gt;"",IF(INDEX('TH CANAM'!$A$9:$BF$63,MATCH(H258,'TH CANAM'!$A$9:$A$63,0),57)&lt;&gt;"",INDEX('TH CANAM'!$A$9:$BF$63,MATCH(H258,'TH CANAM'!$A$9:$A$63,0),57),"/"),"")</f>
        <v>HSG</v>
      </c>
      <c r="K278" s="35" t="str">
        <f>IF(H258&lt;&gt;"",IF(INDEX('TH CANAM'!$A$9:$BF$63,MATCH(H258,'TH CANAM'!$A$9:$A$63,0),58)&lt;&gt;"",INDEX('TH CANAM'!$A$9:$BF$63,MATCH(H258,'TH CANAM'!$A$9:$A$63,0),58),"/"),"")</f>
        <v>/</v>
      </c>
      <c r="L278" s="35" t="str">
        <f>IF(H258&lt;&gt;"",IF(INDEX('TH CANAM'!$A$9:$BF$63,MATCH(H258,'TH CANAM'!$A$9:$A$63,0),55)&lt;&gt;"",INDEX('TH CANAM'!$A$9:$BF$63,MATCH(H258,'TH CANAM'!$A$9:$A$63,0),55),"/"),"")</f>
        <v>/</v>
      </c>
      <c r="M278" s="88"/>
      <c r="N278" s="79" t="s">
        <v>211</v>
      </c>
      <c r="O278" s="82" t="s">
        <v>25</v>
      </c>
      <c r="P278" s="35" t="str">
        <f>IF(N258&lt;&gt;"",IF(INDEX('TH CANAM'!$A$9:$BF$63,MATCH(N258,'TH CANAM'!$A$9:$A$63,0),57)&lt;&gt;"",INDEX('TH CANAM'!$A$9:$BF$63,MATCH(N258,'TH CANAM'!$A$9:$A$63,0),57),"/"),"")</f>
        <v>HSG</v>
      </c>
      <c r="Q278" s="35" t="str">
        <f>IF(N258&lt;&gt;"",IF(INDEX('TH CANAM'!$A$9:$BF$63,MATCH(N258,'TH CANAM'!$A$9:$A$63,0),58)&lt;&gt;"",INDEX('TH CANAM'!$A$9:$BF$63,MATCH(N258,'TH CANAM'!$A$9:$A$63,0),58),"/"),"")</f>
        <v>/</v>
      </c>
      <c r="R278" s="35" t="str">
        <f>IF(N258&lt;&gt;"",IF(INDEX('TH CANAM'!$A$9:$BF$63,MATCH(N258,'TH CANAM'!$A$9:$A$63,0),55)&lt;&gt;"",INDEX('TH CANAM'!$A$9:$BF$63,MATCH(N258,'TH CANAM'!$A$9:$A$63,0),55),"/"),"")</f>
        <v>/</v>
      </c>
      <c r="S278" s="88"/>
    </row>
    <row r="279" spans="1:19" s="251" customFormat="1" ht="15.75" customHeight="1">
      <c r="A279" s="89"/>
      <c r="B279" s="1146" t="s">
        <v>219</v>
      </c>
      <c r="C279" s="1147"/>
      <c r="D279" s="1147"/>
      <c r="E279" s="1147"/>
      <c r="F279" s="1148"/>
      <c r="G279" s="89"/>
      <c r="H279" s="1146" t="s">
        <v>219</v>
      </c>
      <c r="I279" s="1147"/>
      <c r="J279" s="1147"/>
      <c r="K279" s="1147"/>
      <c r="L279" s="1148"/>
      <c r="M279" s="89"/>
      <c r="N279" s="1146" t="s">
        <v>219</v>
      </c>
      <c r="O279" s="1147"/>
      <c r="P279" s="1147"/>
      <c r="Q279" s="1147"/>
      <c r="R279" s="1148"/>
      <c r="S279" s="89"/>
    </row>
    <row r="280" spans="1:19" s="251" customFormat="1" ht="15.6" customHeight="1">
      <c r="A280" s="89"/>
      <c r="B280" s="1143" t="str">
        <f>IF(B258&lt;&gt;"",IF(INDEX(BDHK2,MATCH(B258,DiemHKII!$B$4:$B$58,0),137)&lt;&gt;""," - "&amp;INDEX(BDHK2,MATCH(B258,DiemHKII!$B$4:$B$58,0),137),""),"")</f>
        <v/>
      </c>
      <c r="C280" s="1144"/>
      <c r="D280" s="1144"/>
      <c r="E280" s="1144"/>
      <c r="F280" s="1145"/>
      <c r="G280" s="89"/>
      <c r="H280" s="1143" t="str">
        <f>IF(H258&lt;&gt;"",IF(INDEX(BDHK2,MATCH(H258,DiemHKII!$B$4:$B$58,0),137)&lt;&gt;""," - "&amp;INDEX(BDHK2,MATCH(H258,DiemHKII!$B$4:$B$58,0),137),""),"")</f>
        <v/>
      </c>
      <c r="I280" s="1144"/>
      <c r="J280" s="1144"/>
      <c r="K280" s="1144"/>
      <c r="L280" s="1145"/>
      <c r="M280" s="89"/>
      <c r="N280" s="1143" t="str">
        <f>IF(N258&lt;&gt;"",IF(INDEX(BDHK2,MATCH(N258,DiemHKII!$B$4:$B$58,0),137)&lt;&gt;""," - "&amp;INDEX(BDHK2,MATCH(N258,DiemHKII!$B$4:$B$58,0),137),""),"")</f>
        <v/>
      </c>
      <c r="O280" s="1144"/>
      <c r="P280" s="1144"/>
      <c r="Q280" s="1144"/>
      <c r="R280" s="1145"/>
      <c r="S280" s="89"/>
    </row>
    <row r="281" spans="1:19" s="251" customFormat="1" ht="15.6" customHeight="1">
      <c r="A281" s="89"/>
      <c r="B281" s="1143" t="str">
        <f>IF(B258&lt;&gt;"",IF(INDEX(BDHK2,MATCH(B258,DiemHKII!$B$4:$B$58,0),138)&lt;&gt;""," - "&amp;INDEX(BDHK2,MATCH(B258,DiemHKII!$B$4:$B$58,0),138),""),"")</f>
        <v/>
      </c>
      <c r="C281" s="1144"/>
      <c r="D281" s="1144"/>
      <c r="E281" s="1144"/>
      <c r="F281" s="1145"/>
      <c r="G281" s="89"/>
      <c r="H281" s="1143" t="str">
        <f>IF(H258&lt;&gt;"",IF(INDEX(BDHK2,MATCH(H258,DiemHKII!$B$4:$B$58,0),138)&lt;&gt;""," - "&amp;INDEX(BDHK2,MATCH(H258,DiemHKII!$B$4:$B$58,0),138),""),"")</f>
        <v/>
      </c>
      <c r="I281" s="1144"/>
      <c r="J281" s="1144"/>
      <c r="K281" s="1144"/>
      <c r="L281" s="1145"/>
      <c r="M281" s="89"/>
      <c r="N281" s="1143" t="str">
        <f>IF(N258&lt;&gt;"",IF(INDEX(BDHK2,MATCH(N258,DiemHKII!$B$4:$B$58,0),138)&lt;&gt;""," - "&amp;INDEX(BDHK2,MATCH(N258,DiemHKII!$B$4:$B$58,0),138),""),"")</f>
        <v/>
      </c>
      <c r="O281" s="1144"/>
      <c r="P281" s="1144"/>
      <c r="Q281" s="1144"/>
      <c r="R281" s="1145"/>
      <c r="S281" s="89"/>
    </row>
    <row r="282" spans="1:19" s="251" customFormat="1" ht="15.6" customHeight="1">
      <c r="A282" s="89"/>
      <c r="B282" s="1143" t="str">
        <f>IF(B258&lt;&gt;"",IF(INDEX(BDHK2,MATCH(B258,DiemHKII!$B$4:$B$58,0),139)&lt;&gt;""," - "&amp;INDEX(BDHK2,MATCH(B258,DiemHKII!$B$4:$B$58,0),139),""),"")</f>
        <v/>
      </c>
      <c r="C282" s="1144"/>
      <c r="D282" s="1144"/>
      <c r="E282" s="1144"/>
      <c r="F282" s="1145"/>
      <c r="G282" s="89"/>
      <c r="H282" s="1143" t="str">
        <f>IF(H258&lt;&gt;"",IF(INDEX(BDHK2,MATCH(H258,DiemHKII!$B$4:$B$58,0),139)&lt;&gt;""," - "&amp;INDEX(BDHK2,MATCH(H258,DiemHKII!$B$4:$B$58,0),139),""),"")</f>
        <v/>
      </c>
      <c r="I282" s="1144"/>
      <c r="J282" s="1144"/>
      <c r="K282" s="1144"/>
      <c r="L282" s="1145"/>
      <c r="M282" s="89"/>
      <c r="N282" s="1143" t="str">
        <f>IF(N258&lt;&gt;"",IF(INDEX(BDHK2,MATCH(N258,DiemHKII!$B$4:$B$58,0),139)&lt;&gt;""," - "&amp;INDEX(BDHK2,MATCH(N258,DiemHKII!$B$4:$B$58,0),139),""),"")</f>
        <v/>
      </c>
      <c r="O282" s="1144"/>
      <c r="P282" s="1144"/>
      <c r="Q282" s="1144"/>
      <c r="R282" s="1145"/>
      <c r="S282" s="89"/>
    </row>
    <row r="283" spans="1:19" s="251" customFormat="1" ht="15.6" customHeight="1">
      <c r="A283" s="89"/>
      <c r="B283" s="1143" t="str">
        <f>IF(B258&lt;&gt;"",IF(INDEX(BDHK2,MATCH(B258,DiemHKII!$B$4:$B$58,0),140)&lt;&gt;""," - "&amp;INDEX(BDHK2,MATCH(B258,DiemHKII!$B$4:$B$58,0),140),""),"")</f>
        <v/>
      </c>
      <c r="C283" s="1144"/>
      <c r="D283" s="1144"/>
      <c r="E283" s="1144"/>
      <c r="F283" s="1145"/>
      <c r="G283" s="89"/>
      <c r="H283" s="1143" t="str">
        <f>IF(H258&lt;&gt;"",IF(INDEX(BDHK2,MATCH(H258,DiemHKII!$B$4:$B$58,0),140)&lt;&gt;""," - "&amp;INDEX(BDHK2,MATCH(H258,DiemHKII!$B$4:$B$58,0),140),""),"")</f>
        <v/>
      </c>
      <c r="I283" s="1144"/>
      <c r="J283" s="1144"/>
      <c r="K283" s="1144"/>
      <c r="L283" s="1145"/>
      <c r="M283" s="89"/>
      <c r="N283" s="1143" t="str">
        <f>IF(N258&lt;&gt;"",IF(INDEX(BDHK2,MATCH(N258,DiemHKII!$B$4:$B$58,0),140)&lt;&gt;""," - "&amp;INDEX(BDHK2,MATCH(N258,DiemHKII!$B$4:$B$58,0),140),""),"")</f>
        <v/>
      </c>
      <c r="O283" s="1144"/>
      <c r="P283" s="1144"/>
      <c r="Q283" s="1144"/>
      <c r="R283" s="1145"/>
      <c r="S283" s="89"/>
    </row>
    <row r="284" spans="1:19" ht="8.25" customHeight="1">
      <c r="A284" s="88"/>
      <c r="B284" s="83"/>
      <c r="C284" s="84"/>
      <c r="D284" s="84"/>
      <c r="E284" s="84"/>
      <c r="F284" s="85"/>
      <c r="G284" s="88"/>
      <c r="H284" s="83"/>
      <c r="I284" s="84"/>
      <c r="J284" s="84"/>
      <c r="K284" s="84"/>
      <c r="L284" s="85"/>
      <c r="M284" s="88"/>
      <c r="N284" s="83"/>
      <c r="O284" s="84"/>
      <c r="P284" s="84"/>
      <c r="Q284" s="84"/>
      <c r="R284" s="85"/>
      <c r="S284" s="88"/>
    </row>
    <row r="285" spans="1:19" ht="6.75" customHeight="1">
      <c r="A285" s="88"/>
      <c r="B285" s="87"/>
      <c r="C285" s="87"/>
      <c r="D285" s="1135"/>
      <c r="E285" s="1135"/>
      <c r="F285" s="1135"/>
      <c r="G285" s="88"/>
      <c r="H285" s="87"/>
      <c r="I285" s="87"/>
      <c r="J285" s="1135"/>
      <c r="K285" s="1135"/>
      <c r="L285" s="1135"/>
      <c r="M285" s="88"/>
      <c r="N285" s="87"/>
      <c r="O285" s="87"/>
      <c r="P285" s="1135"/>
      <c r="Q285" s="1135"/>
      <c r="R285" s="1135"/>
      <c r="S285" s="88"/>
    </row>
    <row r="286" spans="1:19" ht="6.75" customHeight="1">
      <c r="A286" s="88"/>
      <c r="B286" s="87"/>
      <c r="C286" s="87"/>
      <c r="D286" s="1135"/>
      <c r="E286" s="1135"/>
      <c r="F286" s="1135"/>
      <c r="G286" s="88"/>
      <c r="H286" s="87"/>
      <c r="I286" s="87"/>
      <c r="J286" s="1135"/>
      <c r="K286" s="1135"/>
      <c r="L286" s="1135"/>
      <c r="M286" s="88"/>
      <c r="N286" s="87"/>
      <c r="O286" s="87"/>
      <c r="P286" s="1135"/>
      <c r="Q286" s="1135"/>
      <c r="R286" s="1135"/>
      <c r="S286" s="88"/>
    </row>
    <row r="287" spans="1:19" ht="18" customHeight="1">
      <c r="A287" s="88"/>
      <c r="B287" s="477">
        <f>IF(N258="","",IF(N258&lt;MAX(DiemHKII!$B$4:$B$58),N258+1,""))</f>
        <v>31</v>
      </c>
      <c r="C287" s="1140" t="str">
        <f>IF(B287="","",INDEX(DiemHKII!$E$4:$E$58,MATCH(B287,DiemHKII!$B$4:$B$58,0),1)&amp;" "&amp;INDEX(DiemHKII!$F$4:$F$58,MATCH(B287,DiemHKII!$B$4:$B$58,0),1))</f>
        <v>Đặng Hoàng Tân</v>
      </c>
      <c r="D287" s="1141"/>
      <c r="E287" s="1142"/>
      <c r="F287" s="86" t="str">
        <f>IF('Huong dan'!$C$3="","",'Huong dan'!$C$3)</f>
        <v>12A1</v>
      </c>
      <c r="G287" s="88"/>
      <c r="H287" s="477">
        <f>IF(B287="","",IF(B287&lt;MAX(DiemHKII!$B$4:$B$58),B287+1,""))</f>
        <v>32</v>
      </c>
      <c r="I287" s="1140" t="str">
        <f>IF(H287="","",INDEX(DiemHKII!$E$4:$E$58,MATCH(H287,DiemHKII!$B$4:$B$58,0),1)&amp;" "&amp;INDEX(DiemHKII!$F$4:$F$58,MATCH(H287,DiemHKII!$B$4:$B$58,0),1))</f>
        <v>Hồ Quang Thành</v>
      </c>
      <c r="J287" s="1141"/>
      <c r="K287" s="1142"/>
      <c r="L287" s="86" t="str">
        <f>IF('Huong dan'!$C$3="","",'Huong dan'!$C$3)</f>
        <v>12A1</v>
      </c>
      <c r="M287" s="88"/>
      <c r="N287" s="477">
        <f>IF(H287="","",IF(H287&lt;MAX(DiemHKII!$B$4:$B$58),H287+1,""))</f>
        <v>33</v>
      </c>
      <c r="O287" s="1140" t="str">
        <f>IF(N287="","",INDEX(DiemHKII!$E$4:$E$58,MATCH(N287,DiemHKII!$B$4:$B$58,0),1)&amp;" "&amp;INDEX(DiemHKII!$F$4:$F$58,MATCH(N287,DiemHKII!$B$4:$B$58,0),1))</f>
        <v>Trần Thịnh Thịnh</v>
      </c>
      <c r="P287" s="1141"/>
      <c r="Q287" s="1142"/>
      <c r="R287" s="86" t="str">
        <f>IF('Huong dan'!$C$3="","",'Huong dan'!$C$3)</f>
        <v>12A1</v>
      </c>
      <c r="S287" s="88"/>
    </row>
    <row r="288" spans="1:19" ht="18.75" customHeight="1">
      <c r="A288" s="88"/>
      <c r="B288" s="1136" t="str">
        <f>" Sinh ngày: "&amp;IF(B287="","",INDEX(DiemHKII!$G$4:$G$58,MATCH(B287,DiemHKII!$B$4:$B$58,0),1))</f>
        <v xml:space="preserve"> Sinh ngày: 26/09/2004</v>
      </c>
      <c r="C288" s="1137"/>
      <c r="D288" s="1137"/>
      <c r="E288" s="1138" t="str">
        <f>IF(B287="","","NS: "&amp;INDEX(DiemHKII!$H$4:$H$58,MATCH(B287,DiemHKII!$B$4:$B$58,0),1))</f>
        <v xml:space="preserve">NS: </v>
      </c>
      <c r="F288" s="1139"/>
      <c r="G288" s="88"/>
      <c r="H288" s="1136" t="str">
        <f>" Sinh ngày: "&amp;IF(H287="","",INDEX(DiemHKII!$G$4:$G$58,MATCH(H287,DiemHKII!$B$4:$B$58,0),1))</f>
        <v xml:space="preserve"> Sinh ngày: 28/02/2004</v>
      </c>
      <c r="I288" s="1137"/>
      <c r="J288" s="1137"/>
      <c r="K288" s="1138" t="str">
        <f>IF(H287="","","NS: "&amp;INDEX(DiemHKII!$H$4:$H$58,MATCH(H287,DiemHKII!$B$4:$B$58,0),1))</f>
        <v xml:space="preserve">NS: </v>
      </c>
      <c r="L288" s="1139"/>
      <c r="M288" s="88"/>
      <c r="N288" s="1136" t="str">
        <f>" Sinh ngày: "&amp;IF(N287="","",INDEX(DiemHKII!$G$4:$G$58,MATCH(N287,DiemHKII!$B$4:$B$58,0),1))</f>
        <v xml:space="preserve"> Sinh ngày: 18/08/2004</v>
      </c>
      <c r="O288" s="1137"/>
      <c r="P288" s="1137"/>
      <c r="Q288" s="1138" t="str">
        <f>IF(N287="","","NS: "&amp;INDEX(DiemHKII!$H$4:$H$58,MATCH(N287,DiemHKII!$B$4:$B$58,0),1))</f>
        <v xml:space="preserve">NS: </v>
      </c>
      <c r="R288" s="1139"/>
      <c r="S288" s="88"/>
    </row>
    <row r="289" spans="1:19" ht="15.75" customHeight="1">
      <c r="A289" s="88"/>
      <c r="B289" s="381" t="s">
        <v>0</v>
      </c>
      <c r="C289" s="381" t="s">
        <v>59</v>
      </c>
      <c r="D289" s="381" t="s">
        <v>73</v>
      </c>
      <c r="E289" s="381" t="s">
        <v>176</v>
      </c>
      <c r="F289" s="381" t="s">
        <v>98</v>
      </c>
      <c r="G289" s="88"/>
      <c r="H289" s="381" t="s">
        <v>0</v>
      </c>
      <c r="I289" s="381" t="s">
        <v>59</v>
      </c>
      <c r="J289" s="381" t="s">
        <v>73</v>
      </c>
      <c r="K289" s="381" t="s">
        <v>176</v>
      </c>
      <c r="L289" s="381" t="s">
        <v>98</v>
      </c>
      <c r="M289" s="88"/>
      <c r="N289" s="381" t="s">
        <v>0</v>
      </c>
      <c r="O289" s="381" t="s">
        <v>59</v>
      </c>
      <c r="P289" s="381" t="s">
        <v>73</v>
      </c>
      <c r="Q289" s="381" t="s">
        <v>176</v>
      </c>
      <c r="R289" s="381" t="s">
        <v>98</v>
      </c>
      <c r="S289" s="88"/>
    </row>
    <row r="290" spans="1:19" ht="15.6" customHeight="1">
      <c r="A290" s="88"/>
      <c r="B290" s="79" t="s">
        <v>191</v>
      </c>
      <c r="C290" s="81" t="s">
        <v>26</v>
      </c>
      <c r="D290" s="35">
        <f>IF(B287&lt;&gt;"",IF(INDEX(BDHK2,MATCH(B287,DiemHKII!$B$4:$B$58,0),INDEX($Y$7:$AB$20,MATCH(C290,$Y$7:$Y$20,0),$Z$6))&lt;&gt;"",INDEX(BDHK2,MATCH(B287,DiemHKII!$B$4:$B$58,0),INDEX($Y$7:$AB$20,MATCH(C290,$Y$7:$Y$20,0),$Z$6)),"/"),"")</f>
        <v>9.4</v>
      </c>
      <c r="E290" s="35" t="str">
        <f>IF(B287&lt;&gt;"",IF(INDEX(BDHK2,MATCH(B287,DiemHKII!$B$4:$B$58,0),INDEX($Y$7:$AB$20,MATCH(C290,$Y$7:$Y$20,0),$AA$6))&lt;&gt;"",INDEX(BDHK2,MATCH(B287,DiemHKII!$B$4:$B$58,0),INDEX($Y$7:$AB$20,MATCH(C290,$Y$7:$Y$20,0),$AA$6)),"/"),"")</f>
        <v>/</v>
      </c>
      <c r="F290" s="35" t="str">
        <f>IF(B287&lt;&gt;"",IF(INDEX(BDHK2,MATCH(B287,DiemHKII!$B$4:$B$58,0),INDEX($Y$7:$AB$20,MATCH(C290,$Y$7:$Y$20,0),$AB$6))&lt;&gt;"",INDEX(BDHK2,MATCH(B287,DiemHKII!$B$4:$B$58,0),INDEX($Y$7:$AB$20,MATCH(C290,$Y$7:$Y$20,0),$AB$6)),"/"),"")</f>
        <v>/</v>
      </c>
      <c r="G290" s="88"/>
      <c r="H290" s="79" t="s">
        <v>191</v>
      </c>
      <c r="I290" s="81" t="s">
        <v>26</v>
      </c>
      <c r="J290" s="35">
        <f>IF(H287&lt;&gt;"",IF(INDEX(BDHK2,MATCH(H287,DiemHKII!$B$4:$B$58,0),INDEX($Y$7:$AB$20,MATCH(I290,$Y$7:$Y$20,0),$Z$6))&lt;&gt;"",INDEX(BDHK2,MATCH(H287,DiemHKII!$B$4:$B$58,0),INDEX($Y$7:$AB$20,MATCH(I290,$Y$7:$Y$20,0),$Z$6)),"/"),"")</f>
        <v>9.5</v>
      </c>
      <c r="K290" s="35" t="str">
        <f>IF(H287&lt;&gt;"",IF(INDEX(BDHK2,MATCH(H287,DiemHKII!$B$4:$B$58,0),INDEX($Y$7:$AB$20,MATCH(I290,$Y$7:$Y$20,0),$AA$6))&lt;&gt;"",INDEX(BDHK2,MATCH(H287,DiemHKII!$B$4:$B$58,0),INDEX($Y$7:$AB$20,MATCH(I290,$Y$7:$Y$20,0),$AA$6)),"/"),"")</f>
        <v>/</v>
      </c>
      <c r="L290" s="35" t="str">
        <f>IF(H287&lt;&gt;"",IF(INDEX(BDHK2,MATCH(H287,DiemHKII!$B$4:$B$58,0),INDEX($Y$7:$AB$20,MATCH(I290,$Y$7:$Y$20,0),$AB$6))&lt;&gt;"",INDEX(BDHK2,MATCH(H287,DiemHKII!$B$4:$B$58,0),INDEX($Y$7:$AB$20,MATCH(I290,$Y$7:$Y$20,0),$AB$6)),"/"),"")</f>
        <v>/</v>
      </c>
      <c r="M290" s="88"/>
      <c r="N290" s="79" t="s">
        <v>191</v>
      </c>
      <c r="O290" s="81" t="s">
        <v>26</v>
      </c>
      <c r="P290" s="35">
        <f>IF(N287&lt;&gt;"",IF(INDEX(BDHK2,MATCH(N287,DiemHKII!$B$4:$B$58,0),INDEX($Y$7:$AB$20,MATCH(O290,$Y$7:$Y$20,0),$Z$6))&lt;&gt;"",INDEX(BDHK2,MATCH(N287,DiemHKII!$B$4:$B$58,0),INDEX($Y$7:$AB$20,MATCH(O290,$Y$7:$Y$20,0),$Z$6)),"/"),"")</f>
        <v>9.8000000000000007</v>
      </c>
      <c r="Q290" s="35" t="str">
        <f>IF(N287&lt;&gt;"",IF(INDEX(BDHK2,MATCH(N287,DiemHKII!$B$4:$B$58,0),INDEX($Y$7:$AB$20,MATCH(O290,$Y$7:$Y$20,0),$AA$6))&lt;&gt;"",INDEX(BDHK2,MATCH(N287,DiemHKII!$B$4:$B$58,0),INDEX($Y$7:$AB$20,MATCH(O290,$Y$7:$Y$20,0),$AA$6)),"/"),"")</f>
        <v>/</v>
      </c>
      <c r="R290" s="35" t="str">
        <f>IF(N287&lt;&gt;"",IF(INDEX(BDHK2,MATCH(N287,DiemHKII!$B$4:$B$58,0),INDEX($Y$7:$AB$20,MATCH(O290,$Y$7:$Y$20,0),$AB$6))&lt;&gt;"",INDEX(BDHK2,MATCH(N287,DiemHKII!$B$4:$B$58,0),INDEX($Y$7:$AB$20,MATCH(O290,$Y$7:$Y$20,0),$AB$6)),"/"),"")</f>
        <v>/</v>
      </c>
      <c r="S290" s="88"/>
    </row>
    <row r="291" spans="1:19" ht="15.6" customHeight="1">
      <c r="A291" s="88"/>
      <c r="B291" s="79" t="s">
        <v>192</v>
      </c>
      <c r="C291" s="81" t="s">
        <v>27</v>
      </c>
      <c r="D291" s="35">
        <f>IF(B287&lt;&gt;"",IF(INDEX(BDHK2,MATCH(B287,DiemHKII!$B$4:$B$58,0),INDEX($Y$7:$AB$20,MATCH(C291,$Y$7:$Y$20,0),$Z$6))&lt;&gt;"",INDEX(BDHK2,MATCH(B287,DiemHKII!$B$4:$B$58,0),INDEX($Y$7:$AB$20,MATCH(C291,$Y$7:$Y$20,0),$Z$6)),"/"),"")</f>
        <v>9.6999999999999993</v>
      </c>
      <c r="E291" s="35" t="str">
        <f>IF(B287&lt;&gt;"",IF(INDEX(BDHK2,MATCH(B287,DiemHKII!$B$4:$B$58,0),INDEX($Y$7:$AB$20,MATCH(C291,$Y$7:$Y$20,0),$AA$6))&lt;&gt;"",INDEX(BDHK2,MATCH(B287,DiemHKII!$B$4:$B$58,0),INDEX($Y$7:$AB$20,MATCH(C291,$Y$7:$Y$20,0),$AA$6)),"/"),"")</f>
        <v>/</v>
      </c>
      <c r="F291" s="35" t="str">
        <f>IF(B287&lt;&gt;"",IF(INDEX(BDHK2,MATCH(B287,DiemHKII!$B$4:$B$58,0),INDEX($Y$7:$AB$20,MATCH(C291,$Y$7:$Y$20,0),$AB$6))&lt;&gt;"",INDEX(BDHK2,MATCH(B287,DiemHKII!$B$4:$B$58,0),INDEX($Y$7:$AB$20,MATCH(C291,$Y$7:$Y$20,0),$AB$6)),"/"),"")</f>
        <v>/</v>
      </c>
      <c r="G291" s="88"/>
      <c r="H291" s="79" t="s">
        <v>192</v>
      </c>
      <c r="I291" s="81" t="s">
        <v>27</v>
      </c>
      <c r="J291" s="35">
        <f>IF(H287&lt;&gt;"",IF(INDEX(BDHK2,MATCH(H287,DiemHKII!$B$4:$B$58,0),INDEX($Y$7:$AB$20,MATCH(I291,$Y$7:$Y$20,0),$Z$6))&lt;&gt;"",INDEX(BDHK2,MATCH(H287,DiemHKII!$B$4:$B$58,0),INDEX($Y$7:$AB$20,MATCH(I291,$Y$7:$Y$20,0),$Z$6)),"/"),"")</f>
        <v>9.5</v>
      </c>
      <c r="K291" s="35" t="str">
        <f>IF(H287&lt;&gt;"",IF(INDEX(BDHK2,MATCH(H287,DiemHKII!$B$4:$B$58,0),INDEX($Y$7:$AB$20,MATCH(I291,$Y$7:$Y$20,0),$AA$6))&lt;&gt;"",INDEX(BDHK2,MATCH(H287,DiemHKII!$B$4:$B$58,0),INDEX($Y$7:$AB$20,MATCH(I291,$Y$7:$Y$20,0),$AA$6)),"/"),"")</f>
        <v>/</v>
      </c>
      <c r="L291" s="35" t="str">
        <f>IF(H287&lt;&gt;"",IF(INDEX(BDHK2,MATCH(H287,DiemHKII!$B$4:$B$58,0),INDEX($Y$7:$AB$20,MATCH(I291,$Y$7:$Y$20,0),$AB$6))&lt;&gt;"",INDEX(BDHK2,MATCH(H287,DiemHKII!$B$4:$B$58,0),INDEX($Y$7:$AB$20,MATCH(I291,$Y$7:$Y$20,0),$AB$6)),"/"),"")</f>
        <v>/</v>
      </c>
      <c r="M291" s="88"/>
      <c r="N291" s="79" t="s">
        <v>192</v>
      </c>
      <c r="O291" s="81" t="s">
        <v>27</v>
      </c>
      <c r="P291" s="35">
        <f>IF(N287&lt;&gt;"",IF(INDEX(BDHK2,MATCH(N287,DiemHKII!$B$4:$B$58,0),INDEX($Y$7:$AB$20,MATCH(O291,$Y$7:$Y$20,0),$Z$6))&lt;&gt;"",INDEX(BDHK2,MATCH(N287,DiemHKII!$B$4:$B$58,0),INDEX($Y$7:$AB$20,MATCH(O291,$Y$7:$Y$20,0),$Z$6)),"/"),"")</f>
        <v>9.6</v>
      </c>
      <c r="Q291" s="35" t="str">
        <f>IF(N287&lt;&gt;"",IF(INDEX(BDHK2,MATCH(N287,DiemHKII!$B$4:$B$58,0),INDEX($Y$7:$AB$20,MATCH(O291,$Y$7:$Y$20,0),$AA$6))&lt;&gt;"",INDEX(BDHK2,MATCH(N287,DiemHKII!$B$4:$B$58,0),INDEX($Y$7:$AB$20,MATCH(O291,$Y$7:$Y$20,0),$AA$6)),"/"),"")</f>
        <v>/</v>
      </c>
      <c r="R291" s="35" t="str">
        <f>IF(N287&lt;&gt;"",IF(INDEX(BDHK2,MATCH(N287,DiemHKII!$B$4:$B$58,0),INDEX($Y$7:$AB$20,MATCH(O291,$Y$7:$Y$20,0),$AB$6))&lt;&gt;"",INDEX(BDHK2,MATCH(N287,DiemHKII!$B$4:$B$58,0),INDEX($Y$7:$AB$20,MATCH(O291,$Y$7:$Y$20,0),$AB$6)),"/"),"")</f>
        <v>/</v>
      </c>
      <c r="S291" s="88"/>
    </row>
    <row r="292" spans="1:19" ht="15.6" customHeight="1">
      <c r="A292" s="88"/>
      <c r="B292" s="79" t="s">
        <v>193</v>
      </c>
      <c r="C292" s="81" t="s">
        <v>28</v>
      </c>
      <c r="D292" s="35">
        <f>IF(B287&lt;&gt;"",IF(INDEX(BDHK2,MATCH(B287,DiemHKII!$B$4:$B$58,0),INDEX($Y$7:$AB$20,MATCH(C292,$Y$7:$Y$20,0),$Z$6))&lt;&gt;"",INDEX(BDHK2,MATCH(B287,DiemHKII!$B$4:$B$58,0),INDEX($Y$7:$AB$20,MATCH(C292,$Y$7:$Y$20,0),$Z$6)),"/"),"")</f>
        <v>9.3000000000000007</v>
      </c>
      <c r="E292" s="35" t="str">
        <f>IF(B287&lt;&gt;"",IF(INDEX(BDHK2,MATCH(B287,DiemHKII!$B$4:$B$58,0),INDEX($Y$7:$AB$20,MATCH(C292,$Y$7:$Y$20,0),$AA$6))&lt;&gt;"",INDEX(BDHK2,MATCH(B287,DiemHKII!$B$4:$B$58,0),INDEX($Y$7:$AB$20,MATCH(C292,$Y$7:$Y$20,0),$AA$6)),"/"),"")</f>
        <v>/</v>
      </c>
      <c r="F292" s="35" t="str">
        <f>IF(B287&lt;&gt;"",IF(INDEX(BDHK2,MATCH(B287,DiemHKII!$B$4:$B$58,0),INDEX($Y$7:$AB$20,MATCH(C292,$Y$7:$Y$20,0),$AB$6))&lt;&gt;"",INDEX(BDHK2,MATCH(B287,DiemHKII!$B$4:$B$58,0),INDEX($Y$7:$AB$20,MATCH(C292,$Y$7:$Y$20,0),$AB$6)),"/"),"")</f>
        <v>/</v>
      </c>
      <c r="G292" s="88"/>
      <c r="H292" s="79" t="s">
        <v>193</v>
      </c>
      <c r="I292" s="81" t="s">
        <v>28</v>
      </c>
      <c r="J292" s="35">
        <f>IF(H287&lt;&gt;"",IF(INDEX(BDHK2,MATCH(H287,DiemHKII!$B$4:$B$58,0),INDEX($Y$7:$AB$20,MATCH(I292,$Y$7:$Y$20,0),$Z$6))&lt;&gt;"",INDEX(BDHK2,MATCH(H287,DiemHKII!$B$4:$B$58,0),INDEX($Y$7:$AB$20,MATCH(I292,$Y$7:$Y$20,0),$Z$6)),"/"),"")</f>
        <v>8.8000000000000007</v>
      </c>
      <c r="K292" s="35" t="str">
        <f>IF(H287&lt;&gt;"",IF(INDEX(BDHK2,MATCH(H287,DiemHKII!$B$4:$B$58,0),INDEX($Y$7:$AB$20,MATCH(I292,$Y$7:$Y$20,0),$AA$6))&lt;&gt;"",INDEX(BDHK2,MATCH(H287,DiemHKII!$B$4:$B$58,0),INDEX($Y$7:$AB$20,MATCH(I292,$Y$7:$Y$20,0),$AA$6)),"/"),"")</f>
        <v>/</v>
      </c>
      <c r="L292" s="35" t="str">
        <f>IF(H287&lt;&gt;"",IF(INDEX(BDHK2,MATCH(H287,DiemHKII!$B$4:$B$58,0),INDEX($Y$7:$AB$20,MATCH(I292,$Y$7:$Y$20,0),$AB$6))&lt;&gt;"",INDEX(BDHK2,MATCH(H287,DiemHKII!$B$4:$B$58,0),INDEX($Y$7:$AB$20,MATCH(I292,$Y$7:$Y$20,0),$AB$6)),"/"),"")</f>
        <v>/</v>
      </c>
      <c r="M292" s="88"/>
      <c r="N292" s="79" t="s">
        <v>193</v>
      </c>
      <c r="O292" s="81" t="s">
        <v>28</v>
      </c>
      <c r="P292" s="35">
        <f>IF(N287&lt;&gt;"",IF(INDEX(BDHK2,MATCH(N287,DiemHKII!$B$4:$B$58,0),INDEX($Y$7:$AB$20,MATCH(O292,$Y$7:$Y$20,0),$Z$6))&lt;&gt;"",INDEX(BDHK2,MATCH(N287,DiemHKII!$B$4:$B$58,0),INDEX($Y$7:$AB$20,MATCH(O292,$Y$7:$Y$20,0),$Z$6)),"/"),"")</f>
        <v>9.5</v>
      </c>
      <c r="Q292" s="35" t="str">
        <f>IF(N287&lt;&gt;"",IF(INDEX(BDHK2,MATCH(N287,DiemHKII!$B$4:$B$58,0),INDEX($Y$7:$AB$20,MATCH(O292,$Y$7:$Y$20,0),$AA$6))&lt;&gt;"",INDEX(BDHK2,MATCH(N287,DiemHKII!$B$4:$B$58,0),INDEX($Y$7:$AB$20,MATCH(O292,$Y$7:$Y$20,0),$AA$6)),"/"),"")</f>
        <v>/</v>
      </c>
      <c r="R292" s="35" t="str">
        <f>IF(N287&lt;&gt;"",IF(INDEX(BDHK2,MATCH(N287,DiemHKII!$B$4:$B$58,0),INDEX($Y$7:$AB$20,MATCH(O292,$Y$7:$Y$20,0),$AB$6))&lt;&gt;"",INDEX(BDHK2,MATCH(N287,DiemHKII!$B$4:$B$58,0),INDEX($Y$7:$AB$20,MATCH(O292,$Y$7:$Y$20,0),$AB$6)),"/"),"")</f>
        <v>/</v>
      </c>
      <c r="S292" s="88"/>
    </row>
    <row r="293" spans="1:19" ht="15.6" customHeight="1">
      <c r="A293" s="88"/>
      <c r="B293" s="79" t="s">
        <v>194</v>
      </c>
      <c r="C293" s="81" t="s">
        <v>29</v>
      </c>
      <c r="D293" s="35">
        <f>IF(B287&lt;&gt;"",IF(INDEX(BDHK2,MATCH(B287,DiemHKII!$B$4:$B$58,0),INDEX($Y$7:$AB$20,MATCH(C293,$Y$7:$Y$20,0),$Z$6))&lt;&gt;"",INDEX(BDHK2,MATCH(B287,DiemHKII!$B$4:$B$58,0),INDEX($Y$7:$AB$20,MATCH(C293,$Y$7:$Y$20,0),$Z$6)),"/"),"")</f>
        <v>8.1</v>
      </c>
      <c r="E293" s="35" t="str">
        <f>IF(B287&lt;&gt;"",IF(INDEX(BDHK2,MATCH(B287,DiemHKII!$B$4:$B$58,0),INDEX($Y$7:$AB$20,MATCH(C293,$Y$7:$Y$20,0),$AA$6))&lt;&gt;"",INDEX(BDHK2,MATCH(B287,DiemHKII!$B$4:$B$58,0),INDEX($Y$7:$AB$20,MATCH(C293,$Y$7:$Y$20,0),$AA$6)),"/"),"")</f>
        <v>/</v>
      </c>
      <c r="F293" s="35" t="str">
        <f>IF(B287&lt;&gt;"",IF(INDEX(BDHK2,MATCH(B287,DiemHKII!$B$4:$B$58,0),INDEX($Y$7:$AB$20,MATCH(C293,$Y$7:$Y$20,0),$AB$6))&lt;&gt;"",INDEX(BDHK2,MATCH(B287,DiemHKII!$B$4:$B$58,0),INDEX($Y$7:$AB$20,MATCH(C293,$Y$7:$Y$20,0),$AB$6)),"/"),"")</f>
        <v>/</v>
      </c>
      <c r="G293" s="88"/>
      <c r="H293" s="79" t="s">
        <v>194</v>
      </c>
      <c r="I293" s="81" t="s">
        <v>29</v>
      </c>
      <c r="J293" s="35">
        <f>IF(H287&lt;&gt;"",IF(INDEX(BDHK2,MATCH(H287,DiemHKII!$B$4:$B$58,0),INDEX($Y$7:$AB$20,MATCH(I293,$Y$7:$Y$20,0),$Z$6))&lt;&gt;"",INDEX(BDHK2,MATCH(H287,DiemHKII!$B$4:$B$58,0),INDEX($Y$7:$AB$20,MATCH(I293,$Y$7:$Y$20,0),$Z$6)),"/"),"")</f>
        <v>9.8000000000000007</v>
      </c>
      <c r="K293" s="35" t="str">
        <f>IF(H287&lt;&gt;"",IF(INDEX(BDHK2,MATCH(H287,DiemHKII!$B$4:$B$58,0),INDEX($Y$7:$AB$20,MATCH(I293,$Y$7:$Y$20,0),$AA$6))&lt;&gt;"",INDEX(BDHK2,MATCH(H287,DiemHKII!$B$4:$B$58,0),INDEX($Y$7:$AB$20,MATCH(I293,$Y$7:$Y$20,0),$AA$6)),"/"),"")</f>
        <v>/</v>
      </c>
      <c r="L293" s="35" t="str">
        <f>IF(H287&lt;&gt;"",IF(INDEX(BDHK2,MATCH(H287,DiemHKII!$B$4:$B$58,0),INDEX($Y$7:$AB$20,MATCH(I293,$Y$7:$Y$20,0),$AB$6))&lt;&gt;"",INDEX(BDHK2,MATCH(H287,DiemHKII!$B$4:$B$58,0),INDEX($Y$7:$AB$20,MATCH(I293,$Y$7:$Y$20,0),$AB$6)),"/"),"")</f>
        <v>/</v>
      </c>
      <c r="M293" s="88"/>
      <c r="N293" s="79" t="s">
        <v>194</v>
      </c>
      <c r="O293" s="81" t="s">
        <v>29</v>
      </c>
      <c r="P293" s="35">
        <f>IF(N287&lt;&gt;"",IF(INDEX(BDHK2,MATCH(N287,DiemHKII!$B$4:$B$58,0),INDEX($Y$7:$AB$20,MATCH(O293,$Y$7:$Y$20,0),$Z$6))&lt;&gt;"",INDEX(BDHK2,MATCH(N287,DiemHKII!$B$4:$B$58,0),INDEX($Y$7:$AB$20,MATCH(O293,$Y$7:$Y$20,0),$Z$6)),"/"),"")</f>
        <v>9.3000000000000007</v>
      </c>
      <c r="Q293" s="35" t="str">
        <f>IF(N287&lt;&gt;"",IF(INDEX(BDHK2,MATCH(N287,DiemHKII!$B$4:$B$58,0),INDEX($Y$7:$AB$20,MATCH(O293,$Y$7:$Y$20,0),$AA$6))&lt;&gt;"",INDEX(BDHK2,MATCH(N287,DiemHKII!$B$4:$B$58,0),INDEX($Y$7:$AB$20,MATCH(O293,$Y$7:$Y$20,0),$AA$6)),"/"),"")</f>
        <v>/</v>
      </c>
      <c r="R293" s="35" t="str">
        <f>IF(N287&lt;&gt;"",IF(INDEX(BDHK2,MATCH(N287,DiemHKII!$B$4:$B$58,0),INDEX($Y$7:$AB$20,MATCH(O293,$Y$7:$Y$20,0),$AB$6))&lt;&gt;"",INDEX(BDHK2,MATCH(N287,DiemHKII!$B$4:$B$58,0),INDEX($Y$7:$AB$20,MATCH(O293,$Y$7:$Y$20,0),$AB$6)),"/"),"")</f>
        <v>/</v>
      </c>
      <c r="S293" s="88"/>
    </row>
    <row r="294" spans="1:19" ht="15.6" customHeight="1">
      <c r="A294" s="88"/>
      <c r="B294" s="79" t="s">
        <v>195</v>
      </c>
      <c r="C294" s="81" t="s">
        <v>120</v>
      </c>
      <c r="D294" s="35">
        <f>IF(B287&lt;&gt;"",IF(INDEX(BDHK2,MATCH(B287,DiemHKII!$B$4:$B$58,0),INDEX($Y$7:$AB$20,MATCH(C294,$Y$7:$Y$20,0),$Z$6))&lt;&gt;"",INDEX(BDHK2,MATCH(B287,DiemHKII!$B$4:$B$58,0),INDEX($Y$7:$AB$20,MATCH(C294,$Y$7:$Y$20,0),$Z$6)),"/"),"")</f>
        <v>9.8000000000000007</v>
      </c>
      <c r="E294" s="35" t="str">
        <f>IF(B287&lt;&gt;"",IF(INDEX(BDHK2,MATCH(B287,DiemHKII!$B$4:$B$58,0),INDEX($Y$7:$AB$20,MATCH(C294,$Y$7:$Y$20,0),$AA$6))&lt;&gt;"",INDEX(BDHK2,MATCH(B287,DiemHKII!$B$4:$B$58,0),INDEX($Y$7:$AB$20,MATCH(C294,$Y$7:$Y$20,0),$AA$6)),"/"),"")</f>
        <v>/</v>
      </c>
      <c r="F294" s="35" t="str">
        <f>IF(B287&lt;&gt;"",IF(INDEX(BDHK2,MATCH(B287,DiemHKII!$B$4:$B$58,0),INDEX($Y$7:$AB$20,MATCH(C294,$Y$7:$Y$20,0),$AB$6))&lt;&gt;"",INDEX(BDHK2,MATCH(B287,DiemHKII!$B$4:$B$58,0),INDEX($Y$7:$AB$20,MATCH(C294,$Y$7:$Y$20,0),$AB$6)),"/"),"")</f>
        <v>/</v>
      </c>
      <c r="G294" s="88"/>
      <c r="H294" s="79" t="s">
        <v>195</v>
      </c>
      <c r="I294" s="81" t="s">
        <v>120</v>
      </c>
      <c r="J294" s="35">
        <f>IF(H287&lt;&gt;"",IF(INDEX(BDHK2,MATCH(H287,DiemHKII!$B$4:$B$58,0),INDEX($Y$7:$AB$20,MATCH(I294,$Y$7:$Y$20,0),$Z$6))&lt;&gt;"",INDEX(BDHK2,MATCH(H287,DiemHKII!$B$4:$B$58,0),INDEX($Y$7:$AB$20,MATCH(I294,$Y$7:$Y$20,0),$Z$6)),"/"),"")</f>
        <v>9.8000000000000007</v>
      </c>
      <c r="K294" s="35" t="str">
        <f>IF(H287&lt;&gt;"",IF(INDEX(BDHK2,MATCH(H287,DiemHKII!$B$4:$B$58,0),INDEX($Y$7:$AB$20,MATCH(I294,$Y$7:$Y$20,0),$AA$6))&lt;&gt;"",INDEX(BDHK2,MATCH(H287,DiemHKII!$B$4:$B$58,0),INDEX($Y$7:$AB$20,MATCH(I294,$Y$7:$Y$20,0),$AA$6)),"/"),"")</f>
        <v>/</v>
      </c>
      <c r="L294" s="35" t="str">
        <f>IF(H287&lt;&gt;"",IF(INDEX(BDHK2,MATCH(H287,DiemHKII!$B$4:$B$58,0),INDEX($Y$7:$AB$20,MATCH(I294,$Y$7:$Y$20,0),$AB$6))&lt;&gt;"",INDEX(BDHK2,MATCH(H287,DiemHKII!$B$4:$B$58,0),INDEX($Y$7:$AB$20,MATCH(I294,$Y$7:$Y$20,0),$AB$6)),"/"),"")</f>
        <v>/</v>
      </c>
      <c r="M294" s="88"/>
      <c r="N294" s="79" t="s">
        <v>195</v>
      </c>
      <c r="O294" s="81" t="s">
        <v>120</v>
      </c>
      <c r="P294" s="35">
        <f>IF(N287&lt;&gt;"",IF(INDEX(BDHK2,MATCH(N287,DiemHKII!$B$4:$B$58,0),INDEX($Y$7:$AB$20,MATCH(O294,$Y$7:$Y$20,0),$Z$6))&lt;&gt;"",INDEX(BDHK2,MATCH(N287,DiemHKII!$B$4:$B$58,0),INDEX($Y$7:$AB$20,MATCH(O294,$Y$7:$Y$20,0),$Z$6)),"/"),"")</f>
        <v>9.6</v>
      </c>
      <c r="Q294" s="35" t="str">
        <f>IF(N287&lt;&gt;"",IF(INDEX(BDHK2,MATCH(N287,DiemHKII!$B$4:$B$58,0),INDEX($Y$7:$AB$20,MATCH(O294,$Y$7:$Y$20,0),$AA$6))&lt;&gt;"",INDEX(BDHK2,MATCH(N287,DiemHKII!$B$4:$B$58,0),INDEX($Y$7:$AB$20,MATCH(O294,$Y$7:$Y$20,0),$AA$6)),"/"),"")</f>
        <v>/</v>
      </c>
      <c r="R294" s="35" t="str">
        <f>IF(N287&lt;&gt;"",IF(INDEX(BDHK2,MATCH(N287,DiemHKII!$B$4:$B$58,0),INDEX($Y$7:$AB$20,MATCH(O294,$Y$7:$Y$20,0),$AB$6))&lt;&gt;"",INDEX(BDHK2,MATCH(N287,DiemHKII!$B$4:$B$58,0),INDEX($Y$7:$AB$20,MATCH(O294,$Y$7:$Y$20,0),$AB$6)),"/"),"")</f>
        <v>/</v>
      </c>
      <c r="S294" s="88"/>
    </row>
    <row r="295" spans="1:19" ht="15.6" customHeight="1">
      <c r="A295" s="88"/>
      <c r="B295" s="79" t="s">
        <v>196</v>
      </c>
      <c r="C295" s="81" t="s">
        <v>30</v>
      </c>
      <c r="D295" s="35">
        <f>IF(B287&lt;&gt;"",IF(INDEX(BDHK2,MATCH(B287,DiemHKII!$B$4:$B$58,0),INDEX($Y$7:$AB$20,MATCH(C295,$Y$7:$Y$20,0),$Z$6))&lt;&gt;"",INDEX(BDHK2,MATCH(B287,DiemHKII!$B$4:$B$58,0),INDEX($Y$7:$AB$20,MATCH(C295,$Y$7:$Y$20,0),$Z$6)),"/"),"")</f>
        <v>7.3</v>
      </c>
      <c r="E295" s="35" t="str">
        <f>IF(B287&lt;&gt;"",IF(INDEX(BDHK2,MATCH(B287,DiemHKII!$B$4:$B$58,0),INDEX($Y$7:$AB$20,MATCH(C295,$Y$7:$Y$20,0),$AA$6))&lt;&gt;"",INDEX(BDHK2,MATCH(B287,DiemHKII!$B$4:$B$58,0),INDEX($Y$7:$AB$20,MATCH(C295,$Y$7:$Y$20,0),$AA$6)),"/"),"")</f>
        <v>/</v>
      </c>
      <c r="F295" s="35" t="str">
        <f>IF(B287&lt;&gt;"",IF(INDEX(BDHK2,MATCH(B287,DiemHKII!$B$4:$B$58,0),INDEX($Y$7:$AB$20,MATCH(C295,$Y$7:$Y$20,0),$AB$6))&lt;&gt;"",INDEX(BDHK2,MATCH(B287,DiemHKII!$B$4:$B$58,0),INDEX($Y$7:$AB$20,MATCH(C295,$Y$7:$Y$20,0),$AB$6)),"/"),"")</f>
        <v>/</v>
      </c>
      <c r="G295" s="88"/>
      <c r="H295" s="79" t="s">
        <v>196</v>
      </c>
      <c r="I295" s="81" t="s">
        <v>30</v>
      </c>
      <c r="J295" s="35">
        <f>IF(H287&lt;&gt;"",IF(INDEX(BDHK2,MATCH(H287,DiemHKII!$B$4:$B$58,0),INDEX($Y$7:$AB$20,MATCH(I295,$Y$7:$Y$20,0),$Z$6))&lt;&gt;"",INDEX(BDHK2,MATCH(H287,DiemHKII!$B$4:$B$58,0),INDEX($Y$7:$AB$20,MATCH(I295,$Y$7:$Y$20,0),$Z$6)),"/"),"")</f>
        <v>7.9</v>
      </c>
      <c r="K295" s="35" t="str">
        <f>IF(H287&lt;&gt;"",IF(INDEX(BDHK2,MATCH(H287,DiemHKII!$B$4:$B$58,0),INDEX($Y$7:$AB$20,MATCH(I295,$Y$7:$Y$20,0),$AA$6))&lt;&gt;"",INDEX(BDHK2,MATCH(H287,DiemHKII!$B$4:$B$58,0),INDEX($Y$7:$AB$20,MATCH(I295,$Y$7:$Y$20,0),$AA$6)),"/"),"")</f>
        <v>/</v>
      </c>
      <c r="L295" s="35" t="str">
        <f>IF(H287&lt;&gt;"",IF(INDEX(BDHK2,MATCH(H287,DiemHKII!$B$4:$B$58,0),INDEX($Y$7:$AB$20,MATCH(I295,$Y$7:$Y$20,0),$AB$6))&lt;&gt;"",INDEX(BDHK2,MATCH(H287,DiemHKII!$B$4:$B$58,0),INDEX($Y$7:$AB$20,MATCH(I295,$Y$7:$Y$20,0),$AB$6)),"/"),"")</f>
        <v>/</v>
      </c>
      <c r="M295" s="88"/>
      <c r="N295" s="79" t="s">
        <v>196</v>
      </c>
      <c r="O295" s="81" t="s">
        <v>30</v>
      </c>
      <c r="P295" s="35">
        <f>IF(N287&lt;&gt;"",IF(INDEX(BDHK2,MATCH(N287,DiemHKII!$B$4:$B$58,0),INDEX($Y$7:$AB$20,MATCH(O295,$Y$7:$Y$20,0),$Z$6))&lt;&gt;"",INDEX(BDHK2,MATCH(N287,DiemHKII!$B$4:$B$58,0),INDEX($Y$7:$AB$20,MATCH(O295,$Y$7:$Y$20,0),$Z$6)),"/"),"")</f>
        <v>7.3</v>
      </c>
      <c r="Q295" s="35" t="str">
        <f>IF(N287&lt;&gt;"",IF(INDEX(BDHK2,MATCH(N287,DiemHKII!$B$4:$B$58,0),INDEX($Y$7:$AB$20,MATCH(O295,$Y$7:$Y$20,0),$AA$6))&lt;&gt;"",INDEX(BDHK2,MATCH(N287,DiemHKII!$B$4:$B$58,0),INDEX($Y$7:$AB$20,MATCH(O295,$Y$7:$Y$20,0),$AA$6)),"/"),"")</f>
        <v>/</v>
      </c>
      <c r="R295" s="35" t="str">
        <f>IF(N287&lt;&gt;"",IF(INDEX(BDHK2,MATCH(N287,DiemHKII!$B$4:$B$58,0),INDEX($Y$7:$AB$20,MATCH(O295,$Y$7:$Y$20,0),$AB$6))&lt;&gt;"",INDEX(BDHK2,MATCH(N287,DiemHKII!$B$4:$B$58,0),INDEX($Y$7:$AB$20,MATCH(O295,$Y$7:$Y$20,0),$AB$6)),"/"),"")</f>
        <v>/</v>
      </c>
      <c r="S295" s="88"/>
    </row>
    <row r="296" spans="1:19" ht="15.6" customHeight="1">
      <c r="A296" s="88"/>
      <c r="B296" s="79" t="s">
        <v>197</v>
      </c>
      <c r="C296" s="81" t="s">
        <v>31</v>
      </c>
      <c r="D296" s="35">
        <f>IF(B287&lt;&gt;"",IF(INDEX(BDHK2,MATCH(B287,DiemHKII!$B$4:$B$58,0),INDEX($Y$7:$AB$20,MATCH(C296,$Y$7:$Y$20,0),$Z$6))&lt;&gt;"",INDEX(BDHK2,MATCH(B287,DiemHKII!$B$4:$B$58,0),INDEX($Y$7:$AB$20,MATCH(C296,$Y$7:$Y$20,0),$Z$6)),"/"),"")</f>
        <v>9.6</v>
      </c>
      <c r="E296" s="35" t="str">
        <f>IF(B287&lt;&gt;"",IF(INDEX(BDHK2,MATCH(B287,DiemHKII!$B$4:$B$58,0),INDEX($Y$7:$AB$20,MATCH(C296,$Y$7:$Y$20,0),$AA$6))&lt;&gt;"",INDEX(BDHK2,MATCH(B287,DiemHKII!$B$4:$B$58,0),INDEX($Y$7:$AB$20,MATCH(C296,$Y$7:$Y$20,0),$AA$6)),"/"),"")</f>
        <v>/</v>
      </c>
      <c r="F296" s="35" t="str">
        <f>IF(B287&lt;&gt;"",IF(INDEX(BDHK2,MATCH(B287,DiemHKII!$B$4:$B$58,0),INDEX($Y$7:$AB$20,MATCH(C296,$Y$7:$Y$20,0),$AB$6))&lt;&gt;"",INDEX(BDHK2,MATCH(B287,DiemHKII!$B$4:$B$58,0),INDEX($Y$7:$AB$20,MATCH(C296,$Y$7:$Y$20,0),$AB$6)),"/"),"")</f>
        <v>/</v>
      </c>
      <c r="G296" s="88"/>
      <c r="H296" s="79" t="s">
        <v>197</v>
      </c>
      <c r="I296" s="81" t="s">
        <v>31</v>
      </c>
      <c r="J296" s="35">
        <f>IF(H287&lt;&gt;"",IF(INDEX(BDHK2,MATCH(H287,DiemHKII!$B$4:$B$58,0),INDEX($Y$7:$AB$20,MATCH(I296,$Y$7:$Y$20,0),$Z$6))&lt;&gt;"",INDEX(BDHK2,MATCH(H287,DiemHKII!$B$4:$B$58,0),INDEX($Y$7:$AB$20,MATCH(I296,$Y$7:$Y$20,0),$Z$6)),"/"),"")</f>
        <v>9.6</v>
      </c>
      <c r="K296" s="35" t="str">
        <f>IF(H287&lt;&gt;"",IF(INDEX(BDHK2,MATCH(H287,DiemHKII!$B$4:$B$58,0),INDEX($Y$7:$AB$20,MATCH(I296,$Y$7:$Y$20,0),$AA$6))&lt;&gt;"",INDEX(BDHK2,MATCH(H287,DiemHKII!$B$4:$B$58,0),INDEX($Y$7:$AB$20,MATCH(I296,$Y$7:$Y$20,0),$AA$6)),"/"),"")</f>
        <v>/</v>
      </c>
      <c r="L296" s="35" t="str">
        <f>IF(H287&lt;&gt;"",IF(INDEX(BDHK2,MATCH(H287,DiemHKII!$B$4:$B$58,0),INDEX($Y$7:$AB$20,MATCH(I296,$Y$7:$Y$20,0),$AB$6))&lt;&gt;"",INDEX(BDHK2,MATCH(H287,DiemHKII!$B$4:$B$58,0),INDEX($Y$7:$AB$20,MATCH(I296,$Y$7:$Y$20,0),$AB$6)),"/"),"")</f>
        <v>/</v>
      </c>
      <c r="M296" s="88"/>
      <c r="N296" s="79" t="s">
        <v>197</v>
      </c>
      <c r="O296" s="81" t="s">
        <v>31</v>
      </c>
      <c r="P296" s="35">
        <f>IF(N287&lt;&gt;"",IF(INDEX(BDHK2,MATCH(N287,DiemHKII!$B$4:$B$58,0),INDEX($Y$7:$AB$20,MATCH(O296,$Y$7:$Y$20,0),$Z$6))&lt;&gt;"",INDEX(BDHK2,MATCH(N287,DiemHKII!$B$4:$B$58,0),INDEX($Y$7:$AB$20,MATCH(O296,$Y$7:$Y$20,0),$Z$6)),"/"),"")</f>
        <v>9.1</v>
      </c>
      <c r="Q296" s="35" t="str">
        <f>IF(N287&lt;&gt;"",IF(INDEX(BDHK2,MATCH(N287,DiemHKII!$B$4:$B$58,0),INDEX($Y$7:$AB$20,MATCH(O296,$Y$7:$Y$20,0),$AA$6))&lt;&gt;"",INDEX(BDHK2,MATCH(N287,DiemHKII!$B$4:$B$58,0),INDEX($Y$7:$AB$20,MATCH(O296,$Y$7:$Y$20,0),$AA$6)),"/"),"")</f>
        <v>/</v>
      </c>
      <c r="R296" s="35" t="str">
        <f>IF(N287&lt;&gt;"",IF(INDEX(BDHK2,MATCH(N287,DiemHKII!$B$4:$B$58,0),INDEX($Y$7:$AB$20,MATCH(O296,$Y$7:$Y$20,0),$AB$6))&lt;&gt;"",INDEX(BDHK2,MATCH(N287,DiemHKII!$B$4:$B$58,0),INDEX($Y$7:$AB$20,MATCH(O296,$Y$7:$Y$20,0),$AB$6)),"/"),"")</f>
        <v>/</v>
      </c>
      <c r="S296" s="88"/>
    </row>
    <row r="297" spans="1:19" ht="15.6" customHeight="1">
      <c r="A297" s="88"/>
      <c r="B297" s="79" t="s">
        <v>198</v>
      </c>
      <c r="C297" s="81" t="s">
        <v>32</v>
      </c>
      <c r="D297" s="35">
        <f>IF(B287&lt;&gt;"",IF(INDEX(BDHK2,MATCH(B287,DiemHKII!$B$4:$B$58,0),INDEX($Y$7:$AB$20,MATCH(C297,$Y$7:$Y$20,0),$Z$6))&lt;&gt;"",INDEX(BDHK2,MATCH(B287,DiemHKII!$B$4:$B$58,0),INDEX($Y$7:$AB$20,MATCH(C297,$Y$7:$Y$20,0),$Z$6)),"/"),"")</f>
        <v>9.8000000000000007</v>
      </c>
      <c r="E297" s="35" t="str">
        <f>IF(B287&lt;&gt;"",IF(INDEX(BDHK2,MATCH(B287,DiemHKII!$B$4:$B$58,0),INDEX($Y$7:$AB$20,MATCH(C297,$Y$7:$Y$20,0),$AA$6))&lt;&gt;"",INDEX(BDHK2,MATCH(B287,DiemHKII!$B$4:$B$58,0),INDEX($Y$7:$AB$20,MATCH(C297,$Y$7:$Y$20,0),$AA$6)),"/"),"")</f>
        <v>/</v>
      </c>
      <c r="F297" s="35" t="str">
        <f>IF(B287&lt;&gt;"",IF(INDEX(BDHK2,MATCH(B287,DiemHKII!$B$4:$B$58,0),INDEX($Y$7:$AB$20,MATCH(C297,$Y$7:$Y$20,0),$AB$6))&lt;&gt;"",INDEX(BDHK2,MATCH(B287,DiemHKII!$B$4:$B$58,0),INDEX($Y$7:$AB$20,MATCH(C297,$Y$7:$Y$20,0),$AB$6)),"/"),"")</f>
        <v>/</v>
      </c>
      <c r="G297" s="88"/>
      <c r="H297" s="79" t="s">
        <v>198</v>
      </c>
      <c r="I297" s="81" t="s">
        <v>32</v>
      </c>
      <c r="J297" s="35">
        <f>IF(H287&lt;&gt;"",IF(INDEX(BDHK2,MATCH(H287,DiemHKII!$B$4:$B$58,0),INDEX($Y$7:$AB$20,MATCH(I297,$Y$7:$Y$20,0),$Z$6))&lt;&gt;"",INDEX(BDHK2,MATCH(H287,DiemHKII!$B$4:$B$58,0),INDEX($Y$7:$AB$20,MATCH(I297,$Y$7:$Y$20,0),$Z$6)),"/"),"")</f>
        <v>9.8000000000000007</v>
      </c>
      <c r="K297" s="35" t="str">
        <f>IF(H287&lt;&gt;"",IF(INDEX(BDHK2,MATCH(H287,DiemHKII!$B$4:$B$58,0),INDEX($Y$7:$AB$20,MATCH(I297,$Y$7:$Y$20,0),$AA$6))&lt;&gt;"",INDEX(BDHK2,MATCH(H287,DiemHKII!$B$4:$B$58,0),INDEX($Y$7:$AB$20,MATCH(I297,$Y$7:$Y$20,0),$AA$6)),"/"),"")</f>
        <v>/</v>
      </c>
      <c r="L297" s="35" t="str">
        <f>IF(H287&lt;&gt;"",IF(INDEX(BDHK2,MATCH(H287,DiemHKII!$B$4:$B$58,0),INDEX($Y$7:$AB$20,MATCH(I297,$Y$7:$Y$20,0),$AB$6))&lt;&gt;"",INDEX(BDHK2,MATCH(H287,DiemHKII!$B$4:$B$58,0),INDEX($Y$7:$AB$20,MATCH(I297,$Y$7:$Y$20,0),$AB$6)),"/"),"")</f>
        <v>/</v>
      </c>
      <c r="M297" s="88"/>
      <c r="N297" s="79" t="s">
        <v>198</v>
      </c>
      <c r="O297" s="81" t="s">
        <v>32</v>
      </c>
      <c r="P297" s="35">
        <f>IF(N287&lt;&gt;"",IF(INDEX(BDHK2,MATCH(N287,DiemHKII!$B$4:$B$58,0),INDEX($Y$7:$AB$20,MATCH(O297,$Y$7:$Y$20,0),$Z$6))&lt;&gt;"",INDEX(BDHK2,MATCH(N287,DiemHKII!$B$4:$B$58,0),INDEX($Y$7:$AB$20,MATCH(O297,$Y$7:$Y$20,0),$Z$6)),"/"),"")</f>
        <v>9.1</v>
      </c>
      <c r="Q297" s="35" t="str">
        <f>IF(N287&lt;&gt;"",IF(INDEX(BDHK2,MATCH(N287,DiemHKII!$B$4:$B$58,0),INDEX($Y$7:$AB$20,MATCH(O297,$Y$7:$Y$20,0),$AA$6))&lt;&gt;"",INDEX(BDHK2,MATCH(N287,DiemHKII!$B$4:$B$58,0),INDEX($Y$7:$AB$20,MATCH(O297,$Y$7:$Y$20,0),$AA$6)),"/"),"")</f>
        <v>/</v>
      </c>
      <c r="R297" s="35" t="str">
        <f>IF(N287&lt;&gt;"",IF(INDEX(BDHK2,MATCH(N287,DiemHKII!$B$4:$B$58,0),INDEX($Y$7:$AB$20,MATCH(O297,$Y$7:$Y$20,0),$AB$6))&lt;&gt;"",INDEX(BDHK2,MATCH(N287,DiemHKII!$B$4:$B$58,0),INDEX($Y$7:$AB$20,MATCH(O297,$Y$7:$Y$20,0),$AB$6)),"/"),"")</f>
        <v>/</v>
      </c>
      <c r="S297" s="88"/>
    </row>
    <row r="298" spans="1:19" ht="15.6" customHeight="1">
      <c r="A298" s="88"/>
      <c r="B298" s="79" t="s">
        <v>199</v>
      </c>
      <c r="C298" s="81" t="s">
        <v>33</v>
      </c>
      <c r="D298" s="35">
        <f>IF(B287&lt;&gt;"",IF(INDEX(BDHK2,MATCH(B287,DiemHKII!$B$4:$B$58,0),INDEX($Y$7:$AB$20,MATCH(C298,$Y$7:$Y$20,0),$Z$6))&lt;&gt;"",INDEX(BDHK2,MATCH(B287,DiemHKII!$B$4:$B$58,0),INDEX($Y$7:$AB$20,MATCH(C298,$Y$7:$Y$20,0),$Z$6)),"/"),"")</f>
        <v>9.1</v>
      </c>
      <c r="E298" s="35" t="str">
        <f>IF(B287&lt;&gt;"",IF(INDEX(BDHK2,MATCH(B287,DiemHKII!$B$4:$B$58,0),INDEX($Y$7:$AB$20,MATCH(C298,$Y$7:$Y$20,0),$AA$6))&lt;&gt;"",INDEX(BDHK2,MATCH(B287,DiemHKII!$B$4:$B$58,0),INDEX($Y$7:$AB$20,MATCH(C298,$Y$7:$Y$20,0),$AA$6)),"/"),"")</f>
        <v>/</v>
      </c>
      <c r="F298" s="35" t="str">
        <f>IF(B287&lt;&gt;"",IF(INDEX(BDHK2,MATCH(B287,DiemHKII!$B$4:$B$58,0),INDEX($Y$7:$AB$20,MATCH(C298,$Y$7:$Y$20,0),$AB$6))&lt;&gt;"",INDEX(BDHK2,MATCH(B287,DiemHKII!$B$4:$B$58,0),INDEX($Y$7:$AB$20,MATCH(C298,$Y$7:$Y$20,0),$AB$6)),"/"),"")</f>
        <v>/</v>
      </c>
      <c r="G298" s="88"/>
      <c r="H298" s="79" t="s">
        <v>199</v>
      </c>
      <c r="I298" s="81" t="s">
        <v>33</v>
      </c>
      <c r="J298" s="35">
        <f>IF(H287&lt;&gt;"",IF(INDEX(BDHK2,MATCH(H287,DiemHKII!$B$4:$B$58,0),INDEX($Y$7:$AB$20,MATCH(I298,$Y$7:$Y$20,0),$Z$6))&lt;&gt;"",INDEX(BDHK2,MATCH(H287,DiemHKII!$B$4:$B$58,0),INDEX($Y$7:$AB$20,MATCH(I298,$Y$7:$Y$20,0),$Z$6)),"/"),"")</f>
        <v>9</v>
      </c>
      <c r="K298" s="35" t="str">
        <f>IF(H287&lt;&gt;"",IF(INDEX(BDHK2,MATCH(H287,DiemHKII!$B$4:$B$58,0),INDEX($Y$7:$AB$20,MATCH(I298,$Y$7:$Y$20,0),$AA$6))&lt;&gt;"",INDEX(BDHK2,MATCH(H287,DiemHKII!$B$4:$B$58,0),INDEX($Y$7:$AB$20,MATCH(I298,$Y$7:$Y$20,0),$AA$6)),"/"),"")</f>
        <v>/</v>
      </c>
      <c r="L298" s="35" t="str">
        <f>IF(H287&lt;&gt;"",IF(INDEX(BDHK2,MATCH(H287,DiemHKII!$B$4:$B$58,0),INDEX($Y$7:$AB$20,MATCH(I298,$Y$7:$Y$20,0),$AB$6))&lt;&gt;"",INDEX(BDHK2,MATCH(H287,DiemHKII!$B$4:$B$58,0),INDEX($Y$7:$AB$20,MATCH(I298,$Y$7:$Y$20,0),$AB$6)),"/"),"")</f>
        <v>/</v>
      </c>
      <c r="M298" s="88"/>
      <c r="N298" s="79" t="s">
        <v>199</v>
      </c>
      <c r="O298" s="81" t="s">
        <v>33</v>
      </c>
      <c r="P298" s="35">
        <f>IF(N287&lt;&gt;"",IF(INDEX(BDHK2,MATCH(N287,DiemHKII!$B$4:$B$58,0),INDEX($Y$7:$AB$20,MATCH(O298,$Y$7:$Y$20,0),$Z$6))&lt;&gt;"",INDEX(BDHK2,MATCH(N287,DiemHKII!$B$4:$B$58,0),INDEX($Y$7:$AB$20,MATCH(O298,$Y$7:$Y$20,0),$Z$6)),"/"),"")</f>
        <v>8.9</v>
      </c>
      <c r="Q298" s="35" t="str">
        <f>IF(N287&lt;&gt;"",IF(INDEX(BDHK2,MATCH(N287,DiemHKII!$B$4:$B$58,0),INDEX($Y$7:$AB$20,MATCH(O298,$Y$7:$Y$20,0),$AA$6))&lt;&gt;"",INDEX(BDHK2,MATCH(N287,DiemHKII!$B$4:$B$58,0),INDEX($Y$7:$AB$20,MATCH(O298,$Y$7:$Y$20,0),$AA$6)),"/"),"")</f>
        <v>/</v>
      </c>
      <c r="R298" s="35" t="str">
        <f>IF(N287&lt;&gt;"",IF(INDEX(BDHK2,MATCH(N287,DiemHKII!$B$4:$B$58,0),INDEX($Y$7:$AB$20,MATCH(O298,$Y$7:$Y$20,0),$AB$6))&lt;&gt;"",INDEX(BDHK2,MATCH(N287,DiemHKII!$B$4:$B$58,0),INDEX($Y$7:$AB$20,MATCH(O298,$Y$7:$Y$20,0),$AB$6)),"/"),"")</f>
        <v>/</v>
      </c>
      <c r="S298" s="88"/>
    </row>
    <row r="299" spans="1:19" ht="15.6" customHeight="1">
      <c r="A299" s="88"/>
      <c r="B299" s="79" t="s">
        <v>200</v>
      </c>
      <c r="C299" s="81" t="s">
        <v>60</v>
      </c>
      <c r="D299" s="35">
        <f>IF(B287&lt;&gt;"",IF(INDEX(BDHK2,MATCH(B287,DiemHKII!$B$4:$B$58,0),INDEX($Y$7:$AB$20,MATCH(C299,$Y$7:$Y$20,0),$Z$6))&lt;&gt;"",INDEX(BDHK2,MATCH(B287,DiemHKII!$B$4:$B$58,0),INDEX($Y$7:$AB$20,MATCH(C299,$Y$7:$Y$20,0),$Z$6)),"/"),"")</f>
        <v>8.8000000000000007</v>
      </c>
      <c r="E299" s="35" t="str">
        <f>IF(B287&lt;&gt;"",IF(INDEX(BDHK2,MATCH(B287,DiemHKII!$B$4:$B$58,0),INDEX($Y$7:$AB$20,MATCH(C299,$Y$7:$Y$20,0),$AA$6))&lt;&gt;"",INDEX(BDHK2,MATCH(B287,DiemHKII!$B$4:$B$58,0),INDEX($Y$7:$AB$20,MATCH(C299,$Y$7:$Y$20,0),$AA$6)),"/"),"")</f>
        <v>/</v>
      </c>
      <c r="F299" s="35" t="str">
        <f>IF(B287&lt;&gt;"",IF(INDEX(BDHK2,MATCH(B287,DiemHKII!$B$4:$B$58,0),INDEX($Y$7:$AB$20,MATCH(C299,$Y$7:$Y$20,0),$AB$6))&lt;&gt;"",INDEX(BDHK2,MATCH(B287,DiemHKII!$B$4:$B$58,0),INDEX($Y$7:$AB$20,MATCH(C299,$Y$7:$Y$20,0),$AB$6)),"/"),"")</f>
        <v>/</v>
      </c>
      <c r="G299" s="88"/>
      <c r="H299" s="79" t="s">
        <v>200</v>
      </c>
      <c r="I299" s="81" t="s">
        <v>60</v>
      </c>
      <c r="J299" s="35">
        <f>IF(H287&lt;&gt;"",IF(INDEX(BDHK2,MATCH(H287,DiemHKII!$B$4:$B$58,0),INDEX($Y$7:$AB$20,MATCH(I299,$Y$7:$Y$20,0),$Z$6))&lt;&gt;"",INDEX(BDHK2,MATCH(H287,DiemHKII!$B$4:$B$58,0),INDEX($Y$7:$AB$20,MATCH(I299,$Y$7:$Y$20,0),$Z$6)),"/"),"")</f>
        <v>9.8000000000000007</v>
      </c>
      <c r="K299" s="35" t="str">
        <f>IF(H287&lt;&gt;"",IF(INDEX(BDHK2,MATCH(H287,DiemHKII!$B$4:$B$58,0),INDEX($Y$7:$AB$20,MATCH(I299,$Y$7:$Y$20,0),$AA$6))&lt;&gt;"",INDEX(BDHK2,MATCH(H287,DiemHKII!$B$4:$B$58,0),INDEX($Y$7:$AB$20,MATCH(I299,$Y$7:$Y$20,0),$AA$6)),"/"),"")</f>
        <v>/</v>
      </c>
      <c r="L299" s="35" t="str">
        <f>IF(H287&lt;&gt;"",IF(INDEX(BDHK2,MATCH(H287,DiemHKII!$B$4:$B$58,0),INDEX($Y$7:$AB$20,MATCH(I299,$Y$7:$Y$20,0),$AB$6))&lt;&gt;"",INDEX(BDHK2,MATCH(H287,DiemHKII!$B$4:$B$58,0),INDEX($Y$7:$AB$20,MATCH(I299,$Y$7:$Y$20,0),$AB$6)),"/"),"")</f>
        <v>/</v>
      </c>
      <c r="M299" s="88"/>
      <c r="N299" s="79" t="s">
        <v>200</v>
      </c>
      <c r="O299" s="81" t="s">
        <v>60</v>
      </c>
      <c r="P299" s="35">
        <f>IF(N287&lt;&gt;"",IF(INDEX(BDHK2,MATCH(N287,DiemHKII!$B$4:$B$58,0),INDEX($Y$7:$AB$20,MATCH(O299,$Y$7:$Y$20,0),$Z$6))&lt;&gt;"",INDEX(BDHK2,MATCH(N287,DiemHKII!$B$4:$B$58,0),INDEX($Y$7:$AB$20,MATCH(O299,$Y$7:$Y$20,0),$Z$6)),"/"),"")</f>
        <v>9.1</v>
      </c>
      <c r="Q299" s="35" t="str">
        <f>IF(N287&lt;&gt;"",IF(INDEX(BDHK2,MATCH(N287,DiemHKII!$B$4:$B$58,0),INDEX($Y$7:$AB$20,MATCH(O299,$Y$7:$Y$20,0),$AA$6))&lt;&gt;"",INDEX(BDHK2,MATCH(N287,DiemHKII!$B$4:$B$58,0),INDEX($Y$7:$AB$20,MATCH(O299,$Y$7:$Y$20,0),$AA$6)),"/"),"")</f>
        <v>/</v>
      </c>
      <c r="R299" s="35" t="str">
        <f>IF(N287&lt;&gt;"",IF(INDEX(BDHK2,MATCH(N287,DiemHKII!$B$4:$B$58,0),INDEX($Y$7:$AB$20,MATCH(O299,$Y$7:$Y$20,0),$AB$6))&lt;&gt;"",INDEX(BDHK2,MATCH(N287,DiemHKII!$B$4:$B$58,0),INDEX($Y$7:$AB$20,MATCH(O299,$Y$7:$Y$20,0),$AB$6)),"/"),"")</f>
        <v>/</v>
      </c>
      <c r="S299" s="88"/>
    </row>
    <row r="300" spans="1:19" ht="15.6" customHeight="1">
      <c r="A300" s="88"/>
      <c r="B300" s="79" t="s">
        <v>201</v>
      </c>
      <c r="C300" s="81" t="s">
        <v>34</v>
      </c>
      <c r="D300" s="35">
        <f>IF(B287&lt;&gt;"",IF(INDEX(BDHK2,MATCH(B287,DiemHKII!$B$4:$B$58,0),INDEX($Y$7:$AB$20,MATCH(C300,$Y$7:$Y$20,0),$Z$6))&lt;&gt;"",INDEX(BDHK2,MATCH(B287,DiemHKII!$B$4:$B$58,0),INDEX($Y$7:$AB$20,MATCH(C300,$Y$7:$Y$20,0),$Z$6)),"/"),"")</f>
        <v>9.9</v>
      </c>
      <c r="E300" s="35" t="str">
        <f>IF(B287&lt;&gt;"",IF(INDEX(BDHK2,MATCH(B287,DiemHKII!$B$4:$B$58,0),INDEX($Y$7:$AB$20,MATCH(C300,$Y$7:$Y$20,0),$AA$6))&lt;&gt;"",INDEX(BDHK2,MATCH(B287,DiemHKII!$B$4:$B$58,0),INDEX($Y$7:$AB$20,MATCH(C300,$Y$7:$Y$20,0),$AA$6)),"/"),"")</f>
        <v>/</v>
      </c>
      <c r="F300" s="35" t="str">
        <f>IF(B287&lt;&gt;"",IF(INDEX(BDHK2,MATCH(B287,DiemHKII!$B$4:$B$58,0),INDEX($Y$7:$AB$20,MATCH(C300,$Y$7:$Y$20,0),$AB$6))&lt;&gt;"",INDEX(BDHK2,MATCH(B287,DiemHKII!$B$4:$B$58,0),INDEX($Y$7:$AB$20,MATCH(C300,$Y$7:$Y$20,0),$AB$6)),"/"),"")</f>
        <v>/</v>
      </c>
      <c r="G300" s="88"/>
      <c r="H300" s="79" t="s">
        <v>201</v>
      </c>
      <c r="I300" s="81" t="s">
        <v>34</v>
      </c>
      <c r="J300" s="35">
        <f>IF(H287&lt;&gt;"",IF(INDEX(BDHK2,MATCH(H287,DiemHKII!$B$4:$B$58,0),INDEX($Y$7:$AB$20,MATCH(I300,$Y$7:$Y$20,0),$Z$6))&lt;&gt;"",INDEX(BDHK2,MATCH(H287,DiemHKII!$B$4:$B$58,0),INDEX($Y$7:$AB$20,MATCH(I300,$Y$7:$Y$20,0),$Z$6)),"/"),"")</f>
        <v>9.4</v>
      </c>
      <c r="K300" s="35" t="str">
        <f>IF(H287&lt;&gt;"",IF(INDEX(BDHK2,MATCH(H287,DiemHKII!$B$4:$B$58,0),INDEX($Y$7:$AB$20,MATCH(I300,$Y$7:$Y$20,0),$AA$6))&lt;&gt;"",INDEX(BDHK2,MATCH(H287,DiemHKII!$B$4:$B$58,0),INDEX($Y$7:$AB$20,MATCH(I300,$Y$7:$Y$20,0),$AA$6)),"/"),"")</f>
        <v>/</v>
      </c>
      <c r="L300" s="35" t="str">
        <f>IF(H287&lt;&gt;"",IF(INDEX(BDHK2,MATCH(H287,DiemHKII!$B$4:$B$58,0),INDEX($Y$7:$AB$20,MATCH(I300,$Y$7:$Y$20,0),$AB$6))&lt;&gt;"",INDEX(BDHK2,MATCH(H287,DiemHKII!$B$4:$B$58,0),INDEX($Y$7:$AB$20,MATCH(I300,$Y$7:$Y$20,0),$AB$6)),"/"),"")</f>
        <v>/</v>
      </c>
      <c r="M300" s="88"/>
      <c r="N300" s="79" t="s">
        <v>201</v>
      </c>
      <c r="O300" s="81" t="s">
        <v>34</v>
      </c>
      <c r="P300" s="35">
        <f>IF(N287&lt;&gt;"",IF(INDEX(BDHK2,MATCH(N287,DiemHKII!$B$4:$B$58,0),INDEX($Y$7:$AB$20,MATCH(O300,$Y$7:$Y$20,0),$Z$6))&lt;&gt;"",INDEX(BDHK2,MATCH(N287,DiemHKII!$B$4:$B$58,0),INDEX($Y$7:$AB$20,MATCH(O300,$Y$7:$Y$20,0),$Z$6)),"/"),"")</f>
        <v>9.8000000000000007</v>
      </c>
      <c r="Q300" s="35" t="str">
        <f>IF(N287&lt;&gt;"",IF(INDEX(BDHK2,MATCH(N287,DiemHKII!$B$4:$B$58,0),INDEX($Y$7:$AB$20,MATCH(O300,$Y$7:$Y$20,0),$AA$6))&lt;&gt;"",INDEX(BDHK2,MATCH(N287,DiemHKII!$B$4:$B$58,0),INDEX($Y$7:$AB$20,MATCH(O300,$Y$7:$Y$20,0),$AA$6)),"/"),"")</f>
        <v>/</v>
      </c>
      <c r="R300" s="35" t="str">
        <f>IF(N287&lt;&gt;"",IF(INDEX(BDHK2,MATCH(N287,DiemHKII!$B$4:$B$58,0),INDEX($Y$7:$AB$20,MATCH(O300,$Y$7:$Y$20,0),$AB$6))&lt;&gt;"",INDEX(BDHK2,MATCH(N287,DiemHKII!$B$4:$B$58,0),INDEX($Y$7:$AB$20,MATCH(O300,$Y$7:$Y$20,0),$AB$6)),"/"),"")</f>
        <v>/</v>
      </c>
      <c r="S300" s="88"/>
    </row>
    <row r="301" spans="1:19" ht="15.6" customHeight="1">
      <c r="A301" s="88"/>
      <c r="B301" s="79" t="s">
        <v>202</v>
      </c>
      <c r="C301" s="81" t="s">
        <v>35</v>
      </c>
      <c r="D301" s="35" t="str">
        <f>IF(B287&lt;&gt;"",IF(INDEX(BDHK2,MATCH(B287,DiemHKII!$B$4:$B$58,0),INDEX($Y$7:$AB$20,MATCH(C301,$Y$7:$Y$20,0),$Z$6))&lt;&gt;"",INDEX(BDHK2,MATCH(B287,DiemHKII!$B$4:$B$58,0),INDEX($Y$7:$AB$20,MATCH(C301,$Y$7:$Y$20,0),$Z$6)),"/"),"")</f>
        <v>Đ</v>
      </c>
      <c r="E301" s="35" t="str">
        <f>IF(B287&lt;&gt;"",IF(INDEX(BDHK2,MATCH(B287,DiemHKII!$B$4:$B$58,0),INDEX($Y$7:$AB$20,MATCH(C301,$Y$7:$Y$20,0),$AA$6))&lt;&gt;"",INDEX(BDHK2,MATCH(B287,DiemHKII!$B$4:$B$58,0),INDEX($Y$7:$AB$20,MATCH(C301,$Y$7:$Y$20,0),$AA$6)),"/"),"")</f>
        <v>/</v>
      </c>
      <c r="F301" s="35" t="str">
        <f>IF(B287&lt;&gt;"",IF(INDEX(BDHK2,MATCH(B287,DiemHKII!$B$4:$B$58,0),INDEX($Y$7:$AB$20,MATCH(C301,$Y$7:$Y$20,0),$AB$6))&lt;&gt;"",INDEX(BDHK2,MATCH(B287,DiemHKII!$B$4:$B$58,0),INDEX($Y$7:$AB$20,MATCH(C301,$Y$7:$Y$20,0),$AB$6)),"/"),"")</f>
        <v>Đ</v>
      </c>
      <c r="G301" s="88"/>
      <c r="H301" s="79" t="s">
        <v>202</v>
      </c>
      <c r="I301" s="81" t="s">
        <v>35</v>
      </c>
      <c r="J301" s="35" t="str">
        <f>IF(H287&lt;&gt;"",IF(INDEX(BDHK2,MATCH(H287,DiemHKII!$B$4:$B$58,0),INDEX($Y$7:$AB$20,MATCH(I301,$Y$7:$Y$20,0),$Z$6))&lt;&gt;"",INDEX(BDHK2,MATCH(H287,DiemHKII!$B$4:$B$58,0),INDEX($Y$7:$AB$20,MATCH(I301,$Y$7:$Y$20,0),$Z$6)),"/"),"")</f>
        <v>Đ</v>
      </c>
      <c r="K301" s="35" t="str">
        <f>IF(H287&lt;&gt;"",IF(INDEX(BDHK2,MATCH(H287,DiemHKII!$B$4:$B$58,0),INDEX($Y$7:$AB$20,MATCH(I301,$Y$7:$Y$20,0),$AA$6))&lt;&gt;"",INDEX(BDHK2,MATCH(H287,DiemHKII!$B$4:$B$58,0),INDEX($Y$7:$AB$20,MATCH(I301,$Y$7:$Y$20,0),$AA$6)),"/"),"")</f>
        <v>/</v>
      </c>
      <c r="L301" s="35" t="str">
        <f>IF(H287&lt;&gt;"",IF(INDEX(BDHK2,MATCH(H287,DiemHKII!$B$4:$B$58,0),INDEX($Y$7:$AB$20,MATCH(I301,$Y$7:$Y$20,0),$AB$6))&lt;&gt;"",INDEX(BDHK2,MATCH(H287,DiemHKII!$B$4:$B$58,0),INDEX($Y$7:$AB$20,MATCH(I301,$Y$7:$Y$20,0),$AB$6)),"/"),"")</f>
        <v>Đ</v>
      </c>
      <c r="M301" s="88"/>
      <c r="N301" s="79" t="s">
        <v>202</v>
      </c>
      <c r="O301" s="81" t="s">
        <v>35</v>
      </c>
      <c r="P301" s="35" t="str">
        <f>IF(N287&lt;&gt;"",IF(INDEX(BDHK2,MATCH(N287,DiemHKII!$B$4:$B$58,0),INDEX($Y$7:$AB$20,MATCH(O301,$Y$7:$Y$20,0),$Z$6))&lt;&gt;"",INDEX(BDHK2,MATCH(N287,DiemHKII!$B$4:$B$58,0),INDEX($Y$7:$AB$20,MATCH(O301,$Y$7:$Y$20,0),$Z$6)),"/"),"")</f>
        <v>Đ</v>
      </c>
      <c r="Q301" s="35" t="str">
        <f>IF(N287&lt;&gt;"",IF(INDEX(BDHK2,MATCH(N287,DiemHKII!$B$4:$B$58,0),INDEX($Y$7:$AB$20,MATCH(O301,$Y$7:$Y$20,0),$AA$6))&lt;&gt;"",INDEX(BDHK2,MATCH(N287,DiemHKII!$B$4:$B$58,0),INDEX($Y$7:$AB$20,MATCH(O301,$Y$7:$Y$20,0),$AA$6)),"/"),"")</f>
        <v>/</v>
      </c>
      <c r="R301" s="35" t="str">
        <f>IF(N287&lt;&gt;"",IF(INDEX(BDHK2,MATCH(N287,DiemHKII!$B$4:$B$58,0),INDEX($Y$7:$AB$20,MATCH(O301,$Y$7:$Y$20,0),$AB$6))&lt;&gt;"",INDEX(BDHK2,MATCH(N287,DiemHKII!$B$4:$B$58,0),INDEX($Y$7:$AB$20,MATCH(O301,$Y$7:$Y$20,0),$AB$6)),"/"),"")</f>
        <v>Đ</v>
      </c>
      <c r="S301" s="88"/>
    </row>
    <row r="302" spans="1:19" ht="15.6" customHeight="1">
      <c r="A302" s="88"/>
      <c r="B302" s="79" t="s">
        <v>203</v>
      </c>
      <c r="C302" s="81" t="s">
        <v>121</v>
      </c>
      <c r="D302" s="35">
        <f>IF(B287&lt;&gt;"",IF(INDEX(BDHK2,MATCH(B287,DiemHKII!$B$4:$B$58,0),INDEX($Y$7:$AB$20,MATCH(C302,$Y$7:$Y$20,0),$Z$6))&lt;&gt;"",INDEX(BDHK2,MATCH(B287,DiemHKII!$B$4:$B$58,0),INDEX($Y$7:$AB$20,MATCH(C302,$Y$7:$Y$20,0),$Z$6)),"/"),"")</f>
        <v>9.9</v>
      </c>
      <c r="E302" s="35" t="str">
        <f>IF(B287&lt;&gt;"",IF(INDEX(BDHK2,MATCH(B287,DiemHKII!$B$4:$B$58,0),INDEX($Y$7:$AB$20,MATCH(C302,$Y$7:$Y$20,0),$AA$6))&lt;&gt;"",INDEX(BDHK2,MATCH(B287,DiemHKII!$B$4:$B$58,0),INDEX($Y$7:$AB$20,MATCH(C302,$Y$7:$Y$20,0),$AA$6)),"/"),"")</f>
        <v>/</v>
      </c>
      <c r="F302" s="35" t="str">
        <f>IF(B287&lt;&gt;"",IF(INDEX(BDHK2,MATCH(B287,DiemHKII!$B$4:$B$58,0),INDEX($Y$7:$AB$20,MATCH(C302,$Y$7:$Y$20,0),$AB$6))&lt;&gt;"",INDEX(BDHK2,MATCH(B287,DiemHKII!$B$4:$B$58,0),INDEX($Y$7:$AB$20,MATCH(C302,$Y$7:$Y$20,0),$AB$6)),"/"),"")</f>
        <v>/</v>
      </c>
      <c r="G302" s="88"/>
      <c r="H302" s="79" t="s">
        <v>203</v>
      </c>
      <c r="I302" s="81" t="s">
        <v>121</v>
      </c>
      <c r="J302" s="35">
        <f>IF(H287&lt;&gt;"",IF(INDEX(BDHK2,MATCH(H287,DiemHKII!$B$4:$B$58,0),INDEX($Y$7:$AB$20,MATCH(I302,$Y$7:$Y$20,0),$Z$6))&lt;&gt;"",INDEX(BDHK2,MATCH(H287,DiemHKII!$B$4:$B$58,0),INDEX($Y$7:$AB$20,MATCH(I302,$Y$7:$Y$20,0),$Z$6)),"/"),"")</f>
        <v>9.9</v>
      </c>
      <c r="K302" s="35" t="str">
        <f>IF(H287&lt;&gt;"",IF(INDEX(BDHK2,MATCH(H287,DiemHKII!$B$4:$B$58,0),INDEX($Y$7:$AB$20,MATCH(I302,$Y$7:$Y$20,0),$AA$6))&lt;&gt;"",INDEX(BDHK2,MATCH(H287,DiemHKII!$B$4:$B$58,0),INDEX($Y$7:$AB$20,MATCH(I302,$Y$7:$Y$20,0),$AA$6)),"/"),"")</f>
        <v>/</v>
      </c>
      <c r="L302" s="35" t="str">
        <f>IF(H287&lt;&gt;"",IF(INDEX(BDHK2,MATCH(H287,DiemHKII!$B$4:$B$58,0),INDEX($Y$7:$AB$20,MATCH(I302,$Y$7:$Y$20,0),$AB$6))&lt;&gt;"",INDEX(BDHK2,MATCH(H287,DiemHKII!$B$4:$B$58,0),INDEX($Y$7:$AB$20,MATCH(I302,$Y$7:$Y$20,0),$AB$6)),"/"),"")</f>
        <v>/</v>
      </c>
      <c r="M302" s="88"/>
      <c r="N302" s="79" t="s">
        <v>203</v>
      </c>
      <c r="O302" s="81" t="s">
        <v>121</v>
      </c>
      <c r="P302" s="35">
        <f>IF(N287&lt;&gt;"",IF(INDEX(BDHK2,MATCH(N287,DiemHKII!$B$4:$B$58,0),INDEX($Y$7:$AB$20,MATCH(O302,$Y$7:$Y$20,0),$Z$6))&lt;&gt;"",INDEX(BDHK2,MATCH(N287,DiemHKII!$B$4:$B$58,0),INDEX($Y$7:$AB$20,MATCH(O302,$Y$7:$Y$20,0),$Z$6)),"/"),"")</f>
        <v>9.9</v>
      </c>
      <c r="Q302" s="35" t="str">
        <f>IF(N287&lt;&gt;"",IF(INDEX(BDHK2,MATCH(N287,DiemHKII!$B$4:$B$58,0),INDEX($Y$7:$AB$20,MATCH(O302,$Y$7:$Y$20,0),$AA$6))&lt;&gt;"",INDEX(BDHK2,MATCH(N287,DiemHKII!$B$4:$B$58,0),INDEX($Y$7:$AB$20,MATCH(O302,$Y$7:$Y$20,0),$AA$6)),"/"),"")</f>
        <v>/</v>
      </c>
      <c r="R302" s="35" t="str">
        <f>IF(N287&lt;&gt;"",IF(INDEX(BDHK2,MATCH(N287,DiemHKII!$B$4:$B$58,0),INDEX($Y$7:$AB$20,MATCH(O302,$Y$7:$Y$20,0),$AB$6))&lt;&gt;"",INDEX(BDHK2,MATCH(N287,DiemHKII!$B$4:$B$58,0),INDEX($Y$7:$AB$20,MATCH(O302,$Y$7:$Y$20,0),$AB$6)),"/"),"")</f>
        <v>/</v>
      </c>
      <c r="S302" s="88"/>
    </row>
    <row r="303" spans="1:19" ht="15.6" customHeight="1">
      <c r="A303" s="88"/>
      <c r="B303" s="79" t="s">
        <v>204</v>
      </c>
      <c r="C303" s="81" t="s">
        <v>122</v>
      </c>
      <c r="D303" s="35" t="str">
        <f>IF(B287&lt;&gt;"",IF(INDEX(BDHK2,MATCH(B287,DiemHKII!$B$4:$B$58,0),INDEX($Y$7:$AB$20,MATCH(C303,$Y$7:$Y$20,0),$Z$6))&lt;&gt;"",INDEX(BDHK2,MATCH(B287,DiemHKII!$B$4:$B$58,0),INDEX($Y$7:$AB$20,MATCH(C303,$Y$7:$Y$20,0),$Z$6)),"/"),"")</f>
        <v>/</v>
      </c>
      <c r="E303" s="35" t="str">
        <f>IF(B287&lt;&gt;"",IF(INDEX(BDHK2,MATCH(B287,DiemHKII!$B$4:$B$58,0),INDEX($Y$7:$AB$20,MATCH(C303,$Y$7:$Y$20,0),$AA$6))&lt;&gt;"",INDEX(BDHK2,MATCH(B287,DiemHKII!$B$4:$B$58,0),INDEX($Y$7:$AB$20,MATCH(C303,$Y$7:$Y$20,0),$AA$6)),"/"),"")</f>
        <v>/</v>
      </c>
      <c r="F303" s="35" t="str">
        <f>IF(B287&lt;&gt;"",IF(INDEX(BDHK2,MATCH(B287,DiemHKII!$B$4:$B$58,0),INDEX($Y$7:$AB$20,MATCH(C303,$Y$7:$Y$20,0),$AB$6))&lt;&gt;"",INDEX(BDHK2,MATCH(B287,DiemHKII!$B$4:$B$58,0),INDEX($Y$7:$AB$20,MATCH(C303,$Y$7:$Y$20,0),$AB$6)),"/"),"")</f>
        <v>/</v>
      </c>
      <c r="G303" s="88"/>
      <c r="H303" s="79" t="s">
        <v>204</v>
      </c>
      <c r="I303" s="81" t="s">
        <v>122</v>
      </c>
      <c r="J303" s="35" t="str">
        <f>IF(H287&lt;&gt;"",IF(INDEX(BDHK2,MATCH(H287,DiemHKII!$B$4:$B$58,0),INDEX($Y$7:$AB$20,MATCH(I303,$Y$7:$Y$20,0),$Z$6))&lt;&gt;"",INDEX(BDHK2,MATCH(H287,DiemHKII!$B$4:$B$58,0),INDEX($Y$7:$AB$20,MATCH(I303,$Y$7:$Y$20,0),$Z$6)),"/"),"")</f>
        <v>/</v>
      </c>
      <c r="K303" s="35" t="str">
        <f>IF(H287&lt;&gt;"",IF(INDEX(BDHK2,MATCH(H287,DiemHKII!$B$4:$B$58,0),INDEX($Y$7:$AB$20,MATCH(I303,$Y$7:$Y$20,0),$AA$6))&lt;&gt;"",INDEX(BDHK2,MATCH(H287,DiemHKII!$B$4:$B$58,0),INDEX($Y$7:$AB$20,MATCH(I303,$Y$7:$Y$20,0),$AA$6)),"/"),"")</f>
        <v>/</v>
      </c>
      <c r="L303" s="35" t="str">
        <f>IF(H287&lt;&gt;"",IF(INDEX(BDHK2,MATCH(H287,DiemHKII!$B$4:$B$58,0),INDEX($Y$7:$AB$20,MATCH(I303,$Y$7:$Y$20,0),$AB$6))&lt;&gt;"",INDEX(BDHK2,MATCH(H287,DiemHKII!$B$4:$B$58,0),INDEX($Y$7:$AB$20,MATCH(I303,$Y$7:$Y$20,0),$AB$6)),"/"),"")</f>
        <v>/</v>
      </c>
      <c r="M303" s="88"/>
      <c r="N303" s="79" t="s">
        <v>204</v>
      </c>
      <c r="O303" s="81" t="s">
        <v>122</v>
      </c>
      <c r="P303" s="35" t="str">
        <f>IF(N287&lt;&gt;"",IF(INDEX(BDHK2,MATCH(N287,DiemHKII!$B$4:$B$58,0),INDEX($Y$7:$AB$20,MATCH(O303,$Y$7:$Y$20,0),$Z$6))&lt;&gt;"",INDEX(BDHK2,MATCH(N287,DiemHKII!$B$4:$B$58,0),INDEX($Y$7:$AB$20,MATCH(O303,$Y$7:$Y$20,0),$Z$6)),"/"),"")</f>
        <v>/</v>
      </c>
      <c r="Q303" s="35" t="str">
        <f>IF(N287&lt;&gt;"",IF(INDEX(BDHK2,MATCH(N287,DiemHKII!$B$4:$B$58,0),INDEX($Y$7:$AB$20,MATCH(O303,$Y$7:$Y$20,0),$AA$6))&lt;&gt;"",INDEX(BDHK2,MATCH(N287,DiemHKII!$B$4:$B$58,0),INDEX($Y$7:$AB$20,MATCH(O303,$Y$7:$Y$20,0),$AA$6)),"/"),"")</f>
        <v>/</v>
      </c>
      <c r="R303" s="35" t="str">
        <f>IF(N287&lt;&gt;"",IF(INDEX(BDHK2,MATCH(N287,DiemHKII!$B$4:$B$58,0),INDEX($Y$7:$AB$20,MATCH(O303,$Y$7:$Y$20,0),$AB$6))&lt;&gt;"",INDEX(BDHK2,MATCH(N287,DiemHKII!$B$4:$B$58,0),INDEX($Y$7:$AB$20,MATCH(O303,$Y$7:$Y$20,0),$AB$6)),"/"),"")</f>
        <v>/</v>
      </c>
      <c r="S303" s="88"/>
    </row>
    <row r="304" spans="1:19" ht="15.6" customHeight="1">
      <c r="A304" s="88"/>
      <c r="B304" s="79" t="s">
        <v>208</v>
      </c>
      <c r="C304" s="81" t="s">
        <v>217</v>
      </c>
      <c r="D304" s="80">
        <f>IF(B287&lt;&gt;"",IF(INDEX('TH CANAM'!$A$9:$BF$63,MATCH(B287,'TH CANAM'!$A$9:$A$63,0),46)&lt;&gt;"",INDEX('TH CANAM'!$A$9:$BF$63,MATCH(B287,'TH CANAM'!$A$9:$A$63,0),46),"/"),"")</f>
        <v>9.1999999999999993</v>
      </c>
      <c r="E304" s="80" t="str">
        <f>IF(B287&lt;&gt;"",IF(INDEX('TH CANAM'!$A$9:$BF$63,MATCH(B287,'TH CANAM'!$A$9:$A$63,0),47)&lt;&gt;"",INDEX('TH CANAM'!$A$9:$BF$63,MATCH(B287,'TH CANAM'!$A$9:$A$63,0),47),"/"),"")</f>
        <v>/</v>
      </c>
      <c r="F304" s="80" t="str">
        <f>IF(B287&lt;&gt;"",IF(INDEX('TH CANAM'!$A$9:$BF$63,MATCH(B287,'TH CANAM'!$A$9:$A$63,0),48)&lt;&gt;"",INDEX('TH CANAM'!$A$9:$BF$63,MATCH(B287,'TH CANAM'!$A$9:$A$63,0),48),"/"),"")</f>
        <v>/</v>
      </c>
      <c r="G304" s="88"/>
      <c r="H304" s="79" t="s">
        <v>208</v>
      </c>
      <c r="I304" s="81" t="s">
        <v>217</v>
      </c>
      <c r="J304" s="80">
        <f>IF(H287&lt;&gt;"",IF(INDEX('TH CANAM'!$A$9:$BF$63,MATCH(H287,'TH CANAM'!$A$9:$A$63,0),46)&lt;&gt;"",INDEX('TH CANAM'!$A$9:$BF$63,MATCH(H287,'TH CANAM'!$A$9:$A$63,0),46),"/"),"")</f>
        <v>9.4</v>
      </c>
      <c r="K304" s="80" t="str">
        <f>IF(H287&lt;&gt;"",IF(INDEX('TH CANAM'!$A$9:$BF$63,MATCH(H287,'TH CANAM'!$A$9:$A$63,0),47)&lt;&gt;"",INDEX('TH CANAM'!$A$9:$BF$63,MATCH(H287,'TH CANAM'!$A$9:$A$63,0),47),"/"),"")</f>
        <v>/</v>
      </c>
      <c r="L304" s="80" t="str">
        <f>IF(H287&lt;&gt;"",IF(INDEX('TH CANAM'!$A$9:$BF$63,MATCH(H287,'TH CANAM'!$A$9:$A$63,0),48)&lt;&gt;"",INDEX('TH CANAM'!$A$9:$BF$63,MATCH(H287,'TH CANAM'!$A$9:$A$63,0),48),"/"),"")</f>
        <v>/</v>
      </c>
      <c r="M304" s="88"/>
      <c r="N304" s="79" t="s">
        <v>208</v>
      </c>
      <c r="O304" s="81" t="s">
        <v>217</v>
      </c>
      <c r="P304" s="80">
        <f>IF(N287&lt;&gt;"",IF(INDEX('TH CANAM'!$A$9:$BF$63,MATCH(N287,'TH CANAM'!$A$9:$A$63,0),46)&lt;&gt;"",INDEX('TH CANAM'!$A$9:$BF$63,MATCH(N287,'TH CANAM'!$A$9:$A$63,0),46),"/"),"")</f>
        <v>9.3000000000000007</v>
      </c>
      <c r="Q304" s="80" t="str">
        <f>IF(N287&lt;&gt;"",IF(INDEX('TH CANAM'!$A$9:$BF$63,MATCH(N287,'TH CANAM'!$A$9:$A$63,0),47)&lt;&gt;"",INDEX('TH CANAM'!$A$9:$BF$63,MATCH(N287,'TH CANAM'!$A$9:$A$63,0),47),"/"),"")</f>
        <v>/</v>
      </c>
      <c r="R304" s="80" t="str">
        <f>IF(N287&lt;&gt;"",IF(INDEX('TH CANAM'!$A$9:$BF$63,MATCH(N287,'TH CANAM'!$A$9:$A$63,0),48)&lt;&gt;"",INDEX('TH CANAM'!$A$9:$BF$63,MATCH(N287,'TH CANAM'!$A$9:$A$63,0),48),"/"),"")</f>
        <v>/</v>
      </c>
      <c r="S304" s="88"/>
    </row>
    <row r="305" spans="1:19" ht="15.6" customHeight="1">
      <c r="A305" s="88"/>
      <c r="B305" s="79" t="s">
        <v>209</v>
      </c>
      <c r="C305" s="82" t="s">
        <v>36</v>
      </c>
      <c r="D305" s="35" t="str">
        <f>IF(B287&lt;&gt;"",IF(INDEX('TH CANAM'!$A$9:$BF$63,MATCH(B287,'TH CANAM'!$A$9:$A$63,0),49)&lt;&gt;"",INDEX('TH CANAM'!$A$9:$BF$63,MATCH(B287,'TH CANAM'!$A$9:$A$63,0),49),"/"),"")</f>
        <v>Giỏi</v>
      </c>
      <c r="E305" s="35" t="str">
        <f>IF(B287&lt;&gt;"",IF(INDEX('TH CANAM'!$A$9:$BF$63,MATCH(B287,'TH CANAM'!$A$9:$A$63,0),50)&lt;&gt;"",INDEX('TH CANAM'!$A$9:$BF$63,MATCH(B287,'TH CANAM'!$A$9:$A$63,0),50),"/"),"")</f>
        <v>/</v>
      </c>
      <c r="F305" s="35" t="str">
        <f>IF(B287&lt;&gt;"",IF(INDEX('TH CANAM'!$A$9:$BF$63,MATCH(B287,'TH CANAM'!$A$9:$A$63,0),51)&lt;&gt;"",INDEX('TH CANAM'!$A$9:$BF$63,MATCH(B287,'TH CANAM'!$A$9:$A$63,0),51),"/"),"")</f>
        <v>/</v>
      </c>
      <c r="G305" s="88"/>
      <c r="H305" s="79" t="s">
        <v>209</v>
      </c>
      <c r="I305" s="82" t="s">
        <v>36</v>
      </c>
      <c r="J305" s="35" t="str">
        <f>IF(H287&lt;&gt;"",IF(INDEX('TH CANAM'!$A$9:$BF$63,MATCH(H287,'TH CANAM'!$A$9:$A$63,0),49)&lt;&gt;"",INDEX('TH CANAM'!$A$9:$BF$63,MATCH(H287,'TH CANAM'!$A$9:$A$63,0),49),"/"),"")</f>
        <v>Giỏi</v>
      </c>
      <c r="K305" s="35" t="str">
        <f>IF(H287&lt;&gt;"",IF(INDEX('TH CANAM'!$A$9:$BF$63,MATCH(H287,'TH CANAM'!$A$9:$A$63,0),50)&lt;&gt;"",INDEX('TH CANAM'!$A$9:$BF$63,MATCH(H287,'TH CANAM'!$A$9:$A$63,0),50),"/"),"")</f>
        <v>/</v>
      </c>
      <c r="L305" s="35" t="str">
        <f>IF(H287&lt;&gt;"",IF(INDEX('TH CANAM'!$A$9:$BF$63,MATCH(H287,'TH CANAM'!$A$9:$A$63,0),51)&lt;&gt;"",INDEX('TH CANAM'!$A$9:$BF$63,MATCH(H287,'TH CANAM'!$A$9:$A$63,0),51),"/"),"")</f>
        <v>/</v>
      </c>
      <c r="M305" s="88"/>
      <c r="N305" s="79" t="s">
        <v>209</v>
      </c>
      <c r="O305" s="82" t="s">
        <v>36</v>
      </c>
      <c r="P305" s="35" t="str">
        <f>IF(N287&lt;&gt;"",IF(INDEX('TH CANAM'!$A$9:$BF$63,MATCH(N287,'TH CANAM'!$A$9:$A$63,0),49)&lt;&gt;"",INDEX('TH CANAM'!$A$9:$BF$63,MATCH(N287,'TH CANAM'!$A$9:$A$63,0),49),"/"),"")</f>
        <v>Giỏi</v>
      </c>
      <c r="Q305" s="35" t="str">
        <f>IF(N287&lt;&gt;"",IF(INDEX('TH CANAM'!$A$9:$BF$63,MATCH(N287,'TH CANAM'!$A$9:$A$63,0),50)&lt;&gt;"",INDEX('TH CANAM'!$A$9:$BF$63,MATCH(N287,'TH CANAM'!$A$9:$A$63,0),50),"/"),"")</f>
        <v>/</v>
      </c>
      <c r="R305" s="35" t="str">
        <f>IF(N287&lt;&gt;"",IF(INDEX('TH CANAM'!$A$9:$BF$63,MATCH(N287,'TH CANAM'!$A$9:$A$63,0),51)&lt;&gt;"",INDEX('TH CANAM'!$A$9:$BF$63,MATCH(N287,'TH CANAM'!$A$9:$A$63,0),51),"/"),"")</f>
        <v>/</v>
      </c>
      <c r="S305" s="88"/>
    </row>
    <row r="306" spans="1:19" ht="15.6" customHeight="1">
      <c r="A306" s="88"/>
      <c r="B306" s="79" t="s">
        <v>210</v>
      </c>
      <c r="C306" s="82" t="s">
        <v>37</v>
      </c>
      <c r="D306" s="35" t="str">
        <f>IF(B287&lt;&gt;"",IF(INDEX('TH CANAM'!$A$9:$BF$63,MATCH(B287,'TH CANAM'!$A$9:$A$63,0),52)&lt;&gt;"",INDEX('TH CANAM'!$A$9:$BF$63,MATCH(B287,'TH CANAM'!$A$9:$A$63,0),52),"/"),"")</f>
        <v>Tốt</v>
      </c>
      <c r="E306" s="35" t="str">
        <f>IF(B287&lt;&gt;"",IF(INDEX('TH CANAM'!$A$9:$BF$63,MATCH(B287,'TH CANAM'!$A$9:$A$63,0),53)&lt;&gt;"",INDEX('TH CANAM'!$A$9:$BF$63,MATCH(B287,'TH CANAM'!$A$9:$A$63,0),53),"/"),"")</f>
        <v>/</v>
      </c>
      <c r="F306" s="35" t="str">
        <f>IF(B287&lt;&gt;"",IF(INDEX('TH CANAM'!$A$9:$BF$63,MATCH(B287,'TH CANAM'!$A$9:$A$63,0),54)&lt;&gt;"",INDEX('TH CANAM'!$A$9:$BF$63,MATCH(B287,'TH CANAM'!$A$9:$A$63,0),54),"/"),"")</f>
        <v>/</v>
      </c>
      <c r="G306" s="88"/>
      <c r="H306" s="79" t="s">
        <v>210</v>
      </c>
      <c r="I306" s="82" t="s">
        <v>37</v>
      </c>
      <c r="J306" s="35" t="str">
        <f>IF(H287&lt;&gt;"",IF(INDEX('TH CANAM'!$A$9:$BF$63,MATCH(H287,'TH CANAM'!$A$9:$A$63,0),52)&lt;&gt;"",INDEX('TH CANAM'!$A$9:$BF$63,MATCH(H287,'TH CANAM'!$A$9:$A$63,0),52),"/"),"")</f>
        <v>Tốt</v>
      </c>
      <c r="K306" s="35" t="str">
        <f>IF(H287&lt;&gt;"",IF(INDEX('TH CANAM'!$A$9:$BF$63,MATCH(H287,'TH CANAM'!$A$9:$A$63,0),53)&lt;&gt;"",INDEX('TH CANAM'!$A$9:$BF$63,MATCH(H287,'TH CANAM'!$A$9:$A$63,0),53),"/"),"")</f>
        <v>/</v>
      </c>
      <c r="L306" s="35" t="str">
        <f>IF(H287&lt;&gt;"",IF(INDEX('TH CANAM'!$A$9:$BF$63,MATCH(H287,'TH CANAM'!$A$9:$A$63,0),54)&lt;&gt;"",INDEX('TH CANAM'!$A$9:$BF$63,MATCH(H287,'TH CANAM'!$A$9:$A$63,0),54),"/"),"")</f>
        <v>/</v>
      </c>
      <c r="M306" s="88"/>
      <c r="N306" s="79" t="s">
        <v>210</v>
      </c>
      <c r="O306" s="82" t="s">
        <v>37</v>
      </c>
      <c r="P306" s="35" t="str">
        <f>IF(N287&lt;&gt;"",IF(INDEX('TH CANAM'!$A$9:$BF$63,MATCH(N287,'TH CANAM'!$A$9:$A$63,0),52)&lt;&gt;"",INDEX('TH CANAM'!$A$9:$BF$63,MATCH(N287,'TH CANAM'!$A$9:$A$63,0),52),"/"),"")</f>
        <v>Tốt</v>
      </c>
      <c r="Q306" s="35" t="str">
        <f>IF(N287&lt;&gt;"",IF(INDEX('TH CANAM'!$A$9:$BF$63,MATCH(N287,'TH CANAM'!$A$9:$A$63,0),53)&lt;&gt;"",INDEX('TH CANAM'!$A$9:$BF$63,MATCH(N287,'TH CANAM'!$A$9:$A$63,0),53),"/"),"")</f>
        <v>/</v>
      </c>
      <c r="R306" s="35" t="str">
        <f>IF(N287&lt;&gt;"",IF(INDEX('TH CANAM'!$A$9:$BF$63,MATCH(N287,'TH CANAM'!$A$9:$A$63,0),54)&lt;&gt;"",INDEX('TH CANAM'!$A$9:$BF$63,MATCH(N287,'TH CANAM'!$A$9:$A$63,0),54),"/"),"")</f>
        <v>/</v>
      </c>
      <c r="S306" s="88"/>
    </row>
    <row r="307" spans="1:19" ht="15.6" customHeight="1">
      <c r="A307" s="88"/>
      <c r="B307" s="79" t="s">
        <v>211</v>
      </c>
      <c r="C307" s="82" t="s">
        <v>25</v>
      </c>
      <c r="D307" s="35" t="str">
        <f>IF(B287&lt;&gt;"",IF(INDEX('TH CANAM'!$A$9:$BF$63,MATCH(B287,'TH CANAM'!$A$9:$A$63,0),57)&lt;&gt;"",INDEX('TH CANAM'!$A$9:$BF$63,MATCH(B287,'TH CANAM'!$A$9:$A$63,0),57),"/"),"")</f>
        <v>HSG</v>
      </c>
      <c r="E307" s="35" t="str">
        <f>IF(B287&lt;&gt;"",IF(INDEX('TH CANAM'!$A$9:$BF$63,MATCH(B287,'TH CANAM'!$A$9:$A$63,0),58)&lt;&gt;"",INDEX('TH CANAM'!$A$9:$BF$63,MATCH(B287,'TH CANAM'!$A$9:$A$63,0),58),"/"),"")</f>
        <v>/</v>
      </c>
      <c r="F307" s="35" t="str">
        <f>IF(B287&lt;&gt;"",IF(INDEX('TH CANAM'!$A$9:$BF$63,MATCH(B287,'TH CANAM'!$A$9:$A$63,0),55)&lt;&gt;"",INDEX('TH CANAM'!$A$9:$BF$63,MATCH(B287,'TH CANAM'!$A$9:$A$63,0),55),"/"),"")</f>
        <v>/</v>
      </c>
      <c r="G307" s="88"/>
      <c r="H307" s="79" t="s">
        <v>211</v>
      </c>
      <c r="I307" s="82" t="s">
        <v>25</v>
      </c>
      <c r="J307" s="35" t="str">
        <f>IF(H287&lt;&gt;"",IF(INDEX('TH CANAM'!$A$9:$BF$63,MATCH(H287,'TH CANAM'!$A$9:$A$63,0),57)&lt;&gt;"",INDEX('TH CANAM'!$A$9:$BF$63,MATCH(H287,'TH CANAM'!$A$9:$A$63,0),57),"/"),"")</f>
        <v>HSG</v>
      </c>
      <c r="K307" s="35" t="str">
        <f>IF(H287&lt;&gt;"",IF(INDEX('TH CANAM'!$A$9:$BF$63,MATCH(H287,'TH CANAM'!$A$9:$A$63,0),58)&lt;&gt;"",INDEX('TH CANAM'!$A$9:$BF$63,MATCH(H287,'TH CANAM'!$A$9:$A$63,0),58),"/"),"")</f>
        <v>/</v>
      </c>
      <c r="L307" s="35" t="str">
        <f>IF(H287&lt;&gt;"",IF(INDEX('TH CANAM'!$A$9:$BF$63,MATCH(H287,'TH CANAM'!$A$9:$A$63,0),55)&lt;&gt;"",INDEX('TH CANAM'!$A$9:$BF$63,MATCH(H287,'TH CANAM'!$A$9:$A$63,0),55),"/"),"")</f>
        <v>/</v>
      </c>
      <c r="M307" s="88"/>
      <c r="N307" s="79" t="s">
        <v>211</v>
      </c>
      <c r="O307" s="82" t="s">
        <v>25</v>
      </c>
      <c r="P307" s="35" t="str">
        <f>IF(N287&lt;&gt;"",IF(INDEX('TH CANAM'!$A$9:$BF$63,MATCH(N287,'TH CANAM'!$A$9:$A$63,0),57)&lt;&gt;"",INDEX('TH CANAM'!$A$9:$BF$63,MATCH(N287,'TH CANAM'!$A$9:$A$63,0),57),"/"),"")</f>
        <v>HSG</v>
      </c>
      <c r="Q307" s="35" t="str">
        <f>IF(N287&lt;&gt;"",IF(INDEX('TH CANAM'!$A$9:$BF$63,MATCH(N287,'TH CANAM'!$A$9:$A$63,0),58)&lt;&gt;"",INDEX('TH CANAM'!$A$9:$BF$63,MATCH(N287,'TH CANAM'!$A$9:$A$63,0),58),"/"),"")</f>
        <v>/</v>
      </c>
      <c r="R307" s="35" t="str">
        <f>IF(N287&lt;&gt;"",IF(INDEX('TH CANAM'!$A$9:$BF$63,MATCH(N287,'TH CANAM'!$A$9:$A$63,0),55)&lt;&gt;"",INDEX('TH CANAM'!$A$9:$BF$63,MATCH(N287,'TH CANAM'!$A$9:$A$63,0),55),"/"),"")</f>
        <v>/</v>
      </c>
      <c r="S307" s="88"/>
    </row>
    <row r="308" spans="1:19" s="251" customFormat="1" ht="15.75" customHeight="1">
      <c r="A308" s="89"/>
      <c r="B308" s="1146" t="s">
        <v>219</v>
      </c>
      <c r="C308" s="1147"/>
      <c r="D308" s="1147"/>
      <c r="E308" s="1147"/>
      <c r="F308" s="1148"/>
      <c r="G308" s="89"/>
      <c r="H308" s="1146" t="s">
        <v>219</v>
      </c>
      <c r="I308" s="1147"/>
      <c r="J308" s="1147"/>
      <c r="K308" s="1147"/>
      <c r="L308" s="1148"/>
      <c r="M308" s="89"/>
      <c r="N308" s="1146" t="s">
        <v>219</v>
      </c>
      <c r="O308" s="1147"/>
      <c r="P308" s="1147"/>
      <c r="Q308" s="1147"/>
      <c r="R308" s="1148"/>
      <c r="S308" s="89"/>
    </row>
    <row r="309" spans="1:19" s="251" customFormat="1" ht="15.6" customHeight="1">
      <c r="A309" s="89"/>
      <c r="B309" s="1143" t="str">
        <f>IF(B287&lt;&gt;"",IF(INDEX(BDHK2,MATCH(B287,DiemHKII!$B$4:$B$58,0),137)&lt;&gt;""," - "&amp;INDEX(BDHK2,MATCH(B287,DiemHKII!$B$4:$B$58,0),137),""),"")</f>
        <v/>
      </c>
      <c r="C309" s="1144"/>
      <c r="D309" s="1144"/>
      <c r="E309" s="1144"/>
      <c r="F309" s="1145"/>
      <c r="G309" s="89"/>
      <c r="H309" s="1143" t="str">
        <f>IF(H287&lt;&gt;"",IF(INDEX(BDHK2,MATCH(H287,DiemHKII!$B$4:$B$58,0),137)&lt;&gt;""," - "&amp;INDEX(BDHK2,MATCH(H287,DiemHKII!$B$4:$B$58,0),137),""),"")</f>
        <v/>
      </c>
      <c r="I309" s="1144"/>
      <c r="J309" s="1144"/>
      <c r="K309" s="1144"/>
      <c r="L309" s="1145"/>
      <c r="M309" s="89"/>
      <c r="N309" s="1143" t="str">
        <f>IF(N287&lt;&gt;"",IF(INDEX(BDHK2,MATCH(N287,DiemHKII!$B$4:$B$58,0),137)&lt;&gt;""," - "&amp;INDEX(BDHK2,MATCH(N287,DiemHKII!$B$4:$B$58,0),137),""),"")</f>
        <v/>
      </c>
      <c r="O309" s="1144"/>
      <c r="P309" s="1144"/>
      <c r="Q309" s="1144"/>
      <c r="R309" s="1145"/>
      <c r="S309" s="89"/>
    </row>
    <row r="310" spans="1:19" s="251" customFormat="1" ht="15.6" customHeight="1">
      <c r="A310" s="89"/>
      <c r="B310" s="1143" t="str">
        <f>IF(B287&lt;&gt;"",IF(INDEX(BDHK2,MATCH(B287,DiemHKII!$B$4:$B$58,0),138)&lt;&gt;""," - "&amp;INDEX(BDHK2,MATCH(B287,DiemHKII!$B$4:$B$58,0),138),""),"")</f>
        <v/>
      </c>
      <c r="C310" s="1144"/>
      <c r="D310" s="1144"/>
      <c r="E310" s="1144"/>
      <c r="F310" s="1145"/>
      <c r="G310" s="89"/>
      <c r="H310" s="1143" t="str">
        <f>IF(H287&lt;&gt;"",IF(INDEX(BDHK2,MATCH(H287,DiemHKII!$B$4:$B$58,0),138)&lt;&gt;""," - "&amp;INDEX(BDHK2,MATCH(H287,DiemHKII!$B$4:$B$58,0),138),""),"")</f>
        <v/>
      </c>
      <c r="I310" s="1144"/>
      <c r="J310" s="1144"/>
      <c r="K310" s="1144"/>
      <c r="L310" s="1145"/>
      <c r="M310" s="89"/>
      <c r="N310" s="1143" t="str">
        <f>IF(N287&lt;&gt;"",IF(INDEX(BDHK2,MATCH(N287,DiemHKII!$B$4:$B$58,0),138)&lt;&gt;""," - "&amp;INDEX(BDHK2,MATCH(N287,DiemHKII!$B$4:$B$58,0),138),""),"")</f>
        <v/>
      </c>
      <c r="O310" s="1144"/>
      <c r="P310" s="1144"/>
      <c r="Q310" s="1144"/>
      <c r="R310" s="1145"/>
      <c r="S310" s="89"/>
    </row>
    <row r="311" spans="1:19" s="251" customFormat="1" ht="15.6" customHeight="1">
      <c r="A311" s="89"/>
      <c r="B311" s="1143" t="str">
        <f>IF(B287&lt;&gt;"",IF(INDEX(BDHK2,MATCH(B287,DiemHKII!$B$4:$B$58,0),139)&lt;&gt;""," - "&amp;INDEX(BDHK2,MATCH(B287,DiemHKII!$B$4:$B$58,0),139),""),"")</f>
        <v/>
      </c>
      <c r="C311" s="1144"/>
      <c r="D311" s="1144"/>
      <c r="E311" s="1144"/>
      <c r="F311" s="1145"/>
      <c r="G311" s="89"/>
      <c r="H311" s="1143" t="str">
        <f>IF(H287&lt;&gt;"",IF(INDEX(BDHK2,MATCH(H287,DiemHKII!$B$4:$B$58,0),139)&lt;&gt;""," - "&amp;INDEX(BDHK2,MATCH(H287,DiemHKII!$B$4:$B$58,0),139),""),"")</f>
        <v/>
      </c>
      <c r="I311" s="1144"/>
      <c r="J311" s="1144"/>
      <c r="K311" s="1144"/>
      <c r="L311" s="1145"/>
      <c r="M311" s="89"/>
      <c r="N311" s="1143" t="str">
        <f>IF(N287&lt;&gt;"",IF(INDEX(BDHK2,MATCH(N287,DiemHKII!$B$4:$B$58,0),139)&lt;&gt;""," - "&amp;INDEX(BDHK2,MATCH(N287,DiemHKII!$B$4:$B$58,0),139),""),"")</f>
        <v/>
      </c>
      <c r="O311" s="1144"/>
      <c r="P311" s="1144"/>
      <c r="Q311" s="1144"/>
      <c r="R311" s="1145"/>
      <c r="S311" s="89"/>
    </row>
    <row r="312" spans="1:19" s="251" customFormat="1" ht="15.6" customHeight="1">
      <c r="A312" s="89"/>
      <c r="B312" s="1143" t="str">
        <f>IF(B287&lt;&gt;"",IF(INDEX(BDHK2,MATCH(B287,DiemHKII!$B$4:$B$58,0),140)&lt;&gt;""," - "&amp;INDEX(BDHK2,MATCH(B287,DiemHKII!$B$4:$B$58,0),140),""),"")</f>
        <v/>
      </c>
      <c r="C312" s="1144"/>
      <c r="D312" s="1144"/>
      <c r="E312" s="1144"/>
      <c r="F312" s="1145"/>
      <c r="G312" s="89"/>
      <c r="H312" s="1143" t="str">
        <f>IF(H287&lt;&gt;"",IF(INDEX(BDHK2,MATCH(H287,DiemHKII!$B$4:$B$58,0),140)&lt;&gt;""," - "&amp;INDEX(BDHK2,MATCH(H287,DiemHKII!$B$4:$B$58,0),140),""),"")</f>
        <v/>
      </c>
      <c r="I312" s="1144"/>
      <c r="J312" s="1144"/>
      <c r="K312" s="1144"/>
      <c r="L312" s="1145"/>
      <c r="M312" s="89"/>
      <c r="N312" s="1143" t="str">
        <f>IF(N287&lt;&gt;"",IF(INDEX(BDHK2,MATCH(N287,DiemHKII!$B$4:$B$58,0),140)&lt;&gt;""," - "&amp;INDEX(BDHK2,MATCH(N287,DiemHKII!$B$4:$B$58,0),140),""),"")</f>
        <v/>
      </c>
      <c r="O312" s="1144"/>
      <c r="P312" s="1144"/>
      <c r="Q312" s="1144"/>
      <c r="R312" s="1145"/>
      <c r="S312" s="89"/>
    </row>
    <row r="313" spans="1:19" ht="8.25" customHeight="1">
      <c r="A313" s="88"/>
      <c r="B313" s="83"/>
      <c r="C313" s="84"/>
      <c r="D313" s="84"/>
      <c r="E313" s="84"/>
      <c r="F313" s="85"/>
      <c r="G313" s="88"/>
      <c r="H313" s="83"/>
      <c r="I313" s="84"/>
      <c r="J313" s="84"/>
      <c r="K313" s="84"/>
      <c r="L313" s="85"/>
      <c r="M313" s="88"/>
      <c r="N313" s="83"/>
      <c r="O313" s="84"/>
      <c r="P313" s="84"/>
      <c r="Q313" s="84"/>
      <c r="R313" s="85"/>
      <c r="S313" s="88"/>
    </row>
    <row r="314" spans="1:19" ht="6.75" customHeight="1">
      <c r="A314" s="88"/>
      <c r="B314" s="87"/>
      <c r="C314" s="87"/>
      <c r="D314" s="1135"/>
      <c r="E314" s="1135"/>
      <c r="F314" s="1135"/>
      <c r="G314" s="88"/>
      <c r="H314" s="87"/>
      <c r="I314" s="87"/>
      <c r="J314" s="1135"/>
      <c r="K314" s="1135"/>
      <c r="L314" s="1135"/>
      <c r="M314" s="88"/>
      <c r="N314" s="87"/>
      <c r="O314" s="87"/>
      <c r="P314" s="1135"/>
      <c r="Q314" s="1135"/>
      <c r="R314" s="1135"/>
      <c r="S314" s="88"/>
    </row>
    <row r="315" spans="1:19" ht="18" customHeight="1">
      <c r="A315" s="88"/>
      <c r="B315" s="477">
        <f>IF(N287="","",IF(N287&lt;MAX(DiemHKII!$B$4:$B$58),N287+1,""))</f>
        <v>34</v>
      </c>
      <c r="C315" s="1140" t="str">
        <f>IF(B315="","",INDEX(DiemHKII!$E$4:$E$58,MATCH(B315,DiemHKII!$B$4:$B$58,0),1)&amp;" "&amp;INDEX(DiemHKII!$F$4:$F$58,MATCH(B315,DiemHKII!$B$4:$B$58,0),1))</f>
        <v>Trần Kim Bảo Trân</v>
      </c>
      <c r="D315" s="1141"/>
      <c r="E315" s="1142"/>
      <c r="F315" s="86" t="str">
        <f>IF('Huong dan'!$C$3="","",'Huong dan'!$C$3)</f>
        <v>12A1</v>
      </c>
      <c r="G315" s="88"/>
      <c r="H315" s="477">
        <f>IF(B315="","",IF(B315&lt;MAX(DiemHKII!$B$4:$B$58),B315+1,""))</f>
        <v>35</v>
      </c>
      <c r="I315" s="1140" t="str">
        <f>IF(H315="","",INDEX(DiemHKII!$E$4:$E$58,MATCH(H315,DiemHKII!$B$4:$B$58,0),1)&amp;" "&amp;INDEX(DiemHKII!$F$4:$F$58,MATCH(H315,DiemHKII!$B$4:$B$58,0),1))</f>
        <v>Phạm Đức Trung</v>
      </c>
      <c r="J315" s="1141"/>
      <c r="K315" s="1142"/>
      <c r="L315" s="86" t="str">
        <f>IF('Huong dan'!$C$3="","",'Huong dan'!$C$3)</f>
        <v>12A1</v>
      </c>
      <c r="M315" s="88"/>
      <c r="N315" s="477">
        <f>IF(H315="","",IF(H315&lt;MAX(DiemHKII!$B$4:$B$58),H315+1,""))</f>
        <v>36</v>
      </c>
      <c r="O315" s="1140" t="str">
        <f>IF(N315="","",INDEX(DiemHKII!$E$4:$E$58,MATCH(N315,DiemHKII!$B$4:$B$58,0),1)&amp;" "&amp;INDEX(DiemHKII!$F$4:$F$58,MATCH(N315,DiemHKII!$B$4:$B$58,0),1))</f>
        <v>Võ Thủy Vân</v>
      </c>
      <c r="P315" s="1141"/>
      <c r="Q315" s="1142"/>
      <c r="R315" s="86" t="str">
        <f>IF('Huong dan'!$C$3="","",'Huong dan'!$C$3)</f>
        <v>12A1</v>
      </c>
      <c r="S315" s="88"/>
    </row>
    <row r="316" spans="1:19" ht="18.75" customHeight="1">
      <c r="A316" s="88"/>
      <c r="B316" s="1136" t="str">
        <f>" Sinh ngày: "&amp;IF(B315="","",INDEX(DiemHKII!$G$4:$G$58,MATCH(B315,DiemHKII!$B$4:$B$58,0),1))</f>
        <v xml:space="preserve"> Sinh ngày: 05/06/2004</v>
      </c>
      <c r="C316" s="1137"/>
      <c r="D316" s="1137"/>
      <c r="E316" s="1138" t="str">
        <f>IF(B315="","","NS: "&amp;INDEX(DiemHKII!$H$4:$H$58,MATCH(B315,DiemHKII!$B$4:$B$58,0),1))</f>
        <v xml:space="preserve">NS: </v>
      </c>
      <c r="F316" s="1139"/>
      <c r="G316" s="88"/>
      <c r="H316" s="1136" t="str">
        <f>" Sinh ngày: "&amp;IF(H315="","",INDEX(DiemHKII!$G$4:$G$58,MATCH(H315,DiemHKII!$B$4:$B$58,0),1))</f>
        <v xml:space="preserve"> Sinh ngày: 07/10/2004</v>
      </c>
      <c r="I316" s="1137"/>
      <c r="J316" s="1137"/>
      <c r="K316" s="1138" t="str">
        <f>IF(H315="","","NS: "&amp;INDEX(DiemHKII!$H$4:$H$58,MATCH(H315,DiemHKII!$B$4:$B$58,0),1))</f>
        <v xml:space="preserve">NS: </v>
      </c>
      <c r="L316" s="1139"/>
      <c r="M316" s="88"/>
      <c r="N316" s="1136" t="str">
        <f>" Sinh ngày: "&amp;IF(N315="","",INDEX(DiemHKII!$G$4:$G$58,MATCH(N315,DiemHKII!$B$4:$B$58,0),1))</f>
        <v xml:space="preserve"> Sinh ngày: 30/10/2004</v>
      </c>
      <c r="O316" s="1137"/>
      <c r="P316" s="1137"/>
      <c r="Q316" s="1138" t="str">
        <f>IF(N315="","","NS: "&amp;INDEX(DiemHKII!$H$4:$H$58,MATCH(N315,DiemHKII!$B$4:$B$58,0),1))</f>
        <v xml:space="preserve">NS: </v>
      </c>
      <c r="R316" s="1139"/>
      <c r="S316" s="88"/>
    </row>
    <row r="317" spans="1:19" ht="15.75" customHeight="1">
      <c r="A317" s="88"/>
      <c r="B317" s="381" t="s">
        <v>0</v>
      </c>
      <c r="C317" s="381" t="s">
        <v>59</v>
      </c>
      <c r="D317" s="381" t="s">
        <v>73</v>
      </c>
      <c r="E317" s="381" t="s">
        <v>176</v>
      </c>
      <c r="F317" s="381" t="s">
        <v>98</v>
      </c>
      <c r="G317" s="88"/>
      <c r="H317" s="381" t="s">
        <v>0</v>
      </c>
      <c r="I317" s="381" t="s">
        <v>59</v>
      </c>
      <c r="J317" s="381" t="s">
        <v>73</v>
      </c>
      <c r="K317" s="381" t="s">
        <v>176</v>
      </c>
      <c r="L317" s="381" t="s">
        <v>98</v>
      </c>
      <c r="M317" s="88"/>
      <c r="N317" s="381" t="s">
        <v>0</v>
      </c>
      <c r="O317" s="381" t="s">
        <v>59</v>
      </c>
      <c r="P317" s="381" t="s">
        <v>73</v>
      </c>
      <c r="Q317" s="381" t="s">
        <v>176</v>
      </c>
      <c r="R317" s="381" t="s">
        <v>98</v>
      </c>
      <c r="S317" s="88"/>
    </row>
    <row r="318" spans="1:19" ht="15.6" customHeight="1">
      <c r="A318" s="88"/>
      <c r="B318" s="79" t="s">
        <v>191</v>
      </c>
      <c r="C318" s="81" t="s">
        <v>26</v>
      </c>
      <c r="D318" s="35">
        <f>IF(B315&lt;&gt;"",IF(INDEX(BDHK2,MATCH(B315,DiemHKII!$B$4:$B$58,0),INDEX($Y$7:$AB$20,MATCH(C318,$Y$7:$Y$20,0),$Z$6))&lt;&gt;"",INDEX(BDHK2,MATCH(B315,DiemHKII!$B$4:$B$58,0),INDEX($Y$7:$AB$20,MATCH(C318,$Y$7:$Y$20,0),$Z$6)),"/"),"")</f>
        <v>9.1999999999999993</v>
      </c>
      <c r="E318" s="35" t="str">
        <f>IF(B315&lt;&gt;"",IF(INDEX(BDHK2,MATCH(B315,DiemHKII!$B$4:$B$58,0),INDEX($Y$7:$AB$20,MATCH(C318,$Y$7:$Y$20,0),$AA$6))&lt;&gt;"",INDEX(BDHK2,MATCH(B315,DiemHKII!$B$4:$B$58,0),INDEX($Y$7:$AB$20,MATCH(C318,$Y$7:$Y$20,0),$AA$6)),"/"),"")</f>
        <v>/</v>
      </c>
      <c r="F318" s="35" t="str">
        <f>IF(B315&lt;&gt;"",IF(INDEX(BDHK2,MATCH(B315,DiemHKII!$B$4:$B$58,0),INDEX($Y$7:$AB$20,MATCH(C318,$Y$7:$Y$20,0),$AB$6))&lt;&gt;"",INDEX(BDHK2,MATCH(B315,DiemHKII!$B$4:$B$58,0),INDEX($Y$7:$AB$20,MATCH(C318,$Y$7:$Y$20,0),$AB$6)),"/"),"")</f>
        <v>/</v>
      </c>
      <c r="G318" s="88"/>
      <c r="H318" s="79" t="s">
        <v>191</v>
      </c>
      <c r="I318" s="81" t="s">
        <v>26</v>
      </c>
      <c r="J318" s="35">
        <f>IF(H315&lt;&gt;"",IF(INDEX(BDHK2,MATCH(H315,DiemHKII!$B$4:$B$58,0),INDEX($Y$7:$AB$20,MATCH(I318,$Y$7:$Y$20,0),$Z$6))&lt;&gt;"",INDEX(BDHK2,MATCH(H315,DiemHKII!$B$4:$B$58,0),INDEX($Y$7:$AB$20,MATCH(I318,$Y$7:$Y$20,0),$Z$6)),"/"),"")</f>
        <v>9.9</v>
      </c>
      <c r="K318" s="35" t="str">
        <f>IF(H315&lt;&gt;"",IF(INDEX(BDHK2,MATCH(H315,DiemHKII!$B$4:$B$58,0),INDEX($Y$7:$AB$20,MATCH(I318,$Y$7:$Y$20,0),$AA$6))&lt;&gt;"",INDEX(BDHK2,MATCH(H315,DiemHKII!$B$4:$B$58,0),INDEX($Y$7:$AB$20,MATCH(I318,$Y$7:$Y$20,0),$AA$6)),"/"),"")</f>
        <v>/</v>
      </c>
      <c r="L318" s="35" t="str">
        <f>IF(H315&lt;&gt;"",IF(INDEX(BDHK2,MATCH(H315,DiemHKII!$B$4:$B$58,0),INDEX($Y$7:$AB$20,MATCH(I318,$Y$7:$Y$20,0),$AB$6))&lt;&gt;"",INDEX(BDHK2,MATCH(H315,DiemHKII!$B$4:$B$58,0),INDEX($Y$7:$AB$20,MATCH(I318,$Y$7:$Y$20,0),$AB$6)),"/"),"")</f>
        <v>/</v>
      </c>
      <c r="M318" s="88"/>
      <c r="N318" s="79" t="s">
        <v>191</v>
      </c>
      <c r="O318" s="81" t="s">
        <v>26</v>
      </c>
      <c r="P318" s="35">
        <f>IF(N315&lt;&gt;"",IF(INDEX(BDHK2,MATCH(N315,DiemHKII!$B$4:$B$58,0),INDEX($Y$7:$AB$20,MATCH(O318,$Y$7:$Y$20,0),$Z$6))&lt;&gt;"",INDEX(BDHK2,MATCH(N315,DiemHKII!$B$4:$B$58,0),INDEX($Y$7:$AB$20,MATCH(O318,$Y$7:$Y$20,0),$Z$6)),"/"),"")</f>
        <v>9.6999999999999993</v>
      </c>
      <c r="Q318" s="35" t="str">
        <f>IF(N315&lt;&gt;"",IF(INDEX(BDHK2,MATCH(N315,DiemHKII!$B$4:$B$58,0),INDEX($Y$7:$AB$20,MATCH(O318,$Y$7:$Y$20,0),$AA$6))&lt;&gt;"",INDEX(BDHK2,MATCH(N315,DiemHKII!$B$4:$B$58,0),INDEX($Y$7:$AB$20,MATCH(O318,$Y$7:$Y$20,0),$AA$6)),"/"),"")</f>
        <v>/</v>
      </c>
      <c r="R318" s="35" t="str">
        <f>IF(N315&lt;&gt;"",IF(INDEX(BDHK2,MATCH(N315,DiemHKII!$B$4:$B$58,0),INDEX($Y$7:$AB$20,MATCH(O318,$Y$7:$Y$20,0),$AB$6))&lt;&gt;"",INDEX(BDHK2,MATCH(N315,DiemHKII!$B$4:$B$58,0),INDEX($Y$7:$AB$20,MATCH(O318,$Y$7:$Y$20,0),$AB$6)),"/"),"")</f>
        <v>/</v>
      </c>
      <c r="S318" s="88"/>
    </row>
    <row r="319" spans="1:19" ht="15.6" customHeight="1">
      <c r="A319" s="88"/>
      <c r="B319" s="79" t="s">
        <v>192</v>
      </c>
      <c r="C319" s="81" t="s">
        <v>27</v>
      </c>
      <c r="D319" s="35">
        <f>IF(B315&lt;&gt;"",IF(INDEX(BDHK2,MATCH(B315,DiemHKII!$B$4:$B$58,0),INDEX($Y$7:$AB$20,MATCH(C319,$Y$7:$Y$20,0),$Z$6))&lt;&gt;"",INDEX(BDHK2,MATCH(B315,DiemHKII!$B$4:$B$58,0),INDEX($Y$7:$AB$20,MATCH(C319,$Y$7:$Y$20,0),$Z$6)),"/"),"")</f>
        <v>8.6999999999999993</v>
      </c>
      <c r="E319" s="35" t="str">
        <f>IF(B315&lt;&gt;"",IF(INDEX(BDHK2,MATCH(B315,DiemHKII!$B$4:$B$58,0),INDEX($Y$7:$AB$20,MATCH(C319,$Y$7:$Y$20,0),$AA$6))&lt;&gt;"",INDEX(BDHK2,MATCH(B315,DiemHKII!$B$4:$B$58,0),INDEX($Y$7:$AB$20,MATCH(C319,$Y$7:$Y$20,0),$AA$6)),"/"),"")</f>
        <v>/</v>
      </c>
      <c r="F319" s="35" t="str">
        <f>IF(B315&lt;&gt;"",IF(INDEX(BDHK2,MATCH(B315,DiemHKII!$B$4:$B$58,0),INDEX($Y$7:$AB$20,MATCH(C319,$Y$7:$Y$20,0),$AB$6))&lt;&gt;"",INDEX(BDHK2,MATCH(B315,DiemHKII!$B$4:$B$58,0),INDEX($Y$7:$AB$20,MATCH(C319,$Y$7:$Y$20,0),$AB$6)),"/"),"")</f>
        <v>/</v>
      </c>
      <c r="G319" s="88"/>
      <c r="H319" s="79" t="s">
        <v>192</v>
      </c>
      <c r="I319" s="81" t="s">
        <v>27</v>
      </c>
      <c r="J319" s="35">
        <f>IF(H315&lt;&gt;"",IF(INDEX(BDHK2,MATCH(H315,DiemHKII!$B$4:$B$58,0),INDEX($Y$7:$AB$20,MATCH(I319,$Y$7:$Y$20,0),$Z$6))&lt;&gt;"",INDEX(BDHK2,MATCH(H315,DiemHKII!$B$4:$B$58,0),INDEX($Y$7:$AB$20,MATCH(I319,$Y$7:$Y$20,0),$Z$6)),"/"),"")</f>
        <v>9.6</v>
      </c>
      <c r="K319" s="35" t="str">
        <f>IF(H315&lt;&gt;"",IF(INDEX(BDHK2,MATCH(H315,DiemHKII!$B$4:$B$58,0),INDEX($Y$7:$AB$20,MATCH(I319,$Y$7:$Y$20,0),$AA$6))&lt;&gt;"",INDEX(BDHK2,MATCH(H315,DiemHKII!$B$4:$B$58,0),INDEX($Y$7:$AB$20,MATCH(I319,$Y$7:$Y$20,0),$AA$6)),"/"),"")</f>
        <v>/</v>
      </c>
      <c r="L319" s="35" t="str">
        <f>IF(H315&lt;&gt;"",IF(INDEX(BDHK2,MATCH(H315,DiemHKII!$B$4:$B$58,0),INDEX($Y$7:$AB$20,MATCH(I319,$Y$7:$Y$20,0),$AB$6))&lt;&gt;"",INDEX(BDHK2,MATCH(H315,DiemHKII!$B$4:$B$58,0),INDEX($Y$7:$AB$20,MATCH(I319,$Y$7:$Y$20,0),$AB$6)),"/"),"")</f>
        <v>/</v>
      </c>
      <c r="M319" s="88"/>
      <c r="N319" s="79" t="s">
        <v>192</v>
      </c>
      <c r="O319" s="81" t="s">
        <v>27</v>
      </c>
      <c r="P319" s="35">
        <f>IF(N315&lt;&gt;"",IF(INDEX(BDHK2,MATCH(N315,DiemHKII!$B$4:$B$58,0),INDEX($Y$7:$AB$20,MATCH(O319,$Y$7:$Y$20,0),$Z$6))&lt;&gt;"",INDEX(BDHK2,MATCH(N315,DiemHKII!$B$4:$B$58,0),INDEX($Y$7:$AB$20,MATCH(O319,$Y$7:$Y$20,0),$Z$6)),"/"),"")</f>
        <v>9.9</v>
      </c>
      <c r="Q319" s="35" t="str">
        <f>IF(N315&lt;&gt;"",IF(INDEX(BDHK2,MATCH(N315,DiemHKII!$B$4:$B$58,0),INDEX($Y$7:$AB$20,MATCH(O319,$Y$7:$Y$20,0),$AA$6))&lt;&gt;"",INDEX(BDHK2,MATCH(N315,DiemHKII!$B$4:$B$58,0),INDEX($Y$7:$AB$20,MATCH(O319,$Y$7:$Y$20,0),$AA$6)),"/"),"")</f>
        <v>/</v>
      </c>
      <c r="R319" s="35" t="str">
        <f>IF(N315&lt;&gt;"",IF(INDEX(BDHK2,MATCH(N315,DiemHKII!$B$4:$B$58,0),INDEX($Y$7:$AB$20,MATCH(O319,$Y$7:$Y$20,0),$AB$6))&lt;&gt;"",INDEX(BDHK2,MATCH(N315,DiemHKII!$B$4:$B$58,0),INDEX($Y$7:$AB$20,MATCH(O319,$Y$7:$Y$20,0),$AB$6)),"/"),"")</f>
        <v>/</v>
      </c>
      <c r="S319" s="88"/>
    </row>
    <row r="320" spans="1:19" ht="15.6" customHeight="1">
      <c r="A320" s="88"/>
      <c r="B320" s="79" t="s">
        <v>193</v>
      </c>
      <c r="C320" s="81" t="s">
        <v>28</v>
      </c>
      <c r="D320" s="35">
        <f>IF(B315&lt;&gt;"",IF(INDEX(BDHK2,MATCH(B315,DiemHKII!$B$4:$B$58,0),INDEX($Y$7:$AB$20,MATCH(C320,$Y$7:$Y$20,0),$Z$6))&lt;&gt;"",INDEX(BDHK2,MATCH(B315,DiemHKII!$B$4:$B$58,0),INDEX($Y$7:$AB$20,MATCH(C320,$Y$7:$Y$20,0),$Z$6)),"/"),"")</f>
        <v>9.1999999999999993</v>
      </c>
      <c r="E320" s="35" t="str">
        <f>IF(B315&lt;&gt;"",IF(INDEX(BDHK2,MATCH(B315,DiemHKII!$B$4:$B$58,0),INDEX($Y$7:$AB$20,MATCH(C320,$Y$7:$Y$20,0),$AA$6))&lt;&gt;"",INDEX(BDHK2,MATCH(B315,DiemHKII!$B$4:$B$58,0),INDEX($Y$7:$AB$20,MATCH(C320,$Y$7:$Y$20,0),$AA$6)),"/"),"")</f>
        <v>/</v>
      </c>
      <c r="F320" s="35" t="str">
        <f>IF(B315&lt;&gt;"",IF(INDEX(BDHK2,MATCH(B315,DiemHKII!$B$4:$B$58,0),INDEX($Y$7:$AB$20,MATCH(C320,$Y$7:$Y$20,0),$AB$6))&lt;&gt;"",INDEX(BDHK2,MATCH(B315,DiemHKII!$B$4:$B$58,0),INDEX($Y$7:$AB$20,MATCH(C320,$Y$7:$Y$20,0),$AB$6)),"/"),"")</f>
        <v>/</v>
      </c>
      <c r="G320" s="88"/>
      <c r="H320" s="79" t="s">
        <v>193</v>
      </c>
      <c r="I320" s="81" t="s">
        <v>28</v>
      </c>
      <c r="J320" s="35">
        <f>IF(H315&lt;&gt;"",IF(INDEX(BDHK2,MATCH(H315,DiemHKII!$B$4:$B$58,0),INDEX($Y$7:$AB$20,MATCH(I320,$Y$7:$Y$20,0),$Z$6))&lt;&gt;"",INDEX(BDHK2,MATCH(H315,DiemHKII!$B$4:$B$58,0),INDEX($Y$7:$AB$20,MATCH(I320,$Y$7:$Y$20,0),$Z$6)),"/"),"")</f>
        <v>9.8000000000000007</v>
      </c>
      <c r="K320" s="35" t="str">
        <f>IF(H315&lt;&gt;"",IF(INDEX(BDHK2,MATCH(H315,DiemHKII!$B$4:$B$58,0),INDEX($Y$7:$AB$20,MATCH(I320,$Y$7:$Y$20,0),$AA$6))&lt;&gt;"",INDEX(BDHK2,MATCH(H315,DiemHKII!$B$4:$B$58,0),INDEX($Y$7:$AB$20,MATCH(I320,$Y$7:$Y$20,0),$AA$6)),"/"),"")</f>
        <v>/</v>
      </c>
      <c r="L320" s="35" t="str">
        <f>IF(H315&lt;&gt;"",IF(INDEX(BDHK2,MATCH(H315,DiemHKII!$B$4:$B$58,0),INDEX($Y$7:$AB$20,MATCH(I320,$Y$7:$Y$20,0),$AB$6))&lt;&gt;"",INDEX(BDHK2,MATCH(H315,DiemHKII!$B$4:$B$58,0),INDEX($Y$7:$AB$20,MATCH(I320,$Y$7:$Y$20,0),$AB$6)),"/"),"")</f>
        <v>/</v>
      </c>
      <c r="M320" s="88"/>
      <c r="N320" s="79" t="s">
        <v>193</v>
      </c>
      <c r="O320" s="81" t="s">
        <v>28</v>
      </c>
      <c r="P320" s="35">
        <f>IF(N315&lt;&gt;"",IF(INDEX(BDHK2,MATCH(N315,DiemHKII!$B$4:$B$58,0),INDEX($Y$7:$AB$20,MATCH(O320,$Y$7:$Y$20,0),$Z$6))&lt;&gt;"",INDEX(BDHK2,MATCH(N315,DiemHKII!$B$4:$B$58,0),INDEX($Y$7:$AB$20,MATCH(O320,$Y$7:$Y$20,0),$Z$6)),"/"),"")</f>
        <v>9.6999999999999993</v>
      </c>
      <c r="Q320" s="35" t="str">
        <f>IF(N315&lt;&gt;"",IF(INDEX(BDHK2,MATCH(N315,DiemHKII!$B$4:$B$58,0),INDEX($Y$7:$AB$20,MATCH(O320,$Y$7:$Y$20,0),$AA$6))&lt;&gt;"",INDEX(BDHK2,MATCH(N315,DiemHKII!$B$4:$B$58,0),INDEX($Y$7:$AB$20,MATCH(O320,$Y$7:$Y$20,0),$AA$6)),"/"),"")</f>
        <v>/</v>
      </c>
      <c r="R320" s="35" t="str">
        <f>IF(N315&lt;&gt;"",IF(INDEX(BDHK2,MATCH(N315,DiemHKII!$B$4:$B$58,0),INDEX($Y$7:$AB$20,MATCH(O320,$Y$7:$Y$20,0),$AB$6))&lt;&gt;"",INDEX(BDHK2,MATCH(N315,DiemHKII!$B$4:$B$58,0),INDEX($Y$7:$AB$20,MATCH(O320,$Y$7:$Y$20,0),$AB$6)),"/"),"")</f>
        <v>/</v>
      </c>
      <c r="S320" s="88"/>
    </row>
    <row r="321" spans="1:19" ht="15.6" customHeight="1">
      <c r="A321" s="88"/>
      <c r="B321" s="79" t="s">
        <v>194</v>
      </c>
      <c r="C321" s="81" t="s">
        <v>29</v>
      </c>
      <c r="D321" s="35">
        <f>IF(B315&lt;&gt;"",IF(INDEX(BDHK2,MATCH(B315,DiemHKII!$B$4:$B$58,0),INDEX($Y$7:$AB$20,MATCH(C321,$Y$7:$Y$20,0),$Z$6))&lt;&gt;"",INDEX(BDHK2,MATCH(B315,DiemHKII!$B$4:$B$58,0),INDEX($Y$7:$AB$20,MATCH(C321,$Y$7:$Y$20,0),$Z$6)),"/"),"")</f>
        <v>8.8000000000000007</v>
      </c>
      <c r="E321" s="35" t="str">
        <f>IF(B315&lt;&gt;"",IF(INDEX(BDHK2,MATCH(B315,DiemHKII!$B$4:$B$58,0),INDEX($Y$7:$AB$20,MATCH(C321,$Y$7:$Y$20,0),$AA$6))&lt;&gt;"",INDEX(BDHK2,MATCH(B315,DiemHKII!$B$4:$B$58,0),INDEX($Y$7:$AB$20,MATCH(C321,$Y$7:$Y$20,0),$AA$6)),"/"),"")</f>
        <v>/</v>
      </c>
      <c r="F321" s="35" t="str">
        <f>IF(B315&lt;&gt;"",IF(INDEX(BDHK2,MATCH(B315,DiemHKII!$B$4:$B$58,0),INDEX($Y$7:$AB$20,MATCH(C321,$Y$7:$Y$20,0),$AB$6))&lt;&gt;"",INDEX(BDHK2,MATCH(B315,DiemHKII!$B$4:$B$58,0),INDEX($Y$7:$AB$20,MATCH(C321,$Y$7:$Y$20,0),$AB$6)),"/"),"")</f>
        <v>/</v>
      </c>
      <c r="G321" s="88"/>
      <c r="H321" s="79" t="s">
        <v>194</v>
      </c>
      <c r="I321" s="81" t="s">
        <v>29</v>
      </c>
      <c r="J321" s="35">
        <f>IF(H315&lt;&gt;"",IF(INDEX(BDHK2,MATCH(H315,DiemHKII!$B$4:$B$58,0),INDEX($Y$7:$AB$20,MATCH(I321,$Y$7:$Y$20,0),$Z$6))&lt;&gt;"",INDEX(BDHK2,MATCH(H315,DiemHKII!$B$4:$B$58,0),INDEX($Y$7:$AB$20,MATCH(I321,$Y$7:$Y$20,0),$Z$6)),"/"),"")</f>
        <v>9.8000000000000007</v>
      </c>
      <c r="K321" s="35" t="str">
        <f>IF(H315&lt;&gt;"",IF(INDEX(BDHK2,MATCH(H315,DiemHKII!$B$4:$B$58,0),INDEX($Y$7:$AB$20,MATCH(I321,$Y$7:$Y$20,0),$AA$6))&lt;&gt;"",INDEX(BDHK2,MATCH(H315,DiemHKII!$B$4:$B$58,0),INDEX($Y$7:$AB$20,MATCH(I321,$Y$7:$Y$20,0),$AA$6)),"/"),"")</f>
        <v>/</v>
      </c>
      <c r="L321" s="35" t="str">
        <f>IF(H315&lt;&gt;"",IF(INDEX(BDHK2,MATCH(H315,DiemHKII!$B$4:$B$58,0),INDEX($Y$7:$AB$20,MATCH(I321,$Y$7:$Y$20,0),$AB$6))&lt;&gt;"",INDEX(BDHK2,MATCH(H315,DiemHKII!$B$4:$B$58,0),INDEX($Y$7:$AB$20,MATCH(I321,$Y$7:$Y$20,0),$AB$6)),"/"),"")</f>
        <v>/</v>
      </c>
      <c r="M321" s="88"/>
      <c r="N321" s="79" t="s">
        <v>194</v>
      </c>
      <c r="O321" s="81" t="s">
        <v>29</v>
      </c>
      <c r="P321" s="35">
        <f>IF(N315&lt;&gt;"",IF(INDEX(BDHK2,MATCH(N315,DiemHKII!$B$4:$B$58,0),INDEX($Y$7:$AB$20,MATCH(O321,$Y$7:$Y$20,0),$Z$6))&lt;&gt;"",INDEX(BDHK2,MATCH(N315,DiemHKII!$B$4:$B$58,0),INDEX($Y$7:$AB$20,MATCH(O321,$Y$7:$Y$20,0),$Z$6)),"/"),"")</f>
        <v>9.4</v>
      </c>
      <c r="Q321" s="35" t="str">
        <f>IF(N315&lt;&gt;"",IF(INDEX(BDHK2,MATCH(N315,DiemHKII!$B$4:$B$58,0),INDEX($Y$7:$AB$20,MATCH(O321,$Y$7:$Y$20,0),$AA$6))&lt;&gt;"",INDEX(BDHK2,MATCH(N315,DiemHKII!$B$4:$B$58,0),INDEX($Y$7:$AB$20,MATCH(O321,$Y$7:$Y$20,0),$AA$6)),"/"),"")</f>
        <v>/</v>
      </c>
      <c r="R321" s="35" t="str">
        <f>IF(N315&lt;&gt;"",IF(INDEX(BDHK2,MATCH(N315,DiemHKII!$B$4:$B$58,0),INDEX($Y$7:$AB$20,MATCH(O321,$Y$7:$Y$20,0),$AB$6))&lt;&gt;"",INDEX(BDHK2,MATCH(N315,DiemHKII!$B$4:$B$58,0),INDEX($Y$7:$AB$20,MATCH(O321,$Y$7:$Y$20,0),$AB$6)),"/"),"")</f>
        <v>/</v>
      </c>
      <c r="S321" s="88"/>
    </row>
    <row r="322" spans="1:19" ht="15.6" customHeight="1">
      <c r="A322" s="88"/>
      <c r="B322" s="79" t="s">
        <v>195</v>
      </c>
      <c r="C322" s="81" t="s">
        <v>120</v>
      </c>
      <c r="D322" s="35">
        <f>IF(B315&lt;&gt;"",IF(INDEX(BDHK2,MATCH(B315,DiemHKII!$B$4:$B$58,0),INDEX($Y$7:$AB$20,MATCH(C322,$Y$7:$Y$20,0),$Z$6))&lt;&gt;"",INDEX(BDHK2,MATCH(B315,DiemHKII!$B$4:$B$58,0),INDEX($Y$7:$AB$20,MATCH(C322,$Y$7:$Y$20,0),$Z$6)),"/"),"")</f>
        <v>9.6</v>
      </c>
      <c r="E322" s="35" t="str">
        <f>IF(B315&lt;&gt;"",IF(INDEX(BDHK2,MATCH(B315,DiemHKII!$B$4:$B$58,0),INDEX($Y$7:$AB$20,MATCH(C322,$Y$7:$Y$20,0),$AA$6))&lt;&gt;"",INDEX(BDHK2,MATCH(B315,DiemHKII!$B$4:$B$58,0),INDEX($Y$7:$AB$20,MATCH(C322,$Y$7:$Y$20,0),$AA$6)),"/"),"")</f>
        <v>/</v>
      </c>
      <c r="F322" s="35" t="str">
        <f>IF(B315&lt;&gt;"",IF(INDEX(BDHK2,MATCH(B315,DiemHKII!$B$4:$B$58,0),INDEX($Y$7:$AB$20,MATCH(C322,$Y$7:$Y$20,0),$AB$6))&lt;&gt;"",INDEX(BDHK2,MATCH(B315,DiemHKII!$B$4:$B$58,0),INDEX($Y$7:$AB$20,MATCH(C322,$Y$7:$Y$20,0),$AB$6)),"/"),"")</f>
        <v>/</v>
      </c>
      <c r="G322" s="88"/>
      <c r="H322" s="79" t="s">
        <v>195</v>
      </c>
      <c r="I322" s="81" t="s">
        <v>120</v>
      </c>
      <c r="J322" s="35">
        <f>IF(H315&lt;&gt;"",IF(INDEX(BDHK2,MATCH(H315,DiemHKII!$B$4:$B$58,0),INDEX($Y$7:$AB$20,MATCH(I322,$Y$7:$Y$20,0),$Z$6))&lt;&gt;"",INDEX(BDHK2,MATCH(H315,DiemHKII!$B$4:$B$58,0),INDEX($Y$7:$AB$20,MATCH(I322,$Y$7:$Y$20,0),$Z$6)),"/"),"")</f>
        <v>9.8000000000000007</v>
      </c>
      <c r="K322" s="35" t="str">
        <f>IF(H315&lt;&gt;"",IF(INDEX(BDHK2,MATCH(H315,DiemHKII!$B$4:$B$58,0),INDEX($Y$7:$AB$20,MATCH(I322,$Y$7:$Y$20,0),$AA$6))&lt;&gt;"",INDEX(BDHK2,MATCH(H315,DiemHKII!$B$4:$B$58,0),INDEX($Y$7:$AB$20,MATCH(I322,$Y$7:$Y$20,0),$AA$6)),"/"),"")</f>
        <v>/</v>
      </c>
      <c r="L322" s="35" t="str">
        <f>IF(H315&lt;&gt;"",IF(INDEX(BDHK2,MATCH(H315,DiemHKII!$B$4:$B$58,0),INDEX($Y$7:$AB$20,MATCH(I322,$Y$7:$Y$20,0),$AB$6))&lt;&gt;"",INDEX(BDHK2,MATCH(H315,DiemHKII!$B$4:$B$58,0),INDEX($Y$7:$AB$20,MATCH(I322,$Y$7:$Y$20,0),$AB$6)),"/"),"")</f>
        <v>/</v>
      </c>
      <c r="M322" s="88"/>
      <c r="N322" s="79" t="s">
        <v>195</v>
      </c>
      <c r="O322" s="81" t="s">
        <v>120</v>
      </c>
      <c r="P322" s="35">
        <f>IF(N315&lt;&gt;"",IF(INDEX(BDHK2,MATCH(N315,DiemHKII!$B$4:$B$58,0),INDEX($Y$7:$AB$20,MATCH(O322,$Y$7:$Y$20,0),$Z$6))&lt;&gt;"",INDEX(BDHK2,MATCH(N315,DiemHKII!$B$4:$B$58,0),INDEX($Y$7:$AB$20,MATCH(O322,$Y$7:$Y$20,0),$Z$6)),"/"),"")</f>
        <v>9.8000000000000007</v>
      </c>
      <c r="Q322" s="35" t="str">
        <f>IF(N315&lt;&gt;"",IF(INDEX(BDHK2,MATCH(N315,DiemHKII!$B$4:$B$58,0),INDEX($Y$7:$AB$20,MATCH(O322,$Y$7:$Y$20,0),$AA$6))&lt;&gt;"",INDEX(BDHK2,MATCH(N315,DiemHKII!$B$4:$B$58,0),INDEX($Y$7:$AB$20,MATCH(O322,$Y$7:$Y$20,0),$AA$6)),"/"),"")</f>
        <v>/</v>
      </c>
      <c r="R322" s="35" t="str">
        <f>IF(N315&lt;&gt;"",IF(INDEX(BDHK2,MATCH(N315,DiemHKII!$B$4:$B$58,0),INDEX($Y$7:$AB$20,MATCH(O322,$Y$7:$Y$20,0),$AB$6))&lt;&gt;"",INDEX(BDHK2,MATCH(N315,DiemHKII!$B$4:$B$58,0),INDEX($Y$7:$AB$20,MATCH(O322,$Y$7:$Y$20,0),$AB$6)),"/"),"")</f>
        <v>/</v>
      </c>
      <c r="S322" s="88"/>
    </row>
    <row r="323" spans="1:19" ht="15.6" customHeight="1">
      <c r="A323" s="88"/>
      <c r="B323" s="79" t="s">
        <v>196</v>
      </c>
      <c r="C323" s="81" t="s">
        <v>30</v>
      </c>
      <c r="D323" s="35">
        <f>IF(B315&lt;&gt;"",IF(INDEX(BDHK2,MATCH(B315,DiemHKII!$B$4:$B$58,0),INDEX($Y$7:$AB$20,MATCH(C323,$Y$7:$Y$20,0),$Z$6))&lt;&gt;"",INDEX(BDHK2,MATCH(B315,DiemHKII!$B$4:$B$58,0),INDEX($Y$7:$AB$20,MATCH(C323,$Y$7:$Y$20,0),$Z$6)),"/"),"")</f>
        <v>8</v>
      </c>
      <c r="E323" s="35" t="str">
        <f>IF(B315&lt;&gt;"",IF(INDEX(BDHK2,MATCH(B315,DiemHKII!$B$4:$B$58,0),INDEX($Y$7:$AB$20,MATCH(C323,$Y$7:$Y$20,0),$AA$6))&lt;&gt;"",INDEX(BDHK2,MATCH(B315,DiemHKII!$B$4:$B$58,0),INDEX($Y$7:$AB$20,MATCH(C323,$Y$7:$Y$20,0),$AA$6)),"/"),"")</f>
        <v>/</v>
      </c>
      <c r="F323" s="35" t="str">
        <f>IF(B315&lt;&gt;"",IF(INDEX(BDHK2,MATCH(B315,DiemHKII!$B$4:$B$58,0),INDEX($Y$7:$AB$20,MATCH(C323,$Y$7:$Y$20,0),$AB$6))&lt;&gt;"",INDEX(BDHK2,MATCH(B315,DiemHKII!$B$4:$B$58,0),INDEX($Y$7:$AB$20,MATCH(C323,$Y$7:$Y$20,0),$AB$6)),"/"),"")</f>
        <v>/</v>
      </c>
      <c r="G323" s="88"/>
      <c r="H323" s="79" t="s">
        <v>196</v>
      </c>
      <c r="I323" s="81" t="s">
        <v>30</v>
      </c>
      <c r="J323" s="35">
        <f>IF(H315&lt;&gt;"",IF(INDEX(BDHK2,MATCH(H315,DiemHKII!$B$4:$B$58,0),INDEX($Y$7:$AB$20,MATCH(I323,$Y$7:$Y$20,0),$Z$6))&lt;&gt;"",INDEX(BDHK2,MATCH(H315,DiemHKII!$B$4:$B$58,0),INDEX($Y$7:$AB$20,MATCH(I323,$Y$7:$Y$20,0),$Z$6)),"/"),"")</f>
        <v>7.5</v>
      </c>
      <c r="K323" s="35" t="str">
        <f>IF(H315&lt;&gt;"",IF(INDEX(BDHK2,MATCH(H315,DiemHKII!$B$4:$B$58,0),INDEX($Y$7:$AB$20,MATCH(I323,$Y$7:$Y$20,0),$AA$6))&lt;&gt;"",INDEX(BDHK2,MATCH(H315,DiemHKII!$B$4:$B$58,0),INDEX($Y$7:$AB$20,MATCH(I323,$Y$7:$Y$20,0),$AA$6)),"/"),"")</f>
        <v>/</v>
      </c>
      <c r="L323" s="35" t="str">
        <f>IF(H315&lt;&gt;"",IF(INDEX(BDHK2,MATCH(H315,DiemHKII!$B$4:$B$58,0),INDEX($Y$7:$AB$20,MATCH(I323,$Y$7:$Y$20,0),$AB$6))&lt;&gt;"",INDEX(BDHK2,MATCH(H315,DiemHKII!$B$4:$B$58,0),INDEX($Y$7:$AB$20,MATCH(I323,$Y$7:$Y$20,0),$AB$6)),"/"),"")</f>
        <v>/</v>
      </c>
      <c r="M323" s="88"/>
      <c r="N323" s="79" t="s">
        <v>196</v>
      </c>
      <c r="O323" s="81" t="s">
        <v>30</v>
      </c>
      <c r="P323" s="35">
        <f>IF(N315&lt;&gt;"",IF(INDEX(BDHK2,MATCH(N315,DiemHKII!$B$4:$B$58,0),INDEX($Y$7:$AB$20,MATCH(O323,$Y$7:$Y$20,0),$Z$6))&lt;&gt;"",INDEX(BDHK2,MATCH(N315,DiemHKII!$B$4:$B$58,0),INDEX($Y$7:$AB$20,MATCH(O323,$Y$7:$Y$20,0),$Z$6)),"/"),"")</f>
        <v>7.8</v>
      </c>
      <c r="Q323" s="35" t="str">
        <f>IF(N315&lt;&gt;"",IF(INDEX(BDHK2,MATCH(N315,DiemHKII!$B$4:$B$58,0),INDEX($Y$7:$AB$20,MATCH(O323,$Y$7:$Y$20,0),$AA$6))&lt;&gt;"",INDEX(BDHK2,MATCH(N315,DiemHKII!$B$4:$B$58,0),INDEX($Y$7:$AB$20,MATCH(O323,$Y$7:$Y$20,0),$AA$6)),"/"),"")</f>
        <v>/</v>
      </c>
      <c r="R323" s="35" t="str">
        <f>IF(N315&lt;&gt;"",IF(INDEX(BDHK2,MATCH(N315,DiemHKII!$B$4:$B$58,0),INDEX($Y$7:$AB$20,MATCH(O323,$Y$7:$Y$20,0),$AB$6))&lt;&gt;"",INDEX(BDHK2,MATCH(N315,DiemHKII!$B$4:$B$58,0),INDEX($Y$7:$AB$20,MATCH(O323,$Y$7:$Y$20,0),$AB$6)),"/"),"")</f>
        <v>/</v>
      </c>
      <c r="S323" s="88"/>
    </row>
    <row r="324" spans="1:19" ht="15.6" customHeight="1">
      <c r="A324" s="88"/>
      <c r="B324" s="79" t="s">
        <v>197</v>
      </c>
      <c r="C324" s="81" t="s">
        <v>31</v>
      </c>
      <c r="D324" s="35">
        <f>IF(B315&lt;&gt;"",IF(INDEX(BDHK2,MATCH(B315,DiemHKII!$B$4:$B$58,0),INDEX($Y$7:$AB$20,MATCH(C324,$Y$7:$Y$20,0),$Z$6))&lt;&gt;"",INDEX(BDHK2,MATCH(B315,DiemHKII!$B$4:$B$58,0),INDEX($Y$7:$AB$20,MATCH(C324,$Y$7:$Y$20,0),$Z$6)),"/"),"")</f>
        <v>9.8000000000000007</v>
      </c>
      <c r="E324" s="35" t="str">
        <f>IF(B315&lt;&gt;"",IF(INDEX(BDHK2,MATCH(B315,DiemHKII!$B$4:$B$58,0),INDEX($Y$7:$AB$20,MATCH(C324,$Y$7:$Y$20,0),$AA$6))&lt;&gt;"",INDEX(BDHK2,MATCH(B315,DiemHKII!$B$4:$B$58,0),INDEX($Y$7:$AB$20,MATCH(C324,$Y$7:$Y$20,0),$AA$6)),"/"),"")</f>
        <v>/</v>
      </c>
      <c r="F324" s="35" t="str">
        <f>IF(B315&lt;&gt;"",IF(INDEX(BDHK2,MATCH(B315,DiemHKII!$B$4:$B$58,0),INDEX($Y$7:$AB$20,MATCH(C324,$Y$7:$Y$20,0),$AB$6))&lt;&gt;"",INDEX(BDHK2,MATCH(B315,DiemHKII!$B$4:$B$58,0),INDEX($Y$7:$AB$20,MATCH(C324,$Y$7:$Y$20,0),$AB$6)),"/"),"")</f>
        <v>/</v>
      </c>
      <c r="G324" s="88"/>
      <c r="H324" s="79" t="s">
        <v>197</v>
      </c>
      <c r="I324" s="81" t="s">
        <v>31</v>
      </c>
      <c r="J324" s="35">
        <f>IF(H315&lt;&gt;"",IF(INDEX(BDHK2,MATCH(H315,DiemHKII!$B$4:$B$58,0),INDEX($Y$7:$AB$20,MATCH(I324,$Y$7:$Y$20,0),$Z$6))&lt;&gt;"",INDEX(BDHK2,MATCH(H315,DiemHKII!$B$4:$B$58,0),INDEX($Y$7:$AB$20,MATCH(I324,$Y$7:$Y$20,0),$Z$6)),"/"),"")</f>
        <v>9.8000000000000007</v>
      </c>
      <c r="K324" s="35" t="str">
        <f>IF(H315&lt;&gt;"",IF(INDEX(BDHK2,MATCH(H315,DiemHKII!$B$4:$B$58,0),INDEX($Y$7:$AB$20,MATCH(I324,$Y$7:$Y$20,0),$AA$6))&lt;&gt;"",INDEX(BDHK2,MATCH(H315,DiemHKII!$B$4:$B$58,0),INDEX($Y$7:$AB$20,MATCH(I324,$Y$7:$Y$20,0),$AA$6)),"/"),"")</f>
        <v>/</v>
      </c>
      <c r="L324" s="35" t="str">
        <f>IF(H315&lt;&gt;"",IF(INDEX(BDHK2,MATCH(H315,DiemHKII!$B$4:$B$58,0),INDEX($Y$7:$AB$20,MATCH(I324,$Y$7:$Y$20,0),$AB$6))&lt;&gt;"",INDEX(BDHK2,MATCH(H315,DiemHKII!$B$4:$B$58,0),INDEX($Y$7:$AB$20,MATCH(I324,$Y$7:$Y$20,0),$AB$6)),"/"),"")</f>
        <v>/</v>
      </c>
      <c r="M324" s="88"/>
      <c r="N324" s="79" t="s">
        <v>197</v>
      </c>
      <c r="O324" s="81" t="s">
        <v>31</v>
      </c>
      <c r="P324" s="35">
        <f>IF(N315&lt;&gt;"",IF(INDEX(BDHK2,MATCH(N315,DiemHKII!$B$4:$B$58,0),INDEX($Y$7:$AB$20,MATCH(O324,$Y$7:$Y$20,0),$Z$6))&lt;&gt;"",INDEX(BDHK2,MATCH(N315,DiemHKII!$B$4:$B$58,0),INDEX($Y$7:$AB$20,MATCH(O324,$Y$7:$Y$20,0),$Z$6)),"/"),"")</f>
        <v>9.8000000000000007</v>
      </c>
      <c r="Q324" s="35" t="str">
        <f>IF(N315&lt;&gt;"",IF(INDEX(BDHK2,MATCH(N315,DiemHKII!$B$4:$B$58,0),INDEX($Y$7:$AB$20,MATCH(O324,$Y$7:$Y$20,0),$AA$6))&lt;&gt;"",INDEX(BDHK2,MATCH(N315,DiemHKII!$B$4:$B$58,0),INDEX($Y$7:$AB$20,MATCH(O324,$Y$7:$Y$20,0),$AA$6)),"/"),"")</f>
        <v>/</v>
      </c>
      <c r="R324" s="35" t="str">
        <f>IF(N315&lt;&gt;"",IF(INDEX(BDHK2,MATCH(N315,DiemHKII!$B$4:$B$58,0),INDEX($Y$7:$AB$20,MATCH(O324,$Y$7:$Y$20,0),$AB$6))&lt;&gt;"",INDEX(BDHK2,MATCH(N315,DiemHKII!$B$4:$B$58,0),INDEX($Y$7:$AB$20,MATCH(O324,$Y$7:$Y$20,0),$AB$6)),"/"),"")</f>
        <v>/</v>
      </c>
      <c r="S324" s="88"/>
    </row>
    <row r="325" spans="1:19" ht="15.6" customHeight="1">
      <c r="A325" s="88"/>
      <c r="B325" s="79" t="s">
        <v>198</v>
      </c>
      <c r="C325" s="81" t="s">
        <v>32</v>
      </c>
      <c r="D325" s="35">
        <f>IF(B315&lt;&gt;"",IF(INDEX(BDHK2,MATCH(B315,DiemHKII!$B$4:$B$58,0),INDEX($Y$7:$AB$20,MATCH(C325,$Y$7:$Y$20,0),$Z$6))&lt;&gt;"",INDEX(BDHK2,MATCH(B315,DiemHKII!$B$4:$B$58,0),INDEX($Y$7:$AB$20,MATCH(C325,$Y$7:$Y$20,0),$Z$6)),"/"),"")</f>
        <v>9.9</v>
      </c>
      <c r="E325" s="35" t="str">
        <f>IF(B315&lt;&gt;"",IF(INDEX(BDHK2,MATCH(B315,DiemHKII!$B$4:$B$58,0),INDEX($Y$7:$AB$20,MATCH(C325,$Y$7:$Y$20,0),$AA$6))&lt;&gt;"",INDEX(BDHK2,MATCH(B315,DiemHKII!$B$4:$B$58,0),INDEX($Y$7:$AB$20,MATCH(C325,$Y$7:$Y$20,0),$AA$6)),"/"),"")</f>
        <v>/</v>
      </c>
      <c r="F325" s="35" t="str">
        <f>IF(B315&lt;&gt;"",IF(INDEX(BDHK2,MATCH(B315,DiemHKII!$B$4:$B$58,0),INDEX($Y$7:$AB$20,MATCH(C325,$Y$7:$Y$20,0),$AB$6))&lt;&gt;"",INDEX(BDHK2,MATCH(B315,DiemHKII!$B$4:$B$58,0),INDEX($Y$7:$AB$20,MATCH(C325,$Y$7:$Y$20,0),$AB$6)),"/"),"")</f>
        <v>/</v>
      </c>
      <c r="G325" s="88"/>
      <c r="H325" s="79" t="s">
        <v>198</v>
      </c>
      <c r="I325" s="81" t="s">
        <v>32</v>
      </c>
      <c r="J325" s="35">
        <f>IF(H315&lt;&gt;"",IF(INDEX(BDHK2,MATCH(H315,DiemHKII!$B$4:$B$58,0),INDEX($Y$7:$AB$20,MATCH(I325,$Y$7:$Y$20,0),$Z$6))&lt;&gt;"",INDEX(BDHK2,MATCH(H315,DiemHKII!$B$4:$B$58,0),INDEX($Y$7:$AB$20,MATCH(I325,$Y$7:$Y$20,0),$Z$6)),"/"),"")</f>
        <v>9.6</v>
      </c>
      <c r="K325" s="35" t="str">
        <f>IF(H315&lt;&gt;"",IF(INDEX(BDHK2,MATCH(H315,DiemHKII!$B$4:$B$58,0),INDEX($Y$7:$AB$20,MATCH(I325,$Y$7:$Y$20,0),$AA$6))&lt;&gt;"",INDEX(BDHK2,MATCH(H315,DiemHKII!$B$4:$B$58,0),INDEX($Y$7:$AB$20,MATCH(I325,$Y$7:$Y$20,0),$AA$6)),"/"),"")</f>
        <v>/</v>
      </c>
      <c r="L325" s="35" t="str">
        <f>IF(H315&lt;&gt;"",IF(INDEX(BDHK2,MATCH(H315,DiemHKII!$B$4:$B$58,0),INDEX($Y$7:$AB$20,MATCH(I325,$Y$7:$Y$20,0),$AB$6))&lt;&gt;"",INDEX(BDHK2,MATCH(H315,DiemHKII!$B$4:$B$58,0),INDEX($Y$7:$AB$20,MATCH(I325,$Y$7:$Y$20,0),$AB$6)),"/"),"")</f>
        <v>/</v>
      </c>
      <c r="M325" s="88"/>
      <c r="N325" s="79" t="s">
        <v>198</v>
      </c>
      <c r="O325" s="81" t="s">
        <v>32</v>
      </c>
      <c r="P325" s="35">
        <f>IF(N315&lt;&gt;"",IF(INDEX(BDHK2,MATCH(N315,DiemHKII!$B$4:$B$58,0),INDEX($Y$7:$AB$20,MATCH(O325,$Y$7:$Y$20,0),$Z$6))&lt;&gt;"",INDEX(BDHK2,MATCH(N315,DiemHKII!$B$4:$B$58,0),INDEX($Y$7:$AB$20,MATCH(O325,$Y$7:$Y$20,0),$Z$6)),"/"),"")</f>
        <v>9.9</v>
      </c>
      <c r="Q325" s="35" t="str">
        <f>IF(N315&lt;&gt;"",IF(INDEX(BDHK2,MATCH(N315,DiemHKII!$B$4:$B$58,0),INDEX($Y$7:$AB$20,MATCH(O325,$Y$7:$Y$20,0),$AA$6))&lt;&gt;"",INDEX(BDHK2,MATCH(N315,DiemHKII!$B$4:$B$58,0),INDEX($Y$7:$AB$20,MATCH(O325,$Y$7:$Y$20,0),$AA$6)),"/"),"")</f>
        <v>/</v>
      </c>
      <c r="R325" s="35" t="str">
        <f>IF(N315&lt;&gt;"",IF(INDEX(BDHK2,MATCH(N315,DiemHKII!$B$4:$B$58,0),INDEX($Y$7:$AB$20,MATCH(O325,$Y$7:$Y$20,0),$AB$6))&lt;&gt;"",INDEX(BDHK2,MATCH(N315,DiemHKII!$B$4:$B$58,0),INDEX($Y$7:$AB$20,MATCH(O325,$Y$7:$Y$20,0),$AB$6)),"/"),"")</f>
        <v>/</v>
      </c>
      <c r="S325" s="88"/>
    </row>
    <row r="326" spans="1:19" ht="15.6" customHeight="1">
      <c r="A326" s="88"/>
      <c r="B326" s="79" t="s">
        <v>199</v>
      </c>
      <c r="C326" s="81" t="s">
        <v>33</v>
      </c>
      <c r="D326" s="35">
        <f>IF(B315&lt;&gt;"",IF(INDEX(BDHK2,MATCH(B315,DiemHKII!$B$4:$B$58,0),INDEX($Y$7:$AB$20,MATCH(C326,$Y$7:$Y$20,0),$Z$6))&lt;&gt;"",INDEX(BDHK2,MATCH(B315,DiemHKII!$B$4:$B$58,0),INDEX($Y$7:$AB$20,MATCH(C326,$Y$7:$Y$20,0),$Z$6)),"/"),"")</f>
        <v>8.8000000000000007</v>
      </c>
      <c r="E326" s="35" t="str">
        <f>IF(B315&lt;&gt;"",IF(INDEX(BDHK2,MATCH(B315,DiemHKII!$B$4:$B$58,0),INDEX($Y$7:$AB$20,MATCH(C326,$Y$7:$Y$20,0),$AA$6))&lt;&gt;"",INDEX(BDHK2,MATCH(B315,DiemHKII!$B$4:$B$58,0),INDEX($Y$7:$AB$20,MATCH(C326,$Y$7:$Y$20,0),$AA$6)),"/"),"")</f>
        <v>/</v>
      </c>
      <c r="F326" s="35" t="str">
        <f>IF(B315&lt;&gt;"",IF(INDEX(BDHK2,MATCH(B315,DiemHKII!$B$4:$B$58,0),INDEX($Y$7:$AB$20,MATCH(C326,$Y$7:$Y$20,0),$AB$6))&lt;&gt;"",INDEX(BDHK2,MATCH(B315,DiemHKII!$B$4:$B$58,0),INDEX($Y$7:$AB$20,MATCH(C326,$Y$7:$Y$20,0),$AB$6)),"/"),"")</f>
        <v>/</v>
      </c>
      <c r="G326" s="88"/>
      <c r="H326" s="79" t="s">
        <v>199</v>
      </c>
      <c r="I326" s="81" t="s">
        <v>33</v>
      </c>
      <c r="J326" s="35">
        <f>IF(H315&lt;&gt;"",IF(INDEX(BDHK2,MATCH(H315,DiemHKII!$B$4:$B$58,0),INDEX($Y$7:$AB$20,MATCH(I326,$Y$7:$Y$20,0),$Z$6))&lt;&gt;"",INDEX(BDHK2,MATCH(H315,DiemHKII!$B$4:$B$58,0),INDEX($Y$7:$AB$20,MATCH(I326,$Y$7:$Y$20,0),$Z$6)),"/"),"")</f>
        <v>8.6</v>
      </c>
      <c r="K326" s="35" t="str">
        <f>IF(H315&lt;&gt;"",IF(INDEX(BDHK2,MATCH(H315,DiemHKII!$B$4:$B$58,0),INDEX($Y$7:$AB$20,MATCH(I326,$Y$7:$Y$20,0),$AA$6))&lt;&gt;"",INDEX(BDHK2,MATCH(H315,DiemHKII!$B$4:$B$58,0),INDEX($Y$7:$AB$20,MATCH(I326,$Y$7:$Y$20,0),$AA$6)),"/"),"")</f>
        <v>/</v>
      </c>
      <c r="L326" s="35" t="str">
        <f>IF(H315&lt;&gt;"",IF(INDEX(BDHK2,MATCH(H315,DiemHKII!$B$4:$B$58,0),INDEX($Y$7:$AB$20,MATCH(I326,$Y$7:$Y$20,0),$AB$6))&lt;&gt;"",INDEX(BDHK2,MATCH(H315,DiemHKII!$B$4:$B$58,0),INDEX($Y$7:$AB$20,MATCH(I326,$Y$7:$Y$20,0),$AB$6)),"/"),"")</f>
        <v>/</v>
      </c>
      <c r="M326" s="88"/>
      <c r="N326" s="79" t="s">
        <v>199</v>
      </c>
      <c r="O326" s="81" t="s">
        <v>33</v>
      </c>
      <c r="P326" s="35">
        <f>IF(N315&lt;&gt;"",IF(INDEX(BDHK2,MATCH(N315,DiemHKII!$B$4:$B$58,0),INDEX($Y$7:$AB$20,MATCH(O326,$Y$7:$Y$20,0),$Z$6))&lt;&gt;"",INDEX(BDHK2,MATCH(N315,DiemHKII!$B$4:$B$58,0),INDEX($Y$7:$AB$20,MATCH(O326,$Y$7:$Y$20,0),$Z$6)),"/"),"")</f>
        <v>9.6</v>
      </c>
      <c r="Q326" s="35" t="str">
        <f>IF(N315&lt;&gt;"",IF(INDEX(BDHK2,MATCH(N315,DiemHKII!$B$4:$B$58,0),INDEX($Y$7:$AB$20,MATCH(O326,$Y$7:$Y$20,0),$AA$6))&lt;&gt;"",INDEX(BDHK2,MATCH(N315,DiemHKII!$B$4:$B$58,0),INDEX($Y$7:$AB$20,MATCH(O326,$Y$7:$Y$20,0),$AA$6)),"/"),"")</f>
        <v>/</v>
      </c>
      <c r="R326" s="35" t="str">
        <f>IF(N315&lt;&gt;"",IF(INDEX(BDHK2,MATCH(N315,DiemHKII!$B$4:$B$58,0),INDEX($Y$7:$AB$20,MATCH(O326,$Y$7:$Y$20,0),$AB$6))&lt;&gt;"",INDEX(BDHK2,MATCH(N315,DiemHKII!$B$4:$B$58,0),INDEX($Y$7:$AB$20,MATCH(O326,$Y$7:$Y$20,0),$AB$6)),"/"),"")</f>
        <v>/</v>
      </c>
      <c r="S326" s="88"/>
    </row>
    <row r="327" spans="1:19" ht="15.6" customHeight="1">
      <c r="A327" s="88"/>
      <c r="B327" s="79" t="s">
        <v>200</v>
      </c>
      <c r="C327" s="81" t="s">
        <v>60</v>
      </c>
      <c r="D327" s="35">
        <f>IF(B315&lt;&gt;"",IF(INDEX(BDHK2,MATCH(B315,DiemHKII!$B$4:$B$58,0),INDEX($Y$7:$AB$20,MATCH(C327,$Y$7:$Y$20,0),$Z$6))&lt;&gt;"",INDEX(BDHK2,MATCH(B315,DiemHKII!$B$4:$B$58,0),INDEX($Y$7:$AB$20,MATCH(C327,$Y$7:$Y$20,0),$Z$6)),"/"),"")</f>
        <v>9.4</v>
      </c>
      <c r="E327" s="35" t="str">
        <f>IF(B315&lt;&gt;"",IF(INDEX(BDHK2,MATCH(B315,DiemHKII!$B$4:$B$58,0),INDEX($Y$7:$AB$20,MATCH(C327,$Y$7:$Y$20,0),$AA$6))&lt;&gt;"",INDEX(BDHK2,MATCH(B315,DiemHKII!$B$4:$B$58,0),INDEX($Y$7:$AB$20,MATCH(C327,$Y$7:$Y$20,0),$AA$6)),"/"),"")</f>
        <v>/</v>
      </c>
      <c r="F327" s="35" t="str">
        <f>IF(B315&lt;&gt;"",IF(INDEX(BDHK2,MATCH(B315,DiemHKII!$B$4:$B$58,0),INDEX($Y$7:$AB$20,MATCH(C327,$Y$7:$Y$20,0),$AB$6))&lt;&gt;"",INDEX(BDHK2,MATCH(B315,DiemHKII!$B$4:$B$58,0),INDEX($Y$7:$AB$20,MATCH(C327,$Y$7:$Y$20,0),$AB$6)),"/"),"")</f>
        <v>/</v>
      </c>
      <c r="G327" s="88"/>
      <c r="H327" s="79" t="s">
        <v>200</v>
      </c>
      <c r="I327" s="81" t="s">
        <v>60</v>
      </c>
      <c r="J327" s="35">
        <f>IF(H315&lt;&gt;"",IF(INDEX(BDHK2,MATCH(H315,DiemHKII!$B$4:$B$58,0),INDEX($Y$7:$AB$20,MATCH(I327,$Y$7:$Y$20,0),$Z$6))&lt;&gt;"",INDEX(BDHK2,MATCH(H315,DiemHKII!$B$4:$B$58,0),INDEX($Y$7:$AB$20,MATCH(I327,$Y$7:$Y$20,0),$Z$6)),"/"),"")</f>
        <v>9.1</v>
      </c>
      <c r="K327" s="35" t="str">
        <f>IF(H315&lt;&gt;"",IF(INDEX(BDHK2,MATCH(H315,DiemHKII!$B$4:$B$58,0),INDEX($Y$7:$AB$20,MATCH(I327,$Y$7:$Y$20,0),$AA$6))&lt;&gt;"",INDEX(BDHK2,MATCH(H315,DiemHKII!$B$4:$B$58,0),INDEX($Y$7:$AB$20,MATCH(I327,$Y$7:$Y$20,0),$AA$6)),"/"),"")</f>
        <v>/</v>
      </c>
      <c r="L327" s="35" t="str">
        <f>IF(H315&lt;&gt;"",IF(INDEX(BDHK2,MATCH(H315,DiemHKII!$B$4:$B$58,0),INDEX($Y$7:$AB$20,MATCH(I327,$Y$7:$Y$20,0),$AB$6))&lt;&gt;"",INDEX(BDHK2,MATCH(H315,DiemHKII!$B$4:$B$58,0),INDEX($Y$7:$AB$20,MATCH(I327,$Y$7:$Y$20,0),$AB$6)),"/"),"")</f>
        <v>/</v>
      </c>
      <c r="M327" s="88"/>
      <c r="N327" s="79" t="s">
        <v>200</v>
      </c>
      <c r="O327" s="81" t="s">
        <v>60</v>
      </c>
      <c r="P327" s="35">
        <f>IF(N315&lt;&gt;"",IF(INDEX(BDHK2,MATCH(N315,DiemHKII!$B$4:$B$58,0),INDEX($Y$7:$AB$20,MATCH(O327,$Y$7:$Y$20,0),$Z$6))&lt;&gt;"",INDEX(BDHK2,MATCH(N315,DiemHKII!$B$4:$B$58,0),INDEX($Y$7:$AB$20,MATCH(O327,$Y$7:$Y$20,0),$Z$6)),"/"),"")</f>
        <v>9.8000000000000007</v>
      </c>
      <c r="Q327" s="35" t="str">
        <f>IF(N315&lt;&gt;"",IF(INDEX(BDHK2,MATCH(N315,DiemHKII!$B$4:$B$58,0),INDEX($Y$7:$AB$20,MATCH(O327,$Y$7:$Y$20,0),$AA$6))&lt;&gt;"",INDEX(BDHK2,MATCH(N315,DiemHKII!$B$4:$B$58,0),INDEX($Y$7:$AB$20,MATCH(O327,$Y$7:$Y$20,0),$AA$6)),"/"),"")</f>
        <v>/</v>
      </c>
      <c r="R327" s="35" t="str">
        <f>IF(N315&lt;&gt;"",IF(INDEX(BDHK2,MATCH(N315,DiemHKII!$B$4:$B$58,0),INDEX($Y$7:$AB$20,MATCH(O327,$Y$7:$Y$20,0),$AB$6))&lt;&gt;"",INDEX(BDHK2,MATCH(N315,DiemHKII!$B$4:$B$58,0),INDEX($Y$7:$AB$20,MATCH(O327,$Y$7:$Y$20,0),$AB$6)),"/"),"")</f>
        <v>/</v>
      </c>
      <c r="S327" s="88"/>
    </row>
    <row r="328" spans="1:19" ht="15.6" customHeight="1">
      <c r="A328" s="88"/>
      <c r="B328" s="79" t="s">
        <v>201</v>
      </c>
      <c r="C328" s="81" t="s">
        <v>34</v>
      </c>
      <c r="D328" s="35">
        <f>IF(B315&lt;&gt;"",IF(INDEX(BDHK2,MATCH(B315,DiemHKII!$B$4:$B$58,0),INDEX($Y$7:$AB$20,MATCH(C328,$Y$7:$Y$20,0),$Z$6))&lt;&gt;"",INDEX(BDHK2,MATCH(B315,DiemHKII!$B$4:$B$58,0),INDEX($Y$7:$AB$20,MATCH(C328,$Y$7:$Y$20,0),$Z$6)),"/"),"")</f>
        <v>9.9</v>
      </c>
      <c r="E328" s="35" t="str">
        <f>IF(B315&lt;&gt;"",IF(INDEX(BDHK2,MATCH(B315,DiemHKII!$B$4:$B$58,0),INDEX($Y$7:$AB$20,MATCH(C328,$Y$7:$Y$20,0),$AA$6))&lt;&gt;"",INDEX(BDHK2,MATCH(B315,DiemHKII!$B$4:$B$58,0),INDEX($Y$7:$AB$20,MATCH(C328,$Y$7:$Y$20,0),$AA$6)),"/"),"")</f>
        <v>/</v>
      </c>
      <c r="F328" s="35" t="str">
        <f>IF(B315&lt;&gt;"",IF(INDEX(BDHK2,MATCH(B315,DiemHKII!$B$4:$B$58,0),INDEX($Y$7:$AB$20,MATCH(C328,$Y$7:$Y$20,0),$AB$6))&lt;&gt;"",INDEX(BDHK2,MATCH(B315,DiemHKII!$B$4:$B$58,0),INDEX($Y$7:$AB$20,MATCH(C328,$Y$7:$Y$20,0),$AB$6)),"/"),"")</f>
        <v>/</v>
      </c>
      <c r="G328" s="88"/>
      <c r="H328" s="79" t="s">
        <v>201</v>
      </c>
      <c r="I328" s="81" t="s">
        <v>34</v>
      </c>
      <c r="J328" s="35">
        <f>IF(H315&lt;&gt;"",IF(INDEX(BDHK2,MATCH(H315,DiemHKII!$B$4:$B$58,0),INDEX($Y$7:$AB$20,MATCH(I328,$Y$7:$Y$20,0),$Z$6))&lt;&gt;"",INDEX(BDHK2,MATCH(H315,DiemHKII!$B$4:$B$58,0),INDEX($Y$7:$AB$20,MATCH(I328,$Y$7:$Y$20,0),$Z$6)),"/"),"")</f>
        <v>9.9</v>
      </c>
      <c r="K328" s="35" t="str">
        <f>IF(H315&lt;&gt;"",IF(INDEX(BDHK2,MATCH(H315,DiemHKII!$B$4:$B$58,0),INDEX($Y$7:$AB$20,MATCH(I328,$Y$7:$Y$20,0),$AA$6))&lt;&gt;"",INDEX(BDHK2,MATCH(H315,DiemHKII!$B$4:$B$58,0),INDEX($Y$7:$AB$20,MATCH(I328,$Y$7:$Y$20,0),$AA$6)),"/"),"")</f>
        <v>/</v>
      </c>
      <c r="L328" s="35" t="str">
        <f>IF(H315&lt;&gt;"",IF(INDEX(BDHK2,MATCH(H315,DiemHKII!$B$4:$B$58,0),INDEX($Y$7:$AB$20,MATCH(I328,$Y$7:$Y$20,0),$AB$6))&lt;&gt;"",INDEX(BDHK2,MATCH(H315,DiemHKII!$B$4:$B$58,0),INDEX($Y$7:$AB$20,MATCH(I328,$Y$7:$Y$20,0),$AB$6)),"/"),"")</f>
        <v>/</v>
      </c>
      <c r="M328" s="88"/>
      <c r="N328" s="79" t="s">
        <v>201</v>
      </c>
      <c r="O328" s="81" t="s">
        <v>34</v>
      </c>
      <c r="P328" s="35">
        <f>IF(N315&lt;&gt;"",IF(INDEX(BDHK2,MATCH(N315,DiemHKII!$B$4:$B$58,0),INDEX($Y$7:$AB$20,MATCH(O328,$Y$7:$Y$20,0),$Z$6))&lt;&gt;"",INDEX(BDHK2,MATCH(N315,DiemHKII!$B$4:$B$58,0),INDEX($Y$7:$AB$20,MATCH(O328,$Y$7:$Y$20,0),$Z$6)),"/"),"")</f>
        <v>9.9</v>
      </c>
      <c r="Q328" s="35" t="str">
        <f>IF(N315&lt;&gt;"",IF(INDEX(BDHK2,MATCH(N315,DiemHKII!$B$4:$B$58,0),INDEX($Y$7:$AB$20,MATCH(O328,$Y$7:$Y$20,0),$AA$6))&lt;&gt;"",INDEX(BDHK2,MATCH(N315,DiemHKII!$B$4:$B$58,0),INDEX($Y$7:$AB$20,MATCH(O328,$Y$7:$Y$20,0),$AA$6)),"/"),"")</f>
        <v>/</v>
      </c>
      <c r="R328" s="35" t="str">
        <f>IF(N315&lt;&gt;"",IF(INDEX(BDHK2,MATCH(N315,DiemHKII!$B$4:$B$58,0),INDEX($Y$7:$AB$20,MATCH(O328,$Y$7:$Y$20,0),$AB$6))&lt;&gt;"",INDEX(BDHK2,MATCH(N315,DiemHKII!$B$4:$B$58,0),INDEX($Y$7:$AB$20,MATCH(O328,$Y$7:$Y$20,0),$AB$6)),"/"),"")</f>
        <v>/</v>
      </c>
      <c r="S328" s="88"/>
    </row>
    <row r="329" spans="1:19" ht="15.6" customHeight="1">
      <c r="A329" s="88"/>
      <c r="B329" s="79" t="s">
        <v>202</v>
      </c>
      <c r="C329" s="81" t="s">
        <v>35</v>
      </c>
      <c r="D329" s="35" t="str">
        <f>IF(B315&lt;&gt;"",IF(INDEX(BDHK2,MATCH(B315,DiemHKII!$B$4:$B$58,0),INDEX($Y$7:$AB$20,MATCH(C329,$Y$7:$Y$20,0),$Z$6))&lt;&gt;"",INDEX(BDHK2,MATCH(B315,DiemHKII!$B$4:$B$58,0),INDEX($Y$7:$AB$20,MATCH(C329,$Y$7:$Y$20,0),$Z$6)),"/"),"")</f>
        <v>Đ</v>
      </c>
      <c r="E329" s="35" t="str">
        <f>IF(B315&lt;&gt;"",IF(INDEX(BDHK2,MATCH(B315,DiemHKII!$B$4:$B$58,0),INDEX($Y$7:$AB$20,MATCH(C329,$Y$7:$Y$20,0),$AA$6))&lt;&gt;"",INDEX(BDHK2,MATCH(B315,DiemHKII!$B$4:$B$58,0),INDEX($Y$7:$AB$20,MATCH(C329,$Y$7:$Y$20,0),$AA$6)),"/"),"")</f>
        <v>/</v>
      </c>
      <c r="F329" s="35" t="str">
        <f>IF(B315&lt;&gt;"",IF(INDEX(BDHK2,MATCH(B315,DiemHKII!$B$4:$B$58,0),INDEX($Y$7:$AB$20,MATCH(C329,$Y$7:$Y$20,0),$AB$6))&lt;&gt;"",INDEX(BDHK2,MATCH(B315,DiemHKII!$B$4:$B$58,0),INDEX($Y$7:$AB$20,MATCH(C329,$Y$7:$Y$20,0),$AB$6)),"/"),"")</f>
        <v>Đ</v>
      </c>
      <c r="G329" s="88"/>
      <c r="H329" s="79" t="s">
        <v>202</v>
      </c>
      <c r="I329" s="81" t="s">
        <v>35</v>
      </c>
      <c r="J329" s="35" t="str">
        <f>IF(H315&lt;&gt;"",IF(INDEX(BDHK2,MATCH(H315,DiemHKII!$B$4:$B$58,0),INDEX($Y$7:$AB$20,MATCH(I329,$Y$7:$Y$20,0),$Z$6))&lt;&gt;"",INDEX(BDHK2,MATCH(H315,DiemHKII!$B$4:$B$58,0),INDEX($Y$7:$AB$20,MATCH(I329,$Y$7:$Y$20,0),$Z$6)),"/"),"")</f>
        <v>Đ</v>
      </c>
      <c r="K329" s="35" t="str">
        <f>IF(H315&lt;&gt;"",IF(INDEX(BDHK2,MATCH(H315,DiemHKII!$B$4:$B$58,0),INDEX($Y$7:$AB$20,MATCH(I329,$Y$7:$Y$20,0),$AA$6))&lt;&gt;"",INDEX(BDHK2,MATCH(H315,DiemHKII!$B$4:$B$58,0),INDEX($Y$7:$AB$20,MATCH(I329,$Y$7:$Y$20,0),$AA$6)),"/"),"")</f>
        <v>/</v>
      </c>
      <c r="L329" s="35" t="str">
        <f>IF(H315&lt;&gt;"",IF(INDEX(BDHK2,MATCH(H315,DiemHKII!$B$4:$B$58,0),INDEX($Y$7:$AB$20,MATCH(I329,$Y$7:$Y$20,0),$AB$6))&lt;&gt;"",INDEX(BDHK2,MATCH(H315,DiemHKII!$B$4:$B$58,0),INDEX($Y$7:$AB$20,MATCH(I329,$Y$7:$Y$20,0),$AB$6)),"/"),"")</f>
        <v>Đ</v>
      </c>
      <c r="M329" s="88"/>
      <c r="N329" s="79" t="s">
        <v>202</v>
      </c>
      <c r="O329" s="81" t="s">
        <v>35</v>
      </c>
      <c r="P329" s="35" t="str">
        <f>IF(N315&lt;&gt;"",IF(INDEX(BDHK2,MATCH(N315,DiemHKII!$B$4:$B$58,0),INDEX($Y$7:$AB$20,MATCH(O329,$Y$7:$Y$20,0),$Z$6))&lt;&gt;"",INDEX(BDHK2,MATCH(N315,DiemHKII!$B$4:$B$58,0),INDEX($Y$7:$AB$20,MATCH(O329,$Y$7:$Y$20,0),$Z$6)),"/"),"")</f>
        <v>Đ</v>
      </c>
      <c r="Q329" s="35" t="str">
        <f>IF(N315&lt;&gt;"",IF(INDEX(BDHK2,MATCH(N315,DiemHKII!$B$4:$B$58,0),INDEX($Y$7:$AB$20,MATCH(O329,$Y$7:$Y$20,0),$AA$6))&lt;&gt;"",INDEX(BDHK2,MATCH(N315,DiemHKII!$B$4:$B$58,0),INDEX($Y$7:$AB$20,MATCH(O329,$Y$7:$Y$20,0),$AA$6)),"/"),"")</f>
        <v>/</v>
      </c>
      <c r="R329" s="35" t="str">
        <f>IF(N315&lt;&gt;"",IF(INDEX(BDHK2,MATCH(N315,DiemHKII!$B$4:$B$58,0),INDEX($Y$7:$AB$20,MATCH(O329,$Y$7:$Y$20,0),$AB$6))&lt;&gt;"",INDEX(BDHK2,MATCH(N315,DiemHKII!$B$4:$B$58,0),INDEX($Y$7:$AB$20,MATCH(O329,$Y$7:$Y$20,0),$AB$6)),"/"),"")</f>
        <v>Đ</v>
      </c>
      <c r="S329" s="88"/>
    </row>
    <row r="330" spans="1:19" ht="15.6" customHeight="1">
      <c r="A330" s="88"/>
      <c r="B330" s="79" t="s">
        <v>203</v>
      </c>
      <c r="C330" s="81" t="s">
        <v>121</v>
      </c>
      <c r="D330" s="35">
        <f>IF(B315&lt;&gt;"",IF(INDEX(BDHK2,MATCH(B315,DiemHKII!$B$4:$B$58,0),INDEX($Y$7:$AB$20,MATCH(C330,$Y$7:$Y$20,0),$Z$6))&lt;&gt;"",INDEX(BDHK2,MATCH(B315,DiemHKII!$B$4:$B$58,0),INDEX($Y$7:$AB$20,MATCH(C330,$Y$7:$Y$20,0),$Z$6)),"/"),"")</f>
        <v>9.9</v>
      </c>
      <c r="E330" s="35" t="str">
        <f>IF(B315&lt;&gt;"",IF(INDEX(BDHK2,MATCH(B315,DiemHKII!$B$4:$B$58,0),INDEX($Y$7:$AB$20,MATCH(C330,$Y$7:$Y$20,0),$AA$6))&lt;&gt;"",INDEX(BDHK2,MATCH(B315,DiemHKII!$B$4:$B$58,0),INDEX($Y$7:$AB$20,MATCH(C330,$Y$7:$Y$20,0),$AA$6)),"/"),"")</f>
        <v>/</v>
      </c>
      <c r="F330" s="35" t="str">
        <f>IF(B315&lt;&gt;"",IF(INDEX(BDHK2,MATCH(B315,DiemHKII!$B$4:$B$58,0),INDEX($Y$7:$AB$20,MATCH(C330,$Y$7:$Y$20,0),$AB$6))&lt;&gt;"",INDEX(BDHK2,MATCH(B315,DiemHKII!$B$4:$B$58,0),INDEX($Y$7:$AB$20,MATCH(C330,$Y$7:$Y$20,0),$AB$6)),"/"),"")</f>
        <v>/</v>
      </c>
      <c r="G330" s="88"/>
      <c r="H330" s="79" t="s">
        <v>203</v>
      </c>
      <c r="I330" s="81" t="s">
        <v>121</v>
      </c>
      <c r="J330" s="35">
        <f>IF(H315&lt;&gt;"",IF(INDEX(BDHK2,MATCH(H315,DiemHKII!$B$4:$B$58,0),INDEX($Y$7:$AB$20,MATCH(I330,$Y$7:$Y$20,0),$Z$6))&lt;&gt;"",INDEX(BDHK2,MATCH(H315,DiemHKII!$B$4:$B$58,0),INDEX($Y$7:$AB$20,MATCH(I330,$Y$7:$Y$20,0),$Z$6)),"/"),"")</f>
        <v>9.9</v>
      </c>
      <c r="K330" s="35" t="str">
        <f>IF(H315&lt;&gt;"",IF(INDEX(BDHK2,MATCH(H315,DiemHKII!$B$4:$B$58,0),INDEX($Y$7:$AB$20,MATCH(I330,$Y$7:$Y$20,0),$AA$6))&lt;&gt;"",INDEX(BDHK2,MATCH(H315,DiemHKII!$B$4:$B$58,0),INDEX($Y$7:$AB$20,MATCH(I330,$Y$7:$Y$20,0),$AA$6)),"/"),"")</f>
        <v>/</v>
      </c>
      <c r="L330" s="35" t="str">
        <f>IF(H315&lt;&gt;"",IF(INDEX(BDHK2,MATCH(H315,DiemHKII!$B$4:$B$58,0),INDEX($Y$7:$AB$20,MATCH(I330,$Y$7:$Y$20,0),$AB$6))&lt;&gt;"",INDEX(BDHK2,MATCH(H315,DiemHKII!$B$4:$B$58,0),INDEX($Y$7:$AB$20,MATCH(I330,$Y$7:$Y$20,0),$AB$6)),"/"),"")</f>
        <v>/</v>
      </c>
      <c r="M330" s="88"/>
      <c r="N330" s="79" t="s">
        <v>203</v>
      </c>
      <c r="O330" s="81" t="s">
        <v>121</v>
      </c>
      <c r="P330" s="35">
        <f>IF(N315&lt;&gt;"",IF(INDEX(BDHK2,MATCH(N315,DiemHKII!$B$4:$B$58,0),INDEX($Y$7:$AB$20,MATCH(O330,$Y$7:$Y$20,0),$Z$6))&lt;&gt;"",INDEX(BDHK2,MATCH(N315,DiemHKII!$B$4:$B$58,0),INDEX($Y$7:$AB$20,MATCH(O330,$Y$7:$Y$20,0),$Z$6)),"/"),"")</f>
        <v>9.9</v>
      </c>
      <c r="Q330" s="35" t="str">
        <f>IF(N315&lt;&gt;"",IF(INDEX(BDHK2,MATCH(N315,DiemHKII!$B$4:$B$58,0),INDEX($Y$7:$AB$20,MATCH(O330,$Y$7:$Y$20,0),$AA$6))&lt;&gt;"",INDEX(BDHK2,MATCH(N315,DiemHKII!$B$4:$B$58,0),INDEX($Y$7:$AB$20,MATCH(O330,$Y$7:$Y$20,0),$AA$6)),"/"),"")</f>
        <v>/</v>
      </c>
      <c r="R330" s="35" t="str">
        <f>IF(N315&lt;&gt;"",IF(INDEX(BDHK2,MATCH(N315,DiemHKII!$B$4:$B$58,0),INDEX($Y$7:$AB$20,MATCH(O330,$Y$7:$Y$20,0),$AB$6))&lt;&gt;"",INDEX(BDHK2,MATCH(N315,DiemHKII!$B$4:$B$58,0),INDEX($Y$7:$AB$20,MATCH(O330,$Y$7:$Y$20,0),$AB$6)),"/"),"")</f>
        <v>/</v>
      </c>
      <c r="S330" s="88"/>
    </row>
    <row r="331" spans="1:19" ht="15.6" customHeight="1">
      <c r="A331" s="88"/>
      <c r="B331" s="79" t="s">
        <v>204</v>
      </c>
      <c r="C331" s="81" t="s">
        <v>122</v>
      </c>
      <c r="D331" s="35" t="str">
        <f>IF(B315&lt;&gt;"",IF(INDEX(BDHK2,MATCH(B315,DiemHKII!$B$4:$B$58,0),INDEX($Y$7:$AB$20,MATCH(C331,$Y$7:$Y$20,0),$Z$6))&lt;&gt;"",INDEX(BDHK2,MATCH(B315,DiemHKII!$B$4:$B$58,0),INDEX($Y$7:$AB$20,MATCH(C331,$Y$7:$Y$20,0),$Z$6)),"/"),"")</f>
        <v>/</v>
      </c>
      <c r="E331" s="35" t="str">
        <f>IF(B315&lt;&gt;"",IF(INDEX(BDHK2,MATCH(B315,DiemHKII!$B$4:$B$58,0),INDEX($Y$7:$AB$20,MATCH(C331,$Y$7:$Y$20,0),$AA$6))&lt;&gt;"",INDEX(BDHK2,MATCH(B315,DiemHKII!$B$4:$B$58,0),INDEX($Y$7:$AB$20,MATCH(C331,$Y$7:$Y$20,0),$AA$6)),"/"),"")</f>
        <v>/</v>
      </c>
      <c r="F331" s="35" t="str">
        <f>IF(B315&lt;&gt;"",IF(INDEX(BDHK2,MATCH(B315,DiemHKII!$B$4:$B$58,0),INDEX($Y$7:$AB$20,MATCH(C331,$Y$7:$Y$20,0),$AB$6))&lt;&gt;"",INDEX(BDHK2,MATCH(B315,DiemHKII!$B$4:$B$58,0),INDEX($Y$7:$AB$20,MATCH(C331,$Y$7:$Y$20,0),$AB$6)),"/"),"")</f>
        <v>/</v>
      </c>
      <c r="G331" s="88"/>
      <c r="H331" s="79" t="s">
        <v>204</v>
      </c>
      <c r="I331" s="81" t="s">
        <v>122</v>
      </c>
      <c r="J331" s="35" t="str">
        <f>IF(H315&lt;&gt;"",IF(INDEX(BDHK2,MATCH(H315,DiemHKII!$B$4:$B$58,0),INDEX($Y$7:$AB$20,MATCH(I331,$Y$7:$Y$20,0),$Z$6))&lt;&gt;"",INDEX(BDHK2,MATCH(H315,DiemHKII!$B$4:$B$58,0),INDEX($Y$7:$AB$20,MATCH(I331,$Y$7:$Y$20,0),$Z$6)),"/"),"")</f>
        <v>/</v>
      </c>
      <c r="K331" s="35" t="str">
        <f>IF(H315&lt;&gt;"",IF(INDEX(BDHK2,MATCH(H315,DiemHKII!$B$4:$B$58,0),INDEX($Y$7:$AB$20,MATCH(I331,$Y$7:$Y$20,0),$AA$6))&lt;&gt;"",INDEX(BDHK2,MATCH(H315,DiemHKII!$B$4:$B$58,0),INDEX($Y$7:$AB$20,MATCH(I331,$Y$7:$Y$20,0),$AA$6)),"/"),"")</f>
        <v>/</v>
      </c>
      <c r="L331" s="35" t="str">
        <f>IF(H315&lt;&gt;"",IF(INDEX(BDHK2,MATCH(H315,DiemHKII!$B$4:$B$58,0),INDEX($Y$7:$AB$20,MATCH(I331,$Y$7:$Y$20,0),$AB$6))&lt;&gt;"",INDEX(BDHK2,MATCH(H315,DiemHKII!$B$4:$B$58,0),INDEX($Y$7:$AB$20,MATCH(I331,$Y$7:$Y$20,0),$AB$6)),"/"),"")</f>
        <v>/</v>
      </c>
      <c r="M331" s="88"/>
      <c r="N331" s="79" t="s">
        <v>204</v>
      </c>
      <c r="O331" s="81" t="s">
        <v>122</v>
      </c>
      <c r="P331" s="35" t="str">
        <f>IF(N315&lt;&gt;"",IF(INDEX(BDHK2,MATCH(N315,DiemHKII!$B$4:$B$58,0),INDEX($Y$7:$AB$20,MATCH(O331,$Y$7:$Y$20,0),$Z$6))&lt;&gt;"",INDEX(BDHK2,MATCH(N315,DiemHKII!$B$4:$B$58,0),INDEX($Y$7:$AB$20,MATCH(O331,$Y$7:$Y$20,0),$Z$6)),"/"),"")</f>
        <v>/</v>
      </c>
      <c r="Q331" s="35" t="str">
        <f>IF(N315&lt;&gt;"",IF(INDEX(BDHK2,MATCH(N315,DiemHKII!$B$4:$B$58,0),INDEX($Y$7:$AB$20,MATCH(O331,$Y$7:$Y$20,0),$AA$6))&lt;&gt;"",INDEX(BDHK2,MATCH(N315,DiemHKII!$B$4:$B$58,0),INDEX($Y$7:$AB$20,MATCH(O331,$Y$7:$Y$20,0),$AA$6)),"/"),"")</f>
        <v>/</v>
      </c>
      <c r="R331" s="35" t="str">
        <f>IF(N315&lt;&gt;"",IF(INDEX(BDHK2,MATCH(N315,DiemHKII!$B$4:$B$58,0),INDEX($Y$7:$AB$20,MATCH(O331,$Y$7:$Y$20,0),$AB$6))&lt;&gt;"",INDEX(BDHK2,MATCH(N315,DiemHKII!$B$4:$B$58,0),INDEX($Y$7:$AB$20,MATCH(O331,$Y$7:$Y$20,0),$AB$6)),"/"),"")</f>
        <v>/</v>
      </c>
      <c r="S331" s="88"/>
    </row>
    <row r="332" spans="1:19" ht="15.6" customHeight="1">
      <c r="A332" s="88"/>
      <c r="B332" s="79" t="s">
        <v>208</v>
      </c>
      <c r="C332" s="81" t="s">
        <v>217</v>
      </c>
      <c r="D332" s="80">
        <f>IF(B315&lt;&gt;"",IF(INDEX('TH CANAM'!$A$9:$BF$63,MATCH(B315,'TH CANAM'!$A$9:$A$63,0),46)&lt;&gt;"",INDEX('TH CANAM'!$A$9:$BF$63,MATCH(B315,'TH CANAM'!$A$9:$A$63,0),46),"/"),"")</f>
        <v>9.3000000000000007</v>
      </c>
      <c r="E332" s="80" t="str">
        <f>IF(B315&lt;&gt;"",IF(INDEX('TH CANAM'!$A$9:$BF$63,MATCH(B315,'TH CANAM'!$A$9:$A$63,0),47)&lt;&gt;"",INDEX('TH CANAM'!$A$9:$BF$63,MATCH(B315,'TH CANAM'!$A$9:$A$63,0),47),"/"),"")</f>
        <v>/</v>
      </c>
      <c r="F332" s="80" t="str">
        <f>IF(B315&lt;&gt;"",IF(INDEX('TH CANAM'!$A$9:$BF$63,MATCH(B315,'TH CANAM'!$A$9:$A$63,0),48)&lt;&gt;"",INDEX('TH CANAM'!$A$9:$BF$63,MATCH(B315,'TH CANAM'!$A$9:$A$63,0),48),"/"),"")</f>
        <v>/</v>
      </c>
      <c r="G332" s="88"/>
      <c r="H332" s="79" t="s">
        <v>208</v>
      </c>
      <c r="I332" s="81" t="s">
        <v>217</v>
      </c>
      <c r="J332" s="80">
        <f>IF(H315&lt;&gt;"",IF(INDEX('TH CANAM'!$A$9:$BF$63,MATCH(H315,'TH CANAM'!$A$9:$A$63,0),46)&lt;&gt;"",INDEX('TH CANAM'!$A$9:$BF$63,MATCH(H315,'TH CANAM'!$A$9:$A$63,0),46),"/"),"")</f>
        <v>9.4</v>
      </c>
      <c r="K332" s="80" t="str">
        <f>IF(H315&lt;&gt;"",IF(INDEX('TH CANAM'!$A$9:$BF$63,MATCH(H315,'TH CANAM'!$A$9:$A$63,0),47)&lt;&gt;"",INDEX('TH CANAM'!$A$9:$BF$63,MATCH(H315,'TH CANAM'!$A$9:$A$63,0),47),"/"),"")</f>
        <v>/</v>
      </c>
      <c r="L332" s="80" t="str">
        <f>IF(H315&lt;&gt;"",IF(INDEX('TH CANAM'!$A$9:$BF$63,MATCH(H315,'TH CANAM'!$A$9:$A$63,0),48)&lt;&gt;"",INDEX('TH CANAM'!$A$9:$BF$63,MATCH(H315,'TH CANAM'!$A$9:$A$63,0),48),"/"),"")</f>
        <v>/</v>
      </c>
      <c r="M332" s="88"/>
      <c r="N332" s="79" t="s">
        <v>208</v>
      </c>
      <c r="O332" s="81" t="s">
        <v>217</v>
      </c>
      <c r="P332" s="80">
        <f>IF(N315&lt;&gt;"",IF(INDEX('TH CANAM'!$A$9:$BF$63,MATCH(N315,'TH CANAM'!$A$9:$A$63,0),46)&lt;&gt;"",INDEX('TH CANAM'!$A$9:$BF$63,MATCH(N315,'TH CANAM'!$A$9:$A$63,0),46),"/"),"")</f>
        <v>9.6</v>
      </c>
      <c r="Q332" s="80" t="str">
        <f>IF(N315&lt;&gt;"",IF(INDEX('TH CANAM'!$A$9:$BF$63,MATCH(N315,'TH CANAM'!$A$9:$A$63,0),47)&lt;&gt;"",INDEX('TH CANAM'!$A$9:$BF$63,MATCH(N315,'TH CANAM'!$A$9:$A$63,0),47),"/"),"")</f>
        <v>/</v>
      </c>
      <c r="R332" s="80" t="str">
        <f>IF(N315&lt;&gt;"",IF(INDEX('TH CANAM'!$A$9:$BF$63,MATCH(N315,'TH CANAM'!$A$9:$A$63,0),48)&lt;&gt;"",INDEX('TH CANAM'!$A$9:$BF$63,MATCH(N315,'TH CANAM'!$A$9:$A$63,0),48),"/"),"")</f>
        <v>/</v>
      </c>
      <c r="S332" s="88"/>
    </row>
    <row r="333" spans="1:19" ht="15.6" customHeight="1">
      <c r="A333" s="88"/>
      <c r="B333" s="79" t="s">
        <v>209</v>
      </c>
      <c r="C333" s="82" t="s">
        <v>36</v>
      </c>
      <c r="D333" s="35" t="str">
        <f>IF(B315&lt;&gt;"",IF(INDEX('TH CANAM'!$A$9:$BF$63,MATCH(B315,'TH CANAM'!$A$9:$A$63,0),49)&lt;&gt;"",INDEX('TH CANAM'!$A$9:$BF$63,MATCH(B315,'TH CANAM'!$A$9:$A$63,0),49),"/"),"")</f>
        <v>Giỏi</v>
      </c>
      <c r="E333" s="35" t="str">
        <f>IF(B315&lt;&gt;"",IF(INDEX('TH CANAM'!$A$9:$BF$63,MATCH(B315,'TH CANAM'!$A$9:$A$63,0),50)&lt;&gt;"",INDEX('TH CANAM'!$A$9:$BF$63,MATCH(B315,'TH CANAM'!$A$9:$A$63,0),50),"/"),"")</f>
        <v>/</v>
      </c>
      <c r="F333" s="35" t="str">
        <f>IF(B315&lt;&gt;"",IF(INDEX('TH CANAM'!$A$9:$BF$63,MATCH(B315,'TH CANAM'!$A$9:$A$63,0),51)&lt;&gt;"",INDEX('TH CANAM'!$A$9:$BF$63,MATCH(B315,'TH CANAM'!$A$9:$A$63,0),51),"/"),"")</f>
        <v>/</v>
      </c>
      <c r="G333" s="88"/>
      <c r="H333" s="79" t="s">
        <v>209</v>
      </c>
      <c r="I333" s="82" t="s">
        <v>36</v>
      </c>
      <c r="J333" s="35" t="str">
        <f>IF(H315&lt;&gt;"",IF(INDEX('TH CANAM'!$A$9:$BF$63,MATCH(H315,'TH CANAM'!$A$9:$A$63,0),49)&lt;&gt;"",INDEX('TH CANAM'!$A$9:$BF$63,MATCH(H315,'TH CANAM'!$A$9:$A$63,0),49),"/"),"")</f>
        <v>Giỏi</v>
      </c>
      <c r="K333" s="35" t="str">
        <f>IF(H315&lt;&gt;"",IF(INDEX('TH CANAM'!$A$9:$BF$63,MATCH(H315,'TH CANAM'!$A$9:$A$63,0),50)&lt;&gt;"",INDEX('TH CANAM'!$A$9:$BF$63,MATCH(H315,'TH CANAM'!$A$9:$A$63,0),50),"/"),"")</f>
        <v>/</v>
      </c>
      <c r="L333" s="35" t="str">
        <f>IF(H315&lt;&gt;"",IF(INDEX('TH CANAM'!$A$9:$BF$63,MATCH(H315,'TH CANAM'!$A$9:$A$63,0),51)&lt;&gt;"",INDEX('TH CANAM'!$A$9:$BF$63,MATCH(H315,'TH CANAM'!$A$9:$A$63,0),51),"/"),"")</f>
        <v>/</v>
      </c>
      <c r="M333" s="88"/>
      <c r="N333" s="79" t="s">
        <v>209</v>
      </c>
      <c r="O333" s="82" t="s">
        <v>36</v>
      </c>
      <c r="P333" s="35" t="str">
        <f>IF(N315&lt;&gt;"",IF(INDEX('TH CANAM'!$A$9:$BF$63,MATCH(N315,'TH CANAM'!$A$9:$A$63,0),49)&lt;&gt;"",INDEX('TH CANAM'!$A$9:$BF$63,MATCH(N315,'TH CANAM'!$A$9:$A$63,0),49),"/"),"")</f>
        <v>Giỏi</v>
      </c>
      <c r="Q333" s="35" t="str">
        <f>IF(N315&lt;&gt;"",IF(INDEX('TH CANAM'!$A$9:$BF$63,MATCH(N315,'TH CANAM'!$A$9:$A$63,0),50)&lt;&gt;"",INDEX('TH CANAM'!$A$9:$BF$63,MATCH(N315,'TH CANAM'!$A$9:$A$63,0),50),"/"),"")</f>
        <v>/</v>
      </c>
      <c r="R333" s="35" t="str">
        <f>IF(N315&lt;&gt;"",IF(INDEX('TH CANAM'!$A$9:$BF$63,MATCH(N315,'TH CANAM'!$A$9:$A$63,0),51)&lt;&gt;"",INDEX('TH CANAM'!$A$9:$BF$63,MATCH(N315,'TH CANAM'!$A$9:$A$63,0),51),"/"),"")</f>
        <v>/</v>
      </c>
      <c r="S333" s="88"/>
    </row>
    <row r="334" spans="1:19" ht="15.6" customHeight="1">
      <c r="A334" s="88"/>
      <c r="B334" s="79" t="s">
        <v>210</v>
      </c>
      <c r="C334" s="82" t="s">
        <v>37</v>
      </c>
      <c r="D334" s="35" t="str">
        <f>IF(B315&lt;&gt;"",IF(INDEX('TH CANAM'!$A$9:$BF$63,MATCH(B315,'TH CANAM'!$A$9:$A$63,0),52)&lt;&gt;"",INDEX('TH CANAM'!$A$9:$BF$63,MATCH(B315,'TH CANAM'!$A$9:$A$63,0),52),"/"),"")</f>
        <v>Tốt</v>
      </c>
      <c r="E334" s="35" t="str">
        <f>IF(B315&lt;&gt;"",IF(INDEX('TH CANAM'!$A$9:$BF$63,MATCH(B315,'TH CANAM'!$A$9:$A$63,0),53)&lt;&gt;"",INDEX('TH CANAM'!$A$9:$BF$63,MATCH(B315,'TH CANAM'!$A$9:$A$63,0),53),"/"),"")</f>
        <v>/</v>
      </c>
      <c r="F334" s="35" t="str">
        <f>IF(B315&lt;&gt;"",IF(INDEX('TH CANAM'!$A$9:$BF$63,MATCH(B315,'TH CANAM'!$A$9:$A$63,0),54)&lt;&gt;"",INDEX('TH CANAM'!$A$9:$BF$63,MATCH(B315,'TH CANAM'!$A$9:$A$63,0),54),"/"),"")</f>
        <v>/</v>
      </c>
      <c r="G334" s="88"/>
      <c r="H334" s="79" t="s">
        <v>210</v>
      </c>
      <c r="I334" s="82" t="s">
        <v>37</v>
      </c>
      <c r="J334" s="35" t="str">
        <f>IF(H315&lt;&gt;"",IF(INDEX('TH CANAM'!$A$9:$BF$63,MATCH(H315,'TH CANAM'!$A$9:$A$63,0),52)&lt;&gt;"",INDEX('TH CANAM'!$A$9:$BF$63,MATCH(H315,'TH CANAM'!$A$9:$A$63,0),52),"/"),"")</f>
        <v>Tốt</v>
      </c>
      <c r="K334" s="35" t="str">
        <f>IF(H315&lt;&gt;"",IF(INDEX('TH CANAM'!$A$9:$BF$63,MATCH(H315,'TH CANAM'!$A$9:$A$63,0),53)&lt;&gt;"",INDEX('TH CANAM'!$A$9:$BF$63,MATCH(H315,'TH CANAM'!$A$9:$A$63,0),53),"/"),"")</f>
        <v>/</v>
      </c>
      <c r="L334" s="35" t="str">
        <f>IF(H315&lt;&gt;"",IF(INDEX('TH CANAM'!$A$9:$BF$63,MATCH(H315,'TH CANAM'!$A$9:$A$63,0),54)&lt;&gt;"",INDEX('TH CANAM'!$A$9:$BF$63,MATCH(H315,'TH CANAM'!$A$9:$A$63,0),54),"/"),"")</f>
        <v>/</v>
      </c>
      <c r="M334" s="88"/>
      <c r="N334" s="79" t="s">
        <v>210</v>
      </c>
      <c r="O334" s="82" t="s">
        <v>37</v>
      </c>
      <c r="P334" s="35" t="str">
        <f>IF(N315&lt;&gt;"",IF(INDEX('TH CANAM'!$A$9:$BF$63,MATCH(N315,'TH CANAM'!$A$9:$A$63,0),52)&lt;&gt;"",INDEX('TH CANAM'!$A$9:$BF$63,MATCH(N315,'TH CANAM'!$A$9:$A$63,0),52),"/"),"")</f>
        <v>Tốt</v>
      </c>
      <c r="Q334" s="35" t="str">
        <f>IF(N315&lt;&gt;"",IF(INDEX('TH CANAM'!$A$9:$BF$63,MATCH(N315,'TH CANAM'!$A$9:$A$63,0),53)&lt;&gt;"",INDEX('TH CANAM'!$A$9:$BF$63,MATCH(N315,'TH CANAM'!$A$9:$A$63,0),53),"/"),"")</f>
        <v>/</v>
      </c>
      <c r="R334" s="35" t="str">
        <f>IF(N315&lt;&gt;"",IF(INDEX('TH CANAM'!$A$9:$BF$63,MATCH(N315,'TH CANAM'!$A$9:$A$63,0),54)&lt;&gt;"",INDEX('TH CANAM'!$A$9:$BF$63,MATCH(N315,'TH CANAM'!$A$9:$A$63,0),54),"/"),"")</f>
        <v>/</v>
      </c>
      <c r="S334" s="88"/>
    </row>
    <row r="335" spans="1:19" ht="15.6" customHeight="1">
      <c r="A335" s="88"/>
      <c r="B335" s="79" t="s">
        <v>211</v>
      </c>
      <c r="C335" s="82" t="s">
        <v>25</v>
      </c>
      <c r="D335" s="35" t="str">
        <f>IF(B315&lt;&gt;"",IF(INDEX('TH CANAM'!$A$9:$BF$63,MATCH(B315,'TH CANAM'!$A$9:$A$63,0),57)&lt;&gt;"",INDEX('TH CANAM'!$A$9:$BF$63,MATCH(B315,'TH CANAM'!$A$9:$A$63,0),57),"/"),"")</f>
        <v>HSG</v>
      </c>
      <c r="E335" s="35" t="str">
        <f>IF(B315&lt;&gt;"",IF(INDEX('TH CANAM'!$A$9:$BF$63,MATCH(B315,'TH CANAM'!$A$9:$A$63,0),58)&lt;&gt;"",INDEX('TH CANAM'!$A$9:$BF$63,MATCH(B315,'TH CANAM'!$A$9:$A$63,0),58),"/"),"")</f>
        <v>/</v>
      </c>
      <c r="F335" s="35" t="str">
        <f>IF(B315&lt;&gt;"",IF(INDEX('TH CANAM'!$A$9:$BF$63,MATCH(B315,'TH CANAM'!$A$9:$A$63,0),55)&lt;&gt;"",INDEX('TH CANAM'!$A$9:$BF$63,MATCH(B315,'TH CANAM'!$A$9:$A$63,0),55),"/"),"")</f>
        <v>/</v>
      </c>
      <c r="G335" s="88"/>
      <c r="H335" s="79" t="s">
        <v>211</v>
      </c>
      <c r="I335" s="82" t="s">
        <v>25</v>
      </c>
      <c r="J335" s="35" t="str">
        <f>IF(H315&lt;&gt;"",IF(INDEX('TH CANAM'!$A$9:$BF$63,MATCH(H315,'TH CANAM'!$A$9:$A$63,0),57)&lt;&gt;"",INDEX('TH CANAM'!$A$9:$BF$63,MATCH(H315,'TH CANAM'!$A$9:$A$63,0),57),"/"),"")</f>
        <v>HSG</v>
      </c>
      <c r="K335" s="35" t="str">
        <f>IF(H315&lt;&gt;"",IF(INDEX('TH CANAM'!$A$9:$BF$63,MATCH(H315,'TH CANAM'!$A$9:$A$63,0),58)&lt;&gt;"",INDEX('TH CANAM'!$A$9:$BF$63,MATCH(H315,'TH CANAM'!$A$9:$A$63,0),58),"/"),"")</f>
        <v>/</v>
      </c>
      <c r="L335" s="35" t="str">
        <f>IF(H315&lt;&gt;"",IF(INDEX('TH CANAM'!$A$9:$BF$63,MATCH(H315,'TH CANAM'!$A$9:$A$63,0),55)&lt;&gt;"",INDEX('TH CANAM'!$A$9:$BF$63,MATCH(H315,'TH CANAM'!$A$9:$A$63,0),55),"/"),"")</f>
        <v>/</v>
      </c>
      <c r="M335" s="88"/>
      <c r="N335" s="79" t="s">
        <v>211</v>
      </c>
      <c r="O335" s="82" t="s">
        <v>25</v>
      </c>
      <c r="P335" s="35" t="str">
        <f>IF(N315&lt;&gt;"",IF(INDEX('TH CANAM'!$A$9:$BF$63,MATCH(N315,'TH CANAM'!$A$9:$A$63,0),57)&lt;&gt;"",INDEX('TH CANAM'!$A$9:$BF$63,MATCH(N315,'TH CANAM'!$A$9:$A$63,0),57),"/"),"")</f>
        <v>HSG</v>
      </c>
      <c r="Q335" s="35" t="str">
        <f>IF(N315&lt;&gt;"",IF(INDEX('TH CANAM'!$A$9:$BF$63,MATCH(N315,'TH CANAM'!$A$9:$A$63,0),58)&lt;&gt;"",INDEX('TH CANAM'!$A$9:$BF$63,MATCH(N315,'TH CANAM'!$A$9:$A$63,0),58),"/"),"")</f>
        <v>/</v>
      </c>
      <c r="R335" s="35" t="str">
        <f>IF(N315&lt;&gt;"",IF(INDEX('TH CANAM'!$A$9:$BF$63,MATCH(N315,'TH CANAM'!$A$9:$A$63,0),55)&lt;&gt;"",INDEX('TH CANAM'!$A$9:$BF$63,MATCH(N315,'TH CANAM'!$A$9:$A$63,0),55),"/"),"")</f>
        <v>/</v>
      </c>
      <c r="S335" s="88"/>
    </row>
    <row r="336" spans="1:19" s="251" customFormat="1" ht="15.75" customHeight="1">
      <c r="A336" s="89"/>
      <c r="B336" s="1146" t="s">
        <v>219</v>
      </c>
      <c r="C336" s="1147"/>
      <c r="D336" s="1147"/>
      <c r="E336" s="1147"/>
      <c r="F336" s="1148"/>
      <c r="G336" s="89"/>
      <c r="H336" s="1146" t="s">
        <v>219</v>
      </c>
      <c r="I336" s="1147"/>
      <c r="J336" s="1147"/>
      <c r="K336" s="1147"/>
      <c r="L336" s="1148"/>
      <c r="M336" s="89"/>
      <c r="N336" s="1146" t="s">
        <v>219</v>
      </c>
      <c r="O336" s="1147"/>
      <c r="P336" s="1147"/>
      <c r="Q336" s="1147"/>
      <c r="R336" s="1148"/>
      <c r="S336" s="89"/>
    </row>
    <row r="337" spans="1:19" s="251" customFormat="1" ht="15.6" customHeight="1">
      <c r="A337" s="89"/>
      <c r="B337" s="1143" t="str">
        <f>IF(B315&lt;&gt;"",IF(INDEX(BDHK2,MATCH(B315,DiemHKII!$B$4:$B$58,0),137)&lt;&gt;""," - "&amp;INDEX(BDHK2,MATCH(B315,DiemHKII!$B$4:$B$58,0),137),""),"")</f>
        <v/>
      </c>
      <c r="C337" s="1144"/>
      <c r="D337" s="1144"/>
      <c r="E337" s="1144"/>
      <c r="F337" s="1145"/>
      <c r="G337" s="89"/>
      <c r="H337" s="1143" t="str">
        <f>IF(H315&lt;&gt;"",IF(INDEX(BDHK2,MATCH(H315,DiemHKII!$B$4:$B$58,0),137)&lt;&gt;""," - "&amp;INDEX(BDHK2,MATCH(H315,DiemHKII!$B$4:$B$58,0),137),""),"")</f>
        <v/>
      </c>
      <c r="I337" s="1144"/>
      <c r="J337" s="1144"/>
      <c r="K337" s="1144"/>
      <c r="L337" s="1145"/>
      <c r="M337" s="89"/>
      <c r="N337" s="1143" t="str">
        <f>IF(N315&lt;&gt;"",IF(INDEX(BDHK2,MATCH(N315,DiemHKII!$B$4:$B$58,0),137)&lt;&gt;""," - "&amp;INDEX(BDHK2,MATCH(N315,DiemHKII!$B$4:$B$58,0),137),""),"")</f>
        <v/>
      </c>
      <c r="O337" s="1144"/>
      <c r="P337" s="1144"/>
      <c r="Q337" s="1144"/>
      <c r="R337" s="1145"/>
      <c r="S337" s="89"/>
    </row>
    <row r="338" spans="1:19" s="251" customFormat="1" ht="15.6" customHeight="1">
      <c r="A338" s="89"/>
      <c r="B338" s="1143" t="str">
        <f>IF(B315&lt;&gt;"",IF(INDEX(BDHK2,MATCH(B315,DiemHKII!$B$4:$B$58,0),138)&lt;&gt;""," - "&amp;INDEX(BDHK2,MATCH(B315,DiemHKII!$B$4:$B$58,0),138),""),"")</f>
        <v/>
      </c>
      <c r="C338" s="1144"/>
      <c r="D338" s="1144"/>
      <c r="E338" s="1144"/>
      <c r="F338" s="1145"/>
      <c r="G338" s="89"/>
      <c r="H338" s="1143" t="str">
        <f>IF(H315&lt;&gt;"",IF(INDEX(BDHK2,MATCH(H315,DiemHKII!$B$4:$B$58,0),138)&lt;&gt;""," - "&amp;INDEX(BDHK2,MATCH(H315,DiemHKII!$B$4:$B$58,0),138),""),"")</f>
        <v/>
      </c>
      <c r="I338" s="1144"/>
      <c r="J338" s="1144"/>
      <c r="K338" s="1144"/>
      <c r="L338" s="1145"/>
      <c r="M338" s="89"/>
      <c r="N338" s="1143" t="str">
        <f>IF(N315&lt;&gt;"",IF(INDEX(BDHK2,MATCH(N315,DiemHKII!$B$4:$B$58,0),138)&lt;&gt;""," - "&amp;INDEX(BDHK2,MATCH(N315,DiemHKII!$B$4:$B$58,0),138),""),"")</f>
        <v/>
      </c>
      <c r="O338" s="1144"/>
      <c r="P338" s="1144"/>
      <c r="Q338" s="1144"/>
      <c r="R338" s="1145"/>
      <c r="S338" s="89"/>
    </row>
    <row r="339" spans="1:19" s="251" customFormat="1" ht="15.6" customHeight="1">
      <c r="A339" s="89"/>
      <c r="B339" s="1143" t="str">
        <f>IF(B315&lt;&gt;"",IF(INDEX(BDHK2,MATCH(B315,DiemHKII!$B$4:$B$58,0),139)&lt;&gt;""," - "&amp;INDEX(BDHK2,MATCH(B315,DiemHKII!$B$4:$B$58,0),139),""),"")</f>
        <v/>
      </c>
      <c r="C339" s="1144"/>
      <c r="D339" s="1144"/>
      <c r="E339" s="1144"/>
      <c r="F339" s="1145"/>
      <c r="G339" s="89"/>
      <c r="H339" s="1143" t="str">
        <f>IF(H315&lt;&gt;"",IF(INDEX(BDHK2,MATCH(H315,DiemHKII!$B$4:$B$58,0),139)&lt;&gt;""," - "&amp;INDEX(BDHK2,MATCH(H315,DiemHKII!$B$4:$B$58,0),139),""),"")</f>
        <v/>
      </c>
      <c r="I339" s="1144"/>
      <c r="J339" s="1144"/>
      <c r="K339" s="1144"/>
      <c r="L339" s="1145"/>
      <c r="M339" s="89"/>
      <c r="N339" s="1143" t="str">
        <f>IF(N315&lt;&gt;"",IF(INDEX(BDHK2,MATCH(N315,DiemHKII!$B$4:$B$58,0),139)&lt;&gt;""," - "&amp;INDEX(BDHK2,MATCH(N315,DiemHKII!$B$4:$B$58,0),139),""),"")</f>
        <v/>
      </c>
      <c r="O339" s="1144"/>
      <c r="P339" s="1144"/>
      <c r="Q339" s="1144"/>
      <c r="R339" s="1145"/>
      <c r="S339" s="89"/>
    </row>
    <row r="340" spans="1:19" s="251" customFormat="1" ht="15.6" customHeight="1">
      <c r="A340" s="89"/>
      <c r="B340" s="1143" t="str">
        <f>IF(B315&lt;&gt;"",IF(INDEX(BDHK2,MATCH(B315,DiemHKII!$B$4:$B$58,0),140)&lt;&gt;""," - "&amp;INDEX(BDHK2,MATCH(B315,DiemHKII!$B$4:$B$58,0),140),""),"")</f>
        <v/>
      </c>
      <c r="C340" s="1144"/>
      <c r="D340" s="1144"/>
      <c r="E340" s="1144"/>
      <c r="F340" s="1145"/>
      <c r="G340" s="89"/>
      <c r="H340" s="1143" t="str">
        <f>IF(H315&lt;&gt;"",IF(INDEX(BDHK2,MATCH(H315,DiemHKII!$B$4:$B$58,0),140)&lt;&gt;""," - "&amp;INDEX(BDHK2,MATCH(H315,DiemHKII!$B$4:$B$58,0),140),""),"")</f>
        <v/>
      </c>
      <c r="I340" s="1144"/>
      <c r="J340" s="1144"/>
      <c r="K340" s="1144"/>
      <c r="L340" s="1145"/>
      <c r="M340" s="89"/>
      <c r="N340" s="1143" t="str">
        <f>IF(N315&lt;&gt;"",IF(INDEX(BDHK2,MATCH(N315,DiemHKII!$B$4:$B$58,0),140)&lt;&gt;""," - "&amp;INDEX(BDHK2,MATCH(N315,DiemHKII!$B$4:$B$58,0),140),""),"")</f>
        <v/>
      </c>
      <c r="O340" s="1144"/>
      <c r="P340" s="1144"/>
      <c r="Q340" s="1144"/>
      <c r="R340" s="1145"/>
      <c r="S340" s="89"/>
    </row>
    <row r="341" spans="1:19" ht="8.25" customHeight="1">
      <c r="A341" s="88"/>
      <c r="B341" s="83"/>
      <c r="C341" s="84"/>
      <c r="D341" s="84"/>
      <c r="E341" s="84"/>
      <c r="F341" s="85"/>
      <c r="G341" s="88"/>
      <c r="H341" s="83"/>
      <c r="I341" s="84"/>
      <c r="J341" s="84"/>
      <c r="K341" s="84"/>
      <c r="L341" s="85"/>
      <c r="M341" s="88"/>
      <c r="N341" s="83"/>
      <c r="O341" s="84"/>
      <c r="P341" s="84"/>
      <c r="Q341" s="84"/>
      <c r="R341" s="85"/>
      <c r="S341" s="88"/>
    </row>
    <row r="342" spans="1:19" ht="6.75" customHeight="1">
      <c r="A342" s="88"/>
      <c r="B342" s="87"/>
      <c r="C342" s="87"/>
      <c r="D342" s="1135"/>
      <c r="E342" s="1135"/>
      <c r="F342" s="1135"/>
      <c r="G342" s="88"/>
      <c r="H342" s="87"/>
      <c r="I342" s="87"/>
      <c r="J342" s="1135"/>
      <c r="K342" s="1135"/>
      <c r="L342" s="1135"/>
      <c r="M342" s="88"/>
      <c r="N342" s="87"/>
      <c r="O342" s="87"/>
      <c r="P342" s="1135"/>
      <c r="Q342" s="1135"/>
      <c r="R342" s="1135"/>
      <c r="S342" s="88"/>
    </row>
    <row r="343" spans="1:19" ht="6.75" customHeight="1">
      <c r="A343" s="88"/>
      <c r="B343" s="87"/>
      <c r="C343" s="87"/>
      <c r="D343" s="1135"/>
      <c r="E343" s="1135"/>
      <c r="F343" s="1135"/>
      <c r="G343" s="88"/>
      <c r="H343" s="87"/>
      <c r="I343" s="87"/>
      <c r="J343" s="1135"/>
      <c r="K343" s="1135"/>
      <c r="L343" s="1135"/>
      <c r="M343" s="88"/>
      <c r="N343" s="87"/>
      <c r="O343" s="87"/>
      <c r="P343" s="1135"/>
      <c r="Q343" s="1135"/>
      <c r="R343" s="1135"/>
      <c r="S343" s="88"/>
    </row>
    <row r="344" spans="1:19" ht="18" customHeight="1">
      <c r="A344" s="88"/>
      <c r="B344" s="477" t="str">
        <f>IF(N315="","",IF(N315&lt;MAX(DiemHKII!$B$4:$B$58),N315+1,""))</f>
        <v/>
      </c>
      <c r="C344" s="1140" t="str">
        <f>IF(B344="","",INDEX(DiemHKII!$E$4:$E$58,MATCH(B344,DiemHKII!$B$4:$B$58,0),1)&amp;" "&amp;INDEX(DiemHKII!$F$4:$F$58,MATCH(B344,DiemHKII!$B$4:$B$58,0),1))</f>
        <v/>
      </c>
      <c r="D344" s="1141"/>
      <c r="E344" s="1142"/>
      <c r="F344" s="86" t="str">
        <f>IF('Huong dan'!$C$3="","",'Huong dan'!$C$3)</f>
        <v>12A1</v>
      </c>
      <c r="G344" s="88"/>
      <c r="H344" s="477" t="str">
        <f>IF(B344="","",IF(B344&lt;MAX(DiemHKII!$B$4:$B$58),B344+1,""))</f>
        <v/>
      </c>
      <c r="I344" s="1140" t="str">
        <f>IF(H344="","",INDEX(DiemHKII!$E$4:$E$58,MATCH(H344,DiemHKII!$B$4:$B$58,0),1)&amp;" "&amp;INDEX(DiemHKII!$F$4:$F$58,MATCH(H344,DiemHKII!$B$4:$B$58,0),1))</f>
        <v/>
      </c>
      <c r="J344" s="1141"/>
      <c r="K344" s="1142"/>
      <c r="L344" s="86" t="str">
        <f>IF('Huong dan'!$C$3="","",'Huong dan'!$C$3)</f>
        <v>12A1</v>
      </c>
      <c r="M344" s="88"/>
      <c r="N344" s="477" t="str">
        <f>IF(H344="","",IF(H344&lt;MAX(DiemHKII!$B$4:$B$58),H344+1,""))</f>
        <v/>
      </c>
      <c r="O344" s="1140" t="str">
        <f>IF(N344="","",INDEX(DiemHKII!$E$4:$E$58,MATCH(N344,DiemHKII!$B$4:$B$58,0),1)&amp;" "&amp;INDEX(DiemHKII!$F$4:$F$58,MATCH(N344,DiemHKII!$B$4:$B$58,0),1))</f>
        <v/>
      </c>
      <c r="P344" s="1141"/>
      <c r="Q344" s="1142"/>
      <c r="R344" s="86" t="str">
        <f>IF('Huong dan'!$C$3="","",'Huong dan'!$C$3)</f>
        <v>12A1</v>
      </c>
      <c r="S344" s="88"/>
    </row>
    <row r="345" spans="1:19" ht="18.75" customHeight="1">
      <c r="A345" s="88"/>
      <c r="B345" s="1136" t="str">
        <f>" Sinh ngày: "&amp;IF(B344="","",INDEX(DiemHKII!$G$4:$G$58,MATCH(B344,DiemHKII!$B$4:$B$58,0),1))</f>
        <v xml:space="preserve"> Sinh ngày: </v>
      </c>
      <c r="C345" s="1137"/>
      <c r="D345" s="1137"/>
      <c r="E345" s="1138" t="str">
        <f>IF(B344="","","NS: "&amp;INDEX(DiemHKII!$H$4:$H$58,MATCH(B344,DiemHKII!$B$4:$B$58,0),1))</f>
        <v/>
      </c>
      <c r="F345" s="1139"/>
      <c r="G345" s="88"/>
      <c r="H345" s="1136" t="str">
        <f>" Sinh ngày: "&amp;IF(H344="","",INDEX(DiemHKII!$G$4:$G$58,MATCH(H344,DiemHKII!$B$4:$B$58,0),1))</f>
        <v xml:space="preserve"> Sinh ngày: </v>
      </c>
      <c r="I345" s="1137"/>
      <c r="J345" s="1137"/>
      <c r="K345" s="1138" t="str">
        <f>IF(H344="","","NS: "&amp;INDEX(DiemHKII!$H$4:$H$58,MATCH(H344,DiemHKII!$B$4:$B$58,0),1))</f>
        <v/>
      </c>
      <c r="L345" s="1139"/>
      <c r="M345" s="88"/>
      <c r="N345" s="1136" t="str">
        <f>" Sinh ngày: "&amp;IF(N344="","",INDEX(DiemHKII!$G$4:$G$58,MATCH(N344,DiemHKII!$B$4:$B$58,0),1))</f>
        <v xml:space="preserve"> Sinh ngày: </v>
      </c>
      <c r="O345" s="1137"/>
      <c r="P345" s="1137"/>
      <c r="Q345" s="1138" t="str">
        <f>IF(N344="","","NS: "&amp;INDEX(DiemHKII!$H$4:$H$58,MATCH(N344,DiemHKII!$B$4:$B$58,0),1))</f>
        <v/>
      </c>
      <c r="R345" s="1139"/>
      <c r="S345" s="88"/>
    </row>
    <row r="346" spans="1:19" ht="15.75" customHeight="1">
      <c r="A346" s="88"/>
      <c r="B346" s="381" t="s">
        <v>0</v>
      </c>
      <c r="C346" s="381" t="s">
        <v>59</v>
      </c>
      <c r="D346" s="381" t="s">
        <v>73</v>
      </c>
      <c r="E346" s="381" t="s">
        <v>176</v>
      </c>
      <c r="F346" s="381" t="s">
        <v>98</v>
      </c>
      <c r="G346" s="88"/>
      <c r="H346" s="381" t="s">
        <v>0</v>
      </c>
      <c r="I346" s="381" t="s">
        <v>59</v>
      </c>
      <c r="J346" s="381" t="s">
        <v>73</v>
      </c>
      <c r="K346" s="381" t="s">
        <v>176</v>
      </c>
      <c r="L346" s="381" t="s">
        <v>98</v>
      </c>
      <c r="M346" s="88"/>
      <c r="N346" s="381" t="s">
        <v>0</v>
      </c>
      <c r="O346" s="381" t="s">
        <v>59</v>
      </c>
      <c r="P346" s="381" t="s">
        <v>73</v>
      </c>
      <c r="Q346" s="381" t="s">
        <v>176</v>
      </c>
      <c r="R346" s="381" t="s">
        <v>98</v>
      </c>
      <c r="S346" s="88"/>
    </row>
    <row r="347" spans="1:19" ht="15.6" customHeight="1">
      <c r="A347" s="88"/>
      <c r="B347" s="79" t="s">
        <v>191</v>
      </c>
      <c r="C347" s="81" t="s">
        <v>26</v>
      </c>
      <c r="D347" s="35" t="str">
        <f>IF(B344&lt;&gt;"",IF(INDEX(BDHK2,MATCH(B344,DiemHKII!$B$4:$B$58,0),INDEX($Y$7:$AB$20,MATCH(C347,$Y$7:$Y$20,0),$Z$6))&lt;&gt;"",INDEX(BDHK2,MATCH(B344,DiemHKII!$B$4:$B$58,0),INDEX($Y$7:$AB$20,MATCH(C347,$Y$7:$Y$20,0),$Z$6)),"/"),"")</f>
        <v/>
      </c>
      <c r="E347" s="35" t="str">
        <f>IF(B344&lt;&gt;"",IF(INDEX(BDHK2,MATCH(B344,DiemHKII!$B$4:$B$58,0),INDEX($Y$7:$AB$20,MATCH(C347,$Y$7:$Y$20,0),$AA$6))&lt;&gt;"",INDEX(BDHK2,MATCH(B344,DiemHKII!$B$4:$B$58,0),INDEX($Y$7:$AB$20,MATCH(C347,$Y$7:$Y$20,0),$AA$6)),"/"),"")</f>
        <v/>
      </c>
      <c r="F347" s="35" t="str">
        <f>IF(B344&lt;&gt;"",IF(INDEX(BDHK2,MATCH(B344,DiemHKII!$B$4:$B$58,0),INDEX($Y$7:$AB$20,MATCH(C347,$Y$7:$Y$20,0),$AB$6))&lt;&gt;"",INDEX(BDHK2,MATCH(B344,DiemHKII!$B$4:$B$58,0),INDEX($Y$7:$AB$20,MATCH(C347,$Y$7:$Y$20,0),$AB$6)),"/"),"")</f>
        <v/>
      </c>
      <c r="G347" s="88"/>
      <c r="H347" s="79" t="s">
        <v>191</v>
      </c>
      <c r="I347" s="81" t="s">
        <v>26</v>
      </c>
      <c r="J347" s="35" t="str">
        <f>IF(H344&lt;&gt;"",IF(INDEX(BDHK2,MATCH(H344,DiemHKII!$B$4:$B$58,0),INDEX($Y$7:$AB$20,MATCH(I347,$Y$7:$Y$20,0),$Z$6))&lt;&gt;"",INDEX(BDHK2,MATCH(H344,DiemHKII!$B$4:$B$58,0),INDEX($Y$7:$AB$20,MATCH(I347,$Y$7:$Y$20,0),$Z$6)),"/"),"")</f>
        <v/>
      </c>
      <c r="K347" s="35" t="str">
        <f>IF(H344&lt;&gt;"",IF(INDEX(BDHK2,MATCH(H344,DiemHKII!$B$4:$B$58,0),INDEX($Y$7:$AB$20,MATCH(I347,$Y$7:$Y$20,0),$AA$6))&lt;&gt;"",INDEX(BDHK2,MATCH(H344,DiemHKII!$B$4:$B$58,0),INDEX($Y$7:$AB$20,MATCH(I347,$Y$7:$Y$20,0),$AA$6)),"/"),"")</f>
        <v/>
      </c>
      <c r="L347" s="35" t="str">
        <f>IF(H344&lt;&gt;"",IF(INDEX(BDHK2,MATCH(H344,DiemHKII!$B$4:$B$58,0),INDEX($Y$7:$AB$20,MATCH(I347,$Y$7:$Y$20,0),$AB$6))&lt;&gt;"",INDEX(BDHK2,MATCH(H344,DiemHKII!$B$4:$B$58,0),INDEX($Y$7:$AB$20,MATCH(I347,$Y$7:$Y$20,0),$AB$6)),"/"),"")</f>
        <v/>
      </c>
      <c r="M347" s="88"/>
      <c r="N347" s="79" t="s">
        <v>191</v>
      </c>
      <c r="O347" s="81" t="s">
        <v>26</v>
      </c>
      <c r="P347" s="35" t="str">
        <f>IF(N344&lt;&gt;"",IF(INDEX(BDHK2,MATCH(N344,DiemHKII!$B$4:$B$58,0),INDEX($Y$7:$AB$20,MATCH(O347,$Y$7:$Y$20,0),$Z$6))&lt;&gt;"",INDEX(BDHK2,MATCH(N344,DiemHKII!$B$4:$B$58,0),INDEX($Y$7:$AB$20,MATCH(O347,$Y$7:$Y$20,0),$Z$6)),"/"),"")</f>
        <v/>
      </c>
      <c r="Q347" s="35" t="str">
        <f>IF(N344&lt;&gt;"",IF(INDEX(BDHK2,MATCH(N344,DiemHKII!$B$4:$B$58,0),INDEX($Y$7:$AB$20,MATCH(O347,$Y$7:$Y$20,0),$AA$6))&lt;&gt;"",INDEX(BDHK2,MATCH(N344,DiemHKII!$B$4:$B$58,0),INDEX($Y$7:$AB$20,MATCH(O347,$Y$7:$Y$20,0),$AA$6)),"/"),"")</f>
        <v/>
      </c>
      <c r="R347" s="35" t="str">
        <f>IF(N344&lt;&gt;"",IF(INDEX(BDHK2,MATCH(N344,DiemHKII!$B$4:$B$58,0),INDEX($Y$7:$AB$20,MATCH(O347,$Y$7:$Y$20,0),$AB$6))&lt;&gt;"",INDEX(BDHK2,MATCH(N344,DiemHKII!$B$4:$B$58,0),INDEX($Y$7:$AB$20,MATCH(O347,$Y$7:$Y$20,0),$AB$6)),"/"),"")</f>
        <v/>
      </c>
      <c r="S347" s="88"/>
    </row>
    <row r="348" spans="1:19" ht="15.6" customHeight="1">
      <c r="A348" s="88"/>
      <c r="B348" s="79" t="s">
        <v>192</v>
      </c>
      <c r="C348" s="81" t="s">
        <v>27</v>
      </c>
      <c r="D348" s="35" t="str">
        <f>IF(B344&lt;&gt;"",IF(INDEX(BDHK2,MATCH(B344,DiemHKII!$B$4:$B$58,0),INDEX($Y$7:$AB$20,MATCH(C348,$Y$7:$Y$20,0),$Z$6))&lt;&gt;"",INDEX(BDHK2,MATCH(B344,DiemHKII!$B$4:$B$58,0),INDEX($Y$7:$AB$20,MATCH(C348,$Y$7:$Y$20,0),$Z$6)),"/"),"")</f>
        <v/>
      </c>
      <c r="E348" s="35" t="str">
        <f>IF(B344&lt;&gt;"",IF(INDEX(BDHK2,MATCH(B344,DiemHKII!$B$4:$B$58,0),INDEX($Y$7:$AB$20,MATCH(C348,$Y$7:$Y$20,0),$AA$6))&lt;&gt;"",INDEX(BDHK2,MATCH(B344,DiemHKII!$B$4:$B$58,0),INDEX($Y$7:$AB$20,MATCH(C348,$Y$7:$Y$20,0),$AA$6)),"/"),"")</f>
        <v/>
      </c>
      <c r="F348" s="35" t="str">
        <f>IF(B344&lt;&gt;"",IF(INDEX(BDHK2,MATCH(B344,DiemHKII!$B$4:$B$58,0),INDEX($Y$7:$AB$20,MATCH(C348,$Y$7:$Y$20,0),$AB$6))&lt;&gt;"",INDEX(BDHK2,MATCH(B344,DiemHKII!$B$4:$B$58,0),INDEX($Y$7:$AB$20,MATCH(C348,$Y$7:$Y$20,0),$AB$6)),"/"),"")</f>
        <v/>
      </c>
      <c r="G348" s="88"/>
      <c r="H348" s="79" t="s">
        <v>192</v>
      </c>
      <c r="I348" s="81" t="s">
        <v>27</v>
      </c>
      <c r="J348" s="35" t="str">
        <f>IF(H344&lt;&gt;"",IF(INDEX(BDHK2,MATCH(H344,DiemHKII!$B$4:$B$58,0),INDEX($Y$7:$AB$20,MATCH(I348,$Y$7:$Y$20,0),$Z$6))&lt;&gt;"",INDEX(BDHK2,MATCH(H344,DiemHKII!$B$4:$B$58,0),INDEX($Y$7:$AB$20,MATCH(I348,$Y$7:$Y$20,0),$Z$6)),"/"),"")</f>
        <v/>
      </c>
      <c r="K348" s="35" t="str">
        <f>IF(H344&lt;&gt;"",IF(INDEX(BDHK2,MATCH(H344,DiemHKII!$B$4:$B$58,0),INDEX($Y$7:$AB$20,MATCH(I348,$Y$7:$Y$20,0),$AA$6))&lt;&gt;"",INDEX(BDHK2,MATCH(H344,DiemHKII!$B$4:$B$58,0),INDEX($Y$7:$AB$20,MATCH(I348,$Y$7:$Y$20,0),$AA$6)),"/"),"")</f>
        <v/>
      </c>
      <c r="L348" s="35" t="str">
        <f>IF(H344&lt;&gt;"",IF(INDEX(BDHK2,MATCH(H344,DiemHKII!$B$4:$B$58,0),INDEX($Y$7:$AB$20,MATCH(I348,$Y$7:$Y$20,0),$AB$6))&lt;&gt;"",INDEX(BDHK2,MATCH(H344,DiemHKII!$B$4:$B$58,0),INDEX($Y$7:$AB$20,MATCH(I348,$Y$7:$Y$20,0),$AB$6)),"/"),"")</f>
        <v/>
      </c>
      <c r="M348" s="88"/>
      <c r="N348" s="79" t="s">
        <v>192</v>
      </c>
      <c r="O348" s="81" t="s">
        <v>27</v>
      </c>
      <c r="P348" s="35" t="str">
        <f>IF(N344&lt;&gt;"",IF(INDEX(BDHK2,MATCH(N344,DiemHKII!$B$4:$B$58,0),INDEX($Y$7:$AB$20,MATCH(O348,$Y$7:$Y$20,0),$Z$6))&lt;&gt;"",INDEX(BDHK2,MATCH(N344,DiemHKII!$B$4:$B$58,0),INDEX($Y$7:$AB$20,MATCH(O348,$Y$7:$Y$20,0),$Z$6)),"/"),"")</f>
        <v/>
      </c>
      <c r="Q348" s="35" t="str">
        <f>IF(N344&lt;&gt;"",IF(INDEX(BDHK2,MATCH(N344,DiemHKII!$B$4:$B$58,0),INDEX($Y$7:$AB$20,MATCH(O348,$Y$7:$Y$20,0),$AA$6))&lt;&gt;"",INDEX(BDHK2,MATCH(N344,DiemHKII!$B$4:$B$58,0),INDEX($Y$7:$AB$20,MATCH(O348,$Y$7:$Y$20,0),$AA$6)),"/"),"")</f>
        <v/>
      </c>
      <c r="R348" s="35" t="str">
        <f>IF(N344&lt;&gt;"",IF(INDEX(BDHK2,MATCH(N344,DiemHKII!$B$4:$B$58,0),INDEX($Y$7:$AB$20,MATCH(O348,$Y$7:$Y$20,0),$AB$6))&lt;&gt;"",INDEX(BDHK2,MATCH(N344,DiemHKII!$B$4:$B$58,0),INDEX($Y$7:$AB$20,MATCH(O348,$Y$7:$Y$20,0),$AB$6)),"/"),"")</f>
        <v/>
      </c>
      <c r="S348" s="88"/>
    </row>
    <row r="349" spans="1:19" ht="15.6" customHeight="1">
      <c r="A349" s="88"/>
      <c r="B349" s="79" t="s">
        <v>193</v>
      </c>
      <c r="C349" s="81" t="s">
        <v>28</v>
      </c>
      <c r="D349" s="35" t="str">
        <f>IF(B344&lt;&gt;"",IF(INDEX(BDHK2,MATCH(B344,DiemHKII!$B$4:$B$58,0),INDEX($Y$7:$AB$20,MATCH(C349,$Y$7:$Y$20,0),$Z$6))&lt;&gt;"",INDEX(BDHK2,MATCH(B344,DiemHKII!$B$4:$B$58,0),INDEX($Y$7:$AB$20,MATCH(C349,$Y$7:$Y$20,0),$Z$6)),"/"),"")</f>
        <v/>
      </c>
      <c r="E349" s="35" t="str">
        <f>IF(B344&lt;&gt;"",IF(INDEX(BDHK2,MATCH(B344,DiemHKII!$B$4:$B$58,0),INDEX($Y$7:$AB$20,MATCH(C349,$Y$7:$Y$20,0),$AA$6))&lt;&gt;"",INDEX(BDHK2,MATCH(B344,DiemHKII!$B$4:$B$58,0),INDEX($Y$7:$AB$20,MATCH(C349,$Y$7:$Y$20,0),$AA$6)),"/"),"")</f>
        <v/>
      </c>
      <c r="F349" s="35" t="str">
        <f>IF(B344&lt;&gt;"",IF(INDEX(BDHK2,MATCH(B344,DiemHKII!$B$4:$B$58,0),INDEX($Y$7:$AB$20,MATCH(C349,$Y$7:$Y$20,0),$AB$6))&lt;&gt;"",INDEX(BDHK2,MATCH(B344,DiemHKII!$B$4:$B$58,0),INDEX($Y$7:$AB$20,MATCH(C349,$Y$7:$Y$20,0),$AB$6)),"/"),"")</f>
        <v/>
      </c>
      <c r="G349" s="88"/>
      <c r="H349" s="79" t="s">
        <v>193</v>
      </c>
      <c r="I349" s="81" t="s">
        <v>28</v>
      </c>
      <c r="J349" s="35" t="str">
        <f>IF(H344&lt;&gt;"",IF(INDEX(BDHK2,MATCH(H344,DiemHKII!$B$4:$B$58,0),INDEX($Y$7:$AB$20,MATCH(I349,$Y$7:$Y$20,0),$Z$6))&lt;&gt;"",INDEX(BDHK2,MATCH(H344,DiemHKII!$B$4:$B$58,0),INDEX($Y$7:$AB$20,MATCH(I349,$Y$7:$Y$20,0),$Z$6)),"/"),"")</f>
        <v/>
      </c>
      <c r="K349" s="35" t="str">
        <f>IF(H344&lt;&gt;"",IF(INDEX(BDHK2,MATCH(H344,DiemHKII!$B$4:$B$58,0),INDEX($Y$7:$AB$20,MATCH(I349,$Y$7:$Y$20,0),$AA$6))&lt;&gt;"",INDEX(BDHK2,MATCH(H344,DiemHKII!$B$4:$B$58,0),INDEX($Y$7:$AB$20,MATCH(I349,$Y$7:$Y$20,0),$AA$6)),"/"),"")</f>
        <v/>
      </c>
      <c r="L349" s="35" t="str">
        <f>IF(H344&lt;&gt;"",IF(INDEX(BDHK2,MATCH(H344,DiemHKII!$B$4:$B$58,0),INDEX($Y$7:$AB$20,MATCH(I349,$Y$7:$Y$20,0),$AB$6))&lt;&gt;"",INDEX(BDHK2,MATCH(H344,DiemHKII!$B$4:$B$58,0),INDEX($Y$7:$AB$20,MATCH(I349,$Y$7:$Y$20,0),$AB$6)),"/"),"")</f>
        <v/>
      </c>
      <c r="M349" s="88"/>
      <c r="N349" s="79" t="s">
        <v>193</v>
      </c>
      <c r="O349" s="81" t="s">
        <v>28</v>
      </c>
      <c r="P349" s="35" t="str">
        <f>IF(N344&lt;&gt;"",IF(INDEX(BDHK2,MATCH(N344,DiemHKII!$B$4:$B$58,0),INDEX($Y$7:$AB$20,MATCH(O349,$Y$7:$Y$20,0),$Z$6))&lt;&gt;"",INDEX(BDHK2,MATCH(N344,DiemHKII!$B$4:$B$58,0),INDEX($Y$7:$AB$20,MATCH(O349,$Y$7:$Y$20,0),$Z$6)),"/"),"")</f>
        <v/>
      </c>
      <c r="Q349" s="35" t="str">
        <f>IF(N344&lt;&gt;"",IF(INDEX(BDHK2,MATCH(N344,DiemHKII!$B$4:$B$58,0),INDEX($Y$7:$AB$20,MATCH(O349,$Y$7:$Y$20,0),$AA$6))&lt;&gt;"",INDEX(BDHK2,MATCH(N344,DiemHKII!$B$4:$B$58,0),INDEX($Y$7:$AB$20,MATCH(O349,$Y$7:$Y$20,0),$AA$6)),"/"),"")</f>
        <v/>
      </c>
      <c r="R349" s="35" t="str">
        <f>IF(N344&lt;&gt;"",IF(INDEX(BDHK2,MATCH(N344,DiemHKII!$B$4:$B$58,0),INDEX($Y$7:$AB$20,MATCH(O349,$Y$7:$Y$20,0),$AB$6))&lt;&gt;"",INDEX(BDHK2,MATCH(N344,DiemHKII!$B$4:$B$58,0),INDEX($Y$7:$AB$20,MATCH(O349,$Y$7:$Y$20,0),$AB$6)),"/"),"")</f>
        <v/>
      </c>
      <c r="S349" s="88"/>
    </row>
    <row r="350" spans="1:19" ht="15.6" customHeight="1">
      <c r="A350" s="88"/>
      <c r="B350" s="79" t="s">
        <v>194</v>
      </c>
      <c r="C350" s="81" t="s">
        <v>29</v>
      </c>
      <c r="D350" s="35" t="str">
        <f>IF(B344&lt;&gt;"",IF(INDEX(BDHK2,MATCH(B344,DiemHKII!$B$4:$B$58,0),INDEX($Y$7:$AB$20,MATCH(C350,$Y$7:$Y$20,0),$Z$6))&lt;&gt;"",INDEX(BDHK2,MATCH(B344,DiemHKII!$B$4:$B$58,0),INDEX($Y$7:$AB$20,MATCH(C350,$Y$7:$Y$20,0),$Z$6)),"/"),"")</f>
        <v/>
      </c>
      <c r="E350" s="35" t="str">
        <f>IF(B344&lt;&gt;"",IF(INDEX(BDHK2,MATCH(B344,DiemHKII!$B$4:$B$58,0),INDEX($Y$7:$AB$20,MATCH(C350,$Y$7:$Y$20,0),$AA$6))&lt;&gt;"",INDEX(BDHK2,MATCH(B344,DiemHKII!$B$4:$B$58,0),INDEX($Y$7:$AB$20,MATCH(C350,$Y$7:$Y$20,0),$AA$6)),"/"),"")</f>
        <v/>
      </c>
      <c r="F350" s="35" t="str">
        <f>IF(B344&lt;&gt;"",IF(INDEX(BDHK2,MATCH(B344,DiemHKII!$B$4:$B$58,0),INDEX($Y$7:$AB$20,MATCH(C350,$Y$7:$Y$20,0),$AB$6))&lt;&gt;"",INDEX(BDHK2,MATCH(B344,DiemHKII!$B$4:$B$58,0),INDEX($Y$7:$AB$20,MATCH(C350,$Y$7:$Y$20,0),$AB$6)),"/"),"")</f>
        <v/>
      </c>
      <c r="G350" s="88"/>
      <c r="H350" s="79" t="s">
        <v>194</v>
      </c>
      <c r="I350" s="81" t="s">
        <v>29</v>
      </c>
      <c r="J350" s="35" t="str">
        <f>IF(H344&lt;&gt;"",IF(INDEX(BDHK2,MATCH(H344,DiemHKII!$B$4:$B$58,0),INDEX($Y$7:$AB$20,MATCH(I350,$Y$7:$Y$20,0),$Z$6))&lt;&gt;"",INDEX(BDHK2,MATCH(H344,DiemHKII!$B$4:$B$58,0),INDEX($Y$7:$AB$20,MATCH(I350,$Y$7:$Y$20,0),$Z$6)),"/"),"")</f>
        <v/>
      </c>
      <c r="K350" s="35" t="str">
        <f>IF(H344&lt;&gt;"",IF(INDEX(BDHK2,MATCH(H344,DiemHKII!$B$4:$B$58,0),INDEX($Y$7:$AB$20,MATCH(I350,$Y$7:$Y$20,0),$AA$6))&lt;&gt;"",INDEX(BDHK2,MATCH(H344,DiemHKII!$B$4:$B$58,0),INDEX($Y$7:$AB$20,MATCH(I350,$Y$7:$Y$20,0),$AA$6)),"/"),"")</f>
        <v/>
      </c>
      <c r="L350" s="35" t="str">
        <f>IF(H344&lt;&gt;"",IF(INDEX(BDHK2,MATCH(H344,DiemHKII!$B$4:$B$58,0),INDEX($Y$7:$AB$20,MATCH(I350,$Y$7:$Y$20,0),$AB$6))&lt;&gt;"",INDEX(BDHK2,MATCH(H344,DiemHKII!$B$4:$B$58,0),INDEX($Y$7:$AB$20,MATCH(I350,$Y$7:$Y$20,0),$AB$6)),"/"),"")</f>
        <v/>
      </c>
      <c r="M350" s="88"/>
      <c r="N350" s="79" t="s">
        <v>194</v>
      </c>
      <c r="O350" s="81" t="s">
        <v>29</v>
      </c>
      <c r="P350" s="35" t="str">
        <f>IF(N344&lt;&gt;"",IF(INDEX(BDHK2,MATCH(N344,DiemHKII!$B$4:$B$58,0),INDEX($Y$7:$AB$20,MATCH(O350,$Y$7:$Y$20,0),$Z$6))&lt;&gt;"",INDEX(BDHK2,MATCH(N344,DiemHKII!$B$4:$B$58,0),INDEX($Y$7:$AB$20,MATCH(O350,$Y$7:$Y$20,0),$Z$6)),"/"),"")</f>
        <v/>
      </c>
      <c r="Q350" s="35" t="str">
        <f>IF(N344&lt;&gt;"",IF(INDEX(BDHK2,MATCH(N344,DiemHKII!$B$4:$B$58,0),INDEX($Y$7:$AB$20,MATCH(O350,$Y$7:$Y$20,0),$AA$6))&lt;&gt;"",INDEX(BDHK2,MATCH(N344,DiemHKII!$B$4:$B$58,0),INDEX($Y$7:$AB$20,MATCH(O350,$Y$7:$Y$20,0),$AA$6)),"/"),"")</f>
        <v/>
      </c>
      <c r="R350" s="35" t="str">
        <f>IF(N344&lt;&gt;"",IF(INDEX(BDHK2,MATCH(N344,DiemHKII!$B$4:$B$58,0),INDEX($Y$7:$AB$20,MATCH(O350,$Y$7:$Y$20,0),$AB$6))&lt;&gt;"",INDEX(BDHK2,MATCH(N344,DiemHKII!$B$4:$B$58,0),INDEX($Y$7:$AB$20,MATCH(O350,$Y$7:$Y$20,0),$AB$6)),"/"),"")</f>
        <v/>
      </c>
      <c r="S350" s="88"/>
    </row>
    <row r="351" spans="1:19" ht="15.6" customHeight="1">
      <c r="A351" s="88"/>
      <c r="B351" s="79" t="s">
        <v>195</v>
      </c>
      <c r="C351" s="81" t="s">
        <v>120</v>
      </c>
      <c r="D351" s="35" t="str">
        <f>IF(B344&lt;&gt;"",IF(INDEX(BDHK2,MATCH(B344,DiemHKII!$B$4:$B$58,0),INDEX($Y$7:$AB$20,MATCH(C351,$Y$7:$Y$20,0),$Z$6))&lt;&gt;"",INDEX(BDHK2,MATCH(B344,DiemHKII!$B$4:$B$58,0),INDEX($Y$7:$AB$20,MATCH(C351,$Y$7:$Y$20,0),$Z$6)),"/"),"")</f>
        <v/>
      </c>
      <c r="E351" s="35" t="str">
        <f>IF(B344&lt;&gt;"",IF(INDEX(BDHK2,MATCH(B344,DiemHKII!$B$4:$B$58,0),INDEX($Y$7:$AB$20,MATCH(C351,$Y$7:$Y$20,0),$AA$6))&lt;&gt;"",INDEX(BDHK2,MATCH(B344,DiemHKII!$B$4:$B$58,0),INDEX($Y$7:$AB$20,MATCH(C351,$Y$7:$Y$20,0),$AA$6)),"/"),"")</f>
        <v/>
      </c>
      <c r="F351" s="35" t="str">
        <f>IF(B344&lt;&gt;"",IF(INDEX(BDHK2,MATCH(B344,DiemHKII!$B$4:$B$58,0),INDEX($Y$7:$AB$20,MATCH(C351,$Y$7:$Y$20,0),$AB$6))&lt;&gt;"",INDEX(BDHK2,MATCH(B344,DiemHKII!$B$4:$B$58,0),INDEX($Y$7:$AB$20,MATCH(C351,$Y$7:$Y$20,0),$AB$6)),"/"),"")</f>
        <v/>
      </c>
      <c r="G351" s="88"/>
      <c r="H351" s="79" t="s">
        <v>195</v>
      </c>
      <c r="I351" s="81" t="s">
        <v>120</v>
      </c>
      <c r="J351" s="35" t="str">
        <f>IF(H344&lt;&gt;"",IF(INDEX(BDHK2,MATCH(H344,DiemHKII!$B$4:$B$58,0),INDEX($Y$7:$AB$20,MATCH(I351,$Y$7:$Y$20,0),$Z$6))&lt;&gt;"",INDEX(BDHK2,MATCH(H344,DiemHKII!$B$4:$B$58,0),INDEX($Y$7:$AB$20,MATCH(I351,$Y$7:$Y$20,0),$Z$6)),"/"),"")</f>
        <v/>
      </c>
      <c r="K351" s="35" t="str">
        <f>IF(H344&lt;&gt;"",IF(INDEX(BDHK2,MATCH(H344,DiemHKII!$B$4:$B$58,0),INDEX($Y$7:$AB$20,MATCH(I351,$Y$7:$Y$20,0),$AA$6))&lt;&gt;"",INDEX(BDHK2,MATCH(H344,DiemHKII!$B$4:$B$58,0),INDEX($Y$7:$AB$20,MATCH(I351,$Y$7:$Y$20,0),$AA$6)),"/"),"")</f>
        <v/>
      </c>
      <c r="L351" s="35" t="str">
        <f>IF(H344&lt;&gt;"",IF(INDEX(BDHK2,MATCH(H344,DiemHKII!$B$4:$B$58,0),INDEX($Y$7:$AB$20,MATCH(I351,$Y$7:$Y$20,0),$AB$6))&lt;&gt;"",INDEX(BDHK2,MATCH(H344,DiemHKII!$B$4:$B$58,0),INDEX($Y$7:$AB$20,MATCH(I351,$Y$7:$Y$20,0),$AB$6)),"/"),"")</f>
        <v/>
      </c>
      <c r="M351" s="88"/>
      <c r="N351" s="79" t="s">
        <v>195</v>
      </c>
      <c r="O351" s="81" t="s">
        <v>120</v>
      </c>
      <c r="P351" s="35" t="str">
        <f>IF(N344&lt;&gt;"",IF(INDEX(BDHK2,MATCH(N344,DiemHKII!$B$4:$B$58,0),INDEX($Y$7:$AB$20,MATCH(O351,$Y$7:$Y$20,0),$Z$6))&lt;&gt;"",INDEX(BDHK2,MATCH(N344,DiemHKII!$B$4:$B$58,0),INDEX($Y$7:$AB$20,MATCH(O351,$Y$7:$Y$20,0),$Z$6)),"/"),"")</f>
        <v/>
      </c>
      <c r="Q351" s="35" t="str">
        <f>IF(N344&lt;&gt;"",IF(INDEX(BDHK2,MATCH(N344,DiemHKII!$B$4:$B$58,0),INDEX($Y$7:$AB$20,MATCH(O351,$Y$7:$Y$20,0),$AA$6))&lt;&gt;"",INDEX(BDHK2,MATCH(N344,DiemHKII!$B$4:$B$58,0),INDEX($Y$7:$AB$20,MATCH(O351,$Y$7:$Y$20,0),$AA$6)),"/"),"")</f>
        <v/>
      </c>
      <c r="R351" s="35" t="str">
        <f>IF(N344&lt;&gt;"",IF(INDEX(BDHK2,MATCH(N344,DiemHKII!$B$4:$B$58,0),INDEX($Y$7:$AB$20,MATCH(O351,$Y$7:$Y$20,0),$AB$6))&lt;&gt;"",INDEX(BDHK2,MATCH(N344,DiemHKII!$B$4:$B$58,0),INDEX($Y$7:$AB$20,MATCH(O351,$Y$7:$Y$20,0),$AB$6)),"/"),"")</f>
        <v/>
      </c>
      <c r="S351" s="88"/>
    </row>
    <row r="352" spans="1:19" ht="15.6" customHeight="1">
      <c r="A352" s="88"/>
      <c r="B352" s="79" t="s">
        <v>196</v>
      </c>
      <c r="C352" s="81" t="s">
        <v>30</v>
      </c>
      <c r="D352" s="35" t="str">
        <f>IF(B344&lt;&gt;"",IF(INDEX(BDHK2,MATCH(B344,DiemHKII!$B$4:$B$58,0),INDEX($Y$7:$AB$20,MATCH(C352,$Y$7:$Y$20,0),$Z$6))&lt;&gt;"",INDEX(BDHK2,MATCH(B344,DiemHKII!$B$4:$B$58,0),INDEX($Y$7:$AB$20,MATCH(C352,$Y$7:$Y$20,0),$Z$6)),"/"),"")</f>
        <v/>
      </c>
      <c r="E352" s="35" t="str">
        <f>IF(B344&lt;&gt;"",IF(INDEX(BDHK2,MATCH(B344,DiemHKII!$B$4:$B$58,0),INDEX($Y$7:$AB$20,MATCH(C352,$Y$7:$Y$20,0),$AA$6))&lt;&gt;"",INDEX(BDHK2,MATCH(B344,DiemHKII!$B$4:$B$58,0),INDEX($Y$7:$AB$20,MATCH(C352,$Y$7:$Y$20,0),$AA$6)),"/"),"")</f>
        <v/>
      </c>
      <c r="F352" s="35" t="str">
        <f>IF(B344&lt;&gt;"",IF(INDEX(BDHK2,MATCH(B344,DiemHKII!$B$4:$B$58,0),INDEX($Y$7:$AB$20,MATCH(C352,$Y$7:$Y$20,0),$AB$6))&lt;&gt;"",INDEX(BDHK2,MATCH(B344,DiemHKII!$B$4:$B$58,0),INDEX($Y$7:$AB$20,MATCH(C352,$Y$7:$Y$20,0),$AB$6)),"/"),"")</f>
        <v/>
      </c>
      <c r="G352" s="88"/>
      <c r="H352" s="79" t="s">
        <v>196</v>
      </c>
      <c r="I352" s="81" t="s">
        <v>30</v>
      </c>
      <c r="J352" s="35" t="str">
        <f>IF(H344&lt;&gt;"",IF(INDEX(BDHK2,MATCH(H344,DiemHKII!$B$4:$B$58,0),INDEX($Y$7:$AB$20,MATCH(I352,$Y$7:$Y$20,0),$Z$6))&lt;&gt;"",INDEX(BDHK2,MATCH(H344,DiemHKII!$B$4:$B$58,0),INDEX($Y$7:$AB$20,MATCH(I352,$Y$7:$Y$20,0),$Z$6)),"/"),"")</f>
        <v/>
      </c>
      <c r="K352" s="35" t="str">
        <f>IF(H344&lt;&gt;"",IF(INDEX(BDHK2,MATCH(H344,DiemHKII!$B$4:$B$58,0),INDEX($Y$7:$AB$20,MATCH(I352,$Y$7:$Y$20,0),$AA$6))&lt;&gt;"",INDEX(BDHK2,MATCH(H344,DiemHKII!$B$4:$B$58,0),INDEX($Y$7:$AB$20,MATCH(I352,$Y$7:$Y$20,0),$AA$6)),"/"),"")</f>
        <v/>
      </c>
      <c r="L352" s="35" t="str">
        <f>IF(H344&lt;&gt;"",IF(INDEX(BDHK2,MATCH(H344,DiemHKII!$B$4:$B$58,0),INDEX($Y$7:$AB$20,MATCH(I352,$Y$7:$Y$20,0),$AB$6))&lt;&gt;"",INDEX(BDHK2,MATCH(H344,DiemHKII!$B$4:$B$58,0),INDEX($Y$7:$AB$20,MATCH(I352,$Y$7:$Y$20,0),$AB$6)),"/"),"")</f>
        <v/>
      </c>
      <c r="M352" s="88"/>
      <c r="N352" s="79" t="s">
        <v>196</v>
      </c>
      <c r="O352" s="81" t="s">
        <v>30</v>
      </c>
      <c r="P352" s="35" t="str">
        <f>IF(N344&lt;&gt;"",IF(INDEX(BDHK2,MATCH(N344,DiemHKII!$B$4:$B$58,0),INDEX($Y$7:$AB$20,MATCH(O352,$Y$7:$Y$20,0),$Z$6))&lt;&gt;"",INDEX(BDHK2,MATCH(N344,DiemHKII!$B$4:$B$58,0),INDEX($Y$7:$AB$20,MATCH(O352,$Y$7:$Y$20,0),$Z$6)),"/"),"")</f>
        <v/>
      </c>
      <c r="Q352" s="35" t="str">
        <f>IF(N344&lt;&gt;"",IF(INDEX(BDHK2,MATCH(N344,DiemHKII!$B$4:$B$58,0),INDEX($Y$7:$AB$20,MATCH(O352,$Y$7:$Y$20,0),$AA$6))&lt;&gt;"",INDEX(BDHK2,MATCH(N344,DiemHKII!$B$4:$B$58,0),INDEX($Y$7:$AB$20,MATCH(O352,$Y$7:$Y$20,0),$AA$6)),"/"),"")</f>
        <v/>
      </c>
      <c r="R352" s="35" t="str">
        <f>IF(N344&lt;&gt;"",IF(INDEX(BDHK2,MATCH(N344,DiemHKII!$B$4:$B$58,0),INDEX($Y$7:$AB$20,MATCH(O352,$Y$7:$Y$20,0),$AB$6))&lt;&gt;"",INDEX(BDHK2,MATCH(N344,DiemHKII!$B$4:$B$58,0),INDEX($Y$7:$AB$20,MATCH(O352,$Y$7:$Y$20,0),$AB$6)),"/"),"")</f>
        <v/>
      </c>
      <c r="S352" s="88"/>
    </row>
    <row r="353" spans="1:19" ht="15.6" customHeight="1">
      <c r="A353" s="88"/>
      <c r="B353" s="79" t="s">
        <v>197</v>
      </c>
      <c r="C353" s="81" t="s">
        <v>31</v>
      </c>
      <c r="D353" s="35" t="str">
        <f>IF(B344&lt;&gt;"",IF(INDEX(BDHK2,MATCH(B344,DiemHKII!$B$4:$B$58,0),INDEX($Y$7:$AB$20,MATCH(C353,$Y$7:$Y$20,0),$Z$6))&lt;&gt;"",INDEX(BDHK2,MATCH(B344,DiemHKII!$B$4:$B$58,0),INDEX($Y$7:$AB$20,MATCH(C353,$Y$7:$Y$20,0),$Z$6)),"/"),"")</f>
        <v/>
      </c>
      <c r="E353" s="35" t="str">
        <f>IF(B344&lt;&gt;"",IF(INDEX(BDHK2,MATCH(B344,DiemHKII!$B$4:$B$58,0),INDEX($Y$7:$AB$20,MATCH(C353,$Y$7:$Y$20,0),$AA$6))&lt;&gt;"",INDEX(BDHK2,MATCH(B344,DiemHKII!$B$4:$B$58,0),INDEX($Y$7:$AB$20,MATCH(C353,$Y$7:$Y$20,0),$AA$6)),"/"),"")</f>
        <v/>
      </c>
      <c r="F353" s="35" t="str">
        <f>IF(B344&lt;&gt;"",IF(INDEX(BDHK2,MATCH(B344,DiemHKII!$B$4:$B$58,0),INDEX($Y$7:$AB$20,MATCH(C353,$Y$7:$Y$20,0),$AB$6))&lt;&gt;"",INDEX(BDHK2,MATCH(B344,DiemHKII!$B$4:$B$58,0),INDEX($Y$7:$AB$20,MATCH(C353,$Y$7:$Y$20,0),$AB$6)),"/"),"")</f>
        <v/>
      </c>
      <c r="G353" s="88"/>
      <c r="H353" s="79" t="s">
        <v>197</v>
      </c>
      <c r="I353" s="81" t="s">
        <v>31</v>
      </c>
      <c r="J353" s="35" t="str">
        <f>IF(H344&lt;&gt;"",IF(INDEX(BDHK2,MATCH(H344,DiemHKII!$B$4:$B$58,0),INDEX($Y$7:$AB$20,MATCH(I353,$Y$7:$Y$20,0),$Z$6))&lt;&gt;"",INDEX(BDHK2,MATCH(H344,DiemHKII!$B$4:$B$58,0),INDEX($Y$7:$AB$20,MATCH(I353,$Y$7:$Y$20,0),$Z$6)),"/"),"")</f>
        <v/>
      </c>
      <c r="K353" s="35" t="str">
        <f>IF(H344&lt;&gt;"",IF(INDEX(BDHK2,MATCH(H344,DiemHKII!$B$4:$B$58,0),INDEX($Y$7:$AB$20,MATCH(I353,$Y$7:$Y$20,0),$AA$6))&lt;&gt;"",INDEX(BDHK2,MATCH(H344,DiemHKII!$B$4:$B$58,0),INDEX($Y$7:$AB$20,MATCH(I353,$Y$7:$Y$20,0),$AA$6)),"/"),"")</f>
        <v/>
      </c>
      <c r="L353" s="35" t="str">
        <f>IF(H344&lt;&gt;"",IF(INDEX(BDHK2,MATCH(H344,DiemHKII!$B$4:$B$58,0),INDEX($Y$7:$AB$20,MATCH(I353,$Y$7:$Y$20,0),$AB$6))&lt;&gt;"",INDEX(BDHK2,MATCH(H344,DiemHKII!$B$4:$B$58,0),INDEX($Y$7:$AB$20,MATCH(I353,$Y$7:$Y$20,0),$AB$6)),"/"),"")</f>
        <v/>
      </c>
      <c r="M353" s="88"/>
      <c r="N353" s="79" t="s">
        <v>197</v>
      </c>
      <c r="O353" s="81" t="s">
        <v>31</v>
      </c>
      <c r="P353" s="35" t="str">
        <f>IF(N344&lt;&gt;"",IF(INDEX(BDHK2,MATCH(N344,DiemHKII!$B$4:$B$58,0),INDEX($Y$7:$AB$20,MATCH(O353,$Y$7:$Y$20,0),$Z$6))&lt;&gt;"",INDEX(BDHK2,MATCH(N344,DiemHKII!$B$4:$B$58,0),INDEX($Y$7:$AB$20,MATCH(O353,$Y$7:$Y$20,0),$Z$6)),"/"),"")</f>
        <v/>
      </c>
      <c r="Q353" s="35" t="str">
        <f>IF(N344&lt;&gt;"",IF(INDEX(BDHK2,MATCH(N344,DiemHKII!$B$4:$B$58,0),INDEX($Y$7:$AB$20,MATCH(O353,$Y$7:$Y$20,0),$AA$6))&lt;&gt;"",INDEX(BDHK2,MATCH(N344,DiemHKII!$B$4:$B$58,0),INDEX($Y$7:$AB$20,MATCH(O353,$Y$7:$Y$20,0),$AA$6)),"/"),"")</f>
        <v/>
      </c>
      <c r="R353" s="35" t="str">
        <f>IF(N344&lt;&gt;"",IF(INDEX(BDHK2,MATCH(N344,DiemHKII!$B$4:$B$58,0),INDEX($Y$7:$AB$20,MATCH(O353,$Y$7:$Y$20,0),$AB$6))&lt;&gt;"",INDEX(BDHK2,MATCH(N344,DiemHKII!$B$4:$B$58,0),INDEX($Y$7:$AB$20,MATCH(O353,$Y$7:$Y$20,0),$AB$6)),"/"),"")</f>
        <v/>
      </c>
      <c r="S353" s="88"/>
    </row>
    <row r="354" spans="1:19" ht="15.6" customHeight="1">
      <c r="A354" s="88"/>
      <c r="B354" s="79" t="s">
        <v>198</v>
      </c>
      <c r="C354" s="81" t="s">
        <v>32</v>
      </c>
      <c r="D354" s="35" t="str">
        <f>IF(B344&lt;&gt;"",IF(INDEX(BDHK2,MATCH(B344,DiemHKII!$B$4:$B$58,0),INDEX($Y$7:$AB$20,MATCH(C354,$Y$7:$Y$20,0),$Z$6))&lt;&gt;"",INDEX(BDHK2,MATCH(B344,DiemHKII!$B$4:$B$58,0),INDEX($Y$7:$AB$20,MATCH(C354,$Y$7:$Y$20,0),$Z$6)),"/"),"")</f>
        <v/>
      </c>
      <c r="E354" s="35" t="str">
        <f>IF(B344&lt;&gt;"",IF(INDEX(BDHK2,MATCH(B344,DiemHKII!$B$4:$B$58,0),INDEX($Y$7:$AB$20,MATCH(C354,$Y$7:$Y$20,0),$AA$6))&lt;&gt;"",INDEX(BDHK2,MATCH(B344,DiemHKII!$B$4:$B$58,0),INDEX($Y$7:$AB$20,MATCH(C354,$Y$7:$Y$20,0),$AA$6)),"/"),"")</f>
        <v/>
      </c>
      <c r="F354" s="35" t="str">
        <f>IF(B344&lt;&gt;"",IF(INDEX(BDHK2,MATCH(B344,DiemHKII!$B$4:$B$58,0),INDEX($Y$7:$AB$20,MATCH(C354,$Y$7:$Y$20,0),$AB$6))&lt;&gt;"",INDEX(BDHK2,MATCH(B344,DiemHKII!$B$4:$B$58,0),INDEX($Y$7:$AB$20,MATCH(C354,$Y$7:$Y$20,0),$AB$6)),"/"),"")</f>
        <v/>
      </c>
      <c r="G354" s="88"/>
      <c r="H354" s="79" t="s">
        <v>198</v>
      </c>
      <c r="I354" s="81" t="s">
        <v>32</v>
      </c>
      <c r="J354" s="35" t="str">
        <f>IF(H344&lt;&gt;"",IF(INDEX(BDHK2,MATCH(H344,DiemHKII!$B$4:$B$58,0),INDEX($Y$7:$AB$20,MATCH(I354,$Y$7:$Y$20,0),$Z$6))&lt;&gt;"",INDEX(BDHK2,MATCH(H344,DiemHKII!$B$4:$B$58,0),INDEX($Y$7:$AB$20,MATCH(I354,$Y$7:$Y$20,0),$Z$6)),"/"),"")</f>
        <v/>
      </c>
      <c r="K354" s="35" t="str">
        <f>IF(H344&lt;&gt;"",IF(INDEX(BDHK2,MATCH(H344,DiemHKII!$B$4:$B$58,0),INDEX($Y$7:$AB$20,MATCH(I354,$Y$7:$Y$20,0),$AA$6))&lt;&gt;"",INDEX(BDHK2,MATCH(H344,DiemHKII!$B$4:$B$58,0),INDEX($Y$7:$AB$20,MATCH(I354,$Y$7:$Y$20,0),$AA$6)),"/"),"")</f>
        <v/>
      </c>
      <c r="L354" s="35" t="str">
        <f>IF(H344&lt;&gt;"",IF(INDEX(BDHK2,MATCH(H344,DiemHKII!$B$4:$B$58,0),INDEX($Y$7:$AB$20,MATCH(I354,$Y$7:$Y$20,0),$AB$6))&lt;&gt;"",INDEX(BDHK2,MATCH(H344,DiemHKII!$B$4:$B$58,0),INDEX($Y$7:$AB$20,MATCH(I354,$Y$7:$Y$20,0),$AB$6)),"/"),"")</f>
        <v/>
      </c>
      <c r="M354" s="88"/>
      <c r="N354" s="79" t="s">
        <v>198</v>
      </c>
      <c r="O354" s="81" t="s">
        <v>32</v>
      </c>
      <c r="P354" s="35" t="str">
        <f>IF(N344&lt;&gt;"",IF(INDEX(BDHK2,MATCH(N344,DiemHKII!$B$4:$B$58,0),INDEX($Y$7:$AB$20,MATCH(O354,$Y$7:$Y$20,0),$Z$6))&lt;&gt;"",INDEX(BDHK2,MATCH(N344,DiemHKII!$B$4:$B$58,0),INDEX($Y$7:$AB$20,MATCH(O354,$Y$7:$Y$20,0),$Z$6)),"/"),"")</f>
        <v/>
      </c>
      <c r="Q354" s="35" t="str">
        <f>IF(N344&lt;&gt;"",IF(INDEX(BDHK2,MATCH(N344,DiemHKII!$B$4:$B$58,0),INDEX($Y$7:$AB$20,MATCH(O354,$Y$7:$Y$20,0),$AA$6))&lt;&gt;"",INDEX(BDHK2,MATCH(N344,DiemHKII!$B$4:$B$58,0),INDEX($Y$7:$AB$20,MATCH(O354,$Y$7:$Y$20,0),$AA$6)),"/"),"")</f>
        <v/>
      </c>
      <c r="R354" s="35" t="str">
        <f>IF(N344&lt;&gt;"",IF(INDEX(BDHK2,MATCH(N344,DiemHKII!$B$4:$B$58,0),INDEX($Y$7:$AB$20,MATCH(O354,$Y$7:$Y$20,0),$AB$6))&lt;&gt;"",INDEX(BDHK2,MATCH(N344,DiemHKII!$B$4:$B$58,0),INDEX($Y$7:$AB$20,MATCH(O354,$Y$7:$Y$20,0),$AB$6)),"/"),"")</f>
        <v/>
      </c>
      <c r="S354" s="88"/>
    </row>
    <row r="355" spans="1:19" ht="15.6" customHeight="1">
      <c r="A355" s="88"/>
      <c r="B355" s="79" t="s">
        <v>199</v>
      </c>
      <c r="C355" s="81" t="s">
        <v>33</v>
      </c>
      <c r="D355" s="35" t="str">
        <f>IF(B344&lt;&gt;"",IF(INDEX(BDHK2,MATCH(B344,DiemHKII!$B$4:$B$58,0),INDEX($Y$7:$AB$20,MATCH(C355,$Y$7:$Y$20,0),$Z$6))&lt;&gt;"",INDEX(BDHK2,MATCH(B344,DiemHKII!$B$4:$B$58,0),INDEX($Y$7:$AB$20,MATCH(C355,$Y$7:$Y$20,0),$Z$6)),"/"),"")</f>
        <v/>
      </c>
      <c r="E355" s="35" t="str">
        <f>IF(B344&lt;&gt;"",IF(INDEX(BDHK2,MATCH(B344,DiemHKII!$B$4:$B$58,0),INDEX($Y$7:$AB$20,MATCH(C355,$Y$7:$Y$20,0),$AA$6))&lt;&gt;"",INDEX(BDHK2,MATCH(B344,DiemHKII!$B$4:$B$58,0),INDEX($Y$7:$AB$20,MATCH(C355,$Y$7:$Y$20,0),$AA$6)),"/"),"")</f>
        <v/>
      </c>
      <c r="F355" s="35" t="str">
        <f>IF(B344&lt;&gt;"",IF(INDEX(BDHK2,MATCH(B344,DiemHKII!$B$4:$B$58,0),INDEX($Y$7:$AB$20,MATCH(C355,$Y$7:$Y$20,0),$AB$6))&lt;&gt;"",INDEX(BDHK2,MATCH(B344,DiemHKII!$B$4:$B$58,0),INDEX($Y$7:$AB$20,MATCH(C355,$Y$7:$Y$20,0),$AB$6)),"/"),"")</f>
        <v/>
      </c>
      <c r="G355" s="88"/>
      <c r="H355" s="79" t="s">
        <v>199</v>
      </c>
      <c r="I355" s="81" t="s">
        <v>33</v>
      </c>
      <c r="J355" s="35" t="str">
        <f>IF(H344&lt;&gt;"",IF(INDEX(BDHK2,MATCH(H344,DiemHKII!$B$4:$B$58,0),INDEX($Y$7:$AB$20,MATCH(I355,$Y$7:$Y$20,0),$Z$6))&lt;&gt;"",INDEX(BDHK2,MATCH(H344,DiemHKII!$B$4:$B$58,0),INDEX($Y$7:$AB$20,MATCH(I355,$Y$7:$Y$20,0),$Z$6)),"/"),"")</f>
        <v/>
      </c>
      <c r="K355" s="35" t="str">
        <f>IF(H344&lt;&gt;"",IF(INDEX(BDHK2,MATCH(H344,DiemHKII!$B$4:$B$58,0),INDEX($Y$7:$AB$20,MATCH(I355,$Y$7:$Y$20,0),$AA$6))&lt;&gt;"",INDEX(BDHK2,MATCH(H344,DiemHKII!$B$4:$B$58,0),INDEX($Y$7:$AB$20,MATCH(I355,$Y$7:$Y$20,0),$AA$6)),"/"),"")</f>
        <v/>
      </c>
      <c r="L355" s="35" t="str">
        <f>IF(H344&lt;&gt;"",IF(INDEX(BDHK2,MATCH(H344,DiemHKII!$B$4:$B$58,0),INDEX($Y$7:$AB$20,MATCH(I355,$Y$7:$Y$20,0),$AB$6))&lt;&gt;"",INDEX(BDHK2,MATCH(H344,DiemHKII!$B$4:$B$58,0),INDEX($Y$7:$AB$20,MATCH(I355,$Y$7:$Y$20,0),$AB$6)),"/"),"")</f>
        <v/>
      </c>
      <c r="M355" s="88"/>
      <c r="N355" s="79" t="s">
        <v>199</v>
      </c>
      <c r="O355" s="81" t="s">
        <v>33</v>
      </c>
      <c r="P355" s="35" t="str">
        <f>IF(N344&lt;&gt;"",IF(INDEX(BDHK2,MATCH(N344,DiemHKII!$B$4:$B$58,0),INDEX($Y$7:$AB$20,MATCH(O355,$Y$7:$Y$20,0),$Z$6))&lt;&gt;"",INDEX(BDHK2,MATCH(N344,DiemHKII!$B$4:$B$58,0),INDEX($Y$7:$AB$20,MATCH(O355,$Y$7:$Y$20,0),$Z$6)),"/"),"")</f>
        <v/>
      </c>
      <c r="Q355" s="35" t="str">
        <f>IF(N344&lt;&gt;"",IF(INDEX(BDHK2,MATCH(N344,DiemHKII!$B$4:$B$58,0),INDEX($Y$7:$AB$20,MATCH(O355,$Y$7:$Y$20,0),$AA$6))&lt;&gt;"",INDEX(BDHK2,MATCH(N344,DiemHKII!$B$4:$B$58,0),INDEX($Y$7:$AB$20,MATCH(O355,$Y$7:$Y$20,0),$AA$6)),"/"),"")</f>
        <v/>
      </c>
      <c r="R355" s="35" t="str">
        <f>IF(N344&lt;&gt;"",IF(INDEX(BDHK2,MATCH(N344,DiemHKII!$B$4:$B$58,0),INDEX($Y$7:$AB$20,MATCH(O355,$Y$7:$Y$20,0),$AB$6))&lt;&gt;"",INDEX(BDHK2,MATCH(N344,DiemHKII!$B$4:$B$58,0),INDEX($Y$7:$AB$20,MATCH(O355,$Y$7:$Y$20,0),$AB$6)),"/"),"")</f>
        <v/>
      </c>
      <c r="S355" s="88"/>
    </row>
    <row r="356" spans="1:19" ht="15.6" customHeight="1">
      <c r="A356" s="88"/>
      <c r="B356" s="79" t="s">
        <v>200</v>
      </c>
      <c r="C356" s="81" t="s">
        <v>60</v>
      </c>
      <c r="D356" s="35" t="str">
        <f>IF(B344&lt;&gt;"",IF(INDEX(BDHK2,MATCH(B344,DiemHKII!$B$4:$B$58,0),INDEX($Y$7:$AB$20,MATCH(C356,$Y$7:$Y$20,0),$Z$6))&lt;&gt;"",INDEX(BDHK2,MATCH(B344,DiemHKII!$B$4:$B$58,0),INDEX($Y$7:$AB$20,MATCH(C356,$Y$7:$Y$20,0),$Z$6)),"/"),"")</f>
        <v/>
      </c>
      <c r="E356" s="35" t="str">
        <f>IF(B344&lt;&gt;"",IF(INDEX(BDHK2,MATCH(B344,DiemHKII!$B$4:$B$58,0),INDEX($Y$7:$AB$20,MATCH(C356,$Y$7:$Y$20,0),$AA$6))&lt;&gt;"",INDEX(BDHK2,MATCH(B344,DiemHKII!$B$4:$B$58,0),INDEX($Y$7:$AB$20,MATCH(C356,$Y$7:$Y$20,0),$AA$6)),"/"),"")</f>
        <v/>
      </c>
      <c r="F356" s="35" t="str">
        <f>IF(B344&lt;&gt;"",IF(INDEX(BDHK2,MATCH(B344,DiemHKII!$B$4:$B$58,0),INDEX($Y$7:$AB$20,MATCH(C356,$Y$7:$Y$20,0),$AB$6))&lt;&gt;"",INDEX(BDHK2,MATCH(B344,DiemHKII!$B$4:$B$58,0),INDEX($Y$7:$AB$20,MATCH(C356,$Y$7:$Y$20,0),$AB$6)),"/"),"")</f>
        <v/>
      </c>
      <c r="G356" s="88"/>
      <c r="H356" s="79" t="s">
        <v>200</v>
      </c>
      <c r="I356" s="81" t="s">
        <v>60</v>
      </c>
      <c r="J356" s="35" t="str">
        <f>IF(H344&lt;&gt;"",IF(INDEX(BDHK2,MATCH(H344,DiemHKII!$B$4:$B$58,0),INDEX($Y$7:$AB$20,MATCH(I356,$Y$7:$Y$20,0),$Z$6))&lt;&gt;"",INDEX(BDHK2,MATCH(H344,DiemHKII!$B$4:$B$58,0),INDEX($Y$7:$AB$20,MATCH(I356,$Y$7:$Y$20,0),$Z$6)),"/"),"")</f>
        <v/>
      </c>
      <c r="K356" s="35" t="str">
        <f>IF(H344&lt;&gt;"",IF(INDEX(BDHK2,MATCH(H344,DiemHKII!$B$4:$B$58,0),INDEX($Y$7:$AB$20,MATCH(I356,$Y$7:$Y$20,0),$AA$6))&lt;&gt;"",INDEX(BDHK2,MATCH(H344,DiemHKII!$B$4:$B$58,0),INDEX($Y$7:$AB$20,MATCH(I356,$Y$7:$Y$20,0),$AA$6)),"/"),"")</f>
        <v/>
      </c>
      <c r="L356" s="35" t="str">
        <f>IF(H344&lt;&gt;"",IF(INDEX(BDHK2,MATCH(H344,DiemHKII!$B$4:$B$58,0),INDEX($Y$7:$AB$20,MATCH(I356,$Y$7:$Y$20,0),$AB$6))&lt;&gt;"",INDEX(BDHK2,MATCH(H344,DiemHKII!$B$4:$B$58,0),INDEX($Y$7:$AB$20,MATCH(I356,$Y$7:$Y$20,0),$AB$6)),"/"),"")</f>
        <v/>
      </c>
      <c r="M356" s="88"/>
      <c r="N356" s="79" t="s">
        <v>200</v>
      </c>
      <c r="O356" s="81" t="s">
        <v>60</v>
      </c>
      <c r="P356" s="35" t="str">
        <f>IF(N344&lt;&gt;"",IF(INDEX(BDHK2,MATCH(N344,DiemHKII!$B$4:$B$58,0),INDEX($Y$7:$AB$20,MATCH(O356,$Y$7:$Y$20,0),$Z$6))&lt;&gt;"",INDEX(BDHK2,MATCH(N344,DiemHKII!$B$4:$B$58,0),INDEX($Y$7:$AB$20,MATCH(O356,$Y$7:$Y$20,0),$Z$6)),"/"),"")</f>
        <v/>
      </c>
      <c r="Q356" s="35" t="str">
        <f>IF(N344&lt;&gt;"",IF(INDEX(BDHK2,MATCH(N344,DiemHKII!$B$4:$B$58,0),INDEX($Y$7:$AB$20,MATCH(O356,$Y$7:$Y$20,0),$AA$6))&lt;&gt;"",INDEX(BDHK2,MATCH(N344,DiemHKII!$B$4:$B$58,0),INDEX($Y$7:$AB$20,MATCH(O356,$Y$7:$Y$20,0),$AA$6)),"/"),"")</f>
        <v/>
      </c>
      <c r="R356" s="35" t="str">
        <f>IF(N344&lt;&gt;"",IF(INDEX(BDHK2,MATCH(N344,DiemHKII!$B$4:$B$58,0),INDEX($Y$7:$AB$20,MATCH(O356,$Y$7:$Y$20,0),$AB$6))&lt;&gt;"",INDEX(BDHK2,MATCH(N344,DiemHKII!$B$4:$B$58,0),INDEX($Y$7:$AB$20,MATCH(O356,$Y$7:$Y$20,0),$AB$6)),"/"),"")</f>
        <v/>
      </c>
      <c r="S356" s="88"/>
    </row>
    <row r="357" spans="1:19" ht="15.6" customHeight="1">
      <c r="A357" s="88"/>
      <c r="B357" s="79" t="s">
        <v>201</v>
      </c>
      <c r="C357" s="81" t="s">
        <v>34</v>
      </c>
      <c r="D357" s="35" t="str">
        <f>IF(B344&lt;&gt;"",IF(INDEX(BDHK2,MATCH(B344,DiemHKII!$B$4:$B$58,0),INDEX($Y$7:$AB$20,MATCH(C357,$Y$7:$Y$20,0),$Z$6))&lt;&gt;"",INDEX(BDHK2,MATCH(B344,DiemHKII!$B$4:$B$58,0),INDEX($Y$7:$AB$20,MATCH(C357,$Y$7:$Y$20,0),$Z$6)),"/"),"")</f>
        <v/>
      </c>
      <c r="E357" s="35" t="str">
        <f>IF(B344&lt;&gt;"",IF(INDEX(BDHK2,MATCH(B344,DiemHKII!$B$4:$B$58,0),INDEX($Y$7:$AB$20,MATCH(C357,$Y$7:$Y$20,0),$AA$6))&lt;&gt;"",INDEX(BDHK2,MATCH(B344,DiemHKII!$B$4:$B$58,0),INDEX($Y$7:$AB$20,MATCH(C357,$Y$7:$Y$20,0),$AA$6)),"/"),"")</f>
        <v/>
      </c>
      <c r="F357" s="35" t="str">
        <f>IF(B344&lt;&gt;"",IF(INDEX(BDHK2,MATCH(B344,DiemHKII!$B$4:$B$58,0),INDEX($Y$7:$AB$20,MATCH(C357,$Y$7:$Y$20,0),$AB$6))&lt;&gt;"",INDEX(BDHK2,MATCH(B344,DiemHKII!$B$4:$B$58,0),INDEX($Y$7:$AB$20,MATCH(C357,$Y$7:$Y$20,0),$AB$6)),"/"),"")</f>
        <v/>
      </c>
      <c r="G357" s="88"/>
      <c r="H357" s="79" t="s">
        <v>201</v>
      </c>
      <c r="I357" s="81" t="s">
        <v>34</v>
      </c>
      <c r="J357" s="35" t="str">
        <f>IF(H344&lt;&gt;"",IF(INDEX(BDHK2,MATCH(H344,DiemHKII!$B$4:$B$58,0),INDEX($Y$7:$AB$20,MATCH(I357,$Y$7:$Y$20,0),$Z$6))&lt;&gt;"",INDEX(BDHK2,MATCH(H344,DiemHKII!$B$4:$B$58,0),INDEX($Y$7:$AB$20,MATCH(I357,$Y$7:$Y$20,0),$Z$6)),"/"),"")</f>
        <v/>
      </c>
      <c r="K357" s="35" t="str">
        <f>IF(H344&lt;&gt;"",IF(INDEX(BDHK2,MATCH(H344,DiemHKII!$B$4:$B$58,0),INDEX($Y$7:$AB$20,MATCH(I357,$Y$7:$Y$20,0),$AA$6))&lt;&gt;"",INDEX(BDHK2,MATCH(H344,DiemHKII!$B$4:$B$58,0),INDEX($Y$7:$AB$20,MATCH(I357,$Y$7:$Y$20,0),$AA$6)),"/"),"")</f>
        <v/>
      </c>
      <c r="L357" s="35" t="str">
        <f>IF(H344&lt;&gt;"",IF(INDEX(BDHK2,MATCH(H344,DiemHKII!$B$4:$B$58,0),INDEX($Y$7:$AB$20,MATCH(I357,$Y$7:$Y$20,0),$AB$6))&lt;&gt;"",INDEX(BDHK2,MATCH(H344,DiemHKII!$B$4:$B$58,0),INDEX($Y$7:$AB$20,MATCH(I357,$Y$7:$Y$20,0),$AB$6)),"/"),"")</f>
        <v/>
      </c>
      <c r="M357" s="88"/>
      <c r="N357" s="79" t="s">
        <v>201</v>
      </c>
      <c r="O357" s="81" t="s">
        <v>34</v>
      </c>
      <c r="P357" s="35" t="str">
        <f>IF(N344&lt;&gt;"",IF(INDEX(BDHK2,MATCH(N344,DiemHKII!$B$4:$B$58,0),INDEX($Y$7:$AB$20,MATCH(O357,$Y$7:$Y$20,0),$Z$6))&lt;&gt;"",INDEX(BDHK2,MATCH(N344,DiemHKII!$B$4:$B$58,0),INDEX($Y$7:$AB$20,MATCH(O357,$Y$7:$Y$20,0),$Z$6)),"/"),"")</f>
        <v/>
      </c>
      <c r="Q357" s="35" t="str">
        <f>IF(N344&lt;&gt;"",IF(INDEX(BDHK2,MATCH(N344,DiemHKII!$B$4:$B$58,0),INDEX($Y$7:$AB$20,MATCH(O357,$Y$7:$Y$20,0),$AA$6))&lt;&gt;"",INDEX(BDHK2,MATCH(N344,DiemHKII!$B$4:$B$58,0),INDEX($Y$7:$AB$20,MATCH(O357,$Y$7:$Y$20,0),$AA$6)),"/"),"")</f>
        <v/>
      </c>
      <c r="R357" s="35" t="str">
        <f>IF(N344&lt;&gt;"",IF(INDEX(BDHK2,MATCH(N344,DiemHKII!$B$4:$B$58,0),INDEX($Y$7:$AB$20,MATCH(O357,$Y$7:$Y$20,0),$AB$6))&lt;&gt;"",INDEX(BDHK2,MATCH(N344,DiemHKII!$B$4:$B$58,0),INDEX($Y$7:$AB$20,MATCH(O357,$Y$7:$Y$20,0),$AB$6)),"/"),"")</f>
        <v/>
      </c>
      <c r="S357" s="88"/>
    </row>
    <row r="358" spans="1:19" ht="15.6" customHeight="1">
      <c r="A358" s="88"/>
      <c r="B358" s="79" t="s">
        <v>202</v>
      </c>
      <c r="C358" s="81" t="s">
        <v>35</v>
      </c>
      <c r="D358" s="35" t="str">
        <f>IF(B344&lt;&gt;"",IF(INDEX(BDHK2,MATCH(B344,DiemHKII!$B$4:$B$58,0),INDEX($Y$7:$AB$20,MATCH(C358,$Y$7:$Y$20,0),$Z$6))&lt;&gt;"",INDEX(BDHK2,MATCH(B344,DiemHKII!$B$4:$B$58,0),INDEX($Y$7:$AB$20,MATCH(C358,$Y$7:$Y$20,0),$Z$6)),"/"),"")</f>
        <v/>
      </c>
      <c r="E358" s="35" t="str">
        <f>IF(B344&lt;&gt;"",IF(INDEX(BDHK2,MATCH(B344,DiemHKII!$B$4:$B$58,0),INDEX($Y$7:$AB$20,MATCH(C358,$Y$7:$Y$20,0),$AA$6))&lt;&gt;"",INDEX(BDHK2,MATCH(B344,DiemHKII!$B$4:$B$58,0),INDEX($Y$7:$AB$20,MATCH(C358,$Y$7:$Y$20,0),$AA$6)),"/"),"")</f>
        <v/>
      </c>
      <c r="F358" s="35" t="str">
        <f>IF(B344&lt;&gt;"",IF(INDEX(BDHK2,MATCH(B344,DiemHKII!$B$4:$B$58,0),INDEX($Y$7:$AB$20,MATCH(C358,$Y$7:$Y$20,0),$AB$6))&lt;&gt;"",INDEX(BDHK2,MATCH(B344,DiemHKII!$B$4:$B$58,0),INDEX($Y$7:$AB$20,MATCH(C358,$Y$7:$Y$20,0),$AB$6)),"/"),"")</f>
        <v/>
      </c>
      <c r="G358" s="88"/>
      <c r="H358" s="79" t="s">
        <v>202</v>
      </c>
      <c r="I358" s="81" t="s">
        <v>35</v>
      </c>
      <c r="J358" s="35" t="str">
        <f>IF(H344&lt;&gt;"",IF(INDEX(BDHK2,MATCH(H344,DiemHKII!$B$4:$B$58,0),INDEX($Y$7:$AB$20,MATCH(I358,$Y$7:$Y$20,0),$Z$6))&lt;&gt;"",INDEX(BDHK2,MATCH(H344,DiemHKII!$B$4:$B$58,0),INDEX($Y$7:$AB$20,MATCH(I358,$Y$7:$Y$20,0),$Z$6)),"/"),"")</f>
        <v/>
      </c>
      <c r="K358" s="35" t="str">
        <f>IF(H344&lt;&gt;"",IF(INDEX(BDHK2,MATCH(H344,DiemHKII!$B$4:$B$58,0),INDEX($Y$7:$AB$20,MATCH(I358,$Y$7:$Y$20,0),$AA$6))&lt;&gt;"",INDEX(BDHK2,MATCH(H344,DiemHKII!$B$4:$B$58,0),INDEX($Y$7:$AB$20,MATCH(I358,$Y$7:$Y$20,0),$AA$6)),"/"),"")</f>
        <v/>
      </c>
      <c r="L358" s="35" t="str">
        <f>IF(H344&lt;&gt;"",IF(INDEX(BDHK2,MATCH(H344,DiemHKII!$B$4:$B$58,0),INDEX($Y$7:$AB$20,MATCH(I358,$Y$7:$Y$20,0),$AB$6))&lt;&gt;"",INDEX(BDHK2,MATCH(H344,DiemHKII!$B$4:$B$58,0),INDEX($Y$7:$AB$20,MATCH(I358,$Y$7:$Y$20,0),$AB$6)),"/"),"")</f>
        <v/>
      </c>
      <c r="M358" s="88"/>
      <c r="N358" s="79" t="s">
        <v>202</v>
      </c>
      <c r="O358" s="81" t="s">
        <v>35</v>
      </c>
      <c r="P358" s="35" t="str">
        <f>IF(N344&lt;&gt;"",IF(INDEX(BDHK2,MATCH(N344,DiemHKII!$B$4:$B$58,0),INDEX($Y$7:$AB$20,MATCH(O358,$Y$7:$Y$20,0),$Z$6))&lt;&gt;"",INDEX(BDHK2,MATCH(N344,DiemHKII!$B$4:$B$58,0),INDEX($Y$7:$AB$20,MATCH(O358,$Y$7:$Y$20,0),$Z$6)),"/"),"")</f>
        <v/>
      </c>
      <c r="Q358" s="35" t="str">
        <f>IF(N344&lt;&gt;"",IF(INDEX(BDHK2,MATCH(N344,DiemHKII!$B$4:$B$58,0),INDEX($Y$7:$AB$20,MATCH(O358,$Y$7:$Y$20,0),$AA$6))&lt;&gt;"",INDEX(BDHK2,MATCH(N344,DiemHKII!$B$4:$B$58,0),INDEX($Y$7:$AB$20,MATCH(O358,$Y$7:$Y$20,0),$AA$6)),"/"),"")</f>
        <v/>
      </c>
      <c r="R358" s="35" t="str">
        <f>IF(N344&lt;&gt;"",IF(INDEX(BDHK2,MATCH(N344,DiemHKII!$B$4:$B$58,0),INDEX($Y$7:$AB$20,MATCH(O358,$Y$7:$Y$20,0),$AB$6))&lt;&gt;"",INDEX(BDHK2,MATCH(N344,DiemHKII!$B$4:$B$58,0),INDEX($Y$7:$AB$20,MATCH(O358,$Y$7:$Y$20,0),$AB$6)),"/"),"")</f>
        <v/>
      </c>
      <c r="S358" s="88"/>
    </row>
    <row r="359" spans="1:19" ht="15.6" customHeight="1">
      <c r="A359" s="88"/>
      <c r="B359" s="79" t="s">
        <v>203</v>
      </c>
      <c r="C359" s="81" t="s">
        <v>121</v>
      </c>
      <c r="D359" s="35" t="str">
        <f>IF(B344&lt;&gt;"",IF(INDEX(BDHK2,MATCH(B344,DiemHKII!$B$4:$B$58,0),INDEX($Y$7:$AB$20,MATCH(C359,$Y$7:$Y$20,0),$Z$6))&lt;&gt;"",INDEX(BDHK2,MATCH(B344,DiemHKII!$B$4:$B$58,0),INDEX($Y$7:$AB$20,MATCH(C359,$Y$7:$Y$20,0),$Z$6)),"/"),"")</f>
        <v/>
      </c>
      <c r="E359" s="35" t="str">
        <f>IF(B344&lt;&gt;"",IF(INDEX(BDHK2,MATCH(B344,DiemHKII!$B$4:$B$58,0),INDEX($Y$7:$AB$20,MATCH(C359,$Y$7:$Y$20,0),$AA$6))&lt;&gt;"",INDEX(BDHK2,MATCH(B344,DiemHKII!$B$4:$B$58,0),INDEX($Y$7:$AB$20,MATCH(C359,$Y$7:$Y$20,0),$AA$6)),"/"),"")</f>
        <v/>
      </c>
      <c r="F359" s="35" t="str">
        <f>IF(B344&lt;&gt;"",IF(INDEX(BDHK2,MATCH(B344,DiemHKII!$B$4:$B$58,0),INDEX($Y$7:$AB$20,MATCH(C359,$Y$7:$Y$20,0),$AB$6))&lt;&gt;"",INDEX(BDHK2,MATCH(B344,DiemHKII!$B$4:$B$58,0),INDEX($Y$7:$AB$20,MATCH(C359,$Y$7:$Y$20,0),$AB$6)),"/"),"")</f>
        <v/>
      </c>
      <c r="G359" s="88"/>
      <c r="H359" s="79" t="s">
        <v>203</v>
      </c>
      <c r="I359" s="81" t="s">
        <v>121</v>
      </c>
      <c r="J359" s="35" t="str">
        <f>IF(H344&lt;&gt;"",IF(INDEX(BDHK2,MATCH(H344,DiemHKII!$B$4:$B$58,0),INDEX($Y$7:$AB$20,MATCH(I359,$Y$7:$Y$20,0),$Z$6))&lt;&gt;"",INDEX(BDHK2,MATCH(H344,DiemHKII!$B$4:$B$58,0),INDEX($Y$7:$AB$20,MATCH(I359,$Y$7:$Y$20,0),$Z$6)),"/"),"")</f>
        <v/>
      </c>
      <c r="K359" s="35" t="str">
        <f>IF(H344&lt;&gt;"",IF(INDEX(BDHK2,MATCH(H344,DiemHKII!$B$4:$B$58,0),INDEX($Y$7:$AB$20,MATCH(I359,$Y$7:$Y$20,0),$AA$6))&lt;&gt;"",INDEX(BDHK2,MATCH(H344,DiemHKII!$B$4:$B$58,0),INDEX($Y$7:$AB$20,MATCH(I359,$Y$7:$Y$20,0),$AA$6)),"/"),"")</f>
        <v/>
      </c>
      <c r="L359" s="35" t="str">
        <f>IF(H344&lt;&gt;"",IF(INDEX(BDHK2,MATCH(H344,DiemHKII!$B$4:$B$58,0),INDEX($Y$7:$AB$20,MATCH(I359,$Y$7:$Y$20,0),$AB$6))&lt;&gt;"",INDEX(BDHK2,MATCH(H344,DiemHKII!$B$4:$B$58,0),INDEX($Y$7:$AB$20,MATCH(I359,$Y$7:$Y$20,0),$AB$6)),"/"),"")</f>
        <v/>
      </c>
      <c r="M359" s="88"/>
      <c r="N359" s="79" t="s">
        <v>203</v>
      </c>
      <c r="O359" s="81" t="s">
        <v>121</v>
      </c>
      <c r="P359" s="35" t="str">
        <f>IF(N344&lt;&gt;"",IF(INDEX(BDHK2,MATCH(N344,DiemHKII!$B$4:$B$58,0),INDEX($Y$7:$AB$20,MATCH(O359,$Y$7:$Y$20,0),$Z$6))&lt;&gt;"",INDEX(BDHK2,MATCH(N344,DiemHKII!$B$4:$B$58,0),INDEX($Y$7:$AB$20,MATCH(O359,$Y$7:$Y$20,0),$Z$6)),"/"),"")</f>
        <v/>
      </c>
      <c r="Q359" s="35" t="str">
        <f>IF(N344&lt;&gt;"",IF(INDEX(BDHK2,MATCH(N344,DiemHKII!$B$4:$B$58,0),INDEX($Y$7:$AB$20,MATCH(O359,$Y$7:$Y$20,0),$AA$6))&lt;&gt;"",INDEX(BDHK2,MATCH(N344,DiemHKII!$B$4:$B$58,0),INDEX($Y$7:$AB$20,MATCH(O359,$Y$7:$Y$20,0),$AA$6)),"/"),"")</f>
        <v/>
      </c>
      <c r="R359" s="35" t="str">
        <f>IF(N344&lt;&gt;"",IF(INDEX(BDHK2,MATCH(N344,DiemHKII!$B$4:$B$58,0),INDEX($Y$7:$AB$20,MATCH(O359,$Y$7:$Y$20,0),$AB$6))&lt;&gt;"",INDEX(BDHK2,MATCH(N344,DiemHKII!$B$4:$B$58,0),INDEX($Y$7:$AB$20,MATCH(O359,$Y$7:$Y$20,0),$AB$6)),"/"),"")</f>
        <v/>
      </c>
      <c r="S359" s="88"/>
    </row>
    <row r="360" spans="1:19" ht="15.6" customHeight="1">
      <c r="A360" s="88"/>
      <c r="B360" s="79" t="s">
        <v>204</v>
      </c>
      <c r="C360" s="81" t="s">
        <v>122</v>
      </c>
      <c r="D360" s="35" t="str">
        <f>IF(B344&lt;&gt;"",IF(INDEX(BDHK2,MATCH(B344,DiemHKII!$B$4:$B$58,0),INDEX($Y$7:$AB$20,MATCH(C360,$Y$7:$Y$20,0),$Z$6))&lt;&gt;"",INDEX(BDHK2,MATCH(B344,DiemHKII!$B$4:$B$58,0),INDEX($Y$7:$AB$20,MATCH(C360,$Y$7:$Y$20,0),$Z$6)),"/"),"")</f>
        <v/>
      </c>
      <c r="E360" s="35" t="str">
        <f>IF(B344&lt;&gt;"",IF(INDEX(BDHK2,MATCH(B344,DiemHKII!$B$4:$B$58,0),INDEX($Y$7:$AB$20,MATCH(C360,$Y$7:$Y$20,0),$AA$6))&lt;&gt;"",INDEX(BDHK2,MATCH(B344,DiemHKII!$B$4:$B$58,0),INDEX($Y$7:$AB$20,MATCH(C360,$Y$7:$Y$20,0),$AA$6)),"/"),"")</f>
        <v/>
      </c>
      <c r="F360" s="35" t="str">
        <f>IF(B344&lt;&gt;"",IF(INDEX(BDHK2,MATCH(B344,DiemHKII!$B$4:$B$58,0),INDEX($Y$7:$AB$20,MATCH(C360,$Y$7:$Y$20,0),$AB$6))&lt;&gt;"",INDEX(BDHK2,MATCH(B344,DiemHKII!$B$4:$B$58,0),INDEX($Y$7:$AB$20,MATCH(C360,$Y$7:$Y$20,0),$AB$6)),"/"),"")</f>
        <v/>
      </c>
      <c r="G360" s="88"/>
      <c r="H360" s="79" t="s">
        <v>204</v>
      </c>
      <c r="I360" s="81" t="s">
        <v>122</v>
      </c>
      <c r="J360" s="35" t="str">
        <f>IF(H344&lt;&gt;"",IF(INDEX(BDHK2,MATCH(H344,DiemHKII!$B$4:$B$58,0),INDEX($Y$7:$AB$20,MATCH(I360,$Y$7:$Y$20,0),$Z$6))&lt;&gt;"",INDEX(BDHK2,MATCH(H344,DiemHKII!$B$4:$B$58,0),INDEX($Y$7:$AB$20,MATCH(I360,$Y$7:$Y$20,0),$Z$6)),"/"),"")</f>
        <v/>
      </c>
      <c r="K360" s="35" t="str">
        <f>IF(H344&lt;&gt;"",IF(INDEX(BDHK2,MATCH(H344,DiemHKII!$B$4:$B$58,0),INDEX($Y$7:$AB$20,MATCH(I360,$Y$7:$Y$20,0),$AA$6))&lt;&gt;"",INDEX(BDHK2,MATCH(H344,DiemHKII!$B$4:$B$58,0),INDEX($Y$7:$AB$20,MATCH(I360,$Y$7:$Y$20,0),$AA$6)),"/"),"")</f>
        <v/>
      </c>
      <c r="L360" s="35" t="str">
        <f>IF(H344&lt;&gt;"",IF(INDEX(BDHK2,MATCH(H344,DiemHKII!$B$4:$B$58,0),INDEX($Y$7:$AB$20,MATCH(I360,$Y$7:$Y$20,0),$AB$6))&lt;&gt;"",INDEX(BDHK2,MATCH(H344,DiemHKII!$B$4:$B$58,0),INDEX($Y$7:$AB$20,MATCH(I360,$Y$7:$Y$20,0),$AB$6)),"/"),"")</f>
        <v/>
      </c>
      <c r="M360" s="88"/>
      <c r="N360" s="79" t="s">
        <v>204</v>
      </c>
      <c r="O360" s="81" t="s">
        <v>122</v>
      </c>
      <c r="P360" s="35" t="str">
        <f>IF(N344&lt;&gt;"",IF(INDEX(BDHK2,MATCH(N344,DiemHKII!$B$4:$B$58,0),INDEX($Y$7:$AB$20,MATCH(O360,$Y$7:$Y$20,0),$Z$6))&lt;&gt;"",INDEX(BDHK2,MATCH(N344,DiemHKII!$B$4:$B$58,0),INDEX($Y$7:$AB$20,MATCH(O360,$Y$7:$Y$20,0),$Z$6)),"/"),"")</f>
        <v/>
      </c>
      <c r="Q360" s="35" t="str">
        <f>IF(N344&lt;&gt;"",IF(INDEX(BDHK2,MATCH(N344,DiemHKII!$B$4:$B$58,0),INDEX($Y$7:$AB$20,MATCH(O360,$Y$7:$Y$20,0),$AA$6))&lt;&gt;"",INDEX(BDHK2,MATCH(N344,DiemHKII!$B$4:$B$58,0),INDEX($Y$7:$AB$20,MATCH(O360,$Y$7:$Y$20,0),$AA$6)),"/"),"")</f>
        <v/>
      </c>
      <c r="R360" s="35" t="str">
        <f>IF(N344&lt;&gt;"",IF(INDEX(BDHK2,MATCH(N344,DiemHKII!$B$4:$B$58,0),INDEX($Y$7:$AB$20,MATCH(O360,$Y$7:$Y$20,0),$AB$6))&lt;&gt;"",INDEX(BDHK2,MATCH(N344,DiemHKII!$B$4:$B$58,0),INDEX($Y$7:$AB$20,MATCH(O360,$Y$7:$Y$20,0),$AB$6)),"/"),"")</f>
        <v/>
      </c>
      <c r="S360" s="88"/>
    </row>
    <row r="361" spans="1:19" ht="15.6" customHeight="1">
      <c r="A361" s="88"/>
      <c r="B361" s="79" t="s">
        <v>208</v>
      </c>
      <c r="C361" s="81" t="s">
        <v>217</v>
      </c>
      <c r="D361" s="80" t="str">
        <f>IF(B344&lt;&gt;"",IF(INDEX('TH CANAM'!$A$9:$BF$63,MATCH(B344,'TH CANAM'!$A$9:$A$63,0),46)&lt;&gt;"",INDEX('TH CANAM'!$A$9:$BF$63,MATCH(B344,'TH CANAM'!$A$9:$A$63,0),46),"/"),"")</f>
        <v/>
      </c>
      <c r="E361" s="80" t="str">
        <f>IF(B344&lt;&gt;"",IF(INDEX('TH CANAM'!$A$9:$BF$63,MATCH(B344,'TH CANAM'!$A$9:$A$63,0),47)&lt;&gt;"",INDEX('TH CANAM'!$A$9:$BF$63,MATCH(B344,'TH CANAM'!$A$9:$A$63,0),47),"/"),"")</f>
        <v/>
      </c>
      <c r="F361" s="80" t="str">
        <f>IF(B344&lt;&gt;"",IF(INDEX('TH CANAM'!$A$9:$BF$63,MATCH(B344,'TH CANAM'!$A$9:$A$63,0),48)&lt;&gt;"",INDEX('TH CANAM'!$A$9:$BF$63,MATCH(B344,'TH CANAM'!$A$9:$A$63,0),48),"/"),"")</f>
        <v/>
      </c>
      <c r="G361" s="88"/>
      <c r="H361" s="79" t="s">
        <v>208</v>
      </c>
      <c r="I361" s="81" t="s">
        <v>217</v>
      </c>
      <c r="J361" s="80" t="str">
        <f>IF(H344&lt;&gt;"",IF(INDEX('TH CANAM'!$A$9:$BF$63,MATCH(H344,'TH CANAM'!$A$9:$A$63,0),46)&lt;&gt;"",INDEX('TH CANAM'!$A$9:$BF$63,MATCH(H344,'TH CANAM'!$A$9:$A$63,0),46),"/"),"")</f>
        <v/>
      </c>
      <c r="K361" s="80" t="str">
        <f>IF(H344&lt;&gt;"",IF(INDEX('TH CANAM'!$A$9:$BF$63,MATCH(H344,'TH CANAM'!$A$9:$A$63,0),47)&lt;&gt;"",INDEX('TH CANAM'!$A$9:$BF$63,MATCH(H344,'TH CANAM'!$A$9:$A$63,0),47),"/"),"")</f>
        <v/>
      </c>
      <c r="L361" s="80" t="str">
        <f>IF(H344&lt;&gt;"",IF(INDEX('TH CANAM'!$A$9:$BF$63,MATCH(H344,'TH CANAM'!$A$9:$A$63,0),48)&lt;&gt;"",INDEX('TH CANAM'!$A$9:$BF$63,MATCH(H344,'TH CANAM'!$A$9:$A$63,0),48),"/"),"")</f>
        <v/>
      </c>
      <c r="M361" s="88"/>
      <c r="N361" s="79" t="s">
        <v>208</v>
      </c>
      <c r="O361" s="81" t="s">
        <v>217</v>
      </c>
      <c r="P361" s="80" t="str">
        <f>IF(N344&lt;&gt;"",IF(INDEX('TH CANAM'!$A$9:$BF$63,MATCH(N344,'TH CANAM'!$A$9:$A$63,0),46)&lt;&gt;"",INDEX('TH CANAM'!$A$9:$BF$63,MATCH(N344,'TH CANAM'!$A$9:$A$63,0),46),"/"),"")</f>
        <v/>
      </c>
      <c r="Q361" s="80" t="str">
        <f>IF(N344&lt;&gt;"",IF(INDEX('TH CANAM'!$A$9:$BF$63,MATCH(N344,'TH CANAM'!$A$9:$A$63,0),47)&lt;&gt;"",INDEX('TH CANAM'!$A$9:$BF$63,MATCH(N344,'TH CANAM'!$A$9:$A$63,0),47),"/"),"")</f>
        <v/>
      </c>
      <c r="R361" s="80" t="str">
        <f>IF(N344&lt;&gt;"",IF(INDEX('TH CANAM'!$A$9:$BF$63,MATCH(N344,'TH CANAM'!$A$9:$A$63,0),48)&lt;&gt;"",INDEX('TH CANAM'!$A$9:$BF$63,MATCH(N344,'TH CANAM'!$A$9:$A$63,0),48),"/"),"")</f>
        <v/>
      </c>
      <c r="S361" s="88"/>
    </row>
    <row r="362" spans="1:19" ht="15.6" customHeight="1">
      <c r="A362" s="88"/>
      <c r="B362" s="79" t="s">
        <v>209</v>
      </c>
      <c r="C362" s="82" t="s">
        <v>36</v>
      </c>
      <c r="D362" s="35" t="str">
        <f>IF(B344&lt;&gt;"",IF(INDEX('TH CANAM'!$A$9:$BF$63,MATCH(B344,'TH CANAM'!$A$9:$A$63,0),49)&lt;&gt;"",INDEX('TH CANAM'!$A$9:$BF$63,MATCH(B344,'TH CANAM'!$A$9:$A$63,0),49),"/"),"")</f>
        <v/>
      </c>
      <c r="E362" s="35" t="str">
        <f>IF(B344&lt;&gt;"",IF(INDEX('TH CANAM'!$A$9:$BF$63,MATCH(B344,'TH CANAM'!$A$9:$A$63,0),50)&lt;&gt;"",INDEX('TH CANAM'!$A$9:$BF$63,MATCH(B344,'TH CANAM'!$A$9:$A$63,0),50),"/"),"")</f>
        <v/>
      </c>
      <c r="F362" s="35" t="str">
        <f>IF(B344&lt;&gt;"",IF(INDEX('TH CANAM'!$A$9:$BF$63,MATCH(B344,'TH CANAM'!$A$9:$A$63,0),51)&lt;&gt;"",INDEX('TH CANAM'!$A$9:$BF$63,MATCH(B344,'TH CANAM'!$A$9:$A$63,0),51),"/"),"")</f>
        <v/>
      </c>
      <c r="G362" s="88"/>
      <c r="H362" s="79" t="s">
        <v>209</v>
      </c>
      <c r="I362" s="82" t="s">
        <v>36</v>
      </c>
      <c r="J362" s="35" t="str">
        <f>IF(H344&lt;&gt;"",IF(INDEX('TH CANAM'!$A$9:$BF$63,MATCH(H344,'TH CANAM'!$A$9:$A$63,0),49)&lt;&gt;"",INDEX('TH CANAM'!$A$9:$BF$63,MATCH(H344,'TH CANAM'!$A$9:$A$63,0),49),"/"),"")</f>
        <v/>
      </c>
      <c r="K362" s="35" t="str">
        <f>IF(H344&lt;&gt;"",IF(INDEX('TH CANAM'!$A$9:$BF$63,MATCH(H344,'TH CANAM'!$A$9:$A$63,0),50)&lt;&gt;"",INDEX('TH CANAM'!$A$9:$BF$63,MATCH(H344,'TH CANAM'!$A$9:$A$63,0),50),"/"),"")</f>
        <v/>
      </c>
      <c r="L362" s="35" t="str">
        <f>IF(H344&lt;&gt;"",IF(INDEX('TH CANAM'!$A$9:$BF$63,MATCH(H344,'TH CANAM'!$A$9:$A$63,0),51)&lt;&gt;"",INDEX('TH CANAM'!$A$9:$BF$63,MATCH(H344,'TH CANAM'!$A$9:$A$63,0),51),"/"),"")</f>
        <v/>
      </c>
      <c r="M362" s="88"/>
      <c r="N362" s="79" t="s">
        <v>209</v>
      </c>
      <c r="O362" s="82" t="s">
        <v>36</v>
      </c>
      <c r="P362" s="35" t="str">
        <f>IF(N344&lt;&gt;"",IF(INDEX('TH CANAM'!$A$9:$BF$63,MATCH(N344,'TH CANAM'!$A$9:$A$63,0),49)&lt;&gt;"",INDEX('TH CANAM'!$A$9:$BF$63,MATCH(N344,'TH CANAM'!$A$9:$A$63,0),49),"/"),"")</f>
        <v/>
      </c>
      <c r="Q362" s="35" t="str">
        <f>IF(N344&lt;&gt;"",IF(INDEX('TH CANAM'!$A$9:$BF$63,MATCH(N344,'TH CANAM'!$A$9:$A$63,0),50)&lt;&gt;"",INDEX('TH CANAM'!$A$9:$BF$63,MATCH(N344,'TH CANAM'!$A$9:$A$63,0),50),"/"),"")</f>
        <v/>
      </c>
      <c r="R362" s="35" t="str">
        <f>IF(N344&lt;&gt;"",IF(INDEX('TH CANAM'!$A$9:$BF$63,MATCH(N344,'TH CANAM'!$A$9:$A$63,0),51)&lt;&gt;"",INDEX('TH CANAM'!$A$9:$BF$63,MATCH(N344,'TH CANAM'!$A$9:$A$63,0),51),"/"),"")</f>
        <v/>
      </c>
      <c r="S362" s="88"/>
    </row>
    <row r="363" spans="1:19" ht="15.6" customHeight="1">
      <c r="A363" s="88"/>
      <c r="B363" s="79" t="s">
        <v>210</v>
      </c>
      <c r="C363" s="82" t="s">
        <v>37</v>
      </c>
      <c r="D363" s="35" t="str">
        <f>IF(B344&lt;&gt;"",IF(INDEX('TH CANAM'!$A$9:$BF$63,MATCH(B344,'TH CANAM'!$A$9:$A$63,0),52)&lt;&gt;"",INDEX('TH CANAM'!$A$9:$BF$63,MATCH(B344,'TH CANAM'!$A$9:$A$63,0),52),"/"),"")</f>
        <v/>
      </c>
      <c r="E363" s="35" t="str">
        <f>IF(B344&lt;&gt;"",IF(INDEX('TH CANAM'!$A$9:$BF$63,MATCH(B344,'TH CANAM'!$A$9:$A$63,0),53)&lt;&gt;"",INDEX('TH CANAM'!$A$9:$BF$63,MATCH(B344,'TH CANAM'!$A$9:$A$63,0),53),"/"),"")</f>
        <v/>
      </c>
      <c r="F363" s="35" t="str">
        <f>IF(B344&lt;&gt;"",IF(INDEX('TH CANAM'!$A$9:$BF$63,MATCH(B344,'TH CANAM'!$A$9:$A$63,0),54)&lt;&gt;"",INDEX('TH CANAM'!$A$9:$BF$63,MATCH(B344,'TH CANAM'!$A$9:$A$63,0),54),"/"),"")</f>
        <v/>
      </c>
      <c r="G363" s="88"/>
      <c r="H363" s="79" t="s">
        <v>210</v>
      </c>
      <c r="I363" s="82" t="s">
        <v>37</v>
      </c>
      <c r="J363" s="35" t="str">
        <f>IF(H344&lt;&gt;"",IF(INDEX('TH CANAM'!$A$9:$BF$63,MATCH(H344,'TH CANAM'!$A$9:$A$63,0),52)&lt;&gt;"",INDEX('TH CANAM'!$A$9:$BF$63,MATCH(H344,'TH CANAM'!$A$9:$A$63,0),52),"/"),"")</f>
        <v/>
      </c>
      <c r="K363" s="35" t="str">
        <f>IF(H344&lt;&gt;"",IF(INDEX('TH CANAM'!$A$9:$BF$63,MATCH(H344,'TH CANAM'!$A$9:$A$63,0),53)&lt;&gt;"",INDEX('TH CANAM'!$A$9:$BF$63,MATCH(H344,'TH CANAM'!$A$9:$A$63,0),53),"/"),"")</f>
        <v/>
      </c>
      <c r="L363" s="35" t="str">
        <f>IF(H344&lt;&gt;"",IF(INDEX('TH CANAM'!$A$9:$BF$63,MATCH(H344,'TH CANAM'!$A$9:$A$63,0),54)&lt;&gt;"",INDEX('TH CANAM'!$A$9:$BF$63,MATCH(H344,'TH CANAM'!$A$9:$A$63,0),54),"/"),"")</f>
        <v/>
      </c>
      <c r="M363" s="88"/>
      <c r="N363" s="79" t="s">
        <v>210</v>
      </c>
      <c r="O363" s="82" t="s">
        <v>37</v>
      </c>
      <c r="P363" s="35" t="str">
        <f>IF(N344&lt;&gt;"",IF(INDEX('TH CANAM'!$A$9:$BF$63,MATCH(N344,'TH CANAM'!$A$9:$A$63,0),52)&lt;&gt;"",INDEX('TH CANAM'!$A$9:$BF$63,MATCH(N344,'TH CANAM'!$A$9:$A$63,0),52),"/"),"")</f>
        <v/>
      </c>
      <c r="Q363" s="35" t="str">
        <f>IF(N344&lt;&gt;"",IF(INDEX('TH CANAM'!$A$9:$BF$63,MATCH(N344,'TH CANAM'!$A$9:$A$63,0),53)&lt;&gt;"",INDEX('TH CANAM'!$A$9:$BF$63,MATCH(N344,'TH CANAM'!$A$9:$A$63,0),53),"/"),"")</f>
        <v/>
      </c>
      <c r="R363" s="35" t="str">
        <f>IF(N344&lt;&gt;"",IF(INDEX('TH CANAM'!$A$9:$BF$63,MATCH(N344,'TH CANAM'!$A$9:$A$63,0),54)&lt;&gt;"",INDEX('TH CANAM'!$A$9:$BF$63,MATCH(N344,'TH CANAM'!$A$9:$A$63,0),54),"/"),"")</f>
        <v/>
      </c>
      <c r="S363" s="88"/>
    </row>
    <row r="364" spans="1:19" ht="15.6" customHeight="1">
      <c r="A364" s="88"/>
      <c r="B364" s="79" t="s">
        <v>211</v>
      </c>
      <c r="C364" s="82" t="s">
        <v>25</v>
      </c>
      <c r="D364" s="35" t="str">
        <f>IF(B344&lt;&gt;"",IF(INDEX('TH CANAM'!$A$9:$BF$63,MATCH(B344,'TH CANAM'!$A$9:$A$63,0),57)&lt;&gt;"",INDEX('TH CANAM'!$A$9:$BF$63,MATCH(B344,'TH CANAM'!$A$9:$A$63,0),57),"/"),"")</f>
        <v/>
      </c>
      <c r="E364" s="35" t="str">
        <f>IF(B344&lt;&gt;"",IF(INDEX('TH CANAM'!$A$9:$BF$63,MATCH(B344,'TH CANAM'!$A$9:$A$63,0),58)&lt;&gt;"",INDEX('TH CANAM'!$A$9:$BF$63,MATCH(B344,'TH CANAM'!$A$9:$A$63,0),58),"/"),"")</f>
        <v/>
      </c>
      <c r="F364" s="35" t="str">
        <f>IF(B344&lt;&gt;"",IF(INDEX('TH CANAM'!$A$9:$BF$63,MATCH(B344,'TH CANAM'!$A$9:$A$63,0),55)&lt;&gt;"",INDEX('TH CANAM'!$A$9:$BF$63,MATCH(B344,'TH CANAM'!$A$9:$A$63,0),55),"/"),"")</f>
        <v/>
      </c>
      <c r="G364" s="88"/>
      <c r="H364" s="79" t="s">
        <v>211</v>
      </c>
      <c r="I364" s="82" t="s">
        <v>25</v>
      </c>
      <c r="J364" s="35" t="str">
        <f>IF(H344&lt;&gt;"",IF(INDEX('TH CANAM'!$A$9:$BF$63,MATCH(H344,'TH CANAM'!$A$9:$A$63,0),57)&lt;&gt;"",INDEX('TH CANAM'!$A$9:$BF$63,MATCH(H344,'TH CANAM'!$A$9:$A$63,0),57),"/"),"")</f>
        <v/>
      </c>
      <c r="K364" s="35" t="str">
        <f>IF(H344&lt;&gt;"",IF(INDEX('TH CANAM'!$A$9:$BF$63,MATCH(H344,'TH CANAM'!$A$9:$A$63,0),58)&lt;&gt;"",INDEX('TH CANAM'!$A$9:$BF$63,MATCH(H344,'TH CANAM'!$A$9:$A$63,0),58),"/"),"")</f>
        <v/>
      </c>
      <c r="L364" s="35" t="str">
        <f>IF(H344&lt;&gt;"",IF(INDEX('TH CANAM'!$A$9:$BF$63,MATCH(H344,'TH CANAM'!$A$9:$A$63,0),55)&lt;&gt;"",INDEX('TH CANAM'!$A$9:$BF$63,MATCH(H344,'TH CANAM'!$A$9:$A$63,0),55),"/"),"")</f>
        <v/>
      </c>
      <c r="M364" s="88"/>
      <c r="N364" s="79" t="s">
        <v>211</v>
      </c>
      <c r="O364" s="82" t="s">
        <v>25</v>
      </c>
      <c r="P364" s="35" t="str">
        <f>IF(N344&lt;&gt;"",IF(INDEX('TH CANAM'!$A$9:$BF$63,MATCH(N344,'TH CANAM'!$A$9:$A$63,0),57)&lt;&gt;"",INDEX('TH CANAM'!$A$9:$BF$63,MATCH(N344,'TH CANAM'!$A$9:$A$63,0),57),"/"),"")</f>
        <v/>
      </c>
      <c r="Q364" s="35" t="str">
        <f>IF(N344&lt;&gt;"",IF(INDEX('TH CANAM'!$A$9:$BF$63,MATCH(N344,'TH CANAM'!$A$9:$A$63,0),58)&lt;&gt;"",INDEX('TH CANAM'!$A$9:$BF$63,MATCH(N344,'TH CANAM'!$A$9:$A$63,0),58),"/"),"")</f>
        <v/>
      </c>
      <c r="R364" s="35" t="str">
        <f>IF(N344&lt;&gt;"",IF(INDEX('TH CANAM'!$A$9:$BF$63,MATCH(N344,'TH CANAM'!$A$9:$A$63,0),55)&lt;&gt;"",INDEX('TH CANAM'!$A$9:$BF$63,MATCH(N344,'TH CANAM'!$A$9:$A$63,0),55),"/"),"")</f>
        <v/>
      </c>
      <c r="S364" s="88"/>
    </row>
    <row r="365" spans="1:19" s="251" customFormat="1" ht="15.75" customHeight="1">
      <c r="A365" s="89"/>
      <c r="B365" s="1146" t="s">
        <v>219</v>
      </c>
      <c r="C365" s="1147"/>
      <c r="D365" s="1147"/>
      <c r="E365" s="1147"/>
      <c r="F365" s="1148"/>
      <c r="G365" s="89"/>
      <c r="H365" s="1146" t="s">
        <v>219</v>
      </c>
      <c r="I365" s="1147"/>
      <c r="J365" s="1147"/>
      <c r="K365" s="1147"/>
      <c r="L365" s="1148"/>
      <c r="M365" s="89"/>
      <c r="N365" s="1146" t="s">
        <v>219</v>
      </c>
      <c r="O365" s="1147"/>
      <c r="P365" s="1147"/>
      <c r="Q365" s="1147"/>
      <c r="R365" s="1148"/>
      <c r="S365" s="89"/>
    </row>
    <row r="366" spans="1:19" s="251" customFormat="1" ht="15.6" customHeight="1">
      <c r="A366" s="89"/>
      <c r="B366" s="1143" t="str">
        <f>IF(B344&lt;&gt;"",IF(INDEX(BDHK2,MATCH(B344,DiemHKII!$B$4:$B$58,0),137)&lt;&gt;""," - "&amp;INDEX(BDHK2,MATCH(B344,DiemHKII!$B$4:$B$58,0),137),""),"")</f>
        <v/>
      </c>
      <c r="C366" s="1144"/>
      <c r="D366" s="1144"/>
      <c r="E366" s="1144"/>
      <c r="F366" s="1145"/>
      <c r="G366" s="89"/>
      <c r="H366" s="1143" t="str">
        <f>IF(H344&lt;&gt;"",IF(INDEX(BDHK2,MATCH(H344,DiemHKII!$B$4:$B$58,0),137)&lt;&gt;""," - "&amp;INDEX(BDHK2,MATCH(H344,DiemHKII!$B$4:$B$58,0),137),""),"")</f>
        <v/>
      </c>
      <c r="I366" s="1144"/>
      <c r="J366" s="1144"/>
      <c r="K366" s="1144"/>
      <c r="L366" s="1145"/>
      <c r="M366" s="89"/>
      <c r="N366" s="1143" t="str">
        <f>IF(N344&lt;&gt;"",IF(INDEX(BDHK2,MATCH(N344,DiemHKII!$B$4:$B$58,0),137)&lt;&gt;""," - "&amp;INDEX(BDHK2,MATCH(N344,DiemHKII!$B$4:$B$58,0),137),""),"")</f>
        <v/>
      </c>
      <c r="O366" s="1144"/>
      <c r="P366" s="1144"/>
      <c r="Q366" s="1144"/>
      <c r="R366" s="1145"/>
      <c r="S366" s="89"/>
    </row>
    <row r="367" spans="1:19" s="251" customFormat="1" ht="15.6" customHeight="1">
      <c r="A367" s="89"/>
      <c r="B367" s="1143" t="str">
        <f>IF(B344&lt;&gt;"",IF(INDEX(BDHK2,MATCH(B344,DiemHKII!$B$4:$B$58,0),138)&lt;&gt;""," - "&amp;INDEX(BDHK2,MATCH(B344,DiemHKII!$B$4:$B$58,0),138),""),"")</f>
        <v/>
      </c>
      <c r="C367" s="1144"/>
      <c r="D367" s="1144"/>
      <c r="E367" s="1144"/>
      <c r="F367" s="1145"/>
      <c r="G367" s="89"/>
      <c r="H367" s="1143" t="str">
        <f>IF(H344&lt;&gt;"",IF(INDEX(BDHK2,MATCH(H344,DiemHKII!$B$4:$B$58,0),138)&lt;&gt;""," - "&amp;INDEX(BDHK2,MATCH(H344,DiemHKII!$B$4:$B$58,0),138),""),"")</f>
        <v/>
      </c>
      <c r="I367" s="1144"/>
      <c r="J367" s="1144"/>
      <c r="K367" s="1144"/>
      <c r="L367" s="1145"/>
      <c r="M367" s="89"/>
      <c r="N367" s="1143" t="str">
        <f>IF(N344&lt;&gt;"",IF(INDEX(BDHK2,MATCH(N344,DiemHKII!$B$4:$B$58,0),138)&lt;&gt;""," - "&amp;INDEX(BDHK2,MATCH(N344,DiemHKII!$B$4:$B$58,0),138),""),"")</f>
        <v/>
      </c>
      <c r="O367" s="1144"/>
      <c r="P367" s="1144"/>
      <c r="Q367" s="1144"/>
      <c r="R367" s="1145"/>
      <c r="S367" s="89"/>
    </row>
    <row r="368" spans="1:19" s="251" customFormat="1" ht="15.6" customHeight="1">
      <c r="A368" s="89"/>
      <c r="B368" s="1143" t="str">
        <f>IF(B344&lt;&gt;"",IF(INDEX(BDHK2,MATCH(B344,DiemHKII!$B$4:$B$58,0),139)&lt;&gt;""," - "&amp;INDEX(BDHK2,MATCH(B344,DiemHKII!$B$4:$B$58,0),139),""),"")</f>
        <v/>
      </c>
      <c r="C368" s="1144"/>
      <c r="D368" s="1144"/>
      <c r="E368" s="1144"/>
      <c r="F368" s="1145"/>
      <c r="G368" s="89"/>
      <c r="H368" s="1143" t="str">
        <f>IF(H344&lt;&gt;"",IF(INDEX(BDHK2,MATCH(H344,DiemHKII!$B$4:$B$58,0),139)&lt;&gt;""," - "&amp;INDEX(BDHK2,MATCH(H344,DiemHKII!$B$4:$B$58,0),139),""),"")</f>
        <v/>
      </c>
      <c r="I368" s="1144"/>
      <c r="J368" s="1144"/>
      <c r="K368" s="1144"/>
      <c r="L368" s="1145"/>
      <c r="M368" s="89"/>
      <c r="N368" s="1143" t="str">
        <f>IF(N344&lt;&gt;"",IF(INDEX(BDHK2,MATCH(N344,DiemHKII!$B$4:$B$58,0),139)&lt;&gt;""," - "&amp;INDEX(BDHK2,MATCH(N344,DiemHKII!$B$4:$B$58,0),139),""),"")</f>
        <v/>
      </c>
      <c r="O368" s="1144"/>
      <c r="P368" s="1144"/>
      <c r="Q368" s="1144"/>
      <c r="R368" s="1145"/>
      <c r="S368" s="89"/>
    </row>
    <row r="369" spans="1:19" s="251" customFormat="1" ht="15.6" customHeight="1">
      <c r="A369" s="89"/>
      <c r="B369" s="1143" t="str">
        <f>IF(B344&lt;&gt;"",IF(INDEX(BDHK2,MATCH(B344,DiemHKII!$B$4:$B$58,0),140)&lt;&gt;""," - "&amp;INDEX(BDHK2,MATCH(B344,DiemHKII!$B$4:$B$58,0),140),""),"")</f>
        <v/>
      </c>
      <c r="C369" s="1144"/>
      <c r="D369" s="1144"/>
      <c r="E369" s="1144"/>
      <c r="F369" s="1145"/>
      <c r="G369" s="89"/>
      <c r="H369" s="1143" t="str">
        <f>IF(H344&lt;&gt;"",IF(INDEX(BDHK2,MATCH(H344,DiemHKII!$B$4:$B$58,0),140)&lt;&gt;""," - "&amp;INDEX(BDHK2,MATCH(H344,DiemHKII!$B$4:$B$58,0),140),""),"")</f>
        <v/>
      </c>
      <c r="I369" s="1144"/>
      <c r="J369" s="1144"/>
      <c r="K369" s="1144"/>
      <c r="L369" s="1145"/>
      <c r="M369" s="89"/>
      <c r="N369" s="1143" t="str">
        <f>IF(N344&lt;&gt;"",IF(INDEX(BDHK2,MATCH(N344,DiemHKII!$B$4:$B$58,0),140)&lt;&gt;""," - "&amp;INDEX(BDHK2,MATCH(N344,DiemHKII!$B$4:$B$58,0),140),""),"")</f>
        <v/>
      </c>
      <c r="O369" s="1144"/>
      <c r="P369" s="1144"/>
      <c r="Q369" s="1144"/>
      <c r="R369" s="1145"/>
      <c r="S369" s="89"/>
    </row>
    <row r="370" spans="1:19" ht="8.25" customHeight="1">
      <c r="A370" s="88"/>
      <c r="B370" s="83"/>
      <c r="C370" s="84"/>
      <c r="D370" s="84"/>
      <c r="E370" s="84"/>
      <c r="F370" s="85"/>
      <c r="G370" s="88"/>
      <c r="H370" s="83"/>
      <c r="I370" s="84"/>
      <c r="J370" s="84"/>
      <c r="K370" s="84"/>
      <c r="L370" s="85"/>
      <c r="M370" s="88"/>
      <c r="N370" s="83"/>
      <c r="O370" s="84"/>
      <c r="P370" s="84"/>
      <c r="Q370" s="84"/>
      <c r="R370" s="85"/>
      <c r="S370" s="88"/>
    </row>
    <row r="371" spans="1:19" ht="6.75" customHeight="1">
      <c r="A371" s="88"/>
      <c r="B371" s="87"/>
      <c r="C371" s="87"/>
      <c r="D371" s="1135"/>
      <c r="E371" s="1135"/>
      <c r="F371" s="1135"/>
      <c r="G371" s="88"/>
      <c r="H371" s="87"/>
      <c r="I371" s="87"/>
      <c r="J371" s="1135"/>
      <c r="K371" s="1135"/>
      <c r="L371" s="1135"/>
      <c r="M371" s="88"/>
      <c r="N371" s="87"/>
      <c r="O371" s="87"/>
      <c r="P371" s="1135"/>
      <c r="Q371" s="1135"/>
      <c r="R371" s="1135"/>
      <c r="S371" s="88"/>
    </row>
    <row r="372" spans="1:19" ht="18" customHeight="1">
      <c r="A372" s="88"/>
      <c r="B372" s="477" t="str">
        <f>IF(N344="","",IF(N344&lt;MAX(DiemHKII!$B$4:$B$58),N344+1,""))</f>
        <v/>
      </c>
      <c r="C372" s="1140" t="str">
        <f>IF(B372="","",INDEX(DiemHKII!$E$4:$E$58,MATCH(B372,DiemHKII!$B$4:$B$58,0),1)&amp;" "&amp;INDEX(DiemHKII!$F$4:$F$58,MATCH(B372,DiemHKII!$B$4:$B$58,0),1))</f>
        <v/>
      </c>
      <c r="D372" s="1141"/>
      <c r="E372" s="1142"/>
      <c r="F372" s="86" t="str">
        <f>IF('Huong dan'!$C$3="","",'Huong dan'!$C$3)</f>
        <v>12A1</v>
      </c>
      <c r="G372" s="88"/>
      <c r="H372" s="477" t="str">
        <f>IF(B372="","",IF(B372&lt;MAX(DiemHKII!$B$4:$B$58),B372+1,""))</f>
        <v/>
      </c>
      <c r="I372" s="1140" t="str">
        <f>IF(H372="","",INDEX(DiemHKII!$E$4:$E$58,MATCH(H372,DiemHKII!$B$4:$B$58,0),1)&amp;" "&amp;INDEX(DiemHKII!$F$4:$F$58,MATCH(H372,DiemHKII!$B$4:$B$58,0),1))</f>
        <v/>
      </c>
      <c r="J372" s="1141"/>
      <c r="K372" s="1142"/>
      <c r="L372" s="86" t="str">
        <f>IF('Huong dan'!$C$3="","",'Huong dan'!$C$3)</f>
        <v>12A1</v>
      </c>
      <c r="M372" s="88"/>
      <c r="N372" s="477" t="str">
        <f>IF(H372="","",IF(H372&lt;MAX(DiemHKII!$B$4:$B$58),H372+1,""))</f>
        <v/>
      </c>
      <c r="O372" s="1140" t="str">
        <f>IF(N372="","",INDEX(DiemHKII!$E$4:$E$58,MATCH(N372,DiemHKII!$B$4:$B$58,0),1)&amp;" "&amp;INDEX(DiemHKII!$F$4:$F$58,MATCH(N372,DiemHKII!$B$4:$B$58,0),1))</f>
        <v/>
      </c>
      <c r="P372" s="1141"/>
      <c r="Q372" s="1142"/>
      <c r="R372" s="86" t="str">
        <f>IF('Huong dan'!$C$3="","",'Huong dan'!$C$3)</f>
        <v>12A1</v>
      </c>
      <c r="S372" s="88"/>
    </row>
    <row r="373" spans="1:19" ht="18.75" customHeight="1">
      <c r="A373" s="88"/>
      <c r="B373" s="1136" t="str">
        <f>" Sinh ngày: "&amp;IF(B372="","",INDEX(DiemHKII!$G$4:$G$58,MATCH(B372,DiemHKII!$B$4:$B$58,0),1))</f>
        <v xml:space="preserve"> Sinh ngày: </v>
      </c>
      <c r="C373" s="1137"/>
      <c r="D373" s="1137"/>
      <c r="E373" s="1138" t="str">
        <f>IF(B372="","","NS: "&amp;INDEX(DiemHKII!$H$4:$H$58,MATCH(B372,DiemHKII!$B$4:$B$58,0),1))</f>
        <v/>
      </c>
      <c r="F373" s="1139"/>
      <c r="G373" s="88"/>
      <c r="H373" s="1136" t="str">
        <f>" Sinh ngày: "&amp;IF(H372="","",INDEX(DiemHKII!$G$4:$G$58,MATCH(H372,DiemHKII!$B$4:$B$58,0),1))</f>
        <v xml:space="preserve"> Sinh ngày: </v>
      </c>
      <c r="I373" s="1137"/>
      <c r="J373" s="1137"/>
      <c r="K373" s="1138" t="str">
        <f>IF(H372="","","NS: "&amp;INDEX(DiemHKII!$H$4:$H$58,MATCH(H372,DiemHKII!$B$4:$B$58,0),1))</f>
        <v/>
      </c>
      <c r="L373" s="1139"/>
      <c r="M373" s="88"/>
      <c r="N373" s="1136" t="str">
        <f>" Sinh ngày: "&amp;IF(N372="","",INDEX(DiemHKII!$G$4:$G$58,MATCH(N372,DiemHKII!$B$4:$B$58,0),1))</f>
        <v xml:space="preserve"> Sinh ngày: </v>
      </c>
      <c r="O373" s="1137"/>
      <c r="P373" s="1137"/>
      <c r="Q373" s="1138" t="str">
        <f>IF(N372="","","NS: "&amp;INDEX(DiemHKII!$H$4:$H$58,MATCH(N372,DiemHKII!$B$4:$B$58,0),1))</f>
        <v/>
      </c>
      <c r="R373" s="1139"/>
      <c r="S373" s="88"/>
    </row>
    <row r="374" spans="1:19" ht="15.75" customHeight="1">
      <c r="A374" s="88"/>
      <c r="B374" s="381" t="s">
        <v>0</v>
      </c>
      <c r="C374" s="381" t="s">
        <v>59</v>
      </c>
      <c r="D374" s="381" t="s">
        <v>73</v>
      </c>
      <c r="E374" s="381" t="s">
        <v>176</v>
      </c>
      <c r="F374" s="381" t="s">
        <v>98</v>
      </c>
      <c r="G374" s="88"/>
      <c r="H374" s="381" t="s">
        <v>0</v>
      </c>
      <c r="I374" s="381" t="s">
        <v>59</v>
      </c>
      <c r="J374" s="381" t="s">
        <v>73</v>
      </c>
      <c r="K374" s="381" t="s">
        <v>176</v>
      </c>
      <c r="L374" s="381" t="s">
        <v>98</v>
      </c>
      <c r="M374" s="88"/>
      <c r="N374" s="381" t="s">
        <v>0</v>
      </c>
      <c r="O374" s="381" t="s">
        <v>59</v>
      </c>
      <c r="P374" s="381" t="s">
        <v>73</v>
      </c>
      <c r="Q374" s="381" t="s">
        <v>176</v>
      </c>
      <c r="R374" s="381" t="s">
        <v>98</v>
      </c>
      <c r="S374" s="88"/>
    </row>
    <row r="375" spans="1:19" ht="15.6" customHeight="1">
      <c r="A375" s="88"/>
      <c r="B375" s="79" t="s">
        <v>191</v>
      </c>
      <c r="C375" s="81" t="s">
        <v>26</v>
      </c>
      <c r="D375" s="35" t="str">
        <f>IF(B372&lt;&gt;"",IF(INDEX(BDHK2,MATCH(B372,DiemHKII!$B$4:$B$58,0),INDEX($Y$7:$AB$20,MATCH(C375,$Y$7:$Y$20,0),$Z$6))&lt;&gt;"",INDEX(BDHK2,MATCH(B372,DiemHKII!$B$4:$B$58,0),INDEX($Y$7:$AB$20,MATCH(C375,$Y$7:$Y$20,0),$Z$6)),"/"),"")</f>
        <v/>
      </c>
      <c r="E375" s="35" t="str">
        <f>IF(B372&lt;&gt;"",IF(INDEX(BDHK2,MATCH(B372,DiemHKII!$B$4:$B$58,0),INDEX($Y$7:$AB$20,MATCH(C375,$Y$7:$Y$20,0),$AA$6))&lt;&gt;"",INDEX(BDHK2,MATCH(B372,DiemHKII!$B$4:$B$58,0),INDEX($Y$7:$AB$20,MATCH(C375,$Y$7:$Y$20,0),$AA$6)),"/"),"")</f>
        <v/>
      </c>
      <c r="F375" s="35" t="str">
        <f>IF(B372&lt;&gt;"",IF(INDEX(BDHK2,MATCH(B372,DiemHKII!$B$4:$B$58,0),INDEX($Y$7:$AB$20,MATCH(C375,$Y$7:$Y$20,0),$AB$6))&lt;&gt;"",INDEX(BDHK2,MATCH(B372,DiemHKII!$B$4:$B$58,0),INDEX($Y$7:$AB$20,MATCH(C375,$Y$7:$Y$20,0),$AB$6)),"/"),"")</f>
        <v/>
      </c>
      <c r="G375" s="88"/>
      <c r="H375" s="79" t="s">
        <v>191</v>
      </c>
      <c r="I375" s="81" t="s">
        <v>26</v>
      </c>
      <c r="J375" s="35" t="str">
        <f>IF(H372&lt;&gt;"",IF(INDEX(BDHK2,MATCH(H372,DiemHKII!$B$4:$B$58,0),INDEX($Y$7:$AB$20,MATCH(I375,$Y$7:$Y$20,0),$Z$6))&lt;&gt;"",INDEX(BDHK2,MATCH(H372,DiemHKII!$B$4:$B$58,0),INDEX($Y$7:$AB$20,MATCH(I375,$Y$7:$Y$20,0),$Z$6)),"/"),"")</f>
        <v/>
      </c>
      <c r="K375" s="35" t="str">
        <f>IF(H372&lt;&gt;"",IF(INDEX(BDHK2,MATCH(H372,DiemHKII!$B$4:$B$58,0),INDEX($Y$7:$AB$20,MATCH(I375,$Y$7:$Y$20,0),$AA$6))&lt;&gt;"",INDEX(BDHK2,MATCH(H372,DiemHKII!$B$4:$B$58,0),INDEX($Y$7:$AB$20,MATCH(I375,$Y$7:$Y$20,0),$AA$6)),"/"),"")</f>
        <v/>
      </c>
      <c r="L375" s="35" t="str">
        <f>IF(H372&lt;&gt;"",IF(INDEX(BDHK2,MATCH(H372,DiemHKII!$B$4:$B$58,0),INDEX($Y$7:$AB$20,MATCH(I375,$Y$7:$Y$20,0),$AB$6))&lt;&gt;"",INDEX(BDHK2,MATCH(H372,DiemHKII!$B$4:$B$58,0),INDEX($Y$7:$AB$20,MATCH(I375,$Y$7:$Y$20,0),$AB$6)),"/"),"")</f>
        <v/>
      </c>
      <c r="M375" s="88"/>
      <c r="N375" s="79" t="s">
        <v>191</v>
      </c>
      <c r="O375" s="81" t="s">
        <v>26</v>
      </c>
      <c r="P375" s="35" t="str">
        <f>IF(N372&lt;&gt;"",IF(INDEX(BDHK2,MATCH(N372,DiemHKII!$B$4:$B$58,0),INDEX($Y$7:$AB$20,MATCH(O375,$Y$7:$Y$20,0),$Z$6))&lt;&gt;"",INDEX(BDHK2,MATCH(N372,DiemHKII!$B$4:$B$58,0),INDEX($Y$7:$AB$20,MATCH(O375,$Y$7:$Y$20,0),$Z$6)),"/"),"")</f>
        <v/>
      </c>
      <c r="Q375" s="35" t="str">
        <f>IF(N372&lt;&gt;"",IF(INDEX(BDHK2,MATCH(N372,DiemHKII!$B$4:$B$58,0),INDEX($Y$7:$AB$20,MATCH(O375,$Y$7:$Y$20,0),$AA$6))&lt;&gt;"",INDEX(BDHK2,MATCH(N372,DiemHKII!$B$4:$B$58,0),INDEX($Y$7:$AB$20,MATCH(O375,$Y$7:$Y$20,0),$AA$6)),"/"),"")</f>
        <v/>
      </c>
      <c r="R375" s="35" t="str">
        <f>IF(N372&lt;&gt;"",IF(INDEX(BDHK2,MATCH(N372,DiemHKII!$B$4:$B$58,0),INDEX($Y$7:$AB$20,MATCH(O375,$Y$7:$Y$20,0),$AB$6))&lt;&gt;"",INDEX(BDHK2,MATCH(N372,DiemHKII!$B$4:$B$58,0),INDEX($Y$7:$AB$20,MATCH(O375,$Y$7:$Y$20,0),$AB$6)),"/"),"")</f>
        <v/>
      </c>
      <c r="S375" s="88"/>
    </row>
    <row r="376" spans="1:19" ht="15.6" customHeight="1">
      <c r="A376" s="88"/>
      <c r="B376" s="79" t="s">
        <v>192</v>
      </c>
      <c r="C376" s="81" t="s">
        <v>27</v>
      </c>
      <c r="D376" s="35" t="str">
        <f>IF(B372&lt;&gt;"",IF(INDEX(BDHK2,MATCH(B372,DiemHKII!$B$4:$B$58,0),INDEX($Y$7:$AB$20,MATCH(C376,$Y$7:$Y$20,0),$Z$6))&lt;&gt;"",INDEX(BDHK2,MATCH(B372,DiemHKII!$B$4:$B$58,0),INDEX($Y$7:$AB$20,MATCH(C376,$Y$7:$Y$20,0),$Z$6)),"/"),"")</f>
        <v/>
      </c>
      <c r="E376" s="35" t="str">
        <f>IF(B372&lt;&gt;"",IF(INDEX(BDHK2,MATCH(B372,DiemHKII!$B$4:$B$58,0),INDEX($Y$7:$AB$20,MATCH(C376,$Y$7:$Y$20,0),$AA$6))&lt;&gt;"",INDEX(BDHK2,MATCH(B372,DiemHKII!$B$4:$B$58,0),INDEX($Y$7:$AB$20,MATCH(C376,$Y$7:$Y$20,0),$AA$6)),"/"),"")</f>
        <v/>
      </c>
      <c r="F376" s="35" t="str">
        <f>IF(B372&lt;&gt;"",IF(INDEX(BDHK2,MATCH(B372,DiemHKII!$B$4:$B$58,0),INDEX($Y$7:$AB$20,MATCH(C376,$Y$7:$Y$20,0),$AB$6))&lt;&gt;"",INDEX(BDHK2,MATCH(B372,DiemHKII!$B$4:$B$58,0),INDEX($Y$7:$AB$20,MATCH(C376,$Y$7:$Y$20,0),$AB$6)),"/"),"")</f>
        <v/>
      </c>
      <c r="G376" s="88"/>
      <c r="H376" s="79" t="s">
        <v>192</v>
      </c>
      <c r="I376" s="81" t="s">
        <v>27</v>
      </c>
      <c r="J376" s="35" t="str">
        <f>IF(H372&lt;&gt;"",IF(INDEX(BDHK2,MATCH(H372,DiemHKII!$B$4:$B$58,0),INDEX($Y$7:$AB$20,MATCH(I376,$Y$7:$Y$20,0),$Z$6))&lt;&gt;"",INDEX(BDHK2,MATCH(H372,DiemHKII!$B$4:$B$58,0),INDEX($Y$7:$AB$20,MATCH(I376,$Y$7:$Y$20,0),$Z$6)),"/"),"")</f>
        <v/>
      </c>
      <c r="K376" s="35" t="str">
        <f>IF(H372&lt;&gt;"",IF(INDEX(BDHK2,MATCH(H372,DiemHKII!$B$4:$B$58,0),INDEX($Y$7:$AB$20,MATCH(I376,$Y$7:$Y$20,0),$AA$6))&lt;&gt;"",INDEX(BDHK2,MATCH(H372,DiemHKII!$B$4:$B$58,0),INDEX($Y$7:$AB$20,MATCH(I376,$Y$7:$Y$20,0),$AA$6)),"/"),"")</f>
        <v/>
      </c>
      <c r="L376" s="35" t="str">
        <f>IF(H372&lt;&gt;"",IF(INDEX(BDHK2,MATCH(H372,DiemHKII!$B$4:$B$58,0),INDEX($Y$7:$AB$20,MATCH(I376,$Y$7:$Y$20,0),$AB$6))&lt;&gt;"",INDEX(BDHK2,MATCH(H372,DiemHKII!$B$4:$B$58,0),INDEX($Y$7:$AB$20,MATCH(I376,$Y$7:$Y$20,0),$AB$6)),"/"),"")</f>
        <v/>
      </c>
      <c r="M376" s="88"/>
      <c r="N376" s="79" t="s">
        <v>192</v>
      </c>
      <c r="O376" s="81" t="s">
        <v>27</v>
      </c>
      <c r="P376" s="35" t="str">
        <f>IF(N372&lt;&gt;"",IF(INDEX(BDHK2,MATCH(N372,DiemHKII!$B$4:$B$58,0),INDEX($Y$7:$AB$20,MATCH(O376,$Y$7:$Y$20,0),$Z$6))&lt;&gt;"",INDEX(BDHK2,MATCH(N372,DiemHKII!$B$4:$B$58,0),INDEX($Y$7:$AB$20,MATCH(O376,$Y$7:$Y$20,0),$Z$6)),"/"),"")</f>
        <v/>
      </c>
      <c r="Q376" s="35" t="str">
        <f>IF(N372&lt;&gt;"",IF(INDEX(BDHK2,MATCH(N372,DiemHKII!$B$4:$B$58,0),INDEX($Y$7:$AB$20,MATCH(O376,$Y$7:$Y$20,0),$AA$6))&lt;&gt;"",INDEX(BDHK2,MATCH(N372,DiemHKII!$B$4:$B$58,0),INDEX($Y$7:$AB$20,MATCH(O376,$Y$7:$Y$20,0),$AA$6)),"/"),"")</f>
        <v/>
      </c>
      <c r="R376" s="35" t="str">
        <f>IF(N372&lt;&gt;"",IF(INDEX(BDHK2,MATCH(N372,DiemHKII!$B$4:$B$58,0),INDEX($Y$7:$AB$20,MATCH(O376,$Y$7:$Y$20,0),$AB$6))&lt;&gt;"",INDEX(BDHK2,MATCH(N372,DiemHKII!$B$4:$B$58,0),INDEX($Y$7:$AB$20,MATCH(O376,$Y$7:$Y$20,0),$AB$6)),"/"),"")</f>
        <v/>
      </c>
      <c r="S376" s="88"/>
    </row>
    <row r="377" spans="1:19" ht="15.6" customHeight="1">
      <c r="A377" s="88"/>
      <c r="B377" s="79" t="s">
        <v>193</v>
      </c>
      <c r="C377" s="81" t="s">
        <v>28</v>
      </c>
      <c r="D377" s="35" t="str">
        <f>IF(B372&lt;&gt;"",IF(INDEX(BDHK2,MATCH(B372,DiemHKII!$B$4:$B$58,0),INDEX($Y$7:$AB$20,MATCH(C377,$Y$7:$Y$20,0),$Z$6))&lt;&gt;"",INDEX(BDHK2,MATCH(B372,DiemHKII!$B$4:$B$58,0),INDEX($Y$7:$AB$20,MATCH(C377,$Y$7:$Y$20,0),$Z$6)),"/"),"")</f>
        <v/>
      </c>
      <c r="E377" s="35" t="str">
        <f>IF(B372&lt;&gt;"",IF(INDEX(BDHK2,MATCH(B372,DiemHKII!$B$4:$B$58,0),INDEX($Y$7:$AB$20,MATCH(C377,$Y$7:$Y$20,0),$AA$6))&lt;&gt;"",INDEX(BDHK2,MATCH(B372,DiemHKII!$B$4:$B$58,0),INDEX($Y$7:$AB$20,MATCH(C377,$Y$7:$Y$20,0),$AA$6)),"/"),"")</f>
        <v/>
      </c>
      <c r="F377" s="35" t="str">
        <f>IF(B372&lt;&gt;"",IF(INDEX(BDHK2,MATCH(B372,DiemHKII!$B$4:$B$58,0),INDEX($Y$7:$AB$20,MATCH(C377,$Y$7:$Y$20,0),$AB$6))&lt;&gt;"",INDEX(BDHK2,MATCH(B372,DiemHKII!$B$4:$B$58,0),INDEX($Y$7:$AB$20,MATCH(C377,$Y$7:$Y$20,0),$AB$6)),"/"),"")</f>
        <v/>
      </c>
      <c r="G377" s="88"/>
      <c r="H377" s="79" t="s">
        <v>193</v>
      </c>
      <c r="I377" s="81" t="s">
        <v>28</v>
      </c>
      <c r="J377" s="35" t="str">
        <f>IF(H372&lt;&gt;"",IF(INDEX(BDHK2,MATCH(H372,DiemHKII!$B$4:$B$58,0),INDEX($Y$7:$AB$20,MATCH(I377,$Y$7:$Y$20,0),$Z$6))&lt;&gt;"",INDEX(BDHK2,MATCH(H372,DiemHKII!$B$4:$B$58,0),INDEX($Y$7:$AB$20,MATCH(I377,$Y$7:$Y$20,0),$Z$6)),"/"),"")</f>
        <v/>
      </c>
      <c r="K377" s="35" t="str">
        <f>IF(H372&lt;&gt;"",IF(INDEX(BDHK2,MATCH(H372,DiemHKII!$B$4:$B$58,0),INDEX($Y$7:$AB$20,MATCH(I377,$Y$7:$Y$20,0),$AA$6))&lt;&gt;"",INDEX(BDHK2,MATCH(H372,DiemHKII!$B$4:$B$58,0),INDEX($Y$7:$AB$20,MATCH(I377,$Y$7:$Y$20,0),$AA$6)),"/"),"")</f>
        <v/>
      </c>
      <c r="L377" s="35" t="str">
        <f>IF(H372&lt;&gt;"",IF(INDEX(BDHK2,MATCH(H372,DiemHKII!$B$4:$B$58,0),INDEX($Y$7:$AB$20,MATCH(I377,$Y$7:$Y$20,0),$AB$6))&lt;&gt;"",INDEX(BDHK2,MATCH(H372,DiemHKII!$B$4:$B$58,0),INDEX($Y$7:$AB$20,MATCH(I377,$Y$7:$Y$20,0),$AB$6)),"/"),"")</f>
        <v/>
      </c>
      <c r="M377" s="88"/>
      <c r="N377" s="79" t="s">
        <v>193</v>
      </c>
      <c r="O377" s="81" t="s">
        <v>28</v>
      </c>
      <c r="P377" s="35" t="str">
        <f>IF(N372&lt;&gt;"",IF(INDEX(BDHK2,MATCH(N372,DiemHKII!$B$4:$B$58,0),INDEX($Y$7:$AB$20,MATCH(O377,$Y$7:$Y$20,0),$Z$6))&lt;&gt;"",INDEX(BDHK2,MATCH(N372,DiemHKII!$B$4:$B$58,0),INDEX($Y$7:$AB$20,MATCH(O377,$Y$7:$Y$20,0),$Z$6)),"/"),"")</f>
        <v/>
      </c>
      <c r="Q377" s="35" t="str">
        <f>IF(N372&lt;&gt;"",IF(INDEX(BDHK2,MATCH(N372,DiemHKII!$B$4:$B$58,0),INDEX($Y$7:$AB$20,MATCH(O377,$Y$7:$Y$20,0),$AA$6))&lt;&gt;"",INDEX(BDHK2,MATCH(N372,DiemHKII!$B$4:$B$58,0),INDEX($Y$7:$AB$20,MATCH(O377,$Y$7:$Y$20,0),$AA$6)),"/"),"")</f>
        <v/>
      </c>
      <c r="R377" s="35" t="str">
        <f>IF(N372&lt;&gt;"",IF(INDEX(BDHK2,MATCH(N372,DiemHKII!$B$4:$B$58,0),INDEX($Y$7:$AB$20,MATCH(O377,$Y$7:$Y$20,0),$AB$6))&lt;&gt;"",INDEX(BDHK2,MATCH(N372,DiemHKII!$B$4:$B$58,0),INDEX($Y$7:$AB$20,MATCH(O377,$Y$7:$Y$20,0),$AB$6)),"/"),"")</f>
        <v/>
      </c>
      <c r="S377" s="88"/>
    </row>
    <row r="378" spans="1:19" ht="15.6" customHeight="1">
      <c r="A378" s="88"/>
      <c r="B378" s="79" t="s">
        <v>194</v>
      </c>
      <c r="C378" s="81" t="s">
        <v>29</v>
      </c>
      <c r="D378" s="35" t="str">
        <f>IF(B372&lt;&gt;"",IF(INDEX(BDHK2,MATCH(B372,DiemHKII!$B$4:$B$58,0),INDEX($Y$7:$AB$20,MATCH(C378,$Y$7:$Y$20,0),$Z$6))&lt;&gt;"",INDEX(BDHK2,MATCH(B372,DiemHKII!$B$4:$B$58,0),INDEX($Y$7:$AB$20,MATCH(C378,$Y$7:$Y$20,0),$Z$6)),"/"),"")</f>
        <v/>
      </c>
      <c r="E378" s="35" t="str">
        <f>IF(B372&lt;&gt;"",IF(INDEX(BDHK2,MATCH(B372,DiemHKII!$B$4:$B$58,0),INDEX($Y$7:$AB$20,MATCH(C378,$Y$7:$Y$20,0),$AA$6))&lt;&gt;"",INDEX(BDHK2,MATCH(B372,DiemHKII!$B$4:$B$58,0),INDEX($Y$7:$AB$20,MATCH(C378,$Y$7:$Y$20,0),$AA$6)),"/"),"")</f>
        <v/>
      </c>
      <c r="F378" s="35" t="str">
        <f>IF(B372&lt;&gt;"",IF(INDEX(BDHK2,MATCH(B372,DiemHKII!$B$4:$B$58,0),INDEX($Y$7:$AB$20,MATCH(C378,$Y$7:$Y$20,0),$AB$6))&lt;&gt;"",INDEX(BDHK2,MATCH(B372,DiemHKII!$B$4:$B$58,0),INDEX($Y$7:$AB$20,MATCH(C378,$Y$7:$Y$20,0),$AB$6)),"/"),"")</f>
        <v/>
      </c>
      <c r="G378" s="88"/>
      <c r="H378" s="79" t="s">
        <v>194</v>
      </c>
      <c r="I378" s="81" t="s">
        <v>29</v>
      </c>
      <c r="J378" s="35" t="str">
        <f>IF(H372&lt;&gt;"",IF(INDEX(BDHK2,MATCH(H372,DiemHKII!$B$4:$B$58,0),INDEX($Y$7:$AB$20,MATCH(I378,$Y$7:$Y$20,0),$Z$6))&lt;&gt;"",INDEX(BDHK2,MATCH(H372,DiemHKII!$B$4:$B$58,0),INDEX($Y$7:$AB$20,MATCH(I378,$Y$7:$Y$20,0),$Z$6)),"/"),"")</f>
        <v/>
      </c>
      <c r="K378" s="35" t="str">
        <f>IF(H372&lt;&gt;"",IF(INDEX(BDHK2,MATCH(H372,DiemHKII!$B$4:$B$58,0),INDEX($Y$7:$AB$20,MATCH(I378,$Y$7:$Y$20,0),$AA$6))&lt;&gt;"",INDEX(BDHK2,MATCH(H372,DiemHKII!$B$4:$B$58,0),INDEX($Y$7:$AB$20,MATCH(I378,$Y$7:$Y$20,0),$AA$6)),"/"),"")</f>
        <v/>
      </c>
      <c r="L378" s="35" t="str">
        <f>IF(H372&lt;&gt;"",IF(INDEX(BDHK2,MATCH(H372,DiemHKII!$B$4:$B$58,0),INDEX($Y$7:$AB$20,MATCH(I378,$Y$7:$Y$20,0),$AB$6))&lt;&gt;"",INDEX(BDHK2,MATCH(H372,DiemHKII!$B$4:$B$58,0),INDEX($Y$7:$AB$20,MATCH(I378,$Y$7:$Y$20,0),$AB$6)),"/"),"")</f>
        <v/>
      </c>
      <c r="M378" s="88"/>
      <c r="N378" s="79" t="s">
        <v>194</v>
      </c>
      <c r="O378" s="81" t="s">
        <v>29</v>
      </c>
      <c r="P378" s="35" t="str">
        <f>IF(N372&lt;&gt;"",IF(INDEX(BDHK2,MATCH(N372,DiemHKII!$B$4:$B$58,0),INDEX($Y$7:$AB$20,MATCH(O378,$Y$7:$Y$20,0),$Z$6))&lt;&gt;"",INDEX(BDHK2,MATCH(N372,DiemHKII!$B$4:$B$58,0),INDEX($Y$7:$AB$20,MATCH(O378,$Y$7:$Y$20,0),$Z$6)),"/"),"")</f>
        <v/>
      </c>
      <c r="Q378" s="35" t="str">
        <f>IF(N372&lt;&gt;"",IF(INDEX(BDHK2,MATCH(N372,DiemHKII!$B$4:$B$58,0),INDEX($Y$7:$AB$20,MATCH(O378,$Y$7:$Y$20,0),$AA$6))&lt;&gt;"",INDEX(BDHK2,MATCH(N372,DiemHKII!$B$4:$B$58,0),INDEX($Y$7:$AB$20,MATCH(O378,$Y$7:$Y$20,0),$AA$6)),"/"),"")</f>
        <v/>
      </c>
      <c r="R378" s="35" t="str">
        <f>IF(N372&lt;&gt;"",IF(INDEX(BDHK2,MATCH(N372,DiemHKII!$B$4:$B$58,0),INDEX($Y$7:$AB$20,MATCH(O378,$Y$7:$Y$20,0),$AB$6))&lt;&gt;"",INDEX(BDHK2,MATCH(N372,DiemHKII!$B$4:$B$58,0),INDEX($Y$7:$AB$20,MATCH(O378,$Y$7:$Y$20,0),$AB$6)),"/"),"")</f>
        <v/>
      </c>
      <c r="S378" s="88"/>
    </row>
    <row r="379" spans="1:19" ht="15.6" customHeight="1">
      <c r="A379" s="88"/>
      <c r="B379" s="79" t="s">
        <v>195</v>
      </c>
      <c r="C379" s="81" t="s">
        <v>120</v>
      </c>
      <c r="D379" s="35" t="str">
        <f>IF(B372&lt;&gt;"",IF(INDEX(BDHK2,MATCH(B372,DiemHKII!$B$4:$B$58,0),INDEX($Y$7:$AB$20,MATCH(C379,$Y$7:$Y$20,0),$Z$6))&lt;&gt;"",INDEX(BDHK2,MATCH(B372,DiemHKII!$B$4:$B$58,0),INDEX($Y$7:$AB$20,MATCH(C379,$Y$7:$Y$20,0),$Z$6)),"/"),"")</f>
        <v/>
      </c>
      <c r="E379" s="35" t="str">
        <f>IF(B372&lt;&gt;"",IF(INDEX(BDHK2,MATCH(B372,DiemHKII!$B$4:$B$58,0),INDEX($Y$7:$AB$20,MATCH(C379,$Y$7:$Y$20,0),$AA$6))&lt;&gt;"",INDEX(BDHK2,MATCH(B372,DiemHKII!$B$4:$B$58,0),INDEX($Y$7:$AB$20,MATCH(C379,$Y$7:$Y$20,0),$AA$6)),"/"),"")</f>
        <v/>
      </c>
      <c r="F379" s="35" t="str">
        <f>IF(B372&lt;&gt;"",IF(INDEX(BDHK2,MATCH(B372,DiemHKII!$B$4:$B$58,0),INDEX($Y$7:$AB$20,MATCH(C379,$Y$7:$Y$20,0),$AB$6))&lt;&gt;"",INDEX(BDHK2,MATCH(B372,DiemHKII!$B$4:$B$58,0),INDEX($Y$7:$AB$20,MATCH(C379,$Y$7:$Y$20,0),$AB$6)),"/"),"")</f>
        <v/>
      </c>
      <c r="G379" s="88"/>
      <c r="H379" s="79" t="s">
        <v>195</v>
      </c>
      <c r="I379" s="81" t="s">
        <v>120</v>
      </c>
      <c r="J379" s="35" t="str">
        <f>IF(H372&lt;&gt;"",IF(INDEX(BDHK2,MATCH(H372,DiemHKII!$B$4:$B$58,0),INDEX($Y$7:$AB$20,MATCH(I379,$Y$7:$Y$20,0),$Z$6))&lt;&gt;"",INDEX(BDHK2,MATCH(H372,DiemHKII!$B$4:$B$58,0),INDEX($Y$7:$AB$20,MATCH(I379,$Y$7:$Y$20,0),$Z$6)),"/"),"")</f>
        <v/>
      </c>
      <c r="K379" s="35" t="str">
        <f>IF(H372&lt;&gt;"",IF(INDEX(BDHK2,MATCH(H372,DiemHKII!$B$4:$B$58,0),INDEX($Y$7:$AB$20,MATCH(I379,$Y$7:$Y$20,0),$AA$6))&lt;&gt;"",INDEX(BDHK2,MATCH(H372,DiemHKII!$B$4:$B$58,0),INDEX($Y$7:$AB$20,MATCH(I379,$Y$7:$Y$20,0),$AA$6)),"/"),"")</f>
        <v/>
      </c>
      <c r="L379" s="35" t="str">
        <f>IF(H372&lt;&gt;"",IF(INDEX(BDHK2,MATCH(H372,DiemHKII!$B$4:$B$58,0),INDEX($Y$7:$AB$20,MATCH(I379,$Y$7:$Y$20,0),$AB$6))&lt;&gt;"",INDEX(BDHK2,MATCH(H372,DiemHKII!$B$4:$B$58,0),INDEX($Y$7:$AB$20,MATCH(I379,$Y$7:$Y$20,0),$AB$6)),"/"),"")</f>
        <v/>
      </c>
      <c r="M379" s="88"/>
      <c r="N379" s="79" t="s">
        <v>195</v>
      </c>
      <c r="O379" s="81" t="s">
        <v>120</v>
      </c>
      <c r="P379" s="35" t="str">
        <f>IF(N372&lt;&gt;"",IF(INDEX(BDHK2,MATCH(N372,DiemHKII!$B$4:$B$58,0),INDEX($Y$7:$AB$20,MATCH(O379,$Y$7:$Y$20,0),$Z$6))&lt;&gt;"",INDEX(BDHK2,MATCH(N372,DiemHKII!$B$4:$B$58,0),INDEX($Y$7:$AB$20,MATCH(O379,$Y$7:$Y$20,0),$Z$6)),"/"),"")</f>
        <v/>
      </c>
      <c r="Q379" s="35" t="str">
        <f>IF(N372&lt;&gt;"",IF(INDEX(BDHK2,MATCH(N372,DiemHKII!$B$4:$B$58,0),INDEX($Y$7:$AB$20,MATCH(O379,$Y$7:$Y$20,0),$AA$6))&lt;&gt;"",INDEX(BDHK2,MATCH(N372,DiemHKII!$B$4:$B$58,0),INDEX($Y$7:$AB$20,MATCH(O379,$Y$7:$Y$20,0),$AA$6)),"/"),"")</f>
        <v/>
      </c>
      <c r="R379" s="35" t="str">
        <f>IF(N372&lt;&gt;"",IF(INDEX(BDHK2,MATCH(N372,DiemHKII!$B$4:$B$58,0),INDEX($Y$7:$AB$20,MATCH(O379,$Y$7:$Y$20,0),$AB$6))&lt;&gt;"",INDEX(BDHK2,MATCH(N372,DiemHKII!$B$4:$B$58,0),INDEX($Y$7:$AB$20,MATCH(O379,$Y$7:$Y$20,0),$AB$6)),"/"),"")</f>
        <v/>
      </c>
      <c r="S379" s="88"/>
    </row>
    <row r="380" spans="1:19" ht="15.6" customHeight="1">
      <c r="A380" s="88"/>
      <c r="B380" s="79" t="s">
        <v>196</v>
      </c>
      <c r="C380" s="81" t="s">
        <v>30</v>
      </c>
      <c r="D380" s="35" t="str">
        <f>IF(B372&lt;&gt;"",IF(INDEX(BDHK2,MATCH(B372,DiemHKII!$B$4:$B$58,0),INDEX($Y$7:$AB$20,MATCH(C380,$Y$7:$Y$20,0),$Z$6))&lt;&gt;"",INDEX(BDHK2,MATCH(B372,DiemHKII!$B$4:$B$58,0),INDEX($Y$7:$AB$20,MATCH(C380,$Y$7:$Y$20,0),$Z$6)),"/"),"")</f>
        <v/>
      </c>
      <c r="E380" s="35" t="str">
        <f>IF(B372&lt;&gt;"",IF(INDEX(BDHK2,MATCH(B372,DiemHKII!$B$4:$B$58,0),INDEX($Y$7:$AB$20,MATCH(C380,$Y$7:$Y$20,0),$AA$6))&lt;&gt;"",INDEX(BDHK2,MATCH(B372,DiemHKII!$B$4:$B$58,0),INDEX($Y$7:$AB$20,MATCH(C380,$Y$7:$Y$20,0),$AA$6)),"/"),"")</f>
        <v/>
      </c>
      <c r="F380" s="35" t="str">
        <f>IF(B372&lt;&gt;"",IF(INDEX(BDHK2,MATCH(B372,DiemHKII!$B$4:$B$58,0),INDEX($Y$7:$AB$20,MATCH(C380,$Y$7:$Y$20,0),$AB$6))&lt;&gt;"",INDEX(BDHK2,MATCH(B372,DiemHKII!$B$4:$B$58,0),INDEX($Y$7:$AB$20,MATCH(C380,$Y$7:$Y$20,0),$AB$6)),"/"),"")</f>
        <v/>
      </c>
      <c r="G380" s="88"/>
      <c r="H380" s="79" t="s">
        <v>196</v>
      </c>
      <c r="I380" s="81" t="s">
        <v>30</v>
      </c>
      <c r="J380" s="35" t="str">
        <f>IF(H372&lt;&gt;"",IF(INDEX(BDHK2,MATCH(H372,DiemHKII!$B$4:$B$58,0),INDEX($Y$7:$AB$20,MATCH(I380,$Y$7:$Y$20,0),$Z$6))&lt;&gt;"",INDEX(BDHK2,MATCH(H372,DiemHKII!$B$4:$B$58,0),INDEX($Y$7:$AB$20,MATCH(I380,$Y$7:$Y$20,0),$Z$6)),"/"),"")</f>
        <v/>
      </c>
      <c r="K380" s="35" t="str">
        <f>IF(H372&lt;&gt;"",IF(INDEX(BDHK2,MATCH(H372,DiemHKII!$B$4:$B$58,0),INDEX($Y$7:$AB$20,MATCH(I380,$Y$7:$Y$20,0),$AA$6))&lt;&gt;"",INDEX(BDHK2,MATCH(H372,DiemHKII!$B$4:$B$58,0),INDEX($Y$7:$AB$20,MATCH(I380,$Y$7:$Y$20,0),$AA$6)),"/"),"")</f>
        <v/>
      </c>
      <c r="L380" s="35" t="str">
        <f>IF(H372&lt;&gt;"",IF(INDEX(BDHK2,MATCH(H372,DiemHKII!$B$4:$B$58,0),INDEX($Y$7:$AB$20,MATCH(I380,$Y$7:$Y$20,0),$AB$6))&lt;&gt;"",INDEX(BDHK2,MATCH(H372,DiemHKII!$B$4:$B$58,0),INDEX($Y$7:$AB$20,MATCH(I380,$Y$7:$Y$20,0),$AB$6)),"/"),"")</f>
        <v/>
      </c>
      <c r="M380" s="88"/>
      <c r="N380" s="79" t="s">
        <v>196</v>
      </c>
      <c r="O380" s="81" t="s">
        <v>30</v>
      </c>
      <c r="P380" s="35" t="str">
        <f>IF(N372&lt;&gt;"",IF(INDEX(BDHK2,MATCH(N372,DiemHKII!$B$4:$B$58,0),INDEX($Y$7:$AB$20,MATCH(O380,$Y$7:$Y$20,0),$Z$6))&lt;&gt;"",INDEX(BDHK2,MATCH(N372,DiemHKII!$B$4:$B$58,0),INDEX($Y$7:$AB$20,MATCH(O380,$Y$7:$Y$20,0),$Z$6)),"/"),"")</f>
        <v/>
      </c>
      <c r="Q380" s="35" t="str">
        <f>IF(N372&lt;&gt;"",IF(INDEX(BDHK2,MATCH(N372,DiemHKII!$B$4:$B$58,0),INDEX($Y$7:$AB$20,MATCH(O380,$Y$7:$Y$20,0),$AA$6))&lt;&gt;"",INDEX(BDHK2,MATCH(N372,DiemHKII!$B$4:$B$58,0),INDEX($Y$7:$AB$20,MATCH(O380,$Y$7:$Y$20,0),$AA$6)),"/"),"")</f>
        <v/>
      </c>
      <c r="R380" s="35" t="str">
        <f>IF(N372&lt;&gt;"",IF(INDEX(BDHK2,MATCH(N372,DiemHKII!$B$4:$B$58,0),INDEX($Y$7:$AB$20,MATCH(O380,$Y$7:$Y$20,0),$AB$6))&lt;&gt;"",INDEX(BDHK2,MATCH(N372,DiemHKII!$B$4:$B$58,0),INDEX($Y$7:$AB$20,MATCH(O380,$Y$7:$Y$20,0),$AB$6)),"/"),"")</f>
        <v/>
      </c>
      <c r="S380" s="88"/>
    </row>
    <row r="381" spans="1:19" ht="15.6" customHeight="1">
      <c r="A381" s="88"/>
      <c r="B381" s="79" t="s">
        <v>197</v>
      </c>
      <c r="C381" s="81" t="s">
        <v>31</v>
      </c>
      <c r="D381" s="35" t="str">
        <f>IF(B372&lt;&gt;"",IF(INDEX(BDHK2,MATCH(B372,DiemHKII!$B$4:$B$58,0),INDEX($Y$7:$AB$20,MATCH(C381,$Y$7:$Y$20,0),$Z$6))&lt;&gt;"",INDEX(BDHK2,MATCH(B372,DiemHKII!$B$4:$B$58,0),INDEX($Y$7:$AB$20,MATCH(C381,$Y$7:$Y$20,0),$Z$6)),"/"),"")</f>
        <v/>
      </c>
      <c r="E381" s="35" t="str">
        <f>IF(B372&lt;&gt;"",IF(INDEX(BDHK2,MATCH(B372,DiemHKII!$B$4:$B$58,0),INDEX($Y$7:$AB$20,MATCH(C381,$Y$7:$Y$20,0),$AA$6))&lt;&gt;"",INDEX(BDHK2,MATCH(B372,DiemHKII!$B$4:$B$58,0),INDEX($Y$7:$AB$20,MATCH(C381,$Y$7:$Y$20,0),$AA$6)),"/"),"")</f>
        <v/>
      </c>
      <c r="F381" s="35" t="str">
        <f>IF(B372&lt;&gt;"",IF(INDEX(BDHK2,MATCH(B372,DiemHKII!$B$4:$B$58,0),INDEX($Y$7:$AB$20,MATCH(C381,$Y$7:$Y$20,0),$AB$6))&lt;&gt;"",INDEX(BDHK2,MATCH(B372,DiemHKII!$B$4:$B$58,0),INDEX($Y$7:$AB$20,MATCH(C381,$Y$7:$Y$20,0),$AB$6)),"/"),"")</f>
        <v/>
      </c>
      <c r="G381" s="88"/>
      <c r="H381" s="79" t="s">
        <v>197</v>
      </c>
      <c r="I381" s="81" t="s">
        <v>31</v>
      </c>
      <c r="J381" s="35" t="str">
        <f>IF(H372&lt;&gt;"",IF(INDEX(BDHK2,MATCH(H372,DiemHKII!$B$4:$B$58,0),INDEX($Y$7:$AB$20,MATCH(I381,$Y$7:$Y$20,0),$Z$6))&lt;&gt;"",INDEX(BDHK2,MATCH(H372,DiemHKII!$B$4:$B$58,0),INDEX($Y$7:$AB$20,MATCH(I381,$Y$7:$Y$20,0),$Z$6)),"/"),"")</f>
        <v/>
      </c>
      <c r="K381" s="35" t="str">
        <f>IF(H372&lt;&gt;"",IF(INDEX(BDHK2,MATCH(H372,DiemHKII!$B$4:$B$58,0),INDEX($Y$7:$AB$20,MATCH(I381,$Y$7:$Y$20,0),$AA$6))&lt;&gt;"",INDEX(BDHK2,MATCH(H372,DiemHKII!$B$4:$B$58,0),INDEX($Y$7:$AB$20,MATCH(I381,$Y$7:$Y$20,0),$AA$6)),"/"),"")</f>
        <v/>
      </c>
      <c r="L381" s="35" t="str">
        <f>IF(H372&lt;&gt;"",IF(INDEX(BDHK2,MATCH(H372,DiemHKII!$B$4:$B$58,0),INDEX($Y$7:$AB$20,MATCH(I381,$Y$7:$Y$20,0),$AB$6))&lt;&gt;"",INDEX(BDHK2,MATCH(H372,DiemHKII!$B$4:$B$58,0),INDEX($Y$7:$AB$20,MATCH(I381,$Y$7:$Y$20,0),$AB$6)),"/"),"")</f>
        <v/>
      </c>
      <c r="M381" s="88"/>
      <c r="N381" s="79" t="s">
        <v>197</v>
      </c>
      <c r="O381" s="81" t="s">
        <v>31</v>
      </c>
      <c r="P381" s="35" t="str">
        <f>IF(N372&lt;&gt;"",IF(INDEX(BDHK2,MATCH(N372,DiemHKII!$B$4:$B$58,0),INDEX($Y$7:$AB$20,MATCH(O381,$Y$7:$Y$20,0),$Z$6))&lt;&gt;"",INDEX(BDHK2,MATCH(N372,DiemHKII!$B$4:$B$58,0),INDEX($Y$7:$AB$20,MATCH(O381,$Y$7:$Y$20,0),$Z$6)),"/"),"")</f>
        <v/>
      </c>
      <c r="Q381" s="35" t="str">
        <f>IF(N372&lt;&gt;"",IF(INDEX(BDHK2,MATCH(N372,DiemHKII!$B$4:$B$58,0),INDEX($Y$7:$AB$20,MATCH(O381,$Y$7:$Y$20,0),$AA$6))&lt;&gt;"",INDEX(BDHK2,MATCH(N372,DiemHKII!$B$4:$B$58,0),INDEX($Y$7:$AB$20,MATCH(O381,$Y$7:$Y$20,0),$AA$6)),"/"),"")</f>
        <v/>
      </c>
      <c r="R381" s="35" t="str">
        <f>IF(N372&lt;&gt;"",IF(INDEX(BDHK2,MATCH(N372,DiemHKII!$B$4:$B$58,0),INDEX($Y$7:$AB$20,MATCH(O381,$Y$7:$Y$20,0),$AB$6))&lt;&gt;"",INDEX(BDHK2,MATCH(N372,DiemHKII!$B$4:$B$58,0),INDEX($Y$7:$AB$20,MATCH(O381,$Y$7:$Y$20,0),$AB$6)),"/"),"")</f>
        <v/>
      </c>
      <c r="S381" s="88"/>
    </row>
    <row r="382" spans="1:19" ht="15.6" customHeight="1">
      <c r="A382" s="88"/>
      <c r="B382" s="79" t="s">
        <v>198</v>
      </c>
      <c r="C382" s="81" t="s">
        <v>32</v>
      </c>
      <c r="D382" s="35" t="str">
        <f>IF(B372&lt;&gt;"",IF(INDEX(BDHK2,MATCH(B372,DiemHKII!$B$4:$B$58,0),INDEX($Y$7:$AB$20,MATCH(C382,$Y$7:$Y$20,0),$Z$6))&lt;&gt;"",INDEX(BDHK2,MATCH(B372,DiemHKII!$B$4:$B$58,0),INDEX($Y$7:$AB$20,MATCH(C382,$Y$7:$Y$20,0),$Z$6)),"/"),"")</f>
        <v/>
      </c>
      <c r="E382" s="35" t="str">
        <f>IF(B372&lt;&gt;"",IF(INDEX(BDHK2,MATCH(B372,DiemHKII!$B$4:$B$58,0),INDEX($Y$7:$AB$20,MATCH(C382,$Y$7:$Y$20,0),$AA$6))&lt;&gt;"",INDEX(BDHK2,MATCH(B372,DiemHKII!$B$4:$B$58,0),INDEX($Y$7:$AB$20,MATCH(C382,$Y$7:$Y$20,0),$AA$6)),"/"),"")</f>
        <v/>
      </c>
      <c r="F382" s="35" t="str">
        <f>IF(B372&lt;&gt;"",IF(INDEX(BDHK2,MATCH(B372,DiemHKII!$B$4:$B$58,0),INDEX($Y$7:$AB$20,MATCH(C382,$Y$7:$Y$20,0),$AB$6))&lt;&gt;"",INDEX(BDHK2,MATCH(B372,DiemHKII!$B$4:$B$58,0),INDEX($Y$7:$AB$20,MATCH(C382,$Y$7:$Y$20,0),$AB$6)),"/"),"")</f>
        <v/>
      </c>
      <c r="G382" s="88"/>
      <c r="H382" s="79" t="s">
        <v>198</v>
      </c>
      <c r="I382" s="81" t="s">
        <v>32</v>
      </c>
      <c r="J382" s="35" t="str">
        <f>IF(H372&lt;&gt;"",IF(INDEX(BDHK2,MATCH(H372,DiemHKII!$B$4:$B$58,0),INDEX($Y$7:$AB$20,MATCH(I382,$Y$7:$Y$20,0),$Z$6))&lt;&gt;"",INDEX(BDHK2,MATCH(H372,DiemHKII!$B$4:$B$58,0),INDEX($Y$7:$AB$20,MATCH(I382,$Y$7:$Y$20,0),$Z$6)),"/"),"")</f>
        <v/>
      </c>
      <c r="K382" s="35" t="str">
        <f>IF(H372&lt;&gt;"",IF(INDEX(BDHK2,MATCH(H372,DiemHKII!$B$4:$B$58,0),INDEX($Y$7:$AB$20,MATCH(I382,$Y$7:$Y$20,0),$AA$6))&lt;&gt;"",INDEX(BDHK2,MATCH(H372,DiemHKII!$B$4:$B$58,0),INDEX($Y$7:$AB$20,MATCH(I382,$Y$7:$Y$20,0),$AA$6)),"/"),"")</f>
        <v/>
      </c>
      <c r="L382" s="35" t="str">
        <f>IF(H372&lt;&gt;"",IF(INDEX(BDHK2,MATCH(H372,DiemHKII!$B$4:$B$58,0),INDEX($Y$7:$AB$20,MATCH(I382,$Y$7:$Y$20,0),$AB$6))&lt;&gt;"",INDEX(BDHK2,MATCH(H372,DiemHKII!$B$4:$B$58,0),INDEX($Y$7:$AB$20,MATCH(I382,$Y$7:$Y$20,0),$AB$6)),"/"),"")</f>
        <v/>
      </c>
      <c r="M382" s="88"/>
      <c r="N382" s="79" t="s">
        <v>198</v>
      </c>
      <c r="O382" s="81" t="s">
        <v>32</v>
      </c>
      <c r="P382" s="35" t="str">
        <f>IF(N372&lt;&gt;"",IF(INDEX(BDHK2,MATCH(N372,DiemHKII!$B$4:$B$58,0),INDEX($Y$7:$AB$20,MATCH(O382,$Y$7:$Y$20,0),$Z$6))&lt;&gt;"",INDEX(BDHK2,MATCH(N372,DiemHKII!$B$4:$B$58,0),INDEX($Y$7:$AB$20,MATCH(O382,$Y$7:$Y$20,0),$Z$6)),"/"),"")</f>
        <v/>
      </c>
      <c r="Q382" s="35" t="str">
        <f>IF(N372&lt;&gt;"",IF(INDEX(BDHK2,MATCH(N372,DiemHKII!$B$4:$B$58,0),INDEX($Y$7:$AB$20,MATCH(O382,$Y$7:$Y$20,0),$AA$6))&lt;&gt;"",INDEX(BDHK2,MATCH(N372,DiemHKII!$B$4:$B$58,0),INDEX($Y$7:$AB$20,MATCH(O382,$Y$7:$Y$20,0),$AA$6)),"/"),"")</f>
        <v/>
      </c>
      <c r="R382" s="35" t="str">
        <f>IF(N372&lt;&gt;"",IF(INDEX(BDHK2,MATCH(N372,DiemHKII!$B$4:$B$58,0),INDEX($Y$7:$AB$20,MATCH(O382,$Y$7:$Y$20,0),$AB$6))&lt;&gt;"",INDEX(BDHK2,MATCH(N372,DiemHKII!$B$4:$B$58,0),INDEX($Y$7:$AB$20,MATCH(O382,$Y$7:$Y$20,0),$AB$6)),"/"),"")</f>
        <v/>
      </c>
      <c r="S382" s="88"/>
    </row>
    <row r="383" spans="1:19" ht="15.6" customHeight="1">
      <c r="A383" s="88"/>
      <c r="B383" s="79" t="s">
        <v>199</v>
      </c>
      <c r="C383" s="81" t="s">
        <v>33</v>
      </c>
      <c r="D383" s="35" t="str">
        <f>IF(B372&lt;&gt;"",IF(INDEX(BDHK2,MATCH(B372,DiemHKII!$B$4:$B$58,0),INDEX($Y$7:$AB$20,MATCH(C383,$Y$7:$Y$20,0),$Z$6))&lt;&gt;"",INDEX(BDHK2,MATCH(B372,DiemHKII!$B$4:$B$58,0),INDEX($Y$7:$AB$20,MATCH(C383,$Y$7:$Y$20,0),$Z$6)),"/"),"")</f>
        <v/>
      </c>
      <c r="E383" s="35" t="str">
        <f>IF(B372&lt;&gt;"",IF(INDEX(BDHK2,MATCH(B372,DiemHKII!$B$4:$B$58,0),INDEX($Y$7:$AB$20,MATCH(C383,$Y$7:$Y$20,0),$AA$6))&lt;&gt;"",INDEX(BDHK2,MATCH(B372,DiemHKII!$B$4:$B$58,0),INDEX($Y$7:$AB$20,MATCH(C383,$Y$7:$Y$20,0),$AA$6)),"/"),"")</f>
        <v/>
      </c>
      <c r="F383" s="35" t="str">
        <f>IF(B372&lt;&gt;"",IF(INDEX(BDHK2,MATCH(B372,DiemHKII!$B$4:$B$58,0),INDEX($Y$7:$AB$20,MATCH(C383,$Y$7:$Y$20,0),$AB$6))&lt;&gt;"",INDEX(BDHK2,MATCH(B372,DiemHKII!$B$4:$B$58,0),INDEX($Y$7:$AB$20,MATCH(C383,$Y$7:$Y$20,0),$AB$6)),"/"),"")</f>
        <v/>
      </c>
      <c r="G383" s="88"/>
      <c r="H383" s="79" t="s">
        <v>199</v>
      </c>
      <c r="I383" s="81" t="s">
        <v>33</v>
      </c>
      <c r="J383" s="35" t="str">
        <f>IF(H372&lt;&gt;"",IF(INDEX(BDHK2,MATCH(H372,DiemHKII!$B$4:$B$58,0),INDEX($Y$7:$AB$20,MATCH(I383,$Y$7:$Y$20,0),$Z$6))&lt;&gt;"",INDEX(BDHK2,MATCH(H372,DiemHKII!$B$4:$B$58,0),INDEX($Y$7:$AB$20,MATCH(I383,$Y$7:$Y$20,0),$Z$6)),"/"),"")</f>
        <v/>
      </c>
      <c r="K383" s="35" t="str">
        <f>IF(H372&lt;&gt;"",IF(INDEX(BDHK2,MATCH(H372,DiemHKII!$B$4:$B$58,0),INDEX($Y$7:$AB$20,MATCH(I383,$Y$7:$Y$20,0),$AA$6))&lt;&gt;"",INDEX(BDHK2,MATCH(H372,DiemHKII!$B$4:$B$58,0),INDEX($Y$7:$AB$20,MATCH(I383,$Y$7:$Y$20,0),$AA$6)),"/"),"")</f>
        <v/>
      </c>
      <c r="L383" s="35" t="str">
        <f>IF(H372&lt;&gt;"",IF(INDEX(BDHK2,MATCH(H372,DiemHKII!$B$4:$B$58,0),INDEX($Y$7:$AB$20,MATCH(I383,$Y$7:$Y$20,0),$AB$6))&lt;&gt;"",INDEX(BDHK2,MATCH(H372,DiemHKII!$B$4:$B$58,0),INDEX($Y$7:$AB$20,MATCH(I383,$Y$7:$Y$20,0),$AB$6)),"/"),"")</f>
        <v/>
      </c>
      <c r="M383" s="88"/>
      <c r="N383" s="79" t="s">
        <v>199</v>
      </c>
      <c r="O383" s="81" t="s">
        <v>33</v>
      </c>
      <c r="P383" s="35" t="str">
        <f>IF(N372&lt;&gt;"",IF(INDEX(BDHK2,MATCH(N372,DiemHKII!$B$4:$B$58,0),INDEX($Y$7:$AB$20,MATCH(O383,$Y$7:$Y$20,0),$Z$6))&lt;&gt;"",INDEX(BDHK2,MATCH(N372,DiemHKII!$B$4:$B$58,0),INDEX($Y$7:$AB$20,MATCH(O383,$Y$7:$Y$20,0),$Z$6)),"/"),"")</f>
        <v/>
      </c>
      <c r="Q383" s="35" t="str">
        <f>IF(N372&lt;&gt;"",IF(INDEX(BDHK2,MATCH(N372,DiemHKII!$B$4:$B$58,0),INDEX($Y$7:$AB$20,MATCH(O383,$Y$7:$Y$20,0),$AA$6))&lt;&gt;"",INDEX(BDHK2,MATCH(N372,DiemHKII!$B$4:$B$58,0),INDEX($Y$7:$AB$20,MATCH(O383,$Y$7:$Y$20,0),$AA$6)),"/"),"")</f>
        <v/>
      </c>
      <c r="R383" s="35" t="str">
        <f>IF(N372&lt;&gt;"",IF(INDEX(BDHK2,MATCH(N372,DiemHKII!$B$4:$B$58,0),INDEX($Y$7:$AB$20,MATCH(O383,$Y$7:$Y$20,0),$AB$6))&lt;&gt;"",INDEX(BDHK2,MATCH(N372,DiemHKII!$B$4:$B$58,0),INDEX($Y$7:$AB$20,MATCH(O383,$Y$7:$Y$20,0),$AB$6)),"/"),"")</f>
        <v/>
      </c>
      <c r="S383" s="88"/>
    </row>
    <row r="384" spans="1:19" ht="15.6" customHeight="1">
      <c r="A384" s="88"/>
      <c r="B384" s="79" t="s">
        <v>200</v>
      </c>
      <c r="C384" s="81" t="s">
        <v>60</v>
      </c>
      <c r="D384" s="35" t="str">
        <f>IF(B372&lt;&gt;"",IF(INDEX(BDHK2,MATCH(B372,DiemHKII!$B$4:$B$58,0),INDEX($Y$7:$AB$20,MATCH(C384,$Y$7:$Y$20,0),$Z$6))&lt;&gt;"",INDEX(BDHK2,MATCH(B372,DiemHKII!$B$4:$B$58,0),INDEX($Y$7:$AB$20,MATCH(C384,$Y$7:$Y$20,0),$Z$6)),"/"),"")</f>
        <v/>
      </c>
      <c r="E384" s="35" t="str">
        <f>IF(B372&lt;&gt;"",IF(INDEX(BDHK2,MATCH(B372,DiemHKII!$B$4:$B$58,0),INDEX($Y$7:$AB$20,MATCH(C384,$Y$7:$Y$20,0),$AA$6))&lt;&gt;"",INDEX(BDHK2,MATCH(B372,DiemHKII!$B$4:$B$58,0),INDEX($Y$7:$AB$20,MATCH(C384,$Y$7:$Y$20,0),$AA$6)),"/"),"")</f>
        <v/>
      </c>
      <c r="F384" s="35" t="str">
        <f>IF(B372&lt;&gt;"",IF(INDEX(BDHK2,MATCH(B372,DiemHKII!$B$4:$B$58,0),INDEX($Y$7:$AB$20,MATCH(C384,$Y$7:$Y$20,0),$AB$6))&lt;&gt;"",INDEX(BDHK2,MATCH(B372,DiemHKII!$B$4:$B$58,0),INDEX($Y$7:$AB$20,MATCH(C384,$Y$7:$Y$20,0),$AB$6)),"/"),"")</f>
        <v/>
      </c>
      <c r="G384" s="88"/>
      <c r="H384" s="79" t="s">
        <v>200</v>
      </c>
      <c r="I384" s="81" t="s">
        <v>60</v>
      </c>
      <c r="J384" s="35" t="str">
        <f>IF(H372&lt;&gt;"",IF(INDEX(BDHK2,MATCH(H372,DiemHKII!$B$4:$B$58,0),INDEX($Y$7:$AB$20,MATCH(I384,$Y$7:$Y$20,0),$Z$6))&lt;&gt;"",INDEX(BDHK2,MATCH(H372,DiemHKII!$B$4:$B$58,0),INDEX($Y$7:$AB$20,MATCH(I384,$Y$7:$Y$20,0),$Z$6)),"/"),"")</f>
        <v/>
      </c>
      <c r="K384" s="35" t="str">
        <f>IF(H372&lt;&gt;"",IF(INDEX(BDHK2,MATCH(H372,DiemHKII!$B$4:$B$58,0),INDEX($Y$7:$AB$20,MATCH(I384,$Y$7:$Y$20,0),$AA$6))&lt;&gt;"",INDEX(BDHK2,MATCH(H372,DiemHKII!$B$4:$B$58,0),INDEX($Y$7:$AB$20,MATCH(I384,$Y$7:$Y$20,0),$AA$6)),"/"),"")</f>
        <v/>
      </c>
      <c r="L384" s="35" t="str">
        <f>IF(H372&lt;&gt;"",IF(INDEX(BDHK2,MATCH(H372,DiemHKII!$B$4:$B$58,0),INDEX($Y$7:$AB$20,MATCH(I384,$Y$7:$Y$20,0),$AB$6))&lt;&gt;"",INDEX(BDHK2,MATCH(H372,DiemHKII!$B$4:$B$58,0),INDEX($Y$7:$AB$20,MATCH(I384,$Y$7:$Y$20,0),$AB$6)),"/"),"")</f>
        <v/>
      </c>
      <c r="M384" s="88"/>
      <c r="N384" s="79" t="s">
        <v>200</v>
      </c>
      <c r="O384" s="81" t="s">
        <v>60</v>
      </c>
      <c r="P384" s="35" t="str">
        <f>IF(N372&lt;&gt;"",IF(INDEX(BDHK2,MATCH(N372,DiemHKII!$B$4:$B$58,0),INDEX($Y$7:$AB$20,MATCH(O384,$Y$7:$Y$20,0),$Z$6))&lt;&gt;"",INDEX(BDHK2,MATCH(N372,DiemHKII!$B$4:$B$58,0),INDEX($Y$7:$AB$20,MATCH(O384,$Y$7:$Y$20,0),$Z$6)),"/"),"")</f>
        <v/>
      </c>
      <c r="Q384" s="35" t="str">
        <f>IF(N372&lt;&gt;"",IF(INDEX(BDHK2,MATCH(N372,DiemHKII!$B$4:$B$58,0),INDEX($Y$7:$AB$20,MATCH(O384,$Y$7:$Y$20,0),$AA$6))&lt;&gt;"",INDEX(BDHK2,MATCH(N372,DiemHKII!$B$4:$B$58,0),INDEX($Y$7:$AB$20,MATCH(O384,$Y$7:$Y$20,0),$AA$6)),"/"),"")</f>
        <v/>
      </c>
      <c r="R384" s="35" t="str">
        <f>IF(N372&lt;&gt;"",IF(INDEX(BDHK2,MATCH(N372,DiemHKII!$B$4:$B$58,0),INDEX($Y$7:$AB$20,MATCH(O384,$Y$7:$Y$20,0),$AB$6))&lt;&gt;"",INDEX(BDHK2,MATCH(N372,DiemHKII!$B$4:$B$58,0),INDEX($Y$7:$AB$20,MATCH(O384,$Y$7:$Y$20,0),$AB$6)),"/"),"")</f>
        <v/>
      </c>
      <c r="S384" s="88"/>
    </row>
    <row r="385" spans="1:19" ht="15.6" customHeight="1">
      <c r="A385" s="88"/>
      <c r="B385" s="79" t="s">
        <v>201</v>
      </c>
      <c r="C385" s="81" t="s">
        <v>34</v>
      </c>
      <c r="D385" s="35" t="str">
        <f>IF(B372&lt;&gt;"",IF(INDEX(BDHK2,MATCH(B372,DiemHKII!$B$4:$B$58,0),INDEX($Y$7:$AB$20,MATCH(C385,$Y$7:$Y$20,0),$Z$6))&lt;&gt;"",INDEX(BDHK2,MATCH(B372,DiemHKII!$B$4:$B$58,0),INDEX($Y$7:$AB$20,MATCH(C385,$Y$7:$Y$20,0),$Z$6)),"/"),"")</f>
        <v/>
      </c>
      <c r="E385" s="35" t="str">
        <f>IF(B372&lt;&gt;"",IF(INDEX(BDHK2,MATCH(B372,DiemHKII!$B$4:$B$58,0),INDEX($Y$7:$AB$20,MATCH(C385,$Y$7:$Y$20,0),$AA$6))&lt;&gt;"",INDEX(BDHK2,MATCH(B372,DiemHKII!$B$4:$B$58,0),INDEX($Y$7:$AB$20,MATCH(C385,$Y$7:$Y$20,0),$AA$6)),"/"),"")</f>
        <v/>
      </c>
      <c r="F385" s="35" t="str">
        <f>IF(B372&lt;&gt;"",IF(INDEX(BDHK2,MATCH(B372,DiemHKII!$B$4:$B$58,0),INDEX($Y$7:$AB$20,MATCH(C385,$Y$7:$Y$20,0),$AB$6))&lt;&gt;"",INDEX(BDHK2,MATCH(B372,DiemHKII!$B$4:$B$58,0),INDEX($Y$7:$AB$20,MATCH(C385,$Y$7:$Y$20,0),$AB$6)),"/"),"")</f>
        <v/>
      </c>
      <c r="G385" s="88"/>
      <c r="H385" s="79" t="s">
        <v>201</v>
      </c>
      <c r="I385" s="81" t="s">
        <v>34</v>
      </c>
      <c r="J385" s="35" t="str">
        <f>IF(H372&lt;&gt;"",IF(INDEX(BDHK2,MATCH(H372,DiemHKII!$B$4:$B$58,0),INDEX($Y$7:$AB$20,MATCH(I385,$Y$7:$Y$20,0),$Z$6))&lt;&gt;"",INDEX(BDHK2,MATCH(H372,DiemHKII!$B$4:$B$58,0),INDEX($Y$7:$AB$20,MATCH(I385,$Y$7:$Y$20,0),$Z$6)),"/"),"")</f>
        <v/>
      </c>
      <c r="K385" s="35" t="str">
        <f>IF(H372&lt;&gt;"",IF(INDEX(BDHK2,MATCH(H372,DiemHKII!$B$4:$B$58,0),INDEX($Y$7:$AB$20,MATCH(I385,$Y$7:$Y$20,0),$AA$6))&lt;&gt;"",INDEX(BDHK2,MATCH(H372,DiemHKII!$B$4:$B$58,0),INDEX($Y$7:$AB$20,MATCH(I385,$Y$7:$Y$20,0),$AA$6)),"/"),"")</f>
        <v/>
      </c>
      <c r="L385" s="35" t="str">
        <f>IF(H372&lt;&gt;"",IF(INDEX(BDHK2,MATCH(H372,DiemHKII!$B$4:$B$58,0),INDEX($Y$7:$AB$20,MATCH(I385,$Y$7:$Y$20,0),$AB$6))&lt;&gt;"",INDEX(BDHK2,MATCH(H372,DiemHKII!$B$4:$B$58,0),INDEX($Y$7:$AB$20,MATCH(I385,$Y$7:$Y$20,0),$AB$6)),"/"),"")</f>
        <v/>
      </c>
      <c r="M385" s="88"/>
      <c r="N385" s="79" t="s">
        <v>201</v>
      </c>
      <c r="O385" s="81" t="s">
        <v>34</v>
      </c>
      <c r="P385" s="35" t="str">
        <f>IF(N372&lt;&gt;"",IF(INDEX(BDHK2,MATCH(N372,DiemHKII!$B$4:$B$58,0),INDEX($Y$7:$AB$20,MATCH(O385,$Y$7:$Y$20,0),$Z$6))&lt;&gt;"",INDEX(BDHK2,MATCH(N372,DiemHKII!$B$4:$B$58,0),INDEX($Y$7:$AB$20,MATCH(O385,$Y$7:$Y$20,0),$Z$6)),"/"),"")</f>
        <v/>
      </c>
      <c r="Q385" s="35" t="str">
        <f>IF(N372&lt;&gt;"",IF(INDEX(BDHK2,MATCH(N372,DiemHKII!$B$4:$B$58,0),INDEX($Y$7:$AB$20,MATCH(O385,$Y$7:$Y$20,0),$AA$6))&lt;&gt;"",INDEX(BDHK2,MATCH(N372,DiemHKII!$B$4:$B$58,0),INDEX($Y$7:$AB$20,MATCH(O385,$Y$7:$Y$20,0),$AA$6)),"/"),"")</f>
        <v/>
      </c>
      <c r="R385" s="35" t="str">
        <f>IF(N372&lt;&gt;"",IF(INDEX(BDHK2,MATCH(N372,DiemHKII!$B$4:$B$58,0),INDEX($Y$7:$AB$20,MATCH(O385,$Y$7:$Y$20,0),$AB$6))&lt;&gt;"",INDEX(BDHK2,MATCH(N372,DiemHKII!$B$4:$B$58,0),INDEX($Y$7:$AB$20,MATCH(O385,$Y$7:$Y$20,0),$AB$6)),"/"),"")</f>
        <v/>
      </c>
      <c r="S385" s="88"/>
    </row>
    <row r="386" spans="1:19" ht="15.6" customHeight="1">
      <c r="A386" s="88"/>
      <c r="B386" s="79" t="s">
        <v>202</v>
      </c>
      <c r="C386" s="81" t="s">
        <v>35</v>
      </c>
      <c r="D386" s="35" t="str">
        <f>IF(B372&lt;&gt;"",IF(INDEX(BDHK2,MATCH(B372,DiemHKII!$B$4:$B$58,0),INDEX($Y$7:$AB$20,MATCH(C386,$Y$7:$Y$20,0),$Z$6))&lt;&gt;"",INDEX(BDHK2,MATCH(B372,DiemHKII!$B$4:$B$58,0),INDEX($Y$7:$AB$20,MATCH(C386,$Y$7:$Y$20,0),$Z$6)),"/"),"")</f>
        <v/>
      </c>
      <c r="E386" s="35" t="str">
        <f>IF(B372&lt;&gt;"",IF(INDEX(BDHK2,MATCH(B372,DiemHKII!$B$4:$B$58,0),INDEX($Y$7:$AB$20,MATCH(C386,$Y$7:$Y$20,0),$AA$6))&lt;&gt;"",INDEX(BDHK2,MATCH(B372,DiemHKII!$B$4:$B$58,0),INDEX($Y$7:$AB$20,MATCH(C386,$Y$7:$Y$20,0),$AA$6)),"/"),"")</f>
        <v/>
      </c>
      <c r="F386" s="35" t="str">
        <f>IF(B372&lt;&gt;"",IF(INDEX(BDHK2,MATCH(B372,DiemHKII!$B$4:$B$58,0),INDEX($Y$7:$AB$20,MATCH(C386,$Y$7:$Y$20,0),$AB$6))&lt;&gt;"",INDEX(BDHK2,MATCH(B372,DiemHKII!$B$4:$B$58,0),INDEX($Y$7:$AB$20,MATCH(C386,$Y$7:$Y$20,0),$AB$6)),"/"),"")</f>
        <v/>
      </c>
      <c r="G386" s="88"/>
      <c r="H386" s="79" t="s">
        <v>202</v>
      </c>
      <c r="I386" s="81" t="s">
        <v>35</v>
      </c>
      <c r="J386" s="35" t="str">
        <f>IF(H372&lt;&gt;"",IF(INDEX(BDHK2,MATCH(H372,DiemHKII!$B$4:$B$58,0),INDEX($Y$7:$AB$20,MATCH(I386,$Y$7:$Y$20,0),$Z$6))&lt;&gt;"",INDEX(BDHK2,MATCH(H372,DiemHKII!$B$4:$B$58,0),INDEX($Y$7:$AB$20,MATCH(I386,$Y$7:$Y$20,0),$Z$6)),"/"),"")</f>
        <v/>
      </c>
      <c r="K386" s="35" t="str">
        <f>IF(H372&lt;&gt;"",IF(INDEX(BDHK2,MATCH(H372,DiemHKII!$B$4:$B$58,0),INDEX($Y$7:$AB$20,MATCH(I386,$Y$7:$Y$20,0),$AA$6))&lt;&gt;"",INDEX(BDHK2,MATCH(H372,DiemHKII!$B$4:$B$58,0),INDEX($Y$7:$AB$20,MATCH(I386,$Y$7:$Y$20,0),$AA$6)),"/"),"")</f>
        <v/>
      </c>
      <c r="L386" s="35" t="str">
        <f>IF(H372&lt;&gt;"",IF(INDEX(BDHK2,MATCH(H372,DiemHKII!$B$4:$B$58,0),INDEX($Y$7:$AB$20,MATCH(I386,$Y$7:$Y$20,0),$AB$6))&lt;&gt;"",INDEX(BDHK2,MATCH(H372,DiemHKII!$B$4:$B$58,0),INDEX($Y$7:$AB$20,MATCH(I386,$Y$7:$Y$20,0),$AB$6)),"/"),"")</f>
        <v/>
      </c>
      <c r="M386" s="88"/>
      <c r="N386" s="79" t="s">
        <v>202</v>
      </c>
      <c r="O386" s="81" t="s">
        <v>35</v>
      </c>
      <c r="P386" s="35" t="str">
        <f>IF(N372&lt;&gt;"",IF(INDEX(BDHK2,MATCH(N372,DiemHKII!$B$4:$B$58,0),INDEX($Y$7:$AB$20,MATCH(O386,$Y$7:$Y$20,0),$Z$6))&lt;&gt;"",INDEX(BDHK2,MATCH(N372,DiemHKII!$B$4:$B$58,0),INDEX($Y$7:$AB$20,MATCH(O386,$Y$7:$Y$20,0),$Z$6)),"/"),"")</f>
        <v/>
      </c>
      <c r="Q386" s="35" t="str">
        <f>IF(N372&lt;&gt;"",IF(INDEX(BDHK2,MATCH(N372,DiemHKII!$B$4:$B$58,0),INDEX($Y$7:$AB$20,MATCH(O386,$Y$7:$Y$20,0),$AA$6))&lt;&gt;"",INDEX(BDHK2,MATCH(N372,DiemHKII!$B$4:$B$58,0),INDEX($Y$7:$AB$20,MATCH(O386,$Y$7:$Y$20,0),$AA$6)),"/"),"")</f>
        <v/>
      </c>
      <c r="R386" s="35" t="str">
        <f>IF(N372&lt;&gt;"",IF(INDEX(BDHK2,MATCH(N372,DiemHKII!$B$4:$B$58,0),INDEX($Y$7:$AB$20,MATCH(O386,$Y$7:$Y$20,0),$AB$6))&lt;&gt;"",INDEX(BDHK2,MATCH(N372,DiemHKII!$B$4:$B$58,0),INDEX($Y$7:$AB$20,MATCH(O386,$Y$7:$Y$20,0),$AB$6)),"/"),"")</f>
        <v/>
      </c>
      <c r="S386" s="88"/>
    </row>
    <row r="387" spans="1:19" ht="15.6" customHeight="1">
      <c r="A387" s="88"/>
      <c r="B387" s="79" t="s">
        <v>203</v>
      </c>
      <c r="C387" s="81" t="s">
        <v>121</v>
      </c>
      <c r="D387" s="35" t="str">
        <f>IF(B372&lt;&gt;"",IF(INDEX(BDHK2,MATCH(B372,DiemHKII!$B$4:$B$58,0),INDEX($Y$7:$AB$20,MATCH(C387,$Y$7:$Y$20,0),$Z$6))&lt;&gt;"",INDEX(BDHK2,MATCH(B372,DiemHKII!$B$4:$B$58,0),INDEX($Y$7:$AB$20,MATCH(C387,$Y$7:$Y$20,0),$Z$6)),"/"),"")</f>
        <v/>
      </c>
      <c r="E387" s="35" t="str">
        <f>IF(B372&lt;&gt;"",IF(INDEX(BDHK2,MATCH(B372,DiemHKII!$B$4:$B$58,0),INDEX($Y$7:$AB$20,MATCH(C387,$Y$7:$Y$20,0),$AA$6))&lt;&gt;"",INDEX(BDHK2,MATCH(B372,DiemHKII!$B$4:$B$58,0),INDEX($Y$7:$AB$20,MATCH(C387,$Y$7:$Y$20,0),$AA$6)),"/"),"")</f>
        <v/>
      </c>
      <c r="F387" s="35" t="str">
        <f>IF(B372&lt;&gt;"",IF(INDEX(BDHK2,MATCH(B372,DiemHKII!$B$4:$B$58,0),INDEX($Y$7:$AB$20,MATCH(C387,$Y$7:$Y$20,0),$AB$6))&lt;&gt;"",INDEX(BDHK2,MATCH(B372,DiemHKII!$B$4:$B$58,0),INDEX($Y$7:$AB$20,MATCH(C387,$Y$7:$Y$20,0),$AB$6)),"/"),"")</f>
        <v/>
      </c>
      <c r="G387" s="88"/>
      <c r="H387" s="79" t="s">
        <v>203</v>
      </c>
      <c r="I387" s="81" t="s">
        <v>121</v>
      </c>
      <c r="J387" s="35" t="str">
        <f>IF(H372&lt;&gt;"",IF(INDEX(BDHK2,MATCH(H372,DiemHKII!$B$4:$B$58,0),INDEX($Y$7:$AB$20,MATCH(I387,$Y$7:$Y$20,0),$Z$6))&lt;&gt;"",INDEX(BDHK2,MATCH(H372,DiemHKII!$B$4:$B$58,0),INDEX($Y$7:$AB$20,MATCH(I387,$Y$7:$Y$20,0),$Z$6)),"/"),"")</f>
        <v/>
      </c>
      <c r="K387" s="35" t="str">
        <f>IF(H372&lt;&gt;"",IF(INDEX(BDHK2,MATCH(H372,DiemHKII!$B$4:$B$58,0),INDEX($Y$7:$AB$20,MATCH(I387,$Y$7:$Y$20,0),$AA$6))&lt;&gt;"",INDEX(BDHK2,MATCH(H372,DiemHKII!$B$4:$B$58,0),INDEX($Y$7:$AB$20,MATCH(I387,$Y$7:$Y$20,0),$AA$6)),"/"),"")</f>
        <v/>
      </c>
      <c r="L387" s="35" t="str">
        <f>IF(H372&lt;&gt;"",IF(INDEX(BDHK2,MATCH(H372,DiemHKII!$B$4:$B$58,0),INDEX($Y$7:$AB$20,MATCH(I387,$Y$7:$Y$20,0),$AB$6))&lt;&gt;"",INDEX(BDHK2,MATCH(H372,DiemHKII!$B$4:$B$58,0),INDEX($Y$7:$AB$20,MATCH(I387,$Y$7:$Y$20,0),$AB$6)),"/"),"")</f>
        <v/>
      </c>
      <c r="M387" s="88"/>
      <c r="N387" s="79" t="s">
        <v>203</v>
      </c>
      <c r="O387" s="81" t="s">
        <v>121</v>
      </c>
      <c r="P387" s="35" t="str">
        <f>IF(N372&lt;&gt;"",IF(INDEX(BDHK2,MATCH(N372,DiemHKII!$B$4:$B$58,0),INDEX($Y$7:$AB$20,MATCH(O387,$Y$7:$Y$20,0),$Z$6))&lt;&gt;"",INDEX(BDHK2,MATCH(N372,DiemHKII!$B$4:$B$58,0),INDEX($Y$7:$AB$20,MATCH(O387,$Y$7:$Y$20,0),$Z$6)),"/"),"")</f>
        <v/>
      </c>
      <c r="Q387" s="35" t="str">
        <f>IF(N372&lt;&gt;"",IF(INDEX(BDHK2,MATCH(N372,DiemHKII!$B$4:$B$58,0),INDEX($Y$7:$AB$20,MATCH(O387,$Y$7:$Y$20,0),$AA$6))&lt;&gt;"",INDEX(BDHK2,MATCH(N372,DiemHKII!$B$4:$B$58,0),INDEX($Y$7:$AB$20,MATCH(O387,$Y$7:$Y$20,0),$AA$6)),"/"),"")</f>
        <v/>
      </c>
      <c r="R387" s="35" t="str">
        <f>IF(N372&lt;&gt;"",IF(INDEX(BDHK2,MATCH(N372,DiemHKII!$B$4:$B$58,0),INDEX($Y$7:$AB$20,MATCH(O387,$Y$7:$Y$20,0),$AB$6))&lt;&gt;"",INDEX(BDHK2,MATCH(N372,DiemHKII!$B$4:$B$58,0),INDEX($Y$7:$AB$20,MATCH(O387,$Y$7:$Y$20,0),$AB$6)),"/"),"")</f>
        <v/>
      </c>
      <c r="S387" s="88"/>
    </row>
    <row r="388" spans="1:19" ht="15.6" customHeight="1">
      <c r="A388" s="88"/>
      <c r="B388" s="79" t="s">
        <v>204</v>
      </c>
      <c r="C388" s="81" t="s">
        <v>122</v>
      </c>
      <c r="D388" s="35" t="str">
        <f>IF(B372&lt;&gt;"",IF(INDEX(BDHK2,MATCH(B372,DiemHKII!$B$4:$B$58,0),INDEX($Y$7:$AB$20,MATCH(C388,$Y$7:$Y$20,0),$Z$6))&lt;&gt;"",INDEX(BDHK2,MATCH(B372,DiemHKII!$B$4:$B$58,0),INDEX($Y$7:$AB$20,MATCH(C388,$Y$7:$Y$20,0),$Z$6)),"/"),"")</f>
        <v/>
      </c>
      <c r="E388" s="35" t="str">
        <f>IF(B372&lt;&gt;"",IF(INDEX(BDHK2,MATCH(B372,DiemHKII!$B$4:$B$58,0),INDEX($Y$7:$AB$20,MATCH(C388,$Y$7:$Y$20,0),$AA$6))&lt;&gt;"",INDEX(BDHK2,MATCH(B372,DiemHKII!$B$4:$B$58,0),INDEX($Y$7:$AB$20,MATCH(C388,$Y$7:$Y$20,0),$AA$6)),"/"),"")</f>
        <v/>
      </c>
      <c r="F388" s="35" t="str">
        <f>IF(B372&lt;&gt;"",IF(INDEX(BDHK2,MATCH(B372,DiemHKII!$B$4:$B$58,0),INDEX($Y$7:$AB$20,MATCH(C388,$Y$7:$Y$20,0),$AB$6))&lt;&gt;"",INDEX(BDHK2,MATCH(B372,DiemHKII!$B$4:$B$58,0),INDEX($Y$7:$AB$20,MATCH(C388,$Y$7:$Y$20,0),$AB$6)),"/"),"")</f>
        <v/>
      </c>
      <c r="G388" s="88"/>
      <c r="H388" s="79" t="s">
        <v>204</v>
      </c>
      <c r="I388" s="81" t="s">
        <v>122</v>
      </c>
      <c r="J388" s="35" t="str">
        <f>IF(H372&lt;&gt;"",IF(INDEX(BDHK2,MATCH(H372,DiemHKII!$B$4:$B$58,0),INDEX($Y$7:$AB$20,MATCH(I388,$Y$7:$Y$20,0),$Z$6))&lt;&gt;"",INDEX(BDHK2,MATCH(H372,DiemHKII!$B$4:$B$58,0),INDEX($Y$7:$AB$20,MATCH(I388,$Y$7:$Y$20,0),$Z$6)),"/"),"")</f>
        <v/>
      </c>
      <c r="K388" s="35" t="str">
        <f>IF(H372&lt;&gt;"",IF(INDEX(BDHK2,MATCH(H372,DiemHKII!$B$4:$B$58,0),INDEX($Y$7:$AB$20,MATCH(I388,$Y$7:$Y$20,0),$AA$6))&lt;&gt;"",INDEX(BDHK2,MATCH(H372,DiemHKII!$B$4:$B$58,0),INDEX($Y$7:$AB$20,MATCH(I388,$Y$7:$Y$20,0),$AA$6)),"/"),"")</f>
        <v/>
      </c>
      <c r="L388" s="35" t="str">
        <f>IF(H372&lt;&gt;"",IF(INDEX(BDHK2,MATCH(H372,DiemHKII!$B$4:$B$58,0),INDEX($Y$7:$AB$20,MATCH(I388,$Y$7:$Y$20,0),$AB$6))&lt;&gt;"",INDEX(BDHK2,MATCH(H372,DiemHKII!$B$4:$B$58,0),INDEX($Y$7:$AB$20,MATCH(I388,$Y$7:$Y$20,0),$AB$6)),"/"),"")</f>
        <v/>
      </c>
      <c r="M388" s="88"/>
      <c r="N388" s="79" t="s">
        <v>204</v>
      </c>
      <c r="O388" s="81" t="s">
        <v>122</v>
      </c>
      <c r="P388" s="35" t="str">
        <f>IF(N372&lt;&gt;"",IF(INDEX(BDHK2,MATCH(N372,DiemHKII!$B$4:$B$58,0),INDEX($Y$7:$AB$20,MATCH(O388,$Y$7:$Y$20,0),$Z$6))&lt;&gt;"",INDEX(BDHK2,MATCH(N372,DiemHKII!$B$4:$B$58,0),INDEX($Y$7:$AB$20,MATCH(O388,$Y$7:$Y$20,0),$Z$6)),"/"),"")</f>
        <v/>
      </c>
      <c r="Q388" s="35" t="str">
        <f>IF(N372&lt;&gt;"",IF(INDEX(BDHK2,MATCH(N372,DiemHKII!$B$4:$B$58,0),INDEX($Y$7:$AB$20,MATCH(O388,$Y$7:$Y$20,0),$AA$6))&lt;&gt;"",INDEX(BDHK2,MATCH(N372,DiemHKII!$B$4:$B$58,0),INDEX($Y$7:$AB$20,MATCH(O388,$Y$7:$Y$20,0),$AA$6)),"/"),"")</f>
        <v/>
      </c>
      <c r="R388" s="35" t="str">
        <f>IF(N372&lt;&gt;"",IF(INDEX(BDHK2,MATCH(N372,DiemHKII!$B$4:$B$58,0),INDEX($Y$7:$AB$20,MATCH(O388,$Y$7:$Y$20,0),$AB$6))&lt;&gt;"",INDEX(BDHK2,MATCH(N372,DiemHKII!$B$4:$B$58,0),INDEX($Y$7:$AB$20,MATCH(O388,$Y$7:$Y$20,0),$AB$6)),"/"),"")</f>
        <v/>
      </c>
      <c r="S388" s="88"/>
    </row>
    <row r="389" spans="1:19" ht="15.6" customHeight="1">
      <c r="A389" s="88"/>
      <c r="B389" s="79" t="s">
        <v>208</v>
      </c>
      <c r="C389" s="81" t="s">
        <v>217</v>
      </c>
      <c r="D389" s="80" t="str">
        <f>IF(B372&lt;&gt;"",IF(INDEX('TH CANAM'!$A$9:$BF$63,MATCH(B372,'TH CANAM'!$A$9:$A$63,0),46)&lt;&gt;"",INDEX('TH CANAM'!$A$9:$BF$63,MATCH(B372,'TH CANAM'!$A$9:$A$63,0),46),"/"),"")</f>
        <v/>
      </c>
      <c r="E389" s="80" t="str">
        <f>IF(B372&lt;&gt;"",IF(INDEX('TH CANAM'!$A$9:$BF$63,MATCH(B372,'TH CANAM'!$A$9:$A$63,0),47)&lt;&gt;"",INDEX('TH CANAM'!$A$9:$BF$63,MATCH(B372,'TH CANAM'!$A$9:$A$63,0),47),"/"),"")</f>
        <v/>
      </c>
      <c r="F389" s="80" t="str">
        <f>IF(B372&lt;&gt;"",IF(INDEX('TH CANAM'!$A$9:$BF$63,MATCH(B372,'TH CANAM'!$A$9:$A$63,0),48)&lt;&gt;"",INDEX('TH CANAM'!$A$9:$BF$63,MATCH(B372,'TH CANAM'!$A$9:$A$63,0),48),"/"),"")</f>
        <v/>
      </c>
      <c r="G389" s="88"/>
      <c r="H389" s="79" t="s">
        <v>208</v>
      </c>
      <c r="I389" s="81" t="s">
        <v>217</v>
      </c>
      <c r="J389" s="80" t="str">
        <f>IF(H372&lt;&gt;"",IF(INDEX('TH CANAM'!$A$9:$BF$63,MATCH(H372,'TH CANAM'!$A$9:$A$63,0),46)&lt;&gt;"",INDEX('TH CANAM'!$A$9:$BF$63,MATCH(H372,'TH CANAM'!$A$9:$A$63,0),46),"/"),"")</f>
        <v/>
      </c>
      <c r="K389" s="80" t="str">
        <f>IF(H372&lt;&gt;"",IF(INDEX('TH CANAM'!$A$9:$BF$63,MATCH(H372,'TH CANAM'!$A$9:$A$63,0),47)&lt;&gt;"",INDEX('TH CANAM'!$A$9:$BF$63,MATCH(H372,'TH CANAM'!$A$9:$A$63,0),47),"/"),"")</f>
        <v/>
      </c>
      <c r="L389" s="80" t="str">
        <f>IF(H372&lt;&gt;"",IF(INDEX('TH CANAM'!$A$9:$BF$63,MATCH(H372,'TH CANAM'!$A$9:$A$63,0),48)&lt;&gt;"",INDEX('TH CANAM'!$A$9:$BF$63,MATCH(H372,'TH CANAM'!$A$9:$A$63,0),48),"/"),"")</f>
        <v/>
      </c>
      <c r="M389" s="88"/>
      <c r="N389" s="79" t="s">
        <v>208</v>
      </c>
      <c r="O389" s="81" t="s">
        <v>217</v>
      </c>
      <c r="P389" s="80" t="str">
        <f>IF(N372&lt;&gt;"",IF(INDEX('TH CANAM'!$A$9:$BF$63,MATCH(N372,'TH CANAM'!$A$9:$A$63,0),46)&lt;&gt;"",INDEX('TH CANAM'!$A$9:$BF$63,MATCH(N372,'TH CANAM'!$A$9:$A$63,0),46),"/"),"")</f>
        <v/>
      </c>
      <c r="Q389" s="80" t="str">
        <f>IF(N372&lt;&gt;"",IF(INDEX('TH CANAM'!$A$9:$BF$63,MATCH(N372,'TH CANAM'!$A$9:$A$63,0),47)&lt;&gt;"",INDEX('TH CANAM'!$A$9:$BF$63,MATCH(N372,'TH CANAM'!$A$9:$A$63,0),47),"/"),"")</f>
        <v/>
      </c>
      <c r="R389" s="80" t="str">
        <f>IF(N372&lt;&gt;"",IF(INDEX('TH CANAM'!$A$9:$BF$63,MATCH(N372,'TH CANAM'!$A$9:$A$63,0),48)&lt;&gt;"",INDEX('TH CANAM'!$A$9:$BF$63,MATCH(N372,'TH CANAM'!$A$9:$A$63,0),48),"/"),"")</f>
        <v/>
      </c>
      <c r="S389" s="88"/>
    </row>
    <row r="390" spans="1:19" ht="15.6" customHeight="1">
      <c r="A390" s="88"/>
      <c r="B390" s="79" t="s">
        <v>209</v>
      </c>
      <c r="C390" s="82" t="s">
        <v>36</v>
      </c>
      <c r="D390" s="35" t="str">
        <f>IF(B372&lt;&gt;"",IF(INDEX('TH CANAM'!$A$9:$BF$63,MATCH(B372,'TH CANAM'!$A$9:$A$63,0),49)&lt;&gt;"",INDEX('TH CANAM'!$A$9:$BF$63,MATCH(B372,'TH CANAM'!$A$9:$A$63,0),49),"/"),"")</f>
        <v/>
      </c>
      <c r="E390" s="35" t="str">
        <f>IF(B372&lt;&gt;"",IF(INDEX('TH CANAM'!$A$9:$BF$63,MATCH(B372,'TH CANAM'!$A$9:$A$63,0),50)&lt;&gt;"",INDEX('TH CANAM'!$A$9:$BF$63,MATCH(B372,'TH CANAM'!$A$9:$A$63,0),50),"/"),"")</f>
        <v/>
      </c>
      <c r="F390" s="35" t="str">
        <f>IF(B372&lt;&gt;"",IF(INDEX('TH CANAM'!$A$9:$BF$63,MATCH(B372,'TH CANAM'!$A$9:$A$63,0),51)&lt;&gt;"",INDEX('TH CANAM'!$A$9:$BF$63,MATCH(B372,'TH CANAM'!$A$9:$A$63,0),51),"/"),"")</f>
        <v/>
      </c>
      <c r="G390" s="88"/>
      <c r="H390" s="79" t="s">
        <v>209</v>
      </c>
      <c r="I390" s="82" t="s">
        <v>36</v>
      </c>
      <c r="J390" s="35" t="str">
        <f>IF(H372&lt;&gt;"",IF(INDEX('TH CANAM'!$A$9:$BF$63,MATCH(H372,'TH CANAM'!$A$9:$A$63,0),49)&lt;&gt;"",INDEX('TH CANAM'!$A$9:$BF$63,MATCH(H372,'TH CANAM'!$A$9:$A$63,0),49),"/"),"")</f>
        <v/>
      </c>
      <c r="K390" s="35" t="str">
        <f>IF(H372&lt;&gt;"",IF(INDEX('TH CANAM'!$A$9:$BF$63,MATCH(H372,'TH CANAM'!$A$9:$A$63,0),50)&lt;&gt;"",INDEX('TH CANAM'!$A$9:$BF$63,MATCH(H372,'TH CANAM'!$A$9:$A$63,0),50),"/"),"")</f>
        <v/>
      </c>
      <c r="L390" s="35" t="str">
        <f>IF(H372&lt;&gt;"",IF(INDEX('TH CANAM'!$A$9:$BF$63,MATCH(H372,'TH CANAM'!$A$9:$A$63,0),51)&lt;&gt;"",INDEX('TH CANAM'!$A$9:$BF$63,MATCH(H372,'TH CANAM'!$A$9:$A$63,0),51),"/"),"")</f>
        <v/>
      </c>
      <c r="M390" s="88"/>
      <c r="N390" s="79" t="s">
        <v>209</v>
      </c>
      <c r="O390" s="82" t="s">
        <v>36</v>
      </c>
      <c r="P390" s="35" t="str">
        <f>IF(N372&lt;&gt;"",IF(INDEX('TH CANAM'!$A$9:$BF$63,MATCH(N372,'TH CANAM'!$A$9:$A$63,0),49)&lt;&gt;"",INDEX('TH CANAM'!$A$9:$BF$63,MATCH(N372,'TH CANAM'!$A$9:$A$63,0),49),"/"),"")</f>
        <v/>
      </c>
      <c r="Q390" s="35" t="str">
        <f>IF(N372&lt;&gt;"",IF(INDEX('TH CANAM'!$A$9:$BF$63,MATCH(N372,'TH CANAM'!$A$9:$A$63,0),50)&lt;&gt;"",INDEX('TH CANAM'!$A$9:$BF$63,MATCH(N372,'TH CANAM'!$A$9:$A$63,0),50),"/"),"")</f>
        <v/>
      </c>
      <c r="R390" s="35" t="str">
        <f>IF(N372&lt;&gt;"",IF(INDEX('TH CANAM'!$A$9:$BF$63,MATCH(N372,'TH CANAM'!$A$9:$A$63,0),51)&lt;&gt;"",INDEX('TH CANAM'!$A$9:$BF$63,MATCH(N372,'TH CANAM'!$A$9:$A$63,0),51),"/"),"")</f>
        <v/>
      </c>
      <c r="S390" s="88"/>
    </row>
    <row r="391" spans="1:19" ht="15.6" customHeight="1">
      <c r="A391" s="88"/>
      <c r="B391" s="79" t="s">
        <v>210</v>
      </c>
      <c r="C391" s="82" t="s">
        <v>37</v>
      </c>
      <c r="D391" s="35" t="str">
        <f>IF(B372&lt;&gt;"",IF(INDEX('TH CANAM'!$A$9:$BF$63,MATCH(B372,'TH CANAM'!$A$9:$A$63,0),52)&lt;&gt;"",INDEX('TH CANAM'!$A$9:$BF$63,MATCH(B372,'TH CANAM'!$A$9:$A$63,0),52),"/"),"")</f>
        <v/>
      </c>
      <c r="E391" s="35" t="str">
        <f>IF(B372&lt;&gt;"",IF(INDEX('TH CANAM'!$A$9:$BF$63,MATCH(B372,'TH CANAM'!$A$9:$A$63,0),53)&lt;&gt;"",INDEX('TH CANAM'!$A$9:$BF$63,MATCH(B372,'TH CANAM'!$A$9:$A$63,0),53),"/"),"")</f>
        <v/>
      </c>
      <c r="F391" s="35" t="str">
        <f>IF(B372&lt;&gt;"",IF(INDEX('TH CANAM'!$A$9:$BF$63,MATCH(B372,'TH CANAM'!$A$9:$A$63,0),54)&lt;&gt;"",INDEX('TH CANAM'!$A$9:$BF$63,MATCH(B372,'TH CANAM'!$A$9:$A$63,0),54),"/"),"")</f>
        <v/>
      </c>
      <c r="G391" s="88"/>
      <c r="H391" s="79" t="s">
        <v>210</v>
      </c>
      <c r="I391" s="82" t="s">
        <v>37</v>
      </c>
      <c r="J391" s="35" t="str">
        <f>IF(H372&lt;&gt;"",IF(INDEX('TH CANAM'!$A$9:$BF$63,MATCH(H372,'TH CANAM'!$A$9:$A$63,0),52)&lt;&gt;"",INDEX('TH CANAM'!$A$9:$BF$63,MATCH(H372,'TH CANAM'!$A$9:$A$63,0),52),"/"),"")</f>
        <v/>
      </c>
      <c r="K391" s="35" t="str">
        <f>IF(H372&lt;&gt;"",IF(INDEX('TH CANAM'!$A$9:$BF$63,MATCH(H372,'TH CANAM'!$A$9:$A$63,0),53)&lt;&gt;"",INDEX('TH CANAM'!$A$9:$BF$63,MATCH(H372,'TH CANAM'!$A$9:$A$63,0),53),"/"),"")</f>
        <v/>
      </c>
      <c r="L391" s="35" t="str">
        <f>IF(H372&lt;&gt;"",IF(INDEX('TH CANAM'!$A$9:$BF$63,MATCH(H372,'TH CANAM'!$A$9:$A$63,0),54)&lt;&gt;"",INDEX('TH CANAM'!$A$9:$BF$63,MATCH(H372,'TH CANAM'!$A$9:$A$63,0),54),"/"),"")</f>
        <v/>
      </c>
      <c r="M391" s="88"/>
      <c r="N391" s="79" t="s">
        <v>210</v>
      </c>
      <c r="O391" s="82" t="s">
        <v>37</v>
      </c>
      <c r="P391" s="35" t="str">
        <f>IF(N372&lt;&gt;"",IF(INDEX('TH CANAM'!$A$9:$BF$63,MATCH(N372,'TH CANAM'!$A$9:$A$63,0),52)&lt;&gt;"",INDEX('TH CANAM'!$A$9:$BF$63,MATCH(N372,'TH CANAM'!$A$9:$A$63,0),52),"/"),"")</f>
        <v/>
      </c>
      <c r="Q391" s="35" t="str">
        <f>IF(N372&lt;&gt;"",IF(INDEX('TH CANAM'!$A$9:$BF$63,MATCH(N372,'TH CANAM'!$A$9:$A$63,0),53)&lt;&gt;"",INDEX('TH CANAM'!$A$9:$BF$63,MATCH(N372,'TH CANAM'!$A$9:$A$63,0),53),"/"),"")</f>
        <v/>
      </c>
      <c r="R391" s="35" t="str">
        <f>IF(N372&lt;&gt;"",IF(INDEX('TH CANAM'!$A$9:$BF$63,MATCH(N372,'TH CANAM'!$A$9:$A$63,0),54)&lt;&gt;"",INDEX('TH CANAM'!$A$9:$BF$63,MATCH(N372,'TH CANAM'!$A$9:$A$63,0),54),"/"),"")</f>
        <v/>
      </c>
      <c r="S391" s="88"/>
    </row>
    <row r="392" spans="1:19" ht="15.6" customHeight="1">
      <c r="A392" s="88"/>
      <c r="B392" s="79" t="s">
        <v>211</v>
      </c>
      <c r="C392" s="82" t="s">
        <v>25</v>
      </c>
      <c r="D392" s="35" t="str">
        <f>IF(B372&lt;&gt;"",IF(INDEX('TH CANAM'!$A$9:$BF$63,MATCH(B372,'TH CANAM'!$A$9:$A$63,0),57)&lt;&gt;"",INDEX('TH CANAM'!$A$9:$BF$63,MATCH(B372,'TH CANAM'!$A$9:$A$63,0),57),"/"),"")</f>
        <v/>
      </c>
      <c r="E392" s="35" t="str">
        <f>IF(B372&lt;&gt;"",IF(INDEX('TH CANAM'!$A$9:$BF$63,MATCH(B372,'TH CANAM'!$A$9:$A$63,0),58)&lt;&gt;"",INDEX('TH CANAM'!$A$9:$BF$63,MATCH(B372,'TH CANAM'!$A$9:$A$63,0),58),"/"),"")</f>
        <v/>
      </c>
      <c r="F392" s="35" t="str">
        <f>IF(B372&lt;&gt;"",IF(INDEX('TH CANAM'!$A$9:$BF$63,MATCH(B372,'TH CANAM'!$A$9:$A$63,0),55)&lt;&gt;"",INDEX('TH CANAM'!$A$9:$BF$63,MATCH(B372,'TH CANAM'!$A$9:$A$63,0),55),"/"),"")</f>
        <v/>
      </c>
      <c r="G392" s="88"/>
      <c r="H392" s="79" t="s">
        <v>211</v>
      </c>
      <c r="I392" s="82" t="s">
        <v>25</v>
      </c>
      <c r="J392" s="35" t="str">
        <f>IF(H372&lt;&gt;"",IF(INDEX('TH CANAM'!$A$9:$BF$63,MATCH(H372,'TH CANAM'!$A$9:$A$63,0),57)&lt;&gt;"",INDEX('TH CANAM'!$A$9:$BF$63,MATCH(H372,'TH CANAM'!$A$9:$A$63,0),57),"/"),"")</f>
        <v/>
      </c>
      <c r="K392" s="35" t="str">
        <f>IF(H372&lt;&gt;"",IF(INDEX('TH CANAM'!$A$9:$BF$63,MATCH(H372,'TH CANAM'!$A$9:$A$63,0),58)&lt;&gt;"",INDEX('TH CANAM'!$A$9:$BF$63,MATCH(H372,'TH CANAM'!$A$9:$A$63,0),58),"/"),"")</f>
        <v/>
      </c>
      <c r="L392" s="35" t="str">
        <f>IF(H372&lt;&gt;"",IF(INDEX('TH CANAM'!$A$9:$BF$63,MATCH(H372,'TH CANAM'!$A$9:$A$63,0),55)&lt;&gt;"",INDEX('TH CANAM'!$A$9:$BF$63,MATCH(H372,'TH CANAM'!$A$9:$A$63,0),55),"/"),"")</f>
        <v/>
      </c>
      <c r="M392" s="88"/>
      <c r="N392" s="79" t="s">
        <v>211</v>
      </c>
      <c r="O392" s="82" t="s">
        <v>25</v>
      </c>
      <c r="P392" s="35" t="str">
        <f>IF(N372&lt;&gt;"",IF(INDEX('TH CANAM'!$A$9:$BF$63,MATCH(N372,'TH CANAM'!$A$9:$A$63,0),57)&lt;&gt;"",INDEX('TH CANAM'!$A$9:$BF$63,MATCH(N372,'TH CANAM'!$A$9:$A$63,0),57),"/"),"")</f>
        <v/>
      </c>
      <c r="Q392" s="35" t="str">
        <f>IF(N372&lt;&gt;"",IF(INDEX('TH CANAM'!$A$9:$BF$63,MATCH(N372,'TH CANAM'!$A$9:$A$63,0),58)&lt;&gt;"",INDEX('TH CANAM'!$A$9:$BF$63,MATCH(N372,'TH CANAM'!$A$9:$A$63,0),58),"/"),"")</f>
        <v/>
      </c>
      <c r="R392" s="35" t="str">
        <f>IF(N372&lt;&gt;"",IF(INDEX('TH CANAM'!$A$9:$BF$63,MATCH(N372,'TH CANAM'!$A$9:$A$63,0),55)&lt;&gt;"",INDEX('TH CANAM'!$A$9:$BF$63,MATCH(N372,'TH CANAM'!$A$9:$A$63,0),55),"/"),"")</f>
        <v/>
      </c>
      <c r="S392" s="88"/>
    </row>
    <row r="393" spans="1:19" s="251" customFormat="1" ht="15.75" customHeight="1">
      <c r="A393" s="89"/>
      <c r="B393" s="1146" t="s">
        <v>219</v>
      </c>
      <c r="C393" s="1147"/>
      <c r="D393" s="1147"/>
      <c r="E393" s="1147"/>
      <c r="F393" s="1148"/>
      <c r="G393" s="89"/>
      <c r="H393" s="1146" t="s">
        <v>219</v>
      </c>
      <c r="I393" s="1147"/>
      <c r="J393" s="1147"/>
      <c r="K393" s="1147"/>
      <c r="L393" s="1148"/>
      <c r="M393" s="89"/>
      <c r="N393" s="1146" t="s">
        <v>219</v>
      </c>
      <c r="O393" s="1147"/>
      <c r="P393" s="1147"/>
      <c r="Q393" s="1147"/>
      <c r="R393" s="1148"/>
      <c r="S393" s="89"/>
    </row>
    <row r="394" spans="1:19" s="251" customFormat="1" ht="15.6" customHeight="1">
      <c r="A394" s="89"/>
      <c r="B394" s="1143" t="str">
        <f>IF(B372&lt;&gt;"",IF(INDEX(BDHK2,MATCH(B372,DiemHKII!$B$4:$B$58,0),137)&lt;&gt;""," - "&amp;INDEX(BDHK2,MATCH(B372,DiemHKII!$B$4:$B$58,0),137),""),"")</f>
        <v/>
      </c>
      <c r="C394" s="1144"/>
      <c r="D394" s="1144"/>
      <c r="E394" s="1144"/>
      <c r="F394" s="1145"/>
      <c r="G394" s="89"/>
      <c r="H394" s="1143" t="str">
        <f>IF(H372&lt;&gt;"",IF(INDEX(BDHK2,MATCH(H372,DiemHKII!$B$4:$B$58,0),137)&lt;&gt;""," - "&amp;INDEX(BDHK2,MATCH(H372,DiemHKII!$B$4:$B$58,0),137),""),"")</f>
        <v/>
      </c>
      <c r="I394" s="1144"/>
      <c r="J394" s="1144"/>
      <c r="K394" s="1144"/>
      <c r="L394" s="1145"/>
      <c r="M394" s="89"/>
      <c r="N394" s="1143" t="str">
        <f>IF(N372&lt;&gt;"",IF(INDEX(BDHK2,MATCH(N372,DiemHKII!$B$4:$B$58,0),137)&lt;&gt;""," - "&amp;INDEX(BDHK2,MATCH(N372,DiemHKII!$B$4:$B$58,0),137),""),"")</f>
        <v/>
      </c>
      <c r="O394" s="1144"/>
      <c r="P394" s="1144"/>
      <c r="Q394" s="1144"/>
      <c r="R394" s="1145"/>
      <c r="S394" s="89"/>
    </row>
    <row r="395" spans="1:19" s="251" customFormat="1" ht="15.6" customHeight="1">
      <c r="A395" s="89"/>
      <c r="B395" s="1143" t="str">
        <f>IF(B372&lt;&gt;"",IF(INDEX(BDHK2,MATCH(B372,DiemHKII!$B$4:$B$58,0),138)&lt;&gt;""," - "&amp;INDEX(BDHK2,MATCH(B372,DiemHKII!$B$4:$B$58,0),138),""),"")</f>
        <v/>
      </c>
      <c r="C395" s="1144"/>
      <c r="D395" s="1144"/>
      <c r="E395" s="1144"/>
      <c r="F395" s="1145"/>
      <c r="G395" s="89"/>
      <c r="H395" s="1143" t="str">
        <f>IF(H372&lt;&gt;"",IF(INDEX(BDHK2,MATCH(H372,DiemHKII!$B$4:$B$58,0),138)&lt;&gt;""," - "&amp;INDEX(BDHK2,MATCH(H372,DiemHKII!$B$4:$B$58,0),138),""),"")</f>
        <v/>
      </c>
      <c r="I395" s="1144"/>
      <c r="J395" s="1144"/>
      <c r="K395" s="1144"/>
      <c r="L395" s="1145"/>
      <c r="M395" s="89"/>
      <c r="N395" s="1143" t="str">
        <f>IF(N372&lt;&gt;"",IF(INDEX(BDHK2,MATCH(N372,DiemHKII!$B$4:$B$58,0),138)&lt;&gt;""," - "&amp;INDEX(BDHK2,MATCH(N372,DiemHKII!$B$4:$B$58,0),138),""),"")</f>
        <v/>
      </c>
      <c r="O395" s="1144"/>
      <c r="P395" s="1144"/>
      <c r="Q395" s="1144"/>
      <c r="R395" s="1145"/>
      <c r="S395" s="89"/>
    </row>
    <row r="396" spans="1:19" s="251" customFormat="1" ht="15.6" customHeight="1">
      <c r="A396" s="89"/>
      <c r="B396" s="1143" t="str">
        <f>IF(B372&lt;&gt;"",IF(INDEX(BDHK2,MATCH(B372,DiemHKII!$B$4:$B$58,0),139)&lt;&gt;""," - "&amp;INDEX(BDHK2,MATCH(B372,DiemHKII!$B$4:$B$58,0),139),""),"")</f>
        <v/>
      </c>
      <c r="C396" s="1144"/>
      <c r="D396" s="1144"/>
      <c r="E396" s="1144"/>
      <c r="F396" s="1145"/>
      <c r="G396" s="89"/>
      <c r="H396" s="1143" t="str">
        <f>IF(H372&lt;&gt;"",IF(INDEX(BDHK2,MATCH(H372,DiemHKII!$B$4:$B$58,0),139)&lt;&gt;""," - "&amp;INDEX(BDHK2,MATCH(H372,DiemHKII!$B$4:$B$58,0),139),""),"")</f>
        <v/>
      </c>
      <c r="I396" s="1144"/>
      <c r="J396" s="1144"/>
      <c r="K396" s="1144"/>
      <c r="L396" s="1145"/>
      <c r="M396" s="89"/>
      <c r="N396" s="1143" t="str">
        <f>IF(N372&lt;&gt;"",IF(INDEX(BDHK2,MATCH(N372,DiemHKII!$B$4:$B$58,0),139)&lt;&gt;""," - "&amp;INDEX(BDHK2,MATCH(N372,DiemHKII!$B$4:$B$58,0),139),""),"")</f>
        <v/>
      </c>
      <c r="O396" s="1144"/>
      <c r="P396" s="1144"/>
      <c r="Q396" s="1144"/>
      <c r="R396" s="1145"/>
      <c r="S396" s="89"/>
    </row>
    <row r="397" spans="1:19" s="251" customFormat="1" ht="15.6" customHeight="1">
      <c r="A397" s="89"/>
      <c r="B397" s="1143" t="str">
        <f>IF(B372&lt;&gt;"",IF(INDEX(BDHK2,MATCH(B372,DiemHKII!$B$4:$B$58,0),140)&lt;&gt;""," - "&amp;INDEX(BDHK2,MATCH(B372,DiemHKII!$B$4:$B$58,0),140),""),"")</f>
        <v/>
      </c>
      <c r="C397" s="1144"/>
      <c r="D397" s="1144"/>
      <c r="E397" s="1144"/>
      <c r="F397" s="1145"/>
      <c r="G397" s="89"/>
      <c r="H397" s="1143" t="str">
        <f>IF(H372&lt;&gt;"",IF(INDEX(BDHK2,MATCH(H372,DiemHKII!$B$4:$B$58,0),140)&lt;&gt;""," - "&amp;INDEX(BDHK2,MATCH(H372,DiemHKII!$B$4:$B$58,0),140),""),"")</f>
        <v/>
      </c>
      <c r="I397" s="1144"/>
      <c r="J397" s="1144"/>
      <c r="K397" s="1144"/>
      <c r="L397" s="1145"/>
      <c r="M397" s="89"/>
      <c r="N397" s="1143" t="str">
        <f>IF(N372&lt;&gt;"",IF(INDEX(BDHK2,MATCH(N372,DiemHKII!$B$4:$B$58,0),140)&lt;&gt;""," - "&amp;INDEX(BDHK2,MATCH(N372,DiemHKII!$B$4:$B$58,0),140),""),"")</f>
        <v/>
      </c>
      <c r="O397" s="1144"/>
      <c r="P397" s="1144"/>
      <c r="Q397" s="1144"/>
      <c r="R397" s="1145"/>
      <c r="S397" s="89"/>
    </row>
    <row r="398" spans="1:19" ht="8.25" customHeight="1">
      <c r="A398" s="88"/>
      <c r="B398" s="83"/>
      <c r="C398" s="84"/>
      <c r="D398" s="84"/>
      <c r="E398" s="84"/>
      <c r="F398" s="85"/>
      <c r="G398" s="88"/>
      <c r="H398" s="83"/>
      <c r="I398" s="84"/>
      <c r="J398" s="84"/>
      <c r="K398" s="84"/>
      <c r="L398" s="85"/>
      <c r="M398" s="88"/>
      <c r="N398" s="83"/>
      <c r="O398" s="84"/>
      <c r="P398" s="84"/>
      <c r="Q398" s="84"/>
      <c r="R398" s="85"/>
      <c r="S398" s="88"/>
    </row>
    <row r="399" spans="1:19" ht="6.75" customHeight="1">
      <c r="A399" s="88"/>
      <c r="B399" s="87"/>
      <c r="C399" s="87"/>
      <c r="D399" s="1135"/>
      <c r="E399" s="1135"/>
      <c r="F399" s="1135"/>
      <c r="G399" s="88"/>
      <c r="H399" s="87"/>
      <c r="I399" s="87"/>
      <c r="J399" s="1135"/>
      <c r="K399" s="1135"/>
      <c r="L399" s="1135"/>
      <c r="M399" s="88"/>
      <c r="N399" s="87"/>
      <c r="O399" s="87"/>
      <c r="P399" s="1135"/>
      <c r="Q399" s="1135"/>
      <c r="R399" s="1135"/>
      <c r="S399" s="88"/>
    </row>
    <row r="400" spans="1:19" ht="6.75" customHeight="1">
      <c r="A400" s="88"/>
      <c r="B400" s="87"/>
      <c r="C400" s="87"/>
      <c r="D400" s="1135"/>
      <c r="E400" s="1135"/>
      <c r="F400" s="1135"/>
      <c r="G400" s="88"/>
      <c r="H400" s="87"/>
      <c r="I400" s="87"/>
      <c r="J400" s="1135"/>
      <c r="K400" s="1135"/>
      <c r="L400" s="1135"/>
      <c r="M400" s="88"/>
      <c r="N400" s="87"/>
      <c r="O400" s="87"/>
      <c r="P400" s="1135"/>
      <c r="Q400" s="1135"/>
      <c r="R400" s="1135"/>
      <c r="S400" s="88"/>
    </row>
    <row r="401" spans="1:19" ht="18" customHeight="1">
      <c r="A401" s="88"/>
      <c r="B401" s="477" t="str">
        <f>IF(N372="","",IF(N372&lt;MAX(DiemHKII!$B$4:$B$58),N372+1,""))</f>
        <v/>
      </c>
      <c r="C401" s="1140" t="str">
        <f>IF(B401="","",INDEX(DiemHKII!$E$4:$E$58,MATCH(B401,DiemHKII!$B$4:$B$58,0),1)&amp;" "&amp;INDEX(DiemHKII!$F$4:$F$58,MATCH(B401,DiemHKII!$B$4:$B$58,0),1))</f>
        <v/>
      </c>
      <c r="D401" s="1141"/>
      <c r="E401" s="1142"/>
      <c r="F401" s="86" t="str">
        <f>IF('Huong dan'!$C$3="","",'Huong dan'!$C$3)</f>
        <v>12A1</v>
      </c>
      <c r="G401" s="88"/>
      <c r="H401" s="477" t="str">
        <f>IF(B401="","",IF(B401&lt;MAX(DiemHKII!$B$4:$B$58),B401+1,""))</f>
        <v/>
      </c>
      <c r="I401" s="1140" t="str">
        <f>IF(H401="","",INDEX(DiemHKII!$E$4:$E$58,MATCH(H401,DiemHKII!$B$4:$B$58,0),1)&amp;" "&amp;INDEX(DiemHKII!$F$4:$F$58,MATCH(H401,DiemHKII!$B$4:$B$58,0),1))</f>
        <v/>
      </c>
      <c r="J401" s="1141"/>
      <c r="K401" s="1142"/>
      <c r="L401" s="86" t="str">
        <f>IF('Huong dan'!$C$3="","",'Huong dan'!$C$3)</f>
        <v>12A1</v>
      </c>
      <c r="M401" s="88"/>
      <c r="N401" s="477" t="str">
        <f>IF(H401="","",IF(H401&lt;MAX(DiemHKII!$B$4:$B$58),H401+1,""))</f>
        <v/>
      </c>
      <c r="O401" s="1140" t="str">
        <f>IF(N401="","",INDEX(DiemHKII!$E$4:$E$58,MATCH(N401,DiemHKII!$B$4:$B$58,0),1)&amp;" "&amp;INDEX(DiemHKII!$F$4:$F$58,MATCH(N401,DiemHKII!$B$4:$B$58,0),1))</f>
        <v/>
      </c>
      <c r="P401" s="1141"/>
      <c r="Q401" s="1142"/>
      <c r="R401" s="86" t="str">
        <f>IF('Huong dan'!$C$3="","",'Huong dan'!$C$3)</f>
        <v>12A1</v>
      </c>
      <c r="S401" s="88"/>
    </row>
    <row r="402" spans="1:19" ht="18.75" customHeight="1">
      <c r="A402" s="88"/>
      <c r="B402" s="1136" t="str">
        <f>" Sinh ngày: "&amp;IF(B401="","",INDEX(DiemHKII!$G$4:$G$58,MATCH(B401,DiemHKII!$B$4:$B$58,0),1))</f>
        <v xml:space="preserve"> Sinh ngày: </v>
      </c>
      <c r="C402" s="1137"/>
      <c r="D402" s="1137"/>
      <c r="E402" s="1138" t="str">
        <f>IF(B401="","","NS: "&amp;INDEX(DiemHKII!$H$4:$H$58,MATCH(B401,DiemHKII!$B$4:$B$58,0),1))</f>
        <v/>
      </c>
      <c r="F402" s="1139"/>
      <c r="G402" s="88"/>
      <c r="H402" s="1136" t="str">
        <f>" Sinh ngày: "&amp;IF(H401="","",INDEX(DiemHKII!$G$4:$G$58,MATCH(H401,DiemHKII!$B$4:$B$58,0),1))</f>
        <v xml:space="preserve"> Sinh ngày: </v>
      </c>
      <c r="I402" s="1137"/>
      <c r="J402" s="1137"/>
      <c r="K402" s="1138" t="str">
        <f>IF(H401="","","NS: "&amp;INDEX(DiemHKII!$H$4:$H$58,MATCH(H401,DiemHKII!$B$4:$B$58,0),1))</f>
        <v/>
      </c>
      <c r="L402" s="1139"/>
      <c r="M402" s="88"/>
      <c r="N402" s="1136" t="str">
        <f>" Sinh ngày: "&amp;IF(N401="","",INDEX(DiemHKII!$G$4:$G$58,MATCH(N401,DiemHKII!$B$4:$B$58,0),1))</f>
        <v xml:space="preserve"> Sinh ngày: </v>
      </c>
      <c r="O402" s="1137"/>
      <c r="P402" s="1137"/>
      <c r="Q402" s="1138" t="str">
        <f>IF(N401="","","NS: "&amp;INDEX(DiemHKII!$H$4:$H$58,MATCH(N401,DiemHKII!$B$4:$B$58,0),1))</f>
        <v/>
      </c>
      <c r="R402" s="1139"/>
      <c r="S402" s="88"/>
    </row>
    <row r="403" spans="1:19" ht="15.75" customHeight="1">
      <c r="A403" s="88"/>
      <c r="B403" s="381" t="s">
        <v>0</v>
      </c>
      <c r="C403" s="381" t="s">
        <v>59</v>
      </c>
      <c r="D403" s="381" t="s">
        <v>73</v>
      </c>
      <c r="E403" s="381" t="s">
        <v>176</v>
      </c>
      <c r="F403" s="381" t="s">
        <v>98</v>
      </c>
      <c r="G403" s="88"/>
      <c r="H403" s="381" t="s">
        <v>0</v>
      </c>
      <c r="I403" s="381" t="s">
        <v>59</v>
      </c>
      <c r="J403" s="381" t="s">
        <v>73</v>
      </c>
      <c r="K403" s="381" t="s">
        <v>176</v>
      </c>
      <c r="L403" s="381" t="s">
        <v>98</v>
      </c>
      <c r="M403" s="88"/>
      <c r="N403" s="381" t="s">
        <v>0</v>
      </c>
      <c r="O403" s="381" t="s">
        <v>59</v>
      </c>
      <c r="P403" s="381" t="s">
        <v>73</v>
      </c>
      <c r="Q403" s="381" t="s">
        <v>176</v>
      </c>
      <c r="R403" s="381" t="s">
        <v>98</v>
      </c>
      <c r="S403" s="88"/>
    </row>
    <row r="404" spans="1:19" ht="15.6" customHeight="1">
      <c r="A404" s="88"/>
      <c r="B404" s="79" t="s">
        <v>191</v>
      </c>
      <c r="C404" s="81" t="s">
        <v>26</v>
      </c>
      <c r="D404" s="35" t="str">
        <f>IF(B401&lt;&gt;"",IF(INDEX(BDHK2,MATCH(B401,DiemHKII!$B$4:$B$58,0),INDEX($Y$7:$AB$20,MATCH(C404,$Y$7:$Y$20,0),$Z$6))&lt;&gt;"",INDEX(BDHK2,MATCH(B401,DiemHKII!$B$4:$B$58,0),INDEX($Y$7:$AB$20,MATCH(C404,$Y$7:$Y$20,0),$Z$6)),"/"),"")</f>
        <v/>
      </c>
      <c r="E404" s="35" t="str">
        <f>IF(B401&lt;&gt;"",IF(INDEX(BDHK2,MATCH(B401,DiemHKII!$B$4:$B$58,0),INDEX($Y$7:$AB$20,MATCH(C404,$Y$7:$Y$20,0),$AA$6))&lt;&gt;"",INDEX(BDHK2,MATCH(B401,DiemHKII!$B$4:$B$58,0),INDEX($Y$7:$AB$20,MATCH(C404,$Y$7:$Y$20,0),$AA$6)),"/"),"")</f>
        <v/>
      </c>
      <c r="F404" s="35" t="str">
        <f>IF(B401&lt;&gt;"",IF(INDEX(BDHK2,MATCH(B401,DiemHKII!$B$4:$B$58,0),INDEX($Y$7:$AB$20,MATCH(C404,$Y$7:$Y$20,0),$AB$6))&lt;&gt;"",INDEX(BDHK2,MATCH(B401,DiemHKII!$B$4:$B$58,0),INDEX($Y$7:$AB$20,MATCH(C404,$Y$7:$Y$20,0),$AB$6)),"/"),"")</f>
        <v/>
      </c>
      <c r="G404" s="88"/>
      <c r="H404" s="79" t="s">
        <v>191</v>
      </c>
      <c r="I404" s="81" t="s">
        <v>26</v>
      </c>
      <c r="J404" s="35" t="str">
        <f>IF(H401&lt;&gt;"",IF(INDEX(BDHK2,MATCH(H401,DiemHKII!$B$4:$B$58,0),INDEX($Y$7:$AB$20,MATCH(I404,$Y$7:$Y$20,0),$Z$6))&lt;&gt;"",INDEX(BDHK2,MATCH(H401,DiemHKII!$B$4:$B$58,0),INDEX($Y$7:$AB$20,MATCH(I404,$Y$7:$Y$20,0),$Z$6)),"/"),"")</f>
        <v/>
      </c>
      <c r="K404" s="35" t="str">
        <f>IF(H401&lt;&gt;"",IF(INDEX(BDHK2,MATCH(H401,DiemHKII!$B$4:$B$58,0),INDEX($Y$7:$AB$20,MATCH(I404,$Y$7:$Y$20,0),$AA$6))&lt;&gt;"",INDEX(BDHK2,MATCH(H401,DiemHKII!$B$4:$B$58,0),INDEX($Y$7:$AB$20,MATCH(I404,$Y$7:$Y$20,0),$AA$6)),"/"),"")</f>
        <v/>
      </c>
      <c r="L404" s="35" t="str">
        <f>IF(H401&lt;&gt;"",IF(INDEX(BDHK2,MATCH(H401,DiemHKII!$B$4:$B$58,0),INDEX($Y$7:$AB$20,MATCH(I404,$Y$7:$Y$20,0),$AB$6))&lt;&gt;"",INDEX(BDHK2,MATCH(H401,DiemHKII!$B$4:$B$58,0),INDEX($Y$7:$AB$20,MATCH(I404,$Y$7:$Y$20,0),$AB$6)),"/"),"")</f>
        <v/>
      </c>
      <c r="M404" s="88"/>
      <c r="N404" s="79" t="s">
        <v>191</v>
      </c>
      <c r="O404" s="81" t="s">
        <v>26</v>
      </c>
      <c r="P404" s="35" t="str">
        <f>IF(N401&lt;&gt;"",IF(INDEX(BDHK2,MATCH(N401,DiemHKII!$B$4:$B$58,0),INDEX($Y$7:$AB$20,MATCH(O404,$Y$7:$Y$20,0),$Z$6))&lt;&gt;"",INDEX(BDHK2,MATCH(N401,DiemHKII!$B$4:$B$58,0),INDEX($Y$7:$AB$20,MATCH(O404,$Y$7:$Y$20,0),$Z$6)),"/"),"")</f>
        <v/>
      </c>
      <c r="Q404" s="35" t="str">
        <f>IF(N401&lt;&gt;"",IF(INDEX(BDHK2,MATCH(N401,DiemHKII!$B$4:$B$58,0),INDEX($Y$7:$AB$20,MATCH(O404,$Y$7:$Y$20,0),$AA$6))&lt;&gt;"",INDEX(BDHK2,MATCH(N401,DiemHKII!$B$4:$B$58,0),INDEX($Y$7:$AB$20,MATCH(O404,$Y$7:$Y$20,0),$AA$6)),"/"),"")</f>
        <v/>
      </c>
      <c r="R404" s="35" t="str">
        <f>IF(N401&lt;&gt;"",IF(INDEX(BDHK2,MATCH(N401,DiemHKII!$B$4:$B$58,0),INDEX($Y$7:$AB$20,MATCH(O404,$Y$7:$Y$20,0),$AB$6))&lt;&gt;"",INDEX(BDHK2,MATCH(N401,DiemHKII!$B$4:$B$58,0),INDEX($Y$7:$AB$20,MATCH(O404,$Y$7:$Y$20,0),$AB$6)),"/"),"")</f>
        <v/>
      </c>
      <c r="S404" s="88"/>
    </row>
    <row r="405" spans="1:19" ht="15.6" customHeight="1">
      <c r="A405" s="88"/>
      <c r="B405" s="79" t="s">
        <v>192</v>
      </c>
      <c r="C405" s="81" t="s">
        <v>27</v>
      </c>
      <c r="D405" s="35" t="str">
        <f>IF(B401&lt;&gt;"",IF(INDEX(BDHK2,MATCH(B401,DiemHKII!$B$4:$B$58,0),INDEX($Y$7:$AB$20,MATCH(C405,$Y$7:$Y$20,0),$Z$6))&lt;&gt;"",INDEX(BDHK2,MATCH(B401,DiemHKII!$B$4:$B$58,0),INDEX($Y$7:$AB$20,MATCH(C405,$Y$7:$Y$20,0),$Z$6)),"/"),"")</f>
        <v/>
      </c>
      <c r="E405" s="35" t="str">
        <f>IF(B401&lt;&gt;"",IF(INDEX(BDHK2,MATCH(B401,DiemHKII!$B$4:$B$58,0),INDEX($Y$7:$AB$20,MATCH(C405,$Y$7:$Y$20,0),$AA$6))&lt;&gt;"",INDEX(BDHK2,MATCH(B401,DiemHKII!$B$4:$B$58,0),INDEX($Y$7:$AB$20,MATCH(C405,$Y$7:$Y$20,0),$AA$6)),"/"),"")</f>
        <v/>
      </c>
      <c r="F405" s="35" t="str">
        <f>IF(B401&lt;&gt;"",IF(INDEX(BDHK2,MATCH(B401,DiemHKII!$B$4:$B$58,0),INDEX($Y$7:$AB$20,MATCH(C405,$Y$7:$Y$20,0),$AB$6))&lt;&gt;"",INDEX(BDHK2,MATCH(B401,DiemHKII!$B$4:$B$58,0),INDEX($Y$7:$AB$20,MATCH(C405,$Y$7:$Y$20,0),$AB$6)),"/"),"")</f>
        <v/>
      </c>
      <c r="G405" s="88"/>
      <c r="H405" s="79" t="s">
        <v>192</v>
      </c>
      <c r="I405" s="81" t="s">
        <v>27</v>
      </c>
      <c r="J405" s="35" t="str">
        <f>IF(H401&lt;&gt;"",IF(INDEX(BDHK2,MATCH(H401,DiemHKII!$B$4:$B$58,0),INDEX($Y$7:$AB$20,MATCH(I405,$Y$7:$Y$20,0),$Z$6))&lt;&gt;"",INDEX(BDHK2,MATCH(H401,DiemHKII!$B$4:$B$58,0),INDEX($Y$7:$AB$20,MATCH(I405,$Y$7:$Y$20,0),$Z$6)),"/"),"")</f>
        <v/>
      </c>
      <c r="K405" s="35" t="str">
        <f>IF(H401&lt;&gt;"",IF(INDEX(BDHK2,MATCH(H401,DiemHKII!$B$4:$B$58,0),INDEX($Y$7:$AB$20,MATCH(I405,$Y$7:$Y$20,0),$AA$6))&lt;&gt;"",INDEX(BDHK2,MATCH(H401,DiemHKII!$B$4:$B$58,0),INDEX($Y$7:$AB$20,MATCH(I405,$Y$7:$Y$20,0),$AA$6)),"/"),"")</f>
        <v/>
      </c>
      <c r="L405" s="35" t="str">
        <f>IF(H401&lt;&gt;"",IF(INDEX(BDHK2,MATCH(H401,DiemHKII!$B$4:$B$58,0),INDEX($Y$7:$AB$20,MATCH(I405,$Y$7:$Y$20,0),$AB$6))&lt;&gt;"",INDEX(BDHK2,MATCH(H401,DiemHKII!$B$4:$B$58,0),INDEX($Y$7:$AB$20,MATCH(I405,$Y$7:$Y$20,0),$AB$6)),"/"),"")</f>
        <v/>
      </c>
      <c r="M405" s="88"/>
      <c r="N405" s="79" t="s">
        <v>192</v>
      </c>
      <c r="O405" s="81" t="s">
        <v>27</v>
      </c>
      <c r="P405" s="35" t="str">
        <f>IF(N401&lt;&gt;"",IF(INDEX(BDHK2,MATCH(N401,DiemHKII!$B$4:$B$58,0),INDEX($Y$7:$AB$20,MATCH(O405,$Y$7:$Y$20,0),$Z$6))&lt;&gt;"",INDEX(BDHK2,MATCH(N401,DiemHKII!$B$4:$B$58,0),INDEX($Y$7:$AB$20,MATCH(O405,$Y$7:$Y$20,0),$Z$6)),"/"),"")</f>
        <v/>
      </c>
      <c r="Q405" s="35" t="str">
        <f>IF(N401&lt;&gt;"",IF(INDEX(BDHK2,MATCH(N401,DiemHKII!$B$4:$B$58,0),INDEX($Y$7:$AB$20,MATCH(O405,$Y$7:$Y$20,0),$AA$6))&lt;&gt;"",INDEX(BDHK2,MATCH(N401,DiemHKII!$B$4:$B$58,0),INDEX($Y$7:$AB$20,MATCH(O405,$Y$7:$Y$20,0),$AA$6)),"/"),"")</f>
        <v/>
      </c>
      <c r="R405" s="35" t="str">
        <f>IF(N401&lt;&gt;"",IF(INDEX(BDHK2,MATCH(N401,DiemHKII!$B$4:$B$58,0),INDEX($Y$7:$AB$20,MATCH(O405,$Y$7:$Y$20,0),$AB$6))&lt;&gt;"",INDEX(BDHK2,MATCH(N401,DiemHKII!$B$4:$B$58,0),INDEX($Y$7:$AB$20,MATCH(O405,$Y$7:$Y$20,0),$AB$6)),"/"),"")</f>
        <v/>
      </c>
      <c r="S405" s="88"/>
    </row>
    <row r="406" spans="1:19" ht="15.6" customHeight="1">
      <c r="A406" s="88"/>
      <c r="B406" s="79" t="s">
        <v>193</v>
      </c>
      <c r="C406" s="81" t="s">
        <v>28</v>
      </c>
      <c r="D406" s="35" t="str">
        <f>IF(B401&lt;&gt;"",IF(INDEX(BDHK2,MATCH(B401,DiemHKII!$B$4:$B$58,0),INDEX($Y$7:$AB$20,MATCH(C406,$Y$7:$Y$20,0),$Z$6))&lt;&gt;"",INDEX(BDHK2,MATCH(B401,DiemHKII!$B$4:$B$58,0),INDEX($Y$7:$AB$20,MATCH(C406,$Y$7:$Y$20,0),$Z$6)),"/"),"")</f>
        <v/>
      </c>
      <c r="E406" s="35" t="str">
        <f>IF(B401&lt;&gt;"",IF(INDEX(BDHK2,MATCH(B401,DiemHKII!$B$4:$B$58,0),INDEX($Y$7:$AB$20,MATCH(C406,$Y$7:$Y$20,0),$AA$6))&lt;&gt;"",INDEX(BDHK2,MATCH(B401,DiemHKII!$B$4:$B$58,0),INDEX($Y$7:$AB$20,MATCH(C406,$Y$7:$Y$20,0),$AA$6)),"/"),"")</f>
        <v/>
      </c>
      <c r="F406" s="35" t="str">
        <f>IF(B401&lt;&gt;"",IF(INDEX(BDHK2,MATCH(B401,DiemHKII!$B$4:$B$58,0),INDEX($Y$7:$AB$20,MATCH(C406,$Y$7:$Y$20,0),$AB$6))&lt;&gt;"",INDEX(BDHK2,MATCH(B401,DiemHKII!$B$4:$B$58,0),INDEX($Y$7:$AB$20,MATCH(C406,$Y$7:$Y$20,0),$AB$6)),"/"),"")</f>
        <v/>
      </c>
      <c r="G406" s="88"/>
      <c r="H406" s="79" t="s">
        <v>193</v>
      </c>
      <c r="I406" s="81" t="s">
        <v>28</v>
      </c>
      <c r="J406" s="35" t="str">
        <f>IF(H401&lt;&gt;"",IF(INDEX(BDHK2,MATCH(H401,DiemHKII!$B$4:$B$58,0),INDEX($Y$7:$AB$20,MATCH(I406,$Y$7:$Y$20,0),$Z$6))&lt;&gt;"",INDEX(BDHK2,MATCH(H401,DiemHKII!$B$4:$B$58,0),INDEX($Y$7:$AB$20,MATCH(I406,$Y$7:$Y$20,0),$Z$6)),"/"),"")</f>
        <v/>
      </c>
      <c r="K406" s="35" t="str">
        <f>IF(H401&lt;&gt;"",IF(INDEX(BDHK2,MATCH(H401,DiemHKII!$B$4:$B$58,0),INDEX($Y$7:$AB$20,MATCH(I406,$Y$7:$Y$20,0),$AA$6))&lt;&gt;"",INDEX(BDHK2,MATCH(H401,DiemHKII!$B$4:$B$58,0),INDEX($Y$7:$AB$20,MATCH(I406,$Y$7:$Y$20,0),$AA$6)),"/"),"")</f>
        <v/>
      </c>
      <c r="L406" s="35" t="str">
        <f>IF(H401&lt;&gt;"",IF(INDEX(BDHK2,MATCH(H401,DiemHKII!$B$4:$B$58,0),INDEX($Y$7:$AB$20,MATCH(I406,$Y$7:$Y$20,0),$AB$6))&lt;&gt;"",INDEX(BDHK2,MATCH(H401,DiemHKII!$B$4:$B$58,0),INDEX($Y$7:$AB$20,MATCH(I406,$Y$7:$Y$20,0),$AB$6)),"/"),"")</f>
        <v/>
      </c>
      <c r="M406" s="88"/>
      <c r="N406" s="79" t="s">
        <v>193</v>
      </c>
      <c r="O406" s="81" t="s">
        <v>28</v>
      </c>
      <c r="P406" s="35" t="str">
        <f>IF(N401&lt;&gt;"",IF(INDEX(BDHK2,MATCH(N401,DiemHKII!$B$4:$B$58,0),INDEX($Y$7:$AB$20,MATCH(O406,$Y$7:$Y$20,0),$Z$6))&lt;&gt;"",INDEX(BDHK2,MATCH(N401,DiemHKII!$B$4:$B$58,0),INDEX($Y$7:$AB$20,MATCH(O406,$Y$7:$Y$20,0),$Z$6)),"/"),"")</f>
        <v/>
      </c>
      <c r="Q406" s="35" t="str">
        <f>IF(N401&lt;&gt;"",IF(INDEX(BDHK2,MATCH(N401,DiemHKII!$B$4:$B$58,0),INDEX($Y$7:$AB$20,MATCH(O406,$Y$7:$Y$20,0),$AA$6))&lt;&gt;"",INDEX(BDHK2,MATCH(N401,DiemHKII!$B$4:$B$58,0),INDEX($Y$7:$AB$20,MATCH(O406,$Y$7:$Y$20,0),$AA$6)),"/"),"")</f>
        <v/>
      </c>
      <c r="R406" s="35" t="str">
        <f>IF(N401&lt;&gt;"",IF(INDEX(BDHK2,MATCH(N401,DiemHKII!$B$4:$B$58,0),INDEX($Y$7:$AB$20,MATCH(O406,$Y$7:$Y$20,0),$AB$6))&lt;&gt;"",INDEX(BDHK2,MATCH(N401,DiemHKII!$B$4:$B$58,0),INDEX($Y$7:$AB$20,MATCH(O406,$Y$7:$Y$20,0),$AB$6)),"/"),"")</f>
        <v/>
      </c>
      <c r="S406" s="88"/>
    </row>
    <row r="407" spans="1:19" ht="15.6" customHeight="1">
      <c r="A407" s="88"/>
      <c r="B407" s="79" t="s">
        <v>194</v>
      </c>
      <c r="C407" s="81" t="s">
        <v>29</v>
      </c>
      <c r="D407" s="35" t="str">
        <f>IF(B401&lt;&gt;"",IF(INDEX(BDHK2,MATCH(B401,DiemHKII!$B$4:$B$58,0),INDEX($Y$7:$AB$20,MATCH(C407,$Y$7:$Y$20,0),$Z$6))&lt;&gt;"",INDEX(BDHK2,MATCH(B401,DiemHKII!$B$4:$B$58,0),INDEX($Y$7:$AB$20,MATCH(C407,$Y$7:$Y$20,0),$Z$6)),"/"),"")</f>
        <v/>
      </c>
      <c r="E407" s="35" t="str">
        <f>IF(B401&lt;&gt;"",IF(INDEX(BDHK2,MATCH(B401,DiemHKII!$B$4:$B$58,0),INDEX($Y$7:$AB$20,MATCH(C407,$Y$7:$Y$20,0),$AA$6))&lt;&gt;"",INDEX(BDHK2,MATCH(B401,DiemHKII!$B$4:$B$58,0),INDEX($Y$7:$AB$20,MATCH(C407,$Y$7:$Y$20,0),$AA$6)),"/"),"")</f>
        <v/>
      </c>
      <c r="F407" s="35" t="str">
        <f>IF(B401&lt;&gt;"",IF(INDEX(BDHK2,MATCH(B401,DiemHKII!$B$4:$B$58,0),INDEX($Y$7:$AB$20,MATCH(C407,$Y$7:$Y$20,0),$AB$6))&lt;&gt;"",INDEX(BDHK2,MATCH(B401,DiemHKII!$B$4:$B$58,0),INDEX($Y$7:$AB$20,MATCH(C407,$Y$7:$Y$20,0),$AB$6)),"/"),"")</f>
        <v/>
      </c>
      <c r="G407" s="88"/>
      <c r="H407" s="79" t="s">
        <v>194</v>
      </c>
      <c r="I407" s="81" t="s">
        <v>29</v>
      </c>
      <c r="J407" s="35" t="str">
        <f>IF(H401&lt;&gt;"",IF(INDEX(BDHK2,MATCH(H401,DiemHKII!$B$4:$B$58,0),INDEX($Y$7:$AB$20,MATCH(I407,$Y$7:$Y$20,0),$Z$6))&lt;&gt;"",INDEX(BDHK2,MATCH(H401,DiemHKII!$B$4:$B$58,0),INDEX($Y$7:$AB$20,MATCH(I407,$Y$7:$Y$20,0),$Z$6)),"/"),"")</f>
        <v/>
      </c>
      <c r="K407" s="35" t="str">
        <f>IF(H401&lt;&gt;"",IF(INDEX(BDHK2,MATCH(H401,DiemHKII!$B$4:$B$58,0),INDEX($Y$7:$AB$20,MATCH(I407,$Y$7:$Y$20,0),$AA$6))&lt;&gt;"",INDEX(BDHK2,MATCH(H401,DiemHKII!$B$4:$B$58,0),INDEX($Y$7:$AB$20,MATCH(I407,$Y$7:$Y$20,0),$AA$6)),"/"),"")</f>
        <v/>
      </c>
      <c r="L407" s="35" t="str">
        <f>IF(H401&lt;&gt;"",IF(INDEX(BDHK2,MATCH(H401,DiemHKII!$B$4:$B$58,0),INDEX($Y$7:$AB$20,MATCH(I407,$Y$7:$Y$20,0),$AB$6))&lt;&gt;"",INDEX(BDHK2,MATCH(H401,DiemHKII!$B$4:$B$58,0),INDEX($Y$7:$AB$20,MATCH(I407,$Y$7:$Y$20,0),$AB$6)),"/"),"")</f>
        <v/>
      </c>
      <c r="M407" s="88"/>
      <c r="N407" s="79" t="s">
        <v>194</v>
      </c>
      <c r="O407" s="81" t="s">
        <v>29</v>
      </c>
      <c r="P407" s="35" t="str">
        <f>IF(N401&lt;&gt;"",IF(INDEX(BDHK2,MATCH(N401,DiemHKII!$B$4:$B$58,0),INDEX($Y$7:$AB$20,MATCH(O407,$Y$7:$Y$20,0),$Z$6))&lt;&gt;"",INDEX(BDHK2,MATCH(N401,DiemHKII!$B$4:$B$58,0),INDEX($Y$7:$AB$20,MATCH(O407,$Y$7:$Y$20,0),$Z$6)),"/"),"")</f>
        <v/>
      </c>
      <c r="Q407" s="35" t="str">
        <f>IF(N401&lt;&gt;"",IF(INDEX(BDHK2,MATCH(N401,DiemHKII!$B$4:$B$58,0),INDEX($Y$7:$AB$20,MATCH(O407,$Y$7:$Y$20,0),$AA$6))&lt;&gt;"",INDEX(BDHK2,MATCH(N401,DiemHKII!$B$4:$B$58,0),INDEX($Y$7:$AB$20,MATCH(O407,$Y$7:$Y$20,0),$AA$6)),"/"),"")</f>
        <v/>
      </c>
      <c r="R407" s="35" t="str">
        <f>IF(N401&lt;&gt;"",IF(INDEX(BDHK2,MATCH(N401,DiemHKII!$B$4:$B$58,0),INDEX($Y$7:$AB$20,MATCH(O407,$Y$7:$Y$20,0),$AB$6))&lt;&gt;"",INDEX(BDHK2,MATCH(N401,DiemHKII!$B$4:$B$58,0),INDEX($Y$7:$AB$20,MATCH(O407,$Y$7:$Y$20,0),$AB$6)),"/"),"")</f>
        <v/>
      </c>
      <c r="S407" s="88"/>
    </row>
    <row r="408" spans="1:19" ht="15.6" customHeight="1">
      <c r="A408" s="88"/>
      <c r="B408" s="79" t="s">
        <v>195</v>
      </c>
      <c r="C408" s="81" t="s">
        <v>120</v>
      </c>
      <c r="D408" s="35" t="str">
        <f>IF(B401&lt;&gt;"",IF(INDEX(BDHK2,MATCH(B401,DiemHKII!$B$4:$B$58,0),INDEX($Y$7:$AB$20,MATCH(C408,$Y$7:$Y$20,0),$Z$6))&lt;&gt;"",INDEX(BDHK2,MATCH(B401,DiemHKII!$B$4:$B$58,0),INDEX($Y$7:$AB$20,MATCH(C408,$Y$7:$Y$20,0),$Z$6)),"/"),"")</f>
        <v/>
      </c>
      <c r="E408" s="35" t="str">
        <f>IF(B401&lt;&gt;"",IF(INDEX(BDHK2,MATCH(B401,DiemHKII!$B$4:$B$58,0),INDEX($Y$7:$AB$20,MATCH(C408,$Y$7:$Y$20,0),$AA$6))&lt;&gt;"",INDEX(BDHK2,MATCH(B401,DiemHKII!$B$4:$B$58,0),INDEX($Y$7:$AB$20,MATCH(C408,$Y$7:$Y$20,0),$AA$6)),"/"),"")</f>
        <v/>
      </c>
      <c r="F408" s="35" t="str">
        <f>IF(B401&lt;&gt;"",IF(INDEX(BDHK2,MATCH(B401,DiemHKII!$B$4:$B$58,0),INDEX($Y$7:$AB$20,MATCH(C408,$Y$7:$Y$20,0),$AB$6))&lt;&gt;"",INDEX(BDHK2,MATCH(B401,DiemHKII!$B$4:$B$58,0),INDEX($Y$7:$AB$20,MATCH(C408,$Y$7:$Y$20,0),$AB$6)),"/"),"")</f>
        <v/>
      </c>
      <c r="G408" s="88"/>
      <c r="H408" s="79" t="s">
        <v>195</v>
      </c>
      <c r="I408" s="81" t="s">
        <v>120</v>
      </c>
      <c r="J408" s="35" t="str">
        <f>IF(H401&lt;&gt;"",IF(INDEX(BDHK2,MATCH(H401,DiemHKII!$B$4:$B$58,0),INDEX($Y$7:$AB$20,MATCH(I408,$Y$7:$Y$20,0),$Z$6))&lt;&gt;"",INDEX(BDHK2,MATCH(H401,DiemHKII!$B$4:$B$58,0),INDEX($Y$7:$AB$20,MATCH(I408,$Y$7:$Y$20,0),$Z$6)),"/"),"")</f>
        <v/>
      </c>
      <c r="K408" s="35" t="str">
        <f>IF(H401&lt;&gt;"",IF(INDEX(BDHK2,MATCH(H401,DiemHKII!$B$4:$B$58,0),INDEX($Y$7:$AB$20,MATCH(I408,$Y$7:$Y$20,0),$AA$6))&lt;&gt;"",INDEX(BDHK2,MATCH(H401,DiemHKII!$B$4:$B$58,0),INDEX($Y$7:$AB$20,MATCH(I408,$Y$7:$Y$20,0),$AA$6)),"/"),"")</f>
        <v/>
      </c>
      <c r="L408" s="35" t="str">
        <f>IF(H401&lt;&gt;"",IF(INDEX(BDHK2,MATCH(H401,DiemHKII!$B$4:$B$58,0),INDEX($Y$7:$AB$20,MATCH(I408,$Y$7:$Y$20,0),$AB$6))&lt;&gt;"",INDEX(BDHK2,MATCH(H401,DiemHKII!$B$4:$B$58,0),INDEX($Y$7:$AB$20,MATCH(I408,$Y$7:$Y$20,0),$AB$6)),"/"),"")</f>
        <v/>
      </c>
      <c r="M408" s="88"/>
      <c r="N408" s="79" t="s">
        <v>195</v>
      </c>
      <c r="O408" s="81" t="s">
        <v>120</v>
      </c>
      <c r="P408" s="35" t="str">
        <f>IF(N401&lt;&gt;"",IF(INDEX(BDHK2,MATCH(N401,DiemHKII!$B$4:$B$58,0),INDEX($Y$7:$AB$20,MATCH(O408,$Y$7:$Y$20,0),$Z$6))&lt;&gt;"",INDEX(BDHK2,MATCH(N401,DiemHKII!$B$4:$B$58,0),INDEX($Y$7:$AB$20,MATCH(O408,$Y$7:$Y$20,0),$Z$6)),"/"),"")</f>
        <v/>
      </c>
      <c r="Q408" s="35" t="str">
        <f>IF(N401&lt;&gt;"",IF(INDEX(BDHK2,MATCH(N401,DiemHKII!$B$4:$B$58,0),INDEX($Y$7:$AB$20,MATCH(O408,$Y$7:$Y$20,0),$AA$6))&lt;&gt;"",INDEX(BDHK2,MATCH(N401,DiemHKII!$B$4:$B$58,0),INDEX($Y$7:$AB$20,MATCH(O408,$Y$7:$Y$20,0),$AA$6)),"/"),"")</f>
        <v/>
      </c>
      <c r="R408" s="35" t="str">
        <f>IF(N401&lt;&gt;"",IF(INDEX(BDHK2,MATCH(N401,DiemHKII!$B$4:$B$58,0),INDEX($Y$7:$AB$20,MATCH(O408,$Y$7:$Y$20,0),$AB$6))&lt;&gt;"",INDEX(BDHK2,MATCH(N401,DiemHKII!$B$4:$B$58,0),INDEX($Y$7:$AB$20,MATCH(O408,$Y$7:$Y$20,0),$AB$6)),"/"),"")</f>
        <v/>
      </c>
      <c r="S408" s="88"/>
    </row>
    <row r="409" spans="1:19" ht="15.6" customHeight="1">
      <c r="A409" s="88"/>
      <c r="B409" s="79" t="s">
        <v>196</v>
      </c>
      <c r="C409" s="81" t="s">
        <v>30</v>
      </c>
      <c r="D409" s="35" t="str">
        <f>IF(B401&lt;&gt;"",IF(INDEX(BDHK2,MATCH(B401,DiemHKII!$B$4:$B$58,0),INDEX($Y$7:$AB$20,MATCH(C409,$Y$7:$Y$20,0),$Z$6))&lt;&gt;"",INDEX(BDHK2,MATCH(B401,DiemHKII!$B$4:$B$58,0),INDEX($Y$7:$AB$20,MATCH(C409,$Y$7:$Y$20,0),$Z$6)),"/"),"")</f>
        <v/>
      </c>
      <c r="E409" s="35" t="str">
        <f>IF(B401&lt;&gt;"",IF(INDEX(BDHK2,MATCH(B401,DiemHKII!$B$4:$B$58,0),INDEX($Y$7:$AB$20,MATCH(C409,$Y$7:$Y$20,0),$AA$6))&lt;&gt;"",INDEX(BDHK2,MATCH(B401,DiemHKII!$B$4:$B$58,0),INDEX($Y$7:$AB$20,MATCH(C409,$Y$7:$Y$20,0),$AA$6)),"/"),"")</f>
        <v/>
      </c>
      <c r="F409" s="35" t="str">
        <f>IF(B401&lt;&gt;"",IF(INDEX(BDHK2,MATCH(B401,DiemHKII!$B$4:$B$58,0),INDEX($Y$7:$AB$20,MATCH(C409,$Y$7:$Y$20,0),$AB$6))&lt;&gt;"",INDEX(BDHK2,MATCH(B401,DiemHKII!$B$4:$B$58,0),INDEX($Y$7:$AB$20,MATCH(C409,$Y$7:$Y$20,0),$AB$6)),"/"),"")</f>
        <v/>
      </c>
      <c r="G409" s="88"/>
      <c r="H409" s="79" t="s">
        <v>196</v>
      </c>
      <c r="I409" s="81" t="s">
        <v>30</v>
      </c>
      <c r="J409" s="35" t="str">
        <f>IF(H401&lt;&gt;"",IF(INDEX(BDHK2,MATCH(H401,DiemHKII!$B$4:$B$58,0),INDEX($Y$7:$AB$20,MATCH(I409,$Y$7:$Y$20,0),$Z$6))&lt;&gt;"",INDEX(BDHK2,MATCH(H401,DiemHKII!$B$4:$B$58,0),INDEX($Y$7:$AB$20,MATCH(I409,$Y$7:$Y$20,0),$Z$6)),"/"),"")</f>
        <v/>
      </c>
      <c r="K409" s="35" t="str">
        <f>IF(H401&lt;&gt;"",IF(INDEX(BDHK2,MATCH(H401,DiemHKII!$B$4:$B$58,0),INDEX($Y$7:$AB$20,MATCH(I409,$Y$7:$Y$20,0),$AA$6))&lt;&gt;"",INDEX(BDHK2,MATCH(H401,DiemHKII!$B$4:$B$58,0),INDEX($Y$7:$AB$20,MATCH(I409,$Y$7:$Y$20,0),$AA$6)),"/"),"")</f>
        <v/>
      </c>
      <c r="L409" s="35" t="str">
        <f>IF(H401&lt;&gt;"",IF(INDEX(BDHK2,MATCH(H401,DiemHKII!$B$4:$B$58,0),INDEX($Y$7:$AB$20,MATCH(I409,$Y$7:$Y$20,0),$AB$6))&lt;&gt;"",INDEX(BDHK2,MATCH(H401,DiemHKII!$B$4:$B$58,0),INDEX($Y$7:$AB$20,MATCH(I409,$Y$7:$Y$20,0),$AB$6)),"/"),"")</f>
        <v/>
      </c>
      <c r="M409" s="88"/>
      <c r="N409" s="79" t="s">
        <v>196</v>
      </c>
      <c r="O409" s="81" t="s">
        <v>30</v>
      </c>
      <c r="P409" s="35" t="str">
        <f>IF(N401&lt;&gt;"",IF(INDEX(BDHK2,MATCH(N401,DiemHKII!$B$4:$B$58,0),INDEX($Y$7:$AB$20,MATCH(O409,$Y$7:$Y$20,0),$Z$6))&lt;&gt;"",INDEX(BDHK2,MATCH(N401,DiemHKII!$B$4:$B$58,0),INDEX($Y$7:$AB$20,MATCH(O409,$Y$7:$Y$20,0),$Z$6)),"/"),"")</f>
        <v/>
      </c>
      <c r="Q409" s="35" t="str">
        <f>IF(N401&lt;&gt;"",IF(INDEX(BDHK2,MATCH(N401,DiemHKII!$B$4:$B$58,0),INDEX($Y$7:$AB$20,MATCH(O409,$Y$7:$Y$20,0),$AA$6))&lt;&gt;"",INDEX(BDHK2,MATCH(N401,DiemHKII!$B$4:$B$58,0),INDEX($Y$7:$AB$20,MATCH(O409,$Y$7:$Y$20,0),$AA$6)),"/"),"")</f>
        <v/>
      </c>
      <c r="R409" s="35" t="str">
        <f>IF(N401&lt;&gt;"",IF(INDEX(BDHK2,MATCH(N401,DiemHKII!$B$4:$B$58,0),INDEX($Y$7:$AB$20,MATCH(O409,$Y$7:$Y$20,0),$AB$6))&lt;&gt;"",INDEX(BDHK2,MATCH(N401,DiemHKII!$B$4:$B$58,0),INDEX($Y$7:$AB$20,MATCH(O409,$Y$7:$Y$20,0),$AB$6)),"/"),"")</f>
        <v/>
      </c>
      <c r="S409" s="88"/>
    </row>
    <row r="410" spans="1:19" ht="15.6" customHeight="1">
      <c r="A410" s="88"/>
      <c r="B410" s="79" t="s">
        <v>197</v>
      </c>
      <c r="C410" s="81" t="s">
        <v>31</v>
      </c>
      <c r="D410" s="35" t="str">
        <f>IF(B401&lt;&gt;"",IF(INDEX(BDHK2,MATCH(B401,DiemHKII!$B$4:$B$58,0),INDEX($Y$7:$AB$20,MATCH(C410,$Y$7:$Y$20,0),$Z$6))&lt;&gt;"",INDEX(BDHK2,MATCH(B401,DiemHKII!$B$4:$B$58,0),INDEX($Y$7:$AB$20,MATCH(C410,$Y$7:$Y$20,0),$Z$6)),"/"),"")</f>
        <v/>
      </c>
      <c r="E410" s="35" t="str">
        <f>IF(B401&lt;&gt;"",IF(INDEX(BDHK2,MATCH(B401,DiemHKII!$B$4:$B$58,0),INDEX($Y$7:$AB$20,MATCH(C410,$Y$7:$Y$20,0),$AA$6))&lt;&gt;"",INDEX(BDHK2,MATCH(B401,DiemHKII!$B$4:$B$58,0),INDEX($Y$7:$AB$20,MATCH(C410,$Y$7:$Y$20,0),$AA$6)),"/"),"")</f>
        <v/>
      </c>
      <c r="F410" s="35" t="str">
        <f>IF(B401&lt;&gt;"",IF(INDEX(BDHK2,MATCH(B401,DiemHKII!$B$4:$B$58,0),INDEX($Y$7:$AB$20,MATCH(C410,$Y$7:$Y$20,0),$AB$6))&lt;&gt;"",INDEX(BDHK2,MATCH(B401,DiemHKII!$B$4:$B$58,0),INDEX($Y$7:$AB$20,MATCH(C410,$Y$7:$Y$20,0),$AB$6)),"/"),"")</f>
        <v/>
      </c>
      <c r="G410" s="88"/>
      <c r="H410" s="79" t="s">
        <v>197</v>
      </c>
      <c r="I410" s="81" t="s">
        <v>31</v>
      </c>
      <c r="J410" s="35" t="str">
        <f>IF(H401&lt;&gt;"",IF(INDEX(BDHK2,MATCH(H401,DiemHKII!$B$4:$B$58,0),INDEX($Y$7:$AB$20,MATCH(I410,$Y$7:$Y$20,0),$Z$6))&lt;&gt;"",INDEX(BDHK2,MATCH(H401,DiemHKII!$B$4:$B$58,0),INDEX($Y$7:$AB$20,MATCH(I410,$Y$7:$Y$20,0),$Z$6)),"/"),"")</f>
        <v/>
      </c>
      <c r="K410" s="35" t="str">
        <f>IF(H401&lt;&gt;"",IF(INDEX(BDHK2,MATCH(H401,DiemHKII!$B$4:$B$58,0),INDEX($Y$7:$AB$20,MATCH(I410,$Y$7:$Y$20,0),$AA$6))&lt;&gt;"",INDEX(BDHK2,MATCH(H401,DiemHKII!$B$4:$B$58,0),INDEX($Y$7:$AB$20,MATCH(I410,$Y$7:$Y$20,0),$AA$6)),"/"),"")</f>
        <v/>
      </c>
      <c r="L410" s="35" t="str">
        <f>IF(H401&lt;&gt;"",IF(INDEX(BDHK2,MATCH(H401,DiemHKII!$B$4:$B$58,0),INDEX($Y$7:$AB$20,MATCH(I410,$Y$7:$Y$20,0),$AB$6))&lt;&gt;"",INDEX(BDHK2,MATCH(H401,DiemHKII!$B$4:$B$58,0),INDEX($Y$7:$AB$20,MATCH(I410,$Y$7:$Y$20,0),$AB$6)),"/"),"")</f>
        <v/>
      </c>
      <c r="M410" s="88"/>
      <c r="N410" s="79" t="s">
        <v>197</v>
      </c>
      <c r="O410" s="81" t="s">
        <v>31</v>
      </c>
      <c r="P410" s="35" t="str">
        <f>IF(N401&lt;&gt;"",IF(INDEX(BDHK2,MATCH(N401,DiemHKII!$B$4:$B$58,0),INDEX($Y$7:$AB$20,MATCH(O410,$Y$7:$Y$20,0),$Z$6))&lt;&gt;"",INDEX(BDHK2,MATCH(N401,DiemHKII!$B$4:$B$58,0),INDEX($Y$7:$AB$20,MATCH(O410,$Y$7:$Y$20,0),$Z$6)),"/"),"")</f>
        <v/>
      </c>
      <c r="Q410" s="35" t="str">
        <f>IF(N401&lt;&gt;"",IF(INDEX(BDHK2,MATCH(N401,DiemHKII!$B$4:$B$58,0),INDEX($Y$7:$AB$20,MATCH(O410,$Y$7:$Y$20,0),$AA$6))&lt;&gt;"",INDEX(BDHK2,MATCH(N401,DiemHKII!$B$4:$B$58,0),INDEX($Y$7:$AB$20,MATCH(O410,$Y$7:$Y$20,0),$AA$6)),"/"),"")</f>
        <v/>
      </c>
      <c r="R410" s="35" t="str">
        <f>IF(N401&lt;&gt;"",IF(INDEX(BDHK2,MATCH(N401,DiemHKII!$B$4:$B$58,0),INDEX($Y$7:$AB$20,MATCH(O410,$Y$7:$Y$20,0),$AB$6))&lt;&gt;"",INDEX(BDHK2,MATCH(N401,DiemHKII!$B$4:$B$58,0),INDEX($Y$7:$AB$20,MATCH(O410,$Y$7:$Y$20,0),$AB$6)),"/"),"")</f>
        <v/>
      </c>
      <c r="S410" s="88"/>
    </row>
    <row r="411" spans="1:19" ht="15.6" customHeight="1">
      <c r="A411" s="88"/>
      <c r="B411" s="79" t="s">
        <v>198</v>
      </c>
      <c r="C411" s="81" t="s">
        <v>32</v>
      </c>
      <c r="D411" s="35" t="str">
        <f>IF(B401&lt;&gt;"",IF(INDEX(BDHK2,MATCH(B401,DiemHKII!$B$4:$B$58,0),INDEX($Y$7:$AB$20,MATCH(C411,$Y$7:$Y$20,0),$Z$6))&lt;&gt;"",INDEX(BDHK2,MATCH(B401,DiemHKII!$B$4:$B$58,0),INDEX($Y$7:$AB$20,MATCH(C411,$Y$7:$Y$20,0),$Z$6)),"/"),"")</f>
        <v/>
      </c>
      <c r="E411" s="35" t="str">
        <f>IF(B401&lt;&gt;"",IF(INDEX(BDHK2,MATCH(B401,DiemHKII!$B$4:$B$58,0),INDEX($Y$7:$AB$20,MATCH(C411,$Y$7:$Y$20,0),$AA$6))&lt;&gt;"",INDEX(BDHK2,MATCH(B401,DiemHKII!$B$4:$B$58,0),INDEX($Y$7:$AB$20,MATCH(C411,$Y$7:$Y$20,0),$AA$6)),"/"),"")</f>
        <v/>
      </c>
      <c r="F411" s="35" t="str">
        <f>IF(B401&lt;&gt;"",IF(INDEX(BDHK2,MATCH(B401,DiemHKII!$B$4:$B$58,0),INDEX($Y$7:$AB$20,MATCH(C411,$Y$7:$Y$20,0),$AB$6))&lt;&gt;"",INDEX(BDHK2,MATCH(B401,DiemHKII!$B$4:$B$58,0),INDEX($Y$7:$AB$20,MATCH(C411,$Y$7:$Y$20,0),$AB$6)),"/"),"")</f>
        <v/>
      </c>
      <c r="G411" s="88"/>
      <c r="H411" s="79" t="s">
        <v>198</v>
      </c>
      <c r="I411" s="81" t="s">
        <v>32</v>
      </c>
      <c r="J411" s="35" t="str">
        <f>IF(H401&lt;&gt;"",IF(INDEX(BDHK2,MATCH(H401,DiemHKII!$B$4:$B$58,0),INDEX($Y$7:$AB$20,MATCH(I411,$Y$7:$Y$20,0),$Z$6))&lt;&gt;"",INDEX(BDHK2,MATCH(H401,DiemHKII!$B$4:$B$58,0),INDEX($Y$7:$AB$20,MATCH(I411,$Y$7:$Y$20,0),$Z$6)),"/"),"")</f>
        <v/>
      </c>
      <c r="K411" s="35" t="str">
        <f>IF(H401&lt;&gt;"",IF(INDEX(BDHK2,MATCH(H401,DiemHKII!$B$4:$B$58,0),INDEX($Y$7:$AB$20,MATCH(I411,$Y$7:$Y$20,0),$AA$6))&lt;&gt;"",INDEX(BDHK2,MATCH(H401,DiemHKII!$B$4:$B$58,0),INDEX($Y$7:$AB$20,MATCH(I411,$Y$7:$Y$20,0),$AA$6)),"/"),"")</f>
        <v/>
      </c>
      <c r="L411" s="35" t="str">
        <f>IF(H401&lt;&gt;"",IF(INDEX(BDHK2,MATCH(H401,DiemHKII!$B$4:$B$58,0),INDEX($Y$7:$AB$20,MATCH(I411,$Y$7:$Y$20,0),$AB$6))&lt;&gt;"",INDEX(BDHK2,MATCH(H401,DiemHKII!$B$4:$B$58,0),INDEX($Y$7:$AB$20,MATCH(I411,$Y$7:$Y$20,0),$AB$6)),"/"),"")</f>
        <v/>
      </c>
      <c r="M411" s="88"/>
      <c r="N411" s="79" t="s">
        <v>198</v>
      </c>
      <c r="O411" s="81" t="s">
        <v>32</v>
      </c>
      <c r="P411" s="35" t="str">
        <f>IF(N401&lt;&gt;"",IF(INDEX(BDHK2,MATCH(N401,DiemHKII!$B$4:$B$58,0),INDEX($Y$7:$AB$20,MATCH(O411,$Y$7:$Y$20,0),$Z$6))&lt;&gt;"",INDEX(BDHK2,MATCH(N401,DiemHKII!$B$4:$B$58,0),INDEX($Y$7:$AB$20,MATCH(O411,$Y$7:$Y$20,0),$Z$6)),"/"),"")</f>
        <v/>
      </c>
      <c r="Q411" s="35" t="str">
        <f>IF(N401&lt;&gt;"",IF(INDEX(BDHK2,MATCH(N401,DiemHKII!$B$4:$B$58,0),INDEX($Y$7:$AB$20,MATCH(O411,$Y$7:$Y$20,0),$AA$6))&lt;&gt;"",INDEX(BDHK2,MATCH(N401,DiemHKII!$B$4:$B$58,0),INDEX($Y$7:$AB$20,MATCH(O411,$Y$7:$Y$20,0),$AA$6)),"/"),"")</f>
        <v/>
      </c>
      <c r="R411" s="35" t="str">
        <f>IF(N401&lt;&gt;"",IF(INDEX(BDHK2,MATCH(N401,DiemHKII!$B$4:$B$58,0),INDEX($Y$7:$AB$20,MATCH(O411,$Y$7:$Y$20,0),$AB$6))&lt;&gt;"",INDEX(BDHK2,MATCH(N401,DiemHKII!$B$4:$B$58,0),INDEX($Y$7:$AB$20,MATCH(O411,$Y$7:$Y$20,0),$AB$6)),"/"),"")</f>
        <v/>
      </c>
      <c r="S411" s="88"/>
    </row>
    <row r="412" spans="1:19" ht="15.6" customHeight="1">
      <c r="A412" s="88"/>
      <c r="B412" s="79" t="s">
        <v>199</v>
      </c>
      <c r="C412" s="81" t="s">
        <v>33</v>
      </c>
      <c r="D412" s="35" t="str">
        <f>IF(B401&lt;&gt;"",IF(INDEX(BDHK2,MATCH(B401,DiemHKII!$B$4:$B$58,0),INDEX($Y$7:$AB$20,MATCH(C412,$Y$7:$Y$20,0),$Z$6))&lt;&gt;"",INDEX(BDHK2,MATCH(B401,DiemHKII!$B$4:$B$58,0),INDEX($Y$7:$AB$20,MATCH(C412,$Y$7:$Y$20,0),$Z$6)),"/"),"")</f>
        <v/>
      </c>
      <c r="E412" s="35" t="str">
        <f>IF(B401&lt;&gt;"",IF(INDEX(BDHK2,MATCH(B401,DiemHKII!$B$4:$B$58,0),INDEX($Y$7:$AB$20,MATCH(C412,$Y$7:$Y$20,0),$AA$6))&lt;&gt;"",INDEX(BDHK2,MATCH(B401,DiemHKII!$B$4:$B$58,0),INDEX($Y$7:$AB$20,MATCH(C412,$Y$7:$Y$20,0),$AA$6)),"/"),"")</f>
        <v/>
      </c>
      <c r="F412" s="35" t="str">
        <f>IF(B401&lt;&gt;"",IF(INDEX(BDHK2,MATCH(B401,DiemHKII!$B$4:$B$58,0),INDEX($Y$7:$AB$20,MATCH(C412,$Y$7:$Y$20,0),$AB$6))&lt;&gt;"",INDEX(BDHK2,MATCH(B401,DiemHKII!$B$4:$B$58,0),INDEX($Y$7:$AB$20,MATCH(C412,$Y$7:$Y$20,0),$AB$6)),"/"),"")</f>
        <v/>
      </c>
      <c r="G412" s="88"/>
      <c r="H412" s="79" t="s">
        <v>199</v>
      </c>
      <c r="I412" s="81" t="s">
        <v>33</v>
      </c>
      <c r="J412" s="35" t="str">
        <f>IF(H401&lt;&gt;"",IF(INDEX(BDHK2,MATCH(H401,DiemHKII!$B$4:$B$58,0),INDEX($Y$7:$AB$20,MATCH(I412,$Y$7:$Y$20,0),$Z$6))&lt;&gt;"",INDEX(BDHK2,MATCH(H401,DiemHKII!$B$4:$B$58,0),INDEX($Y$7:$AB$20,MATCH(I412,$Y$7:$Y$20,0),$Z$6)),"/"),"")</f>
        <v/>
      </c>
      <c r="K412" s="35" t="str">
        <f>IF(H401&lt;&gt;"",IF(INDEX(BDHK2,MATCH(H401,DiemHKII!$B$4:$B$58,0),INDEX($Y$7:$AB$20,MATCH(I412,$Y$7:$Y$20,0),$AA$6))&lt;&gt;"",INDEX(BDHK2,MATCH(H401,DiemHKII!$B$4:$B$58,0),INDEX($Y$7:$AB$20,MATCH(I412,$Y$7:$Y$20,0),$AA$6)),"/"),"")</f>
        <v/>
      </c>
      <c r="L412" s="35" t="str">
        <f>IF(H401&lt;&gt;"",IF(INDEX(BDHK2,MATCH(H401,DiemHKII!$B$4:$B$58,0),INDEX($Y$7:$AB$20,MATCH(I412,$Y$7:$Y$20,0),$AB$6))&lt;&gt;"",INDEX(BDHK2,MATCH(H401,DiemHKII!$B$4:$B$58,0),INDEX($Y$7:$AB$20,MATCH(I412,$Y$7:$Y$20,0),$AB$6)),"/"),"")</f>
        <v/>
      </c>
      <c r="M412" s="88"/>
      <c r="N412" s="79" t="s">
        <v>199</v>
      </c>
      <c r="O412" s="81" t="s">
        <v>33</v>
      </c>
      <c r="P412" s="35" t="str">
        <f>IF(N401&lt;&gt;"",IF(INDEX(BDHK2,MATCH(N401,DiemHKII!$B$4:$B$58,0),INDEX($Y$7:$AB$20,MATCH(O412,$Y$7:$Y$20,0),$Z$6))&lt;&gt;"",INDEX(BDHK2,MATCH(N401,DiemHKII!$B$4:$B$58,0),INDEX($Y$7:$AB$20,MATCH(O412,$Y$7:$Y$20,0),$Z$6)),"/"),"")</f>
        <v/>
      </c>
      <c r="Q412" s="35" t="str">
        <f>IF(N401&lt;&gt;"",IF(INDEX(BDHK2,MATCH(N401,DiemHKII!$B$4:$B$58,0),INDEX($Y$7:$AB$20,MATCH(O412,$Y$7:$Y$20,0),$AA$6))&lt;&gt;"",INDEX(BDHK2,MATCH(N401,DiemHKII!$B$4:$B$58,0),INDEX($Y$7:$AB$20,MATCH(O412,$Y$7:$Y$20,0),$AA$6)),"/"),"")</f>
        <v/>
      </c>
      <c r="R412" s="35" t="str">
        <f>IF(N401&lt;&gt;"",IF(INDEX(BDHK2,MATCH(N401,DiemHKII!$B$4:$B$58,0),INDEX($Y$7:$AB$20,MATCH(O412,$Y$7:$Y$20,0),$AB$6))&lt;&gt;"",INDEX(BDHK2,MATCH(N401,DiemHKII!$B$4:$B$58,0),INDEX($Y$7:$AB$20,MATCH(O412,$Y$7:$Y$20,0),$AB$6)),"/"),"")</f>
        <v/>
      </c>
      <c r="S412" s="88"/>
    </row>
    <row r="413" spans="1:19" ht="15.6" customHeight="1">
      <c r="A413" s="88"/>
      <c r="B413" s="79" t="s">
        <v>200</v>
      </c>
      <c r="C413" s="81" t="s">
        <v>60</v>
      </c>
      <c r="D413" s="35" t="str">
        <f>IF(B401&lt;&gt;"",IF(INDEX(BDHK2,MATCH(B401,DiemHKII!$B$4:$B$58,0),INDEX($Y$7:$AB$20,MATCH(C413,$Y$7:$Y$20,0),$Z$6))&lt;&gt;"",INDEX(BDHK2,MATCH(B401,DiemHKII!$B$4:$B$58,0),INDEX($Y$7:$AB$20,MATCH(C413,$Y$7:$Y$20,0),$Z$6)),"/"),"")</f>
        <v/>
      </c>
      <c r="E413" s="35" t="str">
        <f>IF(B401&lt;&gt;"",IF(INDEX(BDHK2,MATCH(B401,DiemHKII!$B$4:$B$58,0),INDEX($Y$7:$AB$20,MATCH(C413,$Y$7:$Y$20,0),$AA$6))&lt;&gt;"",INDEX(BDHK2,MATCH(B401,DiemHKII!$B$4:$B$58,0),INDEX($Y$7:$AB$20,MATCH(C413,$Y$7:$Y$20,0),$AA$6)),"/"),"")</f>
        <v/>
      </c>
      <c r="F413" s="35" t="str">
        <f>IF(B401&lt;&gt;"",IF(INDEX(BDHK2,MATCH(B401,DiemHKII!$B$4:$B$58,0),INDEX($Y$7:$AB$20,MATCH(C413,$Y$7:$Y$20,0),$AB$6))&lt;&gt;"",INDEX(BDHK2,MATCH(B401,DiemHKII!$B$4:$B$58,0),INDEX($Y$7:$AB$20,MATCH(C413,$Y$7:$Y$20,0),$AB$6)),"/"),"")</f>
        <v/>
      </c>
      <c r="G413" s="88"/>
      <c r="H413" s="79" t="s">
        <v>200</v>
      </c>
      <c r="I413" s="81" t="s">
        <v>60</v>
      </c>
      <c r="J413" s="35" t="str">
        <f>IF(H401&lt;&gt;"",IF(INDEX(BDHK2,MATCH(H401,DiemHKII!$B$4:$B$58,0),INDEX($Y$7:$AB$20,MATCH(I413,$Y$7:$Y$20,0),$Z$6))&lt;&gt;"",INDEX(BDHK2,MATCH(H401,DiemHKII!$B$4:$B$58,0),INDEX($Y$7:$AB$20,MATCH(I413,$Y$7:$Y$20,0),$Z$6)),"/"),"")</f>
        <v/>
      </c>
      <c r="K413" s="35" t="str">
        <f>IF(H401&lt;&gt;"",IF(INDEX(BDHK2,MATCH(H401,DiemHKII!$B$4:$B$58,0),INDEX($Y$7:$AB$20,MATCH(I413,$Y$7:$Y$20,0),$AA$6))&lt;&gt;"",INDEX(BDHK2,MATCH(H401,DiemHKII!$B$4:$B$58,0),INDEX($Y$7:$AB$20,MATCH(I413,$Y$7:$Y$20,0),$AA$6)),"/"),"")</f>
        <v/>
      </c>
      <c r="L413" s="35" t="str">
        <f>IF(H401&lt;&gt;"",IF(INDEX(BDHK2,MATCH(H401,DiemHKII!$B$4:$B$58,0),INDEX($Y$7:$AB$20,MATCH(I413,$Y$7:$Y$20,0),$AB$6))&lt;&gt;"",INDEX(BDHK2,MATCH(H401,DiemHKII!$B$4:$B$58,0),INDEX($Y$7:$AB$20,MATCH(I413,$Y$7:$Y$20,0),$AB$6)),"/"),"")</f>
        <v/>
      </c>
      <c r="M413" s="88"/>
      <c r="N413" s="79" t="s">
        <v>200</v>
      </c>
      <c r="O413" s="81" t="s">
        <v>60</v>
      </c>
      <c r="P413" s="35" t="str">
        <f>IF(N401&lt;&gt;"",IF(INDEX(BDHK2,MATCH(N401,DiemHKII!$B$4:$B$58,0),INDEX($Y$7:$AB$20,MATCH(O413,$Y$7:$Y$20,0),$Z$6))&lt;&gt;"",INDEX(BDHK2,MATCH(N401,DiemHKII!$B$4:$B$58,0),INDEX($Y$7:$AB$20,MATCH(O413,$Y$7:$Y$20,0),$Z$6)),"/"),"")</f>
        <v/>
      </c>
      <c r="Q413" s="35" t="str">
        <f>IF(N401&lt;&gt;"",IF(INDEX(BDHK2,MATCH(N401,DiemHKII!$B$4:$B$58,0),INDEX($Y$7:$AB$20,MATCH(O413,$Y$7:$Y$20,0),$AA$6))&lt;&gt;"",INDEX(BDHK2,MATCH(N401,DiemHKII!$B$4:$B$58,0),INDEX($Y$7:$AB$20,MATCH(O413,$Y$7:$Y$20,0),$AA$6)),"/"),"")</f>
        <v/>
      </c>
      <c r="R413" s="35" t="str">
        <f>IF(N401&lt;&gt;"",IF(INDEX(BDHK2,MATCH(N401,DiemHKII!$B$4:$B$58,0),INDEX($Y$7:$AB$20,MATCH(O413,$Y$7:$Y$20,0),$AB$6))&lt;&gt;"",INDEX(BDHK2,MATCH(N401,DiemHKII!$B$4:$B$58,0),INDEX($Y$7:$AB$20,MATCH(O413,$Y$7:$Y$20,0),$AB$6)),"/"),"")</f>
        <v/>
      </c>
      <c r="S413" s="88"/>
    </row>
    <row r="414" spans="1:19" ht="15.6" customHeight="1">
      <c r="A414" s="88"/>
      <c r="B414" s="79" t="s">
        <v>201</v>
      </c>
      <c r="C414" s="81" t="s">
        <v>34</v>
      </c>
      <c r="D414" s="35" t="str">
        <f>IF(B401&lt;&gt;"",IF(INDEX(BDHK2,MATCH(B401,DiemHKII!$B$4:$B$58,0),INDEX($Y$7:$AB$20,MATCH(C414,$Y$7:$Y$20,0),$Z$6))&lt;&gt;"",INDEX(BDHK2,MATCH(B401,DiemHKII!$B$4:$B$58,0),INDEX($Y$7:$AB$20,MATCH(C414,$Y$7:$Y$20,0),$Z$6)),"/"),"")</f>
        <v/>
      </c>
      <c r="E414" s="35" t="str">
        <f>IF(B401&lt;&gt;"",IF(INDEX(BDHK2,MATCH(B401,DiemHKII!$B$4:$B$58,0),INDEX($Y$7:$AB$20,MATCH(C414,$Y$7:$Y$20,0),$AA$6))&lt;&gt;"",INDEX(BDHK2,MATCH(B401,DiemHKII!$B$4:$B$58,0),INDEX($Y$7:$AB$20,MATCH(C414,$Y$7:$Y$20,0),$AA$6)),"/"),"")</f>
        <v/>
      </c>
      <c r="F414" s="35" t="str">
        <f>IF(B401&lt;&gt;"",IF(INDEX(BDHK2,MATCH(B401,DiemHKII!$B$4:$B$58,0),INDEX($Y$7:$AB$20,MATCH(C414,$Y$7:$Y$20,0),$AB$6))&lt;&gt;"",INDEX(BDHK2,MATCH(B401,DiemHKII!$B$4:$B$58,0),INDEX($Y$7:$AB$20,MATCH(C414,$Y$7:$Y$20,0),$AB$6)),"/"),"")</f>
        <v/>
      </c>
      <c r="G414" s="88"/>
      <c r="H414" s="79" t="s">
        <v>201</v>
      </c>
      <c r="I414" s="81" t="s">
        <v>34</v>
      </c>
      <c r="J414" s="35" t="str">
        <f>IF(H401&lt;&gt;"",IF(INDEX(BDHK2,MATCH(H401,DiemHKII!$B$4:$B$58,0),INDEX($Y$7:$AB$20,MATCH(I414,$Y$7:$Y$20,0),$Z$6))&lt;&gt;"",INDEX(BDHK2,MATCH(H401,DiemHKII!$B$4:$B$58,0),INDEX($Y$7:$AB$20,MATCH(I414,$Y$7:$Y$20,0),$Z$6)),"/"),"")</f>
        <v/>
      </c>
      <c r="K414" s="35" t="str">
        <f>IF(H401&lt;&gt;"",IF(INDEX(BDHK2,MATCH(H401,DiemHKII!$B$4:$B$58,0),INDEX($Y$7:$AB$20,MATCH(I414,$Y$7:$Y$20,0),$AA$6))&lt;&gt;"",INDEX(BDHK2,MATCH(H401,DiemHKII!$B$4:$B$58,0),INDEX($Y$7:$AB$20,MATCH(I414,$Y$7:$Y$20,0),$AA$6)),"/"),"")</f>
        <v/>
      </c>
      <c r="L414" s="35" t="str">
        <f>IF(H401&lt;&gt;"",IF(INDEX(BDHK2,MATCH(H401,DiemHKII!$B$4:$B$58,0),INDEX($Y$7:$AB$20,MATCH(I414,$Y$7:$Y$20,0),$AB$6))&lt;&gt;"",INDEX(BDHK2,MATCH(H401,DiemHKII!$B$4:$B$58,0),INDEX($Y$7:$AB$20,MATCH(I414,$Y$7:$Y$20,0),$AB$6)),"/"),"")</f>
        <v/>
      </c>
      <c r="M414" s="88"/>
      <c r="N414" s="79" t="s">
        <v>201</v>
      </c>
      <c r="O414" s="81" t="s">
        <v>34</v>
      </c>
      <c r="P414" s="35" t="str">
        <f>IF(N401&lt;&gt;"",IF(INDEX(BDHK2,MATCH(N401,DiemHKII!$B$4:$B$58,0),INDEX($Y$7:$AB$20,MATCH(O414,$Y$7:$Y$20,0),$Z$6))&lt;&gt;"",INDEX(BDHK2,MATCH(N401,DiemHKII!$B$4:$B$58,0),INDEX($Y$7:$AB$20,MATCH(O414,$Y$7:$Y$20,0),$Z$6)),"/"),"")</f>
        <v/>
      </c>
      <c r="Q414" s="35" t="str">
        <f>IF(N401&lt;&gt;"",IF(INDEX(BDHK2,MATCH(N401,DiemHKII!$B$4:$B$58,0),INDEX($Y$7:$AB$20,MATCH(O414,$Y$7:$Y$20,0),$AA$6))&lt;&gt;"",INDEX(BDHK2,MATCH(N401,DiemHKII!$B$4:$B$58,0),INDEX($Y$7:$AB$20,MATCH(O414,$Y$7:$Y$20,0),$AA$6)),"/"),"")</f>
        <v/>
      </c>
      <c r="R414" s="35" t="str">
        <f>IF(N401&lt;&gt;"",IF(INDEX(BDHK2,MATCH(N401,DiemHKII!$B$4:$B$58,0),INDEX($Y$7:$AB$20,MATCH(O414,$Y$7:$Y$20,0),$AB$6))&lt;&gt;"",INDEX(BDHK2,MATCH(N401,DiemHKII!$B$4:$B$58,0),INDEX($Y$7:$AB$20,MATCH(O414,$Y$7:$Y$20,0),$AB$6)),"/"),"")</f>
        <v/>
      </c>
      <c r="S414" s="88"/>
    </row>
    <row r="415" spans="1:19" ht="15.6" customHeight="1">
      <c r="A415" s="88"/>
      <c r="B415" s="79" t="s">
        <v>202</v>
      </c>
      <c r="C415" s="81" t="s">
        <v>35</v>
      </c>
      <c r="D415" s="35" t="str">
        <f>IF(B401&lt;&gt;"",IF(INDEX(BDHK2,MATCH(B401,DiemHKII!$B$4:$B$58,0),INDEX($Y$7:$AB$20,MATCH(C415,$Y$7:$Y$20,0),$Z$6))&lt;&gt;"",INDEX(BDHK2,MATCH(B401,DiemHKII!$B$4:$B$58,0),INDEX($Y$7:$AB$20,MATCH(C415,$Y$7:$Y$20,0),$Z$6)),"/"),"")</f>
        <v/>
      </c>
      <c r="E415" s="35" t="str">
        <f>IF(B401&lt;&gt;"",IF(INDEX(BDHK2,MATCH(B401,DiemHKII!$B$4:$B$58,0),INDEX($Y$7:$AB$20,MATCH(C415,$Y$7:$Y$20,0),$AA$6))&lt;&gt;"",INDEX(BDHK2,MATCH(B401,DiemHKII!$B$4:$B$58,0),INDEX($Y$7:$AB$20,MATCH(C415,$Y$7:$Y$20,0),$AA$6)),"/"),"")</f>
        <v/>
      </c>
      <c r="F415" s="35" t="str">
        <f>IF(B401&lt;&gt;"",IF(INDEX(BDHK2,MATCH(B401,DiemHKII!$B$4:$B$58,0),INDEX($Y$7:$AB$20,MATCH(C415,$Y$7:$Y$20,0),$AB$6))&lt;&gt;"",INDEX(BDHK2,MATCH(B401,DiemHKII!$B$4:$B$58,0),INDEX($Y$7:$AB$20,MATCH(C415,$Y$7:$Y$20,0),$AB$6)),"/"),"")</f>
        <v/>
      </c>
      <c r="G415" s="88"/>
      <c r="H415" s="79" t="s">
        <v>202</v>
      </c>
      <c r="I415" s="81" t="s">
        <v>35</v>
      </c>
      <c r="J415" s="35" t="str">
        <f>IF(H401&lt;&gt;"",IF(INDEX(BDHK2,MATCH(H401,DiemHKII!$B$4:$B$58,0),INDEX($Y$7:$AB$20,MATCH(I415,$Y$7:$Y$20,0),$Z$6))&lt;&gt;"",INDEX(BDHK2,MATCH(H401,DiemHKII!$B$4:$B$58,0),INDEX($Y$7:$AB$20,MATCH(I415,$Y$7:$Y$20,0),$Z$6)),"/"),"")</f>
        <v/>
      </c>
      <c r="K415" s="35" t="str">
        <f>IF(H401&lt;&gt;"",IF(INDEX(BDHK2,MATCH(H401,DiemHKII!$B$4:$B$58,0),INDEX($Y$7:$AB$20,MATCH(I415,$Y$7:$Y$20,0),$AA$6))&lt;&gt;"",INDEX(BDHK2,MATCH(H401,DiemHKII!$B$4:$B$58,0),INDEX($Y$7:$AB$20,MATCH(I415,$Y$7:$Y$20,0),$AA$6)),"/"),"")</f>
        <v/>
      </c>
      <c r="L415" s="35" t="str">
        <f>IF(H401&lt;&gt;"",IF(INDEX(BDHK2,MATCH(H401,DiemHKII!$B$4:$B$58,0),INDEX($Y$7:$AB$20,MATCH(I415,$Y$7:$Y$20,0),$AB$6))&lt;&gt;"",INDEX(BDHK2,MATCH(H401,DiemHKII!$B$4:$B$58,0),INDEX($Y$7:$AB$20,MATCH(I415,$Y$7:$Y$20,0),$AB$6)),"/"),"")</f>
        <v/>
      </c>
      <c r="M415" s="88"/>
      <c r="N415" s="79" t="s">
        <v>202</v>
      </c>
      <c r="O415" s="81" t="s">
        <v>35</v>
      </c>
      <c r="P415" s="35" t="str">
        <f>IF(N401&lt;&gt;"",IF(INDEX(BDHK2,MATCH(N401,DiemHKII!$B$4:$B$58,0),INDEX($Y$7:$AB$20,MATCH(O415,$Y$7:$Y$20,0),$Z$6))&lt;&gt;"",INDEX(BDHK2,MATCH(N401,DiemHKII!$B$4:$B$58,0),INDEX($Y$7:$AB$20,MATCH(O415,$Y$7:$Y$20,0),$Z$6)),"/"),"")</f>
        <v/>
      </c>
      <c r="Q415" s="35" t="str">
        <f>IF(N401&lt;&gt;"",IF(INDEX(BDHK2,MATCH(N401,DiemHKII!$B$4:$B$58,0),INDEX($Y$7:$AB$20,MATCH(O415,$Y$7:$Y$20,0),$AA$6))&lt;&gt;"",INDEX(BDHK2,MATCH(N401,DiemHKII!$B$4:$B$58,0),INDEX($Y$7:$AB$20,MATCH(O415,$Y$7:$Y$20,0),$AA$6)),"/"),"")</f>
        <v/>
      </c>
      <c r="R415" s="35" t="str">
        <f>IF(N401&lt;&gt;"",IF(INDEX(BDHK2,MATCH(N401,DiemHKII!$B$4:$B$58,0),INDEX($Y$7:$AB$20,MATCH(O415,$Y$7:$Y$20,0),$AB$6))&lt;&gt;"",INDEX(BDHK2,MATCH(N401,DiemHKII!$B$4:$B$58,0),INDEX($Y$7:$AB$20,MATCH(O415,$Y$7:$Y$20,0),$AB$6)),"/"),"")</f>
        <v/>
      </c>
      <c r="S415" s="88"/>
    </row>
    <row r="416" spans="1:19" ht="15.6" customHeight="1">
      <c r="A416" s="88"/>
      <c r="B416" s="79" t="s">
        <v>203</v>
      </c>
      <c r="C416" s="81" t="s">
        <v>121</v>
      </c>
      <c r="D416" s="35" t="str">
        <f>IF(B401&lt;&gt;"",IF(INDEX(BDHK2,MATCH(B401,DiemHKII!$B$4:$B$58,0),INDEX($Y$7:$AB$20,MATCH(C416,$Y$7:$Y$20,0),$Z$6))&lt;&gt;"",INDEX(BDHK2,MATCH(B401,DiemHKII!$B$4:$B$58,0),INDEX($Y$7:$AB$20,MATCH(C416,$Y$7:$Y$20,0),$Z$6)),"/"),"")</f>
        <v/>
      </c>
      <c r="E416" s="35" t="str">
        <f>IF(B401&lt;&gt;"",IF(INDEX(BDHK2,MATCH(B401,DiemHKII!$B$4:$B$58,0),INDEX($Y$7:$AB$20,MATCH(C416,$Y$7:$Y$20,0),$AA$6))&lt;&gt;"",INDEX(BDHK2,MATCH(B401,DiemHKII!$B$4:$B$58,0),INDEX($Y$7:$AB$20,MATCH(C416,$Y$7:$Y$20,0),$AA$6)),"/"),"")</f>
        <v/>
      </c>
      <c r="F416" s="35" t="str">
        <f>IF(B401&lt;&gt;"",IF(INDEX(BDHK2,MATCH(B401,DiemHKII!$B$4:$B$58,0),INDEX($Y$7:$AB$20,MATCH(C416,$Y$7:$Y$20,0),$AB$6))&lt;&gt;"",INDEX(BDHK2,MATCH(B401,DiemHKII!$B$4:$B$58,0),INDEX($Y$7:$AB$20,MATCH(C416,$Y$7:$Y$20,0),$AB$6)),"/"),"")</f>
        <v/>
      </c>
      <c r="G416" s="88"/>
      <c r="H416" s="79" t="s">
        <v>203</v>
      </c>
      <c r="I416" s="81" t="s">
        <v>121</v>
      </c>
      <c r="J416" s="35" t="str">
        <f>IF(H401&lt;&gt;"",IF(INDEX(BDHK2,MATCH(H401,DiemHKII!$B$4:$B$58,0),INDEX($Y$7:$AB$20,MATCH(I416,$Y$7:$Y$20,0),$Z$6))&lt;&gt;"",INDEX(BDHK2,MATCH(H401,DiemHKII!$B$4:$B$58,0),INDEX($Y$7:$AB$20,MATCH(I416,$Y$7:$Y$20,0),$Z$6)),"/"),"")</f>
        <v/>
      </c>
      <c r="K416" s="35" t="str">
        <f>IF(H401&lt;&gt;"",IF(INDEX(BDHK2,MATCH(H401,DiemHKII!$B$4:$B$58,0),INDEX($Y$7:$AB$20,MATCH(I416,$Y$7:$Y$20,0),$AA$6))&lt;&gt;"",INDEX(BDHK2,MATCH(H401,DiemHKII!$B$4:$B$58,0),INDEX($Y$7:$AB$20,MATCH(I416,$Y$7:$Y$20,0),$AA$6)),"/"),"")</f>
        <v/>
      </c>
      <c r="L416" s="35" t="str">
        <f>IF(H401&lt;&gt;"",IF(INDEX(BDHK2,MATCH(H401,DiemHKII!$B$4:$B$58,0),INDEX($Y$7:$AB$20,MATCH(I416,$Y$7:$Y$20,0),$AB$6))&lt;&gt;"",INDEX(BDHK2,MATCH(H401,DiemHKII!$B$4:$B$58,0),INDEX($Y$7:$AB$20,MATCH(I416,$Y$7:$Y$20,0),$AB$6)),"/"),"")</f>
        <v/>
      </c>
      <c r="M416" s="88"/>
      <c r="N416" s="79" t="s">
        <v>203</v>
      </c>
      <c r="O416" s="81" t="s">
        <v>121</v>
      </c>
      <c r="P416" s="35" t="str">
        <f>IF(N401&lt;&gt;"",IF(INDEX(BDHK2,MATCH(N401,DiemHKII!$B$4:$B$58,0),INDEX($Y$7:$AB$20,MATCH(O416,$Y$7:$Y$20,0),$Z$6))&lt;&gt;"",INDEX(BDHK2,MATCH(N401,DiemHKII!$B$4:$B$58,0),INDEX($Y$7:$AB$20,MATCH(O416,$Y$7:$Y$20,0),$Z$6)),"/"),"")</f>
        <v/>
      </c>
      <c r="Q416" s="35" t="str">
        <f>IF(N401&lt;&gt;"",IF(INDEX(BDHK2,MATCH(N401,DiemHKII!$B$4:$B$58,0),INDEX($Y$7:$AB$20,MATCH(O416,$Y$7:$Y$20,0),$AA$6))&lt;&gt;"",INDEX(BDHK2,MATCH(N401,DiemHKII!$B$4:$B$58,0),INDEX($Y$7:$AB$20,MATCH(O416,$Y$7:$Y$20,0),$AA$6)),"/"),"")</f>
        <v/>
      </c>
      <c r="R416" s="35" t="str">
        <f>IF(N401&lt;&gt;"",IF(INDEX(BDHK2,MATCH(N401,DiemHKII!$B$4:$B$58,0),INDEX($Y$7:$AB$20,MATCH(O416,$Y$7:$Y$20,0),$AB$6))&lt;&gt;"",INDEX(BDHK2,MATCH(N401,DiemHKII!$B$4:$B$58,0),INDEX($Y$7:$AB$20,MATCH(O416,$Y$7:$Y$20,0),$AB$6)),"/"),"")</f>
        <v/>
      </c>
      <c r="S416" s="88"/>
    </row>
    <row r="417" spans="1:19" ht="15.6" customHeight="1">
      <c r="A417" s="88"/>
      <c r="B417" s="79" t="s">
        <v>204</v>
      </c>
      <c r="C417" s="81" t="s">
        <v>122</v>
      </c>
      <c r="D417" s="35" t="str">
        <f>IF(B401&lt;&gt;"",IF(INDEX(BDHK2,MATCH(B401,DiemHKII!$B$4:$B$58,0),INDEX($Y$7:$AB$20,MATCH(C417,$Y$7:$Y$20,0),$Z$6))&lt;&gt;"",INDEX(BDHK2,MATCH(B401,DiemHKII!$B$4:$B$58,0),INDEX($Y$7:$AB$20,MATCH(C417,$Y$7:$Y$20,0),$Z$6)),"/"),"")</f>
        <v/>
      </c>
      <c r="E417" s="35" t="str">
        <f>IF(B401&lt;&gt;"",IF(INDEX(BDHK2,MATCH(B401,DiemHKII!$B$4:$B$58,0),INDEX($Y$7:$AB$20,MATCH(C417,$Y$7:$Y$20,0),$AA$6))&lt;&gt;"",INDEX(BDHK2,MATCH(B401,DiemHKII!$B$4:$B$58,0),INDEX($Y$7:$AB$20,MATCH(C417,$Y$7:$Y$20,0),$AA$6)),"/"),"")</f>
        <v/>
      </c>
      <c r="F417" s="35" t="str">
        <f>IF(B401&lt;&gt;"",IF(INDEX(BDHK2,MATCH(B401,DiemHKII!$B$4:$B$58,0),INDEX($Y$7:$AB$20,MATCH(C417,$Y$7:$Y$20,0),$AB$6))&lt;&gt;"",INDEX(BDHK2,MATCH(B401,DiemHKII!$B$4:$B$58,0),INDEX($Y$7:$AB$20,MATCH(C417,$Y$7:$Y$20,0),$AB$6)),"/"),"")</f>
        <v/>
      </c>
      <c r="G417" s="88"/>
      <c r="H417" s="79" t="s">
        <v>204</v>
      </c>
      <c r="I417" s="81" t="s">
        <v>122</v>
      </c>
      <c r="J417" s="35" t="str">
        <f>IF(H401&lt;&gt;"",IF(INDEX(BDHK2,MATCH(H401,DiemHKII!$B$4:$B$58,0),INDEX($Y$7:$AB$20,MATCH(I417,$Y$7:$Y$20,0),$Z$6))&lt;&gt;"",INDEX(BDHK2,MATCH(H401,DiemHKII!$B$4:$B$58,0),INDEX($Y$7:$AB$20,MATCH(I417,$Y$7:$Y$20,0),$Z$6)),"/"),"")</f>
        <v/>
      </c>
      <c r="K417" s="35" t="str">
        <f>IF(H401&lt;&gt;"",IF(INDEX(BDHK2,MATCH(H401,DiemHKII!$B$4:$B$58,0),INDEX($Y$7:$AB$20,MATCH(I417,$Y$7:$Y$20,0),$AA$6))&lt;&gt;"",INDEX(BDHK2,MATCH(H401,DiemHKII!$B$4:$B$58,0),INDEX($Y$7:$AB$20,MATCH(I417,$Y$7:$Y$20,0),$AA$6)),"/"),"")</f>
        <v/>
      </c>
      <c r="L417" s="35" t="str">
        <f>IF(H401&lt;&gt;"",IF(INDEX(BDHK2,MATCH(H401,DiemHKII!$B$4:$B$58,0),INDEX($Y$7:$AB$20,MATCH(I417,$Y$7:$Y$20,0),$AB$6))&lt;&gt;"",INDEX(BDHK2,MATCH(H401,DiemHKII!$B$4:$B$58,0),INDEX($Y$7:$AB$20,MATCH(I417,$Y$7:$Y$20,0),$AB$6)),"/"),"")</f>
        <v/>
      </c>
      <c r="M417" s="88"/>
      <c r="N417" s="79" t="s">
        <v>204</v>
      </c>
      <c r="O417" s="81" t="s">
        <v>122</v>
      </c>
      <c r="P417" s="35" t="str">
        <f>IF(N401&lt;&gt;"",IF(INDEX(BDHK2,MATCH(N401,DiemHKII!$B$4:$B$58,0),INDEX($Y$7:$AB$20,MATCH(O417,$Y$7:$Y$20,0),$Z$6))&lt;&gt;"",INDEX(BDHK2,MATCH(N401,DiemHKII!$B$4:$B$58,0),INDEX($Y$7:$AB$20,MATCH(O417,$Y$7:$Y$20,0),$Z$6)),"/"),"")</f>
        <v/>
      </c>
      <c r="Q417" s="35" t="str">
        <f>IF(N401&lt;&gt;"",IF(INDEX(BDHK2,MATCH(N401,DiemHKII!$B$4:$B$58,0),INDEX($Y$7:$AB$20,MATCH(O417,$Y$7:$Y$20,0),$AA$6))&lt;&gt;"",INDEX(BDHK2,MATCH(N401,DiemHKII!$B$4:$B$58,0),INDEX($Y$7:$AB$20,MATCH(O417,$Y$7:$Y$20,0),$AA$6)),"/"),"")</f>
        <v/>
      </c>
      <c r="R417" s="35" t="str">
        <f>IF(N401&lt;&gt;"",IF(INDEX(BDHK2,MATCH(N401,DiemHKII!$B$4:$B$58,0),INDEX($Y$7:$AB$20,MATCH(O417,$Y$7:$Y$20,0),$AB$6))&lt;&gt;"",INDEX(BDHK2,MATCH(N401,DiemHKII!$B$4:$B$58,0),INDEX($Y$7:$AB$20,MATCH(O417,$Y$7:$Y$20,0),$AB$6)),"/"),"")</f>
        <v/>
      </c>
      <c r="S417" s="88"/>
    </row>
    <row r="418" spans="1:19" ht="15.6" customHeight="1">
      <c r="A418" s="88"/>
      <c r="B418" s="79" t="s">
        <v>208</v>
      </c>
      <c r="C418" s="81" t="s">
        <v>217</v>
      </c>
      <c r="D418" s="80" t="str">
        <f>IF(B401&lt;&gt;"",IF(INDEX('TH CANAM'!$A$9:$BF$63,MATCH(B401,'TH CANAM'!$A$9:$A$63,0),46)&lt;&gt;"",INDEX('TH CANAM'!$A$9:$BF$63,MATCH(B401,'TH CANAM'!$A$9:$A$63,0),46),"/"),"")</f>
        <v/>
      </c>
      <c r="E418" s="80" t="str">
        <f>IF(B401&lt;&gt;"",IF(INDEX('TH CANAM'!$A$9:$BF$63,MATCH(B401,'TH CANAM'!$A$9:$A$63,0),47)&lt;&gt;"",INDEX('TH CANAM'!$A$9:$BF$63,MATCH(B401,'TH CANAM'!$A$9:$A$63,0),47),"/"),"")</f>
        <v/>
      </c>
      <c r="F418" s="80" t="str">
        <f>IF(B401&lt;&gt;"",IF(INDEX('TH CANAM'!$A$9:$BF$63,MATCH(B401,'TH CANAM'!$A$9:$A$63,0),48)&lt;&gt;"",INDEX('TH CANAM'!$A$9:$BF$63,MATCH(B401,'TH CANAM'!$A$9:$A$63,0),48),"/"),"")</f>
        <v/>
      </c>
      <c r="G418" s="88"/>
      <c r="H418" s="79" t="s">
        <v>208</v>
      </c>
      <c r="I418" s="81" t="s">
        <v>217</v>
      </c>
      <c r="J418" s="80" t="str">
        <f>IF(H401&lt;&gt;"",IF(INDEX('TH CANAM'!$A$9:$BF$63,MATCH(H401,'TH CANAM'!$A$9:$A$63,0),46)&lt;&gt;"",INDEX('TH CANAM'!$A$9:$BF$63,MATCH(H401,'TH CANAM'!$A$9:$A$63,0),46),"/"),"")</f>
        <v/>
      </c>
      <c r="K418" s="80" t="str">
        <f>IF(H401&lt;&gt;"",IF(INDEX('TH CANAM'!$A$9:$BF$63,MATCH(H401,'TH CANAM'!$A$9:$A$63,0),47)&lt;&gt;"",INDEX('TH CANAM'!$A$9:$BF$63,MATCH(H401,'TH CANAM'!$A$9:$A$63,0),47),"/"),"")</f>
        <v/>
      </c>
      <c r="L418" s="80" t="str">
        <f>IF(H401&lt;&gt;"",IF(INDEX('TH CANAM'!$A$9:$BF$63,MATCH(H401,'TH CANAM'!$A$9:$A$63,0),48)&lt;&gt;"",INDEX('TH CANAM'!$A$9:$BF$63,MATCH(H401,'TH CANAM'!$A$9:$A$63,0),48),"/"),"")</f>
        <v/>
      </c>
      <c r="M418" s="88"/>
      <c r="N418" s="79" t="s">
        <v>208</v>
      </c>
      <c r="O418" s="81" t="s">
        <v>217</v>
      </c>
      <c r="P418" s="80" t="str">
        <f>IF(N401&lt;&gt;"",IF(INDEX('TH CANAM'!$A$9:$BF$63,MATCH(N401,'TH CANAM'!$A$9:$A$63,0),46)&lt;&gt;"",INDEX('TH CANAM'!$A$9:$BF$63,MATCH(N401,'TH CANAM'!$A$9:$A$63,0),46),"/"),"")</f>
        <v/>
      </c>
      <c r="Q418" s="80" t="str">
        <f>IF(N401&lt;&gt;"",IF(INDEX('TH CANAM'!$A$9:$BF$63,MATCH(N401,'TH CANAM'!$A$9:$A$63,0),47)&lt;&gt;"",INDEX('TH CANAM'!$A$9:$BF$63,MATCH(N401,'TH CANAM'!$A$9:$A$63,0),47),"/"),"")</f>
        <v/>
      </c>
      <c r="R418" s="80" t="str">
        <f>IF(N401&lt;&gt;"",IF(INDEX('TH CANAM'!$A$9:$BF$63,MATCH(N401,'TH CANAM'!$A$9:$A$63,0),48)&lt;&gt;"",INDEX('TH CANAM'!$A$9:$BF$63,MATCH(N401,'TH CANAM'!$A$9:$A$63,0),48),"/"),"")</f>
        <v/>
      </c>
      <c r="S418" s="88"/>
    </row>
    <row r="419" spans="1:19" ht="15.6" customHeight="1">
      <c r="A419" s="88"/>
      <c r="B419" s="79" t="s">
        <v>209</v>
      </c>
      <c r="C419" s="82" t="s">
        <v>36</v>
      </c>
      <c r="D419" s="35" t="str">
        <f>IF(B401&lt;&gt;"",IF(INDEX('TH CANAM'!$A$9:$BF$63,MATCH(B401,'TH CANAM'!$A$9:$A$63,0),49)&lt;&gt;"",INDEX('TH CANAM'!$A$9:$BF$63,MATCH(B401,'TH CANAM'!$A$9:$A$63,0),49),"/"),"")</f>
        <v/>
      </c>
      <c r="E419" s="35" t="str">
        <f>IF(B401&lt;&gt;"",IF(INDEX('TH CANAM'!$A$9:$BF$63,MATCH(B401,'TH CANAM'!$A$9:$A$63,0),50)&lt;&gt;"",INDEX('TH CANAM'!$A$9:$BF$63,MATCH(B401,'TH CANAM'!$A$9:$A$63,0),50),"/"),"")</f>
        <v/>
      </c>
      <c r="F419" s="35" t="str">
        <f>IF(B401&lt;&gt;"",IF(INDEX('TH CANAM'!$A$9:$BF$63,MATCH(B401,'TH CANAM'!$A$9:$A$63,0),51)&lt;&gt;"",INDEX('TH CANAM'!$A$9:$BF$63,MATCH(B401,'TH CANAM'!$A$9:$A$63,0),51),"/"),"")</f>
        <v/>
      </c>
      <c r="G419" s="88"/>
      <c r="H419" s="79" t="s">
        <v>209</v>
      </c>
      <c r="I419" s="82" t="s">
        <v>36</v>
      </c>
      <c r="J419" s="35" t="str">
        <f>IF(H401&lt;&gt;"",IF(INDEX('TH CANAM'!$A$9:$BF$63,MATCH(H401,'TH CANAM'!$A$9:$A$63,0),49)&lt;&gt;"",INDEX('TH CANAM'!$A$9:$BF$63,MATCH(H401,'TH CANAM'!$A$9:$A$63,0),49),"/"),"")</f>
        <v/>
      </c>
      <c r="K419" s="35" t="str">
        <f>IF(H401&lt;&gt;"",IF(INDEX('TH CANAM'!$A$9:$BF$63,MATCH(H401,'TH CANAM'!$A$9:$A$63,0),50)&lt;&gt;"",INDEX('TH CANAM'!$A$9:$BF$63,MATCH(H401,'TH CANAM'!$A$9:$A$63,0),50),"/"),"")</f>
        <v/>
      </c>
      <c r="L419" s="35" t="str">
        <f>IF(H401&lt;&gt;"",IF(INDEX('TH CANAM'!$A$9:$BF$63,MATCH(H401,'TH CANAM'!$A$9:$A$63,0),51)&lt;&gt;"",INDEX('TH CANAM'!$A$9:$BF$63,MATCH(H401,'TH CANAM'!$A$9:$A$63,0),51),"/"),"")</f>
        <v/>
      </c>
      <c r="M419" s="88"/>
      <c r="N419" s="79" t="s">
        <v>209</v>
      </c>
      <c r="O419" s="82" t="s">
        <v>36</v>
      </c>
      <c r="P419" s="35" t="str">
        <f>IF(N401&lt;&gt;"",IF(INDEX('TH CANAM'!$A$9:$BF$63,MATCH(N401,'TH CANAM'!$A$9:$A$63,0),49)&lt;&gt;"",INDEX('TH CANAM'!$A$9:$BF$63,MATCH(N401,'TH CANAM'!$A$9:$A$63,0),49),"/"),"")</f>
        <v/>
      </c>
      <c r="Q419" s="35" t="str">
        <f>IF(N401&lt;&gt;"",IF(INDEX('TH CANAM'!$A$9:$BF$63,MATCH(N401,'TH CANAM'!$A$9:$A$63,0),50)&lt;&gt;"",INDEX('TH CANAM'!$A$9:$BF$63,MATCH(N401,'TH CANAM'!$A$9:$A$63,0),50),"/"),"")</f>
        <v/>
      </c>
      <c r="R419" s="35" t="str">
        <f>IF(N401&lt;&gt;"",IF(INDEX('TH CANAM'!$A$9:$BF$63,MATCH(N401,'TH CANAM'!$A$9:$A$63,0),51)&lt;&gt;"",INDEX('TH CANAM'!$A$9:$BF$63,MATCH(N401,'TH CANAM'!$A$9:$A$63,0),51),"/"),"")</f>
        <v/>
      </c>
      <c r="S419" s="88"/>
    </row>
    <row r="420" spans="1:19" ht="15.6" customHeight="1">
      <c r="A420" s="88"/>
      <c r="B420" s="79" t="s">
        <v>210</v>
      </c>
      <c r="C420" s="82" t="s">
        <v>37</v>
      </c>
      <c r="D420" s="35" t="str">
        <f>IF(B401&lt;&gt;"",IF(INDEX('TH CANAM'!$A$9:$BF$63,MATCH(B401,'TH CANAM'!$A$9:$A$63,0),52)&lt;&gt;"",INDEX('TH CANAM'!$A$9:$BF$63,MATCH(B401,'TH CANAM'!$A$9:$A$63,0),52),"/"),"")</f>
        <v/>
      </c>
      <c r="E420" s="35" t="str">
        <f>IF(B401&lt;&gt;"",IF(INDEX('TH CANAM'!$A$9:$BF$63,MATCH(B401,'TH CANAM'!$A$9:$A$63,0),53)&lt;&gt;"",INDEX('TH CANAM'!$A$9:$BF$63,MATCH(B401,'TH CANAM'!$A$9:$A$63,0),53),"/"),"")</f>
        <v/>
      </c>
      <c r="F420" s="35" t="str">
        <f>IF(B401&lt;&gt;"",IF(INDEX('TH CANAM'!$A$9:$BF$63,MATCH(B401,'TH CANAM'!$A$9:$A$63,0),54)&lt;&gt;"",INDEX('TH CANAM'!$A$9:$BF$63,MATCH(B401,'TH CANAM'!$A$9:$A$63,0),54),"/"),"")</f>
        <v/>
      </c>
      <c r="G420" s="88"/>
      <c r="H420" s="79" t="s">
        <v>210</v>
      </c>
      <c r="I420" s="82" t="s">
        <v>37</v>
      </c>
      <c r="J420" s="35" t="str">
        <f>IF(H401&lt;&gt;"",IF(INDEX('TH CANAM'!$A$9:$BF$63,MATCH(H401,'TH CANAM'!$A$9:$A$63,0),52)&lt;&gt;"",INDEX('TH CANAM'!$A$9:$BF$63,MATCH(H401,'TH CANAM'!$A$9:$A$63,0),52),"/"),"")</f>
        <v/>
      </c>
      <c r="K420" s="35" t="str">
        <f>IF(H401&lt;&gt;"",IF(INDEX('TH CANAM'!$A$9:$BF$63,MATCH(H401,'TH CANAM'!$A$9:$A$63,0),53)&lt;&gt;"",INDEX('TH CANAM'!$A$9:$BF$63,MATCH(H401,'TH CANAM'!$A$9:$A$63,0),53),"/"),"")</f>
        <v/>
      </c>
      <c r="L420" s="35" t="str">
        <f>IF(H401&lt;&gt;"",IF(INDEX('TH CANAM'!$A$9:$BF$63,MATCH(H401,'TH CANAM'!$A$9:$A$63,0),54)&lt;&gt;"",INDEX('TH CANAM'!$A$9:$BF$63,MATCH(H401,'TH CANAM'!$A$9:$A$63,0),54),"/"),"")</f>
        <v/>
      </c>
      <c r="M420" s="88"/>
      <c r="N420" s="79" t="s">
        <v>210</v>
      </c>
      <c r="O420" s="82" t="s">
        <v>37</v>
      </c>
      <c r="P420" s="35" t="str">
        <f>IF(N401&lt;&gt;"",IF(INDEX('TH CANAM'!$A$9:$BF$63,MATCH(N401,'TH CANAM'!$A$9:$A$63,0),52)&lt;&gt;"",INDEX('TH CANAM'!$A$9:$BF$63,MATCH(N401,'TH CANAM'!$A$9:$A$63,0),52),"/"),"")</f>
        <v/>
      </c>
      <c r="Q420" s="35" t="str">
        <f>IF(N401&lt;&gt;"",IF(INDEX('TH CANAM'!$A$9:$BF$63,MATCH(N401,'TH CANAM'!$A$9:$A$63,0),53)&lt;&gt;"",INDEX('TH CANAM'!$A$9:$BF$63,MATCH(N401,'TH CANAM'!$A$9:$A$63,0),53),"/"),"")</f>
        <v/>
      </c>
      <c r="R420" s="35" t="str">
        <f>IF(N401&lt;&gt;"",IF(INDEX('TH CANAM'!$A$9:$BF$63,MATCH(N401,'TH CANAM'!$A$9:$A$63,0),54)&lt;&gt;"",INDEX('TH CANAM'!$A$9:$BF$63,MATCH(N401,'TH CANAM'!$A$9:$A$63,0),54),"/"),"")</f>
        <v/>
      </c>
      <c r="S420" s="88"/>
    </row>
    <row r="421" spans="1:19" ht="15.6" customHeight="1">
      <c r="A421" s="88"/>
      <c r="B421" s="79" t="s">
        <v>211</v>
      </c>
      <c r="C421" s="82" t="s">
        <v>25</v>
      </c>
      <c r="D421" s="35" t="str">
        <f>IF(B401&lt;&gt;"",IF(INDEX('TH CANAM'!$A$9:$BF$63,MATCH(B401,'TH CANAM'!$A$9:$A$63,0),57)&lt;&gt;"",INDEX('TH CANAM'!$A$9:$BF$63,MATCH(B401,'TH CANAM'!$A$9:$A$63,0),57),"/"),"")</f>
        <v/>
      </c>
      <c r="E421" s="35" t="str">
        <f>IF(B401&lt;&gt;"",IF(INDEX('TH CANAM'!$A$9:$BF$63,MATCH(B401,'TH CANAM'!$A$9:$A$63,0),58)&lt;&gt;"",INDEX('TH CANAM'!$A$9:$BF$63,MATCH(B401,'TH CANAM'!$A$9:$A$63,0),58),"/"),"")</f>
        <v/>
      </c>
      <c r="F421" s="35" t="str">
        <f>IF(B401&lt;&gt;"",IF(INDEX('TH CANAM'!$A$9:$BF$63,MATCH(B401,'TH CANAM'!$A$9:$A$63,0),55)&lt;&gt;"",INDEX('TH CANAM'!$A$9:$BF$63,MATCH(B401,'TH CANAM'!$A$9:$A$63,0),55),"/"),"")</f>
        <v/>
      </c>
      <c r="G421" s="88"/>
      <c r="H421" s="79" t="s">
        <v>211</v>
      </c>
      <c r="I421" s="82" t="s">
        <v>25</v>
      </c>
      <c r="J421" s="35" t="str">
        <f>IF(H401&lt;&gt;"",IF(INDEX('TH CANAM'!$A$9:$BF$63,MATCH(H401,'TH CANAM'!$A$9:$A$63,0),57)&lt;&gt;"",INDEX('TH CANAM'!$A$9:$BF$63,MATCH(H401,'TH CANAM'!$A$9:$A$63,0),57),"/"),"")</f>
        <v/>
      </c>
      <c r="K421" s="35" t="str">
        <f>IF(H401&lt;&gt;"",IF(INDEX('TH CANAM'!$A$9:$BF$63,MATCH(H401,'TH CANAM'!$A$9:$A$63,0),58)&lt;&gt;"",INDEX('TH CANAM'!$A$9:$BF$63,MATCH(H401,'TH CANAM'!$A$9:$A$63,0),58),"/"),"")</f>
        <v/>
      </c>
      <c r="L421" s="35" t="str">
        <f>IF(H401&lt;&gt;"",IF(INDEX('TH CANAM'!$A$9:$BF$63,MATCH(H401,'TH CANAM'!$A$9:$A$63,0),55)&lt;&gt;"",INDEX('TH CANAM'!$A$9:$BF$63,MATCH(H401,'TH CANAM'!$A$9:$A$63,0),55),"/"),"")</f>
        <v/>
      </c>
      <c r="M421" s="88"/>
      <c r="N421" s="79" t="s">
        <v>211</v>
      </c>
      <c r="O421" s="82" t="s">
        <v>25</v>
      </c>
      <c r="P421" s="35" t="str">
        <f>IF(N401&lt;&gt;"",IF(INDEX('TH CANAM'!$A$9:$BF$63,MATCH(N401,'TH CANAM'!$A$9:$A$63,0),57)&lt;&gt;"",INDEX('TH CANAM'!$A$9:$BF$63,MATCH(N401,'TH CANAM'!$A$9:$A$63,0),57),"/"),"")</f>
        <v/>
      </c>
      <c r="Q421" s="35" t="str">
        <f>IF(N401&lt;&gt;"",IF(INDEX('TH CANAM'!$A$9:$BF$63,MATCH(N401,'TH CANAM'!$A$9:$A$63,0),58)&lt;&gt;"",INDEX('TH CANAM'!$A$9:$BF$63,MATCH(N401,'TH CANAM'!$A$9:$A$63,0),58),"/"),"")</f>
        <v/>
      </c>
      <c r="R421" s="35" t="str">
        <f>IF(N401&lt;&gt;"",IF(INDEX('TH CANAM'!$A$9:$BF$63,MATCH(N401,'TH CANAM'!$A$9:$A$63,0),55)&lt;&gt;"",INDEX('TH CANAM'!$A$9:$BF$63,MATCH(N401,'TH CANAM'!$A$9:$A$63,0),55),"/"),"")</f>
        <v/>
      </c>
      <c r="S421" s="88"/>
    </row>
    <row r="422" spans="1:19" s="251" customFormat="1" ht="15.75" customHeight="1">
      <c r="A422" s="89"/>
      <c r="B422" s="1146" t="s">
        <v>219</v>
      </c>
      <c r="C422" s="1147"/>
      <c r="D422" s="1147"/>
      <c r="E422" s="1147"/>
      <c r="F422" s="1148"/>
      <c r="G422" s="89"/>
      <c r="H422" s="1146" t="s">
        <v>219</v>
      </c>
      <c r="I422" s="1147"/>
      <c r="J422" s="1147"/>
      <c r="K422" s="1147"/>
      <c r="L422" s="1148"/>
      <c r="M422" s="89"/>
      <c r="N422" s="1146" t="s">
        <v>219</v>
      </c>
      <c r="O422" s="1147"/>
      <c r="P422" s="1147"/>
      <c r="Q422" s="1147"/>
      <c r="R422" s="1148"/>
      <c r="S422" s="89"/>
    </row>
    <row r="423" spans="1:19" s="251" customFormat="1" ht="15.6" customHeight="1">
      <c r="A423" s="89"/>
      <c r="B423" s="1143" t="str">
        <f>IF(B401&lt;&gt;"",IF(INDEX(BDHK2,MATCH(B401,DiemHKII!$B$4:$B$58,0),137)&lt;&gt;""," - "&amp;INDEX(BDHK2,MATCH(B401,DiemHKII!$B$4:$B$58,0),137),""),"")</f>
        <v/>
      </c>
      <c r="C423" s="1144"/>
      <c r="D423" s="1144"/>
      <c r="E423" s="1144"/>
      <c r="F423" s="1145"/>
      <c r="G423" s="89"/>
      <c r="H423" s="1143" t="str">
        <f>IF(H401&lt;&gt;"",IF(INDEX(BDHK2,MATCH(H401,DiemHKII!$B$4:$B$58,0),137)&lt;&gt;""," - "&amp;INDEX(BDHK2,MATCH(H401,DiemHKII!$B$4:$B$58,0),137),""),"")</f>
        <v/>
      </c>
      <c r="I423" s="1144"/>
      <c r="J423" s="1144"/>
      <c r="K423" s="1144"/>
      <c r="L423" s="1145"/>
      <c r="M423" s="89"/>
      <c r="N423" s="1143" t="str">
        <f>IF(N401&lt;&gt;"",IF(INDEX(BDHK2,MATCH(N401,DiemHKII!$B$4:$B$58,0),137)&lt;&gt;""," - "&amp;INDEX(BDHK2,MATCH(N401,DiemHKII!$B$4:$B$58,0),137),""),"")</f>
        <v/>
      </c>
      <c r="O423" s="1144"/>
      <c r="P423" s="1144"/>
      <c r="Q423" s="1144"/>
      <c r="R423" s="1145"/>
      <c r="S423" s="89"/>
    </row>
    <row r="424" spans="1:19" s="251" customFormat="1" ht="15.6" customHeight="1">
      <c r="A424" s="89"/>
      <c r="B424" s="1143" t="str">
        <f>IF(B401&lt;&gt;"",IF(INDEX(BDHK2,MATCH(B401,DiemHKII!$B$4:$B$58,0),138)&lt;&gt;""," - "&amp;INDEX(BDHK2,MATCH(B401,DiemHKII!$B$4:$B$58,0),138),""),"")</f>
        <v/>
      </c>
      <c r="C424" s="1144"/>
      <c r="D424" s="1144"/>
      <c r="E424" s="1144"/>
      <c r="F424" s="1145"/>
      <c r="G424" s="89"/>
      <c r="H424" s="1143" t="str">
        <f>IF(H401&lt;&gt;"",IF(INDEX(BDHK2,MATCH(H401,DiemHKII!$B$4:$B$58,0),138)&lt;&gt;""," - "&amp;INDEX(BDHK2,MATCH(H401,DiemHKII!$B$4:$B$58,0),138),""),"")</f>
        <v/>
      </c>
      <c r="I424" s="1144"/>
      <c r="J424" s="1144"/>
      <c r="K424" s="1144"/>
      <c r="L424" s="1145"/>
      <c r="M424" s="89"/>
      <c r="N424" s="1143" t="str">
        <f>IF(N401&lt;&gt;"",IF(INDEX(BDHK2,MATCH(N401,DiemHKII!$B$4:$B$58,0),138)&lt;&gt;""," - "&amp;INDEX(BDHK2,MATCH(N401,DiemHKII!$B$4:$B$58,0),138),""),"")</f>
        <v/>
      </c>
      <c r="O424" s="1144"/>
      <c r="P424" s="1144"/>
      <c r="Q424" s="1144"/>
      <c r="R424" s="1145"/>
      <c r="S424" s="89"/>
    </row>
    <row r="425" spans="1:19" s="251" customFormat="1" ht="15.6" customHeight="1">
      <c r="A425" s="89"/>
      <c r="B425" s="1143" t="str">
        <f>IF(B401&lt;&gt;"",IF(INDEX(BDHK2,MATCH(B401,DiemHKII!$B$4:$B$58,0),139)&lt;&gt;""," - "&amp;INDEX(BDHK2,MATCH(B401,DiemHKII!$B$4:$B$58,0),139),""),"")</f>
        <v/>
      </c>
      <c r="C425" s="1144"/>
      <c r="D425" s="1144"/>
      <c r="E425" s="1144"/>
      <c r="F425" s="1145"/>
      <c r="G425" s="89"/>
      <c r="H425" s="1143" t="str">
        <f>IF(H401&lt;&gt;"",IF(INDEX(BDHK2,MATCH(H401,DiemHKII!$B$4:$B$58,0),139)&lt;&gt;""," - "&amp;INDEX(BDHK2,MATCH(H401,DiemHKII!$B$4:$B$58,0),139),""),"")</f>
        <v/>
      </c>
      <c r="I425" s="1144"/>
      <c r="J425" s="1144"/>
      <c r="K425" s="1144"/>
      <c r="L425" s="1145"/>
      <c r="M425" s="89"/>
      <c r="N425" s="1143" t="str">
        <f>IF(N401&lt;&gt;"",IF(INDEX(BDHK2,MATCH(N401,DiemHKII!$B$4:$B$58,0),139)&lt;&gt;""," - "&amp;INDEX(BDHK2,MATCH(N401,DiemHKII!$B$4:$B$58,0),139),""),"")</f>
        <v/>
      </c>
      <c r="O425" s="1144"/>
      <c r="P425" s="1144"/>
      <c r="Q425" s="1144"/>
      <c r="R425" s="1145"/>
      <c r="S425" s="89"/>
    </row>
    <row r="426" spans="1:19" s="251" customFormat="1" ht="15.6" customHeight="1">
      <c r="A426" s="89"/>
      <c r="B426" s="1143" t="str">
        <f>IF(B401&lt;&gt;"",IF(INDEX(BDHK2,MATCH(B401,DiemHKII!$B$4:$B$58,0),140)&lt;&gt;""," - "&amp;INDEX(BDHK2,MATCH(B401,DiemHKII!$B$4:$B$58,0),140),""),"")</f>
        <v/>
      </c>
      <c r="C426" s="1144"/>
      <c r="D426" s="1144"/>
      <c r="E426" s="1144"/>
      <c r="F426" s="1145"/>
      <c r="G426" s="89"/>
      <c r="H426" s="1143" t="str">
        <f>IF(H401&lt;&gt;"",IF(INDEX(BDHK2,MATCH(H401,DiemHKII!$B$4:$B$58,0),140)&lt;&gt;""," - "&amp;INDEX(BDHK2,MATCH(H401,DiemHKII!$B$4:$B$58,0),140),""),"")</f>
        <v/>
      </c>
      <c r="I426" s="1144"/>
      <c r="J426" s="1144"/>
      <c r="K426" s="1144"/>
      <c r="L426" s="1145"/>
      <c r="M426" s="89"/>
      <c r="N426" s="1143" t="str">
        <f>IF(N401&lt;&gt;"",IF(INDEX(BDHK2,MATCH(N401,DiemHKII!$B$4:$B$58,0),140)&lt;&gt;""," - "&amp;INDEX(BDHK2,MATCH(N401,DiemHKII!$B$4:$B$58,0),140),""),"")</f>
        <v/>
      </c>
      <c r="O426" s="1144"/>
      <c r="P426" s="1144"/>
      <c r="Q426" s="1144"/>
      <c r="R426" s="1145"/>
      <c r="S426" s="89"/>
    </row>
    <row r="427" spans="1:19" ht="8.25" customHeight="1">
      <c r="A427" s="88"/>
      <c r="B427" s="83"/>
      <c r="C427" s="84"/>
      <c r="D427" s="84"/>
      <c r="E427" s="84"/>
      <c r="F427" s="85"/>
      <c r="G427" s="88"/>
      <c r="H427" s="83"/>
      <c r="I427" s="84"/>
      <c r="J427" s="84"/>
      <c r="K427" s="84"/>
      <c r="L427" s="85"/>
      <c r="M427" s="88"/>
      <c r="N427" s="83"/>
      <c r="O427" s="84"/>
      <c r="P427" s="84"/>
      <c r="Q427" s="84"/>
      <c r="R427" s="85"/>
      <c r="S427" s="88"/>
    </row>
    <row r="428" spans="1:19" ht="6.75" customHeight="1">
      <c r="A428" s="88"/>
      <c r="B428" s="87"/>
      <c r="C428" s="87"/>
      <c r="D428" s="1135"/>
      <c r="E428" s="1135"/>
      <c r="F428" s="1135"/>
      <c r="G428" s="88"/>
      <c r="H428" s="87"/>
      <c r="I428" s="87"/>
      <c r="J428" s="1135"/>
      <c r="K428" s="1135"/>
      <c r="L428" s="1135"/>
      <c r="M428" s="88"/>
      <c r="N428" s="87"/>
      <c r="O428" s="87"/>
      <c r="P428" s="1135"/>
      <c r="Q428" s="1135"/>
      <c r="R428" s="1135"/>
      <c r="S428" s="88"/>
    </row>
    <row r="429" spans="1:19" ht="18" customHeight="1">
      <c r="A429" s="88"/>
      <c r="B429" s="477" t="str">
        <f>IF(N401="","",IF(N401&lt;MAX(DiemHKII!$B$4:$B$58),N401+1,""))</f>
        <v/>
      </c>
      <c r="C429" s="1140" t="str">
        <f>IF(B429="","",INDEX(DiemHKII!$E$4:$E$58,MATCH(B429,DiemHKII!$B$4:$B$58,0),1)&amp;" "&amp;INDEX(DiemHKII!$F$4:$F$58,MATCH(B429,DiemHKII!$B$4:$B$58,0),1))</f>
        <v/>
      </c>
      <c r="D429" s="1141"/>
      <c r="E429" s="1142"/>
      <c r="F429" s="86" t="str">
        <f>IF('Huong dan'!$C$3="","",'Huong dan'!$C$3)</f>
        <v>12A1</v>
      </c>
      <c r="G429" s="88"/>
      <c r="H429" s="477" t="str">
        <f>IF(B429="","",IF(B429&lt;MAX(DiemHKII!$B$4:$B$58),B429+1,""))</f>
        <v/>
      </c>
      <c r="I429" s="1140" t="str">
        <f>IF(H429="","",INDEX(DiemHKII!$E$4:$E$58,MATCH(H429,DiemHKII!$B$4:$B$58,0),1)&amp;" "&amp;INDEX(DiemHKII!$F$4:$F$58,MATCH(H429,DiemHKII!$B$4:$B$58,0),1))</f>
        <v/>
      </c>
      <c r="J429" s="1141"/>
      <c r="K429" s="1142"/>
      <c r="L429" s="86" t="str">
        <f>IF('Huong dan'!$C$3="","",'Huong dan'!$C$3)</f>
        <v>12A1</v>
      </c>
      <c r="M429" s="88"/>
      <c r="N429" s="477" t="str">
        <f>IF(H429="","",IF(H429&lt;MAX(DiemHKII!$B$4:$B$58),H429+1,""))</f>
        <v/>
      </c>
      <c r="O429" s="1140" t="str">
        <f>IF(N429="","",INDEX(DiemHKII!$E$4:$E$58,MATCH(N429,DiemHKII!$B$4:$B$58,0),1)&amp;" "&amp;INDEX(DiemHKII!$F$4:$F$58,MATCH(N429,DiemHKII!$B$4:$B$58,0),1))</f>
        <v/>
      </c>
      <c r="P429" s="1141"/>
      <c r="Q429" s="1142"/>
      <c r="R429" s="86" t="str">
        <f>IF('Huong dan'!$C$3="","",'Huong dan'!$C$3)</f>
        <v>12A1</v>
      </c>
      <c r="S429" s="88"/>
    </row>
    <row r="430" spans="1:19" ht="18.75" customHeight="1">
      <c r="A430" s="88"/>
      <c r="B430" s="1136" t="str">
        <f>" Sinh ngày: "&amp;IF(B429="","",INDEX(DiemHKII!$G$4:$G$58,MATCH(B429,DiemHKII!$B$4:$B$58,0),1))</f>
        <v xml:space="preserve"> Sinh ngày: </v>
      </c>
      <c r="C430" s="1137"/>
      <c r="D430" s="1137"/>
      <c r="E430" s="1138" t="str">
        <f>IF(B429="","","NS: "&amp;INDEX(DiemHKII!$H$4:$H$58,MATCH(B429,DiemHKII!$B$4:$B$58,0),1))</f>
        <v/>
      </c>
      <c r="F430" s="1139"/>
      <c r="G430" s="88"/>
      <c r="H430" s="1136" t="str">
        <f>" Sinh ngày: "&amp;IF(H429="","",INDEX(DiemHKII!$G$4:$G$58,MATCH(H429,DiemHKII!$B$4:$B$58,0),1))</f>
        <v xml:space="preserve"> Sinh ngày: </v>
      </c>
      <c r="I430" s="1137"/>
      <c r="J430" s="1137"/>
      <c r="K430" s="1138" t="str">
        <f>IF(H429="","","NS: "&amp;INDEX(DiemHKII!$H$4:$H$58,MATCH(H429,DiemHKII!$B$4:$B$58,0),1))</f>
        <v/>
      </c>
      <c r="L430" s="1139"/>
      <c r="M430" s="88"/>
      <c r="N430" s="1136" t="str">
        <f>" Sinh ngày: "&amp;IF(N429="","",INDEX(DiemHKII!$G$4:$G$58,MATCH(N429,DiemHKII!$B$4:$B$58,0),1))</f>
        <v xml:space="preserve"> Sinh ngày: </v>
      </c>
      <c r="O430" s="1137"/>
      <c r="P430" s="1137"/>
      <c r="Q430" s="1138" t="str">
        <f>IF(N429="","","NS: "&amp;INDEX(DiemHKII!$H$4:$H$58,MATCH(N429,DiemHKII!$B$4:$B$58,0),1))</f>
        <v/>
      </c>
      <c r="R430" s="1139"/>
      <c r="S430" s="88"/>
    </row>
    <row r="431" spans="1:19" ht="15.75" customHeight="1">
      <c r="A431" s="88"/>
      <c r="B431" s="381" t="s">
        <v>0</v>
      </c>
      <c r="C431" s="381" t="s">
        <v>59</v>
      </c>
      <c r="D431" s="381" t="s">
        <v>73</v>
      </c>
      <c r="E431" s="381" t="s">
        <v>176</v>
      </c>
      <c r="F431" s="381" t="s">
        <v>98</v>
      </c>
      <c r="G431" s="88"/>
      <c r="H431" s="381" t="s">
        <v>0</v>
      </c>
      <c r="I431" s="381" t="s">
        <v>59</v>
      </c>
      <c r="J431" s="381" t="s">
        <v>73</v>
      </c>
      <c r="K431" s="381" t="s">
        <v>176</v>
      </c>
      <c r="L431" s="381" t="s">
        <v>98</v>
      </c>
      <c r="M431" s="88"/>
      <c r="N431" s="381" t="s">
        <v>0</v>
      </c>
      <c r="O431" s="381" t="s">
        <v>59</v>
      </c>
      <c r="P431" s="381" t="s">
        <v>73</v>
      </c>
      <c r="Q431" s="381" t="s">
        <v>176</v>
      </c>
      <c r="R431" s="381" t="s">
        <v>98</v>
      </c>
      <c r="S431" s="88"/>
    </row>
    <row r="432" spans="1:19" ht="15.6" customHeight="1">
      <c r="A432" s="88"/>
      <c r="B432" s="79" t="s">
        <v>191</v>
      </c>
      <c r="C432" s="81" t="s">
        <v>26</v>
      </c>
      <c r="D432" s="35" t="str">
        <f>IF(B429&lt;&gt;"",IF(INDEX(BDHK2,MATCH(B429,DiemHKII!$B$4:$B$58,0),INDEX($Y$7:$AB$20,MATCH(C432,$Y$7:$Y$20,0),$Z$6))&lt;&gt;"",INDEX(BDHK2,MATCH(B429,DiemHKII!$B$4:$B$58,0),INDEX($Y$7:$AB$20,MATCH(C432,$Y$7:$Y$20,0),$Z$6)),"/"),"")</f>
        <v/>
      </c>
      <c r="E432" s="35" t="str">
        <f>IF(B429&lt;&gt;"",IF(INDEX(BDHK2,MATCH(B429,DiemHKII!$B$4:$B$58,0),INDEX($Y$7:$AB$20,MATCH(C432,$Y$7:$Y$20,0),$AA$6))&lt;&gt;"",INDEX(BDHK2,MATCH(B429,DiemHKII!$B$4:$B$58,0),INDEX($Y$7:$AB$20,MATCH(C432,$Y$7:$Y$20,0),$AA$6)),"/"),"")</f>
        <v/>
      </c>
      <c r="F432" s="35" t="str">
        <f>IF(B429&lt;&gt;"",IF(INDEX(BDHK2,MATCH(B429,DiemHKII!$B$4:$B$58,0),INDEX($Y$7:$AB$20,MATCH(C432,$Y$7:$Y$20,0),$AB$6))&lt;&gt;"",INDEX(BDHK2,MATCH(B429,DiemHKII!$B$4:$B$58,0),INDEX($Y$7:$AB$20,MATCH(C432,$Y$7:$Y$20,0),$AB$6)),"/"),"")</f>
        <v/>
      </c>
      <c r="G432" s="88"/>
      <c r="H432" s="79" t="s">
        <v>191</v>
      </c>
      <c r="I432" s="81" t="s">
        <v>26</v>
      </c>
      <c r="J432" s="35" t="str">
        <f>IF(H429&lt;&gt;"",IF(INDEX(BDHK2,MATCH(H429,DiemHKII!$B$4:$B$58,0),INDEX($Y$7:$AB$20,MATCH(I432,$Y$7:$Y$20,0),$Z$6))&lt;&gt;"",INDEX(BDHK2,MATCH(H429,DiemHKII!$B$4:$B$58,0),INDEX($Y$7:$AB$20,MATCH(I432,$Y$7:$Y$20,0),$Z$6)),"/"),"")</f>
        <v/>
      </c>
      <c r="K432" s="35" t="str">
        <f>IF(H429&lt;&gt;"",IF(INDEX(BDHK2,MATCH(H429,DiemHKII!$B$4:$B$58,0),INDEX($Y$7:$AB$20,MATCH(I432,$Y$7:$Y$20,0),$AA$6))&lt;&gt;"",INDEX(BDHK2,MATCH(H429,DiemHKII!$B$4:$B$58,0),INDEX($Y$7:$AB$20,MATCH(I432,$Y$7:$Y$20,0),$AA$6)),"/"),"")</f>
        <v/>
      </c>
      <c r="L432" s="35" t="str">
        <f>IF(H429&lt;&gt;"",IF(INDEX(BDHK2,MATCH(H429,DiemHKII!$B$4:$B$58,0),INDEX($Y$7:$AB$20,MATCH(I432,$Y$7:$Y$20,0),$AB$6))&lt;&gt;"",INDEX(BDHK2,MATCH(H429,DiemHKII!$B$4:$B$58,0),INDEX($Y$7:$AB$20,MATCH(I432,$Y$7:$Y$20,0),$AB$6)),"/"),"")</f>
        <v/>
      </c>
      <c r="M432" s="88"/>
      <c r="N432" s="79" t="s">
        <v>191</v>
      </c>
      <c r="O432" s="81" t="s">
        <v>26</v>
      </c>
      <c r="P432" s="35" t="str">
        <f>IF(N429&lt;&gt;"",IF(INDEX(BDHK2,MATCH(N429,DiemHKII!$B$4:$B$58,0),INDEX($Y$7:$AB$20,MATCH(O432,$Y$7:$Y$20,0),$Z$6))&lt;&gt;"",INDEX(BDHK2,MATCH(N429,DiemHKII!$B$4:$B$58,0),INDEX($Y$7:$AB$20,MATCH(O432,$Y$7:$Y$20,0),$Z$6)),"/"),"")</f>
        <v/>
      </c>
      <c r="Q432" s="35" t="str">
        <f>IF(N429&lt;&gt;"",IF(INDEX(BDHK2,MATCH(N429,DiemHKII!$B$4:$B$58,0),INDEX($Y$7:$AB$20,MATCH(O432,$Y$7:$Y$20,0),$AA$6))&lt;&gt;"",INDEX(BDHK2,MATCH(N429,DiemHKII!$B$4:$B$58,0),INDEX($Y$7:$AB$20,MATCH(O432,$Y$7:$Y$20,0),$AA$6)),"/"),"")</f>
        <v/>
      </c>
      <c r="R432" s="35" t="str">
        <f>IF(N429&lt;&gt;"",IF(INDEX(BDHK2,MATCH(N429,DiemHKII!$B$4:$B$58,0),INDEX($Y$7:$AB$20,MATCH(O432,$Y$7:$Y$20,0),$AB$6))&lt;&gt;"",INDEX(BDHK2,MATCH(N429,DiemHKII!$B$4:$B$58,0),INDEX($Y$7:$AB$20,MATCH(O432,$Y$7:$Y$20,0),$AB$6)),"/"),"")</f>
        <v/>
      </c>
      <c r="S432" s="88"/>
    </row>
    <row r="433" spans="1:19" ht="15.6" customHeight="1">
      <c r="A433" s="88"/>
      <c r="B433" s="79" t="s">
        <v>192</v>
      </c>
      <c r="C433" s="81" t="s">
        <v>27</v>
      </c>
      <c r="D433" s="35" t="str">
        <f>IF(B429&lt;&gt;"",IF(INDEX(BDHK2,MATCH(B429,DiemHKII!$B$4:$B$58,0),INDEX($Y$7:$AB$20,MATCH(C433,$Y$7:$Y$20,0),$Z$6))&lt;&gt;"",INDEX(BDHK2,MATCH(B429,DiemHKII!$B$4:$B$58,0),INDEX($Y$7:$AB$20,MATCH(C433,$Y$7:$Y$20,0),$Z$6)),"/"),"")</f>
        <v/>
      </c>
      <c r="E433" s="35" t="str">
        <f>IF(B429&lt;&gt;"",IF(INDEX(BDHK2,MATCH(B429,DiemHKII!$B$4:$B$58,0),INDEX($Y$7:$AB$20,MATCH(C433,$Y$7:$Y$20,0),$AA$6))&lt;&gt;"",INDEX(BDHK2,MATCH(B429,DiemHKII!$B$4:$B$58,0),INDEX($Y$7:$AB$20,MATCH(C433,$Y$7:$Y$20,0),$AA$6)),"/"),"")</f>
        <v/>
      </c>
      <c r="F433" s="35" t="str">
        <f>IF(B429&lt;&gt;"",IF(INDEX(BDHK2,MATCH(B429,DiemHKII!$B$4:$B$58,0),INDEX($Y$7:$AB$20,MATCH(C433,$Y$7:$Y$20,0),$AB$6))&lt;&gt;"",INDEX(BDHK2,MATCH(B429,DiemHKII!$B$4:$B$58,0),INDEX($Y$7:$AB$20,MATCH(C433,$Y$7:$Y$20,0),$AB$6)),"/"),"")</f>
        <v/>
      </c>
      <c r="G433" s="88"/>
      <c r="H433" s="79" t="s">
        <v>192</v>
      </c>
      <c r="I433" s="81" t="s">
        <v>27</v>
      </c>
      <c r="J433" s="35" t="str">
        <f>IF(H429&lt;&gt;"",IF(INDEX(BDHK2,MATCH(H429,DiemHKII!$B$4:$B$58,0),INDEX($Y$7:$AB$20,MATCH(I433,$Y$7:$Y$20,0),$Z$6))&lt;&gt;"",INDEX(BDHK2,MATCH(H429,DiemHKII!$B$4:$B$58,0),INDEX($Y$7:$AB$20,MATCH(I433,$Y$7:$Y$20,0),$Z$6)),"/"),"")</f>
        <v/>
      </c>
      <c r="K433" s="35" t="str">
        <f>IF(H429&lt;&gt;"",IF(INDEX(BDHK2,MATCH(H429,DiemHKII!$B$4:$B$58,0),INDEX($Y$7:$AB$20,MATCH(I433,$Y$7:$Y$20,0),$AA$6))&lt;&gt;"",INDEX(BDHK2,MATCH(H429,DiemHKII!$B$4:$B$58,0),INDEX($Y$7:$AB$20,MATCH(I433,$Y$7:$Y$20,0),$AA$6)),"/"),"")</f>
        <v/>
      </c>
      <c r="L433" s="35" t="str">
        <f>IF(H429&lt;&gt;"",IF(INDEX(BDHK2,MATCH(H429,DiemHKII!$B$4:$B$58,0),INDEX($Y$7:$AB$20,MATCH(I433,$Y$7:$Y$20,0),$AB$6))&lt;&gt;"",INDEX(BDHK2,MATCH(H429,DiemHKII!$B$4:$B$58,0),INDEX($Y$7:$AB$20,MATCH(I433,$Y$7:$Y$20,0),$AB$6)),"/"),"")</f>
        <v/>
      </c>
      <c r="M433" s="88"/>
      <c r="N433" s="79" t="s">
        <v>192</v>
      </c>
      <c r="O433" s="81" t="s">
        <v>27</v>
      </c>
      <c r="P433" s="35" t="str">
        <f>IF(N429&lt;&gt;"",IF(INDEX(BDHK2,MATCH(N429,DiemHKII!$B$4:$B$58,0),INDEX($Y$7:$AB$20,MATCH(O433,$Y$7:$Y$20,0),$Z$6))&lt;&gt;"",INDEX(BDHK2,MATCH(N429,DiemHKII!$B$4:$B$58,0),INDEX($Y$7:$AB$20,MATCH(O433,$Y$7:$Y$20,0),$Z$6)),"/"),"")</f>
        <v/>
      </c>
      <c r="Q433" s="35" t="str">
        <f>IF(N429&lt;&gt;"",IF(INDEX(BDHK2,MATCH(N429,DiemHKII!$B$4:$B$58,0),INDEX($Y$7:$AB$20,MATCH(O433,$Y$7:$Y$20,0),$AA$6))&lt;&gt;"",INDEX(BDHK2,MATCH(N429,DiemHKII!$B$4:$B$58,0),INDEX($Y$7:$AB$20,MATCH(O433,$Y$7:$Y$20,0),$AA$6)),"/"),"")</f>
        <v/>
      </c>
      <c r="R433" s="35" t="str">
        <f>IF(N429&lt;&gt;"",IF(INDEX(BDHK2,MATCH(N429,DiemHKII!$B$4:$B$58,0),INDEX($Y$7:$AB$20,MATCH(O433,$Y$7:$Y$20,0),$AB$6))&lt;&gt;"",INDEX(BDHK2,MATCH(N429,DiemHKII!$B$4:$B$58,0),INDEX($Y$7:$AB$20,MATCH(O433,$Y$7:$Y$20,0),$AB$6)),"/"),"")</f>
        <v/>
      </c>
      <c r="S433" s="88"/>
    </row>
    <row r="434" spans="1:19" ht="15.6" customHeight="1">
      <c r="A434" s="88"/>
      <c r="B434" s="79" t="s">
        <v>193</v>
      </c>
      <c r="C434" s="81" t="s">
        <v>28</v>
      </c>
      <c r="D434" s="35" t="str">
        <f>IF(B429&lt;&gt;"",IF(INDEX(BDHK2,MATCH(B429,DiemHKII!$B$4:$B$58,0),INDEX($Y$7:$AB$20,MATCH(C434,$Y$7:$Y$20,0),$Z$6))&lt;&gt;"",INDEX(BDHK2,MATCH(B429,DiemHKII!$B$4:$B$58,0),INDEX($Y$7:$AB$20,MATCH(C434,$Y$7:$Y$20,0),$Z$6)),"/"),"")</f>
        <v/>
      </c>
      <c r="E434" s="35" t="str">
        <f>IF(B429&lt;&gt;"",IF(INDEX(BDHK2,MATCH(B429,DiemHKII!$B$4:$B$58,0),INDEX($Y$7:$AB$20,MATCH(C434,$Y$7:$Y$20,0),$AA$6))&lt;&gt;"",INDEX(BDHK2,MATCH(B429,DiemHKII!$B$4:$B$58,0),INDEX($Y$7:$AB$20,MATCH(C434,$Y$7:$Y$20,0),$AA$6)),"/"),"")</f>
        <v/>
      </c>
      <c r="F434" s="35" t="str">
        <f>IF(B429&lt;&gt;"",IF(INDEX(BDHK2,MATCH(B429,DiemHKII!$B$4:$B$58,0),INDEX($Y$7:$AB$20,MATCH(C434,$Y$7:$Y$20,0),$AB$6))&lt;&gt;"",INDEX(BDHK2,MATCH(B429,DiemHKII!$B$4:$B$58,0),INDEX($Y$7:$AB$20,MATCH(C434,$Y$7:$Y$20,0),$AB$6)),"/"),"")</f>
        <v/>
      </c>
      <c r="G434" s="88"/>
      <c r="H434" s="79" t="s">
        <v>193</v>
      </c>
      <c r="I434" s="81" t="s">
        <v>28</v>
      </c>
      <c r="J434" s="35" t="str">
        <f>IF(H429&lt;&gt;"",IF(INDEX(BDHK2,MATCH(H429,DiemHKII!$B$4:$B$58,0),INDEX($Y$7:$AB$20,MATCH(I434,$Y$7:$Y$20,0),$Z$6))&lt;&gt;"",INDEX(BDHK2,MATCH(H429,DiemHKII!$B$4:$B$58,0),INDEX($Y$7:$AB$20,MATCH(I434,$Y$7:$Y$20,0),$Z$6)),"/"),"")</f>
        <v/>
      </c>
      <c r="K434" s="35" t="str">
        <f>IF(H429&lt;&gt;"",IF(INDEX(BDHK2,MATCH(H429,DiemHKII!$B$4:$B$58,0),INDEX($Y$7:$AB$20,MATCH(I434,$Y$7:$Y$20,0),$AA$6))&lt;&gt;"",INDEX(BDHK2,MATCH(H429,DiemHKII!$B$4:$B$58,0),INDEX($Y$7:$AB$20,MATCH(I434,$Y$7:$Y$20,0),$AA$6)),"/"),"")</f>
        <v/>
      </c>
      <c r="L434" s="35" t="str">
        <f>IF(H429&lt;&gt;"",IF(INDEX(BDHK2,MATCH(H429,DiemHKII!$B$4:$B$58,0),INDEX($Y$7:$AB$20,MATCH(I434,$Y$7:$Y$20,0),$AB$6))&lt;&gt;"",INDEX(BDHK2,MATCH(H429,DiemHKII!$B$4:$B$58,0),INDEX($Y$7:$AB$20,MATCH(I434,$Y$7:$Y$20,0),$AB$6)),"/"),"")</f>
        <v/>
      </c>
      <c r="M434" s="88"/>
      <c r="N434" s="79" t="s">
        <v>193</v>
      </c>
      <c r="O434" s="81" t="s">
        <v>28</v>
      </c>
      <c r="P434" s="35" t="str">
        <f>IF(N429&lt;&gt;"",IF(INDEX(BDHK2,MATCH(N429,DiemHKII!$B$4:$B$58,0),INDEX($Y$7:$AB$20,MATCH(O434,$Y$7:$Y$20,0),$Z$6))&lt;&gt;"",INDEX(BDHK2,MATCH(N429,DiemHKII!$B$4:$B$58,0),INDEX($Y$7:$AB$20,MATCH(O434,$Y$7:$Y$20,0),$Z$6)),"/"),"")</f>
        <v/>
      </c>
      <c r="Q434" s="35" t="str">
        <f>IF(N429&lt;&gt;"",IF(INDEX(BDHK2,MATCH(N429,DiemHKII!$B$4:$B$58,0),INDEX($Y$7:$AB$20,MATCH(O434,$Y$7:$Y$20,0),$AA$6))&lt;&gt;"",INDEX(BDHK2,MATCH(N429,DiemHKII!$B$4:$B$58,0),INDEX($Y$7:$AB$20,MATCH(O434,$Y$7:$Y$20,0),$AA$6)),"/"),"")</f>
        <v/>
      </c>
      <c r="R434" s="35" t="str">
        <f>IF(N429&lt;&gt;"",IF(INDEX(BDHK2,MATCH(N429,DiemHKII!$B$4:$B$58,0),INDEX($Y$7:$AB$20,MATCH(O434,$Y$7:$Y$20,0),$AB$6))&lt;&gt;"",INDEX(BDHK2,MATCH(N429,DiemHKII!$B$4:$B$58,0),INDEX($Y$7:$AB$20,MATCH(O434,$Y$7:$Y$20,0),$AB$6)),"/"),"")</f>
        <v/>
      </c>
      <c r="S434" s="88"/>
    </row>
    <row r="435" spans="1:19" ht="15.6" customHeight="1">
      <c r="A435" s="88"/>
      <c r="B435" s="79" t="s">
        <v>194</v>
      </c>
      <c r="C435" s="81" t="s">
        <v>29</v>
      </c>
      <c r="D435" s="35" t="str">
        <f>IF(B429&lt;&gt;"",IF(INDEX(BDHK2,MATCH(B429,DiemHKII!$B$4:$B$58,0),INDEX($Y$7:$AB$20,MATCH(C435,$Y$7:$Y$20,0),$Z$6))&lt;&gt;"",INDEX(BDHK2,MATCH(B429,DiemHKII!$B$4:$B$58,0),INDEX($Y$7:$AB$20,MATCH(C435,$Y$7:$Y$20,0),$Z$6)),"/"),"")</f>
        <v/>
      </c>
      <c r="E435" s="35" t="str">
        <f>IF(B429&lt;&gt;"",IF(INDEX(BDHK2,MATCH(B429,DiemHKII!$B$4:$B$58,0),INDEX($Y$7:$AB$20,MATCH(C435,$Y$7:$Y$20,0),$AA$6))&lt;&gt;"",INDEX(BDHK2,MATCH(B429,DiemHKII!$B$4:$B$58,0),INDEX($Y$7:$AB$20,MATCH(C435,$Y$7:$Y$20,0),$AA$6)),"/"),"")</f>
        <v/>
      </c>
      <c r="F435" s="35" t="str">
        <f>IF(B429&lt;&gt;"",IF(INDEX(BDHK2,MATCH(B429,DiemHKII!$B$4:$B$58,0),INDEX($Y$7:$AB$20,MATCH(C435,$Y$7:$Y$20,0),$AB$6))&lt;&gt;"",INDEX(BDHK2,MATCH(B429,DiemHKII!$B$4:$B$58,0),INDEX($Y$7:$AB$20,MATCH(C435,$Y$7:$Y$20,0),$AB$6)),"/"),"")</f>
        <v/>
      </c>
      <c r="G435" s="88"/>
      <c r="H435" s="79" t="s">
        <v>194</v>
      </c>
      <c r="I435" s="81" t="s">
        <v>29</v>
      </c>
      <c r="J435" s="35" t="str">
        <f>IF(H429&lt;&gt;"",IF(INDEX(BDHK2,MATCH(H429,DiemHKII!$B$4:$B$58,0),INDEX($Y$7:$AB$20,MATCH(I435,$Y$7:$Y$20,0),$Z$6))&lt;&gt;"",INDEX(BDHK2,MATCH(H429,DiemHKII!$B$4:$B$58,0),INDEX($Y$7:$AB$20,MATCH(I435,$Y$7:$Y$20,0),$Z$6)),"/"),"")</f>
        <v/>
      </c>
      <c r="K435" s="35" t="str">
        <f>IF(H429&lt;&gt;"",IF(INDEX(BDHK2,MATCH(H429,DiemHKII!$B$4:$B$58,0),INDEX($Y$7:$AB$20,MATCH(I435,$Y$7:$Y$20,0),$AA$6))&lt;&gt;"",INDEX(BDHK2,MATCH(H429,DiemHKII!$B$4:$B$58,0),INDEX($Y$7:$AB$20,MATCH(I435,$Y$7:$Y$20,0),$AA$6)),"/"),"")</f>
        <v/>
      </c>
      <c r="L435" s="35" t="str">
        <f>IF(H429&lt;&gt;"",IF(INDEX(BDHK2,MATCH(H429,DiemHKII!$B$4:$B$58,0),INDEX($Y$7:$AB$20,MATCH(I435,$Y$7:$Y$20,0),$AB$6))&lt;&gt;"",INDEX(BDHK2,MATCH(H429,DiemHKII!$B$4:$B$58,0),INDEX($Y$7:$AB$20,MATCH(I435,$Y$7:$Y$20,0),$AB$6)),"/"),"")</f>
        <v/>
      </c>
      <c r="M435" s="88"/>
      <c r="N435" s="79" t="s">
        <v>194</v>
      </c>
      <c r="O435" s="81" t="s">
        <v>29</v>
      </c>
      <c r="P435" s="35" t="str">
        <f>IF(N429&lt;&gt;"",IF(INDEX(BDHK2,MATCH(N429,DiemHKII!$B$4:$B$58,0),INDEX($Y$7:$AB$20,MATCH(O435,$Y$7:$Y$20,0),$Z$6))&lt;&gt;"",INDEX(BDHK2,MATCH(N429,DiemHKII!$B$4:$B$58,0),INDEX($Y$7:$AB$20,MATCH(O435,$Y$7:$Y$20,0),$Z$6)),"/"),"")</f>
        <v/>
      </c>
      <c r="Q435" s="35" t="str">
        <f>IF(N429&lt;&gt;"",IF(INDEX(BDHK2,MATCH(N429,DiemHKII!$B$4:$B$58,0),INDEX($Y$7:$AB$20,MATCH(O435,$Y$7:$Y$20,0),$AA$6))&lt;&gt;"",INDEX(BDHK2,MATCH(N429,DiemHKII!$B$4:$B$58,0),INDEX($Y$7:$AB$20,MATCH(O435,$Y$7:$Y$20,0),$AA$6)),"/"),"")</f>
        <v/>
      </c>
      <c r="R435" s="35" t="str">
        <f>IF(N429&lt;&gt;"",IF(INDEX(BDHK2,MATCH(N429,DiemHKII!$B$4:$B$58,0),INDEX($Y$7:$AB$20,MATCH(O435,$Y$7:$Y$20,0),$AB$6))&lt;&gt;"",INDEX(BDHK2,MATCH(N429,DiemHKII!$B$4:$B$58,0),INDEX($Y$7:$AB$20,MATCH(O435,$Y$7:$Y$20,0),$AB$6)),"/"),"")</f>
        <v/>
      </c>
      <c r="S435" s="88"/>
    </row>
    <row r="436" spans="1:19" ht="15.6" customHeight="1">
      <c r="A436" s="88"/>
      <c r="B436" s="79" t="s">
        <v>195</v>
      </c>
      <c r="C436" s="81" t="s">
        <v>120</v>
      </c>
      <c r="D436" s="35" t="str">
        <f>IF(B429&lt;&gt;"",IF(INDEX(BDHK2,MATCH(B429,DiemHKII!$B$4:$B$58,0),INDEX($Y$7:$AB$20,MATCH(C436,$Y$7:$Y$20,0),$Z$6))&lt;&gt;"",INDEX(BDHK2,MATCH(B429,DiemHKII!$B$4:$B$58,0),INDEX($Y$7:$AB$20,MATCH(C436,$Y$7:$Y$20,0),$Z$6)),"/"),"")</f>
        <v/>
      </c>
      <c r="E436" s="35" t="str">
        <f>IF(B429&lt;&gt;"",IF(INDEX(BDHK2,MATCH(B429,DiemHKII!$B$4:$B$58,0),INDEX($Y$7:$AB$20,MATCH(C436,$Y$7:$Y$20,0),$AA$6))&lt;&gt;"",INDEX(BDHK2,MATCH(B429,DiemHKII!$B$4:$B$58,0),INDEX($Y$7:$AB$20,MATCH(C436,$Y$7:$Y$20,0),$AA$6)),"/"),"")</f>
        <v/>
      </c>
      <c r="F436" s="35" t="str">
        <f>IF(B429&lt;&gt;"",IF(INDEX(BDHK2,MATCH(B429,DiemHKII!$B$4:$B$58,0),INDEX($Y$7:$AB$20,MATCH(C436,$Y$7:$Y$20,0),$AB$6))&lt;&gt;"",INDEX(BDHK2,MATCH(B429,DiemHKII!$B$4:$B$58,0),INDEX($Y$7:$AB$20,MATCH(C436,$Y$7:$Y$20,0),$AB$6)),"/"),"")</f>
        <v/>
      </c>
      <c r="G436" s="88"/>
      <c r="H436" s="79" t="s">
        <v>195</v>
      </c>
      <c r="I436" s="81" t="s">
        <v>120</v>
      </c>
      <c r="J436" s="35" t="str">
        <f>IF(H429&lt;&gt;"",IF(INDEX(BDHK2,MATCH(H429,DiemHKII!$B$4:$B$58,0),INDEX($Y$7:$AB$20,MATCH(I436,$Y$7:$Y$20,0),$Z$6))&lt;&gt;"",INDEX(BDHK2,MATCH(H429,DiemHKII!$B$4:$B$58,0),INDEX($Y$7:$AB$20,MATCH(I436,$Y$7:$Y$20,0),$Z$6)),"/"),"")</f>
        <v/>
      </c>
      <c r="K436" s="35" t="str">
        <f>IF(H429&lt;&gt;"",IF(INDEX(BDHK2,MATCH(H429,DiemHKII!$B$4:$B$58,0),INDEX($Y$7:$AB$20,MATCH(I436,$Y$7:$Y$20,0),$AA$6))&lt;&gt;"",INDEX(BDHK2,MATCH(H429,DiemHKII!$B$4:$B$58,0),INDEX($Y$7:$AB$20,MATCH(I436,$Y$7:$Y$20,0),$AA$6)),"/"),"")</f>
        <v/>
      </c>
      <c r="L436" s="35" t="str">
        <f>IF(H429&lt;&gt;"",IF(INDEX(BDHK2,MATCH(H429,DiemHKII!$B$4:$B$58,0),INDEX($Y$7:$AB$20,MATCH(I436,$Y$7:$Y$20,0),$AB$6))&lt;&gt;"",INDEX(BDHK2,MATCH(H429,DiemHKII!$B$4:$B$58,0),INDEX($Y$7:$AB$20,MATCH(I436,$Y$7:$Y$20,0),$AB$6)),"/"),"")</f>
        <v/>
      </c>
      <c r="M436" s="88"/>
      <c r="N436" s="79" t="s">
        <v>195</v>
      </c>
      <c r="O436" s="81" t="s">
        <v>120</v>
      </c>
      <c r="P436" s="35" t="str">
        <f>IF(N429&lt;&gt;"",IF(INDEX(BDHK2,MATCH(N429,DiemHKII!$B$4:$B$58,0),INDEX($Y$7:$AB$20,MATCH(O436,$Y$7:$Y$20,0),$Z$6))&lt;&gt;"",INDEX(BDHK2,MATCH(N429,DiemHKII!$B$4:$B$58,0),INDEX($Y$7:$AB$20,MATCH(O436,$Y$7:$Y$20,0),$Z$6)),"/"),"")</f>
        <v/>
      </c>
      <c r="Q436" s="35" t="str">
        <f>IF(N429&lt;&gt;"",IF(INDEX(BDHK2,MATCH(N429,DiemHKII!$B$4:$B$58,0),INDEX($Y$7:$AB$20,MATCH(O436,$Y$7:$Y$20,0),$AA$6))&lt;&gt;"",INDEX(BDHK2,MATCH(N429,DiemHKII!$B$4:$B$58,0),INDEX($Y$7:$AB$20,MATCH(O436,$Y$7:$Y$20,0),$AA$6)),"/"),"")</f>
        <v/>
      </c>
      <c r="R436" s="35" t="str">
        <f>IF(N429&lt;&gt;"",IF(INDEX(BDHK2,MATCH(N429,DiemHKII!$B$4:$B$58,0),INDEX($Y$7:$AB$20,MATCH(O436,$Y$7:$Y$20,0),$AB$6))&lt;&gt;"",INDEX(BDHK2,MATCH(N429,DiemHKII!$B$4:$B$58,0),INDEX($Y$7:$AB$20,MATCH(O436,$Y$7:$Y$20,0),$AB$6)),"/"),"")</f>
        <v/>
      </c>
      <c r="S436" s="88"/>
    </row>
    <row r="437" spans="1:19" ht="15.6" customHeight="1">
      <c r="A437" s="88"/>
      <c r="B437" s="79" t="s">
        <v>196</v>
      </c>
      <c r="C437" s="81" t="s">
        <v>30</v>
      </c>
      <c r="D437" s="35" t="str">
        <f>IF(B429&lt;&gt;"",IF(INDEX(BDHK2,MATCH(B429,DiemHKII!$B$4:$B$58,0),INDEX($Y$7:$AB$20,MATCH(C437,$Y$7:$Y$20,0),$Z$6))&lt;&gt;"",INDEX(BDHK2,MATCH(B429,DiemHKII!$B$4:$B$58,0),INDEX($Y$7:$AB$20,MATCH(C437,$Y$7:$Y$20,0),$Z$6)),"/"),"")</f>
        <v/>
      </c>
      <c r="E437" s="35" t="str">
        <f>IF(B429&lt;&gt;"",IF(INDEX(BDHK2,MATCH(B429,DiemHKII!$B$4:$B$58,0),INDEX($Y$7:$AB$20,MATCH(C437,$Y$7:$Y$20,0),$AA$6))&lt;&gt;"",INDEX(BDHK2,MATCH(B429,DiemHKII!$B$4:$B$58,0),INDEX($Y$7:$AB$20,MATCH(C437,$Y$7:$Y$20,0),$AA$6)),"/"),"")</f>
        <v/>
      </c>
      <c r="F437" s="35" t="str">
        <f>IF(B429&lt;&gt;"",IF(INDEX(BDHK2,MATCH(B429,DiemHKII!$B$4:$B$58,0),INDEX($Y$7:$AB$20,MATCH(C437,$Y$7:$Y$20,0),$AB$6))&lt;&gt;"",INDEX(BDHK2,MATCH(B429,DiemHKII!$B$4:$B$58,0),INDEX($Y$7:$AB$20,MATCH(C437,$Y$7:$Y$20,0),$AB$6)),"/"),"")</f>
        <v/>
      </c>
      <c r="G437" s="88"/>
      <c r="H437" s="79" t="s">
        <v>196</v>
      </c>
      <c r="I437" s="81" t="s">
        <v>30</v>
      </c>
      <c r="J437" s="35" t="str">
        <f>IF(H429&lt;&gt;"",IF(INDEX(BDHK2,MATCH(H429,DiemHKII!$B$4:$B$58,0),INDEX($Y$7:$AB$20,MATCH(I437,$Y$7:$Y$20,0),$Z$6))&lt;&gt;"",INDEX(BDHK2,MATCH(H429,DiemHKII!$B$4:$B$58,0),INDEX($Y$7:$AB$20,MATCH(I437,$Y$7:$Y$20,0),$Z$6)),"/"),"")</f>
        <v/>
      </c>
      <c r="K437" s="35" t="str">
        <f>IF(H429&lt;&gt;"",IF(INDEX(BDHK2,MATCH(H429,DiemHKII!$B$4:$B$58,0),INDEX($Y$7:$AB$20,MATCH(I437,$Y$7:$Y$20,0),$AA$6))&lt;&gt;"",INDEX(BDHK2,MATCH(H429,DiemHKII!$B$4:$B$58,0),INDEX($Y$7:$AB$20,MATCH(I437,$Y$7:$Y$20,0),$AA$6)),"/"),"")</f>
        <v/>
      </c>
      <c r="L437" s="35" t="str">
        <f>IF(H429&lt;&gt;"",IF(INDEX(BDHK2,MATCH(H429,DiemHKII!$B$4:$B$58,0),INDEX($Y$7:$AB$20,MATCH(I437,$Y$7:$Y$20,0),$AB$6))&lt;&gt;"",INDEX(BDHK2,MATCH(H429,DiemHKII!$B$4:$B$58,0),INDEX($Y$7:$AB$20,MATCH(I437,$Y$7:$Y$20,0),$AB$6)),"/"),"")</f>
        <v/>
      </c>
      <c r="M437" s="88"/>
      <c r="N437" s="79" t="s">
        <v>196</v>
      </c>
      <c r="O437" s="81" t="s">
        <v>30</v>
      </c>
      <c r="P437" s="35" t="str">
        <f>IF(N429&lt;&gt;"",IF(INDEX(BDHK2,MATCH(N429,DiemHKII!$B$4:$B$58,0),INDEX($Y$7:$AB$20,MATCH(O437,$Y$7:$Y$20,0),$Z$6))&lt;&gt;"",INDEX(BDHK2,MATCH(N429,DiemHKII!$B$4:$B$58,0),INDEX($Y$7:$AB$20,MATCH(O437,$Y$7:$Y$20,0),$Z$6)),"/"),"")</f>
        <v/>
      </c>
      <c r="Q437" s="35" t="str">
        <f>IF(N429&lt;&gt;"",IF(INDEX(BDHK2,MATCH(N429,DiemHKII!$B$4:$B$58,0),INDEX($Y$7:$AB$20,MATCH(O437,$Y$7:$Y$20,0),$AA$6))&lt;&gt;"",INDEX(BDHK2,MATCH(N429,DiemHKII!$B$4:$B$58,0),INDEX($Y$7:$AB$20,MATCH(O437,$Y$7:$Y$20,0),$AA$6)),"/"),"")</f>
        <v/>
      </c>
      <c r="R437" s="35" t="str">
        <f>IF(N429&lt;&gt;"",IF(INDEX(BDHK2,MATCH(N429,DiemHKII!$B$4:$B$58,0),INDEX($Y$7:$AB$20,MATCH(O437,$Y$7:$Y$20,0),$AB$6))&lt;&gt;"",INDEX(BDHK2,MATCH(N429,DiemHKII!$B$4:$B$58,0),INDEX($Y$7:$AB$20,MATCH(O437,$Y$7:$Y$20,0),$AB$6)),"/"),"")</f>
        <v/>
      </c>
      <c r="S437" s="88"/>
    </row>
    <row r="438" spans="1:19" ht="15.6" customHeight="1">
      <c r="A438" s="88"/>
      <c r="B438" s="79" t="s">
        <v>197</v>
      </c>
      <c r="C438" s="81" t="s">
        <v>31</v>
      </c>
      <c r="D438" s="35" t="str">
        <f>IF(B429&lt;&gt;"",IF(INDEX(BDHK2,MATCH(B429,DiemHKII!$B$4:$B$58,0),INDEX($Y$7:$AB$20,MATCH(C438,$Y$7:$Y$20,0),$Z$6))&lt;&gt;"",INDEX(BDHK2,MATCH(B429,DiemHKII!$B$4:$B$58,0),INDEX($Y$7:$AB$20,MATCH(C438,$Y$7:$Y$20,0),$Z$6)),"/"),"")</f>
        <v/>
      </c>
      <c r="E438" s="35" t="str">
        <f>IF(B429&lt;&gt;"",IF(INDEX(BDHK2,MATCH(B429,DiemHKII!$B$4:$B$58,0),INDEX($Y$7:$AB$20,MATCH(C438,$Y$7:$Y$20,0),$AA$6))&lt;&gt;"",INDEX(BDHK2,MATCH(B429,DiemHKII!$B$4:$B$58,0),INDEX($Y$7:$AB$20,MATCH(C438,$Y$7:$Y$20,0),$AA$6)),"/"),"")</f>
        <v/>
      </c>
      <c r="F438" s="35" t="str">
        <f>IF(B429&lt;&gt;"",IF(INDEX(BDHK2,MATCH(B429,DiemHKII!$B$4:$B$58,0),INDEX($Y$7:$AB$20,MATCH(C438,$Y$7:$Y$20,0),$AB$6))&lt;&gt;"",INDEX(BDHK2,MATCH(B429,DiemHKII!$B$4:$B$58,0),INDEX($Y$7:$AB$20,MATCH(C438,$Y$7:$Y$20,0),$AB$6)),"/"),"")</f>
        <v/>
      </c>
      <c r="G438" s="88"/>
      <c r="H438" s="79" t="s">
        <v>197</v>
      </c>
      <c r="I438" s="81" t="s">
        <v>31</v>
      </c>
      <c r="J438" s="35" t="str">
        <f>IF(H429&lt;&gt;"",IF(INDEX(BDHK2,MATCH(H429,DiemHKII!$B$4:$B$58,0),INDEX($Y$7:$AB$20,MATCH(I438,$Y$7:$Y$20,0),$Z$6))&lt;&gt;"",INDEX(BDHK2,MATCH(H429,DiemHKII!$B$4:$B$58,0),INDEX($Y$7:$AB$20,MATCH(I438,$Y$7:$Y$20,0),$Z$6)),"/"),"")</f>
        <v/>
      </c>
      <c r="K438" s="35" t="str">
        <f>IF(H429&lt;&gt;"",IF(INDEX(BDHK2,MATCH(H429,DiemHKII!$B$4:$B$58,0),INDEX($Y$7:$AB$20,MATCH(I438,$Y$7:$Y$20,0),$AA$6))&lt;&gt;"",INDEX(BDHK2,MATCH(H429,DiemHKII!$B$4:$B$58,0),INDEX($Y$7:$AB$20,MATCH(I438,$Y$7:$Y$20,0),$AA$6)),"/"),"")</f>
        <v/>
      </c>
      <c r="L438" s="35" t="str">
        <f>IF(H429&lt;&gt;"",IF(INDEX(BDHK2,MATCH(H429,DiemHKII!$B$4:$B$58,0),INDEX($Y$7:$AB$20,MATCH(I438,$Y$7:$Y$20,0),$AB$6))&lt;&gt;"",INDEX(BDHK2,MATCH(H429,DiemHKII!$B$4:$B$58,0),INDEX($Y$7:$AB$20,MATCH(I438,$Y$7:$Y$20,0),$AB$6)),"/"),"")</f>
        <v/>
      </c>
      <c r="M438" s="88"/>
      <c r="N438" s="79" t="s">
        <v>197</v>
      </c>
      <c r="O438" s="81" t="s">
        <v>31</v>
      </c>
      <c r="P438" s="35" t="str">
        <f>IF(N429&lt;&gt;"",IF(INDEX(BDHK2,MATCH(N429,DiemHKII!$B$4:$B$58,0),INDEX($Y$7:$AB$20,MATCH(O438,$Y$7:$Y$20,0),$Z$6))&lt;&gt;"",INDEX(BDHK2,MATCH(N429,DiemHKII!$B$4:$B$58,0),INDEX($Y$7:$AB$20,MATCH(O438,$Y$7:$Y$20,0),$Z$6)),"/"),"")</f>
        <v/>
      </c>
      <c r="Q438" s="35" t="str">
        <f>IF(N429&lt;&gt;"",IF(INDEX(BDHK2,MATCH(N429,DiemHKII!$B$4:$B$58,0),INDEX($Y$7:$AB$20,MATCH(O438,$Y$7:$Y$20,0),$AA$6))&lt;&gt;"",INDEX(BDHK2,MATCH(N429,DiemHKII!$B$4:$B$58,0),INDEX($Y$7:$AB$20,MATCH(O438,$Y$7:$Y$20,0),$AA$6)),"/"),"")</f>
        <v/>
      </c>
      <c r="R438" s="35" t="str">
        <f>IF(N429&lt;&gt;"",IF(INDEX(BDHK2,MATCH(N429,DiemHKII!$B$4:$B$58,0),INDEX($Y$7:$AB$20,MATCH(O438,$Y$7:$Y$20,0),$AB$6))&lt;&gt;"",INDEX(BDHK2,MATCH(N429,DiemHKII!$B$4:$B$58,0),INDEX($Y$7:$AB$20,MATCH(O438,$Y$7:$Y$20,0),$AB$6)),"/"),"")</f>
        <v/>
      </c>
      <c r="S438" s="88"/>
    </row>
    <row r="439" spans="1:19" ht="15.6" customHeight="1">
      <c r="A439" s="88"/>
      <c r="B439" s="79" t="s">
        <v>198</v>
      </c>
      <c r="C439" s="81" t="s">
        <v>32</v>
      </c>
      <c r="D439" s="35" t="str">
        <f>IF(B429&lt;&gt;"",IF(INDEX(BDHK2,MATCH(B429,DiemHKII!$B$4:$B$58,0),INDEX($Y$7:$AB$20,MATCH(C439,$Y$7:$Y$20,0),$Z$6))&lt;&gt;"",INDEX(BDHK2,MATCH(B429,DiemHKII!$B$4:$B$58,0),INDEX($Y$7:$AB$20,MATCH(C439,$Y$7:$Y$20,0),$Z$6)),"/"),"")</f>
        <v/>
      </c>
      <c r="E439" s="35" t="str">
        <f>IF(B429&lt;&gt;"",IF(INDEX(BDHK2,MATCH(B429,DiemHKII!$B$4:$B$58,0),INDEX($Y$7:$AB$20,MATCH(C439,$Y$7:$Y$20,0),$AA$6))&lt;&gt;"",INDEX(BDHK2,MATCH(B429,DiemHKII!$B$4:$B$58,0),INDEX($Y$7:$AB$20,MATCH(C439,$Y$7:$Y$20,0),$AA$6)),"/"),"")</f>
        <v/>
      </c>
      <c r="F439" s="35" t="str">
        <f>IF(B429&lt;&gt;"",IF(INDEX(BDHK2,MATCH(B429,DiemHKII!$B$4:$B$58,0),INDEX($Y$7:$AB$20,MATCH(C439,$Y$7:$Y$20,0),$AB$6))&lt;&gt;"",INDEX(BDHK2,MATCH(B429,DiemHKII!$B$4:$B$58,0),INDEX($Y$7:$AB$20,MATCH(C439,$Y$7:$Y$20,0),$AB$6)),"/"),"")</f>
        <v/>
      </c>
      <c r="G439" s="88"/>
      <c r="H439" s="79" t="s">
        <v>198</v>
      </c>
      <c r="I439" s="81" t="s">
        <v>32</v>
      </c>
      <c r="J439" s="35" t="str">
        <f>IF(H429&lt;&gt;"",IF(INDEX(BDHK2,MATCH(H429,DiemHKII!$B$4:$B$58,0),INDEX($Y$7:$AB$20,MATCH(I439,$Y$7:$Y$20,0),$Z$6))&lt;&gt;"",INDEX(BDHK2,MATCH(H429,DiemHKII!$B$4:$B$58,0),INDEX($Y$7:$AB$20,MATCH(I439,$Y$7:$Y$20,0),$Z$6)),"/"),"")</f>
        <v/>
      </c>
      <c r="K439" s="35" t="str">
        <f>IF(H429&lt;&gt;"",IF(INDEX(BDHK2,MATCH(H429,DiemHKII!$B$4:$B$58,0),INDEX($Y$7:$AB$20,MATCH(I439,$Y$7:$Y$20,0),$AA$6))&lt;&gt;"",INDEX(BDHK2,MATCH(H429,DiemHKII!$B$4:$B$58,0),INDEX($Y$7:$AB$20,MATCH(I439,$Y$7:$Y$20,0),$AA$6)),"/"),"")</f>
        <v/>
      </c>
      <c r="L439" s="35" t="str">
        <f>IF(H429&lt;&gt;"",IF(INDEX(BDHK2,MATCH(H429,DiemHKII!$B$4:$B$58,0),INDEX($Y$7:$AB$20,MATCH(I439,$Y$7:$Y$20,0),$AB$6))&lt;&gt;"",INDEX(BDHK2,MATCH(H429,DiemHKII!$B$4:$B$58,0),INDEX($Y$7:$AB$20,MATCH(I439,$Y$7:$Y$20,0),$AB$6)),"/"),"")</f>
        <v/>
      </c>
      <c r="M439" s="88"/>
      <c r="N439" s="79" t="s">
        <v>198</v>
      </c>
      <c r="O439" s="81" t="s">
        <v>32</v>
      </c>
      <c r="P439" s="35" t="str">
        <f>IF(N429&lt;&gt;"",IF(INDEX(BDHK2,MATCH(N429,DiemHKII!$B$4:$B$58,0),INDEX($Y$7:$AB$20,MATCH(O439,$Y$7:$Y$20,0),$Z$6))&lt;&gt;"",INDEX(BDHK2,MATCH(N429,DiemHKII!$B$4:$B$58,0),INDEX($Y$7:$AB$20,MATCH(O439,$Y$7:$Y$20,0),$Z$6)),"/"),"")</f>
        <v/>
      </c>
      <c r="Q439" s="35" t="str">
        <f>IF(N429&lt;&gt;"",IF(INDEX(BDHK2,MATCH(N429,DiemHKII!$B$4:$B$58,0),INDEX($Y$7:$AB$20,MATCH(O439,$Y$7:$Y$20,0),$AA$6))&lt;&gt;"",INDEX(BDHK2,MATCH(N429,DiemHKII!$B$4:$B$58,0),INDEX($Y$7:$AB$20,MATCH(O439,$Y$7:$Y$20,0),$AA$6)),"/"),"")</f>
        <v/>
      </c>
      <c r="R439" s="35" t="str">
        <f>IF(N429&lt;&gt;"",IF(INDEX(BDHK2,MATCH(N429,DiemHKII!$B$4:$B$58,0),INDEX($Y$7:$AB$20,MATCH(O439,$Y$7:$Y$20,0),$AB$6))&lt;&gt;"",INDEX(BDHK2,MATCH(N429,DiemHKII!$B$4:$B$58,0),INDEX($Y$7:$AB$20,MATCH(O439,$Y$7:$Y$20,0),$AB$6)),"/"),"")</f>
        <v/>
      </c>
      <c r="S439" s="88"/>
    </row>
    <row r="440" spans="1:19" ht="15.6" customHeight="1">
      <c r="A440" s="88"/>
      <c r="B440" s="79" t="s">
        <v>199</v>
      </c>
      <c r="C440" s="81" t="s">
        <v>33</v>
      </c>
      <c r="D440" s="35" t="str">
        <f>IF(B429&lt;&gt;"",IF(INDEX(BDHK2,MATCH(B429,DiemHKII!$B$4:$B$58,0),INDEX($Y$7:$AB$20,MATCH(C440,$Y$7:$Y$20,0),$Z$6))&lt;&gt;"",INDEX(BDHK2,MATCH(B429,DiemHKII!$B$4:$B$58,0),INDEX($Y$7:$AB$20,MATCH(C440,$Y$7:$Y$20,0),$Z$6)),"/"),"")</f>
        <v/>
      </c>
      <c r="E440" s="35" t="str">
        <f>IF(B429&lt;&gt;"",IF(INDEX(BDHK2,MATCH(B429,DiemHKII!$B$4:$B$58,0),INDEX($Y$7:$AB$20,MATCH(C440,$Y$7:$Y$20,0),$AA$6))&lt;&gt;"",INDEX(BDHK2,MATCH(B429,DiemHKII!$B$4:$B$58,0),INDEX($Y$7:$AB$20,MATCH(C440,$Y$7:$Y$20,0),$AA$6)),"/"),"")</f>
        <v/>
      </c>
      <c r="F440" s="35" t="str">
        <f>IF(B429&lt;&gt;"",IF(INDEX(BDHK2,MATCH(B429,DiemHKII!$B$4:$B$58,0),INDEX($Y$7:$AB$20,MATCH(C440,$Y$7:$Y$20,0),$AB$6))&lt;&gt;"",INDEX(BDHK2,MATCH(B429,DiemHKII!$B$4:$B$58,0),INDEX($Y$7:$AB$20,MATCH(C440,$Y$7:$Y$20,0),$AB$6)),"/"),"")</f>
        <v/>
      </c>
      <c r="G440" s="88"/>
      <c r="H440" s="79" t="s">
        <v>199</v>
      </c>
      <c r="I440" s="81" t="s">
        <v>33</v>
      </c>
      <c r="J440" s="35" t="str">
        <f>IF(H429&lt;&gt;"",IF(INDEX(BDHK2,MATCH(H429,DiemHKII!$B$4:$B$58,0),INDEX($Y$7:$AB$20,MATCH(I440,$Y$7:$Y$20,0),$Z$6))&lt;&gt;"",INDEX(BDHK2,MATCH(H429,DiemHKII!$B$4:$B$58,0),INDEX($Y$7:$AB$20,MATCH(I440,$Y$7:$Y$20,0),$Z$6)),"/"),"")</f>
        <v/>
      </c>
      <c r="K440" s="35" t="str">
        <f>IF(H429&lt;&gt;"",IF(INDEX(BDHK2,MATCH(H429,DiemHKII!$B$4:$B$58,0),INDEX($Y$7:$AB$20,MATCH(I440,$Y$7:$Y$20,0),$AA$6))&lt;&gt;"",INDEX(BDHK2,MATCH(H429,DiemHKII!$B$4:$B$58,0),INDEX($Y$7:$AB$20,MATCH(I440,$Y$7:$Y$20,0),$AA$6)),"/"),"")</f>
        <v/>
      </c>
      <c r="L440" s="35" t="str">
        <f>IF(H429&lt;&gt;"",IF(INDEX(BDHK2,MATCH(H429,DiemHKII!$B$4:$B$58,0),INDEX($Y$7:$AB$20,MATCH(I440,$Y$7:$Y$20,0),$AB$6))&lt;&gt;"",INDEX(BDHK2,MATCH(H429,DiemHKII!$B$4:$B$58,0),INDEX($Y$7:$AB$20,MATCH(I440,$Y$7:$Y$20,0),$AB$6)),"/"),"")</f>
        <v/>
      </c>
      <c r="M440" s="88"/>
      <c r="N440" s="79" t="s">
        <v>199</v>
      </c>
      <c r="O440" s="81" t="s">
        <v>33</v>
      </c>
      <c r="P440" s="35" t="str">
        <f>IF(N429&lt;&gt;"",IF(INDEX(BDHK2,MATCH(N429,DiemHKII!$B$4:$B$58,0),INDEX($Y$7:$AB$20,MATCH(O440,$Y$7:$Y$20,0),$Z$6))&lt;&gt;"",INDEX(BDHK2,MATCH(N429,DiemHKII!$B$4:$B$58,0),INDEX($Y$7:$AB$20,MATCH(O440,$Y$7:$Y$20,0),$Z$6)),"/"),"")</f>
        <v/>
      </c>
      <c r="Q440" s="35" t="str">
        <f>IF(N429&lt;&gt;"",IF(INDEX(BDHK2,MATCH(N429,DiemHKII!$B$4:$B$58,0),INDEX($Y$7:$AB$20,MATCH(O440,$Y$7:$Y$20,0),$AA$6))&lt;&gt;"",INDEX(BDHK2,MATCH(N429,DiemHKII!$B$4:$B$58,0),INDEX($Y$7:$AB$20,MATCH(O440,$Y$7:$Y$20,0),$AA$6)),"/"),"")</f>
        <v/>
      </c>
      <c r="R440" s="35" t="str">
        <f>IF(N429&lt;&gt;"",IF(INDEX(BDHK2,MATCH(N429,DiemHKII!$B$4:$B$58,0),INDEX($Y$7:$AB$20,MATCH(O440,$Y$7:$Y$20,0),$AB$6))&lt;&gt;"",INDEX(BDHK2,MATCH(N429,DiemHKII!$B$4:$B$58,0),INDEX($Y$7:$AB$20,MATCH(O440,$Y$7:$Y$20,0),$AB$6)),"/"),"")</f>
        <v/>
      </c>
      <c r="S440" s="88"/>
    </row>
    <row r="441" spans="1:19" ht="15.6" customHeight="1">
      <c r="A441" s="88"/>
      <c r="B441" s="79" t="s">
        <v>200</v>
      </c>
      <c r="C441" s="81" t="s">
        <v>60</v>
      </c>
      <c r="D441" s="35" t="str">
        <f>IF(B429&lt;&gt;"",IF(INDEX(BDHK2,MATCH(B429,DiemHKII!$B$4:$B$58,0),INDEX($Y$7:$AB$20,MATCH(C441,$Y$7:$Y$20,0),$Z$6))&lt;&gt;"",INDEX(BDHK2,MATCH(B429,DiemHKII!$B$4:$B$58,0),INDEX($Y$7:$AB$20,MATCH(C441,$Y$7:$Y$20,0),$Z$6)),"/"),"")</f>
        <v/>
      </c>
      <c r="E441" s="35" t="str">
        <f>IF(B429&lt;&gt;"",IF(INDEX(BDHK2,MATCH(B429,DiemHKII!$B$4:$B$58,0),INDEX($Y$7:$AB$20,MATCH(C441,$Y$7:$Y$20,0),$AA$6))&lt;&gt;"",INDEX(BDHK2,MATCH(B429,DiemHKII!$B$4:$B$58,0),INDEX($Y$7:$AB$20,MATCH(C441,$Y$7:$Y$20,0),$AA$6)),"/"),"")</f>
        <v/>
      </c>
      <c r="F441" s="35" t="str">
        <f>IF(B429&lt;&gt;"",IF(INDEX(BDHK2,MATCH(B429,DiemHKII!$B$4:$B$58,0),INDEX($Y$7:$AB$20,MATCH(C441,$Y$7:$Y$20,0),$AB$6))&lt;&gt;"",INDEX(BDHK2,MATCH(B429,DiemHKII!$B$4:$B$58,0),INDEX($Y$7:$AB$20,MATCH(C441,$Y$7:$Y$20,0),$AB$6)),"/"),"")</f>
        <v/>
      </c>
      <c r="G441" s="88"/>
      <c r="H441" s="79" t="s">
        <v>200</v>
      </c>
      <c r="I441" s="81" t="s">
        <v>60</v>
      </c>
      <c r="J441" s="35" t="str">
        <f>IF(H429&lt;&gt;"",IF(INDEX(BDHK2,MATCH(H429,DiemHKII!$B$4:$B$58,0),INDEX($Y$7:$AB$20,MATCH(I441,$Y$7:$Y$20,0),$Z$6))&lt;&gt;"",INDEX(BDHK2,MATCH(H429,DiemHKII!$B$4:$B$58,0),INDEX($Y$7:$AB$20,MATCH(I441,$Y$7:$Y$20,0),$Z$6)),"/"),"")</f>
        <v/>
      </c>
      <c r="K441" s="35" t="str">
        <f>IF(H429&lt;&gt;"",IF(INDEX(BDHK2,MATCH(H429,DiemHKII!$B$4:$B$58,0),INDEX($Y$7:$AB$20,MATCH(I441,$Y$7:$Y$20,0),$AA$6))&lt;&gt;"",INDEX(BDHK2,MATCH(H429,DiemHKII!$B$4:$B$58,0),INDEX($Y$7:$AB$20,MATCH(I441,$Y$7:$Y$20,0),$AA$6)),"/"),"")</f>
        <v/>
      </c>
      <c r="L441" s="35" t="str">
        <f>IF(H429&lt;&gt;"",IF(INDEX(BDHK2,MATCH(H429,DiemHKII!$B$4:$B$58,0),INDEX($Y$7:$AB$20,MATCH(I441,$Y$7:$Y$20,0),$AB$6))&lt;&gt;"",INDEX(BDHK2,MATCH(H429,DiemHKII!$B$4:$B$58,0),INDEX($Y$7:$AB$20,MATCH(I441,$Y$7:$Y$20,0),$AB$6)),"/"),"")</f>
        <v/>
      </c>
      <c r="M441" s="88"/>
      <c r="N441" s="79" t="s">
        <v>200</v>
      </c>
      <c r="O441" s="81" t="s">
        <v>60</v>
      </c>
      <c r="P441" s="35" t="str">
        <f>IF(N429&lt;&gt;"",IF(INDEX(BDHK2,MATCH(N429,DiemHKII!$B$4:$B$58,0),INDEX($Y$7:$AB$20,MATCH(O441,$Y$7:$Y$20,0),$Z$6))&lt;&gt;"",INDEX(BDHK2,MATCH(N429,DiemHKII!$B$4:$B$58,0),INDEX($Y$7:$AB$20,MATCH(O441,$Y$7:$Y$20,0),$Z$6)),"/"),"")</f>
        <v/>
      </c>
      <c r="Q441" s="35" t="str">
        <f>IF(N429&lt;&gt;"",IF(INDEX(BDHK2,MATCH(N429,DiemHKII!$B$4:$B$58,0),INDEX($Y$7:$AB$20,MATCH(O441,$Y$7:$Y$20,0),$AA$6))&lt;&gt;"",INDEX(BDHK2,MATCH(N429,DiemHKII!$B$4:$B$58,0),INDEX($Y$7:$AB$20,MATCH(O441,$Y$7:$Y$20,0),$AA$6)),"/"),"")</f>
        <v/>
      </c>
      <c r="R441" s="35" t="str">
        <f>IF(N429&lt;&gt;"",IF(INDEX(BDHK2,MATCH(N429,DiemHKII!$B$4:$B$58,0),INDEX($Y$7:$AB$20,MATCH(O441,$Y$7:$Y$20,0),$AB$6))&lt;&gt;"",INDEX(BDHK2,MATCH(N429,DiemHKII!$B$4:$B$58,0),INDEX($Y$7:$AB$20,MATCH(O441,$Y$7:$Y$20,0),$AB$6)),"/"),"")</f>
        <v/>
      </c>
      <c r="S441" s="88"/>
    </row>
    <row r="442" spans="1:19" ht="15.6" customHeight="1">
      <c r="A442" s="88"/>
      <c r="B442" s="79" t="s">
        <v>201</v>
      </c>
      <c r="C442" s="81" t="s">
        <v>34</v>
      </c>
      <c r="D442" s="35" t="str">
        <f>IF(B429&lt;&gt;"",IF(INDEX(BDHK2,MATCH(B429,DiemHKII!$B$4:$B$58,0),INDEX($Y$7:$AB$20,MATCH(C442,$Y$7:$Y$20,0),$Z$6))&lt;&gt;"",INDEX(BDHK2,MATCH(B429,DiemHKII!$B$4:$B$58,0),INDEX($Y$7:$AB$20,MATCH(C442,$Y$7:$Y$20,0),$Z$6)),"/"),"")</f>
        <v/>
      </c>
      <c r="E442" s="35" t="str">
        <f>IF(B429&lt;&gt;"",IF(INDEX(BDHK2,MATCH(B429,DiemHKII!$B$4:$B$58,0),INDEX($Y$7:$AB$20,MATCH(C442,$Y$7:$Y$20,0),$AA$6))&lt;&gt;"",INDEX(BDHK2,MATCH(B429,DiemHKII!$B$4:$B$58,0),INDEX($Y$7:$AB$20,MATCH(C442,$Y$7:$Y$20,0),$AA$6)),"/"),"")</f>
        <v/>
      </c>
      <c r="F442" s="35" t="str">
        <f>IF(B429&lt;&gt;"",IF(INDEX(BDHK2,MATCH(B429,DiemHKII!$B$4:$B$58,0),INDEX($Y$7:$AB$20,MATCH(C442,$Y$7:$Y$20,0),$AB$6))&lt;&gt;"",INDEX(BDHK2,MATCH(B429,DiemHKII!$B$4:$B$58,0),INDEX($Y$7:$AB$20,MATCH(C442,$Y$7:$Y$20,0),$AB$6)),"/"),"")</f>
        <v/>
      </c>
      <c r="G442" s="88"/>
      <c r="H442" s="79" t="s">
        <v>201</v>
      </c>
      <c r="I442" s="81" t="s">
        <v>34</v>
      </c>
      <c r="J442" s="35" t="str">
        <f>IF(H429&lt;&gt;"",IF(INDEX(BDHK2,MATCH(H429,DiemHKII!$B$4:$B$58,0),INDEX($Y$7:$AB$20,MATCH(I442,$Y$7:$Y$20,0),$Z$6))&lt;&gt;"",INDEX(BDHK2,MATCH(H429,DiemHKII!$B$4:$B$58,0),INDEX($Y$7:$AB$20,MATCH(I442,$Y$7:$Y$20,0),$Z$6)),"/"),"")</f>
        <v/>
      </c>
      <c r="K442" s="35" t="str">
        <f>IF(H429&lt;&gt;"",IF(INDEX(BDHK2,MATCH(H429,DiemHKII!$B$4:$B$58,0),INDEX($Y$7:$AB$20,MATCH(I442,$Y$7:$Y$20,0),$AA$6))&lt;&gt;"",INDEX(BDHK2,MATCH(H429,DiemHKII!$B$4:$B$58,0),INDEX($Y$7:$AB$20,MATCH(I442,$Y$7:$Y$20,0),$AA$6)),"/"),"")</f>
        <v/>
      </c>
      <c r="L442" s="35" t="str">
        <f>IF(H429&lt;&gt;"",IF(INDEX(BDHK2,MATCH(H429,DiemHKII!$B$4:$B$58,0),INDEX($Y$7:$AB$20,MATCH(I442,$Y$7:$Y$20,0),$AB$6))&lt;&gt;"",INDEX(BDHK2,MATCH(H429,DiemHKII!$B$4:$B$58,0),INDEX($Y$7:$AB$20,MATCH(I442,$Y$7:$Y$20,0),$AB$6)),"/"),"")</f>
        <v/>
      </c>
      <c r="M442" s="88"/>
      <c r="N442" s="79" t="s">
        <v>201</v>
      </c>
      <c r="O442" s="81" t="s">
        <v>34</v>
      </c>
      <c r="P442" s="35" t="str">
        <f>IF(N429&lt;&gt;"",IF(INDEX(BDHK2,MATCH(N429,DiemHKII!$B$4:$B$58,0),INDEX($Y$7:$AB$20,MATCH(O442,$Y$7:$Y$20,0),$Z$6))&lt;&gt;"",INDEX(BDHK2,MATCH(N429,DiemHKII!$B$4:$B$58,0),INDEX($Y$7:$AB$20,MATCH(O442,$Y$7:$Y$20,0),$Z$6)),"/"),"")</f>
        <v/>
      </c>
      <c r="Q442" s="35" t="str">
        <f>IF(N429&lt;&gt;"",IF(INDEX(BDHK2,MATCH(N429,DiemHKII!$B$4:$B$58,0),INDEX($Y$7:$AB$20,MATCH(O442,$Y$7:$Y$20,0),$AA$6))&lt;&gt;"",INDEX(BDHK2,MATCH(N429,DiemHKII!$B$4:$B$58,0),INDEX($Y$7:$AB$20,MATCH(O442,$Y$7:$Y$20,0),$AA$6)),"/"),"")</f>
        <v/>
      </c>
      <c r="R442" s="35" t="str">
        <f>IF(N429&lt;&gt;"",IF(INDEX(BDHK2,MATCH(N429,DiemHKII!$B$4:$B$58,0),INDEX($Y$7:$AB$20,MATCH(O442,$Y$7:$Y$20,0),$AB$6))&lt;&gt;"",INDEX(BDHK2,MATCH(N429,DiemHKII!$B$4:$B$58,0),INDEX($Y$7:$AB$20,MATCH(O442,$Y$7:$Y$20,0),$AB$6)),"/"),"")</f>
        <v/>
      </c>
      <c r="S442" s="88"/>
    </row>
    <row r="443" spans="1:19" ht="15.6" customHeight="1">
      <c r="A443" s="88"/>
      <c r="B443" s="79" t="s">
        <v>202</v>
      </c>
      <c r="C443" s="81" t="s">
        <v>35</v>
      </c>
      <c r="D443" s="35" t="str">
        <f>IF(B429&lt;&gt;"",IF(INDEX(BDHK2,MATCH(B429,DiemHKII!$B$4:$B$58,0),INDEX($Y$7:$AB$20,MATCH(C443,$Y$7:$Y$20,0),$Z$6))&lt;&gt;"",INDEX(BDHK2,MATCH(B429,DiemHKII!$B$4:$B$58,0),INDEX($Y$7:$AB$20,MATCH(C443,$Y$7:$Y$20,0),$Z$6)),"/"),"")</f>
        <v/>
      </c>
      <c r="E443" s="35" t="str">
        <f>IF(B429&lt;&gt;"",IF(INDEX(BDHK2,MATCH(B429,DiemHKII!$B$4:$B$58,0),INDEX($Y$7:$AB$20,MATCH(C443,$Y$7:$Y$20,0),$AA$6))&lt;&gt;"",INDEX(BDHK2,MATCH(B429,DiemHKII!$B$4:$B$58,0),INDEX($Y$7:$AB$20,MATCH(C443,$Y$7:$Y$20,0),$AA$6)),"/"),"")</f>
        <v/>
      </c>
      <c r="F443" s="35" t="str">
        <f>IF(B429&lt;&gt;"",IF(INDEX(BDHK2,MATCH(B429,DiemHKII!$B$4:$B$58,0),INDEX($Y$7:$AB$20,MATCH(C443,$Y$7:$Y$20,0),$AB$6))&lt;&gt;"",INDEX(BDHK2,MATCH(B429,DiemHKII!$B$4:$B$58,0),INDEX($Y$7:$AB$20,MATCH(C443,$Y$7:$Y$20,0),$AB$6)),"/"),"")</f>
        <v/>
      </c>
      <c r="G443" s="88"/>
      <c r="H443" s="79" t="s">
        <v>202</v>
      </c>
      <c r="I443" s="81" t="s">
        <v>35</v>
      </c>
      <c r="J443" s="35" t="str">
        <f>IF(H429&lt;&gt;"",IF(INDEX(BDHK2,MATCH(H429,DiemHKII!$B$4:$B$58,0),INDEX($Y$7:$AB$20,MATCH(I443,$Y$7:$Y$20,0),$Z$6))&lt;&gt;"",INDEX(BDHK2,MATCH(H429,DiemHKII!$B$4:$B$58,0),INDEX($Y$7:$AB$20,MATCH(I443,$Y$7:$Y$20,0),$Z$6)),"/"),"")</f>
        <v/>
      </c>
      <c r="K443" s="35" t="str">
        <f>IF(H429&lt;&gt;"",IF(INDEX(BDHK2,MATCH(H429,DiemHKII!$B$4:$B$58,0),INDEX($Y$7:$AB$20,MATCH(I443,$Y$7:$Y$20,0),$AA$6))&lt;&gt;"",INDEX(BDHK2,MATCH(H429,DiemHKII!$B$4:$B$58,0),INDEX($Y$7:$AB$20,MATCH(I443,$Y$7:$Y$20,0),$AA$6)),"/"),"")</f>
        <v/>
      </c>
      <c r="L443" s="35" t="str">
        <f>IF(H429&lt;&gt;"",IF(INDEX(BDHK2,MATCH(H429,DiemHKII!$B$4:$B$58,0),INDEX($Y$7:$AB$20,MATCH(I443,$Y$7:$Y$20,0),$AB$6))&lt;&gt;"",INDEX(BDHK2,MATCH(H429,DiemHKII!$B$4:$B$58,0),INDEX($Y$7:$AB$20,MATCH(I443,$Y$7:$Y$20,0),$AB$6)),"/"),"")</f>
        <v/>
      </c>
      <c r="M443" s="88"/>
      <c r="N443" s="79" t="s">
        <v>202</v>
      </c>
      <c r="O443" s="81" t="s">
        <v>35</v>
      </c>
      <c r="P443" s="35" t="str">
        <f>IF(N429&lt;&gt;"",IF(INDEX(BDHK2,MATCH(N429,DiemHKII!$B$4:$B$58,0),INDEX($Y$7:$AB$20,MATCH(O443,$Y$7:$Y$20,0),$Z$6))&lt;&gt;"",INDEX(BDHK2,MATCH(N429,DiemHKII!$B$4:$B$58,0),INDEX($Y$7:$AB$20,MATCH(O443,$Y$7:$Y$20,0),$Z$6)),"/"),"")</f>
        <v/>
      </c>
      <c r="Q443" s="35" t="str">
        <f>IF(N429&lt;&gt;"",IF(INDEX(BDHK2,MATCH(N429,DiemHKII!$B$4:$B$58,0),INDEX($Y$7:$AB$20,MATCH(O443,$Y$7:$Y$20,0),$AA$6))&lt;&gt;"",INDEX(BDHK2,MATCH(N429,DiemHKII!$B$4:$B$58,0),INDEX($Y$7:$AB$20,MATCH(O443,$Y$7:$Y$20,0),$AA$6)),"/"),"")</f>
        <v/>
      </c>
      <c r="R443" s="35" t="str">
        <f>IF(N429&lt;&gt;"",IF(INDEX(BDHK2,MATCH(N429,DiemHKII!$B$4:$B$58,0),INDEX($Y$7:$AB$20,MATCH(O443,$Y$7:$Y$20,0),$AB$6))&lt;&gt;"",INDEX(BDHK2,MATCH(N429,DiemHKII!$B$4:$B$58,0),INDEX($Y$7:$AB$20,MATCH(O443,$Y$7:$Y$20,0),$AB$6)),"/"),"")</f>
        <v/>
      </c>
      <c r="S443" s="88"/>
    </row>
    <row r="444" spans="1:19" ht="15.6" customHeight="1">
      <c r="A444" s="88"/>
      <c r="B444" s="79" t="s">
        <v>203</v>
      </c>
      <c r="C444" s="81" t="s">
        <v>121</v>
      </c>
      <c r="D444" s="35" t="str">
        <f>IF(B429&lt;&gt;"",IF(INDEX(BDHK2,MATCH(B429,DiemHKII!$B$4:$B$58,0),INDEX($Y$7:$AB$20,MATCH(C444,$Y$7:$Y$20,0),$Z$6))&lt;&gt;"",INDEX(BDHK2,MATCH(B429,DiemHKII!$B$4:$B$58,0),INDEX($Y$7:$AB$20,MATCH(C444,$Y$7:$Y$20,0),$Z$6)),"/"),"")</f>
        <v/>
      </c>
      <c r="E444" s="35" t="str">
        <f>IF(B429&lt;&gt;"",IF(INDEX(BDHK2,MATCH(B429,DiemHKII!$B$4:$B$58,0),INDEX($Y$7:$AB$20,MATCH(C444,$Y$7:$Y$20,0),$AA$6))&lt;&gt;"",INDEX(BDHK2,MATCH(B429,DiemHKII!$B$4:$B$58,0),INDEX($Y$7:$AB$20,MATCH(C444,$Y$7:$Y$20,0),$AA$6)),"/"),"")</f>
        <v/>
      </c>
      <c r="F444" s="35" t="str">
        <f>IF(B429&lt;&gt;"",IF(INDEX(BDHK2,MATCH(B429,DiemHKII!$B$4:$B$58,0),INDEX($Y$7:$AB$20,MATCH(C444,$Y$7:$Y$20,0),$AB$6))&lt;&gt;"",INDEX(BDHK2,MATCH(B429,DiemHKII!$B$4:$B$58,0),INDEX($Y$7:$AB$20,MATCH(C444,$Y$7:$Y$20,0),$AB$6)),"/"),"")</f>
        <v/>
      </c>
      <c r="G444" s="88"/>
      <c r="H444" s="79" t="s">
        <v>203</v>
      </c>
      <c r="I444" s="81" t="s">
        <v>121</v>
      </c>
      <c r="J444" s="35" t="str">
        <f>IF(H429&lt;&gt;"",IF(INDEX(BDHK2,MATCH(H429,DiemHKII!$B$4:$B$58,0),INDEX($Y$7:$AB$20,MATCH(I444,$Y$7:$Y$20,0),$Z$6))&lt;&gt;"",INDEX(BDHK2,MATCH(H429,DiemHKII!$B$4:$B$58,0),INDEX($Y$7:$AB$20,MATCH(I444,$Y$7:$Y$20,0),$Z$6)),"/"),"")</f>
        <v/>
      </c>
      <c r="K444" s="35" t="str">
        <f>IF(H429&lt;&gt;"",IF(INDEX(BDHK2,MATCH(H429,DiemHKII!$B$4:$B$58,0),INDEX($Y$7:$AB$20,MATCH(I444,$Y$7:$Y$20,0),$AA$6))&lt;&gt;"",INDEX(BDHK2,MATCH(H429,DiemHKII!$B$4:$B$58,0),INDEX($Y$7:$AB$20,MATCH(I444,$Y$7:$Y$20,0),$AA$6)),"/"),"")</f>
        <v/>
      </c>
      <c r="L444" s="35" t="str">
        <f>IF(H429&lt;&gt;"",IF(INDEX(BDHK2,MATCH(H429,DiemHKII!$B$4:$B$58,0),INDEX($Y$7:$AB$20,MATCH(I444,$Y$7:$Y$20,0),$AB$6))&lt;&gt;"",INDEX(BDHK2,MATCH(H429,DiemHKII!$B$4:$B$58,0),INDEX($Y$7:$AB$20,MATCH(I444,$Y$7:$Y$20,0),$AB$6)),"/"),"")</f>
        <v/>
      </c>
      <c r="M444" s="88"/>
      <c r="N444" s="79" t="s">
        <v>203</v>
      </c>
      <c r="O444" s="81" t="s">
        <v>121</v>
      </c>
      <c r="P444" s="35" t="str">
        <f>IF(N429&lt;&gt;"",IF(INDEX(BDHK2,MATCH(N429,DiemHKII!$B$4:$B$58,0),INDEX($Y$7:$AB$20,MATCH(O444,$Y$7:$Y$20,0),$Z$6))&lt;&gt;"",INDEX(BDHK2,MATCH(N429,DiemHKII!$B$4:$B$58,0),INDEX($Y$7:$AB$20,MATCH(O444,$Y$7:$Y$20,0),$Z$6)),"/"),"")</f>
        <v/>
      </c>
      <c r="Q444" s="35" t="str">
        <f>IF(N429&lt;&gt;"",IF(INDEX(BDHK2,MATCH(N429,DiemHKII!$B$4:$B$58,0),INDEX($Y$7:$AB$20,MATCH(O444,$Y$7:$Y$20,0),$AA$6))&lt;&gt;"",INDEX(BDHK2,MATCH(N429,DiemHKII!$B$4:$B$58,0),INDEX($Y$7:$AB$20,MATCH(O444,$Y$7:$Y$20,0),$AA$6)),"/"),"")</f>
        <v/>
      </c>
      <c r="R444" s="35" t="str">
        <f>IF(N429&lt;&gt;"",IF(INDEX(BDHK2,MATCH(N429,DiemHKII!$B$4:$B$58,0),INDEX($Y$7:$AB$20,MATCH(O444,$Y$7:$Y$20,0),$AB$6))&lt;&gt;"",INDEX(BDHK2,MATCH(N429,DiemHKII!$B$4:$B$58,0),INDEX($Y$7:$AB$20,MATCH(O444,$Y$7:$Y$20,0),$AB$6)),"/"),"")</f>
        <v/>
      </c>
      <c r="S444" s="88"/>
    </row>
    <row r="445" spans="1:19" ht="15.6" customHeight="1">
      <c r="A445" s="88"/>
      <c r="B445" s="79" t="s">
        <v>204</v>
      </c>
      <c r="C445" s="81" t="s">
        <v>122</v>
      </c>
      <c r="D445" s="35" t="str">
        <f>IF(B429&lt;&gt;"",IF(INDEX(BDHK2,MATCH(B429,DiemHKII!$B$4:$B$58,0),INDEX($Y$7:$AB$20,MATCH(C445,$Y$7:$Y$20,0),$Z$6))&lt;&gt;"",INDEX(BDHK2,MATCH(B429,DiemHKII!$B$4:$B$58,0),INDEX($Y$7:$AB$20,MATCH(C445,$Y$7:$Y$20,0),$Z$6)),"/"),"")</f>
        <v/>
      </c>
      <c r="E445" s="35" t="str">
        <f>IF(B429&lt;&gt;"",IF(INDEX(BDHK2,MATCH(B429,DiemHKII!$B$4:$B$58,0),INDEX($Y$7:$AB$20,MATCH(C445,$Y$7:$Y$20,0),$AA$6))&lt;&gt;"",INDEX(BDHK2,MATCH(B429,DiemHKII!$B$4:$B$58,0),INDEX($Y$7:$AB$20,MATCH(C445,$Y$7:$Y$20,0),$AA$6)),"/"),"")</f>
        <v/>
      </c>
      <c r="F445" s="35" t="str">
        <f>IF(B429&lt;&gt;"",IF(INDEX(BDHK2,MATCH(B429,DiemHKII!$B$4:$B$58,0),INDEX($Y$7:$AB$20,MATCH(C445,$Y$7:$Y$20,0),$AB$6))&lt;&gt;"",INDEX(BDHK2,MATCH(B429,DiemHKII!$B$4:$B$58,0),INDEX($Y$7:$AB$20,MATCH(C445,$Y$7:$Y$20,0),$AB$6)),"/"),"")</f>
        <v/>
      </c>
      <c r="G445" s="88"/>
      <c r="H445" s="79" t="s">
        <v>204</v>
      </c>
      <c r="I445" s="81" t="s">
        <v>122</v>
      </c>
      <c r="J445" s="35" t="str">
        <f>IF(H429&lt;&gt;"",IF(INDEX(BDHK2,MATCH(H429,DiemHKII!$B$4:$B$58,0),INDEX($Y$7:$AB$20,MATCH(I445,$Y$7:$Y$20,0),$Z$6))&lt;&gt;"",INDEX(BDHK2,MATCH(H429,DiemHKII!$B$4:$B$58,0),INDEX($Y$7:$AB$20,MATCH(I445,$Y$7:$Y$20,0),$Z$6)),"/"),"")</f>
        <v/>
      </c>
      <c r="K445" s="35" t="str">
        <f>IF(H429&lt;&gt;"",IF(INDEX(BDHK2,MATCH(H429,DiemHKII!$B$4:$B$58,0),INDEX($Y$7:$AB$20,MATCH(I445,$Y$7:$Y$20,0),$AA$6))&lt;&gt;"",INDEX(BDHK2,MATCH(H429,DiemHKII!$B$4:$B$58,0),INDEX($Y$7:$AB$20,MATCH(I445,$Y$7:$Y$20,0),$AA$6)),"/"),"")</f>
        <v/>
      </c>
      <c r="L445" s="35" t="str">
        <f>IF(H429&lt;&gt;"",IF(INDEX(BDHK2,MATCH(H429,DiemHKII!$B$4:$B$58,0),INDEX($Y$7:$AB$20,MATCH(I445,$Y$7:$Y$20,0),$AB$6))&lt;&gt;"",INDEX(BDHK2,MATCH(H429,DiemHKII!$B$4:$B$58,0),INDEX($Y$7:$AB$20,MATCH(I445,$Y$7:$Y$20,0),$AB$6)),"/"),"")</f>
        <v/>
      </c>
      <c r="M445" s="88"/>
      <c r="N445" s="79" t="s">
        <v>204</v>
      </c>
      <c r="O445" s="81" t="s">
        <v>122</v>
      </c>
      <c r="P445" s="35" t="str">
        <f>IF(N429&lt;&gt;"",IF(INDEX(BDHK2,MATCH(N429,DiemHKII!$B$4:$B$58,0),INDEX($Y$7:$AB$20,MATCH(O445,$Y$7:$Y$20,0),$Z$6))&lt;&gt;"",INDEX(BDHK2,MATCH(N429,DiemHKII!$B$4:$B$58,0),INDEX($Y$7:$AB$20,MATCH(O445,$Y$7:$Y$20,0),$Z$6)),"/"),"")</f>
        <v/>
      </c>
      <c r="Q445" s="35" t="str">
        <f>IF(N429&lt;&gt;"",IF(INDEX(BDHK2,MATCH(N429,DiemHKII!$B$4:$B$58,0),INDEX($Y$7:$AB$20,MATCH(O445,$Y$7:$Y$20,0),$AA$6))&lt;&gt;"",INDEX(BDHK2,MATCH(N429,DiemHKII!$B$4:$B$58,0),INDEX($Y$7:$AB$20,MATCH(O445,$Y$7:$Y$20,0),$AA$6)),"/"),"")</f>
        <v/>
      </c>
      <c r="R445" s="35" t="str">
        <f>IF(N429&lt;&gt;"",IF(INDEX(BDHK2,MATCH(N429,DiemHKII!$B$4:$B$58,0),INDEX($Y$7:$AB$20,MATCH(O445,$Y$7:$Y$20,0),$AB$6))&lt;&gt;"",INDEX(BDHK2,MATCH(N429,DiemHKII!$B$4:$B$58,0),INDEX($Y$7:$AB$20,MATCH(O445,$Y$7:$Y$20,0),$AB$6)),"/"),"")</f>
        <v/>
      </c>
      <c r="S445" s="88"/>
    </row>
    <row r="446" spans="1:19" ht="15.6" customHeight="1">
      <c r="A446" s="88"/>
      <c r="B446" s="79" t="s">
        <v>208</v>
      </c>
      <c r="C446" s="81" t="s">
        <v>217</v>
      </c>
      <c r="D446" s="80" t="str">
        <f>IF(B429&lt;&gt;"",IF(INDEX('TH CANAM'!$A$9:$BF$63,MATCH(B429,'TH CANAM'!$A$9:$A$63,0),46)&lt;&gt;"",INDEX('TH CANAM'!$A$9:$BF$63,MATCH(B429,'TH CANAM'!$A$9:$A$63,0),46),"/"),"")</f>
        <v/>
      </c>
      <c r="E446" s="80" t="str">
        <f>IF(B429&lt;&gt;"",IF(INDEX('TH CANAM'!$A$9:$BF$63,MATCH(B429,'TH CANAM'!$A$9:$A$63,0),47)&lt;&gt;"",INDEX('TH CANAM'!$A$9:$BF$63,MATCH(B429,'TH CANAM'!$A$9:$A$63,0),47),"/"),"")</f>
        <v/>
      </c>
      <c r="F446" s="80" t="str">
        <f>IF(B429&lt;&gt;"",IF(INDEX('TH CANAM'!$A$9:$BF$63,MATCH(B429,'TH CANAM'!$A$9:$A$63,0),48)&lt;&gt;"",INDEX('TH CANAM'!$A$9:$BF$63,MATCH(B429,'TH CANAM'!$A$9:$A$63,0),48),"/"),"")</f>
        <v/>
      </c>
      <c r="G446" s="88"/>
      <c r="H446" s="79" t="s">
        <v>208</v>
      </c>
      <c r="I446" s="81" t="s">
        <v>217</v>
      </c>
      <c r="J446" s="80" t="str">
        <f>IF(H429&lt;&gt;"",IF(INDEX('TH CANAM'!$A$9:$BF$63,MATCH(H429,'TH CANAM'!$A$9:$A$63,0),46)&lt;&gt;"",INDEX('TH CANAM'!$A$9:$BF$63,MATCH(H429,'TH CANAM'!$A$9:$A$63,0),46),"/"),"")</f>
        <v/>
      </c>
      <c r="K446" s="80" t="str">
        <f>IF(H429&lt;&gt;"",IF(INDEX('TH CANAM'!$A$9:$BF$63,MATCH(H429,'TH CANAM'!$A$9:$A$63,0),47)&lt;&gt;"",INDEX('TH CANAM'!$A$9:$BF$63,MATCH(H429,'TH CANAM'!$A$9:$A$63,0),47),"/"),"")</f>
        <v/>
      </c>
      <c r="L446" s="80" t="str">
        <f>IF(H429&lt;&gt;"",IF(INDEX('TH CANAM'!$A$9:$BF$63,MATCH(H429,'TH CANAM'!$A$9:$A$63,0),48)&lt;&gt;"",INDEX('TH CANAM'!$A$9:$BF$63,MATCH(H429,'TH CANAM'!$A$9:$A$63,0),48),"/"),"")</f>
        <v/>
      </c>
      <c r="M446" s="88"/>
      <c r="N446" s="79" t="s">
        <v>208</v>
      </c>
      <c r="O446" s="81" t="s">
        <v>217</v>
      </c>
      <c r="P446" s="80" t="str">
        <f>IF(N429&lt;&gt;"",IF(INDEX('TH CANAM'!$A$9:$BF$63,MATCH(N429,'TH CANAM'!$A$9:$A$63,0),46)&lt;&gt;"",INDEX('TH CANAM'!$A$9:$BF$63,MATCH(N429,'TH CANAM'!$A$9:$A$63,0),46),"/"),"")</f>
        <v/>
      </c>
      <c r="Q446" s="80" t="str">
        <f>IF(N429&lt;&gt;"",IF(INDEX('TH CANAM'!$A$9:$BF$63,MATCH(N429,'TH CANAM'!$A$9:$A$63,0),47)&lt;&gt;"",INDEX('TH CANAM'!$A$9:$BF$63,MATCH(N429,'TH CANAM'!$A$9:$A$63,0),47),"/"),"")</f>
        <v/>
      </c>
      <c r="R446" s="80" t="str">
        <f>IF(N429&lt;&gt;"",IF(INDEX('TH CANAM'!$A$9:$BF$63,MATCH(N429,'TH CANAM'!$A$9:$A$63,0),48)&lt;&gt;"",INDEX('TH CANAM'!$A$9:$BF$63,MATCH(N429,'TH CANAM'!$A$9:$A$63,0),48),"/"),"")</f>
        <v/>
      </c>
      <c r="S446" s="88"/>
    </row>
    <row r="447" spans="1:19" ht="15.6" customHeight="1">
      <c r="A447" s="88"/>
      <c r="B447" s="79" t="s">
        <v>209</v>
      </c>
      <c r="C447" s="82" t="s">
        <v>36</v>
      </c>
      <c r="D447" s="35" t="str">
        <f>IF(B429&lt;&gt;"",IF(INDEX('TH CANAM'!$A$9:$BF$63,MATCH(B429,'TH CANAM'!$A$9:$A$63,0),49)&lt;&gt;"",INDEX('TH CANAM'!$A$9:$BF$63,MATCH(B429,'TH CANAM'!$A$9:$A$63,0),49),"/"),"")</f>
        <v/>
      </c>
      <c r="E447" s="35" t="str">
        <f>IF(B429&lt;&gt;"",IF(INDEX('TH CANAM'!$A$9:$BF$63,MATCH(B429,'TH CANAM'!$A$9:$A$63,0),50)&lt;&gt;"",INDEX('TH CANAM'!$A$9:$BF$63,MATCH(B429,'TH CANAM'!$A$9:$A$63,0),50),"/"),"")</f>
        <v/>
      </c>
      <c r="F447" s="35" t="str">
        <f>IF(B429&lt;&gt;"",IF(INDEX('TH CANAM'!$A$9:$BF$63,MATCH(B429,'TH CANAM'!$A$9:$A$63,0),51)&lt;&gt;"",INDEX('TH CANAM'!$A$9:$BF$63,MATCH(B429,'TH CANAM'!$A$9:$A$63,0),51),"/"),"")</f>
        <v/>
      </c>
      <c r="G447" s="88"/>
      <c r="H447" s="79" t="s">
        <v>209</v>
      </c>
      <c r="I447" s="82" t="s">
        <v>36</v>
      </c>
      <c r="J447" s="35" t="str">
        <f>IF(H429&lt;&gt;"",IF(INDEX('TH CANAM'!$A$9:$BF$63,MATCH(H429,'TH CANAM'!$A$9:$A$63,0),49)&lt;&gt;"",INDEX('TH CANAM'!$A$9:$BF$63,MATCH(H429,'TH CANAM'!$A$9:$A$63,0),49),"/"),"")</f>
        <v/>
      </c>
      <c r="K447" s="35" t="str">
        <f>IF(H429&lt;&gt;"",IF(INDEX('TH CANAM'!$A$9:$BF$63,MATCH(H429,'TH CANAM'!$A$9:$A$63,0),50)&lt;&gt;"",INDEX('TH CANAM'!$A$9:$BF$63,MATCH(H429,'TH CANAM'!$A$9:$A$63,0),50),"/"),"")</f>
        <v/>
      </c>
      <c r="L447" s="35" t="str">
        <f>IF(H429&lt;&gt;"",IF(INDEX('TH CANAM'!$A$9:$BF$63,MATCH(H429,'TH CANAM'!$A$9:$A$63,0),51)&lt;&gt;"",INDEX('TH CANAM'!$A$9:$BF$63,MATCH(H429,'TH CANAM'!$A$9:$A$63,0),51),"/"),"")</f>
        <v/>
      </c>
      <c r="M447" s="88"/>
      <c r="N447" s="79" t="s">
        <v>209</v>
      </c>
      <c r="O447" s="82" t="s">
        <v>36</v>
      </c>
      <c r="P447" s="35" t="str">
        <f>IF(N429&lt;&gt;"",IF(INDEX('TH CANAM'!$A$9:$BF$63,MATCH(N429,'TH CANAM'!$A$9:$A$63,0),49)&lt;&gt;"",INDEX('TH CANAM'!$A$9:$BF$63,MATCH(N429,'TH CANAM'!$A$9:$A$63,0),49),"/"),"")</f>
        <v/>
      </c>
      <c r="Q447" s="35" t="str">
        <f>IF(N429&lt;&gt;"",IF(INDEX('TH CANAM'!$A$9:$BF$63,MATCH(N429,'TH CANAM'!$A$9:$A$63,0),50)&lt;&gt;"",INDEX('TH CANAM'!$A$9:$BF$63,MATCH(N429,'TH CANAM'!$A$9:$A$63,0),50),"/"),"")</f>
        <v/>
      </c>
      <c r="R447" s="35" t="str">
        <f>IF(N429&lt;&gt;"",IF(INDEX('TH CANAM'!$A$9:$BF$63,MATCH(N429,'TH CANAM'!$A$9:$A$63,0),51)&lt;&gt;"",INDEX('TH CANAM'!$A$9:$BF$63,MATCH(N429,'TH CANAM'!$A$9:$A$63,0),51),"/"),"")</f>
        <v/>
      </c>
      <c r="S447" s="88"/>
    </row>
    <row r="448" spans="1:19" ht="15.6" customHeight="1">
      <c r="A448" s="88"/>
      <c r="B448" s="79" t="s">
        <v>210</v>
      </c>
      <c r="C448" s="82" t="s">
        <v>37</v>
      </c>
      <c r="D448" s="35" t="str">
        <f>IF(B429&lt;&gt;"",IF(INDEX('TH CANAM'!$A$9:$BF$63,MATCH(B429,'TH CANAM'!$A$9:$A$63,0),52)&lt;&gt;"",INDEX('TH CANAM'!$A$9:$BF$63,MATCH(B429,'TH CANAM'!$A$9:$A$63,0),52),"/"),"")</f>
        <v/>
      </c>
      <c r="E448" s="35" t="str">
        <f>IF(B429&lt;&gt;"",IF(INDEX('TH CANAM'!$A$9:$BF$63,MATCH(B429,'TH CANAM'!$A$9:$A$63,0),53)&lt;&gt;"",INDEX('TH CANAM'!$A$9:$BF$63,MATCH(B429,'TH CANAM'!$A$9:$A$63,0),53),"/"),"")</f>
        <v/>
      </c>
      <c r="F448" s="35" t="str">
        <f>IF(B429&lt;&gt;"",IF(INDEX('TH CANAM'!$A$9:$BF$63,MATCH(B429,'TH CANAM'!$A$9:$A$63,0),54)&lt;&gt;"",INDEX('TH CANAM'!$A$9:$BF$63,MATCH(B429,'TH CANAM'!$A$9:$A$63,0),54),"/"),"")</f>
        <v/>
      </c>
      <c r="G448" s="88"/>
      <c r="H448" s="79" t="s">
        <v>210</v>
      </c>
      <c r="I448" s="82" t="s">
        <v>37</v>
      </c>
      <c r="J448" s="35" t="str">
        <f>IF(H429&lt;&gt;"",IF(INDEX('TH CANAM'!$A$9:$BF$63,MATCH(H429,'TH CANAM'!$A$9:$A$63,0),52)&lt;&gt;"",INDEX('TH CANAM'!$A$9:$BF$63,MATCH(H429,'TH CANAM'!$A$9:$A$63,0),52),"/"),"")</f>
        <v/>
      </c>
      <c r="K448" s="35" t="str">
        <f>IF(H429&lt;&gt;"",IF(INDEX('TH CANAM'!$A$9:$BF$63,MATCH(H429,'TH CANAM'!$A$9:$A$63,0),53)&lt;&gt;"",INDEX('TH CANAM'!$A$9:$BF$63,MATCH(H429,'TH CANAM'!$A$9:$A$63,0),53),"/"),"")</f>
        <v/>
      </c>
      <c r="L448" s="35" t="str">
        <f>IF(H429&lt;&gt;"",IF(INDEX('TH CANAM'!$A$9:$BF$63,MATCH(H429,'TH CANAM'!$A$9:$A$63,0),54)&lt;&gt;"",INDEX('TH CANAM'!$A$9:$BF$63,MATCH(H429,'TH CANAM'!$A$9:$A$63,0),54),"/"),"")</f>
        <v/>
      </c>
      <c r="M448" s="88"/>
      <c r="N448" s="79" t="s">
        <v>210</v>
      </c>
      <c r="O448" s="82" t="s">
        <v>37</v>
      </c>
      <c r="P448" s="35" t="str">
        <f>IF(N429&lt;&gt;"",IF(INDEX('TH CANAM'!$A$9:$BF$63,MATCH(N429,'TH CANAM'!$A$9:$A$63,0),52)&lt;&gt;"",INDEX('TH CANAM'!$A$9:$BF$63,MATCH(N429,'TH CANAM'!$A$9:$A$63,0),52),"/"),"")</f>
        <v/>
      </c>
      <c r="Q448" s="35" t="str">
        <f>IF(N429&lt;&gt;"",IF(INDEX('TH CANAM'!$A$9:$BF$63,MATCH(N429,'TH CANAM'!$A$9:$A$63,0),53)&lt;&gt;"",INDEX('TH CANAM'!$A$9:$BF$63,MATCH(N429,'TH CANAM'!$A$9:$A$63,0),53),"/"),"")</f>
        <v/>
      </c>
      <c r="R448" s="35" t="str">
        <f>IF(N429&lt;&gt;"",IF(INDEX('TH CANAM'!$A$9:$BF$63,MATCH(N429,'TH CANAM'!$A$9:$A$63,0),54)&lt;&gt;"",INDEX('TH CANAM'!$A$9:$BF$63,MATCH(N429,'TH CANAM'!$A$9:$A$63,0),54),"/"),"")</f>
        <v/>
      </c>
      <c r="S448" s="88"/>
    </row>
    <row r="449" spans="1:19" ht="15.6" customHeight="1">
      <c r="A449" s="88"/>
      <c r="B449" s="79" t="s">
        <v>211</v>
      </c>
      <c r="C449" s="82" t="s">
        <v>25</v>
      </c>
      <c r="D449" s="35" t="str">
        <f>IF(B429&lt;&gt;"",IF(INDEX('TH CANAM'!$A$9:$BF$63,MATCH(B429,'TH CANAM'!$A$9:$A$63,0),57)&lt;&gt;"",INDEX('TH CANAM'!$A$9:$BF$63,MATCH(B429,'TH CANAM'!$A$9:$A$63,0),57),"/"),"")</f>
        <v/>
      </c>
      <c r="E449" s="35" t="str">
        <f>IF(B429&lt;&gt;"",IF(INDEX('TH CANAM'!$A$9:$BF$63,MATCH(B429,'TH CANAM'!$A$9:$A$63,0),58)&lt;&gt;"",INDEX('TH CANAM'!$A$9:$BF$63,MATCH(B429,'TH CANAM'!$A$9:$A$63,0),58),"/"),"")</f>
        <v/>
      </c>
      <c r="F449" s="35" t="str">
        <f>IF(B429&lt;&gt;"",IF(INDEX('TH CANAM'!$A$9:$BF$63,MATCH(B429,'TH CANAM'!$A$9:$A$63,0),55)&lt;&gt;"",INDEX('TH CANAM'!$A$9:$BF$63,MATCH(B429,'TH CANAM'!$A$9:$A$63,0),55),"/"),"")</f>
        <v/>
      </c>
      <c r="G449" s="88"/>
      <c r="H449" s="79" t="s">
        <v>211</v>
      </c>
      <c r="I449" s="82" t="s">
        <v>25</v>
      </c>
      <c r="J449" s="35" t="str">
        <f>IF(H429&lt;&gt;"",IF(INDEX('TH CANAM'!$A$9:$BF$63,MATCH(H429,'TH CANAM'!$A$9:$A$63,0),57)&lt;&gt;"",INDEX('TH CANAM'!$A$9:$BF$63,MATCH(H429,'TH CANAM'!$A$9:$A$63,0),57),"/"),"")</f>
        <v/>
      </c>
      <c r="K449" s="35" t="str">
        <f>IF(H429&lt;&gt;"",IF(INDEX('TH CANAM'!$A$9:$BF$63,MATCH(H429,'TH CANAM'!$A$9:$A$63,0),58)&lt;&gt;"",INDEX('TH CANAM'!$A$9:$BF$63,MATCH(H429,'TH CANAM'!$A$9:$A$63,0),58),"/"),"")</f>
        <v/>
      </c>
      <c r="L449" s="35" t="str">
        <f>IF(H429&lt;&gt;"",IF(INDEX('TH CANAM'!$A$9:$BF$63,MATCH(H429,'TH CANAM'!$A$9:$A$63,0),55)&lt;&gt;"",INDEX('TH CANAM'!$A$9:$BF$63,MATCH(H429,'TH CANAM'!$A$9:$A$63,0),55),"/"),"")</f>
        <v/>
      </c>
      <c r="M449" s="88"/>
      <c r="N449" s="79" t="s">
        <v>211</v>
      </c>
      <c r="O449" s="82" t="s">
        <v>25</v>
      </c>
      <c r="P449" s="35" t="str">
        <f>IF(N429&lt;&gt;"",IF(INDEX('TH CANAM'!$A$9:$BF$63,MATCH(N429,'TH CANAM'!$A$9:$A$63,0),57)&lt;&gt;"",INDEX('TH CANAM'!$A$9:$BF$63,MATCH(N429,'TH CANAM'!$A$9:$A$63,0),57),"/"),"")</f>
        <v/>
      </c>
      <c r="Q449" s="35" t="str">
        <f>IF(N429&lt;&gt;"",IF(INDEX('TH CANAM'!$A$9:$BF$63,MATCH(N429,'TH CANAM'!$A$9:$A$63,0),58)&lt;&gt;"",INDEX('TH CANAM'!$A$9:$BF$63,MATCH(N429,'TH CANAM'!$A$9:$A$63,0),58),"/"),"")</f>
        <v/>
      </c>
      <c r="R449" s="35" t="str">
        <f>IF(N429&lt;&gt;"",IF(INDEX('TH CANAM'!$A$9:$BF$63,MATCH(N429,'TH CANAM'!$A$9:$A$63,0),55)&lt;&gt;"",INDEX('TH CANAM'!$A$9:$BF$63,MATCH(N429,'TH CANAM'!$A$9:$A$63,0),55),"/"),"")</f>
        <v/>
      </c>
      <c r="S449" s="88"/>
    </row>
    <row r="450" spans="1:19" s="251" customFormat="1" ht="15.75" customHeight="1">
      <c r="A450" s="89"/>
      <c r="B450" s="1146" t="s">
        <v>219</v>
      </c>
      <c r="C450" s="1147"/>
      <c r="D450" s="1147"/>
      <c r="E450" s="1147"/>
      <c r="F450" s="1148"/>
      <c r="G450" s="89"/>
      <c r="H450" s="1146" t="s">
        <v>219</v>
      </c>
      <c r="I450" s="1147"/>
      <c r="J450" s="1147"/>
      <c r="K450" s="1147"/>
      <c r="L450" s="1148"/>
      <c r="M450" s="89"/>
      <c r="N450" s="1146" t="s">
        <v>219</v>
      </c>
      <c r="O450" s="1147"/>
      <c r="P450" s="1147"/>
      <c r="Q450" s="1147"/>
      <c r="R450" s="1148"/>
      <c r="S450" s="89"/>
    </row>
    <row r="451" spans="1:19" s="251" customFormat="1" ht="15.6" customHeight="1">
      <c r="A451" s="89"/>
      <c r="B451" s="1143" t="str">
        <f>IF(B429&lt;&gt;"",IF(INDEX(BDHK2,MATCH(B429,DiemHKII!$B$4:$B$58,0),137)&lt;&gt;""," - "&amp;INDEX(BDHK2,MATCH(B429,DiemHKII!$B$4:$B$58,0),137),""),"")</f>
        <v/>
      </c>
      <c r="C451" s="1144"/>
      <c r="D451" s="1144"/>
      <c r="E451" s="1144"/>
      <c r="F451" s="1145"/>
      <c r="G451" s="89"/>
      <c r="H451" s="1143" t="str">
        <f>IF(H429&lt;&gt;"",IF(INDEX(BDHK2,MATCH(H429,DiemHKII!$B$4:$B$58,0),137)&lt;&gt;""," - "&amp;INDEX(BDHK2,MATCH(H429,DiemHKII!$B$4:$B$58,0),137),""),"")</f>
        <v/>
      </c>
      <c r="I451" s="1144"/>
      <c r="J451" s="1144"/>
      <c r="K451" s="1144"/>
      <c r="L451" s="1145"/>
      <c r="M451" s="89"/>
      <c r="N451" s="1143" t="str">
        <f>IF(N429&lt;&gt;"",IF(INDEX(BDHK2,MATCH(N429,DiemHKII!$B$4:$B$58,0),137)&lt;&gt;""," - "&amp;INDEX(BDHK2,MATCH(N429,DiemHKII!$B$4:$B$58,0),137),""),"")</f>
        <v/>
      </c>
      <c r="O451" s="1144"/>
      <c r="P451" s="1144"/>
      <c r="Q451" s="1144"/>
      <c r="R451" s="1145"/>
      <c r="S451" s="89"/>
    </row>
    <row r="452" spans="1:19" s="251" customFormat="1" ht="15.6" customHeight="1">
      <c r="A452" s="89"/>
      <c r="B452" s="1143" t="str">
        <f>IF(B429&lt;&gt;"",IF(INDEX(BDHK2,MATCH(B429,DiemHKII!$B$4:$B$58,0),138)&lt;&gt;""," - "&amp;INDEX(BDHK2,MATCH(B429,DiemHKII!$B$4:$B$58,0),138),""),"")</f>
        <v/>
      </c>
      <c r="C452" s="1144"/>
      <c r="D452" s="1144"/>
      <c r="E452" s="1144"/>
      <c r="F452" s="1145"/>
      <c r="G452" s="89"/>
      <c r="H452" s="1143" t="str">
        <f>IF(H429&lt;&gt;"",IF(INDEX(BDHK2,MATCH(H429,DiemHKII!$B$4:$B$58,0),138)&lt;&gt;""," - "&amp;INDEX(BDHK2,MATCH(H429,DiemHKII!$B$4:$B$58,0),138),""),"")</f>
        <v/>
      </c>
      <c r="I452" s="1144"/>
      <c r="J452" s="1144"/>
      <c r="K452" s="1144"/>
      <c r="L452" s="1145"/>
      <c r="M452" s="89"/>
      <c r="N452" s="1143" t="str">
        <f>IF(N429&lt;&gt;"",IF(INDEX(BDHK2,MATCH(N429,DiemHKII!$B$4:$B$58,0),138)&lt;&gt;""," - "&amp;INDEX(BDHK2,MATCH(N429,DiemHKII!$B$4:$B$58,0),138),""),"")</f>
        <v/>
      </c>
      <c r="O452" s="1144"/>
      <c r="P452" s="1144"/>
      <c r="Q452" s="1144"/>
      <c r="R452" s="1145"/>
      <c r="S452" s="89"/>
    </row>
    <row r="453" spans="1:19" s="251" customFormat="1" ht="15.6" customHeight="1">
      <c r="A453" s="89"/>
      <c r="B453" s="1143" t="str">
        <f>IF(B429&lt;&gt;"",IF(INDEX(BDHK2,MATCH(B429,DiemHKII!$B$4:$B$58,0),139)&lt;&gt;""," - "&amp;INDEX(BDHK2,MATCH(B429,DiemHKII!$B$4:$B$58,0),139),""),"")</f>
        <v/>
      </c>
      <c r="C453" s="1144"/>
      <c r="D453" s="1144"/>
      <c r="E453" s="1144"/>
      <c r="F453" s="1145"/>
      <c r="G453" s="89"/>
      <c r="H453" s="1143" t="str">
        <f>IF(H429&lt;&gt;"",IF(INDEX(BDHK2,MATCH(H429,DiemHKII!$B$4:$B$58,0),139)&lt;&gt;""," - "&amp;INDEX(BDHK2,MATCH(H429,DiemHKII!$B$4:$B$58,0),139),""),"")</f>
        <v/>
      </c>
      <c r="I453" s="1144"/>
      <c r="J453" s="1144"/>
      <c r="K453" s="1144"/>
      <c r="L453" s="1145"/>
      <c r="M453" s="89"/>
      <c r="N453" s="1143" t="str">
        <f>IF(N429&lt;&gt;"",IF(INDEX(BDHK2,MATCH(N429,DiemHKII!$B$4:$B$58,0),139)&lt;&gt;""," - "&amp;INDEX(BDHK2,MATCH(N429,DiemHKII!$B$4:$B$58,0),139),""),"")</f>
        <v/>
      </c>
      <c r="O453" s="1144"/>
      <c r="P453" s="1144"/>
      <c r="Q453" s="1144"/>
      <c r="R453" s="1145"/>
      <c r="S453" s="89"/>
    </row>
    <row r="454" spans="1:19" s="251" customFormat="1" ht="15.6" customHeight="1">
      <c r="A454" s="89"/>
      <c r="B454" s="1143" t="str">
        <f>IF(B429&lt;&gt;"",IF(INDEX(BDHK2,MATCH(B429,DiemHKII!$B$4:$B$58,0),140)&lt;&gt;""," - "&amp;INDEX(BDHK2,MATCH(B429,DiemHKII!$B$4:$B$58,0),140),""),"")</f>
        <v/>
      </c>
      <c r="C454" s="1144"/>
      <c r="D454" s="1144"/>
      <c r="E454" s="1144"/>
      <c r="F454" s="1145"/>
      <c r="G454" s="89"/>
      <c r="H454" s="1143" t="str">
        <f>IF(H429&lt;&gt;"",IF(INDEX(BDHK2,MATCH(H429,DiemHKII!$B$4:$B$58,0),140)&lt;&gt;""," - "&amp;INDEX(BDHK2,MATCH(H429,DiemHKII!$B$4:$B$58,0),140),""),"")</f>
        <v/>
      </c>
      <c r="I454" s="1144"/>
      <c r="J454" s="1144"/>
      <c r="K454" s="1144"/>
      <c r="L454" s="1145"/>
      <c r="M454" s="89"/>
      <c r="N454" s="1143" t="str">
        <f>IF(N429&lt;&gt;"",IF(INDEX(BDHK2,MATCH(N429,DiemHKII!$B$4:$B$58,0),140)&lt;&gt;""," - "&amp;INDEX(BDHK2,MATCH(N429,DiemHKII!$B$4:$B$58,0),140),""),"")</f>
        <v/>
      </c>
      <c r="O454" s="1144"/>
      <c r="P454" s="1144"/>
      <c r="Q454" s="1144"/>
      <c r="R454" s="1145"/>
      <c r="S454" s="89"/>
    </row>
    <row r="455" spans="1:19" ht="8.25" customHeight="1">
      <c r="A455" s="88"/>
      <c r="B455" s="83"/>
      <c r="C455" s="84"/>
      <c r="D455" s="84"/>
      <c r="E455" s="84"/>
      <c r="F455" s="85"/>
      <c r="G455" s="88"/>
      <c r="H455" s="83"/>
      <c r="I455" s="84"/>
      <c r="J455" s="84"/>
      <c r="K455" s="84"/>
      <c r="L455" s="85"/>
      <c r="M455" s="88"/>
      <c r="N455" s="83"/>
      <c r="O455" s="84"/>
      <c r="P455" s="84"/>
      <c r="Q455" s="84"/>
      <c r="R455" s="85"/>
      <c r="S455" s="88"/>
    </row>
    <row r="456" spans="1:19" ht="6.75" customHeight="1">
      <c r="A456" s="88"/>
      <c r="B456" s="87"/>
      <c r="C456" s="87"/>
      <c r="D456" s="1135"/>
      <c r="E456" s="1135"/>
      <c r="F456" s="1135"/>
      <c r="G456" s="88"/>
      <c r="H456" s="87"/>
      <c r="I456" s="87"/>
      <c r="J456" s="1135"/>
      <c r="K456" s="1135"/>
      <c r="L456" s="1135"/>
      <c r="M456" s="88"/>
      <c r="N456" s="87"/>
      <c r="O456" s="87"/>
      <c r="P456" s="1135"/>
      <c r="Q456" s="1135"/>
      <c r="R456" s="1135"/>
      <c r="S456" s="88"/>
    </row>
    <row r="457" spans="1:19" ht="6.75" customHeight="1">
      <c r="A457" s="88"/>
      <c r="B457" s="87"/>
      <c r="C457" s="87"/>
      <c r="D457" s="1135"/>
      <c r="E457" s="1135"/>
      <c r="F457" s="1135"/>
      <c r="G457" s="88"/>
      <c r="H457" s="87"/>
      <c r="I457" s="87"/>
      <c r="J457" s="1135"/>
      <c r="K457" s="1135"/>
      <c r="L457" s="1135"/>
      <c r="M457" s="88"/>
      <c r="N457" s="87"/>
      <c r="O457" s="87"/>
      <c r="P457" s="1135"/>
      <c r="Q457" s="1135"/>
      <c r="R457" s="1135"/>
      <c r="S457" s="88"/>
    </row>
    <row r="458" spans="1:19" ht="18" customHeight="1">
      <c r="A458" s="88"/>
      <c r="B458" s="477" t="str">
        <f>IF(N429="","",IF(N429&lt;MAX(DiemHKII!$B$4:$B$58),N429+1,""))</f>
        <v/>
      </c>
      <c r="C458" s="1140" t="str">
        <f>IF(B458="","",INDEX(DiemHKII!$E$4:$E$58,MATCH(B458,DiemHKII!$B$4:$B$58,0),1)&amp;" "&amp;INDEX(DiemHKII!$F$4:$F$58,MATCH(B458,DiemHKII!$B$4:$B$58,0),1))</f>
        <v/>
      </c>
      <c r="D458" s="1141"/>
      <c r="E458" s="1142"/>
      <c r="F458" s="86" t="str">
        <f>IF('Huong dan'!$C$3="","",'Huong dan'!$C$3)</f>
        <v>12A1</v>
      </c>
      <c r="G458" s="88"/>
      <c r="H458" s="477" t="str">
        <f>IF(B458="","",IF(B458&lt;MAX(DiemHKII!$B$4:$B$58),B458+1,""))</f>
        <v/>
      </c>
      <c r="I458" s="1140" t="str">
        <f>IF(H458="","",INDEX(DiemHKII!$E$4:$E$58,MATCH(H458,DiemHKII!$B$4:$B$58,0),1)&amp;" "&amp;INDEX(DiemHKII!$F$4:$F$58,MATCH(H458,DiemHKII!$B$4:$B$58,0),1))</f>
        <v/>
      </c>
      <c r="J458" s="1141"/>
      <c r="K458" s="1142"/>
      <c r="L458" s="86" t="str">
        <f>IF('Huong dan'!$C$3="","",'Huong dan'!$C$3)</f>
        <v>12A1</v>
      </c>
      <c r="M458" s="88"/>
      <c r="N458" s="477" t="str">
        <f>IF(H458="","",IF(H458&lt;MAX(DiemHKII!$B$4:$B$58),H458+1,""))</f>
        <v/>
      </c>
      <c r="O458" s="1140" t="str">
        <f>IF(N458="","",INDEX(DiemHKII!$E$4:$E$58,MATCH(N458,DiemHKII!$B$4:$B$58,0),1)&amp;" "&amp;INDEX(DiemHKII!$F$4:$F$58,MATCH(N458,DiemHKII!$B$4:$B$58,0),1))</f>
        <v/>
      </c>
      <c r="P458" s="1141"/>
      <c r="Q458" s="1142"/>
      <c r="R458" s="86" t="str">
        <f>IF('Huong dan'!$C$3="","",'Huong dan'!$C$3)</f>
        <v>12A1</v>
      </c>
      <c r="S458" s="88"/>
    </row>
    <row r="459" spans="1:19" ht="18.75" customHeight="1">
      <c r="A459" s="88"/>
      <c r="B459" s="1136" t="str">
        <f>" Sinh ngày: "&amp;IF(B458="","",INDEX(DiemHKII!$G$4:$G$58,MATCH(B458,DiemHKII!$B$4:$B$58,0),1))</f>
        <v xml:space="preserve"> Sinh ngày: </v>
      </c>
      <c r="C459" s="1137"/>
      <c r="D459" s="1137"/>
      <c r="E459" s="1138" t="str">
        <f>IF(B458="","","NS: "&amp;INDEX(DiemHKII!$H$4:$H$58,MATCH(B458,DiemHKII!$B$4:$B$58,0),1))</f>
        <v/>
      </c>
      <c r="F459" s="1139"/>
      <c r="G459" s="88"/>
      <c r="H459" s="1136" t="str">
        <f>" Sinh ngày: "&amp;IF(H458="","",INDEX(DiemHKII!$G$4:$G$58,MATCH(H458,DiemHKII!$B$4:$B$58,0),1))</f>
        <v xml:space="preserve"> Sinh ngày: </v>
      </c>
      <c r="I459" s="1137"/>
      <c r="J459" s="1137"/>
      <c r="K459" s="1138" t="str">
        <f>IF(H458="","","NS: "&amp;INDEX(DiemHKII!$H$4:$H$58,MATCH(H458,DiemHKII!$B$4:$B$58,0),1))</f>
        <v/>
      </c>
      <c r="L459" s="1139"/>
      <c r="M459" s="88"/>
      <c r="N459" s="1136" t="str">
        <f>" Sinh ngày: "&amp;IF(N458="","",INDEX(DiemHKII!$G$4:$G$58,MATCH(N458,DiemHKII!$B$4:$B$58,0),1))</f>
        <v xml:space="preserve"> Sinh ngày: </v>
      </c>
      <c r="O459" s="1137"/>
      <c r="P459" s="1137"/>
      <c r="Q459" s="1138" t="str">
        <f>IF(N458="","","NS: "&amp;INDEX(DiemHKII!$H$4:$H$58,MATCH(N458,DiemHKII!$B$4:$B$58,0),1))</f>
        <v/>
      </c>
      <c r="R459" s="1139"/>
      <c r="S459" s="88"/>
    </row>
    <row r="460" spans="1:19" ht="15.75" customHeight="1">
      <c r="A460" s="88"/>
      <c r="B460" s="381" t="s">
        <v>0</v>
      </c>
      <c r="C460" s="381" t="s">
        <v>59</v>
      </c>
      <c r="D460" s="381" t="s">
        <v>73</v>
      </c>
      <c r="E460" s="381" t="s">
        <v>176</v>
      </c>
      <c r="F460" s="381" t="s">
        <v>98</v>
      </c>
      <c r="G460" s="88"/>
      <c r="H460" s="381" t="s">
        <v>0</v>
      </c>
      <c r="I460" s="381" t="s">
        <v>59</v>
      </c>
      <c r="J460" s="381" t="s">
        <v>73</v>
      </c>
      <c r="K460" s="381" t="s">
        <v>176</v>
      </c>
      <c r="L460" s="381" t="s">
        <v>98</v>
      </c>
      <c r="M460" s="88"/>
      <c r="N460" s="381" t="s">
        <v>0</v>
      </c>
      <c r="O460" s="381" t="s">
        <v>59</v>
      </c>
      <c r="P460" s="381" t="s">
        <v>73</v>
      </c>
      <c r="Q460" s="381" t="s">
        <v>176</v>
      </c>
      <c r="R460" s="381" t="s">
        <v>98</v>
      </c>
      <c r="S460" s="88"/>
    </row>
    <row r="461" spans="1:19" ht="15.6" customHeight="1">
      <c r="A461" s="88"/>
      <c r="B461" s="79" t="s">
        <v>191</v>
      </c>
      <c r="C461" s="81" t="s">
        <v>26</v>
      </c>
      <c r="D461" s="35" t="str">
        <f>IF(B458&lt;&gt;"",IF(INDEX(BDHK2,MATCH(B458,DiemHKII!$B$4:$B$58,0),INDEX($Y$7:$AB$20,MATCH(C461,$Y$7:$Y$20,0),$Z$6))&lt;&gt;"",INDEX(BDHK2,MATCH(B458,DiemHKII!$B$4:$B$58,0),INDEX($Y$7:$AB$20,MATCH(C461,$Y$7:$Y$20,0),$Z$6)),"/"),"")</f>
        <v/>
      </c>
      <c r="E461" s="35" t="str">
        <f>IF(B458&lt;&gt;"",IF(INDEX(BDHK2,MATCH(B458,DiemHKII!$B$4:$B$58,0),INDEX($Y$7:$AB$20,MATCH(C461,$Y$7:$Y$20,0),$AA$6))&lt;&gt;"",INDEX(BDHK2,MATCH(B458,DiemHKII!$B$4:$B$58,0),INDEX($Y$7:$AB$20,MATCH(C461,$Y$7:$Y$20,0),$AA$6)),"/"),"")</f>
        <v/>
      </c>
      <c r="F461" s="35" t="str">
        <f>IF(B458&lt;&gt;"",IF(INDEX(BDHK2,MATCH(B458,DiemHKII!$B$4:$B$58,0),INDEX($Y$7:$AB$20,MATCH(C461,$Y$7:$Y$20,0),$AB$6))&lt;&gt;"",INDEX(BDHK2,MATCH(B458,DiemHKII!$B$4:$B$58,0),INDEX($Y$7:$AB$20,MATCH(C461,$Y$7:$Y$20,0),$AB$6)),"/"),"")</f>
        <v/>
      </c>
      <c r="G461" s="88"/>
      <c r="H461" s="79" t="s">
        <v>191</v>
      </c>
      <c r="I461" s="81" t="s">
        <v>26</v>
      </c>
      <c r="J461" s="35" t="str">
        <f>IF(H458&lt;&gt;"",IF(INDEX(BDHK2,MATCH(H458,DiemHKII!$B$4:$B$58,0),INDEX($Y$7:$AB$20,MATCH(I461,$Y$7:$Y$20,0),$Z$6))&lt;&gt;"",INDEX(BDHK2,MATCH(H458,DiemHKII!$B$4:$B$58,0),INDEX($Y$7:$AB$20,MATCH(I461,$Y$7:$Y$20,0),$Z$6)),"/"),"")</f>
        <v/>
      </c>
      <c r="K461" s="35" t="str">
        <f>IF(H458&lt;&gt;"",IF(INDEX(BDHK2,MATCH(H458,DiemHKII!$B$4:$B$58,0),INDEX($Y$7:$AB$20,MATCH(I461,$Y$7:$Y$20,0),$AA$6))&lt;&gt;"",INDEX(BDHK2,MATCH(H458,DiemHKII!$B$4:$B$58,0),INDEX($Y$7:$AB$20,MATCH(I461,$Y$7:$Y$20,0),$AA$6)),"/"),"")</f>
        <v/>
      </c>
      <c r="L461" s="35" t="str">
        <f>IF(H458&lt;&gt;"",IF(INDEX(BDHK2,MATCH(H458,DiemHKII!$B$4:$B$58,0),INDEX($Y$7:$AB$20,MATCH(I461,$Y$7:$Y$20,0),$AB$6))&lt;&gt;"",INDEX(BDHK2,MATCH(H458,DiemHKII!$B$4:$B$58,0),INDEX($Y$7:$AB$20,MATCH(I461,$Y$7:$Y$20,0),$AB$6)),"/"),"")</f>
        <v/>
      </c>
      <c r="M461" s="88"/>
      <c r="N461" s="79" t="s">
        <v>191</v>
      </c>
      <c r="O461" s="81" t="s">
        <v>26</v>
      </c>
      <c r="P461" s="35" t="str">
        <f>IF(N458&lt;&gt;"",IF(INDEX(BDHK2,MATCH(N458,DiemHKII!$B$4:$B$58,0),INDEX($Y$7:$AB$20,MATCH(O461,$Y$7:$Y$20,0),$Z$6))&lt;&gt;"",INDEX(BDHK2,MATCH(N458,DiemHKII!$B$4:$B$58,0),INDEX($Y$7:$AB$20,MATCH(O461,$Y$7:$Y$20,0),$Z$6)),"/"),"")</f>
        <v/>
      </c>
      <c r="Q461" s="35" t="str">
        <f>IF(N458&lt;&gt;"",IF(INDEX(BDHK2,MATCH(N458,DiemHKII!$B$4:$B$58,0),INDEX($Y$7:$AB$20,MATCH(O461,$Y$7:$Y$20,0),$AA$6))&lt;&gt;"",INDEX(BDHK2,MATCH(N458,DiemHKII!$B$4:$B$58,0),INDEX($Y$7:$AB$20,MATCH(O461,$Y$7:$Y$20,0),$AA$6)),"/"),"")</f>
        <v/>
      </c>
      <c r="R461" s="35" t="str">
        <f>IF(N458&lt;&gt;"",IF(INDEX(BDHK2,MATCH(N458,DiemHKII!$B$4:$B$58,0),INDEX($Y$7:$AB$20,MATCH(O461,$Y$7:$Y$20,0),$AB$6))&lt;&gt;"",INDEX(BDHK2,MATCH(N458,DiemHKII!$B$4:$B$58,0),INDEX($Y$7:$AB$20,MATCH(O461,$Y$7:$Y$20,0),$AB$6)),"/"),"")</f>
        <v/>
      </c>
      <c r="S461" s="88"/>
    </row>
    <row r="462" spans="1:19" ht="15.6" customHeight="1">
      <c r="A462" s="88"/>
      <c r="B462" s="79" t="s">
        <v>192</v>
      </c>
      <c r="C462" s="81" t="s">
        <v>27</v>
      </c>
      <c r="D462" s="35" t="str">
        <f>IF(B458&lt;&gt;"",IF(INDEX(BDHK2,MATCH(B458,DiemHKII!$B$4:$B$58,0),INDEX($Y$7:$AB$20,MATCH(C462,$Y$7:$Y$20,0),$Z$6))&lt;&gt;"",INDEX(BDHK2,MATCH(B458,DiemHKII!$B$4:$B$58,0),INDEX($Y$7:$AB$20,MATCH(C462,$Y$7:$Y$20,0),$Z$6)),"/"),"")</f>
        <v/>
      </c>
      <c r="E462" s="35" t="str">
        <f>IF(B458&lt;&gt;"",IF(INDEX(BDHK2,MATCH(B458,DiemHKII!$B$4:$B$58,0),INDEX($Y$7:$AB$20,MATCH(C462,$Y$7:$Y$20,0),$AA$6))&lt;&gt;"",INDEX(BDHK2,MATCH(B458,DiemHKII!$B$4:$B$58,0),INDEX($Y$7:$AB$20,MATCH(C462,$Y$7:$Y$20,0),$AA$6)),"/"),"")</f>
        <v/>
      </c>
      <c r="F462" s="35" t="str">
        <f>IF(B458&lt;&gt;"",IF(INDEX(BDHK2,MATCH(B458,DiemHKII!$B$4:$B$58,0),INDEX($Y$7:$AB$20,MATCH(C462,$Y$7:$Y$20,0),$AB$6))&lt;&gt;"",INDEX(BDHK2,MATCH(B458,DiemHKII!$B$4:$B$58,0),INDEX($Y$7:$AB$20,MATCH(C462,$Y$7:$Y$20,0),$AB$6)),"/"),"")</f>
        <v/>
      </c>
      <c r="G462" s="88"/>
      <c r="H462" s="79" t="s">
        <v>192</v>
      </c>
      <c r="I462" s="81" t="s">
        <v>27</v>
      </c>
      <c r="J462" s="35" t="str">
        <f>IF(H458&lt;&gt;"",IF(INDEX(BDHK2,MATCH(H458,DiemHKII!$B$4:$B$58,0),INDEX($Y$7:$AB$20,MATCH(I462,$Y$7:$Y$20,0),$Z$6))&lt;&gt;"",INDEX(BDHK2,MATCH(H458,DiemHKII!$B$4:$B$58,0),INDEX($Y$7:$AB$20,MATCH(I462,$Y$7:$Y$20,0),$Z$6)),"/"),"")</f>
        <v/>
      </c>
      <c r="K462" s="35" t="str">
        <f>IF(H458&lt;&gt;"",IF(INDEX(BDHK2,MATCH(H458,DiemHKII!$B$4:$B$58,0),INDEX($Y$7:$AB$20,MATCH(I462,$Y$7:$Y$20,0),$AA$6))&lt;&gt;"",INDEX(BDHK2,MATCH(H458,DiemHKII!$B$4:$B$58,0),INDEX($Y$7:$AB$20,MATCH(I462,$Y$7:$Y$20,0),$AA$6)),"/"),"")</f>
        <v/>
      </c>
      <c r="L462" s="35" t="str">
        <f>IF(H458&lt;&gt;"",IF(INDEX(BDHK2,MATCH(H458,DiemHKII!$B$4:$B$58,0),INDEX($Y$7:$AB$20,MATCH(I462,$Y$7:$Y$20,0),$AB$6))&lt;&gt;"",INDEX(BDHK2,MATCH(H458,DiemHKII!$B$4:$B$58,0),INDEX($Y$7:$AB$20,MATCH(I462,$Y$7:$Y$20,0),$AB$6)),"/"),"")</f>
        <v/>
      </c>
      <c r="M462" s="88"/>
      <c r="N462" s="79" t="s">
        <v>192</v>
      </c>
      <c r="O462" s="81" t="s">
        <v>27</v>
      </c>
      <c r="P462" s="35" t="str">
        <f>IF(N458&lt;&gt;"",IF(INDEX(BDHK2,MATCH(N458,DiemHKII!$B$4:$B$58,0),INDEX($Y$7:$AB$20,MATCH(O462,$Y$7:$Y$20,0),$Z$6))&lt;&gt;"",INDEX(BDHK2,MATCH(N458,DiemHKII!$B$4:$B$58,0),INDEX($Y$7:$AB$20,MATCH(O462,$Y$7:$Y$20,0),$Z$6)),"/"),"")</f>
        <v/>
      </c>
      <c r="Q462" s="35" t="str">
        <f>IF(N458&lt;&gt;"",IF(INDEX(BDHK2,MATCH(N458,DiemHKII!$B$4:$B$58,0),INDEX($Y$7:$AB$20,MATCH(O462,$Y$7:$Y$20,0),$AA$6))&lt;&gt;"",INDEX(BDHK2,MATCH(N458,DiemHKII!$B$4:$B$58,0),INDEX($Y$7:$AB$20,MATCH(O462,$Y$7:$Y$20,0),$AA$6)),"/"),"")</f>
        <v/>
      </c>
      <c r="R462" s="35" t="str">
        <f>IF(N458&lt;&gt;"",IF(INDEX(BDHK2,MATCH(N458,DiemHKII!$B$4:$B$58,0),INDEX($Y$7:$AB$20,MATCH(O462,$Y$7:$Y$20,0),$AB$6))&lt;&gt;"",INDEX(BDHK2,MATCH(N458,DiemHKII!$B$4:$B$58,0),INDEX($Y$7:$AB$20,MATCH(O462,$Y$7:$Y$20,0),$AB$6)),"/"),"")</f>
        <v/>
      </c>
      <c r="S462" s="88"/>
    </row>
    <row r="463" spans="1:19" ht="15.6" customHeight="1">
      <c r="A463" s="88"/>
      <c r="B463" s="79" t="s">
        <v>193</v>
      </c>
      <c r="C463" s="81" t="s">
        <v>28</v>
      </c>
      <c r="D463" s="35" t="str">
        <f>IF(B458&lt;&gt;"",IF(INDEX(BDHK2,MATCH(B458,DiemHKII!$B$4:$B$58,0),INDEX($Y$7:$AB$20,MATCH(C463,$Y$7:$Y$20,0),$Z$6))&lt;&gt;"",INDEX(BDHK2,MATCH(B458,DiemHKII!$B$4:$B$58,0),INDEX($Y$7:$AB$20,MATCH(C463,$Y$7:$Y$20,0),$Z$6)),"/"),"")</f>
        <v/>
      </c>
      <c r="E463" s="35" t="str">
        <f>IF(B458&lt;&gt;"",IF(INDEX(BDHK2,MATCH(B458,DiemHKII!$B$4:$B$58,0),INDEX($Y$7:$AB$20,MATCH(C463,$Y$7:$Y$20,0),$AA$6))&lt;&gt;"",INDEX(BDHK2,MATCH(B458,DiemHKII!$B$4:$B$58,0),INDEX($Y$7:$AB$20,MATCH(C463,$Y$7:$Y$20,0),$AA$6)),"/"),"")</f>
        <v/>
      </c>
      <c r="F463" s="35" t="str">
        <f>IF(B458&lt;&gt;"",IF(INDEX(BDHK2,MATCH(B458,DiemHKII!$B$4:$B$58,0),INDEX($Y$7:$AB$20,MATCH(C463,$Y$7:$Y$20,0),$AB$6))&lt;&gt;"",INDEX(BDHK2,MATCH(B458,DiemHKII!$B$4:$B$58,0),INDEX($Y$7:$AB$20,MATCH(C463,$Y$7:$Y$20,0),$AB$6)),"/"),"")</f>
        <v/>
      </c>
      <c r="G463" s="88"/>
      <c r="H463" s="79" t="s">
        <v>193</v>
      </c>
      <c r="I463" s="81" t="s">
        <v>28</v>
      </c>
      <c r="J463" s="35" t="str">
        <f>IF(H458&lt;&gt;"",IF(INDEX(BDHK2,MATCH(H458,DiemHKII!$B$4:$B$58,0),INDEX($Y$7:$AB$20,MATCH(I463,$Y$7:$Y$20,0),$Z$6))&lt;&gt;"",INDEX(BDHK2,MATCH(H458,DiemHKII!$B$4:$B$58,0),INDEX($Y$7:$AB$20,MATCH(I463,$Y$7:$Y$20,0),$Z$6)),"/"),"")</f>
        <v/>
      </c>
      <c r="K463" s="35" t="str">
        <f>IF(H458&lt;&gt;"",IF(INDEX(BDHK2,MATCH(H458,DiemHKII!$B$4:$B$58,0),INDEX($Y$7:$AB$20,MATCH(I463,$Y$7:$Y$20,0),$AA$6))&lt;&gt;"",INDEX(BDHK2,MATCH(H458,DiemHKII!$B$4:$B$58,0),INDEX($Y$7:$AB$20,MATCH(I463,$Y$7:$Y$20,0),$AA$6)),"/"),"")</f>
        <v/>
      </c>
      <c r="L463" s="35" t="str">
        <f>IF(H458&lt;&gt;"",IF(INDEX(BDHK2,MATCH(H458,DiemHKII!$B$4:$B$58,0),INDEX($Y$7:$AB$20,MATCH(I463,$Y$7:$Y$20,0),$AB$6))&lt;&gt;"",INDEX(BDHK2,MATCH(H458,DiemHKII!$B$4:$B$58,0),INDEX($Y$7:$AB$20,MATCH(I463,$Y$7:$Y$20,0),$AB$6)),"/"),"")</f>
        <v/>
      </c>
      <c r="M463" s="88"/>
      <c r="N463" s="79" t="s">
        <v>193</v>
      </c>
      <c r="O463" s="81" t="s">
        <v>28</v>
      </c>
      <c r="P463" s="35" t="str">
        <f>IF(N458&lt;&gt;"",IF(INDEX(BDHK2,MATCH(N458,DiemHKII!$B$4:$B$58,0),INDEX($Y$7:$AB$20,MATCH(O463,$Y$7:$Y$20,0),$Z$6))&lt;&gt;"",INDEX(BDHK2,MATCH(N458,DiemHKII!$B$4:$B$58,0),INDEX($Y$7:$AB$20,MATCH(O463,$Y$7:$Y$20,0),$Z$6)),"/"),"")</f>
        <v/>
      </c>
      <c r="Q463" s="35" t="str">
        <f>IF(N458&lt;&gt;"",IF(INDEX(BDHK2,MATCH(N458,DiemHKII!$B$4:$B$58,0),INDEX($Y$7:$AB$20,MATCH(O463,$Y$7:$Y$20,0),$AA$6))&lt;&gt;"",INDEX(BDHK2,MATCH(N458,DiemHKII!$B$4:$B$58,0),INDEX($Y$7:$AB$20,MATCH(O463,$Y$7:$Y$20,0),$AA$6)),"/"),"")</f>
        <v/>
      </c>
      <c r="R463" s="35" t="str">
        <f>IF(N458&lt;&gt;"",IF(INDEX(BDHK2,MATCH(N458,DiemHKII!$B$4:$B$58,0),INDEX($Y$7:$AB$20,MATCH(O463,$Y$7:$Y$20,0),$AB$6))&lt;&gt;"",INDEX(BDHK2,MATCH(N458,DiemHKII!$B$4:$B$58,0),INDEX($Y$7:$AB$20,MATCH(O463,$Y$7:$Y$20,0),$AB$6)),"/"),"")</f>
        <v/>
      </c>
      <c r="S463" s="88"/>
    </row>
    <row r="464" spans="1:19" ht="15.6" customHeight="1">
      <c r="A464" s="88"/>
      <c r="B464" s="79" t="s">
        <v>194</v>
      </c>
      <c r="C464" s="81" t="s">
        <v>29</v>
      </c>
      <c r="D464" s="35" t="str">
        <f>IF(B458&lt;&gt;"",IF(INDEX(BDHK2,MATCH(B458,DiemHKII!$B$4:$B$58,0),INDEX($Y$7:$AB$20,MATCH(C464,$Y$7:$Y$20,0),$Z$6))&lt;&gt;"",INDEX(BDHK2,MATCH(B458,DiemHKII!$B$4:$B$58,0),INDEX($Y$7:$AB$20,MATCH(C464,$Y$7:$Y$20,0),$Z$6)),"/"),"")</f>
        <v/>
      </c>
      <c r="E464" s="35" t="str">
        <f>IF(B458&lt;&gt;"",IF(INDEX(BDHK2,MATCH(B458,DiemHKII!$B$4:$B$58,0),INDEX($Y$7:$AB$20,MATCH(C464,$Y$7:$Y$20,0),$AA$6))&lt;&gt;"",INDEX(BDHK2,MATCH(B458,DiemHKII!$B$4:$B$58,0),INDEX($Y$7:$AB$20,MATCH(C464,$Y$7:$Y$20,0),$AA$6)),"/"),"")</f>
        <v/>
      </c>
      <c r="F464" s="35" t="str">
        <f>IF(B458&lt;&gt;"",IF(INDEX(BDHK2,MATCH(B458,DiemHKII!$B$4:$B$58,0),INDEX($Y$7:$AB$20,MATCH(C464,$Y$7:$Y$20,0),$AB$6))&lt;&gt;"",INDEX(BDHK2,MATCH(B458,DiemHKII!$B$4:$B$58,0),INDEX($Y$7:$AB$20,MATCH(C464,$Y$7:$Y$20,0),$AB$6)),"/"),"")</f>
        <v/>
      </c>
      <c r="G464" s="88"/>
      <c r="H464" s="79" t="s">
        <v>194</v>
      </c>
      <c r="I464" s="81" t="s">
        <v>29</v>
      </c>
      <c r="J464" s="35" t="str">
        <f>IF(H458&lt;&gt;"",IF(INDEX(BDHK2,MATCH(H458,DiemHKII!$B$4:$B$58,0),INDEX($Y$7:$AB$20,MATCH(I464,$Y$7:$Y$20,0),$Z$6))&lt;&gt;"",INDEX(BDHK2,MATCH(H458,DiemHKII!$B$4:$B$58,0),INDEX($Y$7:$AB$20,MATCH(I464,$Y$7:$Y$20,0),$Z$6)),"/"),"")</f>
        <v/>
      </c>
      <c r="K464" s="35" t="str">
        <f>IF(H458&lt;&gt;"",IF(INDEX(BDHK2,MATCH(H458,DiemHKII!$B$4:$B$58,0),INDEX($Y$7:$AB$20,MATCH(I464,$Y$7:$Y$20,0),$AA$6))&lt;&gt;"",INDEX(BDHK2,MATCH(H458,DiemHKII!$B$4:$B$58,0),INDEX($Y$7:$AB$20,MATCH(I464,$Y$7:$Y$20,0),$AA$6)),"/"),"")</f>
        <v/>
      </c>
      <c r="L464" s="35" t="str">
        <f>IF(H458&lt;&gt;"",IF(INDEX(BDHK2,MATCH(H458,DiemHKII!$B$4:$B$58,0),INDEX($Y$7:$AB$20,MATCH(I464,$Y$7:$Y$20,0),$AB$6))&lt;&gt;"",INDEX(BDHK2,MATCH(H458,DiemHKII!$B$4:$B$58,0),INDEX($Y$7:$AB$20,MATCH(I464,$Y$7:$Y$20,0),$AB$6)),"/"),"")</f>
        <v/>
      </c>
      <c r="M464" s="88"/>
      <c r="N464" s="79" t="s">
        <v>194</v>
      </c>
      <c r="O464" s="81" t="s">
        <v>29</v>
      </c>
      <c r="P464" s="35" t="str">
        <f>IF(N458&lt;&gt;"",IF(INDEX(BDHK2,MATCH(N458,DiemHKII!$B$4:$B$58,0),INDEX($Y$7:$AB$20,MATCH(O464,$Y$7:$Y$20,0),$Z$6))&lt;&gt;"",INDEX(BDHK2,MATCH(N458,DiemHKII!$B$4:$B$58,0),INDEX($Y$7:$AB$20,MATCH(O464,$Y$7:$Y$20,0),$Z$6)),"/"),"")</f>
        <v/>
      </c>
      <c r="Q464" s="35" t="str">
        <f>IF(N458&lt;&gt;"",IF(INDEX(BDHK2,MATCH(N458,DiemHKII!$B$4:$B$58,0),INDEX($Y$7:$AB$20,MATCH(O464,$Y$7:$Y$20,0),$AA$6))&lt;&gt;"",INDEX(BDHK2,MATCH(N458,DiemHKII!$B$4:$B$58,0),INDEX($Y$7:$AB$20,MATCH(O464,$Y$7:$Y$20,0),$AA$6)),"/"),"")</f>
        <v/>
      </c>
      <c r="R464" s="35" t="str">
        <f>IF(N458&lt;&gt;"",IF(INDEX(BDHK2,MATCH(N458,DiemHKII!$B$4:$B$58,0),INDEX($Y$7:$AB$20,MATCH(O464,$Y$7:$Y$20,0),$AB$6))&lt;&gt;"",INDEX(BDHK2,MATCH(N458,DiemHKII!$B$4:$B$58,0),INDEX($Y$7:$AB$20,MATCH(O464,$Y$7:$Y$20,0),$AB$6)),"/"),"")</f>
        <v/>
      </c>
      <c r="S464" s="88"/>
    </row>
    <row r="465" spans="1:19" ht="15.6" customHeight="1">
      <c r="A465" s="88"/>
      <c r="B465" s="79" t="s">
        <v>195</v>
      </c>
      <c r="C465" s="81" t="s">
        <v>120</v>
      </c>
      <c r="D465" s="35" t="str">
        <f>IF(B458&lt;&gt;"",IF(INDEX(BDHK2,MATCH(B458,DiemHKII!$B$4:$B$58,0),INDEX($Y$7:$AB$20,MATCH(C465,$Y$7:$Y$20,0),$Z$6))&lt;&gt;"",INDEX(BDHK2,MATCH(B458,DiemHKII!$B$4:$B$58,0),INDEX($Y$7:$AB$20,MATCH(C465,$Y$7:$Y$20,0),$Z$6)),"/"),"")</f>
        <v/>
      </c>
      <c r="E465" s="35" t="str">
        <f>IF(B458&lt;&gt;"",IF(INDEX(BDHK2,MATCH(B458,DiemHKII!$B$4:$B$58,0),INDEX($Y$7:$AB$20,MATCH(C465,$Y$7:$Y$20,0),$AA$6))&lt;&gt;"",INDEX(BDHK2,MATCH(B458,DiemHKII!$B$4:$B$58,0),INDEX($Y$7:$AB$20,MATCH(C465,$Y$7:$Y$20,0),$AA$6)),"/"),"")</f>
        <v/>
      </c>
      <c r="F465" s="35" t="str">
        <f>IF(B458&lt;&gt;"",IF(INDEX(BDHK2,MATCH(B458,DiemHKII!$B$4:$B$58,0),INDEX($Y$7:$AB$20,MATCH(C465,$Y$7:$Y$20,0),$AB$6))&lt;&gt;"",INDEX(BDHK2,MATCH(B458,DiemHKII!$B$4:$B$58,0),INDEX($Y$7:$AB$20,MATCH(C465,$Y$7:$Y$20,0),$AB$6)),"/"),"")</f>
        <v/>
      </c>
      <c r="G465" s="88"/>
      <c r="H465" s="79" t="s">
        <v>195</v>
      </c>
      <c r="I465" s="81" t="s">
        <v>120</v>
      </c>
      <c r="J465" s="35" t="str">
        <f>IF(H458&lt;&gt;"",IF(INDEX(BDHK2,MATCH(H458,DiemHKII!$B$4:$B$58,0),INDEX($Y$7:$AB$20,MATCH(I465,$Y$7:$Y$20,0),$Z$6))&lt;&gt;"",INDEX(BDHK2,MATCH(H458,DiemHKII!$B$4:$B$58,0),INDEX($Y$7:$AB$20,MATCH(I465,$Y$7:$Y$20,0),$Z$6)),"/"),"")</f>
        <v/>
      </c>
      <c r="K465" s="35" t="str">
        <f>IF(H458&lt;&gt;"",IF(INDEX(BDHK2,MATCH(H458,DiemHKII!$B$4:$B$58,0),INDEX($Y$7:$AB$20,MATCH(I465,$Y$7:$Y$20,0),$AA$6))&lt;&gt;"",INDEX(BDHK2,MATCH(H458,DiemHKII!$B$4:$B$58,0),INDEX($Y$7:$AB$20,MATCH(I465,$Y$7:$Y$20,0),$AA$6)),"/"),"")</f>
        <v/>
      </c>
      <c r="L465" s="35" t="str">
        <f>IF(H458&lt;&gt;"",IF(INDEX(BDHK2,MATCH(H458,DiemHKII!$B$4:$B$58,0),INDEX($Y$7:$AB$20,MATCH(I465,$Y$7:$Y$20,0),$AB$6))&lt;&gt;"",INDEX(BDHK2,MATCH(H458,DiemHKII!$B$4:$B$58,0),INDEX($Y$7:$AB$20,MATCH(I465,$Y$7:$Y$20,0),$AB$6)),"/"),"")</f>
        <v/>
      </c>
      <c r="M465" s="88"/>
      <c r="N465" s="79" t="s">
        <v>195</v>
      </c>
      <c r="O465" s="81" t="s">
        <v>120</v>
      </c>
      <c r="P465" s="35" t="str">
        <f>IF(N458&lt;&gt;"",IF(INDEX(BDHK2,MATCH(N458,DiemHKII!$B$4:$B$58,0),INDEX($Y$7:$AB$20,MATCH(O465,$Y$7:$Y$20,0),$Z$6))&lt;&gt;"",INDEX(BDHK2,MATCH(N458,DiemHKII!$B$4:$B$58,0),INDEX($Y$7:$AB$20,MATCH(O465,$Y$7:$Y$20,0),$Z$6)),"/"),"")</f>
        <v/>
      </c>
      <c r="Q465" s="35" t="str">
        <f>IF(N458&lt;&gt;"",IF(INDEX(BDHK2,MATCH(N458,DiemHKII!$B$4:$B$58,0),INDEX($Y$7:$AB$20,MATCH(O465,$Y$7:$Y$20,0),$AA$6))&lt;&gt;"",INDEX(BDHK2,MATCH(N458,DiemHKII!$B$4:$B$58,0),INDEX($Y$7:$AB$20,MATCH(O465,$Y$7:$Y$20,0),$AA$6)),"/"),"")</f>
        <v/>
      </c>
      <c r="R465" s="35" t="str">
        <f>IF(N458&lt;&gt;"",IF(INDEX(BDHK2,MATCH(N458,DiemHKII!$B$4:$B$58,0),INDEX($Y$7:$AB$20,MATCH(O465,$Y$7:$Y$20,0),$AB$6))&lt;&gt;"",INDEX(BDHK2,MATCH(N458,DiemHKII!$B$4:$B$58,0),INDEX($Y$7:$AB$20,MATCH(O465,$Y$7:$Y$20,0),$AB$6)),"/"),"")</f>
        <v/>
      </c>
      <c r="S465" s="88"/>
    </row>
    <row r="466" spans="1:19" ht="15.6" customHeight="1">
      <c r="A466" s="88"/>
      <c r="B466" s="79" t="s">
        <v>196</v>
      </c>
      <c r="C466" s="81" t="s">
        <v>30</v>
      </c>
      <c r="D466" s="35" t="str">
        <f>IF(B458&lt;&gt;"",IF(INDEX(BDHK2,MATCH(B458,DiemHKII!$B$4:$B$58,0),INDEX($Y$7:$AB$20,MATCH(C466,$Y$7:$Y$20,0),$Z$6))&lt;&gt;"",INDEX(BDHK2,MATCH(B458,DiemHKII!$B$4:$B$58,0),INDEX($Y$7:$AB$20,MATCH(C466,$Y$7:$Y$20,0),$Z$6)),"/"),"")</f>
        <v/>
      </c>
      <c r="E466" s="35" t="str">
        <f>IF(B458&lt;&gt;"",IF(INDEX(BDHK2,MATCH(B458,DiemHKII!$B$4:$B$58,0),INDEX($Y$7:$AB$20,MATCH(C466,$Y$7:$Y$20,0),$AA$6))&lt;&gt;"",INDEX(BDHK2,MATCH(B458,DiemHKII!$B$4:$B$58,0),INDEX($Y$7:$AB$20,MATCH(C466,$Y$7:$Y$20,0),$AA$6)),"/"),"")</f>
        <v/>
      </c>
      <c r="F466" s="35" t="str">
        <f>IF(B458&lt;&gt;"",IF(INDEX(BDHK2,MATCH(B458,DiemHKII!$B$4:$B$58,0),INDEX($Y$7:$AB$20,MATCH(C466,$Y$7:$Y$20,0),$AB$6))&lt;&gt;"",INDEX(BDHK2,MATCH(B458,DiemHKII!$B$4:$B$58,0),INDEX($Y$7:$AB$20,MATCH(C466,$Y$7:$Y$20,0),$AB$6)),"/"),"")</f>
        <v/>
      </c>
      <c r="G466" s="88"/>
      <c r="H466" s="79" t="s">
        <v>196</v>
      </c>
      <c r="I466" s="81" t="s">
        <v>30</v>
      </c>
      <c r="J466" s="35" t="str">
        <f>IF(H458&lt;&gt;"",IF(INDEX(BDHK2,MATCH(H458,DiemHKII!$B$4:$B$58,0),INDEX($Y$7:$AB$20,MATCH(I466,$Y$7:$Y$20,0),$Z$6))&lt;&gt;"",INDEX(BDHK2,MATCH(H458,DiemHKII!$B$4:$B$58,0),INDEX($Y$7:$AB$20,MATCH(I466,$Y$7:$Y$20,0),$Z$6)),"/"),"")</f>
        <v/>
      </c>
      <c r="K466" s="35" t="str">
        <f>IF(H458&lt;&gt;"",IF(INDEX(BDHK2,MATCH(H458,DiemHKII!$B$4:$B$58,0),INDEX($Y$7:$AB$20,MATCH(I466,$Y$7:$Y$20,0),$AA$6))&lt;&gt;"",INDEX(BDHK2,MATCH(H458,DiemHKII!$B$4:$B$58,0),INDEX($Y$7:$AB$20,MATCH(I466,$Y$7:$Y$20,0),$AA$6)),"/"),"")</f>
        <v/>
      </c>
      <c r="L466" s="35" t="str">
        <f>IF(H458&lt;&gt;"",IF(INDEX(BDHK2,MATCH(H458,DiemHKII!$B$4:$B$58,0),INDEX($Y$7:$AB$20,MATCH(I466,$Y$7:$Y$20,0),$AB$6))&lt;&gt;"",INDEX(BDHK2,MATCH(H458,DiemHKII!$B$4:$B$58,0),INDEX($Y$7:$AB$20,MATCH(I466,$Y$7:$Y$20,0),$AB$6)),"/"),"")</f>
        <v/>
      </c>
      <c r="M466" s="88"/>
      <c r="N466" s="79" t="s">
        <v>196</v>
      </c>
      <c r="O466" s="81" t="s">
        <v>30</v>
      </c>
      <c r="P466" s="35" t="str">
        <f>IF(N458&lt;&gt;"",IF(INDEX(BDHK2,MATCH(N458,DiemHKII!$B$4:$B$58,0),INDEX($Y$7:$AB$20,MATCH(O466,$Y$7:$Y$20,0),$Z$6))&lt;&gt;"",INDEX(BDHK2,MATCH(N458,DiemHKII!$B$4:$B$58,0),INDEX($Y$7:$AB$20,MATCH(O466,$Y$7:$Y$20,0),$Z$6)),"/"),"")</f>
        <v/>
      </c>
      <c r="Q466" s="35" t="str">
        <f>IF(N458&lt;&gt;"",IF(INDEX(BDHK2,MATCH(N458,DiemHKII!$B$4:$B$58,0),INDEX($Y$7:$AB$20,MATCH(O466,$Y$7:$Y$20,0),$AA$6))&lt;&gt;"",INDEX(BDHK2,MATCH(N458,DiemHKII!$B$4:$B$58,0),INDEX($Y$7:$AB$20,MATCH(O466,$Y$7:$Y$20,0),$AA$6)),"/"),"")</f>
        <v/>
      </c>
      <c r="R466" s="35" t="str">
        <f>IF(N458&lt;&gt;"",IF(INDEX(BDHK2,MATCH(N458,DiemHKII!$B$4:$B$58,0),INDEX($Y$7:$AB$20,MATCH(O466,$Y$7:$Y$20,0),$AB$6))&lt;&gt;"",INDEX(BDHK2,MATCH(N458,DiemHKII!$B$4:$B$58,0),INDEX($Y$7:$AB$20,MATCH(O466,$Y$7:$Y$20,0),$AB$6)),"/"),"")</f>
        <v/>
      </c>
      <c r="S466" s="88"/>
    </row>
    <row r="467" spans="1:19" ht="15.6" customHeight="1">
      <c r="A467" s="88"/>
      <c r="B467" s="79" t="s">
        <v>197</v>
      </c>
      <c r="C467" s="81" t="s">
        <v>31</v>
      </c>
      <c r="D467" s="35" t="str">
        <f>IF(B458&lt;&gt;"",IF(INDEX(BDHK2,MATCH(B458,DiemHKII!$B$4:$B$58,0),INDEX($Y$7:$AB$20,MATCH(C467,$Y$7:$Y$20,0),$Z$6))&lt;&gt;"",INDEX(BDHK2,MATCH(B458,DiemHKII!$B$4:$B$58,0),INDEX($Y$7:$AB$20,MATCH(C467,$Y$7:$Y$20,0),$Z$6)),"/"),"")</f>
        <v/>
      </c>
      <c r="E467" s="35" t="str">
        <f>IF(B458&lt;&gt;"",IF(INDEX(BDHK2,MATCH(B458,DiemHKII!$B$4:$B$58,0),INDEX($Y$7:$AB$20,MATCH(C467,$Y$7:$Y$20,0),$AA$6))&lt;&gt;"",INDEX(BDHK2,MATCH(B458,DiemHKII!$B$4:$B$58,0),INDEX($Y$7:$AB$20,MATCH(C467,$Y$7:$Y$20,0),$AA$6)),"/"),"")</f>
        <v/>
      </c>
      <c r="F467" s="35" t="str">
        <f>IF(B458&lt;&gt;"",IF(INDEX(BDHK2,MATCH(B458,DiemHKII!$B$4:$B$58,0),INDEX($Y$7:$AB$20,MATCH(C467,$Y$7:$Y$20,0),$AB$6))&lt;&gt;"",INDEX(BDHK2,MATCH(B458,DiemHKII!$B$4:$B$58,0),INDEX($Y$7:$AB$20,MATCH(C467,$Y$7:$Y$20,0),$AB$6)),"/"),"")</f>
        <v/>
      </c>
      <c r="G467" s="88"/>
      <c r="H467" s="79" t="s">
        <v>197</v>
      </c>
      <c r="I467" s="81" t="s">
        <v>31</v>
      </c>
      <c r="J467" s="35" t="str">
        <f>IF(H458&lt;&gt;"",IF(INDEX(BDHK2,MATCH(H458,DiemHKII!$B$4:$B$58,0),INDEX($Y$7:$AB$20,MATCH(I467,$Y$7:$Y$20,0),$Z$6))&lt;&gt;"",INDEX(BDHK2,MATCH(H458,DiemHKII!$B$4:$B$58,0),INDEX($Y$7:$AB$20,MATCH(I467,$Y$7:$Y$20,0),$Z$6)),"/"),"")</f>
        <v/>
      </c>
      <c r="K467" s="35" t="str">
        <f>IF(H458&lt;&gt;"",IF(INDEX(BDHK2,MATCH(H458,DiemHKII!$B$4:$B$58,0),INDEX($Y$7:$AB$20,MATCH(I467,$Y$7:$Y$20,0),$AA$6))&lt;&gt;"",INDEX(BDHK2,MATCH(H458,DiemHKII!$B$4:$B$58,0),INDEX($Y$7:$AB$20,MATCH(I467,$Y$7:$Y$20,0),$AA$6)),"/"),"")</f>
        <v/>
      </c>
      <c r="L467" s="35" t="str">
        <f>IF(H458&lt;&gt;"",IF(INDEX(BDHK2,MATCH(H458,DiemHKII!$B$4:$B$58,0),INDEX($Y$7:$AB$20,MATCH(I467,$Y$7:$Y$20,0),$AB$6))&lt;&gt;"",INDEX(BDHK2,MATCH(H458,DiemHKII!$B$4:$B$58,0),INDEX($Y$7:$AB$20,MATCH(I467,$Y$7:$Y$20,0),$AB$6)),"/"),"")</f>
        <v/>
      </c>
      <c r="M467" s="88"/>
      <c r="N467" s="79" t="s">
        <v>197</v>
      </c>
      <c r="O467" s="81" t="s">
        <v>31</v>
      </c>
      <c r="P467" s="35" t="str">
        <f>IF(N458&lt;&gt;"",IF(INDEX(BDHK2,MATCH(N458,DiemHKII!$B$4:$B$58,0),INDEX($Y$7:$AB$20,MATCH(O467,$Y$7:$Y$20,0),$Z$6))&lt;&gt;"",INDEX(BDHK2,MATCH(N458,DiemHKII!$B$4:$B$58,0),INDEX($Y$7:$AB$20,MATCH(O467,$Y$7:$Y$20,0),$Z$6)),"/"),"")</f>
        <v/>
      </c>
      <c r="Q467" s="35" t="str">
        <f>IF(N458&lt;&gt;"",IF(INDEX(BDHK2,MATCH(N458,DiemHKII!$B$4:$B$58,0),INDEX($Y$7:$AB$20,MATCH(O467,$Y$7:$Y$20,0),$AA$6))&lt;&gt;"",INDEX(BDHK2,MATCH(N458,DiemHKII!$B$4:$B$58,0),INDEX($Y$7:$AB$20,MATCH(O467,$Y$7:$Y$20,0),$AA$6)),"/"),"")</f>
        <v/>
      </c>
      <c r="R467" s="35" t="str">
        <f>IF(N458&lt;&gt;"",IF(INDEX(BDHK2,MATCH(N458,DiemHKII!$B$4:$B$58,0),INDEX($Y$7:$AB$20,MATCH(O467,$Y$7:$Y$20,0),$AB$6))&lt;&gt;"",INDEX(BDHK2,MATCH(N458,DiemHKII!$B$4:$B$58,0),INDEX($Y$7:$AB$20,MATCH(O467,$Y$7:$Y$20,0),$AB$6)),"/"),"")</f>
        <v/>
      </c>
      <c r="S467" s="88"/>
    </row>
    <row r="468" spans="1:19" ht="15.6" customHeight="1">
      <c r="A468" s="88"/>
      <c r="B468" s="79" t="s">
        <v>198</v>
      </c>
      <c r="C468" s="81" t="s">
        <v>32</v>
      </c>
      <c r="D468" s="35" t="str">
        <f>IF(B458&lt;&gt;"",IF(INDEX(BDHK2,MATCH(B458,DiemHKII!$B$4:$B$58,0),INDEX($Y$7:$AB$20,MATCH(C468,$Y$7:$Y$20,0),$Z$6))&lt;&gt;"",INDEX(BDHK2,MATCH(B458,DiemHKII!$B$4:$B$58,0),INDEX($Y$7:$AB$20,MATCH(C468,$Y$7:$Y$20,0),$Z$6)),"/"),"")</f>
        <v/>
      </c>
      <c r="E468" s="35" t="str">
        <f>IF(B458&lt;&gt;"",IF(INDEX(BDHK2,MATCH(B458,DiemHKII!$B$4:$B$58,0),INDEX($Y$7:$AB$20,MATCH(C468,$Y$7:$Y$20,0),$AA$6))&lt;&gt;"",INDEX(BDHK2,MATCH(B458,DiemHKII!$B$4:$B$58,0),INDEX($Y$7:$AB$20,MATCH(C468,$Y$7:$Y$20,0),$AA$6)),"/"),"")</f>
        <v/>
      </c>
      <c r="F468" s="35" t="str">
        <f>IF(B458&lt;&gt;"",IF(INDEX(BDHK2,MATCH(B458,DiemHKII!$B$4:$B$58,0),INDEX($Y$7:$AB$20,MATCH(C468,$Y$7:$Y$20,0),$AB$6))&lt;&gt;"",INDEX(BDHK2,MATCH(B458,DiemHKII!$B$4:$B$58,0),INDEX($Y$7:$AB$20,MATCH(C468,$Y$7:$Y$20,0),$AB$6)),"/"),"")</f>
        <v/>
      </c>
      <c r="G468" s="88"/>
      <c r="H468" s="79" t="s">
        <v>198</v>
      </c>
      <c r="I468" s="81" t="s">
        <v>32</v>
      </c>
      <c r="J468" s="35" t="str">
        <f>IF(H458&lt;&gt;"",IF(INDEX(BDHK2,MATCH(H458,DiemHKII!$B$4:$B$58,0),INDEX($Y$7:$AB$20,MATCH(I468,$Y$7:$Y$20,0),$Z$6))&lt;&gt;"",INDEX(BDHK2,MATCH(H458,DiemHKII!$B$4:$B$58,0),INDEX($Y$7:$AB$20,MATCH(I468,$Y$7:$Y$20,0),$Z$6)),"/"),"")</f>
        <v/>
      </c>
      <c r="K468" s="35" t="str">
        <f>IF(H458&lt;&gt;"",IF(INDEX(BDHK2,MATCH(H458,DiemHKII!$B$4:$B$58,0),INDEX($Y$7:$AB$20,MATCH(I468,$Y$7:$Y$20,0),$AA$6))&lt;&gt;"",INDEX(BDHK2,MATCH(H458,DiemHKII!$B$4:$B$58,0),INDEX($Y$7:$AB$20,MATCH(I468,$Y$7:$Y$20,0),$AA$6)),"/"),"")</f>
        <v/>
      </c>
      <c r="L468" s="35" t="str">
        <f>IF(H458&lt;&gt;"",IF(INDEX(BDHK2,MATCH(H458,DiemHKII!$B$4:$B$58,0),INDEX($Y$7:$AB$20,MATCH(I468,$Y$7:$Y$20,0),$AB$6))&lt;&gt;"",INDEX(BDHK2,MATCH(H458,DiemHKII!$B$4:$B$58,0),INDEX($Y$7:$AB$20,MATCH(I468,$Y$7:$Y$20,0),$AB$6)),"/"),"")</f>
        <v/>
      </c>
      <c r="M468" s="88"/>
      <c r="N468" s="79" t="s">
        <v>198</v>
      </c>
      <c r="O468" s="81" t="s">
        <v>32</v>
      </c>
      <c r="P468" s="35" t="str">
        <f>IF(N458&lt;&gt;"",IF(INDEX(BDHK2,MATCH(N458,DiemHKII!$B$4:$B$58,0),INDEX($Y$7:$AB$20,MATCH(O468,$Y$7:$Y$20,0),$Z$6))&lt;&gt;"",INDEX(BDHK2,MATCH(N458,DiemHKII!$B$4:$B$58,0),INDEX($Y$7:$AB$20,MATCH(O468,$Y$7:$Y$20,0),$Z$6)),"/"),"")</f>
        <v/>
      </c>
      <c r="Q468" s="35" t="str">
        <f>IF(N458&lt;&gt;"",IF(INDEX(BDHK2,MATCH(N458,DiemHKII!$B$4:$B$58,0),INDEX($Y$7:$AB$20,MATCH(O468,$Y$7:$Y$20,0),$AA$6))&lt;&gt;"",INDEX(BDHK2,MATCH(N458,DiemHKII!$B$4:$B$58,0),INDEX($Y$7:$AB$20,MATCH(O468,$Y$7:$Y$20,0),$AA$6)),"/"),"")</f>
        <v/>
      </c>
      <c r="R468" s="35" t="str">
        <f>IF(N458&lt;&gt;"",IF(INDEX(BDHK2,MATCH(N458,DiemHKII!$B$4:$B$58,0),INDEX($Y$7:$AB$20,MATCH(O468,$Y$7:$Y$20,0),$AB$6))&lt;&gt;"",INDEX(BDHK2,MATCH(N458,DiemHKII!$B$4:$B$58,0),INDEX($Y$7:$AB$20,MATCH(O468,$Y$7:$Y$20,0),$AB$6)),"/"),"")</f>
        <v/>
      </c>
      <c r="S468" s="88"/>
    </row>
    <row r="469" spans="1:19" ht="15.6" customHeight="1">
      <c r="A469" s="88"/>
      <c r="B469" s="79" t="s">
        <v>199</v>
      </c>
      <c r="C469" s="81" t="s">
        <v>33</v>
      </c>
      <c r="D469" s="35" t="str">
        <f>IF(B458&lt;&gt;"",IF(INDEX(BDHK2,MATCH(B458,DiemHKII!$B$4:$B$58,0),INDEX($Y$7:$AB$20,MATCH(C469,$Y$7:$Y$20,0),$Z$6))&lt;&gt;"",INDEX(BDHK2,MATCH(B458,DiemHKII!$B$4:$B$58,0),INDEX($Y$7:$AB$20,MATCH(C469,$Y$7:$Y$20,0),$Z$6)),"/"),"")</f>
        <v/>
      </c>
      <c r="E469" s="35" t="str">
        <f>IF(B458&lt;&gt;"",IF(INDEX(BDHK2,MATCH(B458,DiemHKII!$B$4:$B$58,0),INDEX($Y$7:$AB$20,MATCH(C469,$Y$7:$Y$20,0),$AA$6))&lt;&gt;"",INDEX(BDHK2,MATCH(B458,DiemHKII!$B$4:$B$58,0),INDEX($Y$7:$AB$20,MATCH(C469,$Y$7:$Y$20,0),$AA$6)),"/"),"")</f>
        <v/>
      </c>
      <c r="F469" s="35" t="str">
        <f>IF(B458&lt;&gt;"",IF(INDEX(BDHK2,MATCH(B458,DiemHKII!$B$4:$B$58,0),INDEX($Y$7:$AB$20,MATCH(C469,$Y$7:$Y$20,0),$AB$6))&lt;&gt;"",INDEX(BDHK2,MATCH(B458,DiemHKII!$B$4:$B$58,0),INDEX($Y$7:$AB$20,MATCH(C469,$Y$7:$Y$20,0),$AB$6)),"/"),"")</f>
        <v/>
      </c>
      <c r="G469" s="88"/>
      <c r="H469" s="79" t="s">
        <v>199</v>
      </c>
      <c r="I469" s="81" t="s">
        <v>33</v>
      </c>
      <c r="J469" s="35" t="str">
        <f>IF(H458&lt;&gt;"",IF(INDEX(BDHK2,MATCH(H458,DiemHKII!$B$4:$B$58,0),INDEX($Y$7:$AB$20,MATCH(I469,$Y$7:$Y$20,0),$Z$6))&lt;&gt;"",INDEX(BDHK2,MATCH(H458,DiemHKII!$B$4:$B$58,0),INDEX($Y$7:$AB$20,MATCH(I469,$Y$7:$Y$20,0),$Z$6)),"/"),"")</f>
        <v/>
      </c>
      <c r="K469" s="35" t="str">
        <f>IF(H458&lt;&gt;"",IF(INDEX(BDHK2,MATCH(H458,DiemHKII!$B$4:$B$58,0),INDEX($Y$7:$AB$20,MATCH(I469,$Y$7:$Y$20,0),$AA$6))&lt;&gt;"",INDEX(BDHK2,MATCH(H458,DiemHKII!$B$4:$B$58,0),INDEX($Y$7:$AB$20,MATCH(I469,$Y$7:$Y$20,0),$AA$6)),"/"),"")</f>
        <v/>
      </c>
      <c r="L469" s="35" t="str">
        <f>IF(H458&lt;&gt;"",IF(INDEX(BDHK2,MATCH(H458,DiemHKII!$B$4:$B$58,0),INDEX($Y$7:$AB$20,MATCH(I469,$Y$7:$Y$20,0),$AB$6))&lt;&gt;"",INDEX(BDHK2,MATCH(H458,DiemHKII!$B$4:$B$58,0),INDEX($Y$7:$AB$20,MATCH(I469,$Y$7:$Y$20,0),$AB$6)),"/"),"")</f>
        <v/>
      </c>
      <c r="M469" s="88"/>
      <c r="N469" s="79" t="s">
        <v>199</v>
      </c>
      <c r="O469" s="81" t="s">
        <v>33</v>
      </c>
      <c r="P469" s="35" t="str">
        <f>IF(N458&lt;&gt;"",IF(INDEX(BDHK2,MATCH(N458,DiemHKII!$B$4:$B$58,0),INDEX($Y$7:$AB$20,MATCH(O469,$Y$7:$Y$20,0),$Z$6))&lt;&gt;"",INDEX(BDHK2,MATCH(N458,DiemHKII!$B$4:$B$58,0),INDEX($Y$7:$AB$20,MATCH(O469,$Y$7:$Y$20,0),$Z$6)),"/"),"")</f>
        <v/>
      </c>
      <c r="Q469" s="35" t="str">
        <f>IF(N458&lt;&gt;"",IF(INDEX(BDHK2,MATCH(N458,DiemHKII!$B$4:$B$58,0),INDEX($Y$7:$AB$20,MATCH(O469,$Y$7:$Y$20,0),$AA$6))&lt;&gt;"",INDEX(BDHK2,MATCH(N458,DiemHKII!$B$4:$B$58,0),INDEX($Y$7:$AB$20,MATCH(O469,$Y$7:$Y$20,0),$AA$6)),"/"),"")</f>
        <v/>
      </c>
      <c r="R469" s="35" t="str">
        <f>IF(N458&lt;&gt;"",IF(INDEX(BDHK2,MATCH(N458,DiemHKII!$B$4:$B$58,0),INDEX($Y$7:$AB$20,MATCH(O469,$Y$7:$Y$20,0),$AB$6))&lt;&gt;"",INDEX(BDHK2,MATCH(N458,DiemHKII!$B$4:$B$58,0),INDEX($Y$7:$AB$20,MATCH(O469,$Y$7:$Y$20,0),$AB$6)),"/"),"")</f>
        <v/>
      </c>
      <c r="S469" s="88"/>
    </row>
    <row r="470" spans="1:19" ht="15.6" customHeight="1">
      <c r="A470" s="88"/>
      <c r="B470" s="79" t="s">
        <v>200</v>
      </c>
      <c r="C470" s="81" t="s">
        <v>60</v>
      </c>
      <c r="D470" s="35" t="str">
        <f>IF(B458&lt;&gt;"",IF(INDEX(BDHK2,MATCH(B458,DiemHKII!$B$4:$B$58,0),INDEX($Y$7:$AB$20,MATCH(C470,$Y$7:$Y$20,0),$Z$6))&lt;&gt;"",INDEX(BDHK2,MATCH(B458,DiemHKII!$B$4:$B$58,0),INDEX($Y$7:$AB$20,MATCH(C470,$Y$7:$Y$20,0),$Z$6)),"/"),"")</f>
        <v/>
      </c>
      <c r="E470" s="35" t="str">
        <f>IF(B458&lt;&gt;"",IF(INDEX(BDHK2,MATCH(B458,DiemHKII!$B$4:$B$58,0),INDEX($Y$7:$AB$20,MATCH(C470,$Y$7:$Y$20,0),$AA$6))&lt;&gt;"",INDEX(BDHK2,MATCH(B458,DiemHKII!$B$4:$B$58,0),INDEX($Y$7:$AB$20,MATCH(C470,$Y$7:$Y$20,0),$AA$6)),"/"),"")</f>
        <v/>
      </c>
      <c r="F470" s="35" t="str">
        <f>IF(B458&lt;&gt;"",IF(INDEX(BDHK2,MATCH(B458,DiemHKII!$B$4:$B$58,0),INDEX($Y$7:$AB$20,MATCH(C470,$Y$7:$Y$20,0),$AB$6))&lt;&gt;"",INDEX(BDHK2,MATCH(B458,DiemHKII!$B$4:$B$58,0),INDEX($Y$7:$AB$20,MATCH(C470,$Y$7:$Y$20,0),$AB$6)),"/"),"")</f>
        <v/>
      </c>
      <c r="G470" s="88"/>
      <c r="H470" s="79" t="s">
        <v>200</v>
      </c>
      <c r="I470" s="81" t="s">
        <v>60</v>
      </c>
      <c r="J470" s="35" t="str">
        <f>IF(H458&lt;&gt;"",IF(INDEX(BDHK2,MATCH(H458,DiemHKII!$B$4:$B$58,0),INDEX($Y$7:$AB$20,MATCH(I470,$Y$7:$Y$20,0),$Z$6))&lt;&gt;"",INDEX(BDHK2,MATCH(H458,DiemHKII!$B$4:$B$58,0),INDEX($Y$7:$AB$20,MATCH(I470,$Y$7:$Y$20,0),$Z$6)),"/"),"")</f>
        <v/>
      </c>
      <c r="K470" s="35" t="str">
        <f>IF(H458&lt;&gt;"",IF(INDEX(BDHK2,MATCH(H458,DiemHKII!$B$4:$B$58,0),INDEX($Y$7:$AB$20,MATCH(I470,$Y$7:$Y$20,0),$AA$6))&lt;&gt;"",INDEX(BDHK2,MATCH(H458,DiemHKII!$B$4:$B$58,0),INDEX($Y$7:$AB$20,MATCH(I470,$Y$7:$Y$20,0),$AA$6)),"/"),"")</f>
        <v/>
      </c>
      <c r="L470" s="35" t="str">
        <f>IF(H458&lt;&gt;"",IF(INDEX(BDHK2,MATCH(H458,DiemHKII!$B$4:$B$58,0),INDEX($Y$7:$AB$20,MATCH(I470,$Y$7:$Y$20,0),$AB$6))&lt;&gt;"",INDEX(BDHK2,MATCH(H458,DiemHKII!$B$4:$B$58,0),INDEX($Y$7:$AB$20,MATCH(I470,$Y$7:$Y$20,0),$AB$6)),"/"),"")</f>
        <v/>
      </c>
      <c r="M470" s="88"/>
      <c r="N470" s="79" t="s">
        <v>200</v>
      </c>
      <c r="O470" s="81" t="s">
        <v>60</v>
      </c>
      <c r="P470" s="35" t="str">
        <f>IF(N458&lt;&gt;"",IF(INDEX(BDHK2,MATCH(N458,DiemHKII!$B$4:$B$58,0),INDEX($Y$7:$AB$20,MATCH(O470,$Y$7:$Y$20,0),$Z$6))&lt;&gt;"",INDEX(BDHK2,MATCH(N458,DiemHKII!$B$4:$B$58,0),INDEX($Y$7:$AB$20,MATCH(O470,$Y$7:$Y$20,0),$Z$6)),"/"),"")</f>
        <v/>
      </c>
      <c r="Q470" s="35" t="str">
        <f>IF(N458&lt;&gt;"",IF(INDEX(BDHK2,MATCH(N458,DiemHKII!$B$4:$B$58,0),INDEX($Y$7:$AB$20,MATCH(O470,$Y$7:$Y$20,0),$AA$6))&lt;&gt;"",INDEX(BDHK2,MATCH(N458,DiemHKII!$B$4:$B$58,0),INDEX($Y$7:$AB$20,MATCH(O470,$Y$7:$Y$20,0),$AA$6)),"/"),"")</f>
        <v/>
      </c>
      <c r="R470" s="35" t="str">
        <f>IF(N458&lt;&gt;"",IF(INDEX(BDHK2,MATCH(N458,DiemHKII!$B$4:$B$58,0),INDEX($Y$7:$AB$20,MATCH(O470,$Y$7:$Y$20,0),$AB$6))&lt;&gt;"",INDEX(BDHK2,MATCH(N458,DiemHKII!$B$4:$B$58,0),INDEX($Y$7:$AB$20,MATCH(O470,$Y$7:$Y$20,0),$AB$6)),"/"),"")</f>
        <v/>
      </c>
      <c r="S470" s="88"/>
    </row>
    <row r="471" spans="1:19" ht="15.6" customHeight="1">
      <c r="A471" s="88"/>
      <c r="B471" s="79" t="s">
        <v>201</v>
      </c>
      <c r="C471" s="81" t="s">
        <v>34</v>
      </c>
      <c r="D471" s="35" t="str">
        <f>IF(B458&lt;&gt;"",IF(INDEX(BDHK2,MATCH(B458,DiemHKII!$B$4:$B$58,0),INDEX($Y$7:$AB$20,MATCH(C471,$Y$7:$Y$20,0),$Z$6))&lt;&gt;"",INDEX(BDHK2,MATCH(B458,DiemHKII!$B$4:$B$58,0),INDEX($Y$7:$AB$20,MATCH(C471,$Y$7:$Y$20,0),$Z$6)),"/"),"")</f>
        <v/>
      </c>
      <c r="E471" s="35" t="str">
        <f>IF(B458&lt;&gt;"",IF(INDEX(BDHK2,MATCH(B458,DiemHKII!$B$4:$B$58,0),INDEX($Y$7:$AB$20,MATCH(C471,$Y$7:$Y$20,0),$AA$6))&lt;&gt;"",INDEX(BDHK2,MATCH(B458,DiemHKII!$B$4:$B$58,0),INDEX($Y$7:$AB$20,MATCH(C471,$Y$7:$Y$20,0),$AA$6)),"/"),"")</f>
        <v/>
      </c>
      <c r="F471" s="35" t="str">
        <f>IF(B458&lt;&gt;"",IF(INDEX(BDHK2,MATCH(B458,DiemHKII!$B$4:$B$58,0),INDEX($Y$7:$AB$20,MATCH(C471,$Y$7:$Y$20,0),$AB$6))&lt;&gt;"",INDEX(BDHK2,MATCH(B458,DiemHKII!$B$4:$B$58,0),INDEX($Y$7:$AB$20,MATCH(C471,$Y$7:$Y$20,0),$AB$6)),"/"),"")</f>
        <v/>
      </c>
      <c r="G471" s="88"/>
      <c r="H471" s="79" t="s">
        <v>201</v>
      </c>
      <c r="I471" s="81" t="s">
        <v>34</v>
      </c>
      <c r="J471" s="35" t="str">
        <f>IF(H458&lt;&gt;"",IF(INDEX(BDHK2,MATCH(H458,DiemHKII!$B$4:$B$58,0),INDEX($Y$7:$AB$20,MATCH(I471,$Y$7:$Y$20,0),$Z$6))&lt;&gt;"",INDEX(BDHK2,MATCH(H458,DiemHKII!$B$4:$B$58,0),INDEX($Y$7:$AB$20,MATCH(I471,$Y$7:$Y$20,0),$Z$6)),"/"),"")</f>
        <v/>
      </c>
      <c r="K471" s="35" t="str">
        <f>IF(H458&lt;&gt;"",IF(INDEX(BDHK2,MATCH(H458,DiemHKII!$B$4:$B$58,0),INDEX($Y$7:$AB$20,MATCH(I471,$Y$7:$Y$20,0),$AA$6))&lt;&gt;"",INDEX(BDHK2,MATCH(H458,DiemHKII!$B$4:$B$58,0),INDEX($Y$7:$AB$20,MATCH(I471,$Y$7:$Y$20,0),$AA$6)),"/"),"")</f>
        <v/>
      </c>
      <c r="L471" s="35" t="str">
        <f>IF(H458&lt;&gt;"",IF(INDEX(BDHK2,MATCH(H458,DiemHKII!$B$4:$B$58,0),INDEX($Y$7:$AB$20,MATCH(I471,$Y$7:$Y$20,0),$AB$6))&lt;&gt;"",INDEX(BDHK2,MATCH(H458,DiemHKII!$B$4:$B$58,0),INDEX($Y$7:$AB$20,MATCH(I471,$Y$7:$Y$20,0),$AB$6)),"/"),"")</f>
        <v/>
      </c>
      <c r="M471" s="88"/>
      <c r="N471" s="79" t="s">
        <v>201</v>
      </c>
      <c r="O471" s="81" t="s">
        <v>34</v>
      </c>
      <c r="P471" s="35" t="str">
        <f>IF(N458&lt;&gt;"",IF(INDEX(BDHK2,MATCH(N458,DiemHKII!$B$4:$B$58,0),INDEX($Y$7:$AB$20,MATCH(O471,$Y$7:$Y$20,0),$Z$6))&lt;&gt;"",INDEX(BDHK2,MATCH(N458,DiemHKII!$B$4:$B$58,0),INDEX($Y$7:$AB$20,MATCH(O471,$Y$7:$Y$20,0),$Z$6)),"/"),"")</f>
        <v/>
      </c>
      <c r="Q471" s="35" t="str">
        <f>IF(N458&lt;&gt;"",IF(INDEX(BDHK2,MATCH(N458,DiemHKII!$B$4:$B$58,0),INDEX($Y$7:$AB$20,MATCH(O471,$Y$7:$Y$20,0),$AA$6))&lt;&gt;"",INDEX(BDHK2,MATCH(N458,DiemHKII!$B$4:$B$58,0),INDEX($Y$7:$AB$20,MATCH(O471,$Y$7:$Y$20,0),$AA$6)),"/"),"")</f>
        <v/>
      </c>
      <c r="R471" s="35" t="str">
        <f>IF(N458&lt;&gt;"",IF(INDEX(BDHK2,MATCH(N458,DiemHKII!$B$4:$B$58,0),INDEX($Y$7:$AB$20,MATCH(O471,$Y$7:$Y$20,0),$AB$6))&lt;&gt;"",INDEX(BDHK2,MATCH(N458,DiemHKII!$B$4:$B$58,0),INDEX($Y$7:$AB$20,MATCH(O471,$Y$7:$Y$20,0),$AB$6)),"/"),"")</f>
        <v/>
      </c>
      <c r="S471" s="88"/>
    </row>
    <row r="472" spans="1:19" ht="15.6" customHeight="1">
      <c r="A472" s="88"/>
      <c r="B472" s="79" t="s">
        <v>202</v>
      </c>
      <c r="C472" s="81" t="s">
        <v>35</v>
      </c>
      <c r="D472" s="35" t="str">
        <f>IF(B458&lt;&gt;"",IF(INDEX(BDHK2,MATCH(B458,DiemHKII!$B$4:$B$58,0),INDEX($Y$7:$AB$20,MATCH(C472,$Y$7:$Y$20,0),$Z$6))&lt;&gt;"",INDEX(BDHK2,MATCH(B458,DiemHKII!$B$4:$B$58,0),INDEX($Y$7:$AB$20,MATCH(C472,$Y$7:$Y$20,0),$Z$6)),"/"),"")</f>
        <v/>
      </c>
      <c r="E472" s="35" t="str">
        <f>IF(B458&lt;&gt;"",IF(INDEX(BDHK2,MATCH(B458,DiemHKII!$B$4:$B$58,0),INDEX($Y$7:$AB$20,MATCH(C472,$Y$7:$Y$20,0),$AA$6))&lt;&gt;"",INDEX(BDHK2,MATCH(B458,DiemHKII!$B$4:$B$58,0),INDEX($Y$7:$AB$20,MATCH(C472,$Y$7:$Y$20,0),$AA$6)),"/"),"")</f>
        <v/>
      </c>
      <c r="F472" s="35" t="str">
        <f>IF(B458&lt;&gt;"",IF(INDEX(BDHK2,MATCH(B458,DiemHKII!$B$4:$B$58,0),INDEX($Y$7:$AB$20,MATCH(C472,$Y$7:$Y$20,0),$AB$6))&lt;&gt;"",INDEX(BDHK2,MATCH(B458,DiemHKII!$B$4:$B$58,0),INDEX($Y$7:$AB$20,MATCH(C472,$Y$7:$Y$20,0),$AB$6)),"/"),"")</f>
        <v/>
      </c>
      <c r="G472" s="88"/>
      <c r="H472" s="79" t="s">
        <v>202</v>
      </c>
      <c r="I472" s="81" t="s">
        <v>35</v>
      </c>
      <c r="J472" s="35" t="str">
        <f>IF(H458&lt;&gt;"",IF(INDEX(BDHK2,MATCH(H458,DiemHKII!$B$4:$B$58,0),INDEX($Y$7:$AB$20,MATCH(I472,$Y$7:$Y$20,0),$Z$6))&lt;&gt;"",INDEX(BDHK2,MATCH(H458,DiemHKII!$B$4:$B$58,0),INDEX($Y$7:$AB$20,MATCH(I472,$Y$7:$Y$20,0),$Z$6)),"/"),"")</f>
        <v/>
      </c>
      <c r="K472" s="35" t="str">
        <f>IF(H458&lt;&gt;"",IF(INDEX(BDHK2,MATCH(H458,DiemHKII!$B$4:$B$58,0),INDEX($Y$7:$AB$20,MATCH(I472,$Y$7:$Y$20,0),$AA$6))&lt;&gt;"",INDEX(BDHK2,MATCH(H458,DiemHKII!$B$4:$B$58,0),INDEX($Y$7:$AB$20,MATCH(I472,$Y$7:$Y$20,0),$AA$6)),"/"),"")</f>
        <v/>
      </c>
      <c r="L472" s="35" t="str">
        <f>IF(H458&lt;&gt;"",IF(INDEX(BDHK2,MATCH(H458,DiemHKII!$B$4:$B$58,0),INDEX($Y$7:$AB$20,MATCH(I472,$Y$7:$Y$20,0),$AB$6))&lt;&gt;"",INDEX(BDHK2,MATCH(H458,DiemHKII!$B$4:$B$58,0),INDEX($Y$7:$AB$20,MATCH(I472,$Y$7:$Y$20,0),$AB$6)),"/"),"")</f>
        <v/>
      </c>
      <c r="M472" s="88"/>
      <c r="N472" s="79" t="s">
        <v>202</v>
      </c>
      <c r="O472" s="81" t="s">
        <v>35</v>
      </c>
      <c r="P472" s="35" t="str">
        <f>IF(N458&lt;&gt;"",IF(INDEX(BDHK2,MATCH(N458,DiemHKII!$B$4:$B$58,0),INDEX($Y$7:$AB$20,MATCH(O472,$Y$7:$Y$20,0),$Z$6))&lt;&gt;"",INDEX(BDHK2,MATCH(N458,DiemHKII!$B$4:$B$58,0),INDEX($Y$7:$AB$20,MATCH(O472,$Y$7:$Y$20,0),$Z$6)),"/"),"")</f>
        <v/>
      </c>
      <c r="Q472" s="35" t="str">
        <f>IF(N458&lt;&gt;"",IF(INDEX(BDHK2,MATCH(N458,DiemHKII!$B$4:$B$58,0),INDEX($Y$7:$AB$20,MATCH(O472,$Y$7:$Y$20,0),$AA$6))&lt;&gt;"",INDEX(BDHK2,MATCH(N458,DiemHKII!$B$4:$B$58,0),INDEX($Y$7:$AB$20,MATCH(O472,$Y$7:$Y$20,0),$AA$6)),"/"),"")</f>
        <v/>
      </c>
      <c r="R472" s="35" t="str">
        <f>IF(N458&lt;&gt;"",IF(INDEX(BDHK2,MATCH(N458,DiemHKII!$B$4:$B$58,0),INDEX($Y$7:$AB$20,MATCH(O472,$Y$7:$Y$20,0),$AB$6))&lt;&gt;"",INDEX(BDHK2,MATCH(N458,DiemHKII!$B$4:$B$58,0),INDEX($Y$7:$AB$20,MATCH(O472,$Y$7:$Y$20,0),$AB$6)),"/"),"")</f>
        <v/>
      </c>
      <c r="S472" s="88"/>
    </row>
    <row r="473" spans="1:19" ht="15.6" customHeight="1">
      <c r="A473" s="88"/>
      <c r="B473" s="79" t="s">
        <v>203</v>
      </c>
      <c r="C473" s="81" t="s">
        <v>121</v>
      </c>
      <c r="D473" s="35" t="str">
        <f>IF(B458&lt;&gt;"",IF(INDEX(BDHK2,MATCH(B458,DiemHKII!$B$4:$B$58,0),INDEX($Y$7:$AB$20,MATCH(C473,$Y$7:$Y$20,0),$Z$6))&lt;&gt;"",INDEX(BDHK2,MATCH(B458,DiemHKII!$B$4:$B$58,0),INDEX($Y$7:$AB$20,MATCH(C473,$Y$7:$Y$20,0),$Z$6)),"/"),"")</f>
        <v/>
      </c>
      <c r="E473" s="35" t="str">
        <f>IF(B458&lt;&gt;"",IF(INDEX(BDHK2,MATCH(B458,DiemHKII!$B$4:$B$58,0),INDEX($Y$7:$AB$20,MATCH(C473,$Y$7:$Y$20,0),$AA$6))&lt;&gt;"",INDEX(BDHK2,MATCH(B458,DiemHKII!$B$4:$B$58,0),INDEX($Y$7:$AB$20,MATCH(C473,$Y$7:$Y$20,0),$AA$6)),"/"),"")</f>
        <v/>
      </c>
      <c r="F473" s="35" t="str">
        <f>IF(B458&lt;&gt;"",IF(INDEX(BDHK2,MATCH(B458,DiemHKII!$B$4:$B$58,0),INDEX($Y$7:$AB$20,MATCH(C473,$Y$7:$Y$20,0),$AB$6))&lt;&gt;"",INDEX(BDHK2,MATCH(B458,DiemHKII!$B$4:$B$58,0),INDEX($Y$7:$AB$20,MATCH(C473,$Y$7:$Y$20,0),$AB$6)),"/"),"")</f>
        <v/>
      </c>
      <c r="G473" s="88"/>
      <c r="H473" s="79" t="s">
        <v>203</v>
      </c>
      <c r="I473" s="81" t="s">
        <v>121</v>
      </c>
      <c r="J473" s="35" t="str">
        <f>IF(H458&lt;&gt;"",IF(INDEX(BDHK2,MATCH(H458,DiemHKII!$B$4:$B$58,0),INDEX($Y$7:$AB$20,MATCH(I473,$Y$7:$Y$20,0),$Z$6))&lt;&gt;"",INDEX(BDHK2,MATCH(H458,DiemHKII!$B$4:$B$58,0),INDEX($Y$7:$AB$20,MATCH(I473,$Y$7:$Y$20,0),$Z$6)),"/"),"")</f>
        <v/>
      </c>
      <c r="K473" s="35" t="str">
        <f>IF(H458&lt;&gt;"",IF(INDEX(BDHK2,MATCH(H458,DiemHKII!$B$4:$B$58,0),INDEX($Y$7:$AB$20,MATCH(I473,$Y$7:$Y$20,0),$AA$6))&lt;&gt;"",INDEX(BDHK2,MATCH(H458,DiemHKII!$B$4:$B$58,0),INDEX($Y$7:$AB$20,MATCH(I473,$Y$7:$Y$20,0),$AA$6)),"/"),"")</f>
        <v/>
      </c>
      <c r="L473" s="35" t="str">
        <f>IF(H458&lt;&gt;"",IF(INDEX(BDHK2,MATCH(H458,DiemHKII!$B$4:$B$58,0),INDEX($Y$7:$AB$20,MATCH(I473,$Y$7:$Y$20,0),$AB$6))&lt;&gt;"",INDEX(BDHK2,MATCH(H458,DiemHKII!$B$4:$B$58,0),INDEX($Y$7:$AB$20,MATCH(I473,$Y$7:$Y$20,0),$AB$6)),"/"),"")</f>
        <v/>
      </c>
      <c r="M473" s="88"/>
      <c r="N473" s="79" t="s">
        <v>203</v>
      </c>
      <c r="O473" s="81" t="s">
        <v>121</v>
      </c>
      <c r="P473" s="35" t="str">
        <f>IF(N458&lt;&gt;"",IF(INDEX(BDHK2,MATCH(N458,DiemHKII!$B$4:$B$58,0),INDEX($Y$7:$AB$20,MATCH(O473,$Y$7:$Y$20,0),$Z$6))&lt;&gt;"",INDEX(BDHK2,MATCH(N458,DiemHKII!$B$4:$B$58,0),INDEX($Y$7:$AB$20,MATCH(O473,$Y$7:$Y$20,0),$Z$6)),"/"),"")</f>
        <v/>
      </c>
      <c r="Q473" s="35" t="str">
        <f>IF(N458&lt;&gt;"",IF(INDEX(BDHK2,MATCH(N458,DiemHKII!$B$4:$B$58,0),INDEX($Y$7:$AB$20,MATCH(O473,$Y$7:$Y$20,0),$AA$6))&lt;&gt;"",INDEX(BDHK2,MATCH(N458,DiemHKII!$B$4:$B$58,0),INDEX($Y$7:$AB$20,MATCH(O473,$Y$7:$Y$20,0),$AA$6)),"/"),"")</f>
        <v/>
      </c>
      <c r="R473" s="35" t="str">
        <f>IF(N458&lt;&gt;"",IF(INDEX(BDHK2,MATCH(N458,DiemHKII!$B$4:$B$58,0),INDEX($Y$7:$AB$20,MATCH(O473,$Y$7:$Y$20,0),$AB$6))&lt;&gt;"",INDEX(BDHK2,MATCH(N458,DiemHKII!$B$4:$B$58,0),INDEX($Y$7:$AB$20,MATCH(O473,$Y$7:$Y$20,0),$AB$6)),"/"),"")</f>
        <v/>
      </c>
      <c r="S473" s="88"/>
    </row>
    <row r="474" spans="1:19" ht="15.6" customHeight="1">
      <c r="A474" s="88"/>
      <c r="B474" s="79" t="s">
        <v>204</v>
      </c>
      <c r="C474" s="81" t="s">
        <v>122</v>
      </c>
      <c r="D474" s="35" t="str">
        <f>IF(B458&lt;&gt;"",IF(INDEX(BDHK2,MATCH(B458,DiemHKII!$B$4:$B$58,0),INDEX($Y$7:$AB$20,MATCH(C474,$Y$7:$Y$20,0),$Z$6))&lt;&gt;"",INDEX(BDHK2,MATCH(B458,DiemHKII!$B$4:$B$58,0),INDEX($Y$7:$AB$20,MATCH(C474,$Y$7:$Y$20,0),$Z$6)),"/"),"")</f>
        <v/>
      </c>
      <c r="E474" s="35" t="str">
        <f>IF(B458&lt;&gt;"",IF(INDEX(BDHK2,MATCH(B458,DiemHKII!$B$4:$B$58,0),INDEX($Y$7:$AB$20,MATCH(C474,$Y$7:$Y$20,0),$AA$6))&lt;&gt;"",INDEX(BDHK2,MATCH(B458,DiemHKII!$B$4:$B$58,0),INDEX($Y$7:$AB$20,MATCH(C474,$Y$7:$Y$20,0),$AA$6)),"/"),"")</f>
        <v/>
      </c>
      <c r="F474" s="35" t="str">
        <f>IF(B458&lt;&gt;"",IF(INDEX(BDHK2,MATCH(B458,DiemHKII!$B$4:$B$58,0),INDEX($Y$7:$AB$20,MATCH(C474,$Y$7:$Y$20,0),$AB$6))&lt;&gt;"",INDEX(BDHK2,MATCH(B458,DiemHKII!$B$4:$B$58,0),INDEX($Y$7:$AB$20,MATCH(C474,$Y$7:$Y$20,0),$AB$6)),"/"),"")</f>
        <v/>
      </c>
      <c r="G474" s="88"/>
      <c r="H474" s="79" t="s">
        <v>204</v>
      </c>
      <c r="I474" s="81" t="s">
        <v>122</v>
      </c>
      <c r="J474" s="35" t="str">
        <f>IF(H458&lt;&gt;"",IF(INDEX(BDHK2,MATCH(H458,DiemHKII!$B$4:$B$58,0),INDEX($Y$7:$AB$20,MATCH(I474,$Y$7:$Y$20,0),$Z$6))&lt;&gt;"",INDEX(BDHK2,MATCH(H458,DiemHKII!$B$4:$B$58,0),INDEX($Y$7:$AB$20,MATCH(I474,$Y$7:$Y$20,0),$Z$6)),"/"),"")</f>
        <v/>
      </c>
      <c r="K474" s="35" t="str">
        <f>IF(H458&lt;&gt;"",IF(INDEX(BDHK2,MATCH(H458,DiemHKII!$B$4:$B$58,0),INDEX($Y$7:$AB$20,MATCH(I474,$Y$7:$Y$20,0),$AA$6))&lt;&gt;"",INDEX(BDHK2,MATCH(H458,DiemHKII!$B$4:$B$58,0),INDEX($Y$7:$AB$20,MATCH(I474,$Y$7:$Y$20,0),$AA$6)),"/"),"")</f>
        <v/>
      </c>
      <c r="L474" s="35" t="str">
        <f>IF(H458&lt;&gt;"",IF(INDEX(BDHK2,MATCH(H458,DiemHKII!$B$4:$B$58,0),INDEX($Y$7:$AB$20,MATCH(I474,$Y$7:$Y$20,0),$AB$6))&lt;&gt;"",INDEX(BDHK2,MATCH(H458,DiemHKII!$B$4:$B$58,0),INDEX($Y$7:$AB$20,MATCH(I474,$Y$7:$Y$20,0),$AB$6)),"/"),"")</f>
        <v/>
      </c>
      <c r="M474" s="88"/>
      <c r="N474" s="79" t="s">
        <v>204</v>
      </c>
      <c r="O474" s="81" t="s">
        <v>122</v>
      </c>
      <c r="P474" s="35" t="str">
        <f>IF(N458&lt;&gt;"",IF(INDEX(BDHK2,MATCH(N458,DiemHKII!$B$4:$B$58,0),INDEX($Y$7:$AB$20,MATCH(O474,$Y$7:$Y$20,0),$Z$6))&lt;&gt;"",INDEX(BDHK2,MATCH(N458,DiemHKII!$B$4:$B$58,0),INDEX($Y$7:$AB$20,MATCH(O474,$Y$7:$Y$20,0),$Z$6)),"/"),"")</f>
        <v/>
      </c>
      <c r="Q474" s="35" t="str">
        <f>IF(N458&lt;&gt;"",IF(INDEX(BDHK2,MATCH(N458,DiemHKII!$B$4:$B$58,0),INDEX($Y$7:$AB$20,MATCH(O474,$Y$7:$Y$20,0),$AA$6))&lt;&gt;"",INDEX(BDHK2,MATCH(N458,DiemHKII!$B$4:$B$58,0),INDEX($Y$7:$AB$20,MATCH(O474,$Y$7:$Y$20,0),$AA$6)),"/"),"")</f>
        <v/>
      </c>
      <c r="R474" s="35" t="str">
        <f>IF(N458&lt;&gt;"",IF(INDEX(BDHK2,MATCH(N458,DiemHKII!$B$4:$B$58,0),INDEX($Y$7:$AB$20,MATCH(O474,$Y$7:$Y$20,0),$AB$6))&lt;&gt;"",INDEX(BDHK2,MATCH(N458,DiemHKII!$B$4:$B$58,0),INDEX($Y$7:$AB$20,MATCH(O474,$Y$7:$Y$20,0),$AB$6)),"/"),"")</f>
        <v/>
      </c>
      <c r="S474" s="88"/>
    </row>
    <row r="475" spans="1:19" ht="15.6" customHeight="1">
      <c r="A475" s="88"/>
      <c r="B475" s="79" t="s">
        <v>208</v>
      </c>
      <c r="C475" s="81" t="s">
        <v>217</v>
      </c>
      <c r="D475" s="80" t="str">
        <f>IF(B458&lt;&gt;"",IF(INDEX('TH CANAM'!$A$9:$BF$63,MATCH(B458,'TH CANAM'!$A$9:$A$63,0),46)&lt;&gt;"",INDEX('TH CANAM'!$A$9:$BF$63,MATCH(B458,'TH CANAM'!$A$9:$A$63,0),46),"/"),"")</f>
        <v/>
      </c>
      <c r="E475" s="80" t="str">
        <f>IF(B458&lt;&gt;"",IF(INDEX('TH CANAM'!$A$9:$BF$63,MATCH(B458,'TH CANAM'!$A$9:$A$63,0),47)&lt;&gt;"",INDEX('TH CANAM'!$A$9:$BF$63,MATCH(B458,'TH CANAM'!$A$9:$A$63,0),47),"/"),"")</f>
        <v/>
      </c>
      <c r="F475" s="80" t="str">
        <f>IF(B458&lt;&gt;"",IF(INDEX('TH CANAM'!$A$9:$BF$63,MATCH(B458,'TH CANAM'!$A$9:$A$63,0),48)&lt;&gt;"",INDEX('TH CANAM'!$A$9:$BF$63,MATCH(B458,'TH CANAM'!$A$9:$A$63,0),48),"/"),"")</f>
        <v/>
      </c>
      <c r="G475" s="88"/>
      <c r="H475" s="79" t="s">
        <v>208</v>
      </c>
      <c r="I475" s="81" t="s">
        <v>217</v>
      </c>
      <c r="J475" s="80" t="str">
        <f>IF(H458&lt;&gt;"",IF(INDEX('TH CANAM'!$A$9:$BF$63,MATCH(H458,'TH CANAM'!$A$9:$A$63,0),46)&lt;&gt;"",INDEX('TH CANAM'!$A$9:$BF$63,MATCH(H458,'TH CANAM'!$A$9:$A$63,0),46),"/"),"")</f>
        <v/>
      </c>
      <c r="K475" s="80" t="str">
        <f>IF(H458&lt;&gt;"",IF(INDEX('TH CANAM'!$A$9:$BF$63,MATCH(H458,'TH CANAM'!$A$9:$A$63,0),47)&lt;&gt;"",INDEX('TH CANAM'!$A$9:$BF$63,MATCH(H458,'TH CANAM'!$A$9:$A$63,0),47),"/"),"")</f>
        <v/>
      </c>
      <c r="L475" s="80" t="str">
        <f>IF(H458&lt;&gt;"",IF(INDEX('TH CANAM'!$A$9:$BF$63,MATCH(H458,'TH CANAM'!$A$9:$A$63,0),48)&lt;&gt;"",INDEX('TH CANAM'!$A$9:$BF$63,MATCH(H458,'TH CANAM'!$A$9:$A$63,0),48),"/"),"")</f>
        <v/>
      </c>
      <c r="M475" s="88"/>
      <c r="N475" s="79" t="s">
        <v>208</v>
      </c>
      <c r="O475" s="81" t="s">
        <v>217</v>
      </c>
      <c r="P475" s="80" t="str">
        <f>IF(N458&lt;&gt;"",IF(INDEX('TH CANAM'!$A$9:$BF$63,MATCH(N458,'TH CANAM'!$A$9:$A$63,0),46)&lt;&gt;"",INDEX('TH CANAM'!$A$9:$BF$63,MATCH(N458,'TH CANAM'!$A$9:$A$63,0),46),"/"),"")</f>
        <v/>
      </c>
      <c r="Q475" s="80" t="str">
        <f>IF(N458&lt;&gt;"",IF(INDEX('TH CANAM'!$A$9:$BF$63,MATCH(N458,'TH CANAM'!$A$9:$A$63,0),47)&lt;&gt;"",INDEX('TH CANAM'!$A$9:$BF$63,MATCH(N458,'TH CANAM'!$A$9:$A$63,0),47),"/"),"")</f>
        <v/>
      </c>
      <c r="R475" s="80" t="str">
        <f>IF(N458&lt;&gt;"",IF(INDEX('TH CANAM'!$A$9:$BF$63,MATCH(N458,'TH CANAM'!$A$9:$A$63,0),48)&lt;&gt;"",INDEX('TH CANAM'!$A$9:$BF$63,MATCH(N458,'TH CANAM'!$A$9:$A$63,0),48),"/"),"")</f>
        <v/>
      </c>
      <c r="S475" s="88"/>
    </row>
    <row r="476" spans="1:19" ht="15.6" customHeight="1">
      <c r="A476" s="88"/>
      <c r="B476" s="79" t="s">
        <v>209</v>
      </c>
      <c r="C476" s="82" t="s">
        <v>36</v>
      </c>
      <c r="D476" s="35" t="str">
        <f>IF(B458&lt;&gt;"",IF(INDEX('TH CANAM'!$A$9:$BF$63,MATCH(B458,'TH CANAM'!$A$9:$A$63,0),49)&lt;&gt;"",INDEX('TH CANAM'!$A$9:$BF$63,MATCH(B458,'TH CANAM'!$A$9:$A$63,0),49),"/"),"")</f>
        <v/>
      </c>
      <c r="E476" s="35" t="str">
        <f>IF(B458&lt;&gt;"",IF(INDEX('TH CANAM'!$A$9:$BF$63,MATCH(B458,'TH CANAM'!$A$9:$A$63,0),50)&lt;&gt;"",INDEX('TH CANAM'!$A$9:$BF$63,MATCH(B458,'TH CANAM'!$A$9:$A$63,0),50),"/"),"")</f>
        <v/>
      </c>
      <c r="F476" s="35" t="str">
        <f>IF(B458&lt;&gt;"",IF(INDEX('TH CANAM'!$A$9:$BF$63,MATCH(B458,'TH CANAM'!$A$9:$A$63,0),51)&lt;&gt;"",INDEX('TH CANAM'!$A$9:$BF$63,MATCH(B458,'TH CANAM'!$A$9:$A$63,0),51),"/"),"")</f>
        <v/>
      </c>
      <c r="G476" s="88"/>
      <c r="H476" s="79" t="s">
        <v>209</v>
      </c>
      <c r="I476" s="82" t="s">
        <v>36</v>
      </c>
      <c r="J476" s="35" t="str">
        <f>IF(H458&lt;&gt;"",IF(INDEX('TH CANAM'!$A$9:$BF$63,MATCH(H458,'TH CANAM'!$A$9:$A$63,0),49)&lt;&gt;"",INDEX('TH CANAM'!$A$9:$BF$63,MATCH(H458,'TH CANAM'!$A$9:$A$63,0),49),"/"),"")</f>
        <v/>
      </c>
      <c r="K476" s="35" t="str">
        <f>IF(H458&lt;&gt;"",IF(INDEX('TH CANAM'!$A$9:$BF$63,MATCH(H458,'TH CANAM'!$A$9:$A$63,0),50)&lt;&gt;"",INDEX('TH CANAM'!$A$9:$BF$63,MATCH(H458,'TH CANAM'!$A$9:$A$63,0),50),"/"),"")</f>
        <v/>
      </c>
      <c r="L476" s="35" t="str">
        <f>IF(H458&lt;&gt;"",IF(INDEX('TH CANAM'!$A$9:$BF$63,MATCH(H458,'TH CANAM'!$A$9:$A$63,0),51)&lt;&gt;"",INDEX('TH CANAM'!$A$9:$BF$63,MATCH(H458,'TH CANAM'!$A$9:$A$63,0),51),"/"),"")</f>
        <v/>
      </c>
      <c r="M476" s="88"/>
      <c r="N476" s="79" t="s">
        <v>209</v>
      </c>
      <c r="O476" s="82" t="s">
        <v>36</v>
      </c>
      <c r="P476" s="35" t="str">
        <f>IF(N458&lt;&gt;"",IF(INDEX('TH CANAM'!$A$9:$BF$63,MATCH(N458,'TH CANAM'!$A$9:$A$63,0),49)&lt;&gt;"",INDEX('TH CANAM'!$A$9:$BF$63,MATCH(N458,'TH CANAM'!$A$9:$A$63,0),49),"/"),"")</f>
        <v/>
      </c>
      <c r="Q476" s="35" t="str">
        <f>IF(N458&lt;&gt;"",IF(INDEX('TH CANAM'!$A$9:$BF$63,MATCH(N458,'TH CANAM'!$A$9:$A$63,0),50)&lt;&gt;"",INDEX('TH CANAM'!$A$9:$BF$63,MATCH(N458,'TH CANAM'!$A$9:$A$63,0),50),"/"),"")</f>
        <v/>
      </c>
      <c r="R476" s="35" t="str">
        <f>IF(N458&lt;&gt;"",IF(INDEX('TH CANAM'!$A$9:$BF$63,MATCH(N458,'TH CANAM'!$A$9:$A$63,0),51)&lt;&gt;"",INDEX('TH CANAM'!$A$9:$BF$63,MATCH(N458,'TH CANAM'!$A$9:$A$63,0),51),"/"),"")</f>
        <v/>
      </c>
      <c r="S476" s="88"/>
    </row>
    <row r="477" spans="1:19" ht="15.6" customHeight="1">
      <c r="A477" s="88"/>
      <c r="B477" s="79" t="s">
        <v>210</v>
      </c>
      <c r="C477" s="82" t="s">
        <v>37</v>
      </c>
      <c r="D477" s="35" t="str">
        <f>IF(B458&lt;&gt;"",IF(INDEX('TH CANAM'!$A$9:$BF$63,MATCH(B458,'TH CANAM'!$A$9:$A$63,0),52)&lt;&gt;"",INDEX('TH CANAM'!$A$9:$BF$63,MATCH(B458,'TH CANAM'!$A$9:$A$63,0),52),"/"),"")</f>
        <v/>
      </c>
      <c r="E477" s="35" t="str">
        <f>IF(B458&lt;&gt;"",IF(INDEX('TH CANAM'!$A$9:$BF$63,MATCH(B458,'TH CANAM'!$A$9:$A$63,0),53)&lt;&gt;"",INDEX('TH CANAM'!$A$9:$BF$63,MATCH(B458,'TH CANAM'!$A$9:$A$63,0),53),"/"),"")</f>
        <v/>
      </c>
      <c r="F477" s="35" t="str">
        <f>IF(B458&lt;&gt;"",IF(INDEX('TH CANAM'!$A$9:$BF$63,MATCH(B458,'TH CANAM'!$A$9:$A$63,0),54)&lt;&gt;"",INDEX('TH CANAM'!$A$9:$BF$63,MATCH(B458,'TH CANAM'!$A$9:$A$63,0),54),"/"),"")</f>
        <v/>
      </c>
      <c r="G477" s="88"/>
      <c r="H477" s="79" t="s">
        <v>210</v>
      </c>
      <c r="I477" s="82" t="s">
        <v>37</v>
      </c>
      <c r="J477" s="35" t="str">
        <f>IF(H458&lt;&gt;"",IF(INDEX('TH CANAM'!$A$9:$BF$63,MATCH(H458,'TH CANAM'!$A$9:$A$63,0),52)&lt;&gt;"",INDEX('TH CANAM'!$A$9:$BF$63,MATCH(H458,'TH CANAM'!$A$9:$A$63,0),52),"/"),"")</f>
        <v/>
      </c>
      <c r="K477" s="35" t="str">
        <f>IF(H458&lt;&gt;"",IF(INDEX('TH CANAM'!$A$9:$BF$63,MATCH(H458,'TH CANAM'!$A$9:$A$63,0),53)&lt;&gt;"",INDEX('TH CANAM'!$A$9:$BF$63,MATCH(H458,'TH CANAM'!$A$9:$A$63,0),53),"/"),"")</f>
        <v/>
      </c>
      <c r="L477" s="35" t="str">
        <f>IF(H458&lt;&gt;"",IF(INDEX('TH CANAM'!$A$9:$BF$63,MATCH(H458,'TH CANAM'!$A$9:$A$63,0),54)&lt;&gt;"",INDEX('TH CANAM'!$A$9:$BF$63,MATCH(H458,'TH CANAM'!$A$9:$A$63,0),54),"/"),"")</f>
        <v/>
      </c>
      <c r="M477" s="88"/>
      <c r="N477" s="79" t="s">
        <v>210</v>
      </c>
      <c r="O477" s="82" t="s">
        <v>37</v>
      </c>
      <c r="P477" s="35" t="str">
        <f>IF(N458&lt;&gt;"",IF(INDEX('TH CANAM'!$A$9:$BF$63,MATCH(N458,'TH CANAM'!$A$9:$A$63,0),52)&lt;&gt;"",INDEX('TH CANAM'!$A$9:$BF$63,MATCH(N458,'TH CANAM'!$A$9:$A$63,0),52),"/"),"")</f>
        <v/>
      </c>
      <c r="Q477" s="35" t="str">
        <f>IF(N458&lt;&gt;"",IF(INDEX('TH CANAM'!$A$9:$BF$63,MATCH(N458,'TH CANAM'!$A$9:$A$63,0),53)&lt;&gt;"",INDEX('TH CANAM'!$A$9:$BF$63,MATCH(N458,'TH CANAM'!$A$9:$A$63,0),53),"/"),"")</f>
        <v/>
      </c>
      <c r="R477" s="35" t="str">
        <f>IF(N458&lt;&gt;"",IF(INDEX('TH CANAM'!$A$9:$BF$63,MATCH(N458,'TH CANAM'!$A$9:$A$63,0),54)&lt;&gt;"",INDEX('TH CANAM'!$A$9:$BF$63,MATCH(N458,'TH CANAM'!$A$9:$A$63,0),54),"/"),"")</f>
        <v/>
      </c>
      <c r="S477" s="88"/>
    </row>
    <row r="478" spans="1:19" ht="15.6" customHeight="1">
      <c r="A478" s="88"/>
      <c r="B478" s="79" t="s">
        <v>211</v>
      </c>
      <c r="C478" s="82" t="s">
        <v>25</v>
      </c>
      <c r="D478" s="35" t="str">
        <f>IF(B458&lt;&gt;"",IF(INDEX('TH CANAM'!$A$9:$BF$63,MATCH(B458,'TH CANAM'!$A$9:$A$63,0),57)&lt;&gt;"",INDEX('TH CANAM'!$A$9:$BF$63,MATCH(B458,'TH CANAM'!$A$9:$A$63,0),57),"/"),"")</f>
        <v/>
      </c>
      <c r="E478" s="35" t="str">
        <f>IF(B458&lt;&gt;"",IF(INDEX('TH CANAM'!$A$9:$BF$63,MATCH(B458,'TH CANAM'!$A$9:$A$63,0),58)&lt;&gt;"",INDEX('TH CANAM'!$A$9:$BF$63,MATCH(B458,'TH CANAM'!$A$9:$A$63,0),58),"/"),"")</f>
        <v/>
      </c>
      <c r="F478" s="35" t="str">
        <f>IF(B458&lt;&gt;"",IF(INDEX('TH CANAM'!$A$9:$BF$63,MATCH(B458,'TH CANAM'!$A$9:$A$63,0),55)&lt;&gt;"",INDEX('TH CANAM'!$A$9:$BF$63,MATCH(B458,'TH CANAM'!$A$9:$A$63,0),55),"/"),"")</f>
        <v/>
      </c>
      <c r="G478" s="88"/>
      <c r="H478" s="79" t="s">
        <v>211</v>
      </c>
      <c r="I478" s="82" t="s">
        <v>25</v>
      </c>
      <c r="J478" s="35" t="str">
        <f>IF(H458&lt;&gt;"",IF(INDEX('TH CANAM'!$A$9:$BF$63,MATCH(H458,'TH CANAM'!$A$9:$A$63,0),57)&lt;&gt;"",INDEX('TH CANAM'!$A$9:$BF$63,MATCH(H458,'TH CANAM'!$A$9:$A$63,0),57),"/"),"")</f>
        <v/>
      </c>
      <c r="K478" s="35" t="str">
        <f>IF(H458&lt;&gt;"",IF(INDEX('TH CANAM'!$A$9:$BF$63,MATCH(H458,'TH CANAM'!$A$9:$A$63,0),58)&lt;&gt;"",INDEX('TH CANAM'!$A$9:$BF$63,MATCH(H458,'TH CANAM'!$A$9:$A$63,0),58),"/"),"")</f>
        <v/>
      </c>
      <c r="L478" s="35" t="str">
        <f>IF(H458&lt;&gt;"",IF(INDEX('TH CANAM'!$A$9:$BF$63,MATCH(H458,'TH CANAM'!$A$9:$A$63,0),55)&lt;&gt;"",INDEX('TH CANAM'!$A$9:$BF$63,MATCH(H458,'TH CANAM'!$A$9:$A$63,0),55),"/"),"")</f>
        <v/>
      </c>
      <c r="M478" s="88"/>
      <c r="N478" s="79" t="s">
        <v>211</v>
      </c>
      <c r="O478" s="82" t="s">
        <v>25</v>
      </c>
      <c r="P478" s="35" t="str">
        <f>IF(N458&lt;&gt;"",IF(INDEX('TH CANAM'!$A$9:$BF$63,MATCH(N458,'TH CANAM'!$A$9:$A$63,0),57)&lt;&gt;"",INDEX('TH CANAM'!$A$9:$BF$63,MATCH(N458,'TH CANAM'!$A$9:$A$63,0),57),"/"),"")</f>
        <v/>
      </c>
      <c r="Q478" s="35" t="str">
        <f>IF(N458&lt;&gt;"",IF(INDEX('TH CANAM'!$A$9:$BF$63,MATCH(N458,'TH CANAM'!$A$9:$A$63,0),58)&lt;&gt;"",INDEX('TH CANAM'!$A$9:$BF$63,MATCH(N458,'TH CANAM'!$A$9:$A$63,0),58),"/"),"")</f>
        <v/>
      </c>
      <c r="R478" s="35" t="str">
        <f>IF(N458&lt;&gt;"",IF(INDEX('TH CANAM'!$A$9:$BF$63,MATCH(N458,'TH CANAM'!$A$9:$A$63,0),55)&lt;&gt;"",INDEX('TH CANAM'!$A$9:$BF$63,MATCH(N458,'TH CANAM'!$A$9:$A$63,0),55),"/"),"")</f>
        <v/>
      </c>
      <c r="S478" s="88"/>
    </row>
    <row r="479" spans="1:19" s="251" customFormat="1" ht="15.75" customHeight="1">
      <c r="A479" s="89"/>
      <c r="B479" s="1146" t="s">
        <v>219</v>
      </c>
      <c r="C479" s="1147"/>
      <c r="D479" s="1147"/>
      <c r="E479" s="1147"/>
      <c r="F479" s="1148"/>
      <c r="G479" s="89"/>
      <c r="H479" s="1146" t="s">
        <v>219</v>
      </c>
      <c r="I479" s="1147"/>
      <c r="J479" s="1147"/>
      <c r="K479" s="1147"/>
      <c r="L479" s="1148"/>
      <c r="M479" s="89"/>
      <c r="N479" s="1146" t="s">
        <v>219</v>
      </c>
      <c r="O479" s="1147"/>
      <c r="P479" s="1147"/>
      <c r="Q479" s="1147"/>
      <c r="R479" s="1148"/>
      <c r="S479" s="89"/>
    </row>
    <row r="480" spans="1:19" s="251" customFormat="1" ht="15.6" customHeight="1">
      <c r="A480" s="89"/>
      <c r="B480" s="1143" t="str">
        <f>IF(B458&lt;&gt;"",IF(INDEX(BDHK2,MATCH(B458,DiemHKII!$B$4:$B$58,0),137)&lt;&gt;""," - "&amp;INDEX(BDHK2,MATCH(B458,DiemHKII!$B$4:$B$58,0),137),""),"")</f>
        <v/>
      </c>
      <c r="C480" s="1144"/>
      <c r="D480" s="1144"/>
      <c r="E480" s="1144"/>
      <c r="F480" s="1145"/>
      <c r="G480" s="89"/>
      <c r="H480" s="1143" t="str">
        <f>IF(H458&lt;&gt;"",IF(INDEX(BDHK2,MATCH(H458,DiemHKII!$B$4:$B$58,0),137)&lt;&gt;""," - "&amp;INDEX(BDHK2,MATCH(H458,DiemHKII!$B$4:$B$58,0),137),""),"")</f>
        <v/>
      </c>
      <c r="I480" s="1144"/>
      <c r="J480" s="1144"/>
      <c r="K480" s="1144"/>
      <c r="L480" s="1145"/>
      <c r="M480" s="89"/>
      <c r="N480" s="1143" t="str">
        <f>IF(N458&lt;&gt;"",IF(INDEX(BDHK2,MATCH(N458,DiemHKII!$B$4:$B$58,0),137)&lt;&gt;""," - "&amp;INDEX(BDHK2,MATCH(N458,DiemHKII!$B$4:$B$58,0),137),""),"")</f>
        <v/>
      </c>
      <c r="O480" s="1144"/>
      <c r="P480" s="1144"/>
      <c r="Q480" s="1144"/>
      <c r="R480" s="1145"/>
      <c r="S480" s="89"/>
    </row>
    <row r="481" spans="1:19" s="251" customFormat="1" ht="15.6" customHeight="1">
      <c r="A481" s="89"/>
      <c r="B481" s="1143" t="str">
        <f>IF(B458&lt;&gt;"",IF(INDEX(BDHK2,MATCH(B458,DiemHKII!$B$4:$B$58,0),138)&lt;&gt;""," - "&amp;INDEX(BDHK2,MATCH(B458,DiemHKII!$B$4:$B$58,0),138),""),"")</f>
        <v/>
      </c>
      <c r="C481" s="1144"/>
      <c r="D481" s="1144"/>
      <c r="E481" s="1144"/>
      <c r="F481" s="1145"/>
      <c r="G481" s="89"/>
      <c r="H481" s="1143" t="str">
        <f>IF(H458&lt;&gt;"",IF(INDEX(BDHK2,MATCH(H458,DiemHKII!$B$4:$B$58,0),138)&lt;&gt;""," - "&amp;INDEX(BDHK2,MATCH(H458,DiemHKII!$B$4:$B$58,0),138),""),"")</f>
        <v/>
      </c>
      <c r="I481" s="1144"/>
      <c r="J481" s="1144"/>
      <c r="K481" s="1144"/>
      <c r="L481" s="1145"/>
      <c r="M481" s="89"/>
      <c r="N481" s="1143" t="str">
        <f>IF(N458&lt;&gt;"",IF(INDEX(BDHK2,MATCH(N458,DiemHKII!$B$4:$B$58,0),138)&lt;&gt;""," - "&amp;INDEX(BDHK2,MATCH(N458,DiemHKII!$B$4:$B$58,0),138),""),"")</f>
        <v/>
      </c>
      <c r="O481" s="1144"/>
      <c r="P481" s="1144"/>
      <c r="Q481" s="1144"/>
      <c r="R481" s="1145"/>
      <c r="S481" s="89"/>
    </row>
    <row r="482" spans="1:19" s="251" customFormat="1" ht="15.6" customHeight="1">
      <c r="A482" s="89"/>
      <c r="B482" s="1143" t="str">
        <f>IF(B458&lt;&gt;"",IF(INDEX(BDHK2,MATCH(B458,DiemHKII!$B$4:$B$58,0),139)&lt;&gt;""," - "&amp;INDEX(BDHK2,MATCH(B458,DiemHKII!$B$4:$B$58,0),139),""),"")</f>
        <v/>
      </c>
      <c r="C482" s="1144"/>
      <c r="D482" s="1144"/>
      <c r="E482" s="1144"/>
      <c r="F482" s="1145"/>
      <c r="G482" s="89"/>
      <c r="H482" s="1143" t="str">
        <f>IF(H458&lt;&gt;"",IF(INDEX(BDHK2,MATCH(H458,DiemHKII!$B$4:$B$58,0),139)&lt;&gt;""," - "&amp;INDEX(BDHK2,MATCH(H458,DiemHKII!$B$4:$B$58,0),139),""),"")</f>
        <v/>
      </c>
      <c r="I482" s="1144"/>
      <c r="J482" s="1144"/>
      <c r="K482" s="1144"/>
      <c r="L482" s="1145"/>
      <c r="M482" s="89"/>
      <c r="N482" s="1143" t="str">
        <f>IF(N458&lt;&gt;"",IF(INDEX(BDHK2,MATCH(N458,DiemHKII!$B$4:$B$58,0),139)&lt;&gt;""," - "&amp;INDEX(BDHK2,MATCH(N458,DiemHKII!$B$4:$B$58,0),139),""),"")</f>
        <v/>
      </c>
      <c r="O482" s="1144"/>
      <c r="P482" s="1144"/>
      <c r="Q482" s="1144"/>
      <c r="R482" s="1145"/>
      <c r="S482" s="89"/>
    </row>
    <row r="483" spans="1:19" s="251" customFormat="1" ht="15.6" customHeight="1">
      <c r="A483" s="89"/>
      <c r="B483" s="1143" t="str">
        <f>IF(B458&lt;&gt;"",IF(INDEX(BDHK2,MATCH(B458,DiemHKII!$B$4:$B$58,0),140)&lt;&gt;""," - "&amp;INDEX(BDHK2,MATCH(B458,DiemHKII!$B$4:$B$58,0),140),""),"")</f>
        <v/>
      </c>
      <c r="C483" s="1144"/>
      <c r="D483" s="1144"/>
      <c r="E483" s="1144"/>
      <c r="F483" s="1145"/>
      <c r="G483" s="89"/>
      <c r="H483" s="1143" t="str">
        <f>IF(H458&lt;&gt;"",IF(INDEX(BDHK2,MATCH(H458,DiemHKII!$B$4:$B$58,0),140)&lt;&gt;""," - "&amp;INDEX(BDHK2,MATCH(H458,DiemHKII!$B$4:$B$58,0),140),""),"")</f>
        <v/>
      </c>
      <c r="I483" s="1144"/>
      <c r="J483" s="1144"/>
      <c r="K483" s="1144"/>
      <c r="L483" s="1145"/>
      <c r="M483" s="89"/>
      <c r="N483" s="1143" t="str">
        <f>IF(N458&lt;&gt;"",IF(INDEX(BDHK2,MATCH(N458,DiemHKII!$B$4:$B$58,0),140)&lt;&gt;""," - "&amp;INDEX(BDHK2,MATCH(N458,DiemHKII!$B$4:$B$58,0),140),""),"")</f>
        <v/>
      </c>
      <c r="O483" s="1144"/>
      <c r="P483" s="1144"/>
      <c r="Q483" s="1144"/>
      <c r="R483" s="1145"/>
      <c r="S483" s="89"/>
    </row>
    <row r="484" spans="1:19" ht="8.25" customHeight="1">
      <c r="A484" s="88"/>
      <c r="B484" s="83"/>
      <c r="C484" s="84"/>
      <c r="D484" s="84"/>
      <c r="E484" s="84"/>
      <c r="F484" s="85"/>
      <c r="G484" s="88"/>
      <c r="H484" s="83"/>
      <c r="I484" s="84"/>
      <c r="J484" s="84"/>
      <c r="K484" s="84"/>
      <c r="L484" s="85"/>
      <c r="M484" s="88"/>
      <c r="N484" s="83"/>
      <c r="O484" s="84"/>
      <c r="P484" s="84"/>
      <c r="Q484" s="84"/>
      <c r="R484" s="85"/>
      <c r="S484" s="88"/>
    </row>
    <row r="485" spans="1:19" ht="6.75" customHeight="1">
      <c r="A485" s="88"/>
      <c r="B485" s="87"/>
      <c r="C485" s="87"/>
      <c r="D485" s="1135"/>
      <c r="E485" s="1135"/>
      <c r="F485" s="1135"/>
      <c r="G485" s="88"/>
      <c r="H485" s="87"/>
      <c r="I485" s="87"/>
      <c r="J485" s="1135"/>
      <c r="K485" s="1135"/>
      <c r="L485" s="1135"/>
      <c r="M485" s="88"/>
      <c r="N485" s="87"/>
      <c r="O485" s="87"/>
      <c r="P485" s="1135"/>
      <c r="Q485" s="1135"/>
      <c r="R485" s="1135"/>
      <c r="S485" s="88"/>
    </row>
    <row r="486" spans="1:19" ht="18" customHeight="1">
      <c r="A486" s="88"/>
      <c r="B486" s="477" t="str">
        <f>IF(N458="","",IF(N458&lt;MAX(DiemHKII!$B$4:$B$58),N458+1,""))</f>
        <v/>
      </c>
      <c r="C486" s="1140" t="str">
        <f>IF(B486="","",INDEX(DiemHKII!$E$4:$E$58,MATCH(B486,DiemHKII!$B$4:$B$58,0),1)&amp;" "&amp;INDEX(DiemHKII!$F$4:$F$58,MATCH(B486,DiemHKII!$B$4:$B$58,0),1))</f>
        <v/>
      </c>
      <c r="D486" s="1141"/>
      <c r="E486" s="1142"/>
      <c r="F486" s="86" t="str">
        <f>IF('Huong dan'!$C$3="","",'Huong dan'!$C$3)</f>
        <v>12A1</v>
      </c>
      <c r="G486" s="88"/>
      <c r="H486" s="477" t="str">
        <f>IF(B486="","",IF(B486&lt;MAX(DiemHKII!$B$4:$B$58),B486+1,""))</f>
        <v/>
      </c>
      <c r="I486" s="1140" t="str">
        <f>IF(H486="","",INDEX(DiemHKII!$E$4:$E$58,MATCH(H486,DiemHKII!$B$4:$B$58,0),1)&amp;" "&amp;INDEX(DiemHKII!$F$4:$F$58,MATCH(H486,DiemHKII!$B$4:$B$58,0),1))</f>
        <v/>
      </c>
      <c r="J486" s="1141"/>
      <c r="K486" s="1142"/>
      <c r="L486" s="86" t="str">
        <f>IF('Huong dan'!$C$3="","",'Huong dan'!$C$3)</f>
        <v>12A1</v>
      </c>
      <c r="M486" s="88"/>
      <c r="N486" s="477" t="str">
        <f>IF(H486="","",IF(H486&lt;MAX(DiemHKII!$B$4:$B$58),H486+1,""))</f>
        <v/>
      </c>
      <c r="O486" s="1140" t="str">
        <f>IF(N486="","",INDEX(DiemHKII!$E$4:$E$58,MATCH(N486,DiemHKII!$B$4:$B$58,0),1)&amp;" "&amp;INDEX(DiemHKII!$F$4:$F$58,MATCH(N486,DiemHKII!$B$4:$B$58,0),1))</f>
        <v/>
      </c>
      <c r="P486" s="1141"/>
      <c r="Q486" s="1142"/>
      <c r="R486" s="86" t="str">
        <f>IF('Huong dan'!$C$3="","",'Huong dan'!$C$3)</f>
        <v>12A1</v>
      </c>
      <c r="S486" s="88"/>
    </row>
    <row r="487" spans="1:19" ht="18.75" customHeight="1">
      <c r="A487" s="88"/>
      <c r="B487" s="1136" t="str">
        <f>" Sinh ngày: "&amp;IF(B486="","",INDEX(DiemHKII!$G$4:$G$58,MATCH(B486,DiemHKII!$B$4:$B$58,0),1))</f>
        <v xml:space="preserve"> Sinh ngày: </v>
      </c>
      <c r="C487" s="1137"/>
      <c r="D487" s="1137"/>
      <c r="E487" s="1138" t="str">
        <f>IF(B486="","","NS: "&amp;INDEX(DiemHKII!$H$4:$H$58,MATCH(B486,DiemHKII!$B$4:$B$58,0),1))</f>
        <v/>
      </c>
      <c r="F487" s="1139"/>
      <c r="G487" s="88"/>
      <c r="H487" s="1136" t="str">
        <f>" Sinh ngày: "&amp;IF(H486="","",INDEX(DiemHKII!$G$4:$G$58,MATCH(H486,DiemHKII!$B$4:$B$58,0),1))</f>
        <v xml:space="preserve"> Sinh ngày: </v>
      </c>
      <c r="I487" s="1137"/>
      <c r="J487" s="1137"/>
      <c r="K487" s="1138" t="str">
        <f>IF(H486="","","NS: "&amp;INDEX(DiemHKII!$H$4:$H$58,MATCH(H486,DiemHKII!$B$4:$B$58,0),1))</f>
        <v/>
      </c>
      <c r="L487" s="1139"/>
      <c r="M487" s="88"/>
      <c r="N487" s="1136" t="str">
        <f>" Sinh ngày: "&amp;IF(N486="","",INDEX(DiemHKII!$G$4:$G$58,MATCH(N486,DiemHKII!$B$4:$B$58,0),1))</f>
        <v xml:space="preserve"> Sinh ngày: </v>
      </c>
      <c r="O487" s="1137"/>
      <c r="P487" s="1137"/>
      <c r="Q487" s="1138" t="str">
        <f>IF(N486="","","NS: "&amp;INDEX(DiemHKII!$H$4:$H$58,MATCH(N486,DiemHKII!$B$4:$B$58,0),1))</f>
        <v/>
      </c>
      <c r="R487" s="1139"/>
      <c r="S487" s="88"/>
    </row>
    <row r="488" spans="1:19" ht="15.75" customHeight="1">
      <c r="A488" s="88"/>
      <c r="B488" s="381" t="s">
        <v>0</v>
      </c>
      <c r="C488" s="381" t="s">
        <v>59</v>
      </c>
      <c r="D488" s="381" t="s">
        <v>73</v>
      </c>
      <c r="E488" s="381" t="s">
        <v>176</v>
      </c>
      <c r="F488" s="381" t="s">
        <v>98</v>
      </c>
      <c r="G488" s="88"/>
      <c r="H488" s="381" t="s">
        <v>0</v>
      </c>
      <c r="I488" s="381" t="s">
        <v>59</v>
      </c>
      <c r="J488" s="381" t="s">
        <v>73</v>
      </c>
      <c r="K488" s="381" t="s">
        <v>176</v>
      </c>
      <c r="L488" s="381" t="s">
        <v>98</v>
      </c>
      <c r="M488" s="88"/>
      <c r="N488" s="381" t="s">
        <v>0</v>
      </c>
      <c r="O488" s="381" t="s">
        <v>59</v>
      </c>
      <c r="P488" s="381" t="s">
        <v>73</v>
      </c>
      <c r="Q488" s="381" t="s">
        <v>176</v>
      </c>
      <c r="R488" s="381" t="s">
        <v>98</v>
      </c>
      <c r="S488" s="88"/>
    </row>
    <row r="489" spans="1:19" ht="15.6" customHeight="1">
      <c r="A489" s="88"/>
      <c r="B489" s="79" t="s">
        <v>191</v>
      </c>
      <c r="C489" s="81" t="s">
        <v>26</v>
      </c>
      <c r="D489" s="35" t="str">
        <f>IF(B486&lt;&gt;"",IF(INDEX(BDHK2,MATCH(B486,DiemHKII!$B$4:$B$58,0),INDEX($Y$7:$AB$20,MATCH(C489,$Y$7:$Y$20,0),$Z$6))&lt;&gt;"",INDEX(BDHK2,MATCH(B486,DiemHKII!$B$4:$B$58,0),INDEX($Y$7:$AB$20,MATCH(C489,$Y$7:$Y$20,0),$Z$6)),"/"),"")</f>
        <v/>
      </c>
      <c r="E489" s="35" t="str">
        <f>IF(B486&lt;&gt;"",IF(INDEX(BDHK2,MATCH(B486,DiemHKII!$B$4:$B$58,0),INDEX($Y$7:$AB$20,MATCH(C489,$Y$7:$Y$20,0),$AA$6))&lt;&gt;"",INDEX(BDHK2,MATCH(B486,DiemHKII!$B$4:$B$58,0),INDEX($Y$7:$AB$20,MATCH(C489,$Y$7:$Y$20,0),$AA$6)),"/"),"")</f>
        <v/>
      </c>
      <c r="F489" s="35" t="str">
        <f>IF(B486&lt;&gt;"",IF(INDEX(BDHK2,MATCH(B486,DiemHKII!$B$4:$B$58,0),INDEX($Y$7:$AB$20,MATCH(C489,$Y$7:$Y$20,0),$AB$6))&lt;&gt;"",INDEX(BDHK2,MATCH(B486,DiemHKII!$B$4:$B$58,0),INDEX($Y$7:$AB$20,MATCH(C489,$Y$7:$Y$20,0),$AB$6)),"/"),"")</f>
        <v/>
      </c>
      <c r="G489" s="88"/>
      <c r="H489" s="79" t="s">
        <v>191</v>
      </c>
      <c r="I489" s="81" t="s">
        <v>26</v>
      </c>
      <c r="J489" s="35" t="str">
        <f>IF(H486&lt;&gt;"",IF(INDEX(BDHK2,MATCH(H486,DiemHKII!$B$4:$B$58,0),INDEX($Y$7:$AB$20,MATCH(I489,$Y$7:$Y$20,0),$Z$6))&lt;&gt;"",INDEX(BDHK2,MATCH(H486,DiemHKII!$B$4:$B$58,0),INDEX($Y$7:$AB$20,MATCH(I489,$Y$7:$Y$20,0),$Z$6)),"/"),"")</f>
        <v/>
      </c>
      <c r="K489" s="35" t="str">
        <f>IF(H486&lt;&gt;"",IF(INDEX(BDHK2,MATCH(H486,DiemHKII!$B$4:$B$58,0),INDEX($Y$7:$AB$20,MATCH(I489,$Y$7:$Y$20,0),$AA$6))&lt;&gt;"",INDEX(BDHK2,MATCH(H486,DiemHKII!$B$4:$B$58,0),INDEX($Y$7:$AB$20,MATCH(I489,$Y$7:$Y$20,0),$AA$6)),"/"),"")</f>
        <v/>
      </c>
      <c r="L489" s="35" t="str">
        <f>IF(H486&lt;&gt;"",IF(INDEX(BDHK2,MATCH(H486,DiemHKII!$B$4:$B$58,0),INDEX($Y$7:$AB$20,MATCH(I489,$Y$7:$Y$20,0),$AB$6))&lt;&gt;"",INDEX(BDHK2,MATCH(H486,DiemHKII!$B$4:$B$58,0),INDEX($Y$7:$AB$20,MATCH(I489,$Y$7:$Y$20,0),$AB$6)),"/"),"")</f>
        <v/>
      </c>
      <c r="M489" s="88"/>
      <c r="N489" s="79" t="s">
        <v>191</v>
      </c>
      <c r="O489" s="81" t="s">
        <v>26</v>
      </c>
      <c r="P489" s="35" t="str">
        <f>IF(N486&lt;&gt;"",IF(INDEX(BDHK2,MATCH(N486,DiemHKII!$B$4:$B$58,0),INDEX($Y$7:$AB$20,MATCH(O489,$Y$7:$Y$20,0),$Z$6))&lt;&gt;"",INDEX(BDHK2,MATCH(N486,DiemHKII!$B$4:$B$58,0),INDEX($Y$7:$AB$20,MATCH(O489,$Y$7:$Y$20,0),$Z$6)),"/"),"")</f>
        <v/>
      </c>
      <c r="Q489" s="35" t="str">
        <f>IF(N486&lt;&gt;"",IF(INDEX(BDHK2,MATCH(N486,DiemHKII!$B$4:$B$58,0),INDEX($Y$7:$AB$20,MATCH(O489,$Y$7:$Y$20,0),$AA$6))&lt;&gt;"",INDEX(BDHK2,MATCH(N486,DiemHKII!$B$4:$B$58,0),INDEX($Y$7:$AB$20,MATCH(O489,$Y$7:$Y$20,0),$AA$6)),"/"),"")</f>
        <v/>
      </c>
      <c r="R489" s="35" t="str">
        <f>IF(N486&lt;&gt;"",IF(INDEX(BDHK2,MATCH(N486,DiemHKII!$B$4:$B$58,0),INDEX($Y$7:$AB$20,MATCH(O489,$Y$7:$Y$20,0),$AB$6))&lt;&gt;"",INDEX(BDHK2,MATCH(N486,DiemHKII!$B$4:$B$58,0),INDEX($Y$7:$AB$20,MATCH(O489,$Y$7:$Y$20,0),$AB$6)),"/"),"")</f>
        <v/>
      </c>
      <c r="S489" s="88"/>
    </row>
    <row r="490" spans="1:19" ht="15.6" customHeight="1">
      <c r="A490" s="88"/>
      <c r="B490" s="79" t="s">
        <v>192</v>
      </c>
      <c r="C490" s="81" t="s">
        <v>27</v>
      </c>
      <c r="D490" s="35" t="str">
        <f>IF(B486&lt;&gt;"",IF(INDEX(BDHK2,MATCH(B486,DiemHKII!$B$4:$B$58,0),INDEX($Y$7:$AB$20,MATCH(C490,$Y$7:$Y$20,0),$Z$6))&lt;&gt;"",INDEX(BDHK2,MATCH(B486,DiemHKII!$B$4:$B$58,0),INDEX($Y$7:$AB$20,MATCH(C490,$Y$7:$Y$20,0),$Z$6)),"/"),"")</f>
        <v/>
      </c>
      <c r="E490" s="35" t="str">
        <f>IF(B486&lt;&gt;"",IF(INDEX(BDHK2,MATCH(B486,DiemHKII!$B$4:$B$58,0),INDEX($Y$7:$AB$20,MATCH(C490,$Y$7:$Y$20,0),$AA$6))&lt;&gt;"",INDEX(BDHK2,MATCH(B486,DiemHKII!$B$4:$B$58,0),INDEX($Y$7:$AB$20,MATCH(C490,$Y$7:$Y$20,0),$AA$6)),"/"),"")</f>
        <v/>
      </c>
      <c r="F490" s="35" t="str">
        <f>IF(B486&lt;&gt;"",IF(INDEX(BDHK2,MATCH(B486,DiemHKII!$B$4:$B$58,0),INDEX($Y$7:$AB$20,MATCH(C490,$Y$7:$Y$20,0),$AB$6))&lt;&gt;"",INDEX(BDHK2,MATCH(B486,DiemHKII!$B$4:$B$58,0),INDEX($Y$7:$AB$20,MATCH(C490,$Y$7:$Y$20,0),$AB$6)),"/"),"")</f>
        <v/>
      </c>
      <c r="G490" s="88"/>
      <c r="H490" s="79" t="s">
        <v>192</v>
      </c>
      <c r="I490" s="81" t="s">
        <v>27</v>
      </c>
      <c r="J490" s="35" t="str">
        <f>IF(H486&lt;&gt;"",IF(INDEX(BDHK2,MATCH(H486,DiemHKII!$B$4:$B$58,0),INDEX($Y$7:$AB$20,MATCH(I490,$Y$7:$Y$20,0),$Z$6))&lt;&gt;"",INDEX(BDHK2,MATCH(H486,DiemHKII!$B$4:$B$58,0),INDEX($Y$7:$AB$20,MATCH(I490,$Y$7:$Y$20,0),$Z$6)),"/"),"")</f>
        <v/>
      </c>
      <c r="K490" s="35" t="str">
        <f>IF(H486&lt;&gt;"",IF(INDEX(BDHK2,MATCH(H486,DiemHKII!$B$4:$B$58,0),INDEX($Y$7:$AB$20,MATCH(I490,$Y$7:$Y$20,0),$AA$6))&lt;&gt;"",INDEX(BDHK2,MATCH(H486,DiemHKII!$B$4:$B$58,0),INDEX($Y$7:$AB$20,MATCH(I490,$Y$7:$Y$20,0),$AA$6)),"/"),"")</f>
        <v/>
      </c>
      <c r="L490" s="35" t="str">
        <f>IF(H486&lt;&gt;"",IF(INDEX(BDHK2,MATCH(H486,DiemHKII!$B$4:$B$58,0),INDEX($Y$7:$AB$20,MATCH(I490,$Y$7:$Y$20,0),$AB$6))&lt;&gt;"",INDEX(BDHK2,MATCH(H486,DiemHKII!$B$4:$B$58,0),INDEX($Y$7:$AB$20,MATCH(I490,$Y$7:$Y$20,0),$AB$6)),"/"),"")</f>
        <v/>
      </c>
      <c r="M490" s="88"/>
      <c r="N490" s="79" t="s">
        <v>192</v>
      </c>
      <c r="O490" s="81" t="s">
        <v>27</v>
      </c>
      <c r="P490" s="35" t="str">
        <f>IF(N486&lt;&gt;"",IF(INDEX(BDHK2,MATCH(N486,DiemHKII!$B$4:$B$58,0),INDEX($Y$7:$AB$20,MATCH(O490,$Y$7:$Y$20,0),$Z$6))&lt;&gt;"",INDEX(BDHK2,MATCH(N486,DiemHKII!$B$4:$B$58,0),INDEX($Y$7:$AB$20,MATCH(O490,$Y$7:$Y$20,0),$Z$6)),"/"),"")</f>
        <v/>
      </c>
      <c r="Q490" s="35" t="str">
        <f>IF(N486&lt;&gt;"",IF(INDEX(BDHK2,MATCH(N486,DiemHKII!$B$4:$B$58,0),INDEX($Y$7:$AB$20,MATCH(O490,$Y$7:$Y$20,0),$AA$6))&lt;&gt;"",INDEX(BDHK2,MATCH(N486,DiemHKII!$B$4:$B$58,0),INDEX($Y$7:$AB$20,MATCH(O490,$Y$7:$Y$20,0),$AA$6)),"/"),"")</f>
        <v/>
      </c>
      <c r="R490" s="35" t="str">
        <f>IF(N486&lt;&gt;"",IF(INDEX(BDHK2,MATCH(N486,DiemHKII!$B$4:$B$58,0),INDEX($Y$7:$AB$20,MATCH(O490,$Y$7:$Y$20,0),$AB$6))&lt;&gt;"",INDEX(BDHK2,MATCH(N486,DiemHKII!$B$4:$B$58,0),INDEX($Y$7:$AB$20,MATCH(O490,$Y$7:$Y$20,0),$AB$6)),"/"),"")</f>
        <v/>
      </c>
      <c r="S490" s="88"/>
    </row>
    <row r="491" spans="1:19" ht="15.6" customHeight="1">
      <c r="A491" s="88"/>
      <c r="B491" s="79" t="s">
        <v>193</v>
      </c>
      <c r="C491" s="81" t="s">
        <v>28</v>
      </c>
      <c r="D491" s="35" t="str">
        <f>IF(B486&lt;&gt;"",IF(INDEX(BDHK2,MATCH(B486,DiemHKII!$B$4:$B$58,0),INDEX($Y$7:$AB$20,MATCH(C491,$Y$7:$Y$20,0),$Z$6))&lt;&gt;"",INDEX(BDHK2,MATCH(B486,DiemHKII!$B$4:$B$58,0),INDEX($Y$7:$AB$20,MATCH(C491,$Y$7:$Y$20,0),$Z$6)),"/"),"")</f>
        <v/>
      </c>
      <c r="E491" s="35" t="str">
        <f>IF(B486&lt;&gt;"",IF(INDEX(BDHK2,MATCH(B486,DiemHKII!$B$4:$B$58,0),INDEX($Y$7:$AB$20,MATCH(C491,$Y$7:$Y$20,0),$AA$6))&lt;&gt;"",INDEX(BDHK2,MATCH(B486,DiemHKII!$B$4:$B$58,0),INDEX($Y$7:$AB$20,MATCH(C491,$Y$7:$Y$20,0),$AA$6)),"/"),"")</f>
        <v/>
      </c>
      <c r="F491" s="35" t="str">
        <f>IF(B486&lt;&gt;"",IF(INDEX(BDHK2,MATCH(B486,DiemHKII!$B$4:$B$58,0),INDEX($Y$7:$AB$20,MATCH(C491,$Y$7:$Y$20,0),$AB$6))&lt;&gt;"",INDEX(BDHK2,MATCH(B486,DiemHKII!$B$4:$B$58,0),INDEX($Y$7:$AB$20,MATCH(C491,$Y$7:$Y$20,0),$AB$6)),"/"),"")</f>
        <v/>
      </c>
      <c r="G491" s="88"/>
      <c r="H491" s="79" t="s">
        <v>193</v>
      </c>
      <c r="I491" s="81" t="s">
        <v>28</v>
      </c>
      <c r="J491" s="35" t="str">
        <f>IF(H486&lt;&gt;"",IF(INDEX(BDHK2,MATCH(H486,DiemHKII!$B$4:$B$58,0),INDEX($Y$7:$AB$20,MATCH(I491,$Y$7:$Y$20,0),$Z$6))&lt;&gt;"",INDEX(BDHK2,MATCH(H486,DiemHKII!$B$4:$B$58,0),INDEX($Y$7:$AB$20,MATCH(I491,$Y$7:$Y$20,0),$Z$6)),"/"),"")</f>
        <v/>
      </c>
      <c r="K491" s="35" t="str">
        <f>IF(H486&lt;&gt;"",IF(INDEX(BDHK2,MATCH(H486,DiemHKII!$B$4:$B$58,0),INDEX($Y$7:$AB$20,MATCH(I491,$Y$7:$Y$20,0),$AA$6))&lt;&gt;"",INDEX(BDHK2,MATCH(H486,DiemHKII!$B$4:$B$58,0),INDEX($Y$7:$AB$20,MATCH(I491,$Y$7:$Y$20,0),$AA$6)),"/"),"")</f>
        <v/>
      </c>
      <c r="L491" s="35" t="str">
        <f>IF(H486&lt;&gt;"",IF(INDEX(BDHK2,MATCH(H486,DiemHKII!$B$4:$B$58,0),INDEX($Y$7:$AB$20,MATCH(I491,$Y$7:$Y$20,0),$AB$6))&lt;&gt;"",INDEX(BDHK2,MATCH(H486,DiemHKII!$B$4:$B$58,0),INDEX($Y$7:$AB$20,MATCH(I491,$Y$7:$Y$20,0),$AB$6)),"/"),"")</f>
        <v/>
      </c>
      <c r="M491" s="88"/>
      <c r="N491" s="79" t="s">
        <v>193</v>
      </c>
      <c r="O491" s="81" t="s">
        <v>28</v>
      </c>
      <c r="P491" s="35" t="str">
        <f>IF(N486&lt;&gt;"",IF(INDEX(BDHK2,MATCH(N486,DiemHKII!$B$4:$B$58,0),INDEX($Y$7:$AB$20,MATCH(O491,$Y$7:$Y$20,0),$Z$6))&lt;&gt;"",INDEX(BDHK2,MATCH(N486,DiemHKII!$B$4:$B$58,0),INDEX($Y$7:$AB$20,MATCH(O491,$Y$7:$Y$20,0),$Z$6)),"/"),"")</f>
        <v/>
      </c>
      <c r="Q491" s="35" t="str">
        <f>IF(N486&lt;&gt;"",IF(INDEX(BDHK2,MATCH(N486,DiemHKII!$B$4:$B$58,0),INDEX($Y$7:$AB$20,MATCH(O491,$Y$7:$Y$20,0),$AA$6))&lt;&gt;"",INDEX(BDHK2,MATCH(N486,DiemHKII!$B$4:$B$58,0),INDEX($Y$7:$AB$20,MATCH(O491,$Y$7:$Y$20,0),$AA$6)),"/"),"")</f>
        <v/>
      </c>
      <c r="R491" s="35" t="str">
        <f>IF(N486&lt;&gt;"",IF(INDEX(BDHK2,MATCH(N486,DiemHKII!$B$4:$B$58,0),INDEX($Y$7:$AB$20,MATCH(O491,$Y$7:$Y$20,0),$AB$6))&lt;&gt;"",INDEX(BDHK2,MATCH(N486,DiemHKII!$B$4:$B$58,0),INDEX($Y$7:$AB$20,MATCH(O491,$Y$7:$Y$20,0),$AB$6)),"/"),"")</f>
        <v/>
      </c>
      <c r="S491" s="88"/>
    </row>
    <row r="492" spans="1:19" ht="15.6" customHeight="1">
      <c r="A492" s="88"/>
      <c r="B492" s="79" t="s">
        <v>194</v>
      </c>
      <c r="C492" s="81" t="s">
        <v>29</v>
      </c>
      <c r="D492" s="35" t="str">
        <f>IF(B486&lt;&gt;"",IF(INDEX(BDHK2,MATCH(B486,DiemHKII!$B$4:$B$58,0),INDEX($Y$7:$AB$20,MATCH(C492,$Y$7:$Y$20,0),$Z$6))&lt;&gt;"",INDEX(BDHK2,MATCH(B486,DiemHKII!$B$4:$B$58,0),INDEX($Y$7:$AB$20,MATCH(C492,$Y$7:$Y$20,0),$Z$6)),"/"),"")</f>
        <v/>
      </c>
      <c r="E492" s="35" t="str">
        <f>IF(B486&lt;&gt;"",IF(INDEX(BDHK2,MATCH(B486,DiemHKII!$B$4:$B$58,0),INDEX($Y$7:$AB$20,MATCH(C492,$Y$7:$Y$20,0),$AA$6))&lt;&gt;"",INDEX(BDHK2,MATCH(B486,DiemHKII!$B$4:$B$58,0),INDEX($Y$7:$AB$20,MATCH(C492,$Y$7:$Y$20,0),$AA$6)),"/"),"")</f>
        <v/>
      </c>
      <c r="F492" s="35" t="str">
        <f>IF(B486&lt;&gt;"",IF(INDEX(BDHK2,MATCH(B486,DiemHKII!$B$4:$B$58,0),INDEX($Y$7:$AB$20,MATCH(C492,$Y$7:$Y$20,0),$AB$6))&lt;&gt;"",INDEX(BDHK2,MATCH(B486,DiemHKII!$B$4:$B$58,0),INDEX($Y$7:$AB$20,MATCH(C492,$Y$7:$Y$20,0),$AB$6)),"/"),"")</f>
        <v/>
      </c>
      <c r="G492" s="88"/>
      <c r="H492" s="79" t="s">
        <v>194</v>
      </c>
      <c r="I492" s="81" t="s">
        <v>29</v>
      </c>
      <c r="J492" s="35" t="str">
        <f>IF(H486&lt;&gt;"",IF(INDEX(BDHK2,MATCH(H486,DiemHKII!$B$4:$B$58,0),INDEX($Y$7:$AB$20,MATCH(I492,$Y$7:$Y$20,0),$Z$6))&lt;&gt;"",INDEX(BDHK2,MATCH(H486,DiemHKII!$B$4:$B$58,0),INDEX($Y$7:$AB$20,MATCH(I492,$Y$7:$Y$20,0),$Z$6)),"/"),"")</f>
        <v/>
      </c>
      <c r="K492" s="35" t="str">
        <f>IF(H486&lt;&gt;"",IF(INDEX(BDHK2,MATCH(H486,DiemHKII!$B$4:$B$58,0),INDEX($Y$7:$AB$20,MATCH(I492,$Y$7:$Y$20,0),$AA$6))&lt;&gt;"",INDEX(BDHK2,MATCH(H486,DiemHKII!$B$4:$B$58,0),INDEX($Y$7:$AB$20,MATCH(I492,$Y$7:$Y$20,0),$AA$6)),"/"),"")</f>
        <v/>
      </c>
      <c r="L492" s="35" t="str">
        <f>IF(H486&lt;&gt;"",IF(INDEX(BDHK2,MATCH(H486,DiemHKII!$B$4:$B$58,0),INDEX($Y$7:$AB$20,MATCH(I492,$Y$7:$Y$20,0),$AB$6))&lt;&gt;"",INDEX(BDHK2,MATCH(H486,DiemHKII!$B$4:$B$58,0),INDEX($Y$7:$AB$20,MATCH(I492,$Y$7:$Y$20,0),$AB$6)),"/"),"")</f>
        <v/>
      </c>
      <c r="M492" s="88"/>
      <c r="N492" s="79" t="s">
        <v>194</v>
      </c>
      <c r="O492" s="81" t="s">
        <v>29</v>
      </c>
      <c r="P492" s="35" t="str">
        <f>IF(N486&lt;&gt;"",IF(INDEX(BDHK2,MATCH(N486,DiemHKII!$B$4:$B$58,0),INDEX($Y$7:$AB$20,MATCH(O492,$Y$7:$Y$20,0),$Z$6))&lt;&gt;"",INDEX(BDHK2,MATCH(N486,DiemHKII!$B$4:$B$58,0),INDEX($Y$7:$AB$20,MATCH(O492,$Y$7:$Y$20,0),$Z$6)),"/"),"")</f>
        <v/>
      </c>
      <c r="Q492" s="35" t="str">
        <f>IF(N486&lt;&gt;"",IF(INDEX(BDHK2,MATCH(N486,DiemHKII!$B$4:$B$58,0),INDEX($Y$7:$AB$20,MATCH(O492,$Y$7:$Y$20,0),$AA$6))&lt;&gt;"",INDEX(BDHK2,MATCH(N486,DiemHKII!$B$4:$B$58,0),INDEX($Y$7:$AB$20,MATCH(O492,$Y$7:$Y$20,0),$AA$6)),"/"),"")</f>
        <v/>
      </c>
      <c r="R492" s="35" t="str">
        <f>IF(N486&lt;&gt;"",IF(INDEX(BDHK2,MATCH(N486,DiemHKII!$B$4:$B$58,0),INDEX($Y$7:$AB$20,MATCH(O492,$Y$7:$Y$20,0),$AB$6))&lt;&gt;"",INDEX(BDHK2,MATCH(N486,DiemHKII!$B$4:$B$58,0),INDEX($Y$7:$AB$20,MATCH(O492,$Y$7:$Y$20,0),$AB$6)),"/"),"")</f>
        <v/>
      </c>
      <c r="S492" s="88"/>
    </row>
    <row r="493" spans="1:19" ht="15.6" customHeight="1">
      <c r="A493" s="88"/>
      <c r="B493" s="79" t="s">
        <v>195</v>
      </c>
      <c r="C493" s="81" t="s">
        <v>120</v>
      </c>
      <c r="D493" s="35" t="str">
        <f>IF(B486&lt;&gt;"",IF(INDEX(BDHK2,MATCH(B486,DiemHKII!$B$4:$B$58,0),INDEX($Y$7:$AB$20,MATCH(C493,$Y$7:$Y$20,0),$Z$6))&lt;&gt;"",INDEX(BDHK2,MATCH(B486,DiemHKII!$B$4:$B$58,0),INDEX($Y$7:$AB$20,MATCH(C493,$Y$7:$Y$20,0),$Z$6)),"/"),"")</f>
        <v/>
      </c>
      <c r="E493" s="35" t="str">
        <f>IF(B486&lt;&gt;"",IF(INDEX(BDHK2,MATCH(B486,DiemHKII!$B$4:$B$58,0),INDEX($Y$7:$AB$20,MATCH(C493,$Y$7:$Y$20,0),$AA$6))&lt;&gt;"",INDEX(BDHK2,MATCH(B486,DiemHKII!$B$4:$B$58,0),INDEX($Y$7:$AB$20,MATCH(C493,$Y$7:$Y$20,0),$AA$6)),"/"),"")</f>
        <v/>
      </c>
      <c r="F493" s="35" t="str">
        <f>IF(B486&lt;&gt;"",IF(INDEX(BDHK2,MATCH(B486,DiemHKII!$B$4:$B$58,0),INDEX($Y$7:$AB$20,MATCH(C493,$Y$7:$Y$20,0),$AB$6))&lt;&gt;"",INDEX(BDHK2,MATCH(B486,DiemHKII!$B$4:$B$58,0),INDEX($Y$7:$AB$20,MATCH(C493,$Y$7:$Y$20,0),$AB$6)),"/"),"")</f>
        <v/>
      </c>
      <c r="G493" s="88"/>
      <c r="H493" s="79" t="s">
        <v>195</v>
      </c>
      <c r="I493" s="81" t="s">
        <v>120</v>
      </c>
      <c r="J493" s="35" t="str">
        <f>IF(H486&lt;&gt;"",IF(INDEX(BDHK2,MATCH(H486,DiemHKII!$B$4:$B$58,0),INDEX($Y$7:$AB$20,MATCH(I493,$Y$7:$Y$20,0),$Z$6))&lt;&gt;"",INDEX(BDHK2,MATCH(H486,DiemHKII!$B$4:$B$58,0),INDEX($Y$7:$AB$20,MATCH(I493,$Y$7:$Y$20,0),$Z$6)),"/"),"")</f>
        <v/>
      </c>
      <c r="K493" s="35" t="str">
        <f>IF(H486&lt;&gt;"",IF(INDEX(BDHK2,MATCH(H486,DiemHKII!$B$4:$B$58,0),INDEX($Y$7:$AB$20,MATCH(I493,$Y$7:$Y$20,0),$AA$6))&lt;&gt;"",INDEX(BDHK2,MATCH(H486,DiemHKII!$B$4:$B$58,0),INDEX($Y$7:$AB$20,MATCH(I493,$Y$7:$Y$20,0),$AA$6)),"/"),"")</f>
        <v/>
      </c>
      <c r="L493" s="35" t="str">
        <f>IF(H486&lt;&gt;"",IF(INDEX(BDHK2,MATCH(H486,DiemHKII!$B$4:$B$58,0),INDEX($Y$7:$AB$20,MATCH(I493,$Y$7:$Y$20,0),$AB$6))&lt;&gt;"",INDEX(BDHK2,MATCH(H486,DiemHKII!$B$4:$B$58,0),INDEX($Y$7:$AB$20,MATCH(I493,$Y$7:$Y$20,0),$AB$6)),"/"),"")</f>
        <v/>
      </c>
      <c r="M493" s="88"/>
      <c r="N493" s="79" t="s">
        <v>195</v>
      </c>
      <c r="O493" s="81" t="s">
        <v>120</v>
      </c>
      <c r="P493" s="35" t="str">
        <f>IF(N486&lt;&gt;"",IF(INDEX(BDHK2,MATCH(N486,DiemHKII!$B$4:$B$58,0),INDEX($Y$7:$AB$20,MATCH(O493,$Y$7:$Y$20,0),$Z$6))&lt;&gt;"",INDEX(BDHK2,MATCH(N486,DiemHKII!$B$4:$B$58,0),INDEX($Y$7:$AB$20,MATCH(O493,$Y$7:$Y$20,0),$Z$6)),"/"),"")</f>
        <v/>
      </c>
      <c r="Q493" s="35" t="str">
        <f>IF(N486&lt;&gt;"",IF(INDEX(BDHK2,MATCH(N486,DiemHKII!$B$4:$B$58,0),INDEX($Y$7:$AB$20,MATCH(O493,$Y$7:$Y$20,0),$AA$6))&lt;&gt;"",INDEX(BDHK2,MATCH(N486,DiemHKII!$B$4:$B$58,0),INDEX($Y$7:$AB$20,MATCH(O493,$Y$7:$Y$20,0),$AA$6)),"/"),"")</f>
        <v/>
      </c>
      <c r="R493" s="35" t="str">
        <f>IF(N486&lt;&gt;"",IF(INDEX(BDHK2,MATCH(N486,DiemHKII!$B$4:$B$58,0),INDEX($Y$7:$AB$20,MATCH(O493,$Y$7:$Y$20,0),$AB$6))&lt;&gt;"",INDEX(BDHK2,MATCH(N486,DiemHKII!$B$4:$B$58,0),INDEX($Y$7:$AB$20,MATCH(O493,$Y$7:$Y$20,0),$AB$6)),"/"),"")</f>
        <v/>
      </c>
      <c r="S493" s="88"/>
    </row>
    <row r="494" spans="1:19" ht="15.6" customHeight="1">
      <c r="A494" s="88"/>
      <c r="B494" s="79" t="s">
        <v>196</v>
      </c>
      <c r="C494" s="81" t="s">
        <v>30</v>
      </c>
      <c r="D494" s="35" t="str">
        <f>IF(B486&lt;&gt;"",IF(INDEX(BDHK2,MATCH(B486,DiemHKII!$B$4:$B$58,0),INDEX($Y$7:$AB$20,MATCH(C494,$Y$7:$Y$20,0),$Z$6))&lt;&gt;"",INDEX(BDHK2,MATCH(B486,DiemHKII!$B$4:$B$58,0),INDEX($Y$7:$AB$20,MATCH(C494,$Y$7:$Y$20,0),$Z$6)),"/"),"")</f>
        <v/>
      </c>
      <c r="E494" s="35" t="str">
        <f>IF(B486&lt;&gt;"",IF(INDEX(BDHK2,MATCH(B486,DiemHKII!$B$4:$B$58,0),INDEX($Y$7:$AB$20,MATCH(C494,$Y$7:$Y$20,0),$AA$6))&lt;&gt;"",INDEX(BDHK2,MATCH(B486,DiemHKII!$B$4:$B$58,0),INDEX($Y$7:$AB$20,MATCH(C494,$Y$7:$Y$20,0),$AA$6)),"/"),"")</f>
        <v/>
      </c>
      <c r="F494" s="35" t="str">
        <f>IF(B486&lt;&gt;"",IF(INDEX(BDHK2,MATCH(B486,DiemHKII!$B$4:$B$58,0),INDEX($Y$7:$AB$20,MATCH(C494,$Y$7:$Y$20,0),$AB$6))&lt;&gt;"",INDEX(BDHK2,MATCH(B486,DiemHKII!$B$4:$B$58,0),INDEX($Y$7:$AB$20,MATCH(C494,$Y$7:$Y$20,0),$AB$6)),"/"),"")</f>
        <v/>
      </c>
      <c r="G494" s="88"/>
      <c r="H494" s="79" t="s">
        <v>196</v>
      </c>
      <c r="I494" s="81" t="s">
        <v>30</v>
      </c>
      <c r="J494" s="35" t="str">
        <f>IF(H486&lt;&gt;"",IF(INDEX(BDHK2,MATCH(H486,DiemHKII!$B$4:$B$58,0),INDEX($Y$7:$AB$20,MATCH(I494,$Y$7:$Y$20,0),$Z$6))&lt;&gt;"",INDEX(BDHK2,MATCH(H486,DiemHKII!$B$4:$B$58,0),INDEX($Y$7:$AB$20,MATCH(I494,$Y$7:$Y$20,0),$Z$6)),"/"),"")</f>
        <v/>
      </c>
      <c r="K494" s="35" t="str">
        <f>IF(H486&lt;&gt;"",IF(INDEX(BDHK2,MATCH(H486,DiemHKII!$B$4:$B$58,0),INDEX($Y$7:$AB$20,MATCH(I494,$Y$7:$Y$20,0),$AA$6))&lt;&gt;"",INDEX(BDHK2,MATCH(H486,DiemHKII!$B$4:$B$58,0),INDEX($Y$7:$AB$20,MATCH(I494,$Y$7:$Y$20,0),$AA$6)),"/"),"")</f>
        <v/>
      </c>
      <c r="L494" s="35" t="str">
        <f>IF(H486&lt;&gt;"",IF(INDEX(BDHK2,MATCH(H486,DiemHKII!$B$4:$B$58,0),INDEX($Y$7:$AB$20,MATCH(I494,$Y$7:$Y$20,0),$AB$6))&lt;&gt;"",INDEX(BDHK2,MATCH(H486,DiemHKII!$B$4:$B$58,0),INDEX($Y$7:$AB$20,MATCH(I494,$Y$7:$Y$20,0),$AB$6)),"/"),"")</f>
        <v/>
      </c>
      <c r="M494" s="88"/>
      <c r="N494" s="79" t="s">
        <v>196</v>
      </c>
      <c r="O494" s="81" t="s">
        <v>30</v>
      </c>
      <c r="P494" s="35" t="str">
        <f>IF(N486&lt;&gt;"",IF(INDEX(BDHK2,MATCH(N486,DiemHKII!$B$4:$B$58,0),INDEX($Y$7:$AB$20,MATCH(O494,$Y$7:$Y$20,0),$Z$6))&lt;&gt;"",INDEX(BDHK2,MATCH(N486,DiemHKII!$B$4:$B$58,0),INDEX($Y$7:$AB$20,MATCH(O494,$Y$7:$Y$20,0),$Z$6)),"/"),"")</f>
        <v/>
      </c>
      <c r="Q494" s="35" t="str">
        <f>IF(N486&lt;&gt;"",IF(INDEX(BDHK2,MATCH(N486,DiemHKII!$B$4:$B$58,0),INDEX($Y$7:$AB$20,MATCH(O494,$Y$7:$Y$20,0),$AA$6))&lt;&gt;"",INDEX(BDHK2,MATCH(N486,DiemHKII!$B$4:$B$58,0),INDEX($Y$7:$AB$20,MATCH(O494,$Y$7:$Y$20,0),$AA$6)),"/"),"")</f>
        <v/>
      </c>
      <c r="R494" s="35" t="str">
        <f>IF(N486&lt;&gt;"",IF(INDEX(BDHK2,MATCH(N486,DiemHKII!$B$4:$B$58,0),INDEX($Y$7:$AB$20,MATCH(O494,$Y$7:$Y$20,0),$AB$6))&lt;&gt;"",INDEX(BDHK2,MATCH(N486,DiemHKII!$B$4:$B$58,0),INDEX($Y$7:$AB$20,MATCH(O494,$Y$7:$Y$20,0),$AB$6)),"/"),"")</f>
        <v/>
      </c>
      <c r="S494" s="88"/>
    </row>
    <row r="495" spans="1:19" ht="15.6" customHeight="1">
      <c r="A495" s="88"/>
      <c r="B495" s="79" t="s">
        <v>197</v>
      </c>
      <c r="C495" s="81" t="s">
        <v>31</v>
      </c>
      <c r="D495" s="35" t="str">
        <f>IF(B486&lt;&gt;"",IF(INDEX(BDHK2,MATCH(B486,DiemHKII!$B$4:$B$58,0),INDEX($Y$7:$AB$20,MATCH(C495,$Y$7:$Y$20,0),$Z$6))&lt;&gt;"",INDEX(BDHK2,MATCH(B486,DiemHKII!$B$4:$B$58,0),INDEX($Y$7:$AB$20,MATCH(C495,$Y$7:$Y$20,0),$Z$6)),"/"),"")</f>
        <v/>
      </c>
      <c r="E495" s="35" t="str">
        <f>IF(B486&lt;&gt;"",IF(INDEX(BDHK2,MATCH(B486,DiemHKII!$B$4:$B$58,0),INDEX($Y$7:$AB$20,MATCH(C495,$Y$7:$Y$20,0),$AA$6))&lt;&gt;"",INDEX(BDHK2,MATCH(B486,DiemHKII!$B$4:$B$58,0),INDEX($Y$7:$AB$20,MATCH(C495,$Y$7:$Y$20,0),$AA$6)),"/"),"")</f>
        <v/>
      </c>
      <c r="F495" s="35" t="str">
        <f>IF(B486&lt;&gt;"",IF(INDEX(BDHK2,MATCH(B486,DiemHKII!$B$4:$B$58,0),INDEX($Y$7:$AB$20,MATCH(C495,$Y$7:$Y$20,0),$AB$6))&lt;&gt;"",INDEX(BDHK2,MATCH(B486,DiemHKII!$B$4:$B$58,0),INDEX($Y$7:$AB$20,MATCH(C495,$Y$7:$Y$20,0),$AB$6)),"/"),"")</f>
        <v/>
      </c>
      <c r="G495" s="88"/>
      <c r="H495" s="79" t="s">
        <v>197</v>
      </c>
      <c r="I495" s="81" t="s">
        <v>31</v>
      </c>
      <c r="J495" s="35" t="str">
        <f>IF(H486&lt;&gt;"",IF(INDEX(BDHK2,MATCH(H486,DiemHKII!$B$4:$B$58,0),INDEX($Y$7:$AB$20,MATCH(I495,$Y$7:$Y$20,0),$Z$6))&lt;&gt;"",INDEX(BDHK2,MATCH(H486,DiemHKII!$B$4:$B$58,0),INDEX($Y$7:$AB$20,MATCH(I495,$Y$7:$Y$20,0),$Z$6)),"/"),"")</f>
        <v/>
      </c>
      <c r="K495" s="35" t="str">
        <f>IF(H486&lt;&gt;"",IF(INDEX(BDHK2,MATCH(H486,DiemHKII!$B$4:$B$58,0),INDEX($Y$7:$AB$20,MATCH(I495,$Y$7:$Y$20,0),$AA$6))&lt;&gt;"",INDEX(BDHK2,MATCH(H486,DiemHKII!$B$4:$B$58,0),INDEX($Y$7:$AB$20,MATCH(I495,$Y$7:$Y$20,0),$AA$6)),"/"),"")</f>
        <v/>
      </c>
      <c r="L495" s="35" t="str">
        <f>IF(H486&lt;&gt;"",IF(INDEX(BDHK2,MATCH(H486,DiemHKII!$B$4:$B$58,0),INDEX($Y$7:$AB$20,MATCH(I495,$Y$7:$Y$20,0),$AB$6))&lt;&gt;"",INDEX(BDHK2,MATCH(H486,DiemHKII!$B$4:$B$58,0),INDEX($Y$7:$AB$20,MATCH(I495,$Y$7:$Y$20,0),$AB$6)),"/"),"")</f>
        <v/>
      </c>
      <c r="M495" s="88"/>
      <c r="N495" s="79" t="s">
        <v>197</v>
      </c>
      <c r="O495" s="81" t="s">
        <v>31</v>
      </c>
      <c r="P495" s="35" t="str">
        <f>IF(N486&lt;&gt;"",IF(INDEX(BDHK2,MATCH(N486,DiemHKII!$B$4:$B$58,0),INDEX($Y$7:$AB$20,MATCH(O495,$Y$7:$Y$20,0),$Z$6))&lt;&gt;"",INDEX(BDHK2,MATCH(N486,DiemHKII!$B$4:$B$58,0),INDEX($Y$7:$AB$20,MATCH(O495,$Y$7:$Y$20,0),$Z$6)),"/"),"")</f>
        <v/>
      </c>
      <c r="Q495" s="35" t="str">
        <f>IF(N486&lt;&gt;"",IF(INDEX(BDHK2,MATCH(N486,DiemHKII!$B$4:$B$58,0),INDEX($Y$7:$AB$20,MATCH(O495,$Y$7:$Y$20,0),$AA$6))&lt;&gt;"",INDEX(BDHK2,MATCH(N486,DiemHKII!$B$4:$B$58,0),INDEX($Y$7:$AB$20,MATCH(O495,$Y$7:$Y$20,0),$AA$6)),"/"),"")</f>
        <v/>
      </c>
      <c r="R495" s="35" t="str">
        <f>IF(N486&lt;&gt;"",IF(INDEX(BDHK2,MATCH(N486,DiemHKII!$B$4:$B$58,0),INDEX($Y$7:$AB$20,MATCH(O495,$Y$7:$Y$20,0),$AB$6))&lt;&gt;"",INDEX(BDHK2,MATCH(N486,DiemHKII!$B$4:$B$58,0),INDEX($Y$7:$AB$20,MATCH(O495,$Y$7:$Y$20,0),$AB$6)),"/"),"")</f>
        <v/>
      </c>
      <c r="S495" s="88"/>
    </row>
    <row r="496" spans="1:19" ht="15.6" customHeight="1">
      <c r="A496" s="88"/>
      <c r="B496" s="79" t="s">
        <v>198</v>
      </c>
      <c r="C496" s="81" t="s">
        <v>32</v>
      </c>
      <c r="D496" s="35" t="str">
        <f>IF(B486&lt;&gt;"",IF(INDEX(BDHK2,MATCH(B486,DiemHKII!$B$4:$B$58,0),INDEX($Y$7:$AB$20,MATCH(C496,$Y$7:$Y$20,0),$Z$6))&lt;&gt;"",INDEX(BDHK2,MATCH(B486,DiemHKII!$B$4:$B$58,0),INDEX($Y$7:$AB$20,MATCH(C496,$Y$7:$Y$20,0),$Z$6)),"/"),"")</f>
        <v/>
      </c>
      <c r="E496" s="35" t="str">
        <f>IF(B486&lt;&gt;"",IF(INDEX(BDHK2,MATCH(B486,DiemHKII!$B$4:$B$58,0),INDEX($Y$7:$AB$20,MATCH(C496,$Y$7:$Y$20,0),$AA$6))&lt;&gt;"",INDEX(BDHK2,MATCH(B486,DiemHKII!$B$4:$B$58,0),INDEX($Y$7:$AB$20,MATCH(C496,$Y$7:$Y$20,0),$AA$6)),"/"),"")</f>
        <v/>
      </c>
      <c r="F496" s="35" t="str">
        <f>IF(B486&lt;&gt;"",IF(INDEX(BDHK2,MATCH(B486,DiemHKII!$B$4:$B$58,0),INDEX($Y$7:$AB$20,MATCH(C496,$Y$7:$Y$20,0),$AB$6))&lt;&gt;"",INDEX(BDHK2,MATCH(B486,DiemHKII!$B$4:$B$58,0),INDEX($Y$7:$AB$20,MATCH(C496,$Y$7:$Y$20,0),$AB$6)),"/"),"")</f>
        <v/>
      </c>
      <c r="G496" s="88"/>
      <c r="H496" s="79" t="s">
        <v>198</v>
      </c>
      <c r="I496" s="81" t="s">
        <v>32</v>
      </c>
      <c r="J496" s="35" t="str">
        <f>IF(H486&lt;&gt;"",IF(INDEX(BDHK2,MATCH(H486,DiemHKII!$B$4:$B$58,0),INDEX($Y$7:$AB$20,MATCH(I496,$Y$7:$Y$20,0),$Z$6))&lt;&gt;"",INDEX(BDHK2,MATCH(H486,DiemHKII!$B$4:$B$58,0),INDEX($Y$7:$AB$20,MATCH(I496,$Y$7:$Y$20,0),$Z$6)),"/"),"")</f>
        <v/>
      </c>
      <c r="K496" s="35" t="str">
        <f>IF(H486&lt;&gt;"",IF(INDEX(BDHK2,MATCH(H486,DiemHKII!$B$4:$B$58,0),INDEX($Y$7:$AB$20,MATCH(I496,$Y$7:$Y$20,0),$AA$6))&lt;&gt;"",INDEX(BDHK2,MATCH(H486,DiemHKII!$B$4:$B$58,0),INDEX($Y$7:$AB$20,MATCH(I496,$Y$7:$Y$20,0),$AA$6)),"/"),"")</f>
        <v/>
      </c>
      <c r="L496" s="35" t="str">
        <f>IF(H486&lt;&gt;"",IF(INDEX(BDHK2,MATCH(H486,DiemHKII!$B$4:$B$58,0),INDEX($Y$7:$AB$20,MATCH(I496,$Y$7:$Y$20,0),$AB$6))&lt;&gt;"",INDEX(BDHK2,MATCH(H486,DiemHKII!$B$4:$B$58,0),INDEX($Y$7:$AB$20,MATCH(I496,$Y$7:$Y$20,0),$AB$6)),"/"),"")</f>
        <v/>
      </c>
      <c r="M496" s="88"/>
      <c r="N496" s="79" t="s">
        <v>198</v>
      </c>
      <c r="O496" s="81" t="s">
        <v>32</v>
      </c>
      <c r="P496" s="35" t="str">
        <f>IF(N486&lt;&gt;"",IF(INDEX(BDHK2,MATCH(N486,DiemHKII!$B$4:$B$58,0),INDEX($Y$7:$AB$20,MATCH(O496,$Y$7:$Y$20,0),$Z$6))&lt;&gt;"",INDEX(BDHK2,MATCH(N486,DiemHKII!$B$4:$B$58,0),INDEX($Y$7:$AB$20,MATCH(O496,$Y$7:$Y$20,0),$Z$6)),"/"),"")</f>
        <v/>
      </c>
      <c r="Q496" s="35" t="str">
        <f>IF(N486&lt;&gt;"",IF(INDEX(BDHK2,MATCH(N486,DiemHKII!$B$4:$B$58,0),INDEX($Y$7:$AB$20,MATCH(O496,$Y$7:$Y$20,0),$AA$6))&lt;&gt;"",INDEX(BDHK2,MATCH(N486,DiemHKII!$B$4:$B$58,0),INDEX($Y$7:$AB$20,MATCH(O496,$Y$7:$Y$20,0),$AA$6)),"/"),"")</f>
        <v/>
      </c>
      <c r="R496" s="35" t="str">
        <f>IF(N486&lt;&gt;"",IF(INDEX(BDHK2,MATCH(N486,DiemHKII!$B$4:$B$58,0),INDEX($Y$7:$AB$20,MATCH(O496,$Y$7:$Y$20,0),$AB$6))&lt;&gt;"",INDEX(BDHK2,MATCH(N486,DiemHKII!$B$4:$B$58,0),INDEX($Y$7:$AB$20,MATCH(O496,$Y$7:$Y$20,0),$AB$6)),"/"),"")</f>
        <v/>
      </c>
      <c r="S496" s="88"/>
    </row>
    <row r="497" spans="1:19" ht="15.6" customHeight="1">
      <c r="A497" s="88"/>
      <c r="B497" s="79" t="s">
        <v>199</v>
      </c>
      <c r="C497" s="81" t="s">
        <v>33</v>
      </c>
      <c r="D497" s="35" t="str">
        <f>IF(B486&lt;&gt;"",IF(INDEX(BDHK2,MATCH(B486,DiemHKII!$B$4:$B$58,0),INDEX($Y$7:$AB$20,MATCH(C497,$Y$7:$Y$20,0),$Z$6))&lt;&gt;"",INDEX(BDHK2,MATCH(B486,DiemHKII!$B$4:$B$58,0),INDEX($Y$7:$AB$20,MATCH(C497,$Y$7:$Y$20,0),$Z$6)),"/"),"")</f>
        <v/>
      </c>
      <c r="E497" s="35" t="str">
        <f>IF(B486&lt;&gt;"",IF(INDEX(BDHK2,MATCH(B486,DiemHKII!$B$4:$B$58,0),INDEX($Y$7:$AB$20,MATCH(C497,$Y$7:$Y$20,0),$AA$6))&lt;&gt;"",INDEX(BDHK2,MATCH(B486,DiemHKII!$B$4:$B$58,0),INDEX($Y$7:$AB$20,MATCH(C497,$Y$7:$Y$20,0),$AA$6)),"/"),"")</f>
        <v/>
      </c>
      <c r="F497" s="35" t="str">
        <f>IF(B486&lt;&gt;"",IF(INDEX(BDHK2,MATCH(B486,DiemHKII!$B$4:$B$58,0),INDEX($Y$7:$AB$20,MATCH(C497,$Y$7:$Y$20,0),$AB$6))&lt;&gt;"",INDEX(BDHK2,MATCH(B486,DiemHKII!$B$4:$B$58,0),INDEX($Y$7:$AB$20,MATCH(C497,$Y$7:$Y$20,0),$AB$6)),"/"),"")</f>
        <v/>
      </c>
      <c r="G497" s="88"/>
      <c r="H497" s="79" t="s">
        <v>199</v>
      </c>
      <c r="I497" s="81" t="s">
        <v>33</v>
      </c>
      <c r="J497" s="35" t="str">
        <f>IF(H486&lt;&gt;"",IF(INDEX(BDHK2,MATCH(H486,DiemHKII!$B$4:$B$58,0),INDEX($Y$7:$AB$20,MATCH(I497,$Y$7:$Y$20,0),$Z$6))&lt;&gt;"",INDEX(BDHK2,MATCH(H486,DiemHKII!$B$4:$B$58,0),INDEX($Y$7:$AB$20,MATCH(I497,$Y$7:$Y$20,0),$Z$6)),"/"),"")</f>
        <v/>
      </c>
      <c r="K497" s="35" t="str">
        <f>IF(H486&lt;&gt;"",IF(INDEX(BDHK2,MATCH(H486,DiemHKII!$B$4:$B$58,0),INDEX($Y$7:$AB$20,MATCH(I497,$Y$7:$Y$20,0),$AA$6))&lt;&gt;"",INDEX(BDHK2,MATCH(H486,DiemHKII!$B$4:$B$58,0),INDEX($Y$7:$AB$20,MATCH(I497,$Y$7:$Y$20,0),$AA$6)),"/"),"")</f>
        <v/>
      </c>
      <c r="L497" s="35" t="str">
        <f>IF(H486&lt;&gt;"",IF(INDEX(BDHK2,MATCH(H486,DiemHKII!$B$4:$B$58,0),INDEX($Y$7:$AB$20,MATCH(I497,$Y$7:$Y$20,0),$AB$6))&lt;&gt;"",INDEX(BDHK2,MATCH(H486,DiemHKII!$B$4:$B$58,0),INDEX($Y$7:$AB$20,MATCH(I497,$Y$7:$Y$20,0),$AB$6)),"/"),"")</f>
        <v/>
      </c>
      <c r="M497" s="88"/>
      <c r="N497" s="79" t="s">
        <v>199</v>
      </c>
      <c r="O497" s="81" t="s">
        <v>33</v>
      </c>
      <c r="P497" s="35" t="str">
        <f>IF(N486&lt;&gt;"",IF(INDEX(BDHK2,MATCH(N486,DiemHKII!$B$4:$B$58,0),INDEX($Y$7:$AB$20,MATCH(O497,$Y$7:$Y$20,0),$Z$6))&lt;&gt;"",INDEX(BDHK2,MATCH(N486,DiemHKII!$B$4:$B$58,0),INDEX($Y$7:$AB$20,MATCH(O497,$Y$7:$Y$20,0),$Z$6)),"/"),"")</f>
        <v/>
      </c>
      <c r="Q497" s="35" t="str">
        <f>IF(N486&lt;&gt;"",IF(INDEX(BDHK2,MATCH(N486,DiemHKII!$B$4:$B$58,0),INDEX($Y$7:$AB$20,MATCH(O497,$Y$7:$Y$20,0),$AA$6))&lt;&gt;"",INDEX(BDHK2,MATCH(N486,DiemHKII!$B$4:$B$58,0),INDEX($Y$7:$AB$20,MATCH(O497,$Y$7:$Y$20,0),$AA$6)),"/"),"")</f>
        <v/>
      </c>
      <c r="R497" s="35" t="str">
        <f>IF(N486&lt;&gt;"",IF(INDEX(BDHK2,MATCH(N486,DiemHKII!$B$4:$B$58,0),INDEX($Y$7:$AB$20,MATCH(O497,$Y$7:$Y$20,0),$AB$6))&lt;&gt;"",INDEX(BDHK2,MATCH(N486,DiemHKII!$B$4:$B$58,0),INDEX($Y$7:$AB$20,MATCH(O497,$Y$7:$Y$20,0),$AB$6)),"/"),"")</f>
        <v/>
      </c>
      <c r="S497" s="88"/>
    </row>
    <row r="498" spans="1:19" ht="15.6" customHeight="1">
      <c r="A498" s="88"/>
      <c r="B498" s="79" t="s">
        <v>200</v>
      </c>
      <c r="C498" s="81" t="s">
        <v>60</v>
      </c>
      <c r="D498" s="35" t="str">
        <f>IF(B486&lt;&gt;"",IF(INDEX(BDHK2,MATCH(B486,DiemHKII!$B$4:$B$58,0),INDEX($Y$7:$AB$20,MATCH(C498,$Y$7:$Y$20,0),$Z$6))&lt;&gt;"",INDEX(BDHK2,MATCH(B486,DiemHKII!$B$4:$B$58,0),INDEX($Y$7:$AB$20,MATCH(C498,$Y$7:$Y$20,0),$Z$6)),"/"),"")</f>
        <v/>
      </c>
      <c r="E498" s="35" t="str">
        <f>IF(B486&lt;&gt;"",IF(INDEX(BDHK2,MATCH(B486,DiemHKII!$B$4:$B$58,0),INDEX($Y$7:$AB$20,MATCH(C498,$Y$7:$Y$20,0),$AA$6))&lt;&gt;"",INDEX(BDHK2,MATCH(B486,DiemHKII!$B$4:$B$58,0),INDEX($Y$7:$AB$20,MATCH(C498,$Y$7:$Y$20,0),$AA$6)),"/"),"")</f>
        <v/>
      </c>
      <c r="F498" s="35" t="str">
        <f>IF(B486&lt;&gt;"",IF(INDEX(BDHK2,MATCH(B486,DiemHKII!$B$4:$B$58,0),INDEX($Y$7:$AB$20,MATCH(C498,$Y$7:$Y$20,0),$AB$6))&lt;&gt;"",INDEX(BDHK2,MATCH(B486,DiemHKII!$B$4:$B$58,0),INDEX($Y$7:$AB$20,MATCH(C498,$Y$7:$Y$20,0),$AB$6)),"/"),"")</f>
        <v/>
      </c>
      <c r="G498" s="88"/>
      <c r="H498" s="79" t="s">
        <v>200</v>
      </c>
      <c r="I498" s="81" t="s">
        <v>60</v>
      </c>
      <c r="J498" s="35" t="str">
        <f>IF(H486&lt;&gt;"",IF(INDEX(BDHK2,MATCH(H486,DiemHKII!$B$4:$B$58,0),INDEX($Y$7:$AB$20,MATCH(I498,$Y$7:$Y$20,0),$Z$6))&lt;&gt;"",INDEX(BDHK2,MATCH(H486,DiemHKII!$B$4:$B$58,0),INDEX($Y$7:$AB$20,MATCH(I498,$Y$7:$Y$20,0),$Z$6)),"/"),"")</f>
        <v/>
      </c>
      <c r="K498" s="35" t="str">
        <f>IF(H486&lt;&gt;"",IF(INDEX(BDHK2,MATCH(H486,DiemHKII!$B$4:$B$58,0),INDEX($Y$7:$AB$20,MATCH(I498,$Y$7:$Y$20,0),$AA$6))&lt;&gt;"",INDEX(BDHK2,MATCH(H486,DiemHKII!$B$4:$B$58,0),INDEX($Y$7:$AB$20,MATCH(I498,$Y$7:$Y$20,0),$AA$6)),"/"),"")</f>
        <v/>
      </c>
      <c r="L498" s="35" t="str">
        <f>IF(H486&lt;&gt;"",IF(INDEX(BDHK2,MATCH(H486,DiemHKII!$B$4:$B$58,0),INDEX($Y$7:$AB$20,MATCH(I498,$Y$7:$Y$20,0),$AB$6))&lt;&gt;"",INDEX(BDHK2,MATCH(H486,DiemHKII!$B$4:$B$58,0),INDEX($Y$7:$AB$20,MATCH(I498,$Y$7:$Y$20,0),$AB$6)),"/"),"")</f>
        <v/>
      </c>
      <c r="M498" s="88"/>
      <c r="N498" s="79" t="s">
        <v>200</v>
      </c>
      <c r="O498" s="81" t="s">
        <v>60</v>
      </c>
      <c r="P498" s="35" t="str">
        <f>IF(N486&lt;&gt;"",IF(INDEX(BDHK2,MATCH(N486,DiemHKII!$B$4:$B$58,0),INDEX($Y$7:$AB$20,MATCH(O498,$Y$7:$Y$20,0),$Z$6))&lt;&gt;"",INDEX(BDHK2,MATCH(N486,DiemHKII!$B$4:$B$58,0),INDEX($Y$7:$AB$20,MATCH(O498,$Y$7:$Y$20,0),$Z$6)),"/"),"")</f>
        <v/>
      </c>
      <c r="Q498" s="35" t="str">
        <f>IF(N486&lt;&gt;"",IF(INDEX(BDHK2,MATCH(N486,DiemHKII!$B$4:$B$58,0),INDEX($Y$7:$AB$20,MATCH(O498,$Y$7:$Y$20,0),$AA$6))&lt;&gt;"",INDEX(BDHK2,MATCH(N486,DiemHKII!$B$4:$B$58,0),INDEX($Y$7:$AB$20,MATCH(O498,$Y$7:$Y$20,0),$AA$6)),"/"),"")</f>
        <v/>
      </c>
      <c r="R498" s="35" t="str">
        <f>IF(N486&lt;&gt;"",IF(INDEX(BDHK2,MATCH(N486,DiemHKII!$B$4:$B$58,0),INDEX($Y$7:$AB$20,MATCH(O498,$Y$7:$Y$20,0),$AB$6))&lt;&gt;"",INDEX(BDHK2,MATCH(N486,DiemHKII!$B$4:$B$58,0),INDEX($Y$7:$AB$20,MATCH(O498,$Y$7:$Y$20,0),$AB$6)),"/"),"")</f>
        <v/>
      </c>
      <c r="S498" s="88"/>
    </row>
    <row r="499" spans="1:19" ht="15.6" customHeight="1">
      <c r="A499" s="88"/>
      <c r="B499" s="79" t="s">
        <v>201</v>
      </c>
      <c r="C499" s="81" t="s">
        <v>34</v>
      </c>
      <c r="D499" s="35" t="str">
        <f>IF(B486&lt;&gt;"",IF(INDEX(BDHK2,MATCH(B486,DiemHKII!$B$4:$B$58,0),INDEX($Y$7:$AB$20,MATCH(C499,$Y$7:$Y$20,0),$Z$6))&lt;&gt;"",INDEX(BDHK2,MATCH(B486,DiemHKII!$B$4:$B$58,0),INDEX($Y$7:$AB$20,MATCH(C499,$Y$7:$Y$20,0),$Z$6)),"/"),"")</f>
        <v/>
      </c>
      <c r="E499" s="35" t="str">
        <f>IF(B486&lt;&gt;"",IF(INDEX(BDHK2,MATCH(B486,DiemHKII!$B$4:$B$58,0),INDEX($Y$7:$AB$20,MATCH(C499,$Y$7:$Y$20,0),$AA$6))&lt;&gt;"",INDEX(BDHK2,MATCH(B486,DiemHKII!$B$4:$B$58,0),INDEX($Y$7:$AB$20,MATCH(C499,$Y$7:$Y$20,0),$AA$6)),"/"),"")</f>
        <v/>
      </c>
      <c r="F499" s="35" t="str">
        <f>IF(B486&lt;&gt;"",IF(INDEX(BDHK2,MATCH(B486,DiemHKII!$B$4:$B$58,0),INDEX($Y$7:$AB$20,MATCH(C499,$Y$7:$Y$20,0),$AB$6))&lt;&gt;"",INDEX(BDHK2,MATCH(B486,DiemHKII!$B$4:$B$58,0),INDEX($Y$7:$AB$20,MATCH(C499,$Y$7:$Y$20,0),$AB$6)),"/"),"")</f>
        <v/>
      </c>
      <c r="G499" s="88"/>
      <c r="H499" s="79" t="s">
        <v>201</v>
      </c>
      <c r="I499" s="81" t="s">
        <v>34</v>
      </c>
      <c r="J499" s="35" t="str">
        <f>IF(H486&lt;&gt;"",IF(INDEX(BDHK2,MATCH(H486,DiemHKII!$B$4:$B$58,0),INDEX($Y$7:$AB$20,MATCH(I499,$Y$7:$Y$20,0),$Z$6))&lt;&gt;"",INDEX(BDHK2,MATCH(H486,DiemHKII!$B$4:$B$58,0),INDEX($Y$7:$AB$20,MATCH(I499,$Y$7:$Y$20,0),$Z$6)),"/"),"")</f>
        <v/>
      </c>
      <c r="K499" s="35" t="str">
        <f>IF(H486&lt;&gt;"",IF(INDEX(BDHK2,MATCH(H486,DiemHKII!$B$4:$B$58,0),INDEX($Y$7:$AB$20,MATCH(I499,$Y$7:$Y$20,0),$AA$6))&lt;&gt;"",INDEX(BDHK2,MATCH(H486,DiemHKII!$B$4:$B$58,0),INDEX($Y$7:$AB$20,MATCH(I499,$Y$7:$Y$20,0),$AA$6)),"/"),"")</f>
        <v/>
      </c>
      <c r="L499" s="35" t="str">
        <f>IF(H486&lt;&gt;"",IF(INDEX(BDHK2,MATCH(H486,DiemHKII!$B$4:$B$58,0),INDEX($Y$7:$AB$20,MATCH(I499,$Y$7:$Y$20,0),$AB$6))&lt;&gt;"",INDEX(BDHK2,MATCH(H486,DiemHKII!$B$4:$B$58,0),INDEX($Y$7:$AB$20,MATCH(I499,$Y$7:$Y$20,0),$AB$6)),"/"),"")</f>
        <v/>
      </c>
      <c r="M499" s="88"/>
      <c r="N499" s="79" t="s">
        <v>201</v>
      </c>
      <c r="O499" s="81" t="s">
        <v>34</v>
      </c>
      <c r="P499" s="35" t="str">
        <f>IF(N486&lt;&gt;"",IF(INDEX(BDHK2,MATCH(N486,DiemHKII!$B$4:$B$58,0),INDEX($Y$7:$AB$20,MATCH(O499,$Y$7:$Y$20,0),$Z$6))&lt;&gt;"",INDEX(BDHK2,MATCH(N486,DiemHKII!$B$4:$B$58,0),INDEX($Y$7:$AB$20,MATCH(O499,$Y$7:$Y$20,0),$Z$6)),"/"),"")</f>
        <v/>
      </c>
      <c r="Q499" s="35" t="str">
        <f>IF(N486&lt;&gt;"",IF(INDEX(BDHK2,MATCH(N486,DiemHKII!$B$4:$B$58,0),INDEX($Y$7:$AB$20,MATCH(O499,$Y$7:$Y$20,0),$AA$6))&lt;&gt;"",INDEX(BDHK2,MATCH(N486,DiemHKII!$B$4:$B$58,0),INDEX($Y$7:$AB$20,MATCH(O499,$Y$7:$Y$20,0),$AA$6)),"/"),"")</f>
        <v/>
      </c>
      <c r="R499" s="35" t="str">
        <f>IF(N486&lt;&gt;"",IF(INDEX(BDHK2,MATCH(N486,DiemHKII!$B$4:$B$58,0),INDEX($Y$7:$AB$20,MATCH(O499,$Y$7:$Y$20,0),$AB$6))&lt;&gt;"",INDEX(BDHK2,MATCH(N486,DiemHKII!$B$4:$B$58,0),INDEX($Y$7:$AB$20,MATCH(O499,$Y$7:$Y$20,0),$AB$6)),"/"),"")</f>
        <v/>
      </c>
      <c r="S499" s="88"/>
    </row>
    <row r="500" spans="1:19" ht="15.6" customHeight="1">
      <c r="A500" s="88"/>
      <c r="B500" s="79" t="s">
        <v>202</v>
      </c>
      <c r="C500" s="81" t="s">
        <v>35</v>
      </c>
      <c r="D500" s="35" t="str">
        <f>IF(B486&lt;&gt;"",IF(INDEX(BDHK2,MATCH(B486,DiemHKII!$B$4:$B$58,0),INDEX($Y$7:$AB$20,MATCH(C500,$Y$7:$Y$20,0),$Z$6))&lt;&gt;"",INDEX(BDHK2,MATCH(B486,DiemHKII!$B$4:$B$58,0),INDEX($Y$7:$AB$20,MATCH(C500,$Y$7:$Y$20,0),$Z$6)),"/"),"")</f>
        <v/>
      </c>
      <c r="E500" s="35" t="str">
        <f>IF(B486&lt;&gt;"",IF(INDEX(BDHK2,MATCH(B486,DiemHKII!$B$4:$B$58,0),INDEX($Y$7:$AB$20,MATCH(C500,$Y$7:$Y$20,0),$AA$6))&lt;&gt;"",INDEX(BDHK2,MATCH(B486,DiemHKII!$B$4:$B$58,0),INDEX($Y$7:$AB$20,MATCH(C500,$Y$7:$Y$20,0),$AA$6)),"/"),"")</f>
        <v/>
      </c>
      <c r="F500" s="35" t="str">
        <f>IF(B486&lt;&gt;"",IF(INDEX(BDHK2,MATCH(B486,DiemHKII!$B$4:$B$58,0),INDEX($Y$7:$AB$20,MATCH(C500,$Y$7:$Y$20,0),$AB$6))&lt;&gt;"",INDEX(BDHK2,MATCH(B486,DiemHKII!$B$4:$B$58,0),INDEX($Y$7:$AB$20,MATCH(C500,$Y$7:$Y$20,0),$AB$6)),"/"),"")</f>
        <v/>
      </c>
      <c r="G500" s="88"/>
      <c r="H500" s="79" t="s">
        <v>202</v>
      </c>
      <c r="I500" s="81" t="s">
        <v>35</v>
      </c>
      <c r="J500" s="35" t="str">
        <f>IF(H486&lt;&gt;"",IF(INDEX(BDHK2,MATCH(H486,DiemHKII!$B$4:$B$58,0),INDEX($Y$7:$AB$20,MATCH(I500,$Y$7:$Y$20,0),$Z$6))&lt;&gt;"",INDEX(BDHK2,MATCH(H486,DiemHKII!$B$4:$B$58,0),INDEX($Y$7:$AB$20,MATCH(I500,$Y$7:$Y$20,0),$Z$6)),"/"),"")</f>
        <v/>
      </c>
      <c r="K500" s="35" t="str">
        <f>IF(H486&lt;&gt;"",IF(INDEX(BDHK2,MATCH(H486,DiemHKII!$B$4:$B$58,0),INDEX($Y$7:$AB$20,MATCH(I500,$Y$7:$Y$20,0),$AA$6))&lt;&gt;"",INDEX(BDHK2,MATCH(H486,DiemHKII!$B$4:$B$58,0),INDEX($Y$7:$AB$20,MATCH(I500,$Y$7:$Y$20,0),$AA$6)),"/"),"")</f>
        <v/>
      </c>
      <c r="L500" s="35" t="str">
        <f>IF(H486&lt;&gt;"",IF(INDEX(BDHK2,MATCH(H486,DiemHKII!$B$4:$B$58,0),INDEX($Y$7:$AB$20,MATCH(I500,$Y$7:$Y$20,0),$AB$6))&lt;&gt;"",INDEX(BDHK2,MATCH(H486,DiemHKII!$B$4:$B$58,0),INDEX($Y$7:$AB$20,MATCH(I500,$Y$7:$Y$20,0),$AB$6)),"/"),"")</f>
        <v/>
      </c>
      <c r="M500" s="88"/>
      <c r="N500" s="79" t="s">
        <v>202</v>
      </c>
      <c r="O500" s="81" t="s">
        <v>35</v>
      </c>
      <c r="P500" s="35" t="str">
        <f>IF(N486&lt;&gt;"",IF(INDEX(BDHK2,MATCH(N486,DiemHKII!$B$4:$B$58,0),INDEX($Y$7:$AB$20,MATCH(O500,$Y$7:$Y$20,0),$Z$6))&lt;&gt;"",INDEX(BDHK2,MATCH(N486,DiemHKII!$B$4:$B$58,0),INDEX($Y$7:$AB$20,MATCH(O500,$Y$7:$Y$20,0),$Z$6)),"/"),"")</f>
        <v/>
      </c>
      <c r="Q500" s="35" t="str">
        <f>IF(N486&lt;&gt;"",IF(INDEX(BDHK2,MATCH(N486,DiemHKII!$B$4:$B$58,0),INDEX($Y$7:$AB$20,MATCH(O500,$Y$7:$Y$20,0),$AA$6))&lt;&gt;"",INDEX(BDHK2,MATCH(N486,DiemHKII!$B$4:$B$58,0),INDEX($Y$7:$AB$20,MATCH(O500,$Y$7:$Y$20,0),$AA$6)),"/"),"")</f>
        <v/>
      </c>
      <c r="R500" s="35" t="str">
        <f>IF(N486&lt;&gt;"",IF(INDEX(BDHK2,MATCH(N486,DiemHKII!$B$4:$B$58,0),INDEX($Y$7:$AB$20,MATCH(O500,$Y$7:$Y$20,0),$AB$6))&lt;&gt;"",INDEX(BDHK2,MATCH(N486,DiemHKII!$B$4:$B$58,0),INDEX($Y$7:$AB$20,MATCH(O500,$Y$7:$Y$20,0),$AB$6)),"/"),"")</f>
        <v/>
      </c>
      <c r="S500" s="88"/>
    </row>
    <row r="501" spans="1:19" ht="15.6" customHeight="1">
      <c r="A501" s="88"/>
      <c r="B501" s="79" t="s">
        <v>203</v>
      </c>
      <c r="C501" s="81" t="s">
        <v>121</v>
      </c>
      <c r="D501" s="35" t="str">
        <f>IF(B486&lt;&gt;"",IF(INDEX(BDHK2,MATCH(B486,DiemHKII!$B$4:$B$58,0),INDEX($Y$7:$AB$20,MATCH(C501,$Y$7:$Y$20,0),$Z$6))&lt;&gt;"",INDEX(BDHK2,MATCH(B486,DiemHKII!$B$4:$B$58,0),INDEX($Y$7:$AB$20,MATCH(C501,$Y$7:$Y$20,0),$Z$6)),"/"),"")</f>
        <v/>
      </c>
      <c r="E501" s="35" t="str">
        <f>IF(B486&lt;&gt;"",IF(INDEX(BDHK2,MATCH(B486,DiemHKII!$B$4:$B$58,0),INDEX($Y$7:$AB$20,MATCH(C501,$Y$7:$Y$20,0),$AA$6))&lt;&gt;"",INDEX(BDHK2,MATCH(B486,DiemHKII!$B$4:$B$58,0),INDEX($Y$7:$AB$20,MATCH(C501,$Y$7:$Y$20,0),$AA$6)),"/"),"")</f>
        <v/>
      </c>
      <c r="F501" s="35" t="str">
        <f>IF(B486&lt;&gt;"",IF(INDEX(BDHK2,MATCH(B486,DiemHKII!$B$4:$B$58,0),INDEX($Y$7:$AB$20,MATCH(C501,$Y$7:$Y$20,0),$AB$6))&lt;&gt;"",INDEX(BDHK2,MATCH(B486,DiemHKII!$B$4:$B$58,0),INDEX($Y$7:$AB$20,MATCH(C501,$Y$7:$Y$20,0),$AB$6)),"/"),"")</f>
        <v/>
      </c>
      <c r="G501" s="88"/>
      <c r="H501" s="79" t="s">
        <v>203</v>
      </c>
      <c r="I501" s="81" t="s">
        <v>121</v>
      </c>
      <c r="J501" s="35" t="str">
        <f>IF(H486&lt;&gt;"",IF(INDEX(BDHK2,MATCH(H486,DiemHKII!$B$4:$B$58,0),INDEX($Y$7:$AB$20,MATCH(I501,$Y$7:$Y$20,0),$Z$6))&lt;&gt;"",INDEX(BDHK2,MATCH(H486,DiemHKII!$B$4:$B$58,0),INDEX($Y$7:$AB$20,MATCH(I501,$Y$7:$Y$20,0),$Z$6)),"/"),"")</f>
        <v/>
      </c>
      <c r="K501" s="35" t="str">
        <f>IF(H486&lt;&gt;"",IF(INDEX(BDHK2,MATCH(H486,DiemHKII!$B$4:$B$58,0),INDEX($Y$7:$AB$20,MATCH(I501,$Y$7:$Y$20,0),$AA$6))&lt;&gt;"",INDEX(BDHK2,MATCH(H486,DiemHKII!$B$4:$B$58,0),INDEX($Y$7:$AB$20,MATCH(I501,$Y$7:$Y$20,0),$AA$6)),"/"),"")</f>
        <v/>
      </c>
      <c r="L501" s="35" t="str">
        <f>IF(H486&lt;&gt;"",IF(INDEX(BDHK2,MATCH(H486,DiemHKII!$B$4:$B$58,0),INDEX($Y$7:$AB$20,MATCH(I501,$Y$7:$Y$20,0),$AB$6))&lt;&gt;"",INDEX(BDHK2,MATCH(H486,DiemHKII!$B$4:$B$58,0),INDEX($Y$7:$AB$20,MATCH(I501,$Y$7:$Y$20,0),$AB$6)),"/"),"")</f>
        <v/>
      </c>
      <c r="M501" s="88"/>
      <c r="N501" s="79" t="s">
        <v>203</v>
      </c>
      <c r="O501" s="81" t="s">
        <v>121</v>
      </c>
      <c r="P501" s="35" t="str">
        <f>IF(N486&lt;&gt;"",IF(INDEX(BDHK2,MATCH(N486,DiemHKII!$B$4:$B$58,0),INDEX($Y$7:$AB$20,MATCH(O501,$Y$7:$Y$20,0),$Z$6))&lt;&gt;"",INDEX(BDHK2,MATCH(N486,DiemHKII!$B$4:$B$58,0),INDEX($Y$7:$AB$20,MATCH(O501,$Y$7:$Y$20,0),$Z$6)),"/"),"")</f>
        <v/>
      </c>
      <c r="Q501" s="35" t="str">
        <f>IF(N486&lt;&gt;"",IF(INDEX(BDHK2,MATCH(N486,DiemHKII!$B$4:$B$58,0),INDEX($Y$7:$AB$20,MATCH(O501,$Y$7:$Y$20,0),$AA$6))&lt;&gt;"",INDEX(BDHK2,MATCH(N486,DiemHKII!$B$4:$B$58,0),INDEX($Y$7:$AB$20,MATCH(O501,$Y$7:$Y$20,0),$AA$6)),"/"),"")</f>
        <v/>
      </c>
      <c r="R501" s="35" t="str">
        <f>IF(N486&lt;&gt;"",IF(INDEX(BDHK2,MATCH(N486,DiemHKII!$B$4:$B$58,0),INDEX($Y$7:$AB$20,MATCH(O501,$Y$7:$Y$20,0),$AB$6))&lt;&gt;"",INDEX(BDHK2,MATCH(N486,DiemHKII!$B$4:$B$58,0),INDEX($Y$7:$AB$20,MATCH(O501,$Y$7:$Y$20,0),$AB$6)),"/"),"")</f>
        <v/>
      </c>
      <c r="S501" s="88"/>
    </row>
    <row r="502" spans="1:19" ht="15.6" customHeight="1">
      <c r="A502" s="88"/>
      <c r="B502" s="79" t="s">
        <v>204</v>
      </c>
      <c r="C502" s="81" t="s">
        <v>122</v>
      </c>
      <c r="D502" s="35" t="str">
        <f>IF(B486&lt;&gt;"",IF(INDEX(BDHK2,MATCH(B486,DiemHKII!$B$4:$B$58,0),INDEX($Y$7:$AB$20,MATCH(C502,$Y$7:$Y$20,0),$Z$6))&lt;&gt;"",INDEX(BDHK2,MATCH(B486,DiemHKII!$B$4:$B$58,0),INDEX($Y$7:$AB$20,MATCH(C502,$Y$7:$Y$20,0),$Z$6)),"/"),"")</f>
        <v/>
      </c>
      <c r="E502" s="35" t="str">
        <f>IF(B486&lt;&gt;"",IF(INDEX(BDHK2,MATCH(B486,DiemHKII!$B$4:$B$58,0),INDEX($Y$7:$AB$20,MATCH(C502,$Y$7:$Y$20,0),$AA$6))&lt;&gt;"",INDEX(BDHK2,MATCH(B486,DiemHKII!$B$4:$B$58,0),INDEX($Y$7:$AB$20,MATCH(C502,$Y$7:$Y$20,0),$AA$6)),"/"),"")</f>
        <v/>
      </c>
      <c r="F502" s="35" t="str">
        <f>IF(B486&lt;&gt;"",IF(INDEX(BDHK2,MATCH(B486,DiemHKII!$B$4:$B$58,0),INDEX($Y$7:$AB$20,MATCH(C502,$Y$7:$Y$20,0),$AB$6))&lt;&gt;"",INDEX(BDHK2,MATCH(B486,DiemHKII!$B$4:$B$58,0),INDEX($Y$7:$AB$20,MATCH(C502,$Y$7:$Y$20,0),$AB$6)),"/"),"")</f>
        <v/>
      </c>
      <c r="G502" s="88"/>
      <c r="H502" s="79" t="s">
        <v>204</v>
      </c>
      <c r="I502" s="81" t="s">
        <v>122</v>
      </c>
      <c r="J502" s="35" t="str">
        <f>IF(H486&lt;&gt;"",IF(INDEX(BDHK2,MATCH(H486,DiemHKII!$B$4:$B$58,0),INDEX($Y$7:$AB$20,MATCH(I502,$Y$7:$Y$20,0),$Z$6))&lt;&gt;"",INDEX(BDHK2,MATCH(H486,DiemHKII!$B$4:$B$58,0),INDEX($Y$7:$AB$20,MATCH(I502,$Y$7:$Y$20,0),$Z$6)),"/"),"")</f>
        <v/>
      </c>
      <c r="K502" s="35" t="str">
        <f>IF(H486&lt;&gt;"",IF(INDEX(BDHK2,MATCH(H486,DiemHKII!$B$4:$B$58,0),INDEX($Y$7:$AB$20,MATCH(I502,$Y$7:$Y$20,0),$AA$6))&lt;&gt;"",INDEX(BDHK2,MATCH(H486,DiemHKII!$B$4:$B$58,0),INDEX($Y$7:$AB$20,MATCH(I502,$Y$7:$Y$20,0),$AA$6)),"/"),"")</f>
        <v/>
      </c>
      <c r="L502" s="35" t="str">
        <f>IF(H486&lt;&gt;"",IF(INDEX(BDHK2,MATCH(H486,DiemHKII!$B$4:$B$58,0),INDEX($Y$7:$AB$20,MATCH(I502,$Y$7:$Y$20,0),$AB$6))&lt;&gt;"",INDEX(BDHK2,MATCH(H486,DiemHKII!$B$4:$B$58,0),INDEX($Y$7:$AB$20,MATCH(I502,$Y$7:$Y$20,0),$AB$6)),"/"),"")</f>
        <v/>
      </c>
      <c r="M502" s="88"/>
      <c r="N502" s="79" t="s">
        <v>204</v>
      </c>
      <c r="O502" s="81" t="s">
        <v>122</v>
      </c>
      <c r="P502" s="35" t="str">
        <f>IF(N486&lt;&gt;"",IF(INDEX(BDHK2,MATCH(N486,DiemHKII!$B$4:$B$58,0),INDEX($Y$7:$AB$20,MATCH(O502,$Y$7:$Y$20,0),$Z$6))&lt;&gt;"",INDEX(BDHK2,MATCH(N486,DiemHKII!$B$4:$B$58,0),INDEX($Y$7:$AB$20,MATCH(O502,$Y$7:$Y$20,0),$Z$6)),"/"),"")</f>
        <v/>
      </c>
      <c r="Q502" s="35" t="str">
        <f>IF(N486&lt;&gt;"",IF(INDEX(BDHK2,MATCH(N486,DiemHKII!$B$4:$B$58,0),INDEX($Y$7:$AB$20,MATCH(O502,$Y$7:$Y$20,0),$AA$6))&lt;&gt;"",INDEX(BDHK2,MATCH(N486,DiemHKII!$B$4:$B$58,0),INDEX($Y$7:$AB$20,MATCH(O502,$Y$7:$Y$20,0),$AA$6)),"/"),"")</f>
        <v/>
      </c>
      <c r="R502" s="35" t="str">
        <f>IF(N486&lt;&gt;"",IF(INDEX(BDHK2,MATCH(N486,DiemHKII!$B$4:$B$58,0),INDEX($Y$7:$AB$20,MATCH(O502,$Y$7:$Y$20,0),$AB$6))&lt;&gt;"",INDEX(BDHK2,MATCH(N486,DiemHKII!$B$4:$B$58,0),INDEX($Y$7:$AB$20,MATCH(O502,$Y$7:$Y$20,0),$AB$6)),"/"),"")</f>
        <v/>
      </c>
      <c r="S502" s="88"/>
    </row>
    <row r="503" spans="1:19" ht="15.6" customHeight="1">
      <c r="A503" s="88"/>
      <c r="B503" s="79" t="s">
        <v>208</v>
      </c>
      <c r="C503" s="81" t="s">
        <v>217</v>
      </c>
      <c r="D503" s="80" t="str">
        <f>IF(B486&lt;&gt;"",IF(INDEX('TH CANAM'!$A$9:$BF$63,MATCH(B486,'TH CANAM'!$A$9:$A$63,0),46)&lt;&gt;"",INDEX('TH CANAM'!$A$9:$BF$63,MATCH(B486,'TH CANAM'!$A$9:$A$63,0),46),"/"),"")</f>
        <v/>
      </c>
      <c r="E503" s="80" t="str">
        <f>IF(B486&lt;&gt;"",IF(INDEX('TH CANAM'!$A$9:$BF$63,MATCH(B486,'TH CANAM'!$A$9:$A$63,0),47)&lt;&gt;"",INDEX('TH CANAM'!$A$9:$BF$63,MATCH(B486,'TH CANAM'!$A$9:$A$63,0),47),"/"),"")</f>
        <v/>
      </c>
      <c r="F503" s="80" t="str">
        <f>IF(B486&lt;&gt;"",IF(INDEX('TH CANAM'!$A$9:$BF$63,MATCH(B486,'TH CANAM'!$A$9:$A$63,0),48)&lt;&gt;"",INDEX('TH CANAM'!$A$9:$BF$63,MATCH(B486,'TH CANAM'!$A$9:$A$63,0),48),"/"),"")</f>
        <v/>
      </c>
      <c r="G503" s="88"/>
      <c r="H503" s="79" t="s">
        <v>208</v>
      </c>
      <c r="I503" s="81" t="s">
        <v>217</v>
      </c>
      <c r="J503" s="80" t="str">
        <f>IF(H486&lt;&gt;"",IF(INDEX('TH CANAM'!$A$9:$BF$63,MATCH(H486,'TH CANAM'!$A$9:$A$63,0),46)&lt;&gt;"",INDEX('TH CANAM'!$A$9:$BF$63,MATCH(H486,'TH CANAM'!$A$9:$A$63,0),46),"/"),"")</f>
        <v/>
      </c>
      <c r="K503" s="80" t="str">
        <f>IF(H486&lt;&gt;"",IF(INDEX('TH CANAM'!$A$9:$BF$63,MATCH(H486,'TH CANAM'!$A$9:$A$63,0),47)&lt;&gt;"",INDEX('TH CANAM'!$A$9:$BF$63,MATCH(H486,'TH CANAM'!$A$9:$A$63,0),47),"/"),"")</f>
        <v/>
      </c>
      <c r="L503" s="80" t="str">
        <f>IF(H486&lt;&gt;"",IF(INDEX('TH CANAM'!$A$9:$BF$63,MATCH(H486,'TH CANAM'!$A$9:$A$63,0),48)&lt;&gt;"",INDEX('TH CANAM'!$A$9:$BF$63,MATCH(H486,'TH CANAM'!$A$9:$A$63,0),48),"/"),"")</f>
        <v/>
      </c>
      <c r="M503" s="88"/>
      <c r="N503" s="79" t="s">
        <v>208</v>
      </c>
      <c r="O503" s="81" t="s">
        <v>217</v>
      </c>
      <c r="P503" s="80" t="str">
        <f>IF(N486&lt;&gt;"",IF(INDEX('TH CANAM'!$A$9:$BF$63,MATCH(N486,'TH CANAM'!$A$9:$A$63,0),46)&lt;&gt;"",INDEX('TH CANAM'!$A$9:$BF$63,MATCH(N486,'TH CANAM'!$A$9:$A$63,0),46),"/"),"")</f>
        <v/>
      </c>
      <c r="Q503" s="80" t="str">
        <f>IF(N486&lt;&gt;"",IF(INDEX('TH CANAM'!$A$9:$BF$63,MATCH(N486,'TH CANAM'!$A$9:$A$63,0),47)&lt;&gt;"",INDEX('TH CANAM'!$A$9:$BF$63,MATCH(N486,'TH CANAM'!$A$9:$A$63,0),47),"/"),"")</f>
        <v/>
      </c>
      <c r="R503" s="80" t="str">
        <f>IF(N486&lt;&gt;"",IF(INDEX('TH CANAM'!$A$9:$BF$63,MATCH(N486,'TH CANAM'!$A$9:$A$63,0),48)&lt;&gt;"",INDEX('TH CANAM'!$A$9:$BF$63,MATCH(N486,'TH CANAM'!$A$9:$A$63,0),48),"/"),"")</f>
        <v/>
      </c>
      <c r="S503" s="88"/>
    </row>
    <row r="504" spans="1:19" ht="15.6" customHeight="1">
      <c r="A504" s="88"/>
      <c r="B504" s="79" t="s">
        <v>209</v>
      </c>
      <c r="C504" s="82" t="s">
        <v>36</v>
      </c>
      <c r="D504" s="35" t="str">
        <f>IF(B486&lt;&gt;"",IF(INDEX('TH CANAM'!$A$9:$BF$63,MATCH(B486,'TH CANAM'!$A$9:$A$63,0),49)&lt;&gt;"",INDEX('TH CANAM'!$A$9:$BF$63,MATCH(B486,'TH CANAM'!$A$9:$A$63,0),49),"/"),"")</f>
        <v/>
      </c>
      <c r="E504" s="35" t="str">
        <f>IF(B486&lt;&gt;"",IF(INDEX('TH CANAM'!$A$9:$BF$63,MATCH(B486,'TH CANAM'!$A$9:$A$63,0),50)&lt;&gt;"",INDEX('TH CANAM'!$A$9:$BF$63,MATCH(B486,'TH CANAM'!$A$9:$A$63,0),50),"/"),"")</f>
        <v/>
      </c>
      <c r="F504" s="35" t="str">
        <f>IF(B486&lt;&gt;"",IF(INDEX('TH CANAM'!$A$9:$BF$63,MATCH(B486,'TH CANAM'!$A$9:$A$63,0),51)&lt;&gt;"",INDEX('TH CANAM'!$A$9:$BF$63,MATCH(B486,'TH CANAM'!$A$9:$A$63,0),51),"/"),"")</f>
        <v/>
      </c>
      <c r="G504" s="88"/>
      <c r="H504" s="79" t="s">
        <v>209</v>
      </c>
      <c r="I504" s="82" t="s">
        <v>36</v>
      </c>
      <c r="J504" s="35" t="str">
        <f>IF(H486&lt;&gt;"",IF(INDEX('TH CANAM'!$A$9:$BF$63,MATCH(H486,'TH CANAM'!$A$9:$A$63,0),49)&lt;&gt;"",INDEX('TH CANAM'!$A$9:$BF$63,MATCH(H486,'TH CANAM'!$A$9:$A$63,0),49),"/"),"")</f>
        <v/>
      </c>
      <c r="K504" s="35" t="str">
        <f>IF(H486&lt;&gt;"",IF(INDEX('TH CANAM'!$A$9:$BF$63,MATCH(H486,'TH CANAM'!$A$9:$A$63,0),50)&lt;&gt;"",INDEX('TH CANAM'!$A$9:$BF$63,MATCH(H486,'TH CANAM'!$A$9:$A$63,0),50),"/"),"")</f>
        <v/>
      </c>
      <c r="L504" s="35" t="str">
        <f>IF(H486&lt;&gt;"",IF(INDEX('TH CANAM'!$A$9:$BF$63,MATCH(H486,'TH CANAM'!$A$9:$A$63,0),51)&lt;&gt;"",INDEX('TH CANAM'!$A$9:$BF$63,MATCH(H486,'TH CANAM'!$A$9:$A$63,0),51),"/"),"")</f>
        <v/>
      </c>
      <c r="M504" s="88"/>
      <c r="N504" s="79" t="s">
        <v>209</v>
      </c>
      <c r="O504" s="82" t="s">
        <v>36</v>
      </c>
      <c r="P504" s="35" t="str">
        <f>IF(N486&lt;&gt;"",IF(INDEX('TH CANAM'!$A$9:$BF$63,MATCH(N486,'TH CANAM'!$A$9:$A$63,0),49)&lt;&gt;"",INDEX('TH CANAM'!$A$9:$BF$63,MATCH(N486,'TH CANAM'!$A$9:$A$63,0),49),"/"),"")</f>
        <v/>
      </c>
      <c r="Q504" s="35" t="str">
        <f>IF(N486&lt;&gt;"",IF(INDEX('TH CANAM'!$A$9:$BF$63,MATCH(N486,'TH CANAM'!$A$9:$A$63,0),50)&lt;&gt;"",INDEX('TH CANAM'!$A$9:$BF$63,MATCH(N486,'TH CANAM'!$A$9:$A$63,0),50),"/"),"")</f>
        <v/>
      </c>
      <c r="R504" s="35" t="str">
        <f>IF(N486&lt;&gt;"",IF(INDEX('TH CANAM'!$A$9:$BF$63,MATCH(N486,'TH CANAM'!$A$9:$A$63,0),51)&lt;&gt;"",INDEX('TH CANAM'!$A$9:$BF$63,MATCH(N486,'TH CANAM'!$A$9:$A$63,0),51),"/"),"")</f>
        <v/>
      </c>
      <c r="S504" s="88"/>
    </row>
    <row r="505" spans="1:19" ht="15.6" customHeight="1">
      <c r="A505" s="88"/>
      <c r="B505" s="79" t="s">
        <v>210</v>
      </c>
      <c r="C505" s="82" t="s">
        <v>37</v>
      </c>
      <c r="D505" s="35" t="str">
        <f>IF(B486&lt;&gt;"",IF(INDEX('TH CANAM'!$A$9:$BF$63,MATCH(B486,'TH CANAM'!$A$9:$A$63,0),52)&lt;&gt;"",INDEX('TH CANAM'!$A$9:$BF$63,MATCH(B486,'TH CANAM'!$A$9:$A$63,0),52),"/"),"")</f>
        <v/>
      </c>
      <c r="E505" s="35" t="str">
        <f>IF(B486&lt;&gt;"",IF(INDEX('TH CANAM'!$A$9:$BF$63,MATCH(B486,'TH CANAM'!$A$9:$A$63,0),53)&lt;&gt;"",INDEX('TH CANAM'!$A$9:$BF$63,MATCH(B486,'TH CANAM'!$A$9:$A$63,0),53),"/"),"")</f>
        <v/>
      </c>
      <c r="F505" s="35" t="str">
        <f>IF(B486&lt;&gt;"",IF(INDEX('TH CANAM'!$A$9:$BF$63,MATCH(B486,'TH CANAM'!$A$9:$A$63,0),54)&lt;&gt;"",INDEX('TH CANAM'!$A$9:$BF$63,MATCH(B486,'TH CANAM'!$A$9:$A$63,0),54),"/"),"")</f>
        <v/>
      </c>
      <c r="G505" s="88"/>
      <c r="H505" s="79" t="s">
        <v>210</v>
      </c>
      <c r="I505" s="82" t="s">
        <v>37</v>
      </c>
      <c r="J505" s="35" t="str">
        <f>IF(H486&lt;&gt;"",IF(INDEX('TH CANAM'!$A$9:$BF$63,MATCH(H486,'TH CANAM'!$A$9:$A$63,0),52)&lt;&gt;"",INDEX('TH CANAM'!$A$9:$BF$63,MATCH(H486,'TH CANAM'!$A$9:$A$63,0),52),"/"),"")</f>
        <v/>
      </c>
      <c r="K505" s="35" t="str">
        <f>IF(H486&lt;&gt;"",IF(INDEX('TH CANAM'!$A$9:$BF$63,MATCH(H486,'TH CANAM'!$A$9:$A$63,0),53)&lt;&gt;"",INDEX('TH CANAM'!$A$9:$BF$63,MATCH(H486,'TH CANAM'!$A$9:$A$63,0),53),"/"),"")</f>
        <v/>
      </c>
      <c r="L505" s="35" t="str">
        <f>IF(H486&lt;&gt;"",IF(INDEX('TH CANAM'!$A$9:$BF$63,MATCH(H486,'TH CANAM'!$A$9:$A$63,0),54)&lt;&gt;"",INDEX('TH CANAM'!$A$9:$BF$63,MATCH(H486,'TH CANAM'!$A$9:$A$63,0),54),"/"),"")</f>
        <v/>
      </c>
      <c r="M505" s="88"/>
      <c r="N505" s="79" t="s">
        <v>210</v>
      </c>
      <c r="O505" s="82" t="s">
        <v>37</v>
      </c>
      <c r="P505" s="35" t="str">
        <f>IF(N486&lt;&gt;"",IF(INDEX('TH CANAM'!$A$9:$BF$63,MATCH(N486,'TH CANAM'!$A$9:$A$63,0),52)&lt;&gt;"",INDEX('TH CANAM'!$A$9:$BF$63,MATCH(N486,'TH CANAM'!$A$9:$A$63,0),52),"/"),"")</f>
        <v/>
      </c>
      <c r="Q505" s="35" t="str">
        <f>IF(N486&lt;&gt;"",IF(INDEX('TH CANAM'!$A$9:$BF$63,MATCH(N486,'TH CANAM'!$A$9:$A$63,0),53)&lt;&gt;"",INDEX('TH CANAM'!$A$9:$BF$63,MATCH(N486,'TH CANAM'!$A$9:$A$63,0),53),"/"),"")</f>
        <v/>
      </c>
      <c r="R505" s="35" t="str">
        <f>IF(N486&lt;&gt;"",IF(INDEX('TH CANAM'!$A$9:$BF$63,MATCH(N486,'TH CANAM'!$A$9:$A$63,0),54)&lt;&gt;"",INDEX('TH CANAM'!$A$9:$BF$63,MATCH(N486,'TH CANAM'!$A$9:$A$63,0),54),"/"),"")</f>
        <v/>
      </c>
      <c r="S505" s="88"/>
    </row>
    <row r="506" spans="1:19" ht="15.6" customHeight="1">
      <c r="A506" s="88"/>
      <c r="B506" s="79" t="s">
        <v>211</v>
      </c>
      <c r="C506" s="82" t="s">
        <v>25</v>
      </c>
      <c r="D506" s="35" t="str">
        <f>IF(B486&lt;&gt;"",IF(INDEX('TH CANAM'!$A$9:$BF$63,MATCH(B486,'TH CANAM'!$A$9:$A$63,0),57)&lt;&gt;"",INDEX('TH CANAM'!$A$9:$BF$63,MATCH(B486,'TH CANAM'!$A$9:$A$63,0),57),"/"),"")</f>
        <v/>
      </c>
      <c r="E506" s="35" t="str">
        <f>IF(B486&lt;&gt;"",IF(INDEX('TH CANAM'!$A$9:$BF$63,MATCH(B486,'TH CANAM'!$A$9:$A$63,0),58)&lt;&gt;"",INDEX('TH CANAM'!$A$9:$BF$63,MATCH(B486,'TH CANAM'!$A$9:$A$63,0),58),"/"),"")</f>
        <v/>
      </c>
      <c r="F506" s="35" t="str">
        <f>IF(B486&lt;&gt;"",IF(INDEX('TH CANAM'!$A$9:$BF$63,MATCH(B486,'TH CANAM'!$A$9:$A$63,0),55)&lt;&gt;"",INDEX('TH CANAM'!$A$9:$BF$63,MATCH(B486,'TH CANAM'!$A$9:$A$63,0),55),"/"),"")</f>
        <v/>
      </c>
      <c r="G506" s="88"/>
      <c r="H506" s="79" t="s">
        <v>211</v>
      </c>
      <c r="I506" s="82" t="s">
        <v>25</v>
      </c>
      <c r="J506" s="35" t="str">
        <f>IF(H486&lt;&gt;"",IF(INDEX('TH CANAM'!$A$9:$BF$63,MATCH(H486,'TH CANAM'!$A$9:$A$63,0),57)&lt;&gt;"",INDEX('TH CANAM'!$A$9:$BF$63,MATCH(H486,'TH CANAM'!$A$9:$A$63,0),57),"/"),"")</f>
        <v/>
      </c>
      <c r="K506" s="35" t="str">
        <f>IF(H486&lt;&gt;"",IF(INDEX('TH CANAM'!$A$9:$BF$63,MATCH(H486,'TH CANAM'!$A$9:$A$63,0),58)&lt;&gt;"",INDEX('TH CANAM'!$A$9:$BF$63,MATCH(H486,'TH CANAM'!$A$9:$A$63,0),58),"/"),"")</f>
        <v/>
      </c>
      <c r="L506" s="35" t="str">
        <f>IF(H486&lt;&gt;"",IF(INDEX('TH CANAM'!$A$9:$BF$63,MATCH(H486,'TH CANAM'!$A$9:$A$63,0),55)&lt;&gt;"",INDEX('TH CANAM'!$A$9:$BF$63,MATCH(H486,'TH CANAM'!$A$9:$A$63,0),55),"/"),"")</f>
        <v/>
      </c>
      <c r="M506" s="88"/>
      <c r="N506" s="79" t="s">
        <v>211</v>
      </c>
      <c r="O506" s="82" t="s">
        <v>25</v>
      </c>
      <c r="P506" s="35" t="str">
        <f>IF(N486&lt;&gt;"",IF(INDEX('TH CANAM'!$A$9:$BF$63,MATCH(N486,'TH CANAM'!$A$9:$A$63,0),57)&lt;&gt;"",INDEX('TH CANAM'!$A$9:$BF$63,MATCH(N486,'TH CANAM'!$A$9:$A$63,0),57),"/"),"")</f>
        <v/>
      </c>
      <c r="Q506" s="35" t="str">
        <f>IF(N486&lt;&gt;"",IF(INDEX('TH CANAM'!$A$9:$BF$63,MATCH(N486,'TH CANAM'!$A$9:$A$63,0),58)&lt;&gt;"",INDEX('TH CANAM'!$A$9:$BF$63,MATCH(N486,'TH CANAM'!$A$9:$A$63,0),58),"/"),"")</f>
        <v/>
      </c>
      <c r="R506" s="35" t="str">
        <f>IF(N486&lt;&gt;"",IF(INDEX('TH CANAM'!$A$9:$BF$63,MATCH(N486,'TH CANAM'!$A$9:$A$63,0),55)&lt;&gt;"",INDEX('TH CANAM'!$A$9:$BF$63,MATCH(N486,'TH CANAM'!$A$9:$A$63,0),55),"/"),"")</f>
        <v/>
      </c>
      <c r="S506" s="88"/>
    </row>
    <row r="507" spans="1:19" s="251" customFormat="1" ht="15.75" customHeight="1">
      <c r="A507" s="89"/>
      <c r="B507" s="1146" t="s">
        <v>219</v>
      </c>
      <c r="C507" s="1147"/>
      <c r="D507" s="1147"/>
      <c r="E507" s="1147"/>
      <c r="F507" s="1148"/>
      <c r="G507" s="89"/>
      <c r="H507" s="1146" t="s">
        <v>219</v>
      </c>
      <c r="I507" s="1147"/>
      <c r="J507" s="1147"/>
      <c r="K507" s="1147"/>
      <c r="L507" s="1148"/>
      <c r="M507" s="89"/>
      <c r="N507" s="1146" t="s">
        <v>219</v>
      </c>
      <c r="O507" s="1147"/>
      <c r="P507" s="1147"/>
      <c r="Q507" s="1147"/>
      <c r="R507" s="1148"/>
      <c r="S507" s="89"/>
    </row>
    <row r="508" spans="1:19" s="251" customFormat="1" ht="15.6" customHeight="1">
      <c r="A508" s="89"/>
      <c r="B508" s="1143" t="str">
        <f>IF(B486&lt;&gt;"",IF(INDEX(BDHK2,MATCH(B486,DiemHKII!$B$4:$B$58,0),137)&lt;&gt;""," - "&amp;INDEX(BDHK2,MATCH(B486,DiemHKII!$B$4:$B$58,0),137),""),"")</f>
        <v/>
      </c>
      <c r="C508" s="1144"/>
      <c r="D508" s="1144"/>
      <c r="E508" s="1144"/>
      <c r="F508" s="1145"/>
      <c r="G508" s="89"/>
      <c r="H508" s="1143" t="str">
        <f>IF(H486&lt;&gt;"",IF(INDEX(BDHK2,MATCH(H486,DiemHKII!$B$4:$B$58,0),137)&lt;&gt;""," - "&amp;INDEX(BDHK2,MATCH(H486,DiemHKII!$B$4:$B$58,0),137),""),"")</f>
        <v/>
      </c>
      <c r="I508" s="1144"/>
      <c r="J508" s="1144"/>
      <c r="K508" s="1144"/>
      <c r="L508" s="1145"/>
      <c r="M508" s="89"/>
      <c r="N508" s="1143" t="str">
        <f>IF(N486&lt;&gt;"",IF(INDEX(BDHK2,MATCH(N486,DiemHKII!$B$4:$B$58,0),137)&lt;&gt;""," - "&amp;INDEX(BDHK2,MATCH(N486,DiemHKII!$B$4:$B$58,0),137),""),"")</f>
        <v/>
      </c>
      <c r="O508" s="1144"/>
      <c r="P508" s="1144"/>
      <c r="Q508" s="1144"/>
      <c r="R508" s="1145"/>
      <c r="S508" s="89"/>
    </row>
    <row r="509" spans="1:19" s="251" customFormat="1" ht="15.6" customHeight="1">
      <c r="A509" s="89"/>
      <c r="B509" s="1143" t="str">
        <f>IF(B486&lt;&gt;"",IF(INDEX(BDHK2,MATCH(B486,DiemHKII!$B$4:$B$58,0),138)&lt;&gt;""," - "&amp;INDEX(BDHK2,MATCH(B486,DiemHKII!$B$4:$B$58,0),138),""),"")</f>
        <v/>
      </c>
      <c r="C509" s="1144"/>
      <c r="D509" s="1144"/>
      <c r="E509" s="1144"/>
      <c r="F509" s="1145"/>
      <c r="G509" s="89"/>
      <c r="H509" s="1143" t="str">
        <f>IF(H486&lt;&gt;"",IF(INDEX(BDHK2,MATCH(H486,DiemHKII!$B$4:$B$58,0),138)&lt;&gt;""," - "&amp;INDEX(BDHK2,MATCH(H486,DiemHKII!$B$4:$B$58,0),138),""),"")</f>
        <v/>
      </c>
      <c r="I509" s="1144"/>
      <c r="J509" s="1144"/>
      <c r="K509" s="1144"/>
      <c r="L509" s="1145"/>
      <c r="M509" s="89"/>
      <c r="N509" s="1143" t="str">
        <f>IF(N486&lt;&gt;"",IF(INDEX(BDHK2,MATCH(N486,DiemHKII!$B$4:$B$58,0),138)&lt;&gt;""," - "&amp;INDEX(BDHK2,MATCH(N486,DiemHKII!$B$4:$B$58,0),138),""),"")</f>
        <v/>
      </c>
      <c r="O509" s="1144"/>
      <c r="P509" s="1144"/>
      <c r="Q509" s="1144"/>
      <c r="R509" s="1145"/>
      <c r="S509" s="89"/>
    </row>
    <row r="510" spans="1:19" s="251" customFormat="1" ht="15.6" customHeight="1">
      <c r="A510" s="89"/>
      <c r="B510" s="1143" t="str">
        <f>IF(B486&lt;&gt;"",IF(INDEX(BDHK2,MATCH(B486,DiemHKII!$B$4:$B$58,0),139)&lt;&gt;""," - "&amp;INDEX(BDHK2,MATCH(B486,DiemHKII!$B$4:$B$58,0),139),""),"")</f>
        <v/>
      </c>
      <c r="C510" s="1144"/>
      <c r="D510" s="1144"/>
      <c r="E510" s="1144"/>
      <c r="F510" s="1145"/>
      <c r="G510" s="89"/>
      <c r="H510" s="1143" t="str">
        <f>IF(H486&lt;&gt;"",IF(INDEX(BDHK2,MATCH(H486,DiemHKII!$B$4:$B$58,0),139)&lt;&gt;""," - "&amp;INDEX(BDHK2,MATCH(H486,DiemHKII!$B$4:$B$58,0),139),""),"")</f>
        <v/>
      </c>
      <c r="I510" s="1144"/>
      <c r="J510" s="1144"/>
      <c r="K510" s="1144"/>
      <c r="L510" s="1145"/>
      <c r="M510" s="89"/>
      <c r="N510" s="1143" t="str">
        <f>IF(N486&lt;&gt;"",IF(INDEX(BDHK2,MATCH(N486,DiemHKII!$B$4:$B$58,0),139)&lt;&gt;""," - "&amp;INDEX(BDHK2,MATCH(N486,DiemHKII!$B$4:$B$58,0),139),""),"")</f>
        <v/>
      </c>
      <c r="O510" s="1144"/>
      <c r="P510" s="1144"/>
      <c r="Q510" s="1144"/>
      <c r="R510" s="1145"/>
      <c r="S510" s="89"/>
    </row>
    <row r="511" spans="1:19" s="251" customFormat="1" ht="15.6" customHeight="1">
      <c r="A511" s="89"/>
      <c r="B511" s="1143" t="str">
        <f>IF(B486&lt;&gt;"",IF(INDEX(BDHK2,MATCH(B486,DiemHKII!$B$4:$B$58,0),140)&lt;&gt;""," - "&amp;INDEX(BDHK2,MATCH(B486,DiemHKII!$B$4:$B$58,0),140),""),"")</f>
        <v/>
      </c>
      <c r="C511" s="1144"/>
      <c r="D511" s="1144"/>
      <c r="E511" s="1144"/>
      <c r="F511" s="1145"/>
      <c r="G511" s="89"/>
      <c r="H511" s="1143" t="str">
        <f>IF(H486&lt;&gt;"",IF(INDEX(BDHK2,MATCH(H486,DiemHKII!$B$4:$B$58,0),140)&lt;&gt;""," - "&amp;INDEX(BDHK2,MATCH(H486,DiemHKII!$B$4:$B$58,0),140),""),"")</f>
        <v/>
      </c>
      <c r="I511" s="1144"/>
      <c r="J511" s="1144"/>
      <c r="K511" s="1144"/>
      <c r="L511" s="1145"/>
      <c r="M511" s="89"/>
      <c r="N511" s="1143" t="str">
        <f>IF(N486&lt;&gt;"",IF(INDEX(BDHK2,MATCH(N486,DiemHKII!$B$4:$B$58,0),140)&lt;&gt;""," - "&amp;INDEX(BDHK2,MATCH(N486,DiemHKII!$B$4:$B$58,0),140),""),"")</f>
        <v/>
      </c>
      <c r="O511" s="1144"/>
      <c r="P511" s="1144"/>
      <c r="Q511" s="1144"/>
      <c r="R511" s="1145"/>
      <c r="S511" s="89"/>
    </row>
    <row r="512" spans="1:19" ht="8.25" customHeight="1">
      <c r="A512" s="88"/>
      <c r="B512" s="83"/>
      <c r="C512" s="84"/>
      <c r="D512" s="84"/>
      <c r="E512" s="84"/>
      <c r="F512" s="85"/>
      <c r="G512" s="88"/>
      <c r="H512" s="83"/>
      <c r="I512" s="84"/>
      <c r="J512" s="84"/>
      <c r="K512" s="84"/>
      <c r="L512" s="85"/>
      <c r="M512" s="88"/>
      <c r="N512" s="83"/>
      <c r="O512" s="84"/>
      <c r="P512" s="84"/>
      <c r="Q512" s="84"/>
      <c r="R512" s="85"/>
      <c r="S512" s="88"/>
    </row>
    <row r="513" spans="1:19" ht="6.75" customHeight="1">
      <c r="A513" s="88"/>
      <c r="B513" s="87"/>
      <c r="C513" s="87"/>
      <c r="D513" s="1135"/>
      <c r="E513" s="1135"/>
      <c r="F513" s="1135"/>
      <c r="G513" s="88"/>
      <c r="H513" s="87"/>
      <c r="I513" s="87"/>
      <c r="J513" s="1135"/>
      <c r="K513" s="1135"/>
      <c r="L513" s="1135"/>
      <c r="M513" s="88"/>
      <c r="N513" s="87"/>
      <c r="O513" s="87"/>
      <c r="P513" s="1135"/>
      <c r="Q513" s="1135"/>
      <c r="R513" s="1135"/>
      <c r="S513" s="88"/>
    </row>
    <row r="515" spans="1:19">
      <c r="I515" s="88"/>
      <c r="J515" s="88"/>
      <c r="K515" s="88"/>
    </row>
    <row r="516" spans="1:19">
      <c r="I516" s="88"/>
      <c r="J516" s="88"/>
      <c r="K516" s="88"/>
    </row>
  </sheetData>
  <sheetProtection algorithmName="SHA-512" hashValue="MxlsDCPD7Bj+oi9MB+8DrpzjCt73A7LZpjtbc5aQLZWNstlj6es1bmk8DgpTiGMLYFpHrhXiwmWT4n+xXvZGzA==" saltValue="8wcm0B5VbqvZE7qGyT/5Gg==" spinCount="100000" sheet="1" objects="1" scenarios="1"/>
  <mergeCells count="513">
    <mergeCell ref="D513:F513"/>
    <mergeCell ref="J513:L513"/>
    <mergeCell ref="P513:R513"/>
    <mergeCell ref="B510:F510"/>
    <mergeCell ref="H510:L510"/>
    <mergeCell ref="N510:R510"/>
    <mergeCell ref="B511:F511"/>
    <mergeCell ref="H511:L511"/>
    <mergeCell ref="N511:R511"/>
    <mergeCell ref="B508:F508"/>
    <mergeCell ref="H508:L508"/>
    <mergeCell ref="N508:R508"/>
    <mergeCell ref="B509:F509"/>
    <mergeCell ref="H509:L509"/>
    <mergeCell ref="N509:R509"/>
    <mergeCell ref="H487:J487"/>
    <mergeCell ref="K487:L487"/>
    <mergeCell ref="N487:P487"/>
    <mergeCell ref="Q487:R487"/>
    <mergeCell ref="B507:F507"/>
    <mergeCell ref="H507:L507"/>
    <mergeCell ref="N507:R507"/>
    <mergeCell ref="B487:D487"/>
    <mergeCell ref="E487:F487"/>
    <mergeCell ref="H483:L483"/>
    <mergeCell ref="N483:R483"/>
    <mergeCell ref="D485:F485"/>
    <mergeCell ref="J485:L485"/>
    <mergeCell ref="P485:R485"/>
    <mergeCell ref="C486:E486"/>
    <mergeCell ref="I486:K486"/>
    <mergeCell ref="O486:Q486"/>
    <mergeCell ref="H480:L480"/>
    <mergeCell ref="N480:R480"/>
    <mergeCell ref="B481:F481"/>
    <mergeCell ref="H481:L481"/>
    <mergeCell ref="N481:R481"/>
    <mergeCell ref="B482:F482"/>
    <mergeCell ref="H482:L482"/>
    <mergeCell ref="N482:R482"/>
    <mergeCell ref="B480:F480"/>
    <mergeCell ref="B483:F483"/>
    <mergeCell ref="H459:J459"/>
    <mergeCell ref="K459:L459"/>
    <mergeCell ref="N459:P459"/>
    <mergeCell ref="Q459:R459"/>
    <mergeCell ref="B479:F479"/>
    <mergeCell ref="H479:L479"/>
    <mergeCell ref="N479:R479"/>
    <mergeCell ref="J456:L456"/>
    <mergeCell ref="P456:R456"/>
    <mergeCell ref="D457:F457"/>
    <mergeCell ref="J457:L457"/>
    <mergeCell ref="P457:R457"/>
    <mergeCell ref="C458:E458"/>
    <mergeCell ref="I458:K458"/>
    <mergeCell ref="O458:Q458"/>
    <mergeCell ref="B459:D459"/>
    <mergeCell ref="E459:F459"/>
    <mergeCell ref="D456:F456"/>
    <mergeCell ref="H453:L453"/>
    <mergeCell ref="N453:R453"/>
    <mergeCell ref="B454:F454"/>
    <mergeCell ref="H454:L454"/>
    <mergeCell ref="N454:R454"/>
    <mergeCell ref="B450:F450"/>
    <mergeCell ref="H450:L450"/>
    <mergeCell ref="N450:R450"/>
    <mergeCell ref="B451:F451"/>
    <mergeCell ref="H451:L451"/>
    <mergeCell ref="N451:R451"/>
    <mergeCell ref="B453:F453"/>
    <mergeCell ref="I429:K429"/>
    <mergeCell ref="O429:Q429"/>
    <mergeCell ref="B430:D430"/>
    <mergeCell ref="E430:F430"/>
    <mergeCell ref="H430:J430"/>
    <mergeCell ref="K430:L430"/>
    <mergeCell ref="N430:P430"/>
    <mergeCell ref="Q430:R430"/>
    <mergeCell ref="H452:L452"/>
    <mergeCell ref="N452:R452"/>
    <mergeCell ref="B452:F452"/>
    <mergeCell ref="C429:E429"/>
    <mergeCell ref="H426:L426"/>
    <mergeCell ref="N426:R426"/>
    <mergeCell ref="D428:F428"/>
    <mergeCell ref="J428:L428"/>
    <mergeCell ref="P428:R428"/>
    <mergeCell ref="B424:F424"/>
    <mergeCell ref="H424:L424"/>
    <mergeCell ref="N424:R424"/>
    <mergeCell ref="B425:F425"/>
    <mergeCell ref="H425:L425"/>
    <mergeCell ref="N425:R425"/>
    <mergeCell ref="B426:F426"/>
    <mergeCell ref="Q402:R402"/>
    <mergeCell ref="B422:F422"/>
    <mergeCell ref="H422:L422"/>
    <mergeCell ref="N422:R422"/>
    <mergeCell ref="B423:F423"/>
    <mergeCell ref="H423:L423"/>
    <mergeCell ref="N423:R423"/>
    <mergeCell ref="J400:L400"/>
    <mergeCell ref="P400:R400"/>
    <mergeCell ref="C401:E401"/>
    <mergeCell ref="I401:K401"/>
    <mergeCell ref="O401:Q401"/>
    <mergeCell ref="B402:D402"/>
    <mergeCell ref="E402:F402"/>
    <mergeCell ref="H402:J402"/>
    <mergeCell ref="K402:L402"/>
    <mergeCell ref="N402:P402"/>
    <mergeCell ref="D400:F400"/>
    <mergeCell ref="H396:L396"/>
    <mergeCell ref="N396:R396"/>
    <mergeCell ref="B397:F397"/>
    <mergeCell ref="H397:L397"/>
    <mergeCell ref="N397:R397"/>
    <mergeCell ref="D399:F399"/>
    <mergeCell ref="J399:L399"/>
    <mergeCell ref="P399:R399"/>
    <mergeCell ref="H393:L393"/>
    <mergeCell ref="N393:R393"/>
    <mergeCell ref="B394:F394"/>
    <mergeCell ref="H394:L394"/>
    <mergeCell ref="N394:R394"/>
    <mergeCell ref="B395:F395"/>
    <mergeCell ref="H395:L395"/>
    <mergeCell ref="N395:R395"/>
    <mergeCell ref="B393:F393"/>
    <mergeCell ref="B396:F396"/>
    <mergeCell ref="B373:D373"/>
    <mergeCell ref="E373:F373"/>
    <mergeCell ref="H373:J373"/>
    <mergeCell ref="K373:L373"/>
    <mergeCell ref="N373:P373"/>
    <mergeCell ref="Q373:R373"/>
    <mergeCell ref="H369:L369"/>
    <mergeCell ref="N369:R369"/>
    <mergeCell ref="D371:F371"/>
    <mergeCell ref="J371:L371"/>
    <mergeCell ref="P371:R371"/>
    <mergeCell ref="C372:E372"/>
    <mergeCell ref="I372:K372"/>
    <mergeCell ref="O372:Q372"/>
    <mergeCell ref="B369:F369"/>
    <mergeCell ref="H366:L366"/>
    <mergeCell ref="N366:R366"/>
    <mergeCell ref="B367:F367"/>
    <mergeCell ref="H367:L367"/>
    <mergeCell ref="N367:R367"/>
    <mergeCell ref="B368:F368"/>
    <mergeCell ref="H368:L368"/>
    <mergeCell ref="N368:R368"/>
    <mergeCell ref="H345:J345"/>
    <mergeCell ref="K345:L345"/>
    <mergeCell ref="N345:P345"/>
    <mergeCell ref="Q345:R345"/>
    <mergeCell ref="B365:F365"/>
    <mergeCell ref="H365:L365"/>
    <mergeCell ref="N365:R365"/>
    <mergeCell ref="B366:F366"/>
    <mergeCell ref="B345:D345"/>
    <mergeCell ref="E345:F345"/>
    <mergeCell ref="D343:F343"/>
    <mergeCell ref="J343:L343"/>
    <mergeCell ref="P343:R343"/>
    <mergeCell ref="C344:E344"/>
    <mergeCell ref="I344:K344"/>
    <mergeCell ref="O344:Q344"/>
    <mergeCell ref="B340:F340"/>
    <mergeCell ref="H340:L340"/>
    <mergeCell ref="N340:R340"/>
    <mergeCell ref="D342:F342"/>
    <mergeCell ref="J342:L342"/>
    <mergeCell ref="P342:R342"/>
    <mergeCell ref="B338:F338"/>
    <mergeCell ref="H338:L338"/>
    <mergeCell ref="N338:R338"/>
    <mergeCell ref="B339:F339"/>
    <mergeCell ref="H339:L339"/>
    <mergeCell ref="N339:R339"/>
    <mergeCell ref="B336:F336"/>
    <mergeCell ref="H336:L336"/>
    <mergeCell ref="N336:R336"/>
    <mergeCell ref="B337:F337"/>
    <mergeCell ref="H337:L337"/>
    <mergeCell ref="N337:R337"/>
    <mergeCell ref="C315:E315"/>
    <mergeCell ref="I315:K315"/>
    <mergeCell ref="O315:Q315"/>
    <mergeCell ref="B316:D316"/>
    <mergeCell ref="E316:F316"/>
    <mergeCell ref="H316:J316"/>
    <mergeCell ref="K316:L316"/>
    <mergeCell ref="N316:P316"/>
    <mergeCell ref="Q316:R316"/>
    <mergeCell ref="H311:L311"/>
    <mergeCell ref="N311:R311"/>
    <mergeCell ref="B312:F312"/>
    <mergeCell ref="H312:L312"/>
    <mergeCell ref="N312:R312"/>
    <mergeCell ref="D314:F314"/>
    <mergeCell ref="J314:L314"/>
    <mergeCell ref="P314:R314"/>
    <mergeCell ref="H308:L308"/>
    <mergeCell ref="N308:R308"/>
    <mergeCell ref="B309:F309"/>
    <mergeCell ref="H309:L309"/>
    <mergeCell ref="N309:R309"/>
    <mergeCell ref="B310:F310"/>
    <mergeCell ref="H310:L310"/>
    <mergeCell ref="N310:R310"/>
    <mergeCell ref="B308:F308"/>
    <mergeCell ref="B311:F311"/>
    <mergeCell ref="C287:E287"/>
    <mergeCell ref="I287:K287"/>
    <mergeCell ref="O287:Q287"/>
    <mergeCell ref="B288:D288"/>
    <mergeCell ref="E288:F288"/>
    <mergeCell ref="H288:J288"/>
    <mergeCell ref="K288:L288"/>
    <mergeCell ref="N288:P288"/>
    <mergeCell ref="Q288:R288"/>
    <mergeCell ref="D285:F285"/>
    <mergeCell ref="J285:L285"/>
    <mergeCell ref="P285:R285"/>
    <mergeCell ref="D286:F286"/>
    <mergeCell ref="J286:L286"/>
    <mergeCell ref="P286:R286"/>
    <mergeCell ref="H281:L281"/>
    <mergeCell ref="N281:R281"/>
    <mergeCell ref="B282:F282"/>
    <mergeCell ref="H282:L282"/>
    <mergeCell ref="N282:R282"/>
    <mergeCell ref="B283:F283"/>
    <mergeCell ref="H283:L283"/>
    <mergeCell ref="N283:R283"/>
    <mergeCell ref="B281:F281"/>
    <mergeCell ref="Q259:R259"/>
    <mergeCell ref="B279:F279"/>
    <mergeCell ref="H279:L279"/>
    <mergeCell ref="N279:R279"/>
    <mergeCell ref="B280:F280"/>
    <mergeCell ref="H280:L280"/>
    <mergeCell ref="N280:R280"/>
    <mergeCell ref="J257:L257"/>
    <mergeCell ref="P257:R257"/>
    <mergeCell ref="C258:E258"/>
    <mergeCell ref="I258:K258"/>
    <mergeCell ref="O258:Q258"/>
    <mergeCell ref="B259:D259"/>
    <mergeCell ref="E259:F259"/>
    <mergeCell ref="H259:J259"/>
    <mergeCell ref="K259:L259"/>
    <mergeCell ref="N259:P259"/>
    <mergeCell ref="D257:F257"/>
    <mergeCell ref="B254:F254"/>
    <mergeCell ref="H254:L254"/>
    <mergeCell ref="N254:R254"/>
    <mergeCell ref="B255:F255"/>
    <mergeCell ref="H255:L255"/>
    <mergeCell ref="N255:R255"/>
    <mergeCell ref="B252:F252"/>
    <mergeCell ref="H252:L252"/>
    <mergeCell ref="N252:R252"/>
    <mergeCell ref="B253:F253"/>
    <mergeCell ref="H253:L253"/>
    <mergeCell ref="N253:R253"/>
    <mergeCell ref="H231:J231"/>
    <mergeCell ref="K231:L231"/>
    <mergeCell ref="N231:P231"/>
    <mergeCell ref="Q231:R231"/>
    <mergeCell ref="B251:F251"/>
    <mergeCell ref="H251:L251"/>
    <mergeCell ref="N251:R251"/>
    <mergeCell ref="J228:L228"/>
    <mergeCell ref="P228:R228"/>
    <mergeCell ref="D229:F229"/>
    <mergeCell ref="J229:L229"/>
    <mergeCell ref="P229:R229"/>
    <mergeCell ref="C230:E230"/>
    <mergeCell ref="I230:K230"/>
    <mergeCell ref="O230:Q230"/>
    <mergeCell ref="D228:F228"/>
    <mergeCell ref="B231:D231"/>
    <mergeCell ref="E231:F231"/>
    <mergeCell ref="N226:R226"/>
    <mergeCell ref="H222:L222"/>
    <mergeCell ref="N222:R222"/>
    <mergeCell ref="B223:F223"/>
    <mergeCell ref="H223:L223"/>
    <mergeCell ref="N223:R223"/>
    <mergeCell ref="B224:F224"/>
    <mergeCell ref="H224:L224"/>
    <mergeCell ref="N224:R224"/>
    <mergeCell ref="B222:F222"/>
    <mergeCell ref="B226:F226"/>
    <mergeCell ref="H226:L226"/>
    <mergeCell ref="O201:Q201"/>
    <mergeCell ref="B202:D202"/>
    <mergeCell ref="E202:F202"/>
    <mergeCell ref="H202:J202"/>
    <mergeCell ref="K202:L202"/>
    <mergeCell ref="N202:P202"/>
    <mergeCell ref="Q202:R202"/>
    <mergeCell ref="B225:F225"/>
    <mergeCell ref="H225:L225"/>
    <mergeCell ref="N225:R225"/>
    <mergeCell ref="C201:E201"/>
    <mergeCell ref="I201:K201"/>
    <mergeCell ref="N198:R198"/>
    <mergeCell ref="D200:F200"/>
    <mergeCell ref="J200:L200"/>
    <mergeCell ref="P200:R200"/>
    <mergeCell ref="B196:F196"/>
    <mergeCell ref="H196:L196"/>
    <mergeCell ref="N196:R196"/>
    <mergeCell ref="B197:F197"/>
    <mergeCell ref="H197:L197"/>
    <mergeCell ref="N197:R197"/>
    <mergeCell ref="B198:F198"/>
    <mergeCell ref="H198:L198"/>
    <mergeCell ref="Q174:R174"/>
    <mergeCell ref="B194:F194"/>
    <mergeCell ref="H194:L194"/>
    <mergeCell ref="N194:R194"/>
    <mergeCell ref="B195:F195"/>
    <mergeCell ref="H195:L195"/>
    <mergeCell ref="N195:R195"/>
    <mergeCell ref="J172:L172"/>
    <mergeCell ref="P172:R172"/>
    <mergeCell ref="C173:E173"/>
    <mergeCell ref="I173:K173"/>
    <mergeCell ref="O173:Q173"/>
    <mergeCell ref="B174:D174"/>
    <mergeCell ref="E174:F174"/>
    <mergeCell ref="H174:J174"/>
    <mergeCell ref="K174:L174"/>
    <mergeCell ref="N174:P174"/>
    <mergeCell ref="D172:F172"/>
    <mergeCell ref="N168:R168"/>
    <mergeCell ref="B169:F169"/>
    <mergeCell ref="H169:L169"/>
    <mergeCell ref="N169:R169"/>
    <mergeCell ref="D171:F171"/>
    <mergeCell ref="J171:L171"/>
    <mergeCell ref="P171:R171"/>
    <mergeCell ref="H165:L165"/>
    <mergeCell ref="N165:R165"/>
    <mergeCell ref="B166:F166"/>
    <mergeCell ref="H166:L166"/>
    <mergeCell ref="N166:R166"/>
    <mergeCell ref="B167:F167"/>
    <mergeCell ref="H167:L167"/>
    <mergeCell ref="N167:R167"/>
    <mergeCell ref="B165:F165"/>
    <mergeCell ref="B168:F168"/>
    <mergeCell ref="H168:L168"/>
    <mergeCell ref="O144:Q144"/>
    <mergeCell ref="B145:D145"/>
    <mergeCell ref="E145:F145"/>
    <mergeCell ref="H145:J145"/>
    <mergeCell ref="K145:L145"/>
    <mergeCell ref="N145:P145"/>
    <mergeCell ref="Q145:R145"/>
    <mergeCell ref="H140:L140"/>
    <mergeCell ref="N140:R140"/>
    <mergeCell ref="B141:F141"/>
    <mergeCell ref="H141:L141"/>
    <mergeCell ref="N141:R141"/>
    <mergeCell ref="D143:F143"/>
    <mergeCell ref="J143:L143"/>
    <mergeCell ref="P143:R143"/>
    <mergeCell ref="C144:E144"/>
    <mergeCell ref="B140:F140"/>
    <mergeCell ref="I144:K144"/>
    <mergeCell ref="N137:R137"/>
    <mergeCell ref="B138:F138"/>
    <mergeCell ref="H138:L138"/>
    <mergeCell ref="N138:R138"/>
    <mergeCell ref="B139:F139"/>
    <mergeCell ref="H139:L139"/>
    <mergeCell ref="N139:R139"/>
    <mergeCell ref="B117:D117"/>
    <mergeCell ref="E117:F117"/>
    <mergeCell ref="H117:J117"/>
    <mergeCell ref="K117:L117"/>
    <mergeCell ref="N117:P117"/>
    <mergeCell ref="Q117:R117"/>
    <mergeCell ref="B137:F137"/>
    <mergeCell ref="P115:R115"/>
    <mergeCell ref="C116:E116"/>
    <mergeCell ref="I116:K116"/>
    <mergeCell ref="O116:Q116"/>
    <mergeCell ref="B112:F112"/>
    <mergeCell ref="H112:L112"/>
    <mergeCell ref="N112:R112"/>
    <mergeCell ref="D114:F114"/>
    <mergeCell ref="J114:L114"/>
    <mergeCell ref="P114:R114"/>
    <mergeCell ref="N110:R110"/>
    <mergeCell ref="B111:F111"/>
    <mergeCell ref="H111:L111"/>
    <mergeCell ref="N111:R111"/>
    <mergeCell ref="B108:F108"/>
    <mergeCell ref="H108:L108"/>
    <mergeCell ref="N108:R108"/>
    <mergeCell ref="B109:F109"/>
    <mergeCell ref="H109:L109"/>
    <mergeCell ref="N109:R109"/>
    <mergeCell ref="O87:Q87"/>
    <mergeCell ref="B88:D88"/>
    <mergeCell ref="E88:F88"/>
    <mergeCell ref="H88:J88"/>
    <mergeCell ref="K88:L88"/>
    <mergeCell ref="N88:P88"/>
    <mergeCell ref="Q88:R88"/>
    <mergeCell ref="H83:L83"/>
    <mergeCell ref="N83:R83"/>
    <mergeCell ref="B84:F84"/>
    <mergeCell ref="H84:L84"/>
    <mergeCell ref="N84:R84"/>
    <mergeCell ref="D86:F86"/>
    <mergeCell ref="J86:L86"/>
    <mergeCell ref="P86:R86"/>
    <mergeCell ref="B83:F83"/>
    <mergeCell ref="C87:E87"/>
    <mergeCell ref="N80:R80"/>
    <mergeCell ref="B81:F81"/>
    <mergeCell ref="H81:L81"/>
    <mergeCell ref="N81:R81"/>
    <mergeCell ref="B82:F82"/>
    <mergeCell ref="H82:L82"/>
    <mergeCell ref="N82:R82"/>
    <mergeCell ref="B60:D60"/>
    <mergeCell ref="E60:F60"/>
    <mergeCell ref="H60:J60"/>
    <mergeCell ref="K60:L60"/>
    <mergeCell ref="N60:P60"/>
    <mergeCell ref="Q60:R60"/>
    <mergeCell ref="B80:F80"/>
    <mergeCell ref="N23:R23"/>
    <mergeCell ref="N54:R54"/>
    <mergeCell ref="B55:F55"/>
    <mergeCell ref="H55:L55"/>
    <mergeCell ref="N55:R55"/>
    <mergeCell ref="D57:F57"/>
    <mergeCell ref="J57:L57"/>
    <mergeCell ref="P57:R57"/>
    <mergeCell ref="B54:F54"/>
    <mergeCell ref="N24:R24"/>
    <mergeCell ref="N25:R25"/>
    <mergeCell ref="H26:L26"/>
    <mergeCell ref="H27:L27"/>
    <mergeCell ref="J29:L29"/>
    <mergeCell ref="B53:F53"/>
    <mergeCell ref="H53:L53"/>
    <mergeCell ref="N53:R53"/>
    <mergeCell ref="O59:Q59"/>
    <mergeCell ref="J1:L1"/>
    <mergeCell ref="P1:R1"/>
    <mergeCell ref="C30:E30"/>
    <mergeCell ref="I30:K30"/>
    <mergeCell ref="O30:Q30"/>
    <mergeCell ref="B31:D31"/>
    <mergeCell ref="E31:F31"/>
    <mergeCell ref="H31:J31"/>
    <mergeCell ref="K31:L31"/>
    <mergeCell ref="N31:P31"/>
    <mergeCell ref="N26:R26"/>
    <mergeCell ref="N27:R27"/>
    <mergeCell ref="P29:R29"/>
    <mergeCell ref="Q31:R31"/>
    <mergeCell ref="O2:Q2"/>
    <mergeCell ref="N3:P3"/>
    <mergeCell ref="I2:K2"/>
    <mergeCell ref="H3:J3"/>
    <mergeCell ref="K3:L3"/>
    <mergeCell ref="H23:L23"/>
    <mergeCell ref="H24:L24"/>
    <mergeCell ref="H25:L25"/>
    <mergeCell ref="Q3:R3"/>
    <mergeCell ref="C59:E59"/>
    <mergeCell ref="I59:K59"/>
    <mergeCell ref="H80:L80"/>
    <mergeCell ref="I87:K87"/>
    <mergeCell ref="B110:F110"/>
    <mergeCell ref="H110:L110"/>
    <mergeCell ref="D115:F115"/>
    <mergeCell ref="J115:L115"/>
    <mergeCell ref="H137:L137"/>
    <mergeCell ref="D58:F58"/>
    <mergeCell ref="J58:L58"/>
    <mergeCell ref="P58:R58"/>
    <mergeCell ref="H54:L54"/>
    <mergeCell ref="B51:F51"/>
    <mergeCell ref="D29:F29"/>
    <mergeCell ref="H51:L51"/>
    <mergeCell ref="N51:R51"/>
    <mergeCell ref="B52:F52"/>
    <mergeCell ref="H52:L52"/>
    <mergeCell ref="N52:R52"/>
    <mergeCell ref="D1:F1"/>
    <mergeCell ref="B3:D3"/>
    <mergeCell ref="E3:F3"/>
    <mergeCell ref="C2:E2"/>
    <mergeCell ref="B24:F24"/>
    <mergeCell ref="B25:F25"/>
    <mergeCell ref="B26:F26"/>
    <mergeCell ref="B27:F27"/>
    <mergeCell ref="B23:F23"/>
  </mergeCells>
  <pageMargins left="0" right="0" top="0" bottom="0" header="0" footer="0"/>
  <pageSetup paperSize="9" scale="96" orientation="portrait" r:id="rId1"/>
  <rowBreaks count="9" manualBreakCount="9">
    <brk id="57" max="16383" man="1"/>
    <brk id="114" max="16383" man="1"/>
    <brk id="171" max="16383" man="1"/>
    <brk id="228" max="16383" man="1"/>
    <brk id="285" max="16383" man="1"/>
    <brk id="342" max="16383" man="1"/>
    <brk id="399" max="16383" man="1"/>
    <brk id="456" max="16383" man="1"/>
    <brk id="513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VedautrangHb">
                <anchor moveWithCells="1" sizeWithCells="1">
                  <from>
                    <xdr:col>8</xdr:col>
                    <xdr:colOff>106680</xdr:colOff>
                    <xdr:row>514</xdr:row>
                    <xdr:rowOff>76200</xdr:rowOff>
                  </from>
                  <to>
                    <xdr:col>10</xdr:col>
                    <xdr:colOff>335280</xdr:colOff>
                    <xdr:row>515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Nhapdiemhk2">
                <anchor moveWithCells="1" sizeWithCells="1">
                  <from>
                    <xdr:col>20</xdr:col>
                    <xdr:colOff>220980</xdr:colOff>
                    <xdr:row>5</xdr:row>
                    <xdr:rowOff>30480</xdr:rowOff>
                  </from>
                  <to>
                    <xdr:col>22</xdr:col>
                    <xdr:colOff>411480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Nhapdiemhk1">
                <anchor moveWithCells="1" sizeWithCells="1">
                  <from>
                    <xdr:col>20</xdr:col>
                    <xdr:colOff>213360</xdr:colOff>
                    <xdr:row>3</xdr:row>
                    <xdr:rowOff>76200</xdr:rowOff>
                  </from>
                  <to>
                    <xdr:col>22</xdr:col>
                    <xdr:colOff>403860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3" tint="0.39997558519241921"/>
  </sheetPr>
  <dimension ref="A1:CL77"/>
  <sheetViews>
    <sheetView workbookViewId="0">
      <pane xSplit="6" ySplit="2" topLeftCell="G3" activePane="bottomRight" state="frozen"/>
      <selection activeCell="P11" sqref="P11"/>
      <selection pane="topRight" activeCell="P11" sqref="P11"/>
      <selection pane="bottomLeft" activeCell="P11" sqref="P11"/>
      <selection pane="bottomRight" activeCell="P11" sqref="P11"/>
    </sheetView>
  </sheetViews>
  <sheetFormatPr defaultColWidth="9.109375" defaultRowHeight="13.8"/>
  <cols>
    <col min="1" max="1" width="11.44140625" style="759" customWidth="1"/>
    <col min="2" max="2" width="5.109375" style="758" customWidth="1"/>
    <col min="3" max="3" width="17.33203125" style="758" hidden="1" customWidth="1"/>
    <col min="4" max="4" width="20.109375" style="758" customWidth="1"/>
    <col min="5" max="5" width="9.44140625" style="758" customWidth="1"/>
    <col min="6" max="6" width="12.5546875" style="758" customWidth="1"/>
    <col min="7" max="7" width="9.44140625" style="758" customWidth="1"/>
    <col min="8" max="8" width="6.6640625" style="758" hidden="1" customWidth="1"/>
    <col min="9" max="9" width="36.109375" style="784" customWidth="1"/>
    <col min="10" max="11" width="8.44140625" style="758" hidden="1" customWidth="1"/>
    <col min="12" max="12" width="8.44140625" style="758" customWidth="1"/>
    <col min="13" max="13" width="9.44140625" style="758" customWidth="1"/>
    <col min="14" max="14" width="6.6640625" style="758" hidden="1" customWidth="1"/>
    <col min="15" max="15" width="36.109375" style="784" customWidth="1"/>
    <col min="16" max="17" width="8.44140625" style="758" hidden="1" customWidth="1"/>
    <col min="18" max="18" width="8.44140625" style="758" customWidth="1"/>
    <col min="19" max="19" width="9.44140625" style="758" customWidth="1"/>
    <col min="20" max="20" width="6.6640625" style="758" hidden="1" customWidth="1"/>
    <col min="21" max="21" width="36.109375" style="784" customWidth="1"/>
    <col min="22" max="23" width="8.44140625" style="758" hidden="1" customWidth="1"/>
    <col min="24" max="24" width="8.44140625" style="758" customWidth="1"/>
    <col min="25" max="25" width="9.44140625" style="758" customWidth="1"/>
    <col min="26" max="26" width="6.6640625" style="758" hidden="1" customWidth="1"/>
    <col min="27" max="27" width="52.5546875" style="784" customWidth="1"/>
    <col min="28" max="29" width="8.44140625" style="758" hidden="1" customWidth="1"/>
    <col min="30" max="30" width="8.44140625" style="758" customWidth="1"/>
    <col min="31" max="31" width="9.44140625" style="758" customWidth="1"/>
    <col min="32" max="32" width="6.6640625" style="758" hidden="1" customWidth="1"/>
    <col min="33" max="33" width="36.109375" style="784" customWidth="1"/>
    <col min="34" max="35" width="8.44140625" style="758" hidden="1" customWidth="1"/>
    <col min="36" max="36" width="8.44140625" style="758" customWidth="1"/>
    <col min="37" max="37" width="9.44140625" style="758" customWidth="1"/>
    <col min="38" max="38" width="6.6640625" style="758" hidden="1" customWidth="1"/>
    <col min="39" max="39" width="36.109375" style="784" customWidth="1"/>
    <col min="40" max="41" width="8.44140625" style="758" hidden="1" customWidth="1"/>
    <col min="42" max="42" width="8.44140625" style="758" customWidth="1"/>
    <col min="43" max="43" width="9.44140625" style="758" customWidth="1"/>
    <col min="44" max="44" width="6.6640625" style="758" hidden="1" customWidth="1"/>
    <col min="45" max="45" width="36.109375" style="784" customWidth="1"/>
    <col min="46" max="47" width="8.44140625" style="758" hidden="1" customWidth="1"/>
    <col min="48" max="48" width="8.44140625" style="758" customWidth="1"/>
    <col min="49" max="49" width="9.44140625" style="758" customWidth="1"/>
    <col min="50" max="50" width="6.6640625" style="758" hidden="1" customWidth="1"/>
    <col min="51" max="51" width="36.109375" style="784" customWidth="1"/>
    <col min="52" max="53" width="8.44140625" style="758" hidden="1" customWidth="1"/>
    <col min="54" max="54" width="8.44140625" style="758" customWidth="1"/>
    <col min="55" max="55" width="9.44140625" style="758" customWidth="1"/>
    <col min="56" max="56" width="6.6640625" style="758" hidden="1" customWidth="1"/>
    <col min="57" max="57" width="36.109375" style="784" customWidth="1"/>
    <col min="58" max="59" width="8.44140625" style="758" hidden="1" customWidth="1"/>
    <col min="60" max="60" width="8.44140625" style="758" customWidth="1"/>
    <col min="61" max="61" width="9.44140625" style="758" customWidth="1"/>
    <col min="62" max="62" width="6.6640625" style="758" hidden="1" customWidth="1"/>
    <col min="63" max="63" width="36.109375" style="784" customWidth="1"/>
    <col min="64" max="65" width="8.44140625" style="758" hidden="1" customWidth="1"/>
    <col min="66" max="66" width="8.44140625" style="758" customWidth="1"/>
    <col min="67" max="67" width="9.44140625" style="758" customWidth="1"/>
    <col min="68" max="68" width="6.6640625" style="758" hidden="1" customWidth="1"/>
    <col min="69" max="69" width="36.109375" style="784" customWidth="1"/>
    <col min="70" max="71" width="8.44140625" style="758" hidden="1" customWidth="1"/>
    <col min="72" max="72" width="8.44140625" style="758" customWidth="1"/>
    <col min="73" max="73" width="9.44140625" style="758" customWidth="1"/>
    <col min="74" max="74" width="6.6640625" style="758" hidden="1" customWidth="1"/>
    <col min="75" max="75" width="36.109375" style="784" customWidth="1"/>
    <col min="76" max="77" width="8.44140625" style="758" hidden="1" customWidth="1"/>
    <col min="78" max="78" width="8.44140625" style="758" customWidth="1"/>
    <col min="79" max="79" width="9.44140625" style="758" customWidth="1"/>
    <col min="80" max="80" width="6.6640625" style="758" hidden="1" customWidth="1"/>
    <col min="81" max="81" width="36.109375" style="784" customWidth="1"/>
    <col min="82" max="83" width="8.44140625" style="758" hidden="1" customWidth="1"/>
    <col min="84" max="84" width="8.44140625" style="758" customWidth="1"/>
    <col min="85" max="85" width="9.44140625" style="758" customWidth="1"/>
    <col min="86" max="86" width="6.6640625" style="758" hidden="1" customWidth="1"/>
    <col min="87" max="87" width="36.109375" style="784" customWidth="1"/>
    <col min="88" max="89" width="8.44140625" style="758" hidden="1" customWidth="1"/>
    <col min="90" max="90" width="8.44140625" style="758" customWidth="1"/>
    <col min="91" max="16384" width="9.109375" style="759"/>
  </cols>
  <sheetData>
    <row r="1" spans="1:90" ht="28.5" customHeight="1">
      <c r="A1" s="757" t="str">
        <f>IF('Huong dan'!C3&lt;&gt;"",UPPER('Huong dan'!C3),"")</f>
        <v>12A1</v>
      </c>
      <c r="B1" s="1155" t="str">
        <f>IF('Huong dan'!C3&lt;&gt;"","Lớp "&amp;UPPER('Huong dan'!C3),"")</f>
        <v>Lớp 12A1</v>
      </c>
      <c r="C1" s="1155"/>
      <c r="D1" s="1155"/>
      <c r="E1" s="1155"/>
      <c r="F1" s="1155"/>
      <c r="G1" s="1151" t="s">
        <v>363</v>
      </c>
      <c r="H1" s="1152"/>
      <c r="I1" s="1152"/>
      <c r="J1" s="1152"/>
      <c r="K1" s="1152"/>
      <c r="L1" s="797"/>
      <c r="M1" s="1149" t="s">
        <v>364</v>
      </c>
      <c r="N1" s="1150"/>
      <c r="O1" s="1150"/>
      <c r="P1" s="1150"/>
      <c r="Q1" s="1150"/>
      <c r="R1" s="809"/>
      <c r="S1" s="1151" t="s">
        <v>365</v>
      </c>
      <c r="T1" s="1152"/>
      <c r="U1" s="1152"/>
      <c r="V1" s="1152"/>
      <c r="W1" s="1152"/>
      <c r="X1" s="797"/>
      <c r="Y1" s="1149" t="s">
        <v>366</v>
      </c>
      <c r="Z1" s="1150"/>
      <c r="AA1" s="1150"/>
      <c r="AB1" s="1150"/>
      <c r="AC1" s="1150"/>
      <c r="AD1" s="809"/>
      <c r="AE1" s="1151" t="s">
        <v>367</v>
      </c>
      <c r="AF1" s="1152"/>
      <c r="AG1" s="1152"/>
      <c r="AH1" s="1152"/>
      <c r="AI1" s="1152"/>
      <c r="AJ1" s="797"/>
      <c r="AK1" s="1149" t="s">
        <v>368</v>
      </c>
      <c r="AL1" s="1150"/>
      <c r="AM1" s="1150"/>
      <c r="AN1" s="1150"/>
      <c r="AO1" s="1150"/>
      <c r="AP1" s="809"/>
      <c r="AQ1" s="1151" t="s">
        <v>369</v>
      </c>
      <c r="AR1" s="1152"/>
      <c r="AS1" s="1152"/>
      <c r="AT1" s="1152"/>
      <c r="AU1" s="1152"/>
      <c r="AV1" s="797"/>
      <c r="AW1" s="1149" t="s">
        <v>370</v>
      </c>
      <c r="AX1" s="1150"/>
      <c r="AY1" s="1150"/>
      <c r="AZ1" s="1150"/>
      <c r="BA1" s="1150"/>
      <c r="BB1" s="809"/>
      <c r="BC1" s="1151" t="s">
        <v>371</v>
      </c>
      <c r="BD1" s="1152"/>
      <c r="BE1" s="1152"/>
      <c r="BF1" s="1152"/>
      <c r="BG1" s="1152"/>
      <c r="BH1" s="797"/>
      <c r="BI1" s="1149" t="s">
        <v>372</v>
      </c>
      <c r="BJ1" s="1150"/>
      <c r="BK1" s="1150"/>
      <c r="BL1" s="1150"/>
      <c r="BM1" s="1150"/>
      <c r="BN1" s="809"/>
      <c r="BO1" s="1151" t="s">
        <v>373</v>
      </c>
      <c r="BP1" s="1152"/>
      <c r="BQ1" s="1152"/>
      <c r="BR1" s="1152"/>
      <c r="BS1" s="1152"/>
      <c r="BT1" s="797"/>
      <c r="BU1" s="1149" t="s">
        <v>374</v>
      </c>
      <c r="BV1" s="1150"/>
      <c r="BW1" s="1150"/>
      <c r="BX1" s="1150"/>
      <c r="BY1" s="1150"/>
      <c r="BZ1" s="809"/>
      <c r="CA1" s="1151" t="s">
        <v>375</v>
      </c>
      <c r="CB1" s="1152"/>
      <c r="CC1" s="1152"/>
      <c r="CD1" s="1152"/>
      <c r="CE1" s="1152"/>
      <c r="CF1" s="797"/>
      <c r="CG1" s="1149" t="s">
        <v>376</v>
      </c>
      <c r="CH1" s="1150"/>
      <c r="CI1" s="1150"/>
      <c r="CJ1" s="1150"/>
      <c r="CK1" s="1150"/>
      <c r="CL1" s="809"/>
    </row>
    <row r="2" spans="1:90" s="763" customFormat="1" ht="41.25" customHeight="1">
      <c r="A2" s="795"/>
      <c r="B2" s="760" t="s">
        <v>0</v>
      </c>
      <c r="C2" s="760"/>
      <c r="D2" s="1153" t="s">
        <v>1</v>
      </c>
      <c r="E2" s="1154"/>
      <c r="F2" s="761" t="s">
        <v>2</v>
      </c>
      <c r="G2" s="762" t="s">
        <v>298</v>
      </c>
      <c r="H2" s="790"/>
      <c r="I2" s="837" t="s">
        <v>295</v>
      </c>
      <c r="J2" s="762"/>
      <c r="K2" s="790"/>
      <c r="L2" s="761" t="s">
        <v>126</v>
      </c>
      <c r="M2" s="762" t="s">
        <v>298</v>
      </c>
      <c r="N2" s="790"/>
      <c r="O2" s="837" t="s">
        <v>295</v>
      </c>
      <c r="P2" s="762"/>
      <c r="Q2" s="790"/>
      <c r="R2" s="761" t="s">
        <v>126</v>
      </c>
      <c r="S2" s="762" t="s">
        <v>298</v>
      </c>
      <c r="T2" s="790"/>
      <c r="U2" s="837" t="s">
        <v>295</v>
      </c>
      <c r="V2" s="762"/>
      <c r="W2" s="790"/>
      <c r="X2" s="761" t="s">
        <v>126</v>
      </c>
      <c r="Y2" s="762" t="s">
        <v>298</v>
      </c>
      <c r="Z2" s="790"/>
      <c r="AA2" s="837" t="s">
        <v>295</v>
      </c>
      <c r="AB2" s="762"/>
      <c r="AC2" s="790"/>
      <c r="AD2" s="761" t="s">
        <v>126</v>
      </c>
      <c r="AE2" s="762" t="s">
        <v>298</v>
      </c>
      <c r="AF2" s="790"/>
      <c r="AG2" s="837" t="s">
        <v>295</v>
      </c>
      <c r="AH2" s="762"/>
      <c r="AI2" s="790"/>
      <c r="AJ2" s="761" t="s">
        <v>126</v>
      </c>
      <c r="AK2" s="762" t="s">
        <v>298</v>
      </c>
      <c r="AL2" s="790"/>
      <c r="AM2" s="837" t="s">
        <v>295</v>
      </c>
      <c r="AN2" s="762"/>
      <c r="AO2" s="790"/>
      <c r="AP2" s="761" t="s">
        <v>126</v>
      </c>
      <c r="AQ2" s="762" t="s">
        <v>298</v>
      </c>
      <c r="AR2" s="790"/>
      <c r="AS2" s="837" t="s">
        <v>295</v>
      </c>
      <c r="AT2" s="762"/>
      <c r="AU2" s="790"/>
      <c r="AV2" s="761" t="s">
        <v>126</v>
      </c>
      <c r="AW2" s="762" t="s">
        <v>298</v>
      </c>
      <c r="AX2" s="790"/>
      <c r="AY2" s="837" t="s">
        <v>295</v>
      </c>
      <c r="AZ2" s="762"/>
      <c r="BA2" s="790"/>
      <c r="BB2" s="761" t="s">
        <v>126</v>
      </c>
      <c r="BC2" s="762" t="s">
        <v>298</v>
      </c>
      <c r="BD2" s="790"/>
      <c r="BE2" s="837" t="s">
        <v>295</v>
      </c>
      <c r="BF2" s="762"/>
      <c r="BG2" s="790"/>
      <c r="BH2" s="761" t="s">
        <v>126</v>
      </c>
      <c r="BI2" s="762" t="s">
        <v>298</v>
      </c>
      <c r="BJ2" s="790"/>
      <c r="BK2" s="837" t="s">
        <v>295</v>
      </c>
      <c r="BL2" s="762"/>
      <c r="BM2" s="790"/>
      <c r="BN2" s="761" t="s">
        <v>126</v>
      </c>
      <c r="BO2" s="762" t="s">
        <v>298</v>
      </c>
      <c r="BP2" s="790"/>
      <c r="BQ2" s="837" t="s">
        <v>295</v>
      </c>
      <c r="BR2" s="762"/>
      <c r="BS2" s="790"/>
      <c r="BT2" s="761" t="s">
        <v>126</v>
      </c>
      <c r="BU2" s="762" t="s">
        <v>298</v>
      </c>
      <c r="BV2" s="790"/>
      <c r="BW2" s="837" t="s">
        <v>295</v>
      </c>
      <c r="BX2" s="762"/>
      <c r="BY2" s="790"/>
      <c r="BZ2" s="761" t="s">
        <v>126</v>
      </c>
      <c r="CA2" s="762" t="s">
        <v>298</v>
      </c>
      <c r="CB2" s="790"/>
      <c r="CC2" s="837" t="s">
        <v>295</v>
      </c>
      <c r="CD2" s="762"/>
      <c r="CE2" s="790"/>
      <c r="CF2" s="761" t="s">
        <v>126</v>
      </c>
      <c r="CG2" s="762" t="s">
        <v>298</v>
      </c>
      <c r="CH2" s="790"/>
      <c r="CI2" s="837" t="s">
        <v>295</v>
      </c>
      <c r="CJ2" s="762"/>
      <c r="CK2" s="790"/>
      <c r="CL2" s="761" t="s">
        <v>126</v>
      </c>
    </row>
    <row r="3" spans="1:90" ht="15" customHeight="1">
      <c r="A3" s="764"/>
      <c r="B3" s="765">
        <f>IF(COUNTA(DiemHKI!$C$4:$C$58)&gt;=1,MIN(DiemHKI!$B$4:$B$58),"")</f>
        <v>1</v>
      </c>
      <c r="C3" s="765" t="str">
        <f>IF(B3="","",A$1&amp;TRIM(D3)&amp;TRIM(E3)&amp;F3)</f>
        <v>12A1Phạm Huỳnh HiệpAn16/10/2004</v>
      </c>
      <c r="D3" s="766" t="str">
        <f>IF($B3&lt;&gt;"",PROPER(INDEX(BDHKI,MATCH($B3,DiemHKI!$B$4:$B$58,0),3)),"")</f>
        <v>Phạm Huỳnh Hiệp</v>
      </c>
      <c r="E3" s="767" t="str">
        <f>IF($B3&lt;&gt;"",PROPER(INDEX(BDHKI,MATCH($B3,DiemHKI!$B$4:$B$58,0),4)),"")</f>
        <v>An</v>
      </c>
      <c r="F3" s="768" t="str">
        <f>IF($B3&lt;&gt;"",PROPER(INDEX(BDHKI,MATCH($B3,DiemHKI!$B$4:$B$58,0),5)),"")</f>
        <v>16/10/2004</v>
      </c>
      <c r="G3" s="769">
        <f>IF($B3="","",IF(INDEX(BDHKI,MATCH($C3,DiemHKI!$DI$4:$DI$58,0),G$59)&lt;&gt;"",INDEX(BDHKI,MATCH($C3,DiemHKI!$DI$4:$DI$58,0),G$59),""))</f>
        <v>9.4</v>
      </c>
      <c r="H3" s="791">
        <f>IF(G3="","",IF(G3&gt;=9,1,IF(G3&gt;=8.5,2,IF(G3&gt;=8,3,IF(G3&gt;=7.5,4,IF(G3&gt;=7,5,IF(G3&gt;=6.5,6,IF(G3&gt;=6,7,IF(G3&gt;=5.5,8,IF(G3&gt;=5,9,IF(G3&gt;=4.5,10,IF(G3&gt;=4,11,IF(G3&gt;=3.5,12,IF(G3&gt;=3,13,IF(G3&gt;=2.5,14,IF(G3&gt;=0,15,""))))))))))))))))</f>
        <v>1</v>
      </c>
      <c r="I3" s="770" t="str">
        <f>IF(H3="","",VLOOKUP(H3,$G$61:$K$75,K3,0))</f>
        <v>Em chăm chỉ, chuyên cần, rất tích cực, rất đáng khen.</v>
      </c>
      <c r="J3" s="769"/>
      <c r="K3" s="791">
        <v>3</v>
      </c>
      <c r="L3" s="768"/>
      <c r="M3" s="769">
        <f>IF($B3="","",IF(INDEX(BDHKI,MATCH($C3,DiemHKI!$DI$4:$DI$58,0),M$59)&lt;&gt;"",INDEX(BDHKI,MATCH($C3,DiemHKI!$DI$4:$DI$58,0),M$59),""))</f>
        <v>9.5</v>
      </c>
      <c r="N3" s="791">
        <f>IF(M3="","",IF(M3&gt;=9,1,IF(M3&gt;=8.5,2,IF(M3&gt;=8,3,IF(M3&gt;=7.5,4,IF(M3&gt;=7,5,IF(M3&gt;=6.5,6,IF(M3&gt;=6,7,IF(M3&gt;=5.5,8,IF(M3&gt;=5,9,IF(M3&gt;=4.5,10,IF(M3&gt;=4,11,IF(M3&gt;=3.5,12,IF(M3&gt;=3,13,IF(M3&gt;=2.5,14,IF(M3&gt;=0,15,""))))))))))))))))</f>
        <v>1</v>
      </c>
      <c r="O3" s="770" t="str">
        <f>IF(N3="","",VLOOKUP(N3,$M$61:$Q$75,K3,0))</f>
        <v>Em chăm chỉ, chuyên cần, rất tích cực, rất đáng khen.</v>
      </c>
      <c r="P3" s="769"/>
      <c r="Q3" s="791"/>
      <c r="R3" s="768"/>
      <c r="S3" s="769">
        <f>IF($B3="","",IF(INDEX(BDHKI,MATCH($C3,DiemHKI!$DI$4:$DI$58,0),S$59)&lt;&gt;"",INDEX(BDHKI,MATCH($C3,DiemHKI!$DI$4:$DI$58,0),S$59),""))</f>
        <v>9.3000000000000007</v>
      </c>
      <c r="T3" s="791">
        <f>IF(S3="","",IF(S3&gt;=9,1,IF(S3&gt;=8.5,2,IF(S3&gt;=8,3,IF(S3&gt;=7.5,4,IF(S3&gt;=7,5,IF(S3&gt;=6.5,6,IF(S3&gt;=6,7,IF(S3&gt;=5.5,8,IF(S3&gt;=5,9,IF(S3&gt;=4.5,10,IF(S3&gt;=4,11,IF(S3&gt;=3.5,12,IF(S3&gt;=3,13,IF(S3&gt;=2.5,14,IF(S3&gt;=0,15,""))))))))))))))))</f>
        <v>1</v>
      </c>
      <c r="U3" s="770" t="str">
        <f>IF(T3="","",VLOOKUP(T3,$S$61:$W$75,K3,0))</f>
        <v>Học giỏi, thông minh, cần phát huy.</v>
      </c>
      <c r="V3" s="769"/>
      <c r="W3" s="791"/>
      <c r="X3" s="768"/>
      <c r="Y3" s="769">
        <f>IF($B3="","",IF(INDEX(BDHKI,MATCH($C3,DiemHKI!$DI$4:$DI$58,0),Y$59)&lt;&gt;"",INDEX(BDHKI,MATCH($C3,DiemHKI!$DI$4:$DI$58,0),Y$59),""))</f>
        <v>9</v>
      </c>
      <c r="Z3" s="791">
        <f>IF(Y3="","",IF(Y3&gt;=9,1,IF(Y3&gt;=8.5,2,IF(Y3&gt;=8,3,IF(Y3&gt;=7.5,4,IF(Y3&gt;=7,5,IF(Y3&gt;=6.5,6,IF(Y3&gt;=6,7,IF(Y3&gt;=5.5,8,IF(Y3&gt;=5,9,IF(Y3&gt;=4.5,10,IF(Y3&gt;=4,11,IF(Y3&gt;=3.5,12,IF(Y3&gt;=3,13,IF(Y3&gt;=2.5,14,IF(Y3&gt;=0,15,""))))))))))))))))</f>
        <v>1</v>
      </c>
      <c r="AA3" s="770" t="str">
        <f>IF(Z3="","",VLOOKUP(Z3,$Y$61:$AC$75,K3,0))</f>
        <v>Sáng tạo, hoạt động nhóm rất tốt, biết chia sẻ kết quả học tập với bạn.</v>
      </c>
      <c r="AB3" s="769"/>
      <c r="AC3" s="791"/>
      <c r="AD3" s="768"/>
      <c r="AE3" s="769">
        <f>IF($B3="","",IF(INDEX(BDHKI,MATCH($C3,DiemHKI!$DI$4:$DI$58,0),AE$59)&lt;&gt;"",INDEX(BDHKI,MATCH($C3,DiemHKI!$DI$4:$DI$58,0),AE$59),""))</f>
        <v>9.6</v>
      </c>
      <c r="AF3" s="791">
        <f>IF(AE3="","",IF(AE3&gt;=9,1,IF(AE3&gt;=8.5,2,IF(AE3&gt;=8,3,IF(AE3&gt;=7.5,4,IF(AE3&gt;=7,5,IF(AE3&gt;=6.5,6,IF(AE3&gt;=6,7,IF(AE3&gt;=5.5,8,IF(AE3&gt;=5,9,IF(AE3&gt;=4.5,10,IF(AE3&gt;=4,11,IF(AE3&gt;=3.5,12,IF(AE3&gt;=3,13,IF(AE3&gt;=2.5,14,IF(AE3&gt;=0,15,""))))))))))))))))</f>
        <v>1</v>
      </c>
      <c r="AG3" s="770" t="str">
        <f>IF(AF3="","",VLOOKUP(AF3,$AE$61:$AI$75,K3,0))</f>
        <v>Rất ngoan, cố gắng có hiệu quả.</v>
      </c>
      <c r="AH3" s="769"/>
      <c r="AI3" s="791"/>
      <c r="AJ3" s="768"/>
      <c r="AK3" s="769">
        <f>IF($B3="","",IF(INDEX(BDHKI,MATCH($C3,DiemHKI!$DI$4:$DI$58,0),AK$59)&lt;&gt;"",INDEX(BDHKI,MATCH($C3,DiemHKI!$DI$4:$DI$58,0),AK$59),""))</f>
        <v>7.8</v>
      </c>
      <c r="AL3" s="791">
        <f>IF(AK3="","",IF(AK3&gt;=9,1,IF(AK3&gt;=8.5,2,IF(AK3&gt;=8,3,IF(AK3&gt;=7.5,4,IF(AK3&gt;=7,5,IF(AK3&gt;=6.5,6,IF(AK3&gt;=6,7,IF(AK3&gt;=5.5,8,IF(AK3&gt;=5,9,IF(AK3&gt;=4.5,10,IF(AK3&gt;=4,11,IF(AK3&gt;=3.5,12,IF(AK3&gt;=3,13,IF(AK3&gt;=2.5,14,IF(AK3&gt;=0,15,""))))))))))))))))</f>
        <v>4</v>
      </c>
      <c r="AM3" s="770" t="str">
        <f>IF(AL3="","",VLOOKUP(AL3,$AK$61:$AO$75,K3,0))</f>
        <v>Có năng khiếu, tự giác, cảm nhận được văn bản.</v>
      </c>
      <c r="AN3" s="769"/>
      <c r="AO3" s="791"/>
      <c r="AP3" s="768"/>
      <c r="AQ3" s="769">
        <f>IF($B3="","",IF(INDEX(BDHKI,MATCH($C3,DiemHKI!$DI$4:$DI$58,0),AQ$59)&lt;&gt;"",INDEX(BDHKI,MATCH($C3,DiemHKI!$DI$4:$DI$58,0),AQ$59),""))</f>
        <v>9.6</v>
      </c>
      <c r="AR3" s="791">
        <f>IF(AQ3="","",IF(AQ3&gt;=9,1,IF(AQ3&gt;=8.5,2,IF(AQ3&gt;=8,3,IF(AQ3&gt;=7.5,4,IF(AQ3&gt;=7,5,IF(AQ3&gt;=6.5,6,IF(AQ3&gt;=6,7,IF(AQ3&gt;=5.5,8,IF(AQ3&gt;=5,9,IF(AQ3&gt;=4.5,10,IF(AQ3&gt;=4,11,IF(AQ3&gt;=3.5,12,IF(AQ3&gt;=3,13,IF(AQ3&gt;=2.5,14,IF(AQ3&gt;=0,15,""))))))))))))))))</f>
        <v>1</v>
      </c>
      <c r="AS3" s="770" t="str">
        <f>IF(AR3="","",VLOOKUP(AR3,$AQ$61:$AU$75,K3,0))</f>
        <v>Chăm ngoan, tích cực, chủ động tiếp thu bài học.</v>
      </c>
      <c r="AT3" s="769"/>
      <c r="AU3" s="791"/>
      <c r="AV3" s="768"/>
      <c r="AW3" s="769">
        <f>IF($B3="","",IF(INDEX(BDHKI,MATCH($C3,DiemHKI!$DI$4:$DI$58,0),AW$59)&lt;&gt;"",INDEX(BDHKI,MATCH($C3,DiemHKI!$DI$4:$DI$58,0),AW$59),""))</f>
        <v>9.8000000000000007</v>
      </c>
      <c r="AX3" s="791">
        <f>IF(AW3="","",IF(AW3&gt;=9,1,IF(AW3&gt;=8.5,2,IF(AW3&gt;=8,3,IF(AW3&gt;=7.5,4,IF(AW3&gt;=7,5,IF(AW3&gt;=6.5,6,IF(AW3&gt;=6,7,IF(AW3&gt;=5.5,8,IF(AW3&gt;=5,9,IF(AW3&gt;=4.5,10,IF(AW3&gt;=4,11,IF(AW3&gt;=3.5,12,IF(AW3&gt;=3,13,IF(AW3&gt;=2.5,14,IF(AW3&gt;=0,15,""))))))))))))))))</f>
        <v>1</v>
      </c>
      <c r="AY3" s="770" t="str">
        <f>IF(AX3="","",VLOOKUP(AX3,$AW$61:$BA$75,K3,0))</f>
        <v>Em rất ngoan, cố gắng có hiệu quả.</v>
      </c>
      <c r="AZ3" s="769"/>
      <c r="BA3" s="791"/>
      <c r="BB3" s="768"/>
      <c r="BC3" s="769">
        <f>IF($B3="","",IF(INDEX(BDHKI,MATCH($C3,DiemHKI!$DI$4:$DI$58,0),BC$59)&lt;&gt;"",INDEX(BDHKI,MATCH($C3,DiemHKI!$DI$4:$DI$58,0),BC$59),""))</f>
        <v>9.6</v>
      </c>
      <c r="BD3" s="791">
        <f>IF(BC3="","",IF(BC3&gt;=9,1,IF(BC3&gt;=8.5,2,IF(BC3&gt;=8,3,IF(BC3&gt;=7.5,4,IF(BC3&gt;=7,5,IF(BC3&gt;=6.5,6,IF(BC3&gt;=6,7,IF(BC3&gt;=5.5,8,IF(BC3&gt;=5,9,IF(BC3&gt;=4.5,10,IF(BC3&gt;=4,11,IF(BC3&gt;=3.5,12,IF(BC3&gt;=3,13,IF(BC3&gt;=2.5,14,IF(BC3&gt;=0,15,""))))))))))))))))</f>
        <v>1</v>
      </c>
      <c r="BE3" s="770" t="str">
        <f>IF(BD3="","",VLOOKUP(BD3,$BC$61:$BG$75,K3,0))</f>
        <v>Có năng khiếu, tự tin, giao tiếp tốt và có khả năng làm việc nhóm.</v>
      </c>
      <c r="BF3" s="769"/>
      <c r="BG3" s="791"/>
      <c r="BH3" s="768"/>
      <c r="BI3" s="769">
        <f>IF($B3="","",IF(INDEX(BDHKI,MATCH($C3,DiemHKI!$DI$4:$DI$58,0),BI$59)&lt;&gt;"",INDEX(BDHKI,MATCH($C3,DiemHKI!$DI$4:$DI$58,0),BI$59),""))</f>
        <v>9.1</v>
      </c>
      <c r="BJ3" s="791">
        <f>IF(BI3="","",IF(BI3&gt;=9,1,IF(BI3&gt;=8.5,2,IF(BI3&gt;=8,3,IF(BI3&gt;=7.5,4,IF(BI3&gt;=7,5,IF(BI3&gt;=6.5,6,IF(BI3&gt;=6,7,IF(BI3&gt;=5.5,8,IF(BI3&gt;=5,9,IF(BI3&gt;=4.5,10,IF(BI3&gt;=4,11,IF(BI3&gt;=3.5,12,IF(BI3&gt;=3,13,IF(BI3&gt;=2.5,14,IF(BI3&gt;=0,15,""))))))))))))))))</f>
        <v>1</v>
      </c>
      <c r="BK3" s="770" t="str">
        <f>IF(BJ3="","",VLOOKUP(BJ3,$BI$61:$BM$76,K3,0))</f>
        <v>Hứng thú, có trách nhiệm học tập tốt.</v>
      </c>
      <c r="BL3" s="769"/>
      <c r="BM3" s="791"/>
      <c r="BN3" s="768"/>
      <c r="BO3" s="769">
        <f>IF($B3="","",IF(INDEX(BDHKI,MATCH($C3,DiemHKI!$DI$4:$DI$58,0),BO$59)&lt;&gt;"",INDEX(BDHKI,MATCH($C3,DiemHKI!$DI$4:$DI$58,0),BO$59),""))</f>
        <v>9.5</v>
      </c>
      <c r="BP3" s="791">
        <f>IF(BO3="","",IF(BO3&gt;=9,1,IF(BO3&gt;=8.5,2,IF(BO3&gt;=8,3,IF(BO3&gt;=7.5,4,IF(BO3&gt;=7,5,IF(BO3&gt;=6.5,6,IF(BO3&gt;=6,7,IF(BO3&gt;=5.5,8,IF(BO3&gt;=5,9,IF(BO3&gt;=4.5,10,IF(BO3&gt;=4,11,IF(BO3&gt;=3.5,12,IF(BO3&gt;=3,13,IF(BO3&gt;=2.5,14,IF(BO3&gt;=0,15,""))))))))))))))))</f>
        <v>1</v>
      </c>
      <c r="BQ3" s="770" t="str">
        <f>IF(BP3="","",VLOOKUP(BP3,$BO$61:$BS$75,K3,0))</f>
        <v>Học giỏi, năng động, chăm ngoan.</v>
      </c>
      <c r="BR3" s="769"/>
      <c r="BS3" s="791"/>
      <c r="BT3" s="768"/>
      <c r="BU3" s="769" t="str">
        <f>IF($B3="","",IF(INDEX(BDHKI,MATCH($C3,DiemHKI!$DI$4:$DI$58,0),BU$59)&lt;&gt;"",INDEX(BDHKI,MATCH($C3,DiemHKI!$DI$4:$DI$58,0),BU$59),""))</f>
        <v>Đ</v>
      </c>
      <c r="BV3" s="791">
        <f>IF(BU3="","",IF(BU3&gt;=9,1,IF(BU3&gt;=8.5,2,IF(BU3&gt;=8,3,IF(BU3&gt;=7.5,4,IF(BU3&gt;=7,5,IF(BU3&gt;=6.5,6,IF(BU3&gt;=6,7,IF(BU3&gt;=5.5,8,IF(BU3&gt;=5,9,IF(BU3&gt;=4.5,10,IF(BU3&gt;=4,11,IF(BU3&gt;=3.5,12,IF(BU3&gt;=3,13,IF(BU3&gt;=2.5,14,IF(BU3&gt;=0,15,""))))))))))))))))</f>
        <v>1</v>
      </c>
      <c r="BW3" s="770" t="str">
        <f>IF(BV3="","",VLOOKUP(BV3,$BU$61:$BY$75,K3,0))</f>
        <v>Chăm chỉ, cố gắng, rất ngoan.</v>
      </c>
      <c r="BX3" s="769"/>
      <c r="BY3" s="791"/>
      <c r="BZ3" s="768"/>
      <c r="CA3" s="769">
        <f>IF($B3="","",IF(INDEX(BDHKI,MATCH($C3,DiemHKI!$DI$4:$DI$58,0),CA$59)&lt;&gt;"",INDEX(BDHKI,MATCH($C3,DiemHKI!$DI$4:$DI$58,0),CA$59),""))</f>
        <v>9.9</v>
      </c>
      <c r="CB3" s="791">
        <f>IF(CA3="","",IF(CA3&gt;=9,1,IF(CA3&gt;=8.5,2,IF(CA3&gt;=8,3,IF(CA3&gt;=7.5,4,IF(CA3&gt;=7,5,IF(CA3&gt;=6.5,6,IF(CA3&gt;=6,7,IF(CA3&gt;=5.5,8,IF(CA3&gt;=5,9,IF(CA3&gt;=4.5,10,IF(CA3&gt;=4,11,IF(CA3&gt;=3.5,12,IF(CA3&gt;=3,13,IF(CA3&gt;=2.5,14,IF(CA3&gt;=0,15,""))))))))))))))))</f>
        <v>1</v>
      </c>
      <c r="CC3" s="770" t="str">
        <f>IF(CB3="","",VLOOKUP(CB3,$CA$61:$CE$75,K3,0))</f>
        <v>Siêng năng, lễ phép, thành thạo thực hành, học giỏi.</v>
      </c>
      <c r="CD3" s="769"/>
      <c r="CE3" s="791"/>
      <c r="CF3" s="768"/>
      <c r="CG3" s="769" t="str">
        <f>IF($B3="","",IF(INDEX(BDHKI,MATCH($C3,DiemHKI!$DI$4:$DI$58,0),CG$59)&lt;&gt;"",INDEX(BDHKI,MATCH($C3,DiemHKI!$DI$4:$DI$58,0),CG$59),""))</f>
        <v/>
      </c>
      <c r="CH3" s="791" t="str">
        <f>IF(CG3="","",IF(CG3&gt;=9,1,IF(CG3&gt;=8.5,2,IF(CG3&gt;=8,3,IF(CG3&gt;=7.5,4,IF(CG3&gt;=7,5,IF(CG3&gt;=6.5,6,IF(CG3&gt;=6,7,IF(CG3&gt;=5.5,8,IF(CG3&gt;=5,9,IF(CG3&gt;=4.5,10,IF(CG3&gt;=4,11,IF(CG3&gt;=3.5,12,IF(CG3&gt;=3,13,IF(CG3&gt;=2.5,14,IF(CG3&gt;=0,15,""))))))))))))))))</f>
        <v/>
      </c>
      <c r="CI3" s="770" t="str">
        <f>IF(CH3="","",VLOOKUP(CH3,$CG$61:$CK$75,K3,0))</f>
        <v/>
      </c>
      <c r="CJ3" s="769"/>
      <c r="CK3" s="791"/>
      <c r="CL3" s="768"/>
    </row>
    <row r="4" spans="1:90" ht="15" customHeight="1">
      <c r="A4" s="764"/>
      <c r="B4" s="771">
        <f>IF(B3&lt;MAX(DiemHKI!$B$4:$B$58),B3+1,"")</f>
        <v>2</v>
      </c>
      <c r="C4" s="771" t="str">
        <f t="shared" ref="C4:C57" si="0">IF(B4="","",A$1&amp;TRIM(D4)&amp;TRIM(E4)&amp;F4)</f>
        <v>12A1Chử NgọcAnh14/04/2004</v>
      </c>
      <c r="D4" s="772" t="str">
        <f>IF($B4&lt;&gt;"",PROPER(INDEX(BDHKI,MATCH($B4,DiemHKI!$B$4:$B$58,0),3)),"")</f>
        <v>Chử Ngọc</v>
      </c>
      <c r="E4" s="773" t="str">
        <f>IF($B4&lt;&gt;"",PROPER(INDEX(BDHKI,MATCH($B4,DiemHKI!$B$4:$B$58,0),4)),"")</f>
        <v>Anh</v>
      </c>
      <c r="F4" s="774" t="str">
        <f>IF($B4&lt;&gt;"",PROPER(INDEX(BDHKI,MATCH($B4,DiemHKI!$B$4:$B$58,0),5)),"")</f>
        <v>14/04/2004</v>
      </c>
      <c r="G4" s="775">
        <f>IF($B4="","",IF(INDEX(BDHKI,MATCH($C4,DiemHKI!$DI$4:$DI$58,0),G$59)&lt;&gt;"",INDEX(BDHKI,MATCH($C4,DiemHKI!$DI$4:$DI$58,0),G$59),""))</f>
        <v>9.5</v>
      </c>
      <c r="H4" s="792">
        <f>IF(G4="","",IF(G4&gt;=9,1,IF(G4&gt;=8.5,2,IF(G4&gt;=8,3,IF(G4&gt;=7.5,4,IF(G4&gt;=7,5,IF(G4&gt;=6.5,6,IF(G4&gt;=6,7,IF(G4&gt;=5.5,8,IF(G4&gt;=5,9,IF(G4&gt;=4.5,10,IF(G4&gt;=4,11,IF(G4&gt;=3.5,12,IF(G4&gt;=3,13,IF(G4&gt;=2.5,14,IF(G4&gt;=0,15,""))))))))))))))))</f>
        <v>1</v>
      </c>
      <c r="I4" s="776" t="str">
        <f t="shared" ref="I4:I56" si="1">IF(H4="","",VLOOKUP(H4,$G$61:$K$75,K4,0))</f>
        <v>Em học giỏi, chăm ngoan, tính tự giác cao, rất tốt.</v>
      </c>
      <c r="J4" s="775"/>
      <c r="K4" s="792">
        <v>4</v>
      </c>
      <c r="L4" s="774"/>
      <c r="M4" s="775">
        <f>IF($B4="","",IF(INDEX(BDHKI,MATCH($C4,DiemHKI!$DI$4:$DI$58,0),M$59)&lt;&gt;"",INDEX(BDHKI,MATCH($C4,DiemHKI!$DI$4:$DI$58,0),M$59),""))</f>
        <v>9.6</v>
      </c>
      <c r="N4" s="792">
        <f t="shared" ref="N4:N57" si="2">IF(M4="","",IF(M4&gt;=9,1,IF(M4&gt;=8.5,2,IF(M4&gt;=8,3,IF(M4&gt;=7.5,4,IF(M4&gt;=7,5,IF(M4&gt;=6.5,6,IF(M4&gt;=6,7,IF(M4&gt;=5.5,8,IF(M4&gt;=5,9,IF(M4&gt;=4.5,10,IF(M4&gt;=4,11,IF(M4&gt;=3.5,12,IF(M4&gt;=3,13,IF(M4&gt;=2.5,14,IF(M4&gt;=0,15,""))))))))))))))))</f>
        <v>1</v>
      </c>
      <c r="O4" s="776" t="str">
        <f t="shared" ref="O4:O56" si="3">IF(N4="","",VLOOKUP(N4,$M$61:$Q$75,K4,0))</f>
        <v>Em học giỏi, chăm ngoan, tính tự giác cao, rất tốt.</v>
      </c>
      <c r="P4" s="775"/>
      <c r="Q4" s="792"/>
      <c r="R4" s="774"/>
      <c r="S4" s="775">
        <f>IF($B4="","",IF(INDEX(BDHKI,MATCH($C4,DiemHKI!$DI$4:$DI$58,0),S$59)&lt;&gt;"",INDEX(BDHKI,MATCH($C4,DiemHKI!$DI$4:$DI$58,0),S$59),""))</f>
        <v>9.4</v>
      </c>
      <c r="T4" s="792">
        <f t="shared" ref="T4:T57" si="4">IF(S4="","",IF(S4&gt;=9,1,IF(S4&gt;=8.5,2,IF(S4&gt;=8,3,IF(S4&gt;=7.5,4,IF(S4&gt;=7,5,IF(S4&gt;=6.5,6,IF(S4&gt;=6,7,IF(S4&gt;=5.5,8,IF(S4&gt;=5,9,IF(S4&gt;=4.5,10,IF(S4&gt;=4,11,IF(S4&gt;=3.5,12,IF(S4&gt;=3,13,IF(S4&gt;=2.5,14,IF(S4&gt;=0,15,""))))))))))))))))</f>
        <v>1</v>
      </c>
      <c r="U4" s="776" t="str">
        <f t="shared" ref="U4:U56" si="5">IF(T4="","",VLOOKUP(T4,$S$61:$W$75,K4,0))</f>
        <v>Kiến thức vững, tự học tốt, ngoan.</v>
      </c>
      <c r="V4" s="775"/>
      <c r="W4" s="792"/>
      <c r="X4" s="774"/>
      <c r="Y4" s="775">
        <f>IF($B4="","",IF(INDEX(BDHKI,MATCH($C4,DiemHKI!$DI$4:$DI$58,0),Y$59)&lt;&gt;"",INDEX(BDHKI,MATCH($C4,DiemHKI!$DI$4:$DI$58,0),Y$59),""))</f>
        <v>9.6999999999999993</v>
      </c>
      <c r="Z4" s="792">
        <f t="shared" ref="Z4:Z57" si="6">IF(Y4="","",IF(Y4&gt;=9,1,IF(Y4&gt;=8.5,2,IF(Y4&gt;=8,3,IF(Y4&gt;=7.5,4,IF(Y4&gt;=7,5,IF(Y4&gt;=6.5,6,IF(Y4&gt;=6,7,IF(Y4&gt;=5.5,8,IF(Y4&gt;=5,9,IF(Y4&gt;=4.5,10,IF(Y4&gt;=4,11,IF(Y4&gt;=3.5,12,IF(Y4&gt;=3,13,IF(Y4&gt;=2.5,14,IF(Y4&gt;=0,15,""))))))))))))))))</f>
        <v>1</v>
      </c>
      <c r="AA4" s="776" t="str">
        <f t="shared" ref="AA4:AA56" si="7">IF(Z4="","",VLOOKUP(Z4,$Y$61:$AC$75,K4,0))</f>
        <v>Có khả năng tự học và tự chủ bản thân, tích cực trong học tập.</v>
      </c>
      <c r="AB4" s="775"/>
      <c r="AC4" s="792"/>
      <c r="AD4" s="774"/>
      <c r="AE4" s="775">
        <f>IF($B4="","",IF(INDEX(BDHKI,MATCH($C4,DiemHKI!$DI$4:$DI$58,0),AE$59)&lt;&gt;"",INDEX(BDHKI,MATCH($C4,DiemHKI!$DI$4:$DI$58,0),AE$59),""))</f>
        <v>9.6</v>
      </c>
      <c r="AF4" s="792">
        <f t="shared" ref="AF4:AF57" si="8">IF(AE4="","",IF(AE4&gt;=9,1,IF(AE4&gt;=8.5,2,IF(AE4&gt;=8,3,IF(AE4&gt;=7.5,4,IF(AE4&gt;=7,5,IF(AE4&gt;=6.5,6,IF(AE4&gt;=6,7,IF(AE4&gt;=5.5,8,IF(AE4&gt;=5,9,IF(AE4&gt;=4.5,10,IF(AE4&gt;=4,11,IF(AE4&gt;=3.5,12,IF(AE4&gt;=3,13,IF(AE4&gt;=2.5,14,IF(AE4&gt;=0,15,""))))))))))))))))</f>
        <v>1</v>
      </c>
      <c r="AG4" s="776" t="str">
        <f t="shared" ref="AG4:AG56" si="9">IF(AF4="","",VLOOKUP(AF4,$AE$61:$AI$75,K4,0))</f>
        <v>Ngoan, chăm chỉ, tư duy tốt.</v>
      </c>
      <c r="AH4" s="775"/>
      <c r="AI4" s="792"/>
      <c r="AJ4" s="774"/>
      <c r="AK4" s="775">
        <f>IF($B4="","",IF(INDEX(BDHKI,MATCH($C4,DiemHKI!$DI$4:$DI$58,0),AK$59)&lt;&gt;"",INDEX(BDHKI,MATCH($C4,DiemHKI!$DI$4:$DI$58,0),AK$59),""))</f>
        <v>8.4</v>
      </c>
      <c r="AL4" s="792">
        <f t="shared" ref="AL4:AL57" si="10">IF(AK4="","",IF(AK4&gt;=9,1,IF(AK4&gt;=8.5,2,IF(AK4&gt;=8,3,IF(AK4&gt;=7.5,4,IF(AK4&gt;=7,5,IF(AK4&gt;=6.5,6,IF(AK4&gt;=6,7,IF(AK4&gt;=5.5,8,IF(AK4&gt;=5,9,IF(AK4&gt;=4.5,10,IF(AK4&gt;=4,11,IF(AK4&gt;=3.5,12,IF(AK4&gt;=3,13,IF(AK4&gt;=2.5,14,IF(AK4&gt;=0,15,""))))))))))))))))</f>
        <v>3</v>
      </c>
      <c r="AM4" s="776" t="str">
        <f t="shared" ref="AM4:AM56" si="11">IF(AL4="","",VLOOKUP(AL4,$AK$61:$AO$75,K4,0))</f>
        <v>Tích cực học tập, nắm vững bốn kỹ năng.</v>
      </c>
      <c r="AN4" s="775"/>
      <c r="AO4" s="792"/>
      <c r="AP4" s="774"/>
      <c r="AQ4" s="775">
        <f>IF($B4="","",IF(INDEX(BDHKI,MATCH($C4,DiemHKI!$DI$4:$DI$58,0),AQ$59)&lt;&gt;"",INDEX(BDHKI,MATCH($C4,DiemHKI!$DI$4:$DI$58,0),AQ$59),""))</f>
        <v>9.6</v>
      </c>
      <c r="AR4" s="792">
        <f t="shared" ref="AR4:AR57" si="12">IF(AQ4="","",IF(AQ4&gt;=9,1,IF(AQ4&gt;=8.5,2,IF(AQ4&gt;=8,3,IF(AQ4&gt;=7.5,4,IF(AQ4&gt;=7,5,IF(AQ4&gt;=6.5,6,IF(AQ4&gt;=6,7,IF(AQ4&gt;=5.5,8,IF(AQ4&gt;=5,9,IF(AQ4&gt;=4.5,10,IF(AQ4&gt;=4,11,IF(AQ4&gt;=3.5,12,IF(AQ4&gt;=3,13,IF(AQ4&gt;=2.5,14,IF(AQ4&gt;=0,15,""))))))))))))))))</f>
        <v>1</v>
      </c>
      <c r="AS4" s="776" t="str">
        <f t="shared" ref="AS4:AS56" si="13">IF(AR4="","",VLOOKUP(AR4,$AQ$61:$AU$75,K4,0))</f>
        <v>Tiếp thu bài tốt, ghi nhớ nhanh các sự kiện lịch sử.</v>
      </c>
      <c r="AT4" s="775"/>
      <c r="AU4" s="792"/>
      <c r="AV4" s="774"/>
      <c r="AW4" s="775">
        <f>IF($B4="","",IF(INDEX(BDHKI,MATCH($C4,DiemHKI!$DI$4:$DI$58,0),AW$59)&lt;&gt;"",INDEX(BDHKI,MATCH($C4,DiemHKI!$DI$4:$DI$58,0),AW$59),""))</f>
        <v>9.8000000000000007</v>
      </c>
      <c r="AX4" s="792">
        <f t="shared" ref="AX4:AX57" si="14">IF(AW4="","",IF(AW4&gt;=9,1,IF(AW4&gt;=8.5,2,IF(AW4&gt;=8,3,IF(AW4&gt;=7.5,4,IF(AW4&gt;=7,5,IF(AW4&gt;=6.5,6,IF(AW4&gt;=6,7,IF(AW4&gt;=5.5,8,IF(AW4&gt;=5,9,IF(AW4&gt;=4.5,10,IF(AW4&gt;=4,11,IF(AW4&gt;=3.5,12,IF(AW4&gt;=3,13,IF(AW4&gt;=2.5,14,IF(AW4&gt;=0,15,""))))))))))))))))</f>
        <v>1</v>
      </c>
      <c r="AY4" s="776" t="str">
        <f t="shared" ref="AY4:AY56" si="15">IF(AX4="","",VLOOKUP(AX4,$AW$61:$BA$75,K4,0))</f>
        <v>Em có tư duy tốt, rất tích cực, giải quyết vấn đề tốt.</v>
      </c>
      <c r="AZ4" s="775"/>
      <c r="BA4" s="792"/>
      <c r="BB4" s="774"/>
      <c r="BC4" s="775">
        <f>IF($B4="","",IF(INDEX(BDHKI,MATCH($C4,DiemHKI!$DI$4:$DI$58,0),BC$59)&lt;&gt;"",INDEX(BDHKI,MATCH($C4,DiemHKI!$DI$4:$DI$58,0),BC$59),""))</f>
        <v>9</v>
      </c>
      <c r="BD4" s="792">
        <f t="shared" ref="BD4:BD57" si="16">IF(BC4="","",IF(BC4&gt;=9,1,IF(BC4&gt;=8.5,2,IF(BC4&gt;=8,3,IF(BC4&gt;=7.5,4,IF(BC4&gt;=7,5,IF(BC4&gt;=6.5,6,IF(BC4&gt;=6,7,IF(BC4&gt;=5.5,8,IF(BC4&gt;=5,9,IF(BC4&gt;=4.5,10,IF(BC4&gt;=4,11,IF(BC4&gt;=3.5,12,IF(BC4&gt;=3,13,IF(BC4&gt;=2.5,14,IF(BC4&gt;=0,15,""))))))))))))))))</f>
        <v>1</v>
      </c>
      <c r="BE4" s="776" t="str">
        <f t="shared" ref="BE4:BE56" si="17">IF(BD4="","",VLOOKUP(BD4,$BC$61:$BG$75,K4,0))</f>
        <v>Chăm chỉ, chuyên cần, rất tích cực và năng động.</v>
      </c>
      <c r="BF4" s="775"/>
      <c r="BG4" s="792"/>
      <c r="BH4" s="774"/>
      <c r="BI4" s="775">
        <f>IF($B4="","",IF(INDEX(BDHKI,MATCH($C4,DiemHKI!$DI$4:$DI$58,0),BI$59)&lt;&gt;"",INDEX(BDHKI,MATCH($C4,DiemHKI!$DI$4:$DI$58,0),BI$59),""))</f>
        <v>9.1</v>
      </c>
      <c r="BJ4" s="792">
        <f t="shared" ref="BJ4:BJ57" si="18">IF(BI4="","",IF(BI4&gt;=9,1,IF(BI4&gt;=8.5,2,IF(BI4&gt;=8,3,IF(BI4&gt;=7.5,4,IF(BI4&gt;=7,5,IF(BI4&gt;=6.5,6,IF(BI4&gt;=6,7,IF(BI4&gt;=5.5,8,IF(BI4&gt;=5,9,IF(BI4&gt;=4.5,10,IF(BI4&gt;=4,11,IF(BI4&gt;=3.5,12,IF(BI4&gt;=3,13,IF(BI4&gt;=2.5,14,IF(BI4&gt;=0,15,""))))))))))))))))</f>
        <v>1</v>
      </c>
      <c r="BK4" s="776" t="str">
        <f t="shared" ref="BK4:BK56" si="19">IF(BJ4="","",VLOOKUP(BJ4,$BI$61:$BM$76,K4,0))</f>
        <v>Chăm chỉ, học giỏi.</v>
      </c>
      <c r="BL4" s="775"/>
      <c r="BM4" s="792"/>
      <c r="BN4" s="774"/>
      <c r="BO4" s="775">
        <f>IF($B4="","",IF(INDEX(BDHKI,MATCH($C4,DiemHKI!$DI$4:$DI$58,0),BO$59)&lt;&gt;"",INDEX(BDHKI,MATCH($C4,DiemHKI!$DI$4:$DI$58,0),BO$59),""))</f>
        <v>9.8000000000000007</v>
      </c>
      <c r="BP4" s="792">
        <f t="shared" ref="BP4:BP57" si="20">IF(BO4="","",IF(BO4&gt;=9,1,IF(BO4&gt;=8.5,2,IF(BO4&gt;=8,3,IF(BO4&gt;=7.5,4,IF(BO4&gt;=7,5,IF(BO4&gt;=6.5,6,IF(BO4&gt;=6,7,IF(BO4&gt;=5.5,8,IF(BO4&gt;=5,9,IF(BO4&gt;=4.5,10,IF(BO4&gt;=4,11,IF(BO4&gt;=3.5,12,IF(BO4&gt;=3,13,IF(BO4&gt;=2.5,14,IF(BO4&gt;=0,15,""))))))))))))))))</f>
        <v>1</v>
      </c>
      <c r="BQ4" s="776" t="str">
        <f t="shared" ref="BQ4:BQ56" si="21">IF(BP4="","",VLOOKUP(BP4,$BO$61:$BS$75,K4,0))</f>
        <v>Năng động, sáng tạo trong học tập.</v>
      </c>
      <c r="BR4" s="775"/>
      <c r="BS4" s="792"/>
      <c r="BT4" s="774"/>
      <c r="BU4" s="775" t="str">
        <f>IF($B4="","",IF(INDEX(BDHKI,MATCH($C4,DiemHKI!$DI$4:$DI$58,0),BU$59)&lt;&gt;"",INDEX(BDHKI,MATCH($C4,DiemHKI!$DI$4:$DI$58,0),BU$59),""))</f>
        <v>Đ</v>
      </c>
      <c r="BV4" s="792">
        <f t="shared" ref="BV4:BV57" si="22">IF(BU4="","",IF(BU4&gt;=9,1,IF(BU4&gt;=8.5,2,IF(BU4&gt;=8,3,IF(BU4&gt;=7.5,4,IF(BU4&gt;=7,5,IF(BU4&gt;=6.5,6,IF(BU4&gt;=6,7,IF(BU4&gt;=5.5,8,IF(BU4&gt;=5,9,IF(BU4&gt;=4.5,10,IF(BU4&gt;=4,11,IF(BU4&gt;=3.5,12,IF(BU4&gt;=3,13,IF(BU4&gt;=2.5,14,IF(BU4&gt;=0,15,""))))))))))))))))</f>
        <v>1</v>
      </c>
      <c r="BW4" s="776" t="str">
        <f t="shared" ref="BW4:BW56" si="23">IF(BV4="","",VLOOKUP(BV4,$BU$61:$BY$75,K4,0))</f>
        <v>Giỏi, có nhiều tiến bộ trong học tập.</v>
      </c>
      <c r="BX4" s="775"/>
      <c r="BY4" s="792"/>
      <c r="BZ4" s="774"/>
      <c r="CA4" s="775">
        <f>IF($B4="","",IF(INDEX(BDHKI,MATCH($C4,DiemHKI!$DI$4:$DI$58,0),CA$59)&lt;&gt;"",INDEX(BDHKI,MATCH($C4,DiemHKI!$DI$4:$DI$58,0),CA$59),""))</f>
        <v>9.9</v>
      </c>
      <c r="CB4" s="792">
        <f t="shared" ref="CB4:CB57" si="24">IF(CA4="","",IF(CA4&gt;=9,1,IF(CA4&gt;=8.5,2,IF(CA4&gt;=8,3,IF(CA4&gt;=7.5,4,IF(CA4&gt;=7,5,IF(CA4&gt;=6.5,6,IF(CA4&gt;=6,7,IF(CA4&gt;=5.5,8,IF(CA4&gt;=5,9,IF(CA4&gt;=4.5,10,IF(CA4&gt;=4,11,IF(CA4&gt;=3.5,12,IF(CA4&gt;=3,13,IF(CA4&gt;=2.5,14,IF(CA4&gt;=0,15,""))))))))))))))))</f>
        <v>1</v>
      </c>
      <c r="CC4" s="776" t="str">
        <f t="shared" ref="CC4:CC56" si="25">IF(CB4="","",VLOOKUP(CB4,$CA$61:$CE$75,K4,0))</f>
        <v>Tích cực, năng động, nắm bài tốt, học giỏi.</v>
      </c>
      <c r="CD4" s="775"/>
      <c r="CE4" s="792"/>
      <c r="CF4" s="774"/>
      <c r="CG4" s="775" t="str">
        <f>IF($B4="","",IF(INDEX(BDHKI,MATCH($C4,DiemHKI!$DI$4:$DI$58,0),CG$59)&lt;&gt;"",INDEX(BDHKI,MATCH($C4,DiemHKI!$DI$4:$DI$58,0),CG$59),""))</f>
        <v/>
      </c>
      <c r="CH4" s="792" t="str">
        <f t="shared" ref="CH4:CH57" si="26">IF(CG4="","",IF(CG4&gt;=9,1,IF(CG4&gt;=8.5,2,IF(CG4&gt;=8,3,IF(CG4&gt;=7.5,4,IF(CG4&gt;=7,5,IF(CG4&gt;=6.5,6,IF(CG4&gt;=6,7,IF(CG4&gt;=5.5,8,IF(CG4&gt;=5,9,IF(CG4&gt;=4.5,10,IF(CG4&gt;=4,11,IF(CG4&gt;=3.5,12,IF(CG4&gt;=3,13,IF(CG4&gt;=2.5,14,IF(CG4&gt;=0,15,""))))))))))))))))</f>
        <v/>
      </c>
      <c r="CI4" s="776" t="str">
        <f t="shared" ref="CI4:CI56" si="27">IF(CH4="","",VLOOKUP(CH4,$CG$61:$CK$75,K4,0))</f>
        <v/>
      </c>
      <c r="CJ4" s="775"/>
      <c r="CK4" s="792"/>
      <c r="CL4" s="774"/>
    </row>
    <row r="5" spans="1:90" ht="15" customHeight="1">
      <c r="A5" s="764"/>
      <c r="B5" s="771">
        <f>IF(B4&lt;MAX(DiemHKI!$B$4:$B$58),B4+1,"")</f>
        <v>3</v>
      </c>
      <c r="C5" s="771" t="str">
        <f t="shared" si="0"/>
        <v>12A1Lê TuấnAnh20/10/2004</v>
      </c>
      <c r="D5" s="772" t="str">
        <f>IF($B5&lt;&gt;"",PROPER(INDEX(BDHKI,MATCH($B5,DiemHKI!$B$4:$B$58,0),3)),"")</f>
        <v>Lê Tuấn</v>
      </c>
      <c r="E5" s="773" t="str">
        <f>IF($B5&lt;&gt;"",PROPER(INDEX(BDHKI,MATCH($B5,DiemHKI!$B$4:$B$58,0),4)),"")</f>
        <v>Anh</v>
      </c>
      <c r="F5" s="774" t="str">
        <f>IF($B5&lt;&gt;"",PROPER(INDEX(BDHKI,MATCH($B5,DiemHKI!$B$4:$B$58,0),5)),"")</f>
        <v>20/10/2004</v>
      </c>
      <c r="G5" s="775">
        <f>IF($B5="","",IF(INDEX(BDHKI,MATCH($C5,DiemHKI!$DI$4:$DI$58,0),G$59)&lt;&gt;"",INDEX(BDHKI,MATCH($C5,DiemHKI!$DI$4:$DI$58,0),G$59),""))</f>
        <v>9.6</v>
      </c>
      <c r="H5" s="792">
        <f>IF(G5="","",IF(G5&gt;=9,1,IF(G5&gt;=8.5,2,IF(G5&gt;=8,3,IF(G5&gt;=7.5,4,IF(G5&gt;=7,5,IF(G5&gt;=6.5,6,IF(G5&gt;=6,7,IF(G5&gt;=5.5,8,IF(G5&gt;=5,9,IF(G5&gt;=4.5,10,IF(G5&gt;=4,11,IF(G5&gt;=3.5,12,IF(G5&gt;=3,13,IF(G5&gt;=2.5,14,IF(G5&gt;=0,15,""))))))))))))))))</f>
        <v>1</v>
      </c>
      <c r="I5" s="776" t="str">
        <f t="shared" si="1"/>
        <v>Em ngoan, tích cực, năng động, rất đáng khen.</v>
      </c>
      <c r="J5" s="775"/>
      <c r="K5" s="792">
        <v>5</v>
      </c>
      <c r="L5" s="774"/>
      <c r="M5" s="775">
        <f>IF($B5="","",IF(INDEX(BDHKI,MATCH($C5,DiemHKI!$DI$4:$DI$58,0),M$59)&lt;&gt;"",INDEX(BDHKI,MATCH($C5,DiemHKI!$DI$4:$DI$58,0),M$59),""))</f>
        <v>9.4</v>
      </c>
      <c r="N5" s="792">
        <f t="shared" si="2"/>
        <v>1</v>
      </c>
      <c r="O5" s="776" t="str">
        <f t="shared" si="3"/>
        <v>Em ngoan, tích cực, năng động, rất đáng khen.</v>
      </c>
      <c r="P5" s="775"/>
      <c r="Q5" s="792"/>
      <c r="R5" s="774"/>
      <c r="S5" s="775">
        <f>IF($B5="","",IF(INDEX(BDHKI,MATCH($C5,DiemHKI!$DI$4:$DI$58,0),S$59)&lt;&gt;"",INDEX(BDHKI,MATCH($C5,DiemHKI!$DI$4:$DI$58,0),S$59),""))</f>
        <v>9.4</v>
      </c>
      <c r="T5" s="792">
        <f t="shared" si="4"/>
        <v>1</v>
      </c>
      <c r="U5" s="776" t="str">
        <f t="shared" si="5"/>
        <v>Kiến thức vững, sáng tạo, tự học tốt.</v>
      </c>
      <c r="V5" s="775"/>
      <c r="W5" s="792"/>
      <c r="X5" s="774"/>
      <c r="Y5" s="775">
        <f>IF($B5="","",IF(INDEX(BDHKI,MATCH($C5,DiemHKI!$DI$4:$DI$58,0),Y$59)&lt;&gt;"",INDEX(BDHKI,MATCH($C5,DiemHKI!$DI$4:$DI$58,0),Y$59),""))</f>
        <v>8.6</v>
      </c>
      <c r="Z5" s="792">
        <f t="shared" si="6"/>
        <v>2</v>
      </c>
      <c r="AA5" s="776" t="str">
        <f t="shared" si="7"/>
        <v>Ngoan, khả năng tư duy tốt, có trách nhiệm, trình bày tốt.</v>
      </c>
      <c r="AB5" s="775"/>
      <c r="AC5" s="792"/>
      <c r="AD5" s="774"/>
      <c r="AE5" s="775">
        <f>IF($B5="","",IF(INDEX(BDHKI,MATCH($C5,DiemHKI!$DI$4:$DI$58,0),AE$59)&lt;&gt;"",INDEX(BDHKI,MATCH($C5,DiemHKI!$DI$4:$DI$58,0),AE$59),""))</f>
        <v>9.8000000000000007</v>
      </c>
      <c r="AF5" s="792">
        <f t="shared" si="8"/>
        <v>1</v>
      </c>
      <c r="AG5" s="776" t="str">
        <f t="shared" si="9"/>
        <v>Học giỏi, năng động và sáng tạo trong học tập.</v>
      </c>
      <c r="AH5" s="775"/>
      <c r="AI5" s="792"/>
      <c r="AJ5" s="774"/>
      <c r="AK5" s="775">
        <f>IF($B5="","",IF(INDEX(BDHKI,MATCH($C5,DiemHKI!$DI$4:$DI$58,0),AK$59)&lt;&gt;"",INDEX(BDHKI,MATCH($C5,DiemHKI!$DI$4:$DI$58,0),AK$59),""))</f>
        <v>7.1</v>
      </c>
      <c r="AL5" s="792">
        <f t="shared" si="10"/>
        <v>5</v>
      </c>
      <c r="AM5" s="776" t="str">
        <f t="shared" si="11"/>
        <v>Cần tích cực rèn thêm kỹ năng đọc, viết.</v>
      </c>
      <c r="AN5" s="775"/>
      <c r="AO5" s="792"/>
      <c r="AP5" s="774"/>
      <c r="AQ5" s="775">
        <f>IF($B5="","",IF(INDEX(BDHKI,MATCH($C5,DiemHKI!$DI$4:$DI$58,0),AQ$59)&lt;&gt;"",INDEX(BDHKI,MATCH($C5,DiemHKI!$DI$4:$DI$58,0),AQ$59),""))</f>
        <v>9.4</v>
      </c>
      <c r="AR5" s="792">
        <f t="shared" si="12"/>
        <v>1</v>
      </c>
      <c r="AS5" s="776" t="str">
        <f t="shared" si="13"/>
        <v>Chăm học, tích cực phát biểu xây dựng bài.</v>
      </c>
      <c r="AT5" s="775"/>
      <c r="AU5" s="792"/>
      <c r="AV5" s="774"/>
      <c r="AW5" s="775">
        <f>IF($B5="","",IF(INDEX(BDHKI,MATCH($C5,DiemHKI!$DI$4:$DI$58,0),AW$59)&lt;&gt;"",INDEX(BDHKI,MATCH($C5,DiemHKI!$DI$4:$DI$58,0),AW$59),""))</f>
        <v>9.6</v>
      </c>
      <c r="AX5" s="792">
        <f t="shared" si="14"/>
        <v>1</v>
      </c>
      <c r="AY5" s="776" t="str">
        <f t="shared" si="15"/>
        <v>Em có tư duy tốt, tích cực, vận dụng thực tế tốt.</v>
      </c>
      <c r="AZ5" s="775"/>
      <c r="BA5" s="792"/>
      <c r="BB5" s="774"/>
      <c r="BC5" s="775">
        <f>IF($B5="","",IF(INDEX(BDHKI,MATCH($C5,DiemHKI!$DI$4:$DI$58,0),BC$59)&lt;&gt;"",INDEX(BDHKI,MATCH($C5,DiemHKI!$DI$4:$DI$58,0),BC$59),""))</f>
        <v>8.1999999999999993</v>
      </c>
      <c r="BD5" s="792">
        <f t="shared" si="16"/>
        <v>3</v>
      </c>
      <c r="BE5" s="776" t="str">
        <f t="shared" si="17"/>
        <v>Có ý thức tự giác học tập, chuyên cần và tích cực trong các hoạt động tập thể.</v>
      </c>
      <c r="BF5" s="775"/>
      <c r="BG5" s="792"/>
      <c r="BH5" s="774"/>
      <c r="BI5" s="775">
        <f>IF($B5="","",IF(INDEX(BDHKI,MATCH($C5,DiemHKI!$DI$4:$DI$58,0),BI$59)&lt;&gt;"",INDEX(BDHKI,MATCH($C5,DiemHKI!$DI$4:$DI$58,0),BI$59),""))</f>
        <v>8.8000000000000007</v>
      </c>
      <c r="BJ5" s="792">
        <f t="shared" si="18"/>
        <v>2</v>
      </c>
      <c r="BK5" s="776" t="str">
        <f t="shared" si="19"/>
        <v>Chủ động, nhân ái, học giỏi.</v>
      </c>
      <c r="BL5" s="775"/>
      <c r="BM5" s="792"/>
      <c r="BN5" s="774"/>
      <c r="BO5" s="775">
        <f>IF($B5="","",IF(INDEX(BDHKI,MATCH($C5,DiemHKI!$DI$4:$DI$58,0),BO$59)&lt;&gt;"",INDEX(BDHKI,MATCH($C5,DiemHKI!$DI$4:$DI$58,0),BO$59),""))</f>
        <v>9.5</v>
      </c>
      <c r="BP5" s="792">
        <f t="shared" si="20"/>
        <v>1</v>
      </c>
      <c r="BQ5" s="776" t="str">
        <f t="shared" si="21"/>
        <v>Học giỏi, tiếp thu nhanh, chăm ngoan.</v>
      </c>
      <c r="BR5" s="775"/>
      <c r="BS5" s="792"/>
      <c r="BT5" s="774"/>
      <c r="BU5" s="775" t="str">
        <f>IF($B5="","",IF(INDEX(BDHKI,MATCH($C5,DiemHKI!$DI$4:$DI$58,0),BU$59)&lt;&gt;"",INDEX(BDHKI,MATCH($C5,DiemHKI!$DI$4:$DI$58,0),BU$59),""))</f>
        <v>Đ</v>
      </c>
      <c r="BV5" s="792">
        <f t="shared" si="22"/>
        <v>1</v>
      </c>
      <c r="BW5" s="776" t="str">
        <f t="shared" si="23"/>
        <v>Rất ngoan, học có hiệu quả tốt.</v>
      </c>
      <c r="BX5" s="775"/>
      <c r="BY5" s="792"/>
      <c r="BZ5" s="774"/>
      <c r="CA5" s="775">
        <f>IF($B5="","",IF(INDEX(BDHKI,MATCH($C5,DiemHKI!$DI$4:$DI$58,0),CA$59)&lt;&gt;"",INDEX(BDHKI,MATCH($C5,DiemHKI!$DI$4:$DI$58,0),CA$59),""))</f>
        <v>9.4</v>
      </c>
      <c r="CB5" s="792">
        <f t="shared" si="24"/>
        <v>1</v>
      </c>
      <c r="CC5" s="776" t="str">
        <f t="shared" si="25"/>
        <v>Ngoan, tích cực xây dựng bài, nắm chắc thực hành, học giỏi.</v>
      </c>
      <c r="CD5" s="775"/>
      <c r="CE5" s="792"/>
      <c r="CF5" s="774"/>
      <c r="CG5" s="775" t="str">
        <f>IF($B5="","",IF(INDEX(BDHKI,MATCH($C5,DiemHKI!$DI$4:$DI$58,0),CG$59)&lt;&gt;"",INDEX(BDHKI,MATCH($C5,DiemHKI!$DI$4:$DI$58,0),CG$59),""))</f>
        <v/>
      </c>
      <c r="CH5" s="792" t="str">
        <f t="shared" si="26"/>
        <v/>
      </c>
      <c r="CI5" s="776" t="str">
        <f t="shared" si="27"/>
        <v/>
      </c>
      <c r="CJ5" s="775"/>
      <c r="CK5" s="792"/>
      <c r="CL5" s="774"/>
    </row>
    <row r="6" spans="1:90" ht="15" customHeight="1">
      <c r="A6" s="764"/>
      <c r="B6" s="771">
        <f>IF(B5&lt;MAX(DiemHKI!$B$4:$B$58),B5+1,"")</f>
        <v>4</v>
      </c>
      <c r="C6" s="771" t="str">
        <f>IF(B6="","",A$1&amp;TRIM(D6)&amp;TRIM(E6)&amp;F6)</f>
        <v>12A1Nguyễn Quách MaiAnh12/05/2004</v>
      </c>
      <c r="D6" s="772" t="str">
        <f>IF($B6&lt;&gt;"",PROPER(INDEX(BDHKI,MATCH($B6,DiemHKI!$B$4:$B$58,0),3)),"")</f>
        <v>Nguyễn Quách Mai</v>
      </c>
      <c r="E6" s="773" t="str">
        <f>IF($B6&lt;&gt;"",PROPER(INDEX(BDHKI,MATCH($B6,DiemHKI!$B$4:$B$58,0),4)),"")</f>
        <v>Anh</v>
      </c>
      <c r="F6" s="774" t="str">
        <f>IF($B6&lt;&gt;"",PROPER(INDEX(BDHKI,MATCH($B6,DiemHKI!$B$4:$B$58,0),5)),"")</f>
        <v>12/05/2004</v>
      </c>
      <c r="G6" s="775">
        <f>IF($B6="","",IF(INDEX(BDHKI,MATCH($C6,DiemHKI!$DI$4:$DI$58,0),G$59)&lt;&gt;"",INDEX(BDHKI,MATCH($C6,DiemHKI!$DI$4:$DI$58,0),G$59),""))</f>
        <v>9.8000000000000007</v>
      </c>
      <c r="H6" s="792">
        <f>IF(G6="","",IF(G6&gt;=9,1,IF(G6&gt;=8.5,2,IF(G6&gt;=8,3,IF(G6&gt;=7.5,4,IF(G6&gt;=7,5,IF(G6&gt;=6.5,6,IF(G6&gt;=6,7,IF(G6&gt;=5.5,8,IF(G6&gt;=5,9,IF(G6&gt;=4.5,10,IF(G6&gt;=4,11,IF(G6&gt;=3.5,12,IF(G6&gt;=3,13,IF(G6&gt;=2.5,14,IF(G6&gt;=0,15,""))))))))))))))))</f>
        <v>1</v>
      </c>
      <c r="I6" s="776" t="str">
        <f t="shared" si="1"/>
        <v>Em chăm chỉ, chuyên cần, rất tích cực, rất đáng khen.</v>
      </c>
      <c r="J6" s="775"/>
      <c r="K6" s="792">
        <v>3</v>
      </c>
      <c r="L6" s="774"/>
      <c r="M6" s="775">
        <f>IF($B6="","",IF(INDEX(BDHKI,MATCH($C6,DiemHKI!$DI$4:$DI$58,0),M$59)&lt;&gt;"",INDEX(BDHKI,MATCH($C6,DiemHKI!$DI$4:$DI$58,0),M$59),""))</f>
        <v>9.6999999999999993</v>
      </c>
      <c r="N6" s="792">
        <f t="shared" si="2"/>
        <v>1</v>
      </c>
      <c r="O6" s="776" t="str">
        <f t="shared" si="3"/>
        <v>Em chăm chỉ, chuyên cần, rất tích cực, rất đáng khen.</v>
      </c>
      <c r="P6" s="775"/>
      <c r="Q6" s="792"/>
      <c r="R6" s="774"/>
      <c r="S6" s="775">
        <f>IF($B6="","",IF(INDEX(BDHKI,MATCH($C6,DiemHKI!$DI$4:$DI$58,0),S$59)&lt;&gt;"",INDEX(BDHKI,MATCH($C6,DiemHKI!$DI$4:$DI$58,0),S$59),""))</f>
        <v>9.3000000000000007</v>
      </c>
      <c r="T6" s="792">
        <f t="shared" si="4"/>
        <v>1</v>
      </c>
      <c r="U6" s="776" t="str">
        <f t="shared" si="5"/>
        <v>Học giỏi, thông minh, cần phát huy.</v>
      </c>
      <c r="V6" s="775"/>
      <c r="W6" s="792"/>
      <c r="X6" s="774"/>
      <c r="Y6" s="775">
        <f>IF($B6="","",IF(INDEX(BDHKI,MATCH($C6,DiemHKI!$DI$4:$DI$58,0),Y$59)&lt;&gt;"",INDEX(BDHKI,MATCH($C6,DiemHKI!$DI$4:$DI$58,0),Y$59),""))</f>
        <v>9.1999999999999993</v>
      </c>
      <c r="Z6" s="792">
        <f t="shared" si="6"/>
        <v>1</v>
      </c>
      <c r="AA6" s="776" t="str">
        <f t="shared" si="7"/>
        <v>Sáng tạo, hoạt động nhóm rất tốt, biết chia sẻ kết quả học tập với bạn.</v>
      </c>
      <c r="AB6" s="775"/>
      <c r="AC6" s="792"/>
      <c r="AD6" s="774"/>
      <c r="AE6" s="775">
        <f>IF($B6="","",IF(INDEX(BDHKI,MATCH($C6,DiemHKI!$DI$4:$DI$58,0),AE$59)&lt;&gt;"",INDEX(BDHKI,MATCH($C6,DiemHKI!$DI$4:$DI$58,0),AE$59),""))</f>
        <v>9.8000000000000007</v>
      </c>
      <c r="AF6" s="792">
        <f t="shared" si="8"/>
        <v>1</v>
      </c>
      <c r="AG6" s="776" t="str">
        <f t="shared" si="9"/>
        <v>Rất ngoan, cố gắng có hiệu quả.</v>
      </c>
      <c r="AH6" s="775"/>
      <c r="AI6" s="792"/>
      <c r="AJ6" s="774"/>
      <c r="AK6" s="775">
        <f>IF($B6="","",IF(INDEX(BDHKI,MATCH($C6,DiemHKI!$DI$4:$DI$58,0),AK$59)&lt;&gt;"",INDEX(BDHKI,MATCH($C6,DiemHKI!$DI$4:$DI$58,0),AK$59),""))</f>
        <v>7.4</v>
      </c>
      <c r="AL6" s="792">
        <f t="shared" si="10"/>
        <v>5</v>
      </c>
      <c r="AM6" s="776" t="str">
        <f t="shared" si="11"/>
        <v>Học khá, cần chủ động rèn thêm kỹ năng diễn đạt.</v>
      </c>
      <c r="AN6" s="775"/>
      <c r="AO6" s="792"/>
      <c r="AP6" s="774"/>
      <c r="AQ6" s="775">
        <f>IF($B6="","",IF(INDEX(BDHKI,MATCH($C6,DiemHKI!$DI$4:$DI$58,0),AQ$59)&lt;&gt;"",INDEX(BDHKI,MATCH($C6,DiemHKI!$DI$4:$DI$58,0),AQ$59),""))</f>
        <v>9.8000000000000007</v>
      </c>
      <c r="AR6" s="792">
        <f t="shared" si="12"/>
        <v>1</v>
      </c>
      <c r="AS6" s="776" t="str">
        <f t="shared" si="13"/>
        <v>Chăm ngoan, tích cực, chủ động tiếp thu bài học.</v>
      </c>
      <c r="AT6" s="775"/>
      <c r="AU6" s="792"/>
      <c r="AV6" s="774"/>
      <c r="AW6" s="775">
        <f>IF($B6="","",IF(INDEX(BDHKI,MATCH($C6,DiemHKI!$DI$4:$DI$58,0),AW$59)&lt;&gt;"",INDEX(BDHKI,MATCH($C6,DiemHKI!$DI$4:$DI$58,0),AW$59),""))</f>
        <v>9.9</v>
      </c>
      <c r="AX6" s="792">
        <f t="shared" si="14"/>
        <v>1</v>
      </c>
      <c r="AY6" s="776" t="str">
        <f t="shared" si="15"/>
        <v>Em rất ngoan, cố gắng có hiệu quả.</v>
      </c>
      <c r="AZ6" s="775"/>
      <c r="BA6" s="792"/>
      <c r="BB6" s="774"/>
      <c r="BC6" s="775">
        <f>IF($B6="","",IF(INDEX(BDHKI,MATCH($C6,DiemHKI!$DI$4:$DI$58,0),BC$59)&lt;&gt;"",INDEX(BDHKI,MATCH($C6,DiemHKI!$DI$4:$DI$58,0),BC$59),""))</f>
        <v>8</v>
      </c>
      <c r="BD6" s="792">
        <f t="shared" si="16"/>
        <v>3</v>
      </c>
      <c r="BE6" s="776" t="str">
        <f t="shared" si="17"/>
        <v>Học giỏi, chăm ngoan, ý thức tự giác học tập, chuyên cần.</v>
      </c>
      <c r="BF6" s="775"/>
      <c r="BG6" s="792"/>
      <c r="BH6" s="774"/>
      <c r="BI6" s="775">
        <f>IF($B6="","",IF(INDEX(BDHKI,MATCH($C6,DiemHKI!$DI$4:$DI$58,0),BI$59)&lt;&gt;"",INDEX(BDHKI,MATCH($C6,DiemHKI!$DI$4:$DI$58,0),BI$59),""))</f>
        <v>9.5</v>
      </c>
      <c r="BJ6" s="792">
        <f t="shared" si="18"/>
        <v>1</v>
      </c>
      <c r="BK6" s="776" t="str">
        <f t="shared" si="19"/>
        <v>Hứng thú, có trách nhiệm học tập tốt.</v>
      </c>
      <c r="BL6" s="775"/>
      <c r="BM6" s="792"/>
      <c r="BN6" s="774"/>
      <c r="BO6" s="775">
        <f>IF($B6="","",IF(INDEX(BDHKI,MATCH($C6,DiemHKI!$DI$4:$DI$58,0),BO$59)&lt;&gt;"",INDEX(BDHKI,MATCH($C6,DiemHKI!$DI$4:$DI$58,0),BO$59),""))</f>
        <v>9.9</v>
      </c>
      <c r="BP6" s="792">
        <f t="shared" si="20"/>
        <v>1</v>
      </c>
      <c r="BQ6" s="776" t="str">
        <f t="shared" si="21"/>
        <v>Học giỏi, năng động, chăm ngoan.</v>
      </c>
      <c r="BR6" s="775"/>
      <c r="BS6" s="792"/>
      <c r="BT6" s="774"/>
      <c r="BU6" s="775" t="str">
        <f>IF($B6="","",IF(INDEX(BDHKI,MATCH($C6,DiemHKI!$DI$4:$DI$58,0),BU$59)&lt;&gt;"",INDEX(BDHKI,MATCH($C6,DiemHKI!$DI$4:$DI$58,0),BU$59),""))</f>
        <v>Đ</v>
      </c>
      <c r="BV6" s="792">
        <f t="shared" si="22"/>
        <v>1</v>
      </c>
      <c r="BW6" s="776" t="str">
        <f t="shared" si="23"/>
        <v>Chăm chỉ, cố gắng, rất ngoan.</v>
      </c>
      <c r="BX6" s="775"/>
      <c r="BY6" s="792"/>
      <c r="BZ6" s="774"/>
      <c r="CA6" s="775">
        <f>IF($B6="","",IF(INDEX(BDHKI,MATCH($C6,DiemHKI!$DI$4:$DI$58,0),CA$59)&lt;&gt;"",INDEX(BDHKI,MATCH($C6,DiemHKI!$DI$4:$DI$58,0),CA$59),""))</f>
        <v>9.9</v>
      </c>
      <c r="CB6" s="792">
        <f t="shared" si="24"/>
        <v>1</v>
      </c>
      <c r="CC6" s="776" t="str">
        <f t="shared" si="25"/>
        <v>Siêng năng, lễ phép, thành thạo thực hành, học giỏi.</v>
      </c>
      <c r="CD6" s="775"/>
      <c r="CE6" s="792"/>
      <c r="CF6" s="774"/>
      <c r="CG6" s="775" t="str">
        <f>IF($B6="","",IF(INDEX(BDHKI,MATCH($C6,DiemHKI!$DI$4:$DI$58,0),CG$59)&lt;&gt;"",INDEX(BDHKI,MATCH($C6,DiemHKI!$DI$4:$DI$58,0),CG$59),""))</f>
        <v/>
      </c>
      <c r="CH6" s="792" t="str">
        <f t="shared" si="26"/>
        <v/>
      </c>
      <c r="CI6" s="776" t="str">
        <f t="shared" si="27"/>
        <v/>
      </c>
      <c r="CJ6" s="775"/>
      <c r="CK6" s="792"/>
      <c r="CL6" s="774"/>
    </row>
    <row r="7" spans="1:90" ht="15" customHeight="1">
      <c r="A7" s="764"/>
      <c r="B7" s="777">
        <f>IF(B6&lt;MAX(DiemHKI!$B$4:$B$58),B6+1,"")</f>
        <v>5</v>
      </c>
      <c r="C7" s="777" t="str">
        <f t="shared" si="0"/>
        <v>12A1Vũ SongAnh20/04/2004</v>
      </c>
      <c r="D7" s="778" t="str">
        <f>IF($B7&lt;&gt;"",PROPER(INDEX(BDHKI,MATCH($B7,DiemHKI!$B$4:$B$58,0),3)),"")</f>
        <v>Vũ Song</v>
      </c>
      <c r="E7" s="779" t="str">
        <f>IF($B7&lt;&gt;"",PROPER(INDEX(BDHKI,MATCH($B7,DiemHKI!$B$4:$B$58,0),4)),"")</f>
        <v>Anh</v>
      </c>
      <c r="F7" s="780" t="str">
        <f>IF($B7&lt;&gt;"",PROPER(INDEX(BDHKI,MATCH($B7,DiemHKI!$B$4:$B$58,0),5)),"")</f>
        <v>20/04/2004</v>
      </c>
      <c r="G7" s="781">
        <f>IF($B7="","",IF(INDEX(BDHKI,MATCH($C7,DiemHKI!$DI$4:$DI$58,0),G$59)&lt;&gt;"",INDEX(BDHKI,MATCH($C7,DiemHKI!$DI$4:$DI$58,0),G$59),""))</f>
        <v>9.6</v>
      </c>
      <c r="H7" s="793">
        <f>IF(G7="","",IF(G7&gt;=9,1,IF(G7&gt;=8.5,2,IF(G7&gt;=8,3,IF(G7&gt;=7.5,4,IF(G7&gt;=7,5,IF(G7&gt;=6.5,6,IF(G7&gt;=6,7,IF(G7&gt;=5.5,8,IF(G7&gt;=5,9,IF(G7&gt;=4.5,10,IF(G7&gt;=4,11,IF(G7&gt;=3.5,12,IF(G7&gt;=3,13,IF(G7&gt;=2.5,14,IF(G7&gt;=0,15,""))))))))))))))))</f>
        <v>1</v>
      </c>
      <c r="I7" s="782" t="str">
        <f t="shared" si="1"/>
        <v>Em học giỏi, chăm ngoan, tính tự giác cao, rất tốt.</v>
      </c>
      <c r="J7" s="781"/>
      <c r="K7" s="793">
        <v>4</v>
      </c>
      <c r="L7" s="780"/>
      <c r="M7" s="781">
        <f>IF($B7="","",IF(INDEX(BDHKI,MATCH($C7,DiemHKI!$DI$4:$DI$58,0),M$59)&lt;&gt;"",INDEX(BDHKI,MATCH($C7,DiemHKI!$DI$4:$DI$58,0),M$59),""))</f>
        <v>9.6</v>
      </c>
      <c r="N7" s="793">
        <f t="shared" si="2"/>
        <v>1</v>
      </c>
      <c r="O7" s="782" t="str">
        <f t="shared" si="3"/>
        <v>Em học giỏi, chăm ngoan, tính tự giác cao, rất tốt.</v>
      </c>
      <c r="P7" s="781"/>
      <c r="Q7" s="793"/>
      <c r="R7" s="780"/>
      <c r="S7" s="781">
        <f>IF($B7="","",IF(INDEX(BDHKI,MATCH($C7,DiemHKI!$DI$4:$DI$58,0),S$59)&lt;&gt;"",INDEX(BDHKI,MATCH($C7,DiemHKI!$DI$4:$DI$58,0),S$59),""))</f>
        <v>9.3000000000000007</v>
      </c>
      <c r="T7" s="793">
        <f t="shared" si="4"/>
        <v>1</v>
      </c>
      <c r="U7" s="782" t="str">
        <f t="shared" si="5"/>
        <v>Kiến thức vững, tự học tốt, ngoan.</v>
      </c>
      <c r="V7" s="781"/>
      <c r="W7" s="793"/>
      <c r="X7" s="780"/>
      <c r="Y7" s="781">
        <f>IF($B7="","",IF(INDEX(BDHKI,MATCH($C7,DiemHKI!$DI$4:$DI$58,0),Y$59)&lt;&gt;"",INDEX(BDHKI,MATCH($C7,DiemHKI!$DI$4:$DI$58,0),Y$59),""))</f>
        <v>9</v>
      </c>
      <c r="Z7" s="793">
        <f t="shared" si="6"/>
        <v>1</v>
      </c>
      <c r="AA7" s="782" t="str">
        <f t="shared" si="7"/>
        <v>Có khả năng tự học và tự chủ bản thân, tích cực trong học tập.</v>
      </c>
      <c r="AB7" s="781"/>
      <c r="AC7" s="793"/>
      <c r="AD7" s="780"/>
      <c r="AE7" s="781">
        <f>IF($B7="","",IF(INDEX(BDHKI,MATCH($C7,DiemHKI!$DI$4:$DI$58,0),AE$59)&lt;&gt;"",INDEX(BDHKI,MATCH($C7,DiemHKI!$DI$4:$DI$58,0),AE$59),""))</f>
        <v>9.6</v>
      </c>
      <c r="AF7" s="793">
        <f t="shared" si="8"/>
        <v>1</v>
      </c>
      <c r="AG7" s="782" t="str">
        <f t="shared" si="9"/>
        <v>Ngoan, chăm chỉ, tư duy tốt.</v>
      </c>
      <c r="AH7" s="781"/>
      <c r="AI7" s="793"/>
      <c r="AJ7" s="780"/>
      <c r="AK7" s="781">
        <f>IF($B7="","",IF(INDEX(BDHKI,MATCH($C7,DiemHKI!$DI$4:$DI$58,0),AK$59)&lt;&gt;"",INDEX(BDHKI,MATCH($C7,DiemHKI!$DI$4:$DI$58,0),AK$59),""))</f>
        <v>7.2</v>
      </c>
      <c r="AL7" s="793">
        <f t="shared" si="10"/>
        <v>5</v>
      </c>
      <c r="AM7" s="782" t="str">
        <f t="shared" si="11"/>
        <v>Có ý thức học tập tốt, cần nỗ lực rèn luyện thêm các kỹ năng.</v>
      </c>
      <c r="AN7" s="781"/>
      <c r="AO7" s="793"/>
      <c r="AP7" s="780"/>
      <c r="AQ7" s="781">
        <f>IF($B7="","",IF(INDEX(BDHKI,MATCH($C7,DiemHKI!$DI$4:$DI$58,0),AQ$59)&lt;&gt;"",INDEX(BDHKI,MATCH($C7,DiemHKI!$DI$4:$DI$58,0),AQ$59),""))</f>
        <v>9.6</v>
      </c>
      <c r="AR7" s="793">
        <f t="shared" si="12"/>
        <v>1</v>
      </c>
      <c r="AS7" s="782" t="str">
        <f t="shared" si="13"/>
        <v>Tiếp thu bài tốt, ghi nhớ nhanh các sự kiện lịch sử.</v>
      </c>
      <c r="AT7" s="781"/>
      <c r="AU7" s="793"/>
      <c r="AV7" s="780"/>
      <c r="AW7" s="781">
        <f>IF($B7="","",IF(INDEX(BDHKI,MATCH($C7,DiemHKI!$DI$4:$DI$58,0),AW$59)&lt;&gt;"",INDEX(BDHKI,MATCH($C7,DiemHKI!$DI$4:$DI$58,0),AW$59),""))</f>
        <v>9.9</v>
      </c>
      <c r="AX7" s="793">
        <f t="shared" si="14"/>
        <v>1</v>
      </c>
      <c r="AY7" s="782" t="str">
        <f t="shared" si="15"/>
        <v>Em có tư duy tốt, rất tích cực, giải quyết vấn đề tốt.</v>
      </c>
      <c r="AZ7" s="781"/>
      <c r="BA7" s="793"/>
      <c r="BB7" s="780"/>
      <c r="BC7" s="781">
        <f>IF($B7="","",IF(INDEX(BDHKI,MATCH($C7,DiemHKI!$DI$4:$DI$58,0),BC$59)&lt;&gt;"",INDEX(BDHKI,MATCH($C7,DiemHKI!$DI$4:$DI$58,0),BC$59),""))</f>
        <v>8.8000000000000007</v>
      </c>
      <c r="BD7" s="793">
        <f t="shared" si="16"/>
        <v>2</v>
      </c>
      <c r="BE7" s="782" t="str">
        <f t="shared" si="17"/>
        <v>Có khả năng nghe, nói và ngữ pháp vững.</v>
      </c>
      <c r="BF7" s="781"/>
      <c r="BG7" s="793"/>
      <c r="BH7" s="780"/>
      <c r="BI7" s="781">
        <f>IF($B7="","",IF(INDEX(BDHKI,MATCH($C7,DiemHKI!$DI$4:$DI$58,0),BI$59)&lt;&gt;"",INDEX(BDHKI,MATCH($C7,DiemHKI!$DI$4:$DI$58,0),BI$59),""))</f>
        <v>9.4</v>
      </c>
      <c r="BJ7" s="793">
        <f t="shared" si="18"/>
        <v>1</v>
      </c>
      <c r="BK7" s="782" t="str">
        <f t="shared" si="19"/>
        <v>Chăm chỉ, học giỏi.</v>
      </c>
      <c r="BL7" s="781"/>
      <c r="BM7" s="793"/>
      <c r="BN7" s="780"/>
      <c r="BO7" s="781">
        <f>IF($B7="","",IF(INDEX(BDHKI,MATCH($C7,DiemHKI!$DI$4:$DI$58,0),BO$59)&lt;&gt;"",INDEX(BDHKI,MATCH($C7,DiemHKI!$DI$4:$DI$58,0),BO$59),""))</f>
        <v>9.9</v>
      </c>
      <c r="BP7" s="793">
        <f t="shared" si="20"/>
        <v>1</v>
      </c>
      <c r="BQ7" s="782" t="str">
        <f t="shared" si="21"/>
        <v>Năng động, sáng tạo trong học tập.</v>
      </c>
      <c r="BR7" s="781"/>
      <c r="BS7" s="793"/>
      <c r="BT7" s="780"/>
      <c r="BU7" s="781" t="str">
        <f>IF($B7="","",IF(INDEX(BDHKI,MATCH($C7,DiemHKI!$DI$4:$DI$58,0),BU$59)&lt;&gt;"",INDEX(BDHKI,MATCH($C7,DiemHKI!$DI$4:$DI$58,0),BU$59),""))</f>
        <v>Đ</v>
      </c>
      <c r="BV7" s="793">
        <f t="shared" si="22"/>
        <v>1</v>
      </c>
      <c r="BW7" s="782" t="str">
        <f t="shared" si="23"/>
        <v>Giỏi, có nhiều tiến bộ trong học tập.</v>
      </c>
      <c r="BX7" s="781"/>
      <c r="BY7" s="793"/>
      <c r="BZ7" s="780"/>
      <c r="CA7" s="781">
        <f>IF($B7="","",IF(INDEX(BDHKI,MATCH($C7,DiemHKI!$DI$4:$DI$58,0),CA$59)&lt;&gt;"",INDEX(BDHKI,MATCH($C7,DiemHKI!$DI$4:$DI$58,0),CA$59),""))</f>
        <v>9.9</v>
      </c>
      <c r="CB7" s="793">
        <f t="shared" si="24"/>
        <v>1</v>
      </c>
      <c r="CC7" s="782" t="str">
        <f t="shared" si="25"/>
        <v>Tích cực, năng động, nắm bài tốt, học giỏi.</v>
      </c>
      <c r="CD7" s="781"/>
      <c r="CE7" s="793"/>
      <c r="CF7" s="780"/>
      <c r="CG7" s="781" t="str">
        <f>IF($B7="","",IF(INDEX(BDHKI,MATCH($C7,DiemHKI!$DI$4:$DI$58,0),CG$59)&lt;&gt;"",INDEX(BDHKI,MATCH($C7,DiemHKI!$DI$4:$DI$58,0),CG$59),""))</f>
        <v/>
      </c>
      <c r="CH7" s="793" t="str">
        <f t="shared" si="26"/>
        <v/>
      </c>
      <c r="CI7" s="782" t="str">
        <f t="shared" si="27"/>
        <v/>
      </c>
      <c r="CJ7" s="781"/>
      <c r="CK7" s="793"/>
      <c r="CL7" s="780"/>
    </row>
    <row r="8" spans="1:90" ht="15" customHeight="1">
      <c r="A8" s="764"/>
      <c r="B8" s="765">
        <f>IF(B7&lt;MAX(DiemHKI!$B$4:$B$58),B7+1,"")</f>
        <v>6</v>
      </c>
      <c r="C8" s="765" t="str">
        <f t="shared" si="0"/>
        <v>12A1Phan GiaBảo27/10/2004</v>
      </c>
      <c r="D8" s="766" t="str">
        <f>IF($B8&lt;&gt;"",PROPER(INDEX(BDHKI,MATCH($B8,DiemHKI!$B$4:$B$58,0),3)),"")</f>
        <v>Phan Gia</v>
      </c>
      <c r="E8" s="767" t="str">
        <f>IF($B8&lt;&gt;"",PROPER(INDEX(BDHKI,MATCH($B8,DiemHKI!$B$4:$B$58,0),4)),"")</f>
        <v>Bảo</v>
      </c>
      <c r="F8" s="768" t="str">
        <f>IF($B8&lt;&gt;"",PROPER(INDEX(BDHKI,MATCH($B8,DiemHKI!$B$4:$B$58,0),5)),"")</f>
        <v>27/10/2004</v>
      </c>
      <c r="G8" s="783">
        <f>IF($B8="","",IF(INDEX(BDHKI,MATCH($C8,DiemHKI!$DI$4:$DI$58,0),G$59)&lt;&gt;"",INDEX(BDHKI,MATCH($C8,DiemHKI!$DI$4:$DI$58,0),G$59),""))</f>
        <v>9.5</v>
      </c>
      <c r="H8" s="794">
        <f t="shared" ref="H8:H57" si="28">IF(G8="","",IF(G8&gt;=9,1,IF(G8&gt;=8.5,2,IF(G8&gt;=8,3,IF(G8&gt;=7.5,4,IF(G8&gt;=7,5,IF(G8&gt;=6.5,6,IF(G8&gt;=6,7,IF(G8&gt;=5.5,8,IF(G8&gt;=5,9,IF(G8&gt;=4.5,10,IF(G8&gt;=4,11,IF(G8&gt;=3.5,12,IF(G8&gt;=3,13,IF(G8&gt;=2.5,14,IF(G8&gt;=0,15,""))))))))))))))))</f>
        <v>1</v>
      </c>
      <c r="I8" s="770" t="str">
        <f t="shared" si="1"/>
        <v>Em ngoan, tích cực, năng động, rất đáng khen.</v>
      </c>
      <c r="J8" s="783"/>
      <c r="K8" s="794">
        <v>5</v>
      </c>
      <c r="L8" s="768"/>
      <c r="M8" s="783">
        <f>IF($B8="","",IF(INDEX(BDHKI,MATCH($C8,DiemHKI!$DI$4:$DI$58,0),M$59)&lt;&gt;"",INDEX(BDHKI,MATCH($C8,DiemHKI!$DI$4:$DI$58,0),M$59),""))</f>
        <v>9.4</v>
      </c>
      <c r="N8" s="794">
        <f t="shared" si="2"/>
        <v>1</v>
      </c>
      <c r="O8" s="770" t="str">
        <f t="shared" si="3"/>
        <v>Em ngoan, tích cực, năng động, rất đáng khen.</v>
      </c>
      <c r="P8" s="783"/>
      <c r="Q8" s="794"/>
      <c r="R8" s="768"/>
      <c r="S8" s="783">
        <f>IF($B8="","",IF(INDEX(BDHKI,MATCH($C8,DiemHKI!$DI$4:$DI$58,0),S$59)&lt;&gt;"",INDEX(BDHKI,MATCH($C8,DiemHKI!$DI$4:$DI$58,0),S$59),""))</f>
        <v>9</v>
      </c>
      <c r="T8" s="794">
        <f t="shared" si="4"/>
        <v>1</v>
      </c>
      <c r="U8" s="770" t="str">
        <f t="shared" si="5"/>
        <v>Kiến thức vững, sáng tạo, tự học tốt.</v>
      </c>
      <c r="V8" s="783"/>
      <c r="W8" s="794"/>
      <c r="X8" s="768"/>
      <c r="Y8" s="783">
        <f>IF($B8="","",IF(INDEX(BDHKI,MATCH($C8,DiemHKI!$DI$4:$DI$58,0),Y$59)&lt;&gt;"",INDEX(BDHKI,MATCH($C8,DiemHKI!$DI$4:$DI$58,0),Y$59),""))</f>
        <v>8.8000000000000007</v>
      </c>
      <c r="Z8" s="794">
        <f t="shared" si="6"/>
        <v>2</v>
      </c>
      <c r="AA8" s="770" t="str">
        <f t="shared" si="7"/>
        <v>Ngoan, khả năng tư duy tốt, có trách nhiệm, trình bày tốt.</v>
      </c>
      <c r="AB8" s="783"/>
      <c r="AC8" s="794"/>
      <c r="AD8" s="768"/>
      <c r="AE8" s="783">
        <f>IF($B8="","",IF(INDEX(BDHKI,MATCH($C8,DiemHKI!$DI$4:$DI$58,0),AE$59)&lt;&gt;"",INDEX(BDHKI,MATCH($C8,DiemHKI!$DI$4:$DI$58,0),AE$59),""))</f>
        <v>9.6</v>
      </c>
      <c r="AF8" s="794">
        <f t="shared" si="8"/>
        <v>1</v>
      </c>
      <c r="AG8" s="770" t="str">
        <f t="shared" si="9"/>
        <v>Học giỏi, năng động và sáng tạo trong học tập.</v>
      </c>
      <c r="AH8" s="783"/>
      <c r="AI8" s="794"/>
      <c r="AJ8" s="768"/>
      <c r="AK8" s="783">
        <f>IF($B8="","",IF(INDEX(BDHKI,MATCH($C8,DiemHKI!$DI$4:$DI$58,0),AK$59)&lt;&gt;"",INDEX(BDHKI,MATCH($C8,DiemHKI!$DI$4:$DI$58,0),AK$59),""))</f>
        <v>7.2</v>
      </c>
      <c r="AL8" s="794">
        <f t="shared" si="10"/>
        <v>5</v>
      </c>
      <c r="AM8" s="770" t="str">
        <f t="shared" si="11"/>
        <v>Cần tích cực rèn thêm kỹ năng đọc, viết.</v>
      </c>
      <c r="AN8" s="783"/>
      <c r="AO8" s="794"/>
      <c r="AP8" s="768"/>
      <c r="AQ8" s="783">
        <f>IF($B8="","",IF(INDEX(BDHKI,MATCH($C8,DiemHKI!$DI$4:$DI$58,0),AQ$59)&lt;&gt;"",INDEX(BDHKI,MATCH($C8,DiemHKI!$DI$4:$DI$58,0),AQ$59),""))</f>
        <v>9.8000000000000007</v>
      </c>
      <c r="AR8" s="794">
        <f t="shared" si="12"/>
        <v>1</v>
      </c>
      <c r="AS8" s="770" t="str">
        <f t="shared" si="13"/>
        <v>Chăm học, tích cực phát biểu xây dựng bài.</v>
      </c>
      <c r="AT8" s="783"/>
      <c r="AU8" s="794"/>
      <c r="AV8" s="768"/>
      <c r="AW8" s="783">
        <f>IF($B8="","",IF(INDEX(BDHKI,MATCH($C8,DiemHKI!$DI$4:$DI$58,0),AW$59)&lt;&gt;"",INDEX(BDHKI,MATCH($C8,DiemHKI!$DI$4:$DI$58,0),AW$59),""))</f>
        <v>9.9</v>
      </c>
      <c r="AX8" s="794">
        <f t="shared" si="14"/>
        <v>1</v>
      </c>
      <c r="AY8" s="770" t="str">
        <f t="shared" si="15"/>
        <v>Em có tư duy tốt, tích cực, vận dụng thực tế tốt.</v>
      </c>
      <c r="AZ8" s="783"/>
      <c r="BA8" s="794"/>
      <c r="BB8" s="768"/>
      <c r="BC8" s="783">
        <f>IF($B8="","",IF(INDEX(BDHKI,MATCH($C8,DiemHKI!$DI$4:$DI$58,0),BC$59)&lt;&gt;"",INDEX(BDHKI,MATCH($C8,DiemHKI!$DI$4:$DI$58,0),BC$59),""))</f>
        <v>9.6999999999999993</v>
      </c>
      <c r="BD8" s="794">
        <f t="shared" si="16"/>
        <v>1</v>
      </c>
      <c r="BE8" s="770" t="str">
        <f t="shared" si="17"/>
        <v>Tích cực phát biểu trong giờ học, tương tác tốt với giáo viên và bạn bè.</v>
      </c>
      <c r="BF8" s="783"/>
      <c r="BG8" s="794"/>
      <c r="BH8" s="768"/>
      <c r="BI8" s="783">
        <f>IF($B8="","",IF(INDEX(BDHKI,MATCH($C8,DiemHKI!$DI$4:$DI$58,0),BI$59)&lt;&gt;"",INDEX(BDHKI,MATCH($C8,DiemHKI!$DI$4:$DI$58,0),BI$59),""))</f>
        <v>9.8000000000000007</v>
      </c>
      <c r="BJ8" s="794">
        <f t="shared" si="18"/>
        <v>1</v>
      </c>
      <c r="BK8" s="770" t="str">
        <f t="shared" si="19"/>
        <v>Hứng thú, tích cực, học giỏi.</v>
      </c>
      <c r="BL8" s="783"/>
      <c r="BM8" s="794"/>
      <c r="BN8" s="768"/>
      <c r="BO8" s="783">
        <f>IF($B8="","",IF(INDEX(BDHKI,MATCH($C8,DiemHKI!$DI$4:$DI$58,0),BO$59)&lt;&gt;"",INDEX(BDHKI,MATCH($C8,DiemHKI!$DI$4:$DI$58,0),BO$59),""))</f>
        <v>9.9</v>
      </c>
      <c r="BP8" s="794">
        <f t="shared" si="20"/>
        <v>1</v>
      </c>
      <c r="BQ8" s="770" t="str">
        <f t="shared" si="21"/>
        <v>Học giỏi, tiếp thu nhanh, chăm ngoan.</v>
      </c>
      <c r="BR8" s="783"/>
      <c r="BS8" s="794"/>
      <c r="BT8" s="768"/>
      <c r="BU8" s="783" t="str">
        <f>IF($B8="","",IF(INDEX(BDHKI,MATCH($C8,DiemHKI!$DI$4:$DI$58,0),BU$59)&lt;&gt;"",INDEX(BDHKI,MATCH($C8,DiemHKI!$DI$4:$DI$58,0),BU$59),""))</f>
        <v>Đ</v>
      </c>
      <c r="BV8" s="794">
        <f t="shared" si="22"/>
        <v>1</v>
      </c>
      <c r="BW8" s="770" t="str">
        <f t="shared" si="23"/>
        <v>Rất ngoan, học có hiệu quả tốt.</v>
      </c>
      <c r="BX8" s="783"/>
      <c r="BY8" s="794"/>
      <c r="BZ8" s="768"/>
      <c r="CA8" s="783">
        <f>IF($B8="","",IF(INDEX(BDHKI,MATCH($C8,DiemHKI!$DI$4:$DI$58,0),CA$59)&lt;&gt;"",INDEX(BDHKI,MATCH($C8,DiemHKI!$DI$4:$DI$58,0),CA$59),""))</f>
        <v>9.9</v>
      </c>
      <c r="CB8" s="794">
        <f t="shared" si="24"/>
        <v>1</v>
      </c>
      <c r="CC8" s="770" t="str">
        <f t="shared" si="25"/>
        <v>Ngoan, tích cực xây dựng bài, nắm chắc thực hành, học giỏi.</v>
      </c>
      <c r="CD8" s="783"/>
      <c r="CE8" s="794"/>
      <c r="CF8" s="768"/>
      <c r="CG8" s="783" t="str">
        <f>IF($B8="","",IF(INDEX(BDHKI,MATCH($C8,DiemHKI!$DI$4:$DI$58,0),CG$59)&lt;&gt;"",INDEX(BDHKI,MATCH($C8,DiemHKI!$DI$4:$DI$58,0),CG$59),""))</f>
        <v/>
      </c>
      <c r="CH8" s="794" t="str">
        <f t="shared" si="26"/>
        <v/>
      </c>
      <c r="CI8" s="770" t="str">
        <f t="shared" si="27"/>
        <v/>
      </c>
      <c r="CJ8" s="783"/>
      <c r="CK8" s="794"/>
      <c r="CL8" s="768"/>
    </row>
    <row r="9" spans="1:90" ht="15" customHeight="1">
      <c r="A9" s="764"/>
      <c r="B9" s="771">
        <f>IF(B8&lt;MAX(DiemHKI!$B$4:$B$58),B8+1,"")</f>
        <v>7</v>
      </c>
      <c r="C9" s="771" t="str">
        <f t="shared" si="0"/>
        <v>12A1Nguyễn PhúcBình20/06/2004</v>
      </c>
      <c r="D9" s="772" t="str">
        <f>IF($B9&lt;&gt;"",PROPER(INDEX(BDHKI,MATCH($B9,DiemHKI!$B$4:$B$58,0),3)),"")</f>
        <v>Nguyễn Phúc</v>
      </c>
      <c r="E9" s="773" t="str">
        <f>IF($B9&lt;&gt;"",PROPER(INDEX(BDHKI,MATCH($B9,DiemHKI!$B$4:$B$58,0),4)),"")</f>
        <v>Bình</v>
      </c>
      <c r="F9" s="774" t="str">
        <f>IF($B9&lt;&gt;"",PROPER(INDEX(BDHKI,MATCH($B9,DiemHKI!$B$4:$B$58,0),5)),"")</f>
        <v>20/06/2004</v>
      </c>
      <c r="G9" s="775">
        <f>IF($B9="","",IF(INDEX(BDHKI,MATCH($C9,DiemHKI!$DI$4:$DI$58,0),G$59)&lt;&gt;"",INDEX(BDHKI,MATCH($C9,DiemHKI!$DI$4:$DI$58,0),G$59),""))</f>
        <v>9.8000000000000007</v>
      </c>
      <c r="H9" s="792">
        <f t="shared" si="28"/>
        <v>1</v>
      </c>
      <c r="I9" s="776" t="str">
        <f t="shared" si="1"/>
        <v>Em chăm chỉ, chuyên cần, rất tích cực, rất đáng khen.</v>
      </c>
      <c r="J9" s="775"/>
      <c r="K9" s="792">
        <v>3</v>
      </c>
      <c r="L9" s="774"/>
      <c r="M9" s="775">
        <f>IF($B9="","",IF(INDEX(BDHKI,MATCH($C9,DiemHKI!$DI$4:$DI$58,0),M$59)&lt;&gt;"",INDEX(BDHKI,MATCH($C9,DiemHKI!$DI$4:$DI$58,0),M$59),""))</f>
        <v>9.9</v>
      </c>
      <c r="N9" s="792">
        <f t="shared" si="2"/>
        <v>1</v>
      </c>
      <c r="O9" s="776" t="str">
        <f t="shared" si="3"/>
        <v>Em chăm chỉ, chuyên cần, rất tích cực, rất đáng khen.</v>
      </c>
      <c r="P9" s="775"/>
      <c r="Q9" s="792"/>
      <c r="R9" s="774"/>
      <c r="S9" s="775">
        <f>IF($B9="","",IF(INDEX(BDHKI,MATCH($C9,DiemHKI!$DI$4:$DI$58,0),S$59)&lt;&gt;"",INDEX(BDHKI,MATCH($C9,DiemHKI!$DI$4:$DI$58,0),S$59),""))</f>
        <v>9.6</v>
      </c>
      <c r="T9" s="792">
        <f t="shared" si="4"/>
        <v>1</v>
      </c>
      <c r="U9" s="776" t="str">
        <f t="shared" si="5"/>
        <v>Học giỏi, thông minh, cần phát huy.</v>
      </c>
      <c r="V9" s="775"/>
      <c r="W9" s="792"/>
      <c r="X9" s="774"/>
      <c r="Y9" s="775">
        <f>IF($B9="","",IF(INDEX(BDHKI,MATCH($C9,DiemHKI!$DI$4:$DI$58,0),Y$59)&lt;&gt;"",INDEX(BDHKI,MATCH($C9,DiemHKI!$DI$4:$DI$58,0),Y$59),""))</f>
        <v>9.6</v>
      </c>
      <c r="Z9" s="792">
        <f t="shared" si="6"/>
        <v>1</v>
      </c>
      <c r="AA9" s="776" t="str">
        <f t="shared" si="7"/>
        <v>Sáng tạo, hoạt động nhóm rất tốt, biết chia sẻ kết quả học tập với bạn.</v>
      </c>
      <c r="AB9" s="775"/>
      <c r="AC9" s="792"/>
      <c r="AD9" s="774"/>
      <c r="AE9" s="775">
        <f>IF($B9="","",IF(INDEX(BDHKI,MATCH($C9,DiemHKI!$DI$4:$DI$58,0),AE$59)&lt;&gt;"",INDEX(BDHKI,MATCH($C9,DiemHKI!$DI$4:$DI$58,0),AE$59),""))</f>
        <v>9.8000000000000007</v>
      </c>
      <c r="AF9" s="792">
        <f t="shared" si="8"/>
        <v>1</v>
      </c>
      <c r="AG9" s="776" t="str">
        <f t="shared" si="9"/>
        <v>Rất ngoan, cố gắng có hiệu quả.</v>
      </c>
      <c r="AH9" s="775"/>
      <c r="AI9" s="792"/>
      <c r="AJ9" s="774"/>
      <c r="AK9" s="775">
        <f>IF($B9="","",IF(INDEX(BDHKI,MATCH($C9,DiemHKI!$DI$4:$DI$58,0),AK$59)&lt;&gt;"",INDEX(BDHKI,MATCH($C9,DiemHKI!$DI$4:$DI$58,0),AK$59),""))</f>
        <v>8</v>
      </c>
      <c r="AL9" s="792">
        <f t="shared" si="10"/>
        <v>3</v>
      </c>
      <c r="AM9" s="776" t="str">
        <f t="shared" si="11"/>
        <v>Học giỏi, chăm chỉ, cảm nhận tốt văn bản.</v>
      </c>
      <c r="AN9" s="775"/>
      <c r="AO9" s="792"/>
      <c r="AP9" s="774"/>
      <c r="AQ9" s="775">
        <f>IF($B9="","",IF(INDEX(BDHKI,MATCH($C9,DiemHKI!$DI$4:$DI$58,0),AQ$59)&lt;&gt;"",INDEX(BDHKI,MATCH($C9,DiemHKI!$DI$4:$DI$58,0),AQ$59),""))</f>
        <v>9.6999999999999993</v>
      </c>
      <c r="AR9" s="792">
        <f t="shared" si="12"/>
        <v>1</v>
      </c>
      <c r="AS9" s="776" t="str">
        <f t="shared" si="13"/>
        <v>Chăm ngoan, tích cực, chủ động tiếp thu bài học.</v>
      </c>
      <c r="AT9" s="775"/>
      <c r="AU9" s="792"/>
      <c r="AV9" s="774"/>
      <c r="AW9" s="775">
        <f>IF($B9="","",IF(INDEX(BDHKI,MATCH($C9,DiemHKI!$DI$4:$DI$58,0),AW$59)&lt;&gt;"",INDEX(BDHKI,MATCH($C9,DiemHKI!$DI$4:$DI$58,0),AW$59),""))</f>
        <v>9.6</v>
      </c>
      <c r="AX9" s="792">
        <f t="shared" si="14"/>
        <v>1</v>
      </c>
      <c r="AY9" s="776" t="str">
        <f t="shared" si="15"/>
        <v>Em rất ngoan, cố gắng có hiệu quả.</v>
      </c>
      <c r="AZ9" s="775"/>
      <c r="BA9" s="792"/>
      <c r="BB9" s="774"/>
      <c r="BC9" s="775">
        <f>IF($B9="","",IF(INDEX(BDHKI,MATCH($C9,DiemHKI!$DI$4:$DI$58,0),BC$59)&lt;&gt;"",INDEX(BDHKI,MATCH($C9,DiemHKI!$DI$4:$DI$58,0),BC$59),""))</f>
        <v>9.6</v>
      </c>
      <c r="BD9" s="792">
        <f t="shared" si="16"/>
        <v>1</v>
      </c>
      <c r="BE9" s="776" t="str">
        <f t="shared" si="17"/>
        <v>Có năng khiếu, tự tin, giao tiếp tốt và có khả năng làm việc nhóm.</v>
      </c>
      <c r="BF9" s="775"/>
      <c r="BG9" s="792"/>
      <c r="BH9" s="774"/>
      <c r="BI9" s="775">
        <f>IF($B9="","",IF(INDEX(BDHKI,MATCH($C9,DiemHKI!$DI$4:$DI$58,0),BI$59)&lt;&gt;"",INDEX(BDHKI,MATCH($C9,DiemHKI!$DI$4:$DI$58,0),BI$59),""))</f>
        <v>9.4</v>
      </c>
      <c r="BJ9" s="792">
        <f t="shared" si="18"/>
        <v>1</v>
      </c>
      <c r="BK9" s="776" t="str">
        <f t="shared" si="19"/>
        <v>Hứng thú, có trách nhiệm học tập tốt.</v>
      </c>
      <c r="BL9" s="775"/>
      <c r="BM9" s="792"/>
      <c r="BN9" s="774"/>
      <c r="BO9" s="775">
        <f>IF($B9="","",IF(INDEX(BDHKI,MATCH($C9,DiemHKI!$DI$4:$DI$58,0),BO$59)&lt;&gt;"",INDEX(BDHKI,MATCH($C9,DiemHKI!$DI$4:$DI$58,0),BO$59),""))</f>
        <v>9.5</v>
      </c>
      <c r="BP9" s="792">
        <f t="shared" si="20"/>
        <v>1</v>
      </c>
      <c r="BQ9" s="776" t="str">
        <f t="shared" si="21"/>
        <v>Học giỏi, năng động, chăm ngoan.</v>
      </c>
      <c r="BR9" s="775"/>
      <c r="BS9" s="792"/>
      <c r="BT9" s="774"/>
      <c r="BU9" s="775" t="str">
        <f>IF($B9="","",IF(INDEX(BDHKI,MATCH($C9,DiemHKI!$DI$4:$DI$58,0),BU$59)&lt;&gt;"",INDEX(BDHKI,MATCH($C9,DiemHKI!$DI$4:$DI$58,0),BU$59),""))</f>
        <v>Đ</v>
      </c>
      <c r="BV9" s="792">
        <f t="shared" si="22"/>
        <v>1</v>
      </c>
      <c r="BW9" s="776" t="str">
        <f t="shared" si="23"/>
        <v>Chăm chỉ, cố gắng, rất ngoan.</v>
      </c>
      <c r="BX9" s="775"/>
      <c r="BY9" s="792"/>
      <c r="BZ9" s="774"/>
      <c r="CA9" s="775">
        <f>IF($B9="","",IF(INDEX(BDHKI,MATCH($C9,DiemHKI!$DI$4:$DI$58,0),CA$59)&lt;&gt;"",INDEX(BDHKI,MATCH($C9,DiemHKI!$DI$4:$DI$58,0),CA$59),""))</f>
        <v>9.9</v>
      </c>
      <c r="CB9" s="792">
        <f t="shared" si="24"/>
        <v>1</v>
      </c>
      <c r="CC9" s="776" t="str">
        <f t="shared" si="25"/>
        <v>Siêng năng, lễ phép, thành thạo thực hành, học giỏi.</v>
      </c>
      <c r="CD9" s="775"/>
      <c r="CE9" s="792"/>
      <c r="CF9" s="774"/>
      <c r="CG9" s="775" t="str">
        <f>IF($B9="","",IF(INDEX(BDHKI,MATCH($C9,DiemHKI!$DI$4:$DI$58,0),CG$59)&lt;&gt;"",INDEX(BDHKI,MATCH($C9,DiemHKI!$DI$4:$DI$58,0),CG$59),""))</f>
        <v/>
      </c>
      <c r="CH9" s="792" t="str">
        <f t="shared" si="26"/>
        <v/>
      </c>
      <c r="CI9" s="776" t="str">
        <f t="shared" si="27"/>
        <v/>
      </c>
      <c r="CJ9" s="775"/>
      <c r="CK9" s="792"/>
      <c r="CL9" s="774"/>
    </row>
    <row r="10" spans="1:90" ht="15" customHeight="1">
      <c r="A10" s="764"/>
      <c r="B10" s="771">
        <f>IF(B9&lt;MAX(DiemHKI!$B$4:$B$58),B9+1,"")</f>
        <v>8</v>
      </c>
      <c r="C10" s="771" t="str">
        <f t="shared" si="0"/>
        <v>12A1Trần LêCường08/04/2004</v>
      </c>
      <c r="D10" s="772" t="str">
        <f>IF($B10&lt;&gt;"",PROPER(INDEX(BDHKI,MATCH($B10,DiemHKI!$B$4:$B$58,0),3)),"")</f>
        <v>Trần Lê</v>
      </c>
      <c r="E10" s="773" t="str">
        <f>IF($B10&lt;&gt;"",PROPER(INDEX(BDHKI,MATCH($B10,DiemHKI!$B$4:$B$58,0),4)),"")</f>
        <v>Cường</v>
      </c>
      <c r="F10" s="774" t="str">
        <f>IF($B10&lt;&gt;"",PROPER(INDEX(BDHKI,MATCH($B10,DiemHKI!$B$4:$B$58,0),5)),"")</f>
        <v>08/04/2004</v>
      </c>
      <c r="G10" s="775">
        <f>IF($B10="","",IF(INDEX(BDHKI,MATCH($C10,DiemHKI!$DI$4:$DI$58,0),G$59)&lt;&gt;"",INDEX(BDHKI,MATCH($C10,DiemHKI!$DI$4:$DI$58,0),G$59),""))</f>
        <v>9.6</v>
      </c>
      <c r="H10" s="792">
        <f t="shared" si="28"/>
        <v>1</v>
      </c>
      <c r="I10" s="776" t="str">
        <f t="shared" si="1"/>
        <v>Em học giỏi, chăm ngoan, tính tự giác cao, rất tốt.</v>
      </c>
      <c r="J10" s="775"/>
      <c r="K10" s="792">
        <v>4</v>
      </c>
      <c r="L10" s="774"/>
      <c r="M10" s="775">
        <f>IF($B10="","",IF(INDEX(BDHKI,MATCH($C10,DiemHKI!$DI$4:$DI$58,0),M$59)&lt;&gt;"",INDEX(BDHKI,MATCH($C10,DiemHKI!$DI$4:$DI$58,0),M$59),""))</f>
        <v>9.6</v>
      </c>
      <c r="N10" s="792">
        <f t="shared" si="2"/>
        <v>1</v>
      </c>
      <c r="O10" s="776" t="str">
        <f t="shared" si="3"/>
        <v>Em học giỏi, chăm ngoan, tính tự giác cao, rất tốt.</v>
      </c>
      <c r="P10" s="775"/>
      <c r="Q10" s="792"/>
      <c r="R10" s="774"/>
      <c r="S10" s="775">
        <f>IF($B10="","",IF(INDEX(BDHKI,MATCH($C10,DiemHKI!$DI$4:$DI$58,0),S$59)&lt;&gt;"",INDEX(BDHKI,MATCH($C10,DiemHKI!$DI$4:$DI$58,0),S$59),""))</f>
        <v>9.1999999999999993</v>
      </c>
      <c r="T10" s="792">
        <f t="shared" si="4"/>
        <v>1</v>
      </c>
      <c r="U10" s="776" t="str">
        <f t="shared" si="5"/>
        <v>Kiến thức vững, tự học tốt, ngoan.</v>
      </c>
      <c r="V10" s="775"/>
      <c r="W10" s="792"/>
      <c r="X10" s="774"/>
      <c r="Y10" s="775">
        <f>IF($B10="","",IF(INDEX(BDHKI,MATCH($C10,DiemHKI!$DI$4:$DI$58,0),Y$59)&lt;&gt;"",INDEX(BDHKI,MATCH($C10,DiemHKI!$DI$4:$DI$58,0),Y$59),""))</f>
        <v>8.6</v>
      </c>
      <c r="Z10" s="792">
        <f t="shared" si="6"/>
        <v>2</v>
      </c>
      <c r="AA10" s="776" t="str">
        <f t="shared" si="7"/>
        <v>Ngoan, khă năng tiếp nhận kiến thức tốt, vận dụng tốt.</v>
      </c>
      <c r="AB10" s="775"/>
      <c r="AC10" s="792"/>
      <c r="AD10" s="774"/>
      <c r="AE10" s="775">
        <f>IF($B10="","",IF(INDEX(BDHKI,MATCH($C10,DiemHKI!$DI$4:$DI$58,0),AE$59)&lt;&gt;"",INDEX(BDHKI,MATCH($C10,DiemHKI!$DI$4:$DI$58,0),AE$59),""))</f>
        <v>9.6</v>
      </c>
      <c r="AF10" s="792">
        <f t="shared" si="8"/>
        <v>1</v>
      </c>
      <c r="AG10" s="776" t="str">
        <f t="shared" si="9"/>
        <v>Ngoan, chăm chỉ, tư duy tốt.</v>
      </c>
      <c r="AH10" s="775"/>
      <c r="AI10" s="792"/>
      <c r="AJ10" s="774"/>
      <c r="AK10" s="775">
        <f>IF($B10="","",IF(INDEX(BDHKI,MATCH($C10,DiemHKI!$DI$4:$DI$58,0),AK$59)&lt;&gt;"",INDEX(BDHKI,MATCH($C10,DiemHKI!$DI$4:$DI$58,0),AK$59),""))</f>
        <v>7.3</v>
      </c>
      <c r="AL10" s="792">
        <f t="shared" si="10"/>
        <v>5</v>
      </c>
      <c r="AM10" s="776" t="str">
        <f t="shared" si="11"/>
        <v>Có ý thức học tập tốt, cần nỗ lực rèn luyện thêm các kỹ năng.</v>
      </c>
      <c r="AN10" s="775"/>
      <c r="AO10" s="792"/>
      <c r="AP10" s="774"/>
      <c r="AQ10" s="775">
        <f>IF($B10="","",IF(INDEX(BDHKI,MATCH($C10,DiemHKI!$DI$4:$DI$58,0),AQ$59)&lt;&gt;"",INDEX(BDHKI,MATCH($C10,DiemHKI!$DI$4:$DI$58,0),AQ$59),""))</f>
        <v>9.6</v>
      </c>
      <c r="AR10" s="792">
        <f t="shared" si="12"/>
        <v>1</v>
      </c>
      <c r="AS10" s="776" t="str">
        <f t="shared" si="13"/>
        <v>Tiếp thu bài tốt, ghi nhớ nhanh các sự kiện lịch sử.</v>
      </c>
      <c r="AT10" s="775"/>
      <c r="AU10" s="792"/>
      <c r="AV10" s="774"/>
      <c r="AW10" s="775">
        <f>IF($B10="","",IF(INDEX(BDHKI,MATCH($C10,DiemHKI!$DI$4:$DI$58,0),AW$59)&lt;&gt;"",INDEX(BDHKI,MATCH($C10,DiemHKI!$DI$4:$DI$58,0),AW$59),""))</f>
        <v>9.8000000000000007</v>
      </c>
      <c r="AX10" s="792">
        <f t="shared" si="14"/>
        <v>1</v>
      </c>
      <c r="AY10" s="776" t="str">
        <f t="shared" si="15"/>
        <v>Em có tư duy tốt, rất tích cực, giải quyết vấn đề tốt.</v>
      </c>
      <c r="AZ10" s="775"/>
      <c r="BA10" s="792"/>
      <c r="BB10" s="774"/>
      <c r="BC10" s="775">
        <f>IF($B10="","",IF(INDEX(BDHKI,MATCH($C10,DiemHKI!$DI$4:$DI$58,0),BC$59)&lt;&gt;"",INDEX(BDHKI,MATCH($C10,DiemHKI!$DI$4:$DI$58,0),BC$59),""))</f>
        <v>9.4</v>
      </c>
      <c r="BD10" s="792">
        <f t="shared" si="16"/>
        <v>1</v>
      </c>
      <c r="BE10" s="776" t="str">
        <f t="shared" si="17"/>
        <v>Chăm chỉ, chuyên cần, rất tích cực và năng động.</v>
      </c>
      <c r="BF10" s="775"/>
      <c r="BG10" s="792"/>
      <c r="BH10" s="774"/>
      <c r="BI10" s="775">
        <f>IF($B10="","",IF(INDEX(BDHKI,MATCH($C10,DiemHKI!$DI$4:$DI$58,0),BI$59)&lt;&gt;"",INDEX(BDHKI,MATCH($C10,DiemHKI!$DI$4:$DI$58,0),BI$59),""))</f>
        <v>9.1</v>
      </c>
      <c r="BJ10" s="792">
        <f t="shared" si="18"/>
        <v>1</v>
      </c>
      <c r="BK10" s="776" t="str">
        <f t="shared" si="19"/>
        <v>Chăm chỉ, học giỏi.</v>
      </c>
      <c r="BL10" s="775"/>
      <c r="BM10" s="792"/>
      <c r="BN10" s="774"/>
      <c r="BO10" s="775">
        <f>IF($B10="","",IF(INDEX(BDHKI,MATCH($C10,DiemHKI!$DI$4:$DI$58,0),BO$59)&lt;&gt;"",INDEX(BDHKI,MATCH($C10,DiemHKI!$DI$4:$DI$58,0),BO$59),""))</f>
        <v>9.9</v>
      </c>
      <c r="BP10" s="792">
        <f t="shared" si="20"/>
        <v>1</v>
      </c>
      <c r="BQ10" s="776" t="str">
        <f t="shared" si="21"/>
        <v>Năng động, sáng tạo trong học tập.</v>
      </c>
      <c r="BR10" s="775"/>
      <c r="BS10" s="792"/>
      <c r="BT10" s="774"/>
      <c r="BU10" s="775" t="str">
        <f>IF($B10="","",IF(INDEX(BDHKI,MATCH($C10,DiemHKI!$DI$4:$DI$58,0),BU$59)&lt;&gt;"",INDEX(BDHKI,MATCH($C10,DiemHKI!$DI$4:$DI$58,0),BU$59),""))</f>
        <v>Đ</v>
      </c>
      <c r="BV10" s="792">
        <f t="shared" si="22"/>
        <v>1</v>
      </c>
      <c r="BW10" s="776" t="str">
        <f t="shared" si="23"/>
        <v>Giỏi, có nhiều tiến bộ trong học tập.</v>
      </c>
      <c r="BX10" s="775"/>
      <c r="BY10" s="792"/>
      <c r="BZ10" s="774"/>
      <c r="CA10" s="775">
        <f>IF($B10="","",IF(INDEX(BDHKI,MATCH($C10,DiemHKI!$DI$4:$DI$58,0),CA$59)&lt;&gt;"",INDEX(BDHKI,MATCH($C10,DiemHKI!$DI$4:$DI$58,0),CA$59),""))</f>
        <v>9.9</v>
      </c>
      <c r="CB10" s="792">
        <f t="shared" si="24"/>
        <v>1</v>
      </c>
      <c r="CC10" s="776" t="str">
        <f t="shared" si="25"/>
        <v>Tích cực, năng động, nắm bài tốt, học giỏi.</v>
      </c>
      <c r="CD10" s="775"/>
      <c r="CE10" s="792"/>
      <c r="CF10" s="774"/>
      <c r="CG10" s="775" t="str">
        <f>IF($B10="","",IF(INDEX(BDHKI,MATCH($C10,DiemHKI!$DI$4:$DI$58,0),CG$59)&lt;&gt;"",INDEX(BDHKI,MATCH($C10,DiemHKI!$DI$4:$DI$58,0),CG$59),""))</f>
        <v/>
      </c>
      <c r="CH10" s="792" t="str">
        <f t="shared" si="26"/>
        <v/>
      </c>
      <c r="CI10" s="776" t="str">
        <f t="shared" si="27"/>
        <v/>
      </c>
      <c r="CJ10" s="775"/>
      <c r="CK10" s="792"/>
      <c r="CL10" s="774"/>
    </row>
    <row r="11" spans="1:90" ht="15" customHeight="1">
      <c r="A11" s="764"/>
      <c r="B11" s="771">
        <f>IF(B10&lt;MAX(DiemHKI!$B$4:$B$58),B10+1,"")</f>
        <v>9</v>
      </c>
      <c r="C11" s="771" t="str">
        <f t="shared" si="0"/>
        <v>12A1Nguyễn ThanhDuyên16/11/2004</v>
      </c>
      <c r="D11" s="772" t="str">
        <f>IF($B11&lt;&gt;"",PROPER(INDEX(BDHKI,MATCH($B11,DiemHKI!$B$4:$B$58,0),3)),"")</f>
        <v>Nguyễn Thanh</v>
      </c>
      <c r="E11" s="773" t="str">
        <f>IF($B11&lt;&gt;"",PROPER(INDEX(BDHKI,MATCH($B11,DiemHKI!$B$4:$B$58,0),4)),"")</f>
        <v>Duyên</v>
      </c>
      <c r="F11" s="774" t="str">
        <f>IF($B11&lt;&gt;"",PROPER(INDEX(BDHKI,MATCH($B11,DiemHKI!$B$4:$B$58,0),5)),"")</f>
        <v>16/11/2004</v>
      </c>
      <c r="G11" s="775">
        <f>IF($B11="","",IF(INDEX(BDHKI,MATCH($C11,DiemHKI!$DI$4:$DI$58,0),G$59)&lt;&gt;"",INDEX(BDHKI,MATCH($C11,DiemHKI!$DI$4:$DI$58,0),G$59),""))</f>
        <v>9.4</v>
      </c>
      <c r="H11" s="792">
        <f t="shared" si="28"/>
        <v>1</v>
      </c>
      <c r="I11" s="776" t="str">
        <f t="shared" si="1"/>
        <v>Em ngoan, tích cực, năng động, rất đáng khen.</v>
      </c>
      <c r="J11" s="775"/>
      <c r="K11" s="792">
        <v>5</v>
      </c>
      <c r="L11" s="774"/>
      <c r="M11" s="775">
        <f>IF($B11="","",IF(INDEX(BDHKI,MATCH($C11,DiemHKI!$DI$4:$DI$58,0),M$59)&lt;&gt;"",INDEX(BDHKI,MATCH($C11,DiemHKI!$DI$4:$DI$58,0),M$59),""))</f>
        <v>9.8000000000000007</v>
      </c>
      <c r="N11" s="792">
        <f t="shared" si="2"/>
        <v>1</v>
      </c>
      <c r="O11" s="776" t="str">
        <f t="shared" si="3"/>
        <v>Em ngoan, tích cực, năng động, rất đáng khen.</v>
      </c>
      <c r="P11" s="775"/>
      <c r="Q11" s="792"/>
      <c r="R11" s="774"/>
      <c r="S11" s="775">
        <f>IF($B11="","",IF(INDEX(BDHKI,MATCH($C11,DiemHKI!$DI$4:$DI$58,0),S$59)&lt;&gt;"",INDEX(BDHKI,MATCH($C11,DiemHKI!$DI$4:$DI$58,0),S$59),""))</f>
        <v>9.5</v>
      </c>
      <c r="T11" s="792">
        <f t="shared" si="4"/>
        <v>1</v>
      </c>
      <c r="U11" s="776" t="str">
        <f t="shared" si="5"/>
        <v>Kiến thức vững, sáng tạo, tự học tốt.</v>
      </c>
      <c r="V11" s="775"/>
      <c r="W11" s="792"/>
      <c r="X11" s="774"/>
      <c r="Y11" s="775">
        <f>IF($B11="","",IF(INDEX(BDHKI,MATCH($C11,DiemHKI!$DI$4:$DI$58,0),Y$59)&lt;&gt;"",INDEX(BDHKI,MATCH($C11,DiemHKI!$DI$4:$DI$58,0),Y$59),""))</f>
        <v>9.5</v>
      </c>
      <c r="Z11" s="792">
        <f t="shared" si="6"/>
        <v>1</v>
      </c>
      <c r="AA11" s="776" t="str">
        <f t="shared" si="7"/>
        <v>Ý thức học tập tốt, vận dụng tốt kiến thức học tập</v>
      </c>
      <c r="AB11" s="775"/>
      <c r="AC11" s="792"/>
      <c r="AD11" s="774"/>
      <c r="AE11" s="775">
        <f>IF($B11="","",IF(INDEX(BDHKI,MATCH($C11,DiemHKI!$DI$4:$DI$58,0),AE$59)&lt;&gt;"",INDEX(BDHKI,MATCH($C11,DiemHKI!$DI$4:$DI$58,0),AE$59),""))</f>
        <v>9.8000000000000007</v>
      </c>
      <c r="AF11" s="792">
        <f t="shared" si="8"/>
        <v>1</v>
      </c>
      <c r="AG11" s="776" t="str">
        <f t="shared" si="9"/>
        <v>Học giỏi, năng động và sáng tạo trong học tập.</v>
      </c>
      <c r="AH11" s="775"/>
      <c r="AI11" s="792"/>
      <c r="AJ11" s="774"/>
      <c r="AK11" s="775">
        <f>IF($B11="","",IF(INDEX(BDHKI,MATCH($C11,DiemHKI!$DI$4:$DI$58,0),AK$59)&lt;&gt;"",INDEX(BDHKI,MATCH($C11,DiemHKI!$DI$4:$DI$58,0),AK$59),""))</f>
        <v>7.6</v>
      </c>
      <c r="AL11" s="792">
        <f t="shared" si="10"/>
        <v>4</v>
      </c>
      <c r="AM11" s="776" t="str">
        <f t="shared" si="11"/>
        <v>Cần chủ động hơn trong giờ học, rèn thêm kỹ năng viết.</v>
      </c>
      <c r="AN11" s="775"/>
      <c r="AO11" s="792"/>
      <c r="AP11" s="774"/>
      <c r="AQ11" s="775">
        <f>IF($B11="","",IF(INDEX(BDHKI,MATCH($C11,DiemHKI!$DI$4:$DI$58,0),AQ$59)&lt;&gt;"",INDEX(BDHKI,MATCH($C11,DiemHKI!$DI$4:$DI$58,0),AQ$59),""))</f>
        <v>9.6</v>
      </c>
      <c r="AR11" s="792">
        <f t="shared" si="12"/>
        <v>1</v>
      </c>
      <c r="AS11" s="776" t="str">
        <f t="shared" si="13"/>
        <v>Chăm học, tích cực phát biểu xây dựng bài.</v>
      </c>
      <c r="AT11" s="775"/>
      <c r="AU11" s="792"/>
      <c r="AV11" s="774"/>
      <c r="AW11" s="775">
        <f>IF($B11="","",IF(INDEX(BDHKI,MATCH($C11,DiemHKI!$DI$4:$DI$58,0),AW$59)&lt;&gt;"",INDEX(BDHKI,MATCH($C11,DiemHKI!$DI$4:$DI$58,0),AW$59),""))</f>
        <v>9.6</v>
      </c>
      <c r="AX11" s="792">
        <f t="shared" si="14"/>
        <v>1</v>
      </c>
      <c r="AY11" s="776" t="str">
        <f t="shared" si="15"/>
        <v>Em có tư duy tốt, tích cực, vận dụng thực tế tốt.</v>
      </c>
      <c r="AZ11" s="775"/>
      <c r="BA11" s="792"/>
      <c r="BB11" s="774"/>
      <c r="BC11" s="775">
        <f>IF($B11="","",IF(INDEX(BDHKI,MATCH($C11,DiemHKI!$DI$4:$DI$58,0),BC$59)&lt;&gt;"",INDEX(BDHKI,MATCH($C11,DiemHKI!$DI$4:$DI$58,0),BC$59),""))</f>
        <v>9.8000000000000007</v>
      </c>
      <c r="BD11" s="792">
        <f t="shared" si="16"/>
        <v>1</v>
      </c>
      <c r="BE11" s="776" t="str">
        <f t="shared" si="17"/>
        <v>Tích cực phát biểu trong giờ học, tương tác tốt với giáo viên và bạn bè.</v>
      </c>
      <c r="BF11" s="775"/>
      <c r="BG11" s="792"/>
      <c r="BH11" s="774"/>
      <c r="BI11" s="775">
        <f>IF($B11="","",IF(INDEX(BDHKI,MATCH($C11,DiemHKI!$DI$4:$DI$58,0),BI$59)&lt;&gt;"",INDEX(BDHKI,MATCH($C11,DiemHKI!$DI$4:$DI$58,0),BI$59),""))</f>
        <v>9.1</v>
      </c>
      <c r="BJ11" s="792">
        <f t="shared" si="18"/>
        <v>1</v>
      </c>
      <c r="BK11" s="776" t="str">
        <f t="shared" si="19"/>
        <v>Hứng thú, tích cực, học giỏi.</v>
      </c>
      <c r="BL11" s="775"/>
      <c r="BM11" s="792"/>
      <c r="BN11" s="774"/>
      <c r="BO11" s="775">
        <f>IF($B11="","",IF(INDEX(BDHKI,MATCH($C11,DiemHKI!$DI$4:$DI$58,0),BO$59)&lt;&gt;"",INDEX(BDHKI,MATCH($C11,DiemHKI!$DI$4:$DI$58,0),BO$59),""))</f>
        <v>9.9</v>
      </c>
      <c r="BP11" s="792">
        <f t="shared" si="20"/>
        <v>1</v>
      </c>
      <c r="BQ11" s="776" t="str">
        <f t="shared" si="21"/>
        <v>Học giỏi, tiếp thu nhanh, chăm ngoan.</v>
      </c>
      <c r="BR11" s="775"/>
      <c r="BS11" s="792"/>
      <c r="BT11" s="774"/>
      <c r="BU11" s="775" t="str">
        <f>IF($B11="","",IF(INDEX(BDHKI,MATCH($C11,DiemHKI!$DI$4:$DI$58,0),BU$59)&lt;&gt;"",INDEX(BDHKI,MATCH($C11,DiemHKI!$DI$4:$DI$58,0),BU$59),""))</f>
        <v>Đ</v>
      </c>
      <c r="BV11" s="792">
        <f t="shared" si="22"/>
        <v>1</v>
      </c>
      <c r="BW11" s="776" t="str">
        <f t="shared" si="23"/>
        <v>Rất ngoan, học có hiệu quả tốt.</v>
      </c>
      <c r="BX11" s="775"/>
      <c r="BY11" s="792"/>
      <c r="BZ11" s="774"/>
      <c r="CA11" s="775">
        <f>IF($B11="","",IF(INDEX(BDHKI,MATCH($C11,DiemHKI!$DI$4:$DI$58,0),CA$59)&lt;&gt;"",INDEX(BDHKI,MATCH($C11,DiemHKI!$DI$4:$DI$58,0),CA$59),""))</f>
        <v>9.9</v>
      </c>
      <c r="CB11" s="792">
        <f t="shared" si="24"/>
        <v>1</v>
      </c>
      <c r="CC11" s="776" t="str">
        <f t="shared" si="25"/>
        <v>Ngoan, tích cực xây dựng bài, nắm chắc thực hành, học giỏi.</v>
      </c>
      <c r="CD11" s="775"/>
      <c r="CE11" s="792"/>
      <c r="CF11" s="774"/>
      <c r="CG11" s="775" t="str">
        <f>IF($B11="","",IF(INDEX(BDHKI,MATCH($C11,DiemHKI!$DI$4:$DI$58,0),CG$59)&lt;&gt;"",INDEX(BDHKI,MATCH($C11,DiemHKI!$DI$4:$DI$58,0),CG$59),""))</f>
        <v/>
      </c>
      <c r="CH11" s="792" t="str">
        <f t="shared" si="26"/>
        <v/>
      </c>
      <c r="CI11" s="776" t="str">
        <f t="shared" si="27"/>
        <v/>
      </c>
      <c r="CJ11" s="775"/>
      <c r="CK11" s="792"/>
      <c r="CL11" s="774"/>
    </row>
    <row r="12" spans="1:90" ht="15" customHeight="1">
      <c r="A12" s="764"/>
      <c r="B12" s="777">
        <f>IF(B11&lt;MAX(DiemHKI!$B$4:$B$58),B11+1,"")</f>
        <v>10</v>
      </c>
      <c r="C12" s="777" t="str">
        <f t="shared" si="0"/>
        <v>12A1Trương ĐắcĐiền08/05/2004</v>
      </c>
      <c r="D12" s="778" t="str">
        <f>IF($B12&lt;&gt;"",PROPER(INDEX(BDHKI,MATCH($B12,DiemHKI!$B$4:$B$58,0),3)),"")</f>
        <v>Trương Đắc</v>
      </c>
      <c r="E12" s="779" t="str">
        <f>IF($B12&lt;&gt;"",PROPER(INDEX(BDHKI,MATCH($B12,DiemHKI!$B$4:$B$58,0),4)),"")</f>
        <v>Điền</v>
      </c>
      <c r="F12" s="780" t="str">
        <f>IF($B12&lt;&gt;"",PROPER(INDEX(BDHKI,MATCH($B12,DiemHKI!$B$4:$B$58,0),5)),"")</f>
        <v>08/05/2004</v>
      </c>
      <c r="G12" s="781">
        <f>IF($B12="","",IF(INDEX(BDHKI,MATCH($C12,DiemHKI!$DI$4:$DI$58,0),G$59)&lt;&gt;"",INDEX(BDHKI,MATCH($C12,DiemHKI!$DI$4:$DI$58,0),G$59),""))</f>
        <v>9.4</v>
      </c>
      <c r="H12" s="793">
        <f t="shared" si="28"/>
        <v>1</v>
      </c>
      <c r="I12" s="782" t="str">
        <f t="shared" si="1"/>
        <v>Em chăm chỉ, chuyên cần, rất tích cực, rất đáng khen.</v>
      </c>
      <c r="J12" s="781"/>
      <c r="K12" s="793">
        <v>3</v>
      </c>
      <c r="L12" s="780"/>
      <c r="M12" s="781">
        <f>IF($B12="","",IF(INDEX(BDHKI,MATCH($C12,DiemHKI!$DI$4:$DI$58,0),M$59)&lt;&gt;"",INDEX(BDHKI,MATCH($C12,DiemHKI!$DI$4:$DI$58,0),M$59),""))</f>
        <v>9.5</v>
      </c>
      <c r="N12" s="793">
        <f t="shared" si="2"/>
        <v>1</v>
      </c>
      <c r="O12" s="782" t="str">
        <f t="shared" si="3"/>
        <v>Em chăm chỉ, chuyên cần, rất tích cực, rất đáng khen.</v>
      </c>
      <c r="P12" s="781"/>
      <c r="Q12" s="793"/>
      <c r="R12" s="780"/>
      <c r="S12" s="781">
        <f>IF($B12="","",IF(INDEX(BDHKI,MATCH($C12,DiemHKI!$DI$4:$DI$58,0),S$59)&lt;&gt;"",INDEX(BDHKI,MATCH($C12,DiemHKI!$DI$4:$DI$58,0),S$59),""))</f>
        <v>9.6</v>
      </c>
      <c r="T12" s="793">
        <f t="shared" si="4"/>
        <v>1</v>
      </c>
      <c r="U12" s="782" t="str">
        <f t="shared" si="5"/>
        <v>Học giỏi, thông minh, cần phát huy.</v>
      </c>
      <c r="V12" s="781"/>
      <c r="W12" s="793"/>
      <c r="X12" s="780"/>
      <c r="Y12" s="781">
        <f>IF($B12="","",IF(INDEX(BDHKI,MATCH($C12,DiemHKI!$DI$4:$DI$58,0),Y$59)&lt;&gt;"",INDEX(BDHKI,MATCH($C12,DiemHKI!$DI$4:$DI$58,0),Y$59),""))</f>
        <v>9.1</v>
      </c>
      <c r="Z12" s="793">
        <f t="shared" si="6"/>
        <v>1</v>
      </c>
      <c r="AA12" s="782" t="str">
        <f t="shared" si="7"/>
        <v>Sáng tạo, hoạt động nhóm rất tốt, biết chia sẻ kết quả học tập với bạn.</v>
      </c>
      <c r="AB12" s="781"/>
      <c r="AC12" s="793"/>
      <c r="AD12" s="780"/>
      <c r="AE12" s="781">
        <f>IF($B12="","",IF(INDEX(BDHKI,MATCH($C12,DiemHKI!$DI$4:$DI$58,0),AE$59)&lt;&gt;"",INDEX(BDHKI,MATCH($C12,DiemHKI!$DI$4:$DI$58,0),AE$59),""))</f>
        <v>9.6</v>
      </c>
      <c r="AF12" s="793">
        <f t="shared" si="8"/>
        <v>1</v>
      </c>
      <c r="AG12" s="782" t="str">
        <f t="shared" si="9"/>
        <v>Rất ngoan, cố gắng có hiệu quả.</v>
      </c>
      <c r="AH12" s="781"/>
      <c r="AI12" s="793"/>
      <c r="AJ12" s="780"/>
      <c r="AK12" s="781">
        <f>IF($B12="","",IF(INDEX(BDHKI,MATCH($C12,DiemHKI!$DI$4:$DI$58,0),AK$59)&lt;&gt;"",INDEX(BDHKI,MATCH($C12,DiemHKI!$DI$4:$DI$58,0),AK$59),""))</f>
        <v>7.8</v>
      </c>
      <c r="AL12" s="793">
        <f t="shared" si="10"/>
        <v>4</v>
      </c>
      <c r="AM12" s="782" t="str">
        <f t="shared" si="11"/>
        <v>Có năng khiếu, tự giác, cảm nhận được văn bản.</v>
      </c>
      <c r="AN12" s="781"/>
      <c r="AO12" s="793"/>
      <c r="AP12" s="780"/>
      <c r="AQ12" s="781">
        <f>IF($B12="","",IF(INDEX(BDHKI,MATCH($C12,DiemHKI!$DI$4:$DI$58,0),AQ$59)&lt;&gt;"",INDEX(BDHKI,MATCH($C12,DiemHKI!$DI$4:$DI$58,0),AQ$59),""))</f>
        <v>9.8000000000000007</v>
      </c>
      <c r="AR12" s="793">
        <f t="shared" si="12"/>
        <v>1</v>
      </c>
      <c r="AS12" s="782" t="str">
        <f t="shared" si="13"/>
        <v>Chăm ngoan, tích cực, chủ động tiếp thu bài học.</v>
      </c>
      <c r="AT12" s="781"/>
      <c r="AU12" s="793"/>
      <c r="AV12" s="780"/>
      <c r="AW12" s="781">
        <f>IF($B12="","",IF(INDEX(BDHKI,MATCH($C12,DiemHKI!$DI$4:$DI$58,0),AW$59)&lt;&gt;"",INDEX(BDHKI,MATCH($C12,DiemHKI!$DI$4:$DI$58,0),AW$59),""))</f>
        <v>9.9</v>
      </c>
      <c r="AX12" s="793">
        <f t="shared" si="14"/>
        <v>1</v>
      </c>
      <c r="AY12" s="782" t="str">
        <f t="shared" si="15"/>
        <v>Em rất ngoan, cố gắng có hiệu quả.</v>
      </c>
      <c r="AZ12" s="781"/>
      <c r="BA12" s="793"/>
      <c r="BB12" s="780"/>
      <c r="BC12" s="781">
        <f>IF($B12="","",IF(INDEX(BDHKI,MATCH($C12,DiemHKI!$DI$4:$DI$58,0),BC$59)&lt;&gt;"",INDEX(BDHKI,MATCH($C12,DiemHKI!$DI$4:$DI$58,0),BC$59),""))</f>
        <v>9.3000000000000007</v>
      </c>
      <c r="BD12" s="793">
        <f t="shared" si="16"/>
        <v>1</v>
      </c>
      <c r="BE12" s="782" t="str">
        <f t="shared" si="17"/>
        <v>Có năng khiếu, tự tin, giao tiếp tốt và có khả năng làm việc nhóm.</v>
      </c>
      <c r="BF12" s="781"/>
      <c r="BG12" s="793"/>
      <c r="BH12" s="780"/>
      <c r="BI12" s="781">
        <f>IF($B12="","",IF(INDEX(BDHKI,MATCH($C12,DiemHKI!$DI$4:$DI$58,0),BI$59)&lt;&gt;"",INDEX(BDHKI,MATCH($C12,DiemHKI!$DI$4:$DI$58,0),BI$59),""))</f>
        <v>9.5</v>
      </c>
      <c r="BJ12" s="793">
        <f t="shared" si="18"/>
        <v>1</v>
      </c>
      <c r="BK12" s="782" t="str">
        <f t="shared" si="19"/>
        <v>Hứng thú, có trách nhiệm học tập tốt.</v>
      </c>
      <c r="BL12" s="781"/>
      <c r="BM12" s="793"/>
      <c r="BN12" s="780"/>
      <c r="BO12" s="781">
        <f>IF($B12="","",IF(INDEX(BDHKI,MATCH($C12,DiemHKI!$DI$4:$DI$58,0),BO$59)&lt;&gt;"",INDEX(BDHKI,MATCH($C12,DiemHKI!$DI$4:$DI$58,0),BO$59),""))</f>
        <v>9.6</v>
      </c>
      <c r="BP12" s="793">
        <f t="shared" si="20"/>
        <v>1</v>
      </c>
      <c r="BQ12" s="782" t="str">
        <f t="shared" si="21"/>
        <v>Học giỏi, năng động, chăm ngoan.</v>
      </c>
      <c r="BR12" s="781"/>
      <c r="BS12" s="793"/>
      <c r="BT12" s="780"/>
      <c r="BU12" s="781" t="str">
        <f>IF($B12="","",IF(INDEX(BDHKI,MATCH($C12,DiemHKI!$DI$4:$DI$58,0),BU$59)&lt;&gt;"",INDEX(BDHKI,MATCH($C12,DiemHKI!$DI$4:$DI$58,0),BU$59),""))</f>
        <v>Đ</v>
      </c>
      <c r="BV12" s="793">
        <f t="shared" si="22"/>
        <v>1</v>
      </c>
      <c r="BW12" s="782" t="str">
        <f t="shared" si="23"/>
        <v>Chăm chỉ, cố gắng, rất ngoan.</v>
      </c>
      <c r="BX12" s="781"/>
      <c r="BY12" s="793"/>
      <c r="BZ12" s="780"/>
      <c r="CA12" s="781">
        <f>IF($B12="","",IF(INDEX(BDHKI,MATCH($C12,DiemHKI!$DI$4:$DI$58,0),CA$59)&lt;&gt;"",INDEX(BDHKI,MATCH($C12,DiemHKI!$DI$4:$DI$58,0),CA$59),""))</f>
        <v>9.9</v>
      </c>
      <c r="CB12" s="793">
        <f t="shared" si="24"/>
        <v>1</v>
      </c>
      <c r="CC12" s="782" t="str">
        <f t="shared" si="25"/>
        <v>Siêng năng, lễ phép, thành thạo thực hành, học giỏi.</v>
      </c>
      <c r="CD12" s="781"/>
      <c r="CE12" s="793"/>
      <c r="CF12" s="780"/>
      <c r="CG12" s="781" t="str">
        <f>IF($B12="","",IF(INDEX(BDHKI,MATCH($C12,DiemHKI!$DI$4:$DI$58,0),CG$59)&lt;&gt;"",INDEX(BDHKI,MATCH($C12,DiemHKI!$DI$4:$DI$58,0),CG$59),""))</f>
        <v/>
      </c>
      <c r="CH12" s="793" t="str">
        <f t="shared" si="26"/>
        <v/>
      </c>
      <c r="CI12" s="782" t="str">
        <f t="shared" si="27"/>
        <v/>
      </c>
      <c r="CJ12" s="781"/>
      <c r="CK12" s="793"/>
      <c r="CL12" s="780"/>
    </row>
    <row r="13" spans="1:90" ht="15" customHeight="1">
      <c r="A13" s="764"/>
      <c r="B13" s="765">
        <f>IF(B12&lt;MAX(DiemHKI!$B$4:$B$58),B12+1,"")</f>
        <v>11</v>
      </c>
      <c r="C13" s="765" t="str">
        <f t="shared" si="0"/>
        <v>12A1Hồ NgọcHải25/10/2004</v>
      </c>
      <c r="D13" s="766" t="str">
        <f>IF($B13&lt;&gt;"",PROPER(INDEX(BDHKI,MATCH($B13,DiemHKI!$B$4:$B$58,0),3)),"")</f>
        <v>Hồ Ngọc</v>
      </c>
      <c r="E13" s="767" t="str">
        <f>IF($B13&lt;&gt;"",PROPER(INDEX(BDHKI,MATCH($B13,DiemHKI!$B$4:$B$58,0),4)),"")</f>
        <v>Hải</v>
      </c>
      <c r="F13" s="768" t="str">
        <f>IF($B13&lt;&gt;"",PROPER(INDEX(BDHKI,MATCH($B13,DiemHKI!$B$4:$B$58,0),5)),"")</f>
        <v>25/10/2004</v>
      </c>
      <c r="G13" s="769">
        <f>IF($B13="","",IF(INDEX(BDHKI,MATCH($C13,DiemHKI!$DI$4:$DI$58,0),G$59)&lt;&gt;"",INDEX(BDHKI,MATCH($C13,DiemHKI!$DI$4:$DI$58,0),G$59),""))</f>
        <v>9.6</v>
      </c>
      <c r="H13" s="791">
        <f t="shared" si="28"/>
        <v>1</v>
      </c>
      <c r="I13" s="770" t="str">
        <f t="shared" si="1"/>
        <v>Em học giỏi, chăm ngoan, tính tự giác cao, rất tốt.</v>
      </c>
      <c r="J13" s="769"/>
      <c r="K13" s="791">
        <v>4</v>
      </c>
      <c r="L13" s="768"/>
      <c r="M13" s="769">
        <f>IF($B13="","",IF(INDEX(BDHKI,MATCH($C13,DiemHKI!$DI$4:$DI$58,0),M$59)&lt;&gt;"",INDEX(BDHKI,MATCH($C13,DiemHKI!$DI$4:$DI$58,0),M$59),""))</f>
        <v>9.3000000000000007</v>
      </c>
      <c r="N13" s="791">
        <f t="shared" si="2"/>
        <v>1</v>
      </c>
      <c r="O13" s="770" t="str">
        <f t="shared" si="3"/>
        <v>Em học giỏi, chăm ngoan, tính tự giác cao, rất tốt.</v>
      </c>
      <c r="P13" s="769"/>
      <c r="Q13" s="791"/>
      <c r="R13" s="768"/>
      <c r="S13" s="769">
        <f>IF($B13="","",IF(INDEX(BDHKI,MATCH($C13,DiemHKI!$DI$4:$DI$58,0),S$59)&lt;&gt;"",INDEX(BDHKI,MATCH($C13,DiemHKI!$DI$4:$DI$58,0),S$59),""))</f>
        <v>8.9</v>
      </c>
      <c r="T13" s="791">
        <f t="shared" si="4"/>
        <v>2</v>
      </c>
      <c r="U13" s="770" t="str">
        <f t="shared" si="5"/>
        <v>Kiến thức vững, ngoan, tự học tốt.</v>
      </c>
      <c r="V13" s="769"/>
      <c r="W13" s="791"/>
      <c r="X13" s="768"/>
      <c r="Y13" s="769">
        <f>IF($B13="","",IF(INDEX(BDHKI,MATCH($C13,DiemHKI!$DI$4:$DI$58,0),Y$59)&lt;&gt;"",INDEX(BDHKI,MATCH($C13,DiemHKI!$DI$4:$DI$58,0),Y$59),""))</f>
        <v>9.4</v>
      </c>
      <c r="Z13" s="791">
        <f t="shared" si="6"/>
        <v>1</v>
      </c>
      <c r="AA13" s="770" t="str">
        <f t="shared" si="7"/>
        <v>Có khả năng tự học và tự chủ bản thân, tích cực trong học tập.</v>
      </c>
      <c r="AB13" s="769"/>
      <c r="AC13" s="791"/>
      <c r="AD13" s="768"/>
      <c r="AE13" s="769">
        <f>IF($B13="","",IF(INDEX(BDHKI,MATCH($C13,DiemHKI!$DI$4:$DI$58,0),AE$59)&lt;&gt;"",INDEX(BDHKI,MATCH($C13,DiemHKI!$DI$4:$DI$58,0),AE$59),""))</f>
        <v>9.6</v>
      </c>
      <c r="AF13" s="791">
        <f t="shared" si="8"/>
        <v>1</v>
      </c>
      <c r="AG13" s="770" t="str">
        <f t="shared" si="9"/>
        <v>Ngoan, chăm chỉ, tư duy tốt.</v>
      </c>
      <c r="AH13" s="769"/>
      <c r="AI13" s="791"/>
      <c r="AJ13" s="768"/>
      <c r="AK13" s="769">
        <f>IF($B13="","",IF(INDEX(BDHKI,MATCH($C13,DiemHKI!$DI$4:$DI$58,0),AK$59)&lt;&gt;"",INDEX(BDHKI,MATCH($C13,DiemHKI!$DI$4:$DI$58,0),AK$59),""))</f>
        <v>7.1</v>
      </c>
      <c r="AL13" s="791">
        <f t="shared" si="10"/>
        <v>5</v>
      </c>
      <c r="AM13" s="770" t="str">
        <f t="shared" si="11"/>
        <v>Có ý thức học tập tốt, cần nỗ lực rèn luyện thêm các kỹ năng.</v>
      </c>
      <c r="AN13" s="769"/>
      <c r="AO13" s="791"/>
      <c r="AP13" s="768"/>
      <c r="AQ13" s="769">
        <f>IF($B13="","",IF(INDEX(BDHKI,MATCH($C13,DiemHKI!$DI$4:$DI$58,0),AQ$59)&lt;&gt;"",INDEX(BDHKI,MATCH($C13,DiemHKI!$DI$4:$DI$58,0),AQ$59),""))</f>
        <v>9.6</v>
      </c>
      <c r="AR13" s="791">
        <f t="shared" si="12"/>
        <v>1</v>
      </c>
      <c r="AS13" s="770" t="str">
        <f t="shared" si="13"/>
        <v>Tiếp thu bài tốt, ghi nhớ nhanh các sự kiện lịch sử.</v>
      </c>
      <c r="AT13" s="769"/>
      <c r="AU13" s="791"/>
      <c r="AV13" s="768"/>
      <c r="AW13" s="769">
        <f>IF($B13="","",IF(INDEX(BDHKI,MATCH($C13,DiemHKI!$DI$4:$DI$58,0),AW$59)&lt;&gt;"",INDEX(BDHKI,MATCH($C13,DiemHKI!$DI$4:$DI$58,0),AW$59),""))</f>
        <v>9.3000000000000007</v>
      </c>
      <c r="AX13" s="791">
        <f t="shared" si="14"/>
        <v>1</v>
      </c>
      <c r="AY13" s="770" t="str">
        <f t="shared" si="15"/>
        <v>Em có tư duy tốt, rất tích cực, giải quyết vấn đề tốt.</v>
      </c>
      <c r="AZ13" s="769"/>
      <c r="BA13" s="791"/>
      <c r="BB13" s="768"/>
      <c r="BC13" s="769">
        <f>IF($B13="","",IF(INDEX(BDHKI,MATCH($C13,DiemHKI!$DI$4:$DI$58,0),BC$59)&lt;&gt;"",INDEX(BDHKI,MATCH($C13,DiemHKI!$DI$4:$DI$58,0),BC$59),""))</f>
        <v>9.3000000000000007</v>
      </c>
      <c r="BD13" s="791">
        <f t="shared" si="16"/>
        <v>1</v>
      </c>
      <c r="BE13" s="770" t="str">
        <f t="shared" si="17"/>
        <v>Chăm chỉ, chuyên cần, rất tích cực và năng động.</v>
      </c>
      <c r="BF13" s="769"/>
      <c r="BG13" s="791"/>
      <c r="BH13" s="768"/>
      <c r="BI13" s="769">
        <f>IF($B13="","",IF(INDEX(BDHKI,MATCH($C13,DiemHKI!$DI$4:$DI$58,0),BI$59)&lt;&gt;"",INDEX(BDHKI,MATCH($C13,DiemHKI!$DI$4:$DI$58,0),BI$59),""))</f>
        <v>9.1</v>
      </c>
      <c r="BJ13" s="791">
        <f t="shared" si="18"/>
        <v>1</v>
      </c>
      <c r="BK13" s="770" t="str">
        <f t="shared" si="19"/>
        <v>Chăm chỉ, học giỏi.</v>
      </c>
      <c r="BL13" s="769"/>
      <c r="BM13" s="791"/>
      <c r="BN13" s="768"/>
      <c r="BO13" s="769">
        <f>IF($B13="","",IF(INDEX(BDHKI,MATCH($C13,DiemHKI!$DI$4:$DI$58,0),BO$59)&lt;&gt;"",INDEX(BDHKI,MATCH($C13,DiemHKI!$DI$4:$DI$58,0),BO$59),""))</f>
        <v>9.9</v>
      </c>
      <c r="BP13" s="791">
        <f t="shared" si="20"/>
        <v>1</v>
      </c>
      <c r="BQ13" s="770" t="str">
        <f t="shared" si="21"/>
        <v>Năng động, sáng tạo trong học tập.</v>
      </c>
      <c r="BR13" s="769"/>
      <c r="BS13" s="791"/>
      <c r="BT13" s="768"/>
      <c r="BU13" s="769" t="str">
        <f>IF($B13="","",IF(INDEX(BDHKI,MATCH($C13,DiemHKI!$DI$4:$DI$58,0),BU$59)&lt;&gt;"",INDEX(BDHKI,MATCH($C13,DiemHKI!$DI$4:$DI$58,0),BU$59),""))</f>
        <v>Đ</v>
      </c>
      <c r="BV13" s="791">
        <f t="shared" si="22"/>
        <v>1</v>
      </c>
      <c r="BW13" s="770" t="str">
        <f t="shared" si="23"/>
        <v>Giỏi, có nhiều tiến bộ trong học tập.</v>
      </c>
      <c r="BX13" s="769"/>
      <c r="BY13" s="791"/>
      <c r="BZ13" s="768"/>
      <c r="CA13" s="769">
        <f>IF($B13="","",IF(INDEX(BDHKI,MATCH($C13,DiemHKI!$DI$4:$DI$58,0),CA$59)&lt;&gt;"",INDEX(BDHKI,MATCH($C13,DiemHKI!$DI$4:$DI$58,0),CA$59),""))</f>
        <v>9.4</v>
      </c>
      <c r="CB13" s="791">
        <f t="shared" si="24"/>
        <v>1</v>
      </c>
      <c r="CC13" s="770" t="str">
        <f t="shared" si="25"/>
        <v>Tích cực, năng động, nắm bài tốt, học giỏi.</v>
      </c>
      <c r="CD13" s="769"/>
      <c r="CE13" s="791"/>
      <c r="CF13" s="768"/>
      <c r="CG13" s="769" t="str">
        <f>IF($B13="","",IF(INDEX(BDHKI,MATCH($C13,DiemHKI!$DI$4:$DI$58,0),CG$59)&lt;&gt;"",INDEX(BDHKI,MATCH($C13,DiemHKI!$DI$4:$DI$58,0),CG$59),""))</f>
        <v/>
      </c>
      <c r="CH13" s="791" t="str">
        <f t="shared" si="26"/>
        <v/>
      </c>
      <c r="CI13" s="770" t="str">
        <f t="shared" si="27"/>
        <v/>
      </c>
      <c r="CJ13" s="769"/>
      <c r="CK13" s="791"/>
      <c r="CL13" s="768"/>
    </row>
    <row r="14" spans="1:90" ht="15" customHeight="1">
      <c r="A14" s="764"/>
      <c r="B14" s="771">
        <f>IF(B13&lt;MAX(DiemHKI!$B$4:$B$58),B13+1,"")</f>
        <v>12</v>
      </c>
      <c r="C14" s="771" t="str">
        <f t="shared" si="0"/>
        <v>12A1Hồ SơnHậu08/01/2004</v>
      </c>
      <c r="D14" s="772" t="str">
        <f>IF($B14&lt;&gt;"",PROPER(INDEX(BDHKI,MATCH($B14,DiemHKI!$B$4:$B$58,0),3)),"")</f>
        <v>Hồ Sơn</v>
      </c>
      <c r="E14" s="773" t="str">
        <f>IF($B14&lt;&gt;"",PROPER(INDEX(BDHKI,MATCH($B14,DiemHKI!$B$4:$B$58,0),4)),"")</f>
        <v>Hậu</v>
      </c>
      <c r="F14" s="774" t="str">
        <f>IF($B14&lt;&gt;"",PROPER(INDEX(BDHKI,MATCH($B14,DiemHKI!$B$4:$B$58,0),5)),"")</f>
        <v>08/01/2004</v>
      </c>
      <c r="G14" s="775">
        <f>IF($B14="","",IF(INDEX(BDHKI,MATCH($C14,DiemHKI!$DI$4:$DI$58,0),G$59)&lt;&gt;"",INDEX(BDHKI,MATCH($C14,DiemHKI!$DI$4:$DI$58,0),G$59),""))</f>
        <v>9.4</v>
      </c>
      <c r="H14" s="792">
        <f t="shared" si="28"/>
        <v>1</v>
      </c>
      <c r="I14" s="776" t="str">
        <f t="shared" si="1"/>
        <v>Em ngoan, tích cực, năng động, rất đáng khen.</v>
      </c>
      <c r="J14" s="775"/>
      <c r="K14" s="792">
        <v>5</v>
      </c>
      <c r="L14" s="774"/>
      <c r="M14" s="775">
        <f>IF($B14="","",IF(INDEX(BDHKI,MATCH($C14,DiemHKI!$DI$4:$DI$58,0),M$59)&lt;&gt;"",INDEX(BDHKI,MATCH($C14,DiemHKI!$DI$4:$DI$58,0),M$59),""))</f>
        <v>9.6</v>
      </c>
      <c r="N14" s="792">
        <f t="shared" si="2"/>
        <v>1</v>
      </c>
      <c r="O14" s="776" t="str">
        <f t="shared" si="3"/>
        <v>Em ngoan, tích cực, năng động, rất đáng khen.</v>
      </c>
      <c r="P14" s="775"/>
      <c r="Q14" s="792"/>
      <c r="R14" s="774"/>
      <c r="S14" s="775">
        <f>IF($B14="","",IF(INDEX(BDHKI,MATCH($C14,DiemHKI!$DI$4:$DI$58,0),S$59)&lt;&gt;"",INDEX(BDHKI,MATCH($C14,DiemHKI!$DI$4:$DI$58,0),S$59),""))</f>
        <v>9.1</v>
      </c>
      <c r="T14" s="792">
        <f t="shared" si="4"/>
        <v>1</v>
      </c>
      <c r="U14" s="776" t="str">
        <f t="shared" si="5"/>
        <v>Kiến thức vững, sáng tạo, tự học tốt.</v>
      </c>
      <c r="V14" s="775"/>
      <c r="W14" s="792"/>
      <c r="X14" s="774"/>
      <c r="Y14" s="775">
        <f>IF($B14="","",IF(INDEX(BDHKI,MATCH($C14,DiemHKI!$DI$4:$DI$58,0),Y$59)&lt;&gt;"",INDEX(BDHKI,MATCH($C14,DiemHKI!$DI$4:$DI$58,0),Y$59),""))</f>
        <v>9.1</v>
      </c>
      <c r="Z14" s="792">
        <f t="shared" si="6"/>
        <v>1</v>
      </c>
      <c r="AA14" s="776" t="str">
        <f t="shared" si="7"/>
        <v>Ý thức học tập tốt, vận dụng tốt kiến thức học tập</v>
      </c>
      <c r="AB14" s="775"/>
      <c r="AC14" s="792"/>
      <c r="AD14" s="774"/>
      <c r="AE14" s="775">
        <f>IF($B14="","",IF(INDEX(BDHKI,MATCH($C14,DiemHKI!$DI$4:$DI$58,0),AE$59)&lt;&gt;"",INDEX(BDHKI,MATCH($C14,DiemHKI!$DI$4:$DI$58,0),AE$59),""))</f>
        <v>9.6</v>
      </c>
      <c r="AF14" s="792">
        <f t="shared" si="8"/>
        <v>1</v>
      </c>
      <c r="AG14" s="776" t="str">
        <f t="shared" si="9"/>
        <v>Học giỏi, năng động và sáng tạo trong học tập.</v>
      </c>
      <c r="AH14" s="775"/>
      <c r="AI14" s="792"/>
      <c r="AJ14" s="774"/>
      <c r="AK14" s="775">
        <f>IF($B14="","",IF(INDEX(BDHKI,MATCH($C14,DiemHKI!$DI$4:$DI$58,0),AK$59)&lt;&gt;"",INDEX(BDHKI,MATCH($C14,DiemHKI!$DI$4:$DI$58,0),AK$59),""))</f>
        <v>7.4</v>
      </c>
      <c r="AL14" s="792">
        <f t="shared" si="10"/>
        <v>5</v>
      </c>
      <c r="AM14" s="776" t="str">
        <f t="shared" si="11"/>
        <v>Cần tích cực rèn thêm kỹ năng đọc, viết.</v>
      </c>
      <c r="AN14" s="775"/>
      <c r="AO14" s="792"/>
      <c r="AP14" s="774"/>
      <c r="AQ14" s="775">
        <f>IF($B14="","",IF(INDEX(BDHKI,MATCH($C14,DiemHKI!$DI$4:$DI$58,0),AQ$59)&lt;&gt;"",INDEX(BDHKI,MATCH($C14,DiemHKI!$DI$4:$DI$58,0),AQ$59),""))</f>
        <v>9.8000000000000007</v>
      </c>
      <c r="AR14" s="792">
        <f t="shared" si="12"/>
        <v>1</v>
      </c>
      <c r="AS14" s="776" t="str">
        <f t="shared" si="13"/>
        <v>Chăm học, tích cực phát biểu xây dựng bài.</v>
      </c>
      <c r="AT14" s="775"/>
      <c r="AU14" s="792"/>
      <c r="AV14" s="774"/>
      <c r="AW14" s="775">
        <f>IF($B14="","",IF(INDEX(BDHKI,MATCH($C14,DiemHKI!$DI$4:$DI$58,0),AW$59)&lt;&gt;"",INDEX(BDHKI,MATCH($C14,DiemHKI!$DI$4:$DI$58,0),AW$59),""))</f>
        <v>9.9</v>
      </c>
      <c r="AX14" s="792">
        <f t="shared" si="14"/>
        <v>1</v>
      </c>
      <c r="AY14" s="776" t="str">
        <f t="shared" si="15"/>
        <v>Em có tư duy tốt, tích cực, vận dụng thực tế tốt.</v>
      </c>
      <c r="AZ14" s="775"/>
      <c r="BA14" s="792"/>
      <c r="BB14" s="774"/>
      <c r="BC14" s="775">
        <f>IF($B14="","",IF(INDEX(BDHKI,MATCH($C14,DiemHKI!$DI$4:$DI$58,0),BC$59)&lt;&gt;"",INDEX(BDHKI,MATCH($C14,DiemHKI!$DI$4:$DI$58,0),BC$59),""))</f>
        <v>7.6</v>
      </c>
      <c r="BD14" s="792">
        <f t="shared" si="16"/>
        <v>4</v>
      </c>
      <c r="BE14" s="776" t="str">
        <f t="shared" si="17"/>
        <v>Biết sử dụng vốn từ phong phú để viết thành câu, đoạn văn ngắn.</v>
      </c>
      <c r="BF14" s="775"/>
      <c r="BG14" s="792"/>
      <c r="BH14" s="774"/>
      <c r="BI14" s="775">
        <f>IF($B14="","",IF(INDEX(BDHKI,MATCH($C14,DiemHKI!$DI$4:$DI$58,0),BI$59)&lt;&gt;"",INDEX(BDHKI,MATCH($C14,DiemHKI!$DI$4:$DI$58,0),BI$59),""))</f>
        <v>9.1</v>
      </c>
      <c r="BJ14" s="792">
        <f t="shared" si="18"/>
        <v>1</v>
      </c>
      <c r="BK14" s="776" t="str">
        <f t="shared" si="19"/>
        <v>Hứng thú, tích cực, học giỏi.</v>
      </c>
      <c r="BL14" s="775"/>
      <c r="BM14" s="792"/>
      <c r="BN14" s="774"/>
      <c r="BO14" s="775">
        <f>IF($B14="","",IF(INDEX(BDHKI,MATCH($C14,DiemHKI!$DI$4:$DI$58,0),BO$59)&lt;&gt;"",INDEX(BDHKI,MATCH($C14,DiemHKI!$DI$4:$DI$58,0),BO$59),""))</f>
        <v>9.9</v>
      </c>
      <c r="BP14" s="792">
        <f t="shared" si="20"/>
        <v>1</v>
      </c>
      <c r="BQ14" s="776" t="str">
        <f t="shared" si="21"/>
        <v>Học giỏi, tiếp thu nhanh, chăm ngoan.</v>
      </c>
      <c r="BR14" s="775"/>
      <c r="BS14" s="792"/>
      <c r="BT14" s="774"/>
      <c r="BU14" s="775" t="str">
        <f>IF($B14="","",IF(INDEX(BDHKI,MATCH($C14,DiemHKI!$DI$4:$DI$58,0),BU$59)&lt;&gt;"",INDEX(BDHKI,MATCH($C14,DiemHKI!$DI$4:$DI$58,0),BU$59),""))</f>
        <v>Đ</v>
      </c>
      <c r="BV14" s="792">
        <f t="shared" si="22"/>
        <v>1</v>
      </c>
      <c r="BW14" s="776" t="str">
        <f t="shared" si="23"/>
        <v>Rất ngoan, học có hiệu quả tốt.</v>
      </c>
      <c r="BX14" s="775"/>
      <c r="BY14" s="792"/>
      <c r="BZ14" s="774"/>
      <c r="CA14" s="775">
        <f>IF($B14="","",IF(INDEX(BDHKI,MATCH($C14,DiemHKI!$DI$4:$DI$58,0),CA$59)&lt;&gt;"",INDEX(BDHKI,MATCH($C14,DiemHKI!$DI$4:$DI$58,0),CA$59),""))</f>
        <v>9.9</v>
      </c>
      <c r="CB14" s="792">
        <f t="shared" si="24"/>
        <v>1</v>
      </c>
      <c r="CC14" s="776" t="str">
        <f t="shared" si="25"/>
        <v>Ngoan, tích cực xây dựng bài, nắm chắc thực hành, học giỏi.</v>
      </c>
      <c r="CD14" s="775"/>
      <c r="CE14" s="792"/>
      <c r="CF14" s="774"/>
      <c r="CG14" s="775" t="str">
        <f>IF($B14="","",IF(INDEX(BDHKI,MATCH($C14,DiemHKI!$DI$4:$DI$58,0),CG$59)&lt;&gt;"",INDEX(BDHKI,MATCH($C14,DiemHKI!$DI$4:$DI$58,0),CG$59),""))</f>
        <v/>
      </c>
      <c r="CH14" s="792" t="str">
        <f t="shared" si="26"/>
        <v/>
      </c>
      <c r="CI14" s="776" t="str">
        <f t="shared" si="27"/>
        <v/>
      </c>
      <c r="CJ14" s="775"/>
      <c r="CK14" s="792"/>
      <c r="CL14" s="774"/>
    </row>
    <row r="15" spans="1:90" ht="15" customHeight="1">
      <c r="A15" s="764"/>
      <c r="B15" s="771">
        <f>IF(B14&lt;MAX(DiemHKI!$B$4:$B$58),B14+1,"")</f>
        <v>13</v>
      </c>
      <c r="C15" s="771" t="str">
        <f t="shared" si="0"/>
        <v>12A1Nguyễn Thị ThuHiền20/05/2004</v>
      </c>
      <c r="D15" s="772" t="str">
        <f>IF($B15&lt;&gt;"",PROPER(INDEX(BDHKI,MATCH($B15,DiemHKI!$B$4:$B$58,0),3)),"")</f>
        <v xml:space="preserve">Nguyễn Thị Thu </v>
      </c>
      <c r="E15" s="773" t="str">
        <f>IF($B15&lt;&gt;"",PROPER(INDEX(BDHKI,MATCH($B15,DiemHKI!$B$4:$B$58,0),4)),"")</f>
        <v>Hiền</v>
      </c>
      <c r="F15" s="774" t="str">
        <f>IF($B15&lt;&gt;"",PROPER(INDEX(BDHKI,MATCH($B15,DiemHKI!$B$4:$B$58,0),5)),"")</f>
        <v>20/05/2004</v>
      </c>
      <c r="G15" s="775">
        <f>IF($B15="","",IF(INDEX(BDHKI,MATCH($C15,DiemHKI!$DI$4:$DI$58,0),G$59)&lt;&gt;"",INDEX(BDHKI,MATCH($C15,DiemHKI!$DI$4:$DI$58,0),G$59),""))</f>
        <v>9.8000000000000007</v>
      </c>
      <c r="H15" s="792">
        <f t="shared" si="28"/>
        <v>1</v>
      </c>
      <c r="I15" s="776" t="str">
        <f t="shared" si="1"/>
        <v>Em chăm chỉ, chuyên cần, rất tích cực, rất đáng khen.</v>
      </c>
      <c r="J15" s="775"/>
      <c r="K15" s="792">
        <v>3</v>
      </c>
      <c r="L15" s="774"/>
      <c r="M15" s="775">
        <f>IF($B15="","",IF(INDEX(BDHKI,MATCH($C15,DiemHKI!$DI$4:$DI$58,0),M$59)&lt;&gt;"",INDEX(BDHKI,MATCH($C15,DiemHKI!$DI$4:$DI$58,0),M$59),""))</f>
        <v>9.9</v>
      </c>
      <c r="N15" s="792">
        <f t="shared" si="2"/>
        <v>1</v>
      </c>
      <c r="O15" s="776" t="str">
        <f t="shared" si="3"/>
        <v>Em chăm chỉ, chuyên cần, rất tích cực, rất đáng khen.</v>
      </c>
      <c r="P15" s="775"/>
      <c r="Q15" s="792"/>
      <c r="R15" s="774"/>
      <c r="S15" s="775">
        <f>IF($B15="","",IF(INDEX(BDHKI,MATCH($C15,DiemHKI!$DI$4:$DI$58,0),S$59)&lt;&gt;"",INDEX(BDHKI,MATCH($C15,DiemHKI!$DI$4:$DI$58,0),S$59),""))</f>
        <v>9.6</v>
      </c>
      <c r="T15" s="792">
        <f t="shared" si="4"/>
        <v>1</v>
      </c>
      <c r="U15" s="776" t="str">
        <f t="shared" si="5"/>
        <v>Học giỏi, thông minh, cần phát huy.</v>
      </c>
      <c r="V15" s="775"/>
      <c r="W15" s="792"/>
      <c r="X15" s="774"/>
      <c r="Y15" s="775">
        <f>IF($B15="","",IF(INDEX(BDHKI,MATCH($C15,DiemHKI!$DI$4:$DI$58,0),Y$59)&lt;&gt;"",INDEX(BDHKI,MATCH($C15,DiemHKI!$DI$4:$DI$58,0),Y$59),""))</f>
        <v>9.3000000000000007</v>
      </c>
      <c r="Z15" s="792">
        <f t="shared" si="6"/>
        <v>1</v>
      </c>
      <c r="AA15" s="776" t="str">
        <f t="shared" si="7"/>
        <v>Sáng tạo, hoạt động nhóm rất tốt, biết chia sẻ kết quả học tập với bạn.</v>
      </c>
      <c r="AB15" s="775"/>
      <c r="AC15" s="792"/>
      <c r="AD15" s="774"/>
      <c r="AE15" s="775">
        <f>IF($B15="","",IF(INDEX(BDHKI,MATCH($C15,DiemHKI!$DI$4:$DI$58,0),AE$59)&lt;&gt;"",INDEX(BDHKI,MATCH($C15,DiemHKI!$DI$4:$DI$58,0),AE$59),""))</f>
        <v>9.6</v>
      </c>
      <c r="AF15" s="792">
        <f t="shared" si="8"/>
        <v>1</v>
      </c>
      <c r="AG15" s="776" t="str">
        <f t="shared" si="9"/>
        <v>Rất ngoan, cố gắng có hiệu quả.</v>
      </c>
      <c r="AH15" s="775"/>
      <c r="AI15" s="792"/>
      <c r="AJ15" s="774"/>
      <c r="AK15" s="775">
        <f>IF($B15="","",IF(INDEX(BDHKI,MATCH($C15,DiemHKI!$DI$4:$DI$58,0),AK$59)&lt;&gt;"",INDEX(BDHKI,MATCH($C15,DiemHKI!$DI$4:$DI$58,0),AK$59),""))</f>
        <v>8.3000000000000007</v>
      </c>
      <c r="AL15" s="792">
        <f t="shared" si="10"/>
        <v>3</v>
      </c>
      <c r="AM15" s="776" t="str">
        <f t="shared" si="11"/>
        <v>Học giỏi, chăm chỉ, cảm nhận tốt văn bản.</v>
      </c>
      <c r="AN15" s="775"/>
      <c r="AO15" s="792"/>
      <c r="AP15" s="774"/>
      <c r="AQ15" s="775">
        <f>IF($B15="","",IF(INDEX(BDHKI,MATCH($C15,DiemHKI!$DI$4:$DI$58,0),AQ$59)&lt;&gt;"",INDEX(BDHKI,MATCH($C15,DiemHKI!$DI$4:$DI$58,0),AQ$59),""))</f>
        <v>9.9</v>
      </c>
      <c r="AR15" s="792">
        <f t="shared" si="12"/>
        <v>1</v>
      </c>
      <c r="AS15" s="776" t="str">
        <f t="shared" si="13"/>
        <v>Chăm ngoan, tích cực, chủ động tiếp thu bài học.</v>
      </c>
      <c r="AT15" s="775"/>
      <c r="AU15" s="792"/>
      <c r="AV15" s="774"/>
      <c r="AW15" s="775">
        <f>IF($B15="","",IF(INDEX(BDHKI,MATCH($C15,DiemHKI!$DI$4:$DI$58,0),AW$59)&lt;&gt;"",INDEX(BDHKI,MATCH($C15,DiemHKI!$DI$4:$DI$58,0),AW$59),""))</f>
        <v>9.9</v>
      </c>
      <c r="AX15" s="792">
        <f t="shared" si="14"/>
        <v>1</v>
      </c>
      <c r="AY15" s="776" t="str">
        <f t="shared" si="15"/>
        <v>Em rất ngoan, cố gắng có hiệu quả.</v>
      </c>
      <c r="AZ15" s="775"/>
      <c r="BA15" s="792"/>
      <c r="BB15" s="774"/>
      <c r="BC15" s="775">
        <f>IF($B15="","",IF(INDEX(BDHKI,MATCH($C15,DiemHKI!$DI$4:$DI$58,0),BC$59)&lt;&gt;"",INDEX(BDHKI,MATCH($C15,DiemHKI!$DI$4:$DI$58,0),BC$59),""))</f>
        <v>9.4</v>
      </c>
      <c r="BD15" s="792">
        <f t="shared" si="16"/>
        <v>1</v>
      </c>
      <c r="BE15" s="776" t="str">
        <f t="shared" si="17"/>
        <v>Có năng khiếu, tự tin, giao tiếp tốt và có khả năng làm việc nhóm.</v>
      </c>
      <c r="BF15" s="775"/>
      <c r="BG15" s="792"/>
      <c r="BH15" s="774"/>
      <c r="BI15" s="775">
        <f>IF($B15="","",IF(INDEX(BDHKI,MATCH($C15,DiemHKI!$DI$4:$DI$58,0),BI$59)&lt;&gt;"",INDEX(BDHKI,MATCH($C15,DiemHKI!$DI$4:$DI$58,0),BI$59),""))</f>
        <v>9.4</v>
      </c>
      <c r="BJ15" s="792">
        <f t="shared" si="18"/>
        <v>1</v>
      </c>
      <c r="BK15" s="776" t="str">
        <f t="shared" si="19"/>
        <v>Hứng thú, có trách nhiệm học tập tốt.</v>
      </c>
      <c r="BL15" s="775"/>
      <c r="BM15" s="792"/>
      <c r="BN15" s="774"/>
      <c r="BO15" s="775">
        <f>IF($B15="","",IF(INDEX(BDHKI,MATCH($C15,DiemHKI!$DI$4:$DI$58,0),BO$59)&lt;&gt;"",INDEX(BDHKI,MATCH($C15,DiemHKI!$DI$4:$DI$58,0),BO$59),""))</f>
        <v>9.9</v>
      </c>
      <c r="BP15" s="792">
        <f t="shared" si="20"/>
        <v>1</v>
      </c>
      <c r="BQ15" s="776" t="str">
        <f t="shared" si="21"/>
        <v>Học giỏi, năng động, chăm ngoan.</v>
      </c>
      <c r="BR15" s="775"/>
      <c r="BS15" s="792"/>
      <c r="BT15" s="774"/>
      <c r="BU15" s="775" t="str">
        <f>IF($B15="","",IF(INDEX(BDHKI,MATCH($C15,DiemHKI!$DI$4:$DI$58,0),BU$59)&lt;&gt;"",INDEX(BDHKI,MATCH($C15,DiemHKI!$DI$4:$DI$58,0),BU$59),""))</f>
        <v>Đ</v>
      </c>
      <c r="BV15" s="792">
        <f t="shared" si="22"/>
        <v>1</v>
      </c>
      <c r="BW15" s="776" t="str">
        <f t="shared" si="23"/>
        <v>Chăm chỉ, cố gắng, rất ngoan.</v>
      </c>
      <c r="BX15" s="775"/>
      <c r="BY15" s="792"/>
      <c r="BZ15" s="774"/>
      <c r="CA15" s="775">
        <f>IF($B15="","",IF(INDEX(BDHKI,MATCH($C15,DiemHKI!$DI$4:$DI$58,0),CA$59)&lt;&gt;"",INDEX(BDHKI,MATCH($C15,DiemHKI!$DI$4:$DI$58,0),CA$59),""))</f>
        <v>9.4</v>
      </c>
      <c r="CB15" s="792">
        <f t="shared" si="24"/>
        <v>1</v>
      </c>
      <c r="CC15" s="776" t="str">
        <f t="shared" si="25"/>
        <v>Siêng năng, lễ phép, thành thạo thực hành, học giỏi.</v>
      </c>
      <c r="CD15" s="775"/>
      <c r="CE15" s="792"/>
      <c r="CF15" s="774"/>
      <c r="CG15" s="775" t="str">
        <f>IF($B15="","",IF(INDEX(BDHKI,MATCH($C15,DiemHKI!$DI$4:$DI$58,0),CG$59)&lt;&gt;"",INDEX(BDHKI,MATCH($C15,DiemHKI!$DI$4:$DI$58,0),CG$59),""))</f>
        <v/>
      </c>
      <c r="CH15" s="792" t="str">
        <f t="shared" si="26"/>
        <v/>
      </c>
      <c r="CI15" s="776" t="str">
        <f t="shared" si="27"/>
        <v/>
      </c>
      <c r="CJ15" s="775"/>
      <c r="CK15" s="792"/>
      <c r="CL15" s="774"/>
    </row>
    <row r="16" spans="1:90" ht="15" customHeight="1">
      <c r="A16" s="764"/>
      <c r="B16" s="771">
        <f>IF(B15&lt;MAX(DiemHKI!$B$4:$B$58),B15+1,"")</f>
        <v>14</v>
      </c>
      <c r="C16" s="771" t="str">
        <f t="shared" si="0"/>
        <v>12A1Lê Phan NgọcHiếu01/02/2004</v>
      </c>
      <c r="D16" s="772" t="str">
        <f>IF($B16&lt;&gt;"",PROPER(INDEX(BDHKI,MATCH($B16,DiemHKI!$B$4:$B$58,0),3)),"")</f>
        <v>Lê Phan Ngọc</v>
      </c>
      <c r="E16" s="773" t="str">
        <f>IF($B16&lt;&gt;"",PROPER(INDEX(BDHKI,MATCH($B16,DiemHKI!$B$4:$B$58,0),4)),"")</f>
        <v>Hiếu</v>
      </c>
      <c r="F16" s="774" t="str">
        <f>IF($B16&lt;&gt;"",PROPER(INDEX(BDHKI,MATCH($B16,DiemHKI!$B$4:$B$58,0),5)),"")</f>
        <v>01/02/2004</v>
      </c>
      <c r="G16" s="775">
        <f>IF($B16="","",IF(INDEX(BDHKI,MATCH($C16,DiemHKI!$DI$4:$DI$58,0),G$59)&lt;&gt;"",INDEX(BDHKI,MATCH($C16,DiemHKI!$DI$4:$DI$58,0),G$59),""))</f>
        <v>9.9</v>
      </c>
      <c r="H16" s="792">
        <f t="shared" si="28"/>
        <v>1</v>
      </c>
      <c r="I16" s="776" t="str">
        <f t="shared" si="1"/>
        <v>Em học giỏi, chăm ngoan, tính tự giác cao, rất tốt.</v>
      </c>
      <c r="J16" s="775"/>
      <c r="K16" s="792">
        <v>4</v>
      </c>
      <c r="L16" s="774"/>
      <c r="M16" s="775">
        <f>IF($B16="","",IF(INDEX(BDHKI,MATCH($C16,DiemHKI!$DI$4:$DI$58,0),M$59)&lt;&gt;"",INDEX(BDHKI,MATCH($C16,DiemHKI!$DI$4:$DI$58,0),M$59),""))</f>
        <v>9.9</v>
      </c>
      <c r="N16" s="792">
        <f t="shared" si="2"/>
        <v>1</v>
      </c>
      <c r="O16" s="776" t="str">
        <f t="shared" si="3"/>
        <v>Em học giỏi, chăm ngoan, tính tự giác cao, rất tốt.</v>
      </c>
      <c r="P16" s="775"/>
      <c r="Q16" s="792"/>
      <c r="R16" s="774"/>
      <c r="S16" s="775">
        <f>IF($B16="","",IF(INDEX(BDHKI,MATCH($C16,DiemHKI!$DI$4:$DI$58,0),S$59)&lt;&gt;"",INDEX(BDHKI,MATCH($C16,DiemHKI!$DI$4:$DI$58,0),S$59),""))</f>
        <v>9.1999999999999993</v>
      </c>
      <c r="T16" s="792">
        <f t="shared" si="4"/>
        <v>1</v>
      </c>
      <c r="U16" s="776" t="str">
        <f t="shared" si="5"/>
        <v>Kiến thức vững, tự học tốt, ngoan.</v>
      </c>
      <c r="V16" s="775"/>
      <c r="W16" s="792"/>
      <c r="X16" s="774"/>
      <c r="Y16" s="775">
        <f>IF($B16="","",IF(INDEX(BDHKI,MATCH($C16,DiemHKI!$DI$4:$DI$58,0),Y$59)&lt;&gt;"",INDEX(BDHKI,MATCH($C16,DiemHKI!$DI$4:$DI$58,0),Y$59),""))</f>
        <v>9</v>
      </c>
      <c r="Z16" s="792">
        <f t="shared" si="6"/>
        <v>1</v>
      </c>
      <c r="AA16" s="776" t="str">
        <f t="shared" si="7"/>
        <v>Có khả năng tự học và tự chủ bản thân, tích cực trong học tập.</v>
      </c>
      <c r="AB16" s="775"/>
      <c r="AC16" s="792"/>
      <c r="AD16" s="774"/>
      <c r="AE16" s="775">
        <f>IF($B16="","",IF(INDEX(BDHKI,MATCH($C16,DiemHKI!$DI$4:$DI$58,0),AE$59)&lt;&gt;"",INDEX(BDHKI,MATCH($C16,DiemHKI!$DI$4:$DI$58,0),AE$59),""))</f>
        <v>9.6</v>
      </c>
      <c r="AF16" s="792">
        <f t="shared" si="8"/>
        <v>1</v>
      </c>
      <c r="AG16" s="776" t="str">
        <f t="shared" si="9"/>
        <v>Ngoan, chăm chỉ, tư duy tốt.</v>
      </c>
      <c r="AH16" s="775"/>
      <c r="AI16" s="792"/>
      <c r="AJ16" s="774"/>
      <c r="AK16" s="775">
        <f>IF($B16="","",IF(INDEX(BDHKI,MATCH($C16,DiemHKI!$DI$4:$DI$58,0),AK$59)&lt;&gt;"",INDEX(BDHKI,MATCH($C16,DiemHKI!$DI$4:$DI$58,0),AK$59),""))</f>
        <v>7.2</v>
      </c>
      <c r="AL16" s="792">
        <f t="shared" si="10"/>
        <v>5</v>
      </c>
      <c r="AM16" s="776" t="str">
        <f t="shared" si="11"/>
        <v>Có ý thức học tập tốt, cần nỗ lực rèn luyện thêm các kỹ năng.</v>
      </c>
      <c r="AN16" s="775"/>
      <c r="AO16" s="792"/>
      <c r="AP16" s="774"/>
      <c r="AQ16" s="775">
        <f>IF($B16="","",IF(INDEX(BDHKI,MATCH($C16,DiemHKI!$DI$4:$DI$58,0),AQ$59)&lt;&gt;"",INDEX(BDHKI,MATCH($C16,DiemHKI!$DI$4:$DI$58,0),AQ$59),""))</f>
        <v>9.4</v>
      </c>
      <c r="AR16" s="792">
        <f t="shared" si="12"/>
        <v>1</v>
      </c>
      <c r="AS16" s="776" t="str">
        <f t="shared" si="13"/>
        <v>Tiếp thu bài tốt, ghi nhớ nhanh các sự kiện lịch sử.</v>
      </c>
      <c r="AT16" s="775"/>
      <c r="AU16" s="792"/>
      <c r="AV16" s="774"/>
      <c r="AW16" s="775">
        <f>IF($B16="","",IF(INDEX(BDHKI,MATCH($C16,DiemHKI!$DI$4:$DI$58,0),AW$59)&lt;&gt;"",INDEX(BDHKI,MATCH($C16,DiemHKI!$DI$4:$DI$58,0),AW$59),""))</f>
        <v>9.3000000000000007</v>
      </c>
      <c r="AX16" s="792">
        <f t="shared" si="14"/>
        <v>1</v>
      </c>
      <c r="AY16" s="776" t="str">
        <f t="shared" si="15"/>
        <v>Em có tư duy tốt, rất tích cực, giải quyết vấn đề tốt.</v>
      </c>
      <c r="AZ16" s="775"/>
      <c r="BA16" s="792"/>
      <c r="BB16" s="774"/>
      <c r="BC16" s="775">
        <f>IF($B16="","",IF(INDEX(BDHKI,MATCH($C16,DiemHKI!$DI$4:$DI$58,0),BC$59)&lt;&gt;"",INDEX(BDHKI,MATCH($C16,DiemHKI!$DI$4:$DI$58,0),BC$59),""))</f>
        <v>8.1999999999999993</v>
      </c>
      <c r="BD16" s="792">
        <f t="shared" si="16"/>
        <v>3</v>
      </c>
      <c r="BE16" s="776" t="str">
        <f t="shared" si="17"/>
        <v>Chăm chỉ và tích cực trong hoạt động thảo luận nhóm.</v>
      </c>
      <c r="BF16" s="775"/>
      <c r="BG16" s="792"/>
      <c r="BH16" s="774"/>
      <c r="BI16" s="775">
        <f>IF($B16="","",IF(INDEX(BDHKI,MATCH($C16,DiemHKI!$DI$4:$DI$58,0),BI$59)&lt;&gt;"",INDEX(BDHKI,MATCH($C16,DiemHKI!$DI$4:$DI$58,0),BI$59),""))</f>
        <v>9.4</v>
      </c>
      <c r="BJ16" s="792">
        <f t="shared" si="18"/>
        <v>1</v>
      </c>
      <c r="BK16" s="776" t="str">
        <f t="shared" si="19"/>
        <v>Chăm chỉ, học giỏi.</v>
      </c>
      <c r="BL16" s="775"/>
      <c r="BM16" s="792"/>
      <c r="BN16" s="774"/>
      <c r="BO16" s="775">
        <f>IF($B16="","",IF(INDEX(BDHKI,MATCH($C16,DiemHKI!$DI$4:$DI$58,0),BO$59)&lt;&gt;"",INDEX(BDHKI,MATCH($C16,DiemHKI!$DI$4:$DI$58,0),BO$59),""))</f>
        <v>9.9</v>
      </c>
      <c r="BP16" s="792">
        <f t="shared" si="20"/>
        <v>1</v>
      </c>
      <c r="BQ16" s="776" t="str">
        <f t="shared" si="21"/>
        <v>Năng động, sáng tạo trong học tập.</v>
      </c>
      <c r="BR16" s="775"/>
      <c r="BS16" s="792"/>
      <c r="BT16" s="774"/>
      <c r="BU16" s="775" t="str">
        <f>IF($B16="","",IF(INDEX(BDHKI,MATCH($C16,DiemHKI!$DI$4:$DI$58,0),BU$59)&lt;&gt;"",INDEX(BDHKI,MATCH($C16,DiemHKI!$DI$4:$DI$58,0),BU$59),""))</f>
        <v>Đ</v>
      </c>
      <c r="BV16" s="792">
        <f t="shared" si="22"/>
        <v>1</v>
      </c>
      <c r="BW16" s="776" t="str">
        <f t="shared" si="23"/>
        <v>Giỏi, có nhiều tiến bộ trong học tập.</v>
      </c>
      <c r="BX16" s="775"/>
      <c r="BY16" s="792"/>
      <c r="BZ16" s="774"/>
      <c r="CA16" s="775">
        <f>IF($B16="","",IF(INDEX(BDHKI,MATCH($C16,DiemHKI!$DI$4:$DI$58,0),CA$59)&lt;&gt;"",INDEX(BDHKI,MATCH($C16,DiemHKI!$DI$4:$DI$58,0),CA$59),""))</f>
        <v>9.9</v>
      </c>
      <c r="CB16" s="792">
        <f t="shared" si="24"/>
        <v>1</v>
      </c>
      <c r="CC16" s="776" t="str">
        <f t="shared" si="25"/>
        <v>Tích cực, năng động, nắm bài tốt, học giỏi.</v>
      </c>
      <c r="CD16" s="775"/>
      <c r="CE16" s="792"/>
      <c r="CF16" s="774"/>
      <c r="CG16" s="775" t="str">
        <f>IF($B16="","",IF(INDEX(BDHKI,MATCH($C16,DiemHKI!$DI$4:$DI$58,0),CG$59)&lt;&gt;"",INDEX(BDHKI,MATCH($C16,DiemHKI!$DI$4:$DI$58,0),CG$59),""))</f>
        <v/>
      </c>
      <c r="CH16" s="792" t="str">
        <f t="shared" si="26"/>
        <v/>
      </c>
      <c r="CI16" s="776" t="str">
        <f t="shared" si="27"/>
        <v/>
      </c>
      <c r="CJ16" s="775"/>
      <c r="CK16" s="792"/>
      <c r="CL16" s="774"/>
    </row>
    <row r="17" spans="1:90" ht="15" customHeight="1">
      <c r="A17" s="764"/>
      <c r="B17" s="777">
        <f>IF(B16&lt;MAX(DiemHKI!$B$4:$B$58),B16+1,"")</f>
        <v>15</v>
      </c>
      <c r="C17" s="777" t="str">
        <f t="shared" si="0"/>
        <v>12A1Trần HoàngHưng11/06/2004</v>
      </c>
      <c r="D17" s="778" t="str">
        <f>IF($B17&lt;&gt;"",PROPER(INDEX(BDHKI,MATCH($B17,DiemHKI!$B$4:$B$58,0),3)),"")</f>
        <v>Trần Hoàng</v>
      </c>
      <c r="E17" s="779" t="str">
        <f>IF($B17&lt;&gt;"",PROPER(INDEX(BDHKI,MATCH($B17,DiemHKI!$B$4:$B$58,0),4)),"")</f>
        <v>Hưng</v>
      </c>
      <c r="F17" s="780" t="str">
        <f>IF($B17&lt;&gt;"",PROPER(INDEX(BDHKI,MATCH($B17,DiemHKI!$B$4:$B$58,0),5)),"")</f>
        <v>11/06/2004</v>
      </c>
      <c r="G17" s="781">
        <f>IF($B17="","",IF(INDEX(BDHKI,MATCH($C17,DiemHKI!$DI$4:$DI$58,0),G$59)&lt;&gt;"",INDEX(BDHKI,MATCH($C17,DiemHKI!$DI$4:$DI$58,0),G$59),""))</f>
        <v>9.6999999999999993</v>
      </c>
      <c r="H17" s="793">
        <f t="shared" si="28"/>
        <v>1</v>
      </c>
      <c r="I17" s="782" t="str">
        <f t="shared" si="1"/>
        <v>Em ngoan, tích cực, năng động, rất đáng khen.</v>
      </c>
      <c r="J17" s="781"/>
      <c r="K17" s="793">
        <v>5</v>
      </c>
      <c r="L17" s="780"/>
      <c r="M17" s="781">
        <f>IF($B17="","",IF(INDEX(BDHKI,MATCH($C17,DiemHKI!$DI$4:$DI$58,0),M$59)&lt;&gt;"",INDEX(BDHKI,MATCH($C17,DiemHKI!$DI$4:$DI$58,0),M$59),""))</f>
        <v>9.8000000000000007</v>
      </c>
      <c r="N17" s="793">
        <f t="shared" si="2"/>
        <v>1</v>
      </c>
      <c r="O17" s="782" t="str">
        <f t="shared" si="3"/>
        <v>Em ngoan, tích cực, năng động, rất đáng khen.</v>
      </c>
      <c r="P17" s="781"/>
      <c r="Q17" s="793"/>
      <c r="R17" s="780"/>
      <c r="S17" s="781">
        <f>IF($B17="","",IF(INDEX(BDHKI,MATCH($C17,DiemHKI!$DI$4:$DI$58,0),S$59)&lt;&gt;"",INDEX(BDHKI,MATCH($C17,DiemHKI!$DI$4:$DI$58,0),S$59),""))</f>
        <v>9</v>
      </c>
      <c r="T17" s="793">
        <f t="shared" si="4"/>
        <v>1</v>
      </c>
      <c r="U17" s="782" t="str">
        <f t="shared" si="5"/>
        <v>Kiến thức vững, sáng tạo, tự học tốt.</v>
      </c>
      <c r="V17" s="781"/>
      <c r="W17" s="793"/>
      <c r="X17" s="780"/>
      <c r="Y17" s="781">
        <f>IF($B17="","",IF(INDEX(BDHKI,MATCH($C17,DiemHKI!$DI$4:$DI$58,0),Y$59)&lt;&gt;"",INDEX(BDHKI,MATCH($C17,DiemHKI!$DI$4:$DI$58,0),Y$59),""))</f>
        <v>8.8000000000000007</v>
      </c>
      <c r="Z17" s="793">
        <f t="shared" si="6"/>
        <v>2</v>
      </c>
      <c r="AA17" s="782" t="str">
        <f t="shared" si="7"/>
        <v>Ngoan, khả năng tư duy tốt, có trách nhiệm, trình bày tốt.</v>
      </c>
      <c r="AB17" s="781"/>
      <c r="AC17" s="793"/>
      <c r="AD17" s="780"/>
      <c r="AE17" s="781">
        <f>IF($B17="","",IF(INDEX(BDHKI,MATCH($C17,DiemHKI!$DI$4:$DI$58,0),AE$59)&lt;&gt;"",INDEX(BDHKI,MATCH($C17,DiemHKI!$DI$4:$DI$58,0),AE$59),""))</f>
        <v>9.8000000000000007</v>
      </c>
      <c r="AF17" s="793">
        <f t="shared" si="8"/>
        <v>1</v>
      </c>
      <c r="AG17" s="782" t="str">
        <f t="shared" si="9"/>
        <v>Học giỏi, năng động và sáng tạo trong học tập.</v>
      </c>
      <c r="AH17" s="781"/>
      <c r="AI17" s="793"/>
      <c r="AJ17" s="780"/>
      <c r="AK17" s="781">
        <f>IF($B17="","",IF(INDEX(BDHKI,MATCH($C17,DiemHKI!$DI$4:$DI$58,0),AK$59)&lt;&gt;"",INDEX(BDHKI,MATCH($C17,DiemHKI!$DI$4:$DI$58,0),AK$59),""))</f>
        <v>7.5</v>
      </c>
      <c r="AL17" s="793">
        <f t="shared" si="10"/>
        <v>4</v>
      </c>
      <c r="AM17" s="782" t="str">
        <f t="shared" si="11"/>
        <v>Cần chủ động hơn trong giờ học, rèn thêm kỹ năng viết.</v>
      </c>
      <c r="AN17" s="781"/>
      <c r="AO17" s="793"/>
      <c r="AP17" s="780"/>
      <c r="AQ17" s="781">
        <f>IF($B17="","",IF(INDEX(BDHKI,MATCH($C17,DiemHKI!$DI$4:$DI$58,0),AQ$59)&lt;&gt;"",INDEX(BDHKI,MATCH($C17,DiemHKI!$DI$4:$DI$58,0),AQ$59),""))</f>
        <v>9.8000000000000007</v>
      </c>
      <c r="AR17" s="793">
        <f t="shared" si="12"/>
        <v>1</v>
      </c>
      <c r="AS17" s="782" t="str">
        <f t="shared" si="13"/>
        <v>Chăm học, tích cực phát biểu xây dựng bài.</v>
      </c>
      <c r="AT17" s="781"/>
      <c r="AU17" s="793"/>
      <c r="AV17" s="780"/>
      <c r="AW17" s="781">
        <f>IF($B17="","",IF(INDEX(BDHKI,MATCH($C17,DiemHKI!$DI$4:$DI$58,0),AW$59)&lt;&gt;"",INDEX(BDHKI,MATCH($C17,DiemHKI!$DI$4:$DI$58,0),AW$59),""))</f>
        <v>9.1</v>
      </c>
      <c r="AX17" s="793">
        <f t="shared" si="14"/>
        <v>1</v>
      </c>
      <c r="AY17" s="782" t="str">
        <f t="shared" si="15"/>
        <v>Em có tư duy tốt, tích cực, vận dụng thực tế tốt.</v>
      </c>
      <c r="AZ17" s="781"/>
      <c r="BA17" s="793"/>
      <c r="BB17" s="780"/>
      <c r="BC17" s="781">
        <f>IF($B17="","",IF(INDEX(BDHKI,MATCH($C17,DiemHKI!$DI$4:$DI$58,0),BC$59)&lt;&gt;"",INDEX(BDHKI,MATCH($C17,DiemHKI!$DI$4:$DI$58,0),BC$59),""))</f>
        <v>9.5</v>
      </c>
      <c r="BD17" s="793">
        <f t="shared" si="16"/>
        <v>1</v>
      </c>
      <c r="BE17" s="782" t="str">
        <f t="shared" si="17"/>
        <v>Tích cực phát biểu trong giờ học, tương tác tốt với giáo viên và bạn bè.</v>
      </c>
      <c r="BF17" s="781"/>
      <c r="BG17" s="793"/>
      <c r="BH17" s="780"/>
      <c r="BI17" s="781">
        <f>IF($B17="","",IF(INDEX(BDHKI,MATCH($C17,DiemHKI!$DI$4:$DI$58,0),BI$59)&lt;&gt;"",INDEX(BDHKI,MATCH($C17,DiemHKI!$DI$4:$DI$58,0),BI$59),""))</f>
        <v>9.1</v>
      </c>
      <c r="BJ17" s="793">
        <f t="shared" si="18"/>
        <v>1</v>
      </c>
      <c r="BK17" s="782" t="str">
        <f t="shared" si="19"/>
        <v>Hứng thú, tích cực, học giỏi.</v>
      </c>
      <c r="BL17" s="781"/>
      <c r="BM17" s="793"/>
      <c r="BN17" s="780"/>
      <c r="BO17" s="781">
        <f>IF($B17="","",IF(INDEX(BDHKI,MATCH($C17,DiemHKI!$DI$4:$DI$58,0),BO$59)&lt;&gt;"",INDEX(BDHKI,MATCH($C17,DiemHKI!$DI$4:$DI$58,0),BO$59),""))</f>
        <v>9.9</v>
      </c>
      <c r="BP17" s="793">
        <f t="shared" si="20"/>
        <v>1</v>
      </c>
      <c r="BQ17" s="782" t="str">
        <f t="shared" si="21"/>
        <v>Học giỏi, tiếp thu nhanh, chăm ngoan.</v>
      </c>
      <c r="BR17" s="781"/>
      <c r="BS17" s="793"/>
      <c r="BT17" s="780"/>
      <c r="BU17" s="781" t="str">
        <f>IF($B17="","",IF(INDEX(BDHKI,MATCH($C17,DiemHKI!$DI$4:$DI$58,0),BU$59)&lt;&gt;"",INDEX(BDHKI,MATCH($C17,DiemHKI!$DI$4:$DI$58,0),BU$59),""))</f>
        <v>Đ</v>
      </c>
      <c r="BV17" s="793">
        <f t="shared" si="22"/>
        <v>1</v>
      </c>
      <c r="BW17" s="782" t="str">
        <f t="shared" si="23"/>
        <v>Rất ngoan, học có hiệu quả tốt.</v>
      </c>
      <c r="BX17" s="781"/>
      <c r="BY17" s="793"/>
      <c r="BZ17" s="780"/>
      <c r="CA17" s="781">
        <f>IF($B17="","",IF(INDEX(BDHKI,MATCH($C17,DiemHKI!$DI$4:$DI$58,0),CA$59)&lt;&gt;"",INDEX(BDHKI,MATCH($C17,DiemHKI!$DI$4:$DI$58,0),CA$59),""))</f>
        <v>9.9</v>
      </c>
      <c r="CB17" s="793">
        <f t="shared" si="24"/>
        <v>1</v>
      </c>
      <c r="CC17" s="782" t="str">
        <f t="shared" si="25"/>
        <v>Ngoan, tích cực xây dựng bài, nắm chắc thực hành, học giỏi.</v>
      </c>
      <c r="CD17" s="781"/>
      <c r="CE17" s="793"/>
      <c r="CF17" s="780"/>
      <c r="CG17" s="781" t="str">
        <f>IF($B17="","",IF(INDEX(BDHKI,MATCH($C17,DiemHKI!$DI$4:$DI$58,0),CG$59)&lt;&gt;"",INDEX(BDHKI,MATCH($C17,DiemHKI!$DI$4:$DI$58,0),CG$59),""))</f>
        <v/>
      </c>
      <c r="CH17" s="793" t="str">
        <f t="shared" si="26"/>
        <v/>
      </c>
      <c r="CI17" s="782" t="str">
        <f t="shared" si="27"/>
        <v/>
      </c>
      <c r="CJ17" s="781"/>
      <c r="CK17" s="793"/>
      <c r="CL17" s="780"/>
    </row>
    <row r="18" spans="1:90" ht="15" customHeight="1">
      <c r="A18" s="764"/>
      <c r="B18" s="765">
        <f>IF(B17&lt;MAX(DiemHKI!$B$4:$B$58),B17+1,"")</f>
        <v>16</v>
      </c>
      <c r="C18" s="765" t="str">
        <f t="shared" si="0"/>
        <v>12A1Trần ĐăngKhải22/04/2004</v>
      </c>
      <c r="D18" s="766" t="str">
        <f>IF($B18&lt;&gt;"",PROPER(INDEX(BDHKI,MATCH($B18,DiemHKI!$B$4:$B$58,0),3)),"")</f>
        <v>Trần Đăng</v>
      </c>
      <c r="E18" s="767" t="str">
        <f>IF($B18&lt;&gt;"",PROPER(INDEX(BDHKI,MATCH($B18,DiemHKI!$B$4:$B$58,0),4)),"")</f>
        <v>Khải</v>
      </c>
      <c r="F18" s="768" t="str">
        <f>IF($B18&lt;&gt;"",PROPER(INDEX(BDHKI,MATCH($B18,DiemHKI!$B$4:$B$58,0),5)),"")</f>
        <v>22/04/2004</v>
      </c>
      <c r="G18" s="783">
        <f>IF($B18="","",IF(INDEX(BDHKI,MATCH($C18,DiemHKI!$DI$4:$DI$58,0),G$59)&lt;&gt;"",INDEX(BDHKI,MATCH($C18,DiemHKI!$DI$4:$DI$58,0),G$59),""))</f>
        <v>9.6</v>
      </c>
      <c r="H18" s="794">
        <f t="shared" si="28"/>
        <v>1</v>
      </c>
      <c r="I18" s="770" t="str">
        <f t="shared" si="1"/>
        <v>Em chăm chỉ, chuyên cần, rất tích cực, rất đáng khen.</v>
      </c>
      <c r="J18" s="783"/>
      <c r="K18" s="794">
        <v>3</v>
      </c>
      <c r="L18" s="768"/>
      <c r="M18" s="783">
        <f>IF($B18="","",IF(INDEX(BDHKI,MATCH($C18,DiemHKI!$DI$4:$DI$58,0),M$59)&lt;&gt;"",INDEX(BDHKI,MATCH($C18,DiemHKI!$DI$4:$DI$58,0),M$59),""))</f>
        <v>9.4</v>
      </c>
      <c r="N18" s="794">
        <f t="shared" si="2"/>
        <v>1</v>
      </c>
      <c r="O18" s="770" t="str">
        <f t="shared" si="3"/>
        <v>Em chăm chỉ, chuyên cần, rất tích cực, rất đáng khen.</v>
      </c>
      <c r="P18" s="783"/>
      <c r="Q18" s="794"/>
      <c r="R18" s="768"/>
      <c r="S18" s="783">
        <f>IF($B18="","",IF(INDEX(BDHKI,MATCH($C18,DiemHKI!$DI$4:$DI$58,0),S$59)&lt;&gt;"",INDEX(BDHKI,MATCH($C18,DiemHKI!$DI$4:$DI$58,0),S$59),""))</f>
        <v>9.6</v>
      </c>
      <c r="T18" s="794">
        <f t="shared" si="4"/>
        <v>1</v>
      </c>
      <c r="U18" s="770" t="str">
        <f t="shared" si="5"/>
        <v>Học giỏi, thông minh, cần phát huy.</v>
      </c>
      <c r="V18" s="783"/>
      <c r="W18" s="794"/>
      <c r="X18" s="768"/>
      <c r="Y18" s="783">
        <f>IF($B18="","",IF(INDEX(BDHKI,MATCH($C18,DiemHKI!$DI$4:$DI$58,0),Y$59)&lt;&gt;"",INDEX(BDHKI,MATCH($C18,DiemHKI!$DI$4:$DI$58,0),Y$59),""))</f>
        <v>9</v>
      </c>
      <c r="Z18" s="794">
        <f t="shared" si="6"/>
        <v>1</v>
      </c>
      <c r="AA18" s="770" t="str">
        <f t="shared" si="7"/>
        <v>Sáng tạo, hoạt động nhóm rất tốt, biết chia sẻ kết quả học tập với bạn.</v>
      </c>
      <c r="AB18" s="783"/>
      <c r="AC18" s="794"/>
      <c r="AD18" s="768"/>
      <c r="AE18" s="783">
        <f>IF($B18="","",IF(INDEX(BDHKI,MATCH($C18,DiemHKI!$DI$4:$DI$58,0),AE$59)&lt;&gt;"",INDEX(BDHKI,MATCH($C18,DiemHKI!$DI$4:$DI$58,0),AE$59),""))</f>
        <v>9.8000000000000007</v>
      </c>
      <c r="AF18" s="794">
        <f t="shared" si="8"/>
        <v>1</v>
      </c>
      <c r="AG18" s="770" t="str">
        <f t="shared" si="9"/>
        <v>Rất ngoan, cố gắng có hiệu quả.</v>
      </c>
      <c r="AH18" s="783"/>
      <c r="AI18" s="794"/>
      <c r="AJ18" s="768"/>
      <c r="AK18" s="783">
        <f>IF($B18="","",IF(INDEX(BDHKI,MATCH($C18,DiemHKI!$DI$4:$DI$58,0),AK$59)&lt;&gt;"",INDEX(BDHKI,MATCH($C18,DiemHKI!$DI$4:$DI$58,0),AK$59),""))</f>
        <v>7.3</v>
      </c>
      <c r="AL18" s="794">
        <f t="shared" si="10"/>
        <v>5</v>
      </c>
      <c r="AM18" s="770" t="str">
        <f t="shared" si="11"/>
        <v>Học khá, cần chủ động rèn thêm kỹ năng diễn đạt.</v>
      </c>
      <c r="AN18" s="783"/>
      <c r="AO18" s="794"/>
      <c r="AP18" s="768"/>
      <c r="AQ18" s="783">
        <f>IF($B18="","",IF(INDEX(BDHKI,MATCH($C18,DiemHKI!$DI$4:$DI$58,0),AQ$59)&lt;&gt;"",INDEX(BDHKI,MATCH($C18,DiemHKI!$DI$4:$DI$58,0),AQ$59),""))</f>
        <v>9.9</v>
      </c>
      <c r="AR18" s="794">
        <f t="shared" si="12"/>
        <v>1</v>
      </c>
      <c r="AS18" s="770" t="str">
        <f t="shared" si="13"/>
        <v>Chăm ngoan, tích cực, chủ động tiếp thu bài học.</v>
      </c>
      <c r="AT18" s="783"/>
      <c r="AU18" s="794"/>
      <c r="AV18" s="768"/>
      <c r="AW18" s="783">
        <f>IF($B18="","",IF(INDEX(BDHKI,MATCH($C18,DiemHKI!$DI$4:$DI$58,0),AW$59)&lt;&gt;"",INDEX(BDHKI,MATCH($C18,DiemHKI!$DI$4:$DI$58,0),AW$59),""))</f>
        <v>9.9</v>
      </c>
      <c r="AX18" s="794">
        <f t="shared" si="14"/>
        <v>1</v>
      </c>
      <c r="AY18" s="770" t="str">
        <f t="shared" si="15"/>
        <v>Em rất ngoan, cố gắng có hiệu quả.</v>
      </c>
      <c r="AZ18" s="783"/>
      <c r="BA18" s="794"/>
      <c r="BB18" s="768"/>
      <c r="BC18" s="783">
        <f>IF($B18="","",IF(INDEX(BDHKI,MATCH($C18,DiemHKI!$DI$4:$DI$58,0),BC$59)&lt;&gt;"",INDEX(BDHKI,MATCH($C18,DiemHKI!$DI$4:$DI$58,0),BC$59),""))</f>
        <v>9.6999999999999993</v>
      </c>
      <c r="BD18" s="794">
        <f t="shared" si="16"/>
        <v>1</v>
      </c>
      <c r="BE18" s="770" t="str">
        <f t="shared" si="17"/>
        <v>Có năng khiếu, tự tin, giao tiếp tốt và có khả năng làm việc nhóm.</v>
      </c>
      <c r="BF18" s="783"/>
      <c r="BG18" s="794"/>
      <c r="BH18" s="768"/>
      <c r="BI18" s="783">
        <f>IF($B18="","",IF(INDEX(BDHKI,MATCH($C18,DiemHKI!$DI$4:$DI$58,0),BI$59)&lt;&gt;"",INDEX(BDHKI,MATCH($C18,DiemHKI!$DI$4:$DI$58,0),BI$59),""))</f>
        <v>9.1</v>
      </c>
      <c r="BJ18" s="794">
        <f t="shared" si="18"/>
        <v>1</v>
      </c>
      <c r="BK18" s="770" t="str">
        <f t="shared" si="19"/>
        <v>Hứng thú, có trách nhiệm học tập tốt.</v>
      </c>
      <c r="BL18" s="783"/>
      <c r="BM18" s="794"/>
      <c r="BN18" s="768"/>
      <c r="BO18" s="783">
        <f>IF($B18="","",IF(INDEX(BDHKI,MATCH($C18,DiemHKI!$DI$4:$DI$58,0),BO$59)&lt;&gt;"",INDEX(BDHKI,MATCH($C18,DiemHKI!$DI$4:$DI$58,0),BO$59),""))</f>
        <v>9.9</v>
      </c>
      <c r="BP18" s="794">
        <f t="shared" si="20"/>
        <v>1</v>
      </c>
      <c r="BQ18" s="770" t="str">
        <f t="shared" si="21"/>
        <v>Học giỏi, năng động, chăm ngoan.</v>
      </c>
      <c r="BR18" s="783"/>
      <c r="BS18" s="794"/>
      <c r="BT18" s="768"/>
      <c r="BU18" s="783" t="str">
        <f>IF($B18="","",IF(INDEX(BDHKI,MATCH($C18,DiemHKI!$DI$4:$DI$58,0),BU$59)&lt;&gt;"",INDEX(BDHKI,MATCH($C18,DiemHKI!$DI$4:$DI$58,0),BU$59),""))</f>
        <v>Đ</v>
      </c>
      <c r="BV18" s="794">
        <f t="shared" si="22"/>
        <v>1</v>
      </c>
      <c r="BW18" s="770" t="str">
        <f t="shared" si="23"/>
        <v>Chăm chỉ, cố gắng, rất ngoan.</v>
      </c>
      <c r="BX18" s="783"/>
      <c r="BY18" s="794"/>
      <c r="BZ18" s="768"/>
      <c r="CA18" s="783">
        <f>IF($B18="","",IF(INDEX(BDHKI,MATCH($C18,DiemHKI!$DI$4:$DI$58,0),CA$59)&lt;&gt;"",INDEX(BDHKI,MATCH($C18,DiemHKI!$DI$4:$DI$58,0),CA$59),""))</f>
        <v>9.9</v>
      </c>
      <c r="CB18" s="794">
        <f t="shared" si="24"/>
        <v>1</v>
      </c>
      <c r="CC18" s="770" t="str">
        <f t="shared" si="25"/>
        <v>Siêng năng, lễ phép, thành thạo thực hành, học giỏi.</v>
      </c>
      <c r="CD18" s="783"/>
      <c r="CE18" s="794"/>
      <c r="CF18" s="768"/>
      <c r="CG18" s="783" t="str">
        <f>IF($B18="","",IF(INDEX(BDHKI,MATCH($C18,DiemHKI!$DI$4:$DI$58,0),CG$59)&lt;&gt;"",INDEX(BDHKI,MATCH($C18,DiemHKI!$DI$4:$DI$58,0),CG$59),""))</f>
        <v/>
      </c>
      <c r="CH18" s="794" t="str">
        <f t="shared" si="26"/>
        <v/>
      </c>
      <c r="CI18" s="770" t="str">
        <f t="shared" si="27"/>
        <v/>
      </c>
      <c r="CJ18" s="783"/>
      <c r="CK18" s="794"/>
      <c r="CL18" s="768"/>
    </row>
    <row r="19" spans="1:90" ht="15" customHeight="1">
      <c r="A19" s="764"/>
      <c r="B19" s="771">
        <f>IF(B18&lt;MAX(DiemHKI!$B$4:$B$58),B18+1,"")</f>
        <v>17</v>
      </c>
      <c r="C19" s="771" t="str">
        <f t="shared" si="0"/>
        <v>12A1Nguyễn Huỳnh PhúcKhang14/12/2004</v>
      </c>
      <c r="D19" s="772" t="str">
        <f>IF($B19&lt;&gt;"",PROPER(INDEX(BDHKI,MATCH($B19,DiemHKI!$B$4:$B$58,0),3)),"")</f>
        <v>Nguyễn Huỳnh Phúc</v>
      </c>
      <c r="E19" s="773" t="str">
        <f>IF($B19&lt;&gt;"",PROPER(INDEX(BDHKI,MATCH($B19,DiemHKI!$B$4:$B$58,0),4)),"")</f>
        <v>Khang</v>
      </c>
      <c r="F19" s="774" t="str">
        <f>IF($B19&lt;&gt;"",PROPER(INDEX(BDHKI,MATCH($B19,DiemHKI!$B$4:$B$58,0),5)),"")</f>
        <v>14/12/2004</v>
      </c>
      <c r="G19" s="775">
        <f>IF($B19="","",IF(INDEX(BDHKI,MATCH($C19,DiemHKI!$DI$4:$DI$58,0),G$59)&lt;&gt;"",INDEX(BDHKI,MATCH($C19,DiemHKI!$DI$4:$DI$58,0),G$59),""))</f>
        <v>9</v>
      </c>
      <c r="H19" s="792">
        <f t="shared" si="28"/>
        <v>1</v>
      </c>
      <c r="I19" s="776" t="str">
        <f t="shared" si="1"/>
        <v>Em học giỏi, chăm ngoan, tính tự giác cao, rất tốt.</v>
      </c>
      <c r="J19" s="775"/>
      <c r="K19" s="792">
        <v>4</v>
      </c>
      <c r="L19" s="774"/>
      <c r="M19" s="775">
        <f>IF($B19="","",IF(INDEX(BDHKI,MATCH($C19,DiemHKI!$DI$4:$DI$58,0),M$59)&lt;&gt;"",INDEX(BDHKI,MATCH($C19,DiemHKI!$DI$4:$DI$58,0),M$59),""))</f>
        <v>9.3000000000000007</v>
      </c>
      <c r="N19" s="792">
        <f t="shared" si="2"/>
        <v>1</v>
      </c>
      <c r="O19" s="776" t="str">
        <f t="shared" si="3"/>
        <v>Em học giỏi, chăm ngoan, tính tự giác cao, rất tốt.</v>
      </c>
      <c r="P19" s="775"/>
      <c r="Q19" s="792"/>
      <c r="R19" s="774"/>
      <c r="S19" s="775">
        <f>IF($B19="","",IF(INDEX(BDHKI,MATCH($C19,DiemHKI!$DI$4:$DI$58,0),S$59)&lt;&gt;"",INDEX(BDHKI,MATCH($C19,DiemHKI!$DI$4:$DI$58,0),S$59),""))</f>
        <v>8.3000000000000007</v>
      </c>
      <c r="T19" s="792">
        <f t="shared" si="4"/>
        <v>3</v>
      </c>
      <c r="U19" s="776" t="str">
        <f t="shared" si="5"/>
        <v>Học giỏi, cầu tiến.</v>
      </c>
      <c r="V19" s="775"/>
      <c r="W19" s="792"/>
      <c r="X19" s="774"/>
      <c r="Y19" s="775">
        <f>IF($B19="","",IF(INDEX(BDHKI,MATCH($C19,DiemHKI!$DI$4:$DI$58,0),Y$59)&lt;&gt;"",INDEX(BDHKI,MATCH($C19,DiemHKI!$DI$4:$DI$58,0),Y$59),""))</f>
        <v>9.1999999999999993</v>
      </c>
      <c r="Z19" s="792">
        <f t="shared" si="6"/>
        <v>1</v>
      </c>
      <c r="AA19" s="776" t="str">
        <f t="shared" si="7"/>
        <v>Có khả năng tự học và tự chủ bản thân, tích cực trong học tập.</v>
      </c>
      <c r="AB19" s="775"/>
      <c r="AC19" s="792"/>
      <c r="AD19" s="774"/>
      <c r="AE19" s="775">
        <f>IF($B19="","",IF(INDEX(BDHKI,MATCH($C19,DiemHKI!$DI$4:$DI$58,0),AE$59)&lt;&gt;"",INDEX(BDHKI,MATCH($C19,DiemHKI!$DI$4:$DI$58,0),AE$59),""))</f>
        <v>9.6</v>
      </c>
      <c r="AF19" s="792">
        <f t="shared" si="8"/>
        <v>1</v>
      </c>
      <c r="AG19" s="776" t="str">
        <f t="shared" si="9"/>
        <v>Ngoan, chăm chỉ, tư duy tốt.</v>
      </c>
      <c r="AH19" s="775"/>
      <c r="AI19" s="792"/>
      <c r="AJ19" s="774"/>
      <c r="AK19" s="775">
        <f>IF($B19="","",IF(INDEX(BDHKI,MATCH($C19,DiemHKI!$DI$4:$DI$58,0),AK$59)&lt;&gt;"",INDEX(BDHKI,MATCH($C19,DiemHKI!$DI$4:$DI$58,0),AK$59),""))</f>
        <v>7.9</v>
      </c>
      <c r="AL19" s="792">
        <f t="shared" si="10"/>
        <v>4</v>
      </c>
      <c r="AM19" s="776" t="str">
        <f t="shared" si="11"/>
        <v>Có tinh thần học tập tốt, cần cố gắng rèn luyện thêm các kỹ năng.</v>
      </c>
      <c r="AN19" s="775"/>
      <c r="AO19" s="792"/>
      <c r="AP19" s="774"/>
      <c r="AQ19" s="775">
        <f>IF($B19="","",IF(INDEX(BDHKI,MATCH($C19,DiemHKI!$DI$4:$DI$58,0),AQ$59)&lt;&gt;"",INDEX(BDHKI,MATCH($C19,DiemHKI!$DI$4:$DI$58,0),AQ$59),""))</f>
        <v>9.6</v>
      </c>
      <c r="AR19" s="792">
        <f t="shared" si="12"/>
        <v>1</v>
      </c>
      <c r="AS19" s="776" t="str">
        <f t="shared" si="13"/>
        <v>Tiếp thu bài tốt, ghi nhớ nhanh các sự kiện lịch sử.</v>
      </c>
      <c r="AT19" s="775"/>
      <c r="AU19" s="792"/>
      <c r="AV19" s="774"/>
      <c r="AW19" s="775">
        <f>IF($B19="","",IF(INDEX(BDHKI,MATCH($C19,DiemHKI!$DI$4:$DI$58,0),AW$59)&lt;&gt;"",INDEX(BDHKI,MATCH($C19,DiemHKI!$DI$4:$DI$58,0),AW$59),""))</f>
        <v>9.9</v>
      </c>
      <c r="AX19" s="792">
        <f t="shared" si="14"/>
        <v>1</v>
      </c>
      <c r="AY19" s="776" t="str">
        <f t="shared" si="15"/>
        <v>Em có tư duy tốt, rất tích cực, giải quyết vấn đề tốt.</v>
      </c>
      <c r="AZ19" s="775"/>
      <c r="BA19" s="792"/>
      <c r="BB19" s="774"/>
      <c r="BC19" s="775">
        <f>IF($B19="","",IF(INDEX(BDHKI,MATCH($C19,DiemHKI!$DI$4:$DI$58,0),BC$59)&lt;&gt;"",INDEX(BDHKI,MATCH($C19,DiemHKI!$DI$4:$DI$58,0),BC$59),""))</f>
        <v>9.1999999999999993</v>
      </c>
      <c r="BD19" s="792">
        <f t="shared" si="16"/>
        <v>1</v>
      </c>
      <c r="BE19" s="776" t="str">
        <f t="shared" si="17"/>
        <v>Chăm chỉ, chuyên cần, rất tích cực và năng động.</v>
      </c>
      <c r="BF19" s="775"/>
      <c r="BG19" s="792"/>
      <c r="BH19" s="774"/>
      <c r="BI19" s="775">
        <f>IF($B19="","",IF(INDEX(BDHKI,MATCH($C19,DiemHKI!$DI$4:$DI$58,0),BI$59)&lt;&gt;"",INDEX(BDHKI,MATCH($C19,DiemHKI!$DI$4:$DI$58,0),BI$59),""))</f>
        <v>9.5</v>
      </c>
      <c r="BJ19" s="792">
        <f t="shared" si="18"/>
        <v>1</v>
      </c>
      <c r="BK19" s="776" t="str">
        <f t="shared" si="19"/>
        <v>Chăm chỉ, học giỏi.</v>
      </c>
      <c r="BL19" s="775"/>
      <c r="BM19" s="792"/>
      <c r="BN19" s="774"/>
      <c r="BO19" s="775">
        <f>IF($B19="","",IF(INDEX(BDHKI,MATCH($C19,DiemHKI!$DI$4:$DI$58,0),BO$59)&lt;&gt;"",INDEX(BDHKI,MATCH($C19,DiemHKI!$DI$4:$DI$58,0),BO$59),""))</f>
        <v>9.8000000000000007</v>
      </c>
      <c r="BP19" s="792">
        <f t="shared" si="20"/>
        <v>1</v>
      </c>
      <c r="BQ19" s="776" t="str">
        <f t="shared" si="21"/>
        <v>Năng động, sáng tạo trong học tập.</v>
      </c>
      <c r="BR19" s="775"/>
      <c r="BS19" s="792"/>
      <c r="BT19" s="774"/>
      <c r="BU19" s="775" t="str">
        <f>IF($B19="","",IF(INDEX(BDHKI,MATCH($C19,DiemHKI!$DI$4:$DI$58,0),BU$59)&lt;&gt;"",INDEX(BDHKI,MATCH($C19,DiemHKI!$DI$4:$DI$58,0),BU$59),""))</f>
        <v>Đ</v>
      </c>
      <c r="BV19" s="792">
        <f t="shared" si="22"/>
        <v>1</v>
      </c>
      <c r="BW19" s="776" t="str">
        <f t="shared" si="23"/>
        <v>Giỏi, có nhiều tiến bộ trong học tập.</v>
      </c>
      <c r="BX19" s="775"/>
      <c r="BY19" s="792"/>
      <c r="BZ19" s="774"/>
      <c r="CA19" s="775">
        <f>IF($B19="","",IF(INDEX(BDHKI,MATCH($C19,DiemHKI!$DI$4:$DI$58,0),CA$59)&lt;&gt;"",INDEX(BDHKI,MATCH($C19,DiemHKI!$DI$4:$DI$58,0),CA$59),""))</f>
        <v>9.9</v>
      </c>
      <c r="CB19" s="792">
        <f t="shared" si="24"/>
        <v>1</v>
      </c>
      <c r="CC19" s="776" t="str">
        <f t="shared" si="25"/>
        <v>Tích cực, năng động, nắm bài tốt, học giỏi.</v>
      </c>
      <c r="CD19" s="775"/>
      <c r="CE19" s="792"/>
      <c r="CF19" s="774"/>
      <c r="CG19" s="775" t="str">
        <f>IF($B19="","",IF(INDEX(BDHKI,MATCH($C19,DiemHKI!$DI$4:$DI$58,0),CG$59)&lt;&gt;"",INDEX(BDHKI,MATCH($C19,DiemHKI!$DI$4:$DI$58,0),CG$59),""))</f>
        <v/>
      </c>
      <c r="CH19" s="792" t="str">
        <f t="shared" si="26"/>
        <v/>
      </c>
      <c r="CI19" s="776" t="str">
        <f t="shared" si="27"/>
        <v/>
      </c>
      <c r="CJ19" s="775"/>
      <c r="CK19" s="792"/>
      <c r="CL19" s="774"/>
    </row>
    <row r="20" spans="1:90" ht="15" customHeight="1">
      <c r="A20" s="764"/>
      <c r="B20" s="771">
        <f>IF(B19&lt;MAX(DiemHKI!$B$4:$B$58),B19+1,"")</f>
        <v>18</v>
      </c>
      <c r="C20" s="771" t="str">
        <f t="shared" si="0"/>
        <v>12A1Nguyễn ĐăngKhoa07/11/2004</v>
      </c>
      <c r="D20" s="772" t="str">
        <f>IF($B20&lt;&gt;"",PROPER(INDEX(BDHKI,MATCH($B20,DiemHKI!$B$4:$B$58,0),3)),"")</f>
        <v>Nguyễn Đăng</v>
      </c>
      <c r="E20" s="773" t="str">
        <f>IF($B20&lt;&gt;"",PROPER(INDEX(BDHKI,MATCH($B20,DiemHKI!$B$4:$B$58,0),4)),"")</f>
        <v>Khoa</v>
      </c>
      <c r="F20" s="774" t="str">
        <f>IF($B20&lt;&gt;"",PROPER(INDEX(BDHKI,MATCH($B20,DiemHKI!$B$4:$B$58,0),5)),"")</f>
        <v>07/11/2004</v>
      </c>
      <c r="G20" s="775">
        <f>IF($B20="","",IF(INDEX(BDHKI,MATCH($C20,DiemHKI!$DI$4:$DI$58,0),G$59)&lt;&gt;"",INDEX(BDHKI,MATCH($C20,DiemHKI!$DI$4:$DI$58,0),G$59),""))</f>
        <v>9.9</v>
      </c>
      <c r="H20" s="792">
        <f t="shared" si="28"/>
        <v>1</v>
      </c>
      <c r="I20" s="776" t="str">
        <f t="shared" si="1"/>
        <v>Em ngoan, tích cực, năng động, rất đáng khen.</v>
      </c>
      <c r="J20" s="775"/>
      <c r="K20" s="792">
        <v>5</v>
      </c>
      <c r="L20" s="774"/>
      <c r="M20" s="775">
        <f>IF($B20="","",IF(INDEX(BDHKI,MATCH($C20,DiemHKI!$DI$4:$DI$58,0),M$59)&lt;&gt;"",INDEX(BDHKI,MATCH($C20,DiemHKI!$DI$4:$DI$58,0),M$59),""))</f>
        <v>10</v>
      </c>
      <c r="N20" s="792">
        <f t="shared" si="2"/>
        <v>1</v>
      </c>
      <c r="O20" s="776" t="str">
        <f t="shared" si="3"/>
        <v>Em ngoan, tích cực, năng động, rất đáng khen.</v>
      </c>
      <c r="P20" s="775"/>
      <c r="Q20" s="792"/>
      <c r="R20" s="774"/>
      <c r="S20" s="775">
        <f>IF($B20="","",IF(INDEX(BDHKI,MATCH($C20,DiemHKI!$DI$4:$DI$58,0),S$59)&lt;&gt;"",INDEX(BDHKI,MATCH($C20,DiemHKI!$DI$4:$DI$58,0),S$59),""))</f>
        <v>9.9</v>
      </c>
      <c r="T20" s="792">
        <f t="shared" si="4"/>
        <v>1</v>
      </c>
      <c r="U20" s="776" t="str">
        <f t="shared" si="5"/>
        <v>Kiến thức vững, sáng tạo, tự học tốt.</v>
      </c>
      <c r="V20" s="775"/>
      <c r="W20" s="792"/>
      <c r="X20" s="774"/>
      <c r="Y20" s="775">
        <f>IF($B20="","",IF(INDEX(BDHKI,MATCH($C20,DiemHKI!$DI$4:$DI$58,0),Y$59)&lt;&gt;"",INDEX(BDHKI,MATCH($C20,DiemHKI!$DI$4:$DI$58,0),Y$59),""))</f>
        <v>9.5</v>
      </c>
      <c r="Z20" s="792">
        <f t="shared" si="6"/>
        <v>1</v>
      </c>
      <c r="AA20" s="776" t="str">
        <f t="shared" si="7"/>
        <v>Ý thức học tập tốt, vận dụng tốt kiến thức học tập</v>
      </c>
      <c r="AB20" s="775"/>
      <c r="AC20" s="792"/>
      <c r="AD20" s="774"/>
      <c r="AE20" s="775">
        <f>IF($B20="","",IF(INDEX(BDHKI,MATCH($C20,DiemHKI!$DI$4:$DI$58,0),AE$59)&lt;&gt;"",INDEX(BDHKI,MATCH($C20,DiemHKI!$DI$4:$DI$58,0),AE$59),""))</f>
        <v>9.8000000000000007</v>
      </c>
      <c r="AF20" s="792">
        <f t="shared" si="8"/>
        <v>1</v>
      </c>
      <c r="AG20" s="776" t="str">
        <f t="shared" si="9"/>
        <v>Học giỏi, năng động và sáng tạo trong học tập.</v>
      </c>
      <c r="AH20" s="775"/>
      <c r="AI20" s="792"/>
      <c r="AJ20" s="774"/>
      <c r="AK20" s="775">
        <f>IF($B20="","",IF(INDEX(BDHKI,MATCH($C20,DiemHKI!$DI$4:$DI$58,0),AK$59)&lt;&gt;"",INDEX(BDHKI,MATCH($C20,DiemHKI!$DI$4:$DI$58,0),AK$59),""))</f>
        <v>8.1</v>
      </c>
      <c r="AL20" s="792">
        <f t="shared" si="10"/>
        <v>3</v>
      </c>
      <c r="AM20" s="776" t="str">
        <f t="shared" si="11"/>
        <v>Chủ động, có năng khiếu cảm nhận văn bản, viết văn.</v>
      </c>
      <c r="AN20" s="775"/>
      <c r="AO20" s="792"/>
      <c r="AP20" s="774"/>
      <c r="AQ20" s="775">
        <f>IF($B20="","",IF(INDEX(BDHKI,MATCH($C20,DiemHKI!$DI$4:$DI$58,0),AQ$59)&lt;&gt;"",INDEX(BDHKI,MATCH($C20,DiemHKI!$DI$4:$DI$58,0),AQ$59),""))</f>
        <v>9.8000000000000007</v>
      </c>
      <c r="AR20" s="792">
        <f t="shared" si="12"/>
        <v>1</v>
      </c>
      <c r="AS20" s="776" t="str">
        <f t="shared" si="13"/>
        <v>Chăm học, tích cực phát biểu xây dựng bài.</v>
      </c>
      <c r="AT20" s="775"/>
      <c r="AU20" s="792"/>
      <c r="AV20" s="774"/>
      <c r="AW20" s="775">
        <f>IF($B20="","",IF(INDEX(BDHKI,MATCH($C20,DiemHKI!$DI$4:$DI$58,0),AW$59)&lt;&gt;"",INDEX(BDHKI,MATCH($C20,DiemHKI!$DI$4:$DI$58,0),AW$59),""))</f>
        <v>9.9</v>
      </c>
      <c r="AX20" s="792">
        <f t="shared" si="14"/>
        <v>1</v>
      </c>
      <c r="AY20" s="776" t="str">
        <f t="shared" si="15"/>
        <v>Em có tư duy tốt, tích cực, vận dụng thực tế tốt.</v>
      </c>
      <c r="AZ20" s="775"/>
      <c r="BA20" s="792"/>
      <c r="BB20" s="774"/>
      <c r="BC20" s="775">
        <f>IF($B20="","",IF(INDEX(BDHKI,MATCH($C20,DiemHKI!$DI$4:$DI$58,0),BC$59)&lt;&gt;"",INDEX(BDHKI,MATCH($C20,DiemHKI!$DI$4:$DI$58,0),BC$59),""))</f>
        <v>9.3000000000000007</v>
      </c>
      <c r="BD20" s="792">
        <f t="shared" si="16"/>
        <v>1</v>
      </c>
      <c r="BE20" s="776" t="str">
        <f t="shared" si="17"/>
        <v>Tích cực phát biểu trong giờ học, tương tác tốt với giáo viên và bạn bè.</v>
      </c>
      <c r="BF20" s="775"/>
      <c r="BG20" s="792"/>
      <c r="BH20" s="774"/>
      <c r="BI20" s="775">
        <f>IF($B20="","",IF(INDEX(BDHKI,MATCH($C20,DiemHKI!$DI$4:$DI$58,0),BI$59)&lt;&gt;"",INDEX(BDHKI,MATCH($C20,DiemHKI!$DI$4:$DI$58,0),BI$59),""))</f>
        <v>9.3000000000000007</v>
      </c>
      <c r="BJ20" s="792">
        <f t="shared" si="18"/>
        <v>1</v>
      </c>
      <c r="BK20" s="776" t="str">
        <f t="shared" si="19"/>
        <v>Hứng thú, tích cực, học giỏi.</v>
      </c>
      <c r="BL20" s="775"/>
      <c r="BM20" s="792"/>
      <c r="BN20" s="774"/>
      <c r="BO20" s="775">
        <f>IF($B20="","",IF(INDEX(BDHKI,MATCH($C20,DiemHKI!$DI$4:$DI$58,0),BO$59)&lt;&gt;"",INDEX(BDHKI,MATCH($C20,DiemHKI!$DI$4:$DI$58,0),BO$59),""))</f>
        <v>9.8000000000000007</v>
      </c>
      <c r="BP20" s="792">
        <f t="shared" si="20"/>
        <v>1</v>
      </c>
      <c r="BQ20" s="776" t="str">
        <f t="shared" si="21"/>
        <v>Học giỏi, tiếp thu nhanh, chăm ngoan.</v>
      </c>
      <c r="BR20" s="775"/>
      <c r="BS20" s="792"/>
      <c r="BT20" s="774"/>
      <c r="BU20" s="775" t="str">
        <f>IF($B20="","",IF(INDEX(BDHKI,MATCH($C20,DiemHKI!$DI$4:$DI$58,0),BU$59)&lt;&gt;"",INDEX(BDHKI,MATCH($C20,DiemHKI!$DI$4:$DI$58,0),BU$59),""))</f>
        <v>Đ</v>
      </c>
      <c r="BV20" s="792">
        <f t="shared" si="22"/>
        <v>1</v>
      </c>
      <c r="BW20" s="776" t="str">
        <f t="shared" si="23"/>
        <v>Rất ngoan, học có hiệu quả tốt.</v>
      </c>
      <c r="BX20" s="775"/>
      <c r="BY20" s="792"/>
      <c r="BZ20" s="774"/>
      <c r="CA20" s="775">
        <f>IF($B20="","",IF(INDEX(BDHKI,MATCH($C20,DiemHKI!$DI$4:$DI$58,0),CA$59)&lt;&gt;"",INDEX(BDHKI,MATCH($C20,DiemHKI!$DI$4:$DI$58,0),CA$59),""))</f>
        <v>9.9</v>
      </c>
      <c r="CB20" s="792">
        <f t="shared" si="24"/>
        <v>1</v>
      </c>
      <c r="CC20" s="776" t="str">
        <f t="shared" si="25"/>
        <v>Ngoan, tích cực xây dựng bài, nắm chắc thực hành, học giỏi.</v>
      </c>
      <c r="CD20" s="775"/>
      <c r="CE20" s="792"/>
      <c r="CF20" s="774"/>
      <c r="CG20" s="775" t="str">
        <f>IF($B20="","",IF(INDEX(BDHKI,MATCH($C20,DiemHKI!$DI$4:$DI$58,0),CG$59)&lt;&gt;"",INDEX(BDHKI,MATCH($C20,DiemHKI!$DI$4:$DI$58,0),CG$59),""))</f>
        <v/>
      </c>
      <c r="CH20" s="792" t="str">
        <f t="shared" si="26"/>
        <v/>
      </c>
      <c r="CI20" s="776" t="str">
        <f t="shared" si="27"/>
        <v/>
      </c>
      <c r="CJ20" s="775"/>
      <c r="CK20" s="792"/>
      <c r="CL20" s="774"/>
    </row>
    <row r="21" spans="1:90" ht="15" customHeight="1">
      <c r="A21" s="764"/>
      <c r="B21" s="771">
        <f>IF(B20&lt;MAX(DiemHKI!$B$4:$B$58),B20+1,"")</f>
        <v>19</v>
      </c>
      <c r="C21" s="771" t="str">
        <f t="shared" si="0"/>
        <v>12A1Lê TiếnKhôi14/10/2004</v>
      </c>
      <c r="D21" s="772" t="str">
        <f>IF($B21&lt;&gt;"",PROPER(INDEX(BDHKI,MATCH($B21,DiemHKI!$B$4:$B$58,0),3)),"")</f>
        <v>Lê Tiến</v>
      </c>
      <c r="E21" s="773" t="str">
        <f>IF($B21&lt;&gt;"",PROPER(INDEX(BDHKI,MATCH($B21,DiemHKI!$B$4:$B$58,0),4)),"")</f>
        <v>Khôi</v>
      </c>
      <c r="F21" s="774" t="str">
        <f>IF($B21&lt;&gt;"",PROPER(INDEX(BDHKI,MATCH($B21,DiemHKI!$B$4:$B$58,0),5)),"")</f>
        <v>14/10/2004</v>
      </c>
      <c r="G21" s="775">
        <f>IF($B21="","",IF(INDEX(BDHKI,MATCH($C21,DiemHKI!$DI$4:$DI$58,0),G$59)&lt;&gt;"",INDEX(BDHKI,MATCH($C21,DiemHKI!$DI$4:$DI$58,0),G$59),""))</f>
        <v>10</v>
      </c>
      <c r="H21" s="792">
        <f t="shared" si="28"/>
        <v>1</v>
      </c>
      <c r="I21" s="776" t="str">
        <f t="shared" si="1"/>
        <v>Em chăm chỉ, chuyên cần, rất tích cực, rất đáng khen.</v>
      </c>
      <c r="J21" s="775"/>
      <c r="K21" s="792">
        <v>3</v>
      </c>
      <c r="L21" s="774"/>
      <c r="M21" s="775">
        <f>IF($B21="","",IF(INDEX(BDHKI,MATCH($C21,DiemHKI!$DI$4:$DI$58,0),M$59)&lt;&gt;"",INDEX(BDHKI,MATCH($C21,DiemHKI!$DI$4:$DI$58,0),M$59),""))</f>
        <v>10</v>
      </c>
      <c r="N21" s="792">
        <f t="shared" si="2"/>
        <v>1</v>
      </c>
      <c r="O21" s="776" t="str">
        <f t="shared" si="3"/>
        <v>Em chăm chỉ, chuyên cần, rất tích cực, rất đáng khen.</v>
      </c>
      <c r="P21" s="775"/>
      <c r="Q21" s="792"/>
      <c r="R21" s="774"/>
      <c r="S21" s="775">
        <f>IF($B21="","",IF(INDEX(BDHKI,MATCH($C21,DiemHKI!$DI$4:$DI$58,0),S$59)&lt;&gt;"",INDEX(BDHKI,MATCH($C21,DiemHKI!$DI$4:$DI$58,0),S$59),""))</f>
        <v>9.9</v>
      </c>
      <c r="T21" s="792">
        <f t="shared" si="4"/>
        <v>1</v>
      </c>
      <c r="U21" s="776" t="str">
        <f t="shared" si="5"/>
        <v>Học giỏi, thông minh, cần phát huy.</v>
      </c>
      <c r="V21" s="775"/>
      <c r="W21" s="792"/>
      <c r="X21" s="774"/>
      <c r="Y21" s="775">
        <f>IF($B21="","",IF(INDEX(BDHKI,MATCH($C21,DiemHKI!$DI$4:$DI$58,0),Y$59)&lt;&gt;"",INDEX(BDHKI,MATCH($C21,DiemHKI!$DI$4:$DI$58,0),Y$59),""))</f>
        <v>9.4</v>
      </c>
      <c r="Z21" s="792">
        <f t="shared" si="6"/>
        <v>1</v>
      </c>
      <c r="AA21" s="776" t="str">
        <f t="shared" si="7"/>
        <v>Sáng tạo, hoạt động nhóm rất tốt, biết chia sẻ kết quả học tập với bạn.</v>
      </c>
      <c r="AB21" s="775"/>
      <c r="AC21" s="792"/>
      <c r="AD21" s="774"/>
      <c r="AE21" s="775">
        <f>IF($B21="","",IF(INDEX(BDHKI,MATCH($C21,DiemHKI!$DI$4:$DI$58,0),AE$59)&lt;&gt;"",INDEX(BDHKI,MATCH($C21,DiemHKI!$DI$4:$DI$58,0),AE$59),""))</f>
        <v>9.8000000000000007</v>
      </c>
      <c r="AF21" s="792">
        <f t="shared" si="8"/>
        <v>1</v>
      </c>
      <c r="AG21" s="776" t="str">
        <f t="shared" si="9"/>
        <v>Rất ngoan, cố gắng có hiệu quả.</v>
      </c>
      <c r="AH21" s="775"/>
      <c r="AI21" s="792"/>
      <c r="AJ21" s="774"/>
      <c r="AK21" s="775">
        <f>IF($B21="","",IF(INDEX(BDHKI,MATCH($C21,DiemHKI!$DI$4:$DI$58,0),AK$59)&lt;&gt;"",INDEX(BDHKI,MATCH($C21,DiemHKI!$DI$4:$DI$58,0),AK$59),""))</f>
        <v>7.5</v>
      </c>
      <c r="AL21" s="792">
        <f t="shared" si="10"/>
        <v>4</v>
      </c>
      <c r="AM21" s="776" t="str">
        <f t="shared" si="11"/>
        <v>Có năng khiếu, tự giác, cảm nhận được văn bản.</v>
      </c>
      <c r="AN21" s="775"/>
      <c r="AO21" s="792"/>
      <c r="AP21" s="774"/>
      <c r="AQ21" s="775">
        <f>IF($B21="","",IF(INDEX(BDHKI,MATCH($C21,DiemHKI!$DI$4:$DI$58,0),AQ$59)&lt;&gt;"",INDEX(BDHKI,MATCH($C21,DiemHKI!$DI$4:$DI$58,0),AQ$59),""))</f>
        <v>9.4</v>
      </c>
      <c r="AR21" s="792">
        <f t="shared" si="12"/>
        <v>1</v>
      </c>
      <c r="AS21" s="776" t="str">
        <f t="shared" si="13"/>
        <v>Chăm ngoan, tích cực, chủ động tiếp thu bài học.</v>
      </c>
      <c r="AT21" s="775"/>
      <c r="AU21" s="792"/>
      <c r="AV21" s="774"/>
      <c r="AW21" s="775">
        <f>IF($B21="","",IF(INDEX(BDHKI,MATCH($C21,DiemHKI!$DI$4:$DI$58,0),AW$59)&lt;&gt;"",INDEX(BDHKI,MATCH($C21,DiemHKI!$DI$4:$DI$58,0),AW$59),""))</f>
        <v>9.6</v>
      </c>
      <c r="AX21" s="792">
        <f t="shared" si="14"/>
        <v>1</v>
      </c>
      <c r="AY21" s="776" t="str">
        <f t="shared" si="15"/>
        <v>Em rất ngoan, cố gắng có hiệu quả.</v>
      </c>
      <c r="AZ21" s="775"/>
      <c r="BA21" s="792"/>
      <c r="BB21" s="774"/>
      <c r="BC21" s="775">
        <f>IF($B21="","",IF(INDEX(BDHKI,MATCH($C21,DiemHKI!$DI$4:$DI$58,0),BC$59)&lt;&gt;"",INDEX(BDHKI,MATCH($C21,DiemHKI!$DI$4:$DI$58,0),BC$59),""))</f>
        <v>9.4</v>
      </c>
      <c r="BD21" s="792">
        <f t="shared" si="16"/>
        <v>1</v>
      </c>
      <c r="BE21" s="776" t="str">
        <f t="shared" si="17"/>
        <v>Có năng khiếu, tự tin, giao tiếp tốt và có khả năng làm việc nhóm.</v>
      </c>
      <c r="BF21" s="775"/>
      <c r="BG21" s="792"/>
      <c r="BH21" s="774"/>
      <c r="BI21" s="775">
        <f>IF($B21="","",IF(INDEX(BDHKI,MATCH($C21,DiemHKI!$DI$4:$DI$58,0),BI$59)&lt;&gt;"",INDEX(BDHKI,MATCH($C21,DiemHKI!$DI$4:$DI$58,0),BI$59),""))</f>
        <v>9.6</v>
      </c>
      <c r="BJ21" s="792">
        <f t="shared" si="18"/>
        <v>1</v>
      </c>
      <c r="BK21" s="776" t="str">
        <f t="shared" si="19"/>
        <v>Hứng thú, có trách nhiệm học tập tốt.</v>
      </c>
      <c r="BL21" s="775"/>
      <c r="BM21" s="792"/>
      <c r="BN21" s="774"/>
      <c r="BO21" s="775">
        <f>IF($B21="","",IF(INDEX(BDHKI,MATCH($C21,DiemHKI!$DI$4:$DI$58,0),BO$59)&lt;&gt;"",INDEX(BDHKI,MATCH($C21,DiemHKI!$DI$4:$DI$58,0),BO$59),""))</f>
        <v>9.8000000000000007</v>
      </c>
      <c r="BP21" s="792">
        <f t="shared" si="20"/>
        <v>1</v>
      </c>
      <c r="BQ21" s="776" t="str">
        <f t="shared" si="21"/>
        <v>Học giỏi, năng động, chăm ngoan.</v>
      </c>
      <c r="BR21" s="775"/>
      <c r="BS21" s="792"/>
      <c r="BT21" s="774"/>
      <c r="BU21" s="775" t="str">
        <f>IF($B21="","",IF(INDEX(BDHKI,MATCH($C21,DiemHKI!$DI$4:$DI$58,0),BU$59)&lt;&gt;"",INDEX(BDHKI,MATCH($C21,DiemHKI!$DI$4:$DI$58,0),BU$59),""))</f>
        <v>Đ</v>
      </c>
      <c r="BV21" s="792">
        <f t="shared" si="22"/>
        <v>1</v>
      </c>
      <c r="BW21" s="776" t="str">
        <f t="shared" si="23"/>
        <v>Chăm chỉ, cố gắng, rất ngoan.</v>
      </c>
      <c r="BX21" s="775"/>
      <c r="BY21" s="792"/>
      <c r="BZ21" s="774"/>
      <c r="CA21" s="775">
        <f>IF($B21="","",IF(INDEX(BDHKI,MATCH($C21,DiemHKI!$DI$4:$DI$58,0),CA$59)&lt;&gt;"",INDEX(BDHKI,MATCH($C21,DiemHKI!$DI$4:$DI$58,0),CA$59),""))</f>
        <v>9.9</v>
      </c>
      <c r="CB21" s="792">
        <f t="shared" si="24"/>
        <v>1</v>
      </c>
      <c r="CC21" s="776" t="str">
        <f t="shared" si="25"/>
        <v>Siêng năng, lễ phép, thành thạo thực hành, học giỏi.</v>
      </c>
      <c r="CD21" s="775"/>
      <c r="CE21" s="792"/>
      <c r="CF21" s="774"/>
      <c r="CG21" s="775" t="str">
        <f>IF($B21="","",IF(INDEX(BDHKI,MATCH($C21,DiemHKI!$DI$4:$DI$58,0),CG$59)&lt;&gt;"",INDEX(BDHKI,MATCH($C21,DiemHKI!$DI$4:$DI$58,0),CG$59),""))</f>
        <v/>
      </c>
      <c r="CH21" s="792" t="str">
        <f t="shared" si="26"/>
        <v/>
      </c>
      <c r="CI21" s="776" t="str">
        <f t="shared" si="27"/>
        <v/>
      </c>
      <c r="CJ21" s="775"/>
      <c r="CK21" s="792"/>
      <c r="CL21" s="774"/>
    </row>
    <row r="22" spans="1:90" ht="15" customHeight="1">
      <c r="A22" s="764"/>
      <c r="B22" s="777">
        <f>IF(B21&lt;MAX(DiemHKI!$B$4:$B$58),B21+1,"")</f>
        <v>20</v>
      </c>
      <c r="C22" s="777" t="str">
        <f t="shared" si="0"/>
        <v>12A1Nguyễn PhúcLâm02/04/2004</v>
      </c>
      <c r="D22" s="778" t="str">
        <f>IF($B22&lt;&gt;"",PROPER(INDEX(BDHKI,MATCH($B22,DiemHKI!$B$4:$B$58,0),3)),"")</f>
        <v>Nguyễn Phúc</v>
      </c>
      <c r="E22" s="779" t="str">
        <f>IF($B22&lt;&gt;"",PROPER(INDEX(BDHKI,MATCH($B22,DiemHKI!$B$4:$B$58,0),4)),"")</f>
        <v>Lâm</v>
      </c>
      <c r="F22" s="780" t="str">
        <f>IF($B22&lt;&gt;"",PROPER(INDEX(BDHKI,MATCH($B22,DiemHKI!$B$4:$B$58,0),5)),"")</f>
        <v>02/04/2004</v>
      </c>
      <c r="G22" s="781">
        <f>IF($B22="","",IF(INDEX(BDHKI,MATCH($C22,DiemHKI!$DI$4:$DI$58,0),G$59)&lt;&gt;"",INDEX(BDHKI,MATCH($C22,DiemHKI!$DI$4:$DI$58,0),G$59),""))</f>
        <v>9.3000000000000007</v>
      </c>
      <c r="H22" s="793">
        <f t="shared" si="28"/>
        <v>1</v>
      </c>
      <c r="I22" s="782" t="str">
        <f t="shared" si="1"/>
        <v>Em học giỏi, chăm ngoan, tính tự giác cao, rất tốt.</v>
      </c>
      <c r="J22" s="781"/>
      <c r="K22" s="793">
        <v>4</v>
      </c>
      <c r="L22" s="780"/>
      <c r="M22" s="781">
        <f>IF($B22="","",IF(INDEX(BDHKI,MATCH($C22,DiemHKI!$DI$4:$DI$58,0),M$59)&lt;&gt;"",INDEX(BDHKI,MATCH($C22,DiemHKI!$DI$4:$DI$58,0),M$59),""))</f>
        <v>8.9</v>
      </c>
      <c r="N22" s="793">
        <f t="shared" si="2"/>
        <v>2</v>
      </c>
      <c r="O22" s="782" t="str">
        <f t="shared" si="3"/>
        <v>Em học tập tích cực, ngoan, luôn cố gắng, đáng khen.</v>
      </c>
      <c r="P22" s="781"/>
      <c r="Q22" s="793"/>
      <c r="R22" s="780"/>
      <c r="S22" s="781">
        <f>IF($B22="","",IF(INDEX(BDHKI,MATCH($C22,DiemHKI!$DI$4:$DI$58,0),S$59)&lt;&gt;"",INDEX(BDHKI,MATCH($C22,DiemHKI!$DI$4:$DI$58,0),S$59),""))</f>
        <v>9.3000000000000007</v>
      </c>
      <c r="T22" s="793">
        <f t="shared" si="4"/>
        <v>1</v>
      </c>
      <c r="U22" s="782" t="str">
        <f t="shared" si="5"/>
        <v>Kiến thức vững, tự học tốt, ngoan.</v>
      </c>
      <c r="V22" s="781"/>
      <c r="W22" s="793"/>
      <c r="X22" s="780"/>
      <c r="Y22" s="781">
        <f>IF($B22="","",IF(INDEX(BDHKI,MATCH($C22,DiemHKI!$DI$4:$DI$58,0),Y$59)&lt;&gt;"",INDEX(BDHKI,MATCH($C22,DiemHKI!$DI$4:$DI$58,0),Y$59),""))</f>
        <v>8.6</v>
      </c>
      <c r="Z22" s="793">
        <f t="shared" si="6"/>
        <v>2</v>
      </c>
      <c r="AA22" s="782" t="str">
        <f t="shared" si="7"/>
        <v>Ngoan, khă năng tiếp nhận kiến thức tốt, vận dụng tốt.</v>
      </c>
      <c r="AB22" s="781"/>
      <c r="AC22" s="793"/>
      <c r="AD22" s="780"/>
      <c r="AE22" s="781">
        <f>IF($B22="","",IF(INDEX(BDHKI,MATCH($C22,DiemHKI!$DI$4:$DI$58,0),AE$59)&lt;&gt;"",INDEX(BDHKI,MATCH($C22,DiemHKI!$DI$4:$DI$58,0),AE$59),""))</f>
        <v>9.8000000000000007</v>
      </c>
      <c r="AF22" s="793">
        <f t="shared" si="8"/>
        <v>1</v>
      </c>
      <c r="AG22" s="782" t="str">
        <f t="shared" si="9"/>
        <v>Ngoan, chăm chỉ, tư duy tốt.</v>
      </c>
      <c r="AH22" s="781"/>
      <c r="AI22" s="793"/>
      <c r="AJ22" s="780"/>
      <c r="AK22" s="781">
        <f>IF($B22="","",IF(INDEX(BDHKI,MATCH($C22,DiemHKI!$DI$4:$DI$58,0),AK$59)&lt;&gt;"",INDEX(BDHKI,MATCH($C22,DiemHKI!$DI$4:$DI$58,0),AK$59),""))</f>
        <v>7.4</v>
      </c>
      <c r="AL22" s="793">
        <f t="shared" si="10"/>
        <v>5</v>
      </c>
      <c r="AM22" s="782" t="str">
        <f t="shared" si="11"/>
        <v>Có ý thức học tập tốt, cần nỗ lực rèn luyện thêm các kỹ năng.</v>
      </c>
      <c r="AN22" s="781"/>
      <c r="AO22" s="793"/>
      <c r="AP22" s="780"/>
      <c r="AQ22" s="781">
        <f>IF($B22="","",IF(INDEX(BDHKI,MATCH($C22,DiemHKI!$DI$4:$DI$58,0),AQ$59)&lt;&gt;"",INDEX(BDHKI,MATCH($C22,DiemHKI!$DI$4:$DI$58,0),AQ$59),""))</f>
        <v>9.6</v>
      </c>
      <c r="AR22" s="793">
        <f t="shared" si="12"/>
        <v>1</v>
      </c>
      <c r="AS22" s="782" t="str">
        <f t="shared" si="13"/>
        <v>Tiếp thu bài tốt, ghi nhớ nhanh các sự kiện lịch sử.</v>
      </c>
      <c r="AT22" s="781"/>
      <c r="AU22" s="793"/>
      <c r="AV22" s="780"/>
      <c r="AW22" s="781">
        <f>IF($B22="","",IF(INDEX(BDHKI,MATCH($C22,DiemHKI!$DI$4:$DI$58,0),AW$59)&lt;&gt;"",INDEX(BDHKI,MATCH($C22,DiemHKI!$DI$4:$DI$58,0),AW$59),""))</f>
        <v>9.1</v>
      </c>
      <c r="AX22" s="793">
        <f t="shared" si="14"/>
        <v>1</v>
      </c>
      <c r="AY22" s="782" t="str">
        <f t="shared" si="15"/>
        <v>Em có tư duy tốt, rất tích cực, giải quyết vấn đề tốt.</v>
      </c>
      <c r="AZ22" s="781"/>
      <c r="BA22" s="793"/>
      <c r="BB22" s="780"/>
      <c r="BC22" s="781">
        <f>IF($B22="","",IF(INDEX(BDHKI,MATCH($C22,DiemHKI!$DI$4:$DI$58,0),BC$59)&lt;&gt;"",INDEX(BDHKI,MATCH($C22,DiemHKI!$DI$4:$DI$58,0),BC$59),""))</f>
        <v>7.4</v>
      </c>
      <c r="BD22" s="793">
        <f t="shared" si="16"/>
        <v>5</v>
      </c>
      <c r="BE22" s="782" t="str">
        <f t="shared" si="17"/>
        <v>Nắm được nội dung bài học và vận dụng làm bài tập tốt.</v>
      </c>
      <c r="BF22" s="781"/>
      <c r="BG22" s="793"/>
      <c r="BH22" s="780"/>
      <c r="BI22" s="781">
        <f>IF($B22="","",IF(INDEX(BDHKI,MATCH($C22,DiemHKI!$DI$4:$DI$58,0),BI$59)&lt;&gt;"",INDEX(BDHKI,MATCH($C22,DiemHKI!$DI$4:$DI$58,0),BI$59),""))</f>
        <v>9.1</v>
      </c>
      <c r="BJ22" s="793">
        <f t="shared" si="18"/>
        <v>1</v>
      </c>
      <c r="BK22" s="782" t="str">
        <f t="shared" si="19"/>
        <v>Chăm chỉ, học giỏi.</v>
      </c>
      <c r="BL22" s="781"/>
      <c r="BM22" s="793"/>
      <c r="BN22" s="780"/>
      <c r="BO22" s="781">
        <f>IF($B22="","",IF(INDEX(BDHKI,MATCH($C22,DiemHKI!$DI$4:$DI$58,0),BO$59)&lt;&gt;"",INDEX(BDHKI,MATCH($C22,DiemHKI!$DI$4:$DI$58,0),BO$59),""))</f>
        <v>9.9</v>
      </c>
      <c r="BP22" s="793">
        <f t="shared" si="20"/>
        <v>1</v>
      </c>
      <c r="BQ22" s="782" t="str">
        <f t="shared" si="21"/>
        <v>Năng động, sáng tạo trong học tập.</v>
      </c>
      <c r="BR22" s="781"/>
      <c r="BS22" s="793"/>
      <c r="BT22" s="780"/>
      <c r="BU22" s="781" t="str">
        <f>IF($B22="","",IF(INDEX(BDHKI,MATCH($C22,DiemHKI!$DI$4:$DI$58,0),BU$59)&lt;&gt;"",INDEX(BDHKI,MATCH($C22,DiemHKI!$DI$4:$DI$58,0),BU$59),""))</f>
        <v>Đ</v>
      </c>
      <c r="BV22" s="793">
        <f t="shared" si="22"/>
        <v>1</v>
      </c>
      <c r="BW22" s="782" t="str">
        <f t="shared" si="23"/>
        <v>Giỏi, có nhiều tiến bộ trong học tập.</v>
      </c>
      <c r="BX22" s="781"/>
      <c r="BY22" s="793"/>
      <c r="BZ22" s="780"/>
      <c r="CA22" s="781">
        <f>IF($B22="","",IF(INDEX(BDHKI,MATCH($C22,DiemHKI!$DI$4:$DI$58,0),CA$59)&lt;&gt;"",INDEX(BDHKI,MATCH($C22,DiemHKI!$DI$4:$DI$58,0),CA$59),""))</f>
        <v>9.9</v>
      </c>
      <c r="CB22" s="793">
        <f t="shared" si="24"/>
        <v>1</v>
      </c>
      <c r="CC22" s="782" t="str">
        <f t="shared" si="25"/>
        <v>Tích cực, năng động, nắm bài tốt, học giỏi.</v>
      </c>
      <c r="CD22" s="781"/>
      <c r="CE22" s="793"/>
      <c r="CF22" s="780"/>
      <c r="CG22" s="781" t="str">
        <f>IF($B22="","",IF(INDEX(BDHKI,MATCH($C22,DiemHKI!$DI$4:$DI$58,0),CG$59)&lt;&gt;"",INDEX(BDHKI,MATCH($C22,DiemHKI!$DI$4:$DI$58,0),CG$59),""))</f>
        <v/>
      </c>
      <c r="CH22" s="793" t="str">
        <f t="shared" si="26"/>
        <v/>
      </c>
      <c r="CI22" s="782" t="str">
        <f t="shared" si="27"/>
        <v/>
      </c>
      <c r="CJ22" s="781"/>
      <c r="CK22" s="793"/>
      <c r="CL22" s="780"/>
    </row>
    <row r="23" spans="1:90" ht="15" customHeight="1">
      <c r="A23" s="764"/>
      <c r="B23" s="765">
        <f>IF(B22&lt;MAX(DiemHKI!$B$4:$B$58),B22+1,"")</f>
        <v>21</v>
      </c>
      <c r="C23" s="765" t="str">
        <f t="shared" si="0"/>
        <v>12A1Phạm TấnLộc05/07/2004</v>
      </c>
      <c r="D23" s="766" t="str">
        <f>IF($B23&lt;&gt;"",PROPER(INDEX(BDHKI,MATCH($B23,DiemHKI!$B$4:$B$58,0),3)),"")</f>
        <v>Phạm Tấn</v>
      </c>
      <c r="E23" s="767" t="str">
        <f>IF($B23&lt;&gt;"",PROPER(INDEX(BDHKI,MATCH($B23,DiemHKI!$B$4:$B$58,0),4)),"")</f>
        <v>Lộc</v>
      </c>
      <c r="F23" s="768" t="str">
        <f>IF($B23&lt;&gt;"",PROPER(INDEX(BDHKI,MATCH($B23,DiemHKI!$B$4:$B$58,0),5)),"")</f>
        <v>05/07/2004</v>
      </c>
      <c r="G23" s="769">
        <f>IF($B23="","",IF(INDEX(BDHKI,MATCH($C23,DiemHKI!$DI$4:$DI$58,0),G$59)&lt;&gt;"",INDEX(BDHKI,MATCH($C23,DiemHKI!$DI$4:$DI$58,0),G$59),""))</f>
        <v>9.5</v>
      </c>
      <c r="H23" s="791">
        <f t="shared" si="28"/>
        <v>1</v>
      </c>
      <c r="I23" s="770" t="str">
        <f t="shared" si="1"/>
        <v>Em ngoan, tích cực, năng động, rất đáng khen.</v>
      </c>
      <c r="J23" s="769"/>
      <c r="K23" s="791">
        <v>5</v>
      </c>
      <c r="L23" s="768"/>
      <c r="M23" s="769">
        <f>IF($B23="","",IF(INDEX(BDHKI,MATCH($C23,DiemHKI!$DI$4:$DI$58,0),M$59)&lt;&gt;"",INDEX(BDHKI,MATCH($C23,DiemHKI!$DI$4:$DI$58,0),M$59),""))</f>
        <v>9.4</v>
      </c>
      <c r="N23" s="791">
        <f t="shared" si="2"/>
        <v>1</v>
      </c>
      <c r="O23" s="770" t="str">
        <f t="shared" si="3"/>
        <v>Em ngoan, tích cực, năng động, rất đáng khen.</v>
      </c>
      <c r="P23" s="769"/>
      <c r="Q23" s="791"/>
      <c r="R23" s="768"/>
      <c r="S23" s="769">
        <f>IF($B23="","",IF(INDEX(BDHKI,MATCH($C23,DiemHKI!$DI$4:$DI$58,0),S$59)&lt;&gt;"",INDEX(BDHKI,MATCH($C23,DiemHKI!$DI$4:$DI$58,0),S$59),""))</f>
        <v>9.1</v>
      </c>
      <c r="T23" s="791">
        <f t="shared" si="4"/>
        <v>1</v>
      </c>
      <c r="U23" s="770" t="str">
        <f t="shared" si="5"/>
        <v>Kiến thức vững, sáng tạo, tự học tốt.</v>
      </c>
      <c r="V23" s="769"/>
      <c r="W23" s="791"/>
      <c r="X23" s="768"/>
      <c r="Y23" s="769">
        <f>IF($B23="","",IF(INDEX(BDHKI,MATCH($C23,DiemHKI!$DI$4:$DI$58,0),Y$59)&lt;&gt;"",INDEX(BDHKI,MATCH($C23,DiemHKI!$DI$4:$DI$58,0),Y$59),""))</f>
        <v>8.8000000000000007</v>
      </c>
      <c r="Z23" s="791">
        <f t="shared" si="6"/>
        <v>2</v>
      </c>
      <c r="AA23" s="770" t="str">
        <f t="shared" si="7"/>
        <v>Ngoan, khả năng tư duy tốt, có trách nhiệm, trình bày tốt.</v>
      </c>
      <c r="AB23" s="769"/>
      <c r="AC23" s="791"/>
      <c r="AD23" s="768"/>
      <c r="AE23" s="769">
        <f>IF($B23="","",IF(INDEX(BDHKI,MATCH($C23,DiemHKI!$DI$4:$DI$58,0),AE$59)&lt;&gt;"",INDEX(BDHKI,MATCH($C23,DiemHKI!$DI$4:$DI$58,0),AE$59),""))</f>
        <v>9.8000000000000007</v>
      </c>
      <c r="AF23" s="791">
        <f t="shared" si="8"/>
        <v>1</v>
      </c>
      <c r="AG23" s="770" t="str">
        <f t="shared" si="9"/>
        <v>Học giỏi, năng động và sáng tạo trong học tập.</v>
      </c>
      <c r="AH23" s="769"/>
      <c r="AI23" s="791"/>
      <c r="AJ23" s="768"/>
      <c r="AK23" s="769">
        <f>IF($B23="","",IF(INDEX(BDHKI,MATCH($C23,DiemHKI!$DI$4:$DI$58,0),AK$59)&lt;&gt;"",INDEX(BDHKI,MATCH($C23,DiemHKI!$DI$4:$DI$58,0),AK$59),""))</f>
        <v>7.3</v>
      </c>
      <c r="AL23" s="791">
        <f t="shared" si="10"/>
        <v>5</v>
      </c>
      <c r="AM23" s="770" t="str">
        <f t="shared" si="11"/>
        <v>Cần tích cực rèn thêm kỹ năng đọc, viết.</v>
      </c>
      <c r="AN23" s="769"/>
      <c r="AO23" s="791"/>
      <c r="AP23" s="768"/>
      <c r="AQ23" s="769">
        <f>IF($B23="","",IF(INDEX(BDHKI,MATCH($C23,DiemHKI!$DI$4:$DI$58,0),AQ$59)&lt;&gt;"",INDEX(BDHKI,MATCH($C23,DiemHKI!$DI$4:$DI$58,0),AQ$59),""))</f>
        <v>9.8000000000000007</v>
      </c>
      <c r="AR23" s="791">
        <f t="shared" si="12"/>
        <v>1</v>
      </c>
      <c r="AS23" s="770" t="str">
        <f t="shared" si="13"/>
        <v>Chăm học, tích cực phát biểu xây dựng bài.</v>
      </c>
      <c r="AT23" s="769"/>
      <c r="AU23" s="791"/>
      <c r="AV23" s="768"/>
      <c r="AW23" s="769">
        <f>IF($B23="","",IF(INDEX(BDHKI,MATCH($C23,DiemHKI!$DI$4:$DI$58,0),AW$59)&lt;&gt;"",INDEX(BDHKI,MATCH($C23,DiemHKI!$DI$4:$DI$58,0),AW$59),""))</f>
        <v>9.9</v>
      </c>
      <c r="AX23" s="791">
        <f t="shared" si="14"/>
        <v>1</v>
      </c>
      <c r="AY23" s="770" t="str">
        <f t="shared" si="15"/>
        <v>Em có tư duy tốt, tích cực, vận dụng thực tế tốt.</v>
      </c>
      <c r="AZ23" s="769"/>
      <c r="BA23" s="791"/>
      <c r="BB23" s="768"/>
      <c r="BC23" s="769">
        <f>IF($B23="","",IF(INDEX(BDHKI,MATCH($C23,DiemHKI!$DI$4:$DI$58,0),BC$59)&lt;&gt;"",INDEX(BDHKI,MATCH($C23,DiemHKI!$DI$4:$DI$58,0),BC$59),""))</f>
        <v>8.8000000000000007</v>
      </c>
      <c r="BD23" s="791">
        <f t="shared" si="16"/>
        <v>2</v>
      </c>
      <c r="BE23" s="770" t="str">
        <f t="shared" si="17"/>
        <v>Chăm chỉ, tích cực phát biểu và phát âm tốt.</v>
      </c>
      <c r="BF23" s="769"/>
      <c r="BG23" s="791"/>
      <c r="BH23" s="768"/>
      <c r="BI23" s="769">
        <f>IF($B23="","",IF(INDEX(BDHKI,MATCH($C23,DiemHKI!$DI$4:$DI$58,0),BI$59)&lt;&gt;"",INDEX(BDHKI,MATCH($C23,DiemHKI!$DI$4:$DI$58,0),BI$59),""))</f>
        <v>8.8000000000000007</v>
      </c>
      <c r="BJ23" s="791">
        <f t="shared" si="18"/>
        <v>2</v>
      </c>
      <c r="BK23" s="770" t="str">
        <f t="shared" si="19"/>
        <v>Chủ động, nhân ái, học giỏi.</v>
      </c>
      <c r="BL23" s="769"/>
      <c r="BM23" s="791"/>
      <c r="BN23" s="768"/>
      <c r="BO23" s="769">
        <f>IF($B23="","",IF(INDEX(BDHKI,MATCH($C23,DiemHKI!$DI$4:$DI$58,0),BO$59)&lt;&gt;"",INDEX(BDHKI,MATCH($C23,DiemHKI!$DI$4:$DI$58,0),BO$59),""))</f>
        <v>9.8000000000000007</v>
      </c>
      <c r="BP23" s="791">
        <f t="shared" si="20"/>
        <v>1</v>
      </c>
      <c r="BQ23" s="770" t="str">
        <f t="shared" si="21"/>
        <v>Học giỏi, tiếp thu nhanh, chăm ngoan.</v>
      </c>
      <c r="BR23" s="769"/>
      <c r="BS23" s="791"/>
      <c r="BT23" s="768"/>
      <c r="BU23" s="769" t="str">
        <f>IF($B23="","",IF(INDEX(BDHKI,MATCH($C23,DiemHKI!$DI$4:$DI$58,0),BU$59)&lt;&gt;"",INDEX(BDHKI,MATCH($C23,DiemHKI!$DI$4:$DI$58,0),BU$59),""))</f>
        <v>Đ</v>
      </c>
      <c r="BV23" s="791">
        <f t="shared" si="22"/>
        <v>1</v>
      </c>
      <c r="BW23" s="770" t="str">
        <f t="shared" si="23"/>
        <v>Rất ngoan, học có hiệu quả tốt.</v>
      </c>
      <c r="BX23" s="769"/>
      <c r="BY23" s="791"/>
      <c r="BZ23" s="768"/>
      <c r="CA23" s="769">
        <f>IF($B23="","",IF(INDEX(BDHKI,MATCH($C23,DiemHKI!$DI$4:$DI$58,0),CA$59)&lt;&gt;"",INDEX(BDHKI,MATCH($C23,DiemHKI!$DI$4:$DI$58,0),CA$59),""))</f>
        <v>9.9</v>
      </c>
      <c r="CB23" s="791">
        <f t="shared" si="24"/>
        <v>1</v>
      </c>
      <c r="CC23" s="770" t="str">
        <f t="shared" si="25"/>
        <v>Ngoan, tích cực xây dựng bài, nắm chắc thực hành, học giỏi.</v>
      </c>
      <c r="CD23" s="769"/>
      <c r="CE23" s="791"/>
      <c r="CF23" s="768"/>
      <c r="CG23" s="769" t="str">
        <f>IF($B23="","",IF(INDEX(BDHKI,MATCH($C23,DiemHKI!$DI$4:$DI$58,0),CG$59)&lt;&gt;"",INDEX(BDHKI,MATCH($C23,DiemHKI!$DI$4:$DI$58,0),CG$59),""))</f>
        <v/>
      </c>
      <c r="CH23" s="791" t="str">
        <f t="shared" si="26"/>
        <v/>
      </c>
      <c r="CI23" s="770" t="str">
        <f t="shared" si="27"/>
        <v/>
      </c>
      <c r="CJ23" s="769"/>
      <c r="CK23" s="791"/>
      <c r="CL23" s="768"/>
    </row>
    <row r="24" spans="1:90" ht="15" customHeight="1">
      <c r="A24" s="764"/>
      <c r="B24" s="771">
        <f>IF(B23&lt;MAX(DiemHKI!$B$4:$B$58),B23+1,"")</f>
        <v>22</v>
      </c>
      <c r="C24" s="771" t="str">
        <f t="shared" si="0"/>
        <v>12A1Phạm Thị KhảMy28/02/2004</v>
      </c>
      <c r="D24" s="772" t="str">
        <f>IF($B24&lt;&gt;"",PROPER(INDEX(BDHKI,MATCH($B24,DiemHKI!$B$4:$B$58,0),3)),"")</f>
        <v xml:space="preserve">Phạm Thị Khả </v>
      </c>
      <c r="E24" s="773" t="str">
        <f>IF($B24&lt;&gt;"",PROPER(INDEX(BDHKI,MATCH($B24,DiemHKI!$B$4:$B$58,0),4)),"")</f>
        <v>My</v>
      </c>
      <c r="F24" s="774" t="str">
        <f>IF($B24&lt;&gt;"",PROPER(INDEX(BDHKI,MATCH($B24,DiemHKI!$B$4:$B$58,0),5)),"")</f>
        <v>28/02/2004</v>
      </c>
      <c r="G24" s="775">
        <f>IF($B24="","",IF(INDEX(BDHKI,MATCH($C24,DiemHKI!$DI$4:$DI$58,0),G$59)&lt;&gt;"",INDEX(BDHKI,MATCH($C24,DiemHKI!$DI$4:$DI$58,0),G$59),""))</f>
        <v>9.5</v>
      </c>
      <c r="H24" s="792">
        <f t="shared" si="28"/>
        <v>1</v>
      </c>
      <c r="I24" s="776" t="str">
        <f t="shared" si="1"/>
        <v>Em chăm chỉ, chuyên cần, rất tích cực, rất đáng khen.</v>
      </c>
      <c r="J24" s="775"/>
      <c r="K24" s="792">
        <v>3</v>
      </c>
      <c r="L24" s="774"/>
      <c r="M24" s="775">
        <f>IF($B24="","",IF(INDEX(BDHKI,MATCH($C24,DiemHKI!$DI$4:$DI$58,0),M$59)&lt;&gt;"",INDEX(BDHKI,MATCH($C24,DiemHKI!$DI$4:$DI$58,0),M$59),""))</f>
        <v>9.5</v>
      </c>
      <c r="N24" s="792">
        <f t="shared" si="2"/>
        <v>1</v>
      </c>
      <c r="O24" s="776" t="str">
        <f t="shared" si="3"/>
        <v>Em chăm chỉ, chuyên cần, rất tích cực, rất đáng khen.</v>
      </c>
      <c r="P24" s="775"/>
      <c r="Q24" s="792"/>
      <c r="R24" s="774"/>
      <c r="S24" s="775">
        <f>IF($B24="","",IF(INDEX(BDHKI,MATCH($C24,DiemHKI!$DI$4:$DI$58,0),S$59)&lt;&gt;"",INDEX(BDHKI,MATCH($C24,DiemHKI!$DI$4:$DI$58,0),S$59),""))</f>
        <v>9.4</v>
      </c>
      <c r="T24" s="792">
        <f t="shared" si="4"/>
        <v>1</v>
      </c>
      <c r="U24" s="776" t="str">
        <f t="shared" si="5"/>
        <v>Học giỏi, thông minh, cần phát huy.</v>
      </c>
      <c r="V24" s="775"/>
      <c r="W24" s="792"/>
      <c r="X24" s="774"/>
      <c r="Y24" s="775">
        <f>IF($B24="","",IF(INDEX(BDHKI,MATCH($C24,DiemHKI!$DI$4:$DI$58,0),Y$59)&lt;&gt;"",INDEX(BDHKI,MATCH($C24,DiemHKI!$DI$4:$DI$58,0),Y$59),""))</f>
        <v>9.5</v>
      </c>
      <c r="Z24" s="792">
        <f t="shared" si="6"/>
        <v>1</v>
      </c>
      <c r="AA24" s="776" t="str">
        <f t="shared" si="7"/>
        <v>Sáng tạo, hoạt động nhóm rất tốt, biết chia sẻ kết quả học tập với bạn.</v>
      </c>
      <c r="AB24" s="775"/>
      <c r="AC24" s="792"/>
      <c r="AD24" s="774"/>
      <c r="AE24" s="775">
        <f>IF($B24="","",IF(INDEX(BDHKI,MATCH($C24,DiemHKI!$DI$4:$DI$58,0),AE$59)&lt;&gt;"",INDEX(BDHKI,MATCH($C24,DiemHKI!$DI$4:$DI$58,0),AE$59),""))</f>
        <v>9.8000000000000007</v>
      </c>
      <c r="AF24" s="792">
        <f t="shared" si="8"/>
        <v>1</v>
      </c>
      <c r="AG24" s="776" t="str">
        <f t="shared" si="9"/>
        <v>Rất ngoan, cố gắng có hiệu quả.</v>
      </c>
      <c r="AH24" s="775"/>
      <c r="AI24" s="792"/>
      <c r="AJ24" s="774"/>
      <c r="AK24" s="775">
        <f>IF($B24="","",IF(INDEX(BDHKI,MATCH($C24,DiemHKI!$DI$4:$DI$58,0),AK$59)&lt;&gt;"",INDEX(BDHKI,MATCH($C24,DiemHKI!$DI$4:$DI$58,0),AK$59),""))</f>
        <v>7.4</v>
      </c>
      <c r="AL24" s="792">
        <f t="shared" si="10"/>
        <v>5</v>
      </c>
      <c r="AM24" s="776" t="str">
        <f t="shared" si="11"/>
        <v>Học khá, cần chủ động rèn thêm kỹ năng diễn đạt.</v>
      </c>
      <c r="AN24" s="775"/>
      <c r="AO24" s="792"/>
      <c r="AP24" s="774"/>
      <c r="AQ24" s="775">
        <f>IF($B24="","",IF(INDEX(BDHKI,MATCH($C24,DiemHKI!$DI$4:$DI$58,0),AQ$59)&lt;&gt;"",INDEX(BDHKI,MATCH($C24,DiemHKI!$DI$4:$DI$58,0),AQ$59),""))</f>
        <v>9.6</v>
      </c>
      <c r="AR24" s="792">
        <f t="shared" si="12"/>
        <v>1</v>
      </c>
      <c r="AS24" s="776" t="str">
        <f t="shared" si="13"/>
        <v>Chăm ngoan, tích cực, chủ động tiếp thu bài học.</v>
      </c>
      <c r="AT24" s="775"/>
      <c r="AU24" s="792"/>
      <c r="AV24" s="774"/>
      <c r="AW24" s="775">
        <f>IF($B24="","",IF(INDEX(BDHKI,MATCH($C24,DiemHKI!$DI$4:$DI$58,0),AW$59)&lt;&gt;"",INDEX(BDHKI,MATCH($C24,DiemHKI!$DI$4:$DI$58,0),AW$59),""))</f>
        <v>9.8000000000000007</v>
      </c>
      <c r="AX24" s="792">
        <f t="shared" si="14"/>
        <v>1</v>
      </c>
      <c r="AY24" s="776" t="str">
        <f t="shared" si="15"/>
        <v>Em rất ngoan, cố gắng có hiệu quả.</v>
      </c>
      <c r="AZ24" s="775"/>
      <c r="BA24" s="792"/>
      <c r="BB24" s="774"/>
      <c r="BC24" s="775">
        <f>IF($B24="","",IF(INDEX(BDHKI,MATCH($C24,DiemHKI!$DI$4:$DI$58,0),BC$59)&lt;&gt;"",INDEX(BDHKI,MATCH($C24,DiemHKI!$DI$4:$DI$58,0),BC$59),""))</f>
        <v>9.1999999999999993</v>
      </c>
      <c r="BD24" s="792">
        <f t="shared" si="16"/>
        <v>1</v>
      </c>
      <c r="BE24" s="776" t="str">
        <f t="shared" si="17"/>
        <v>Có năng khiếu, tự tin, giao tiếp tốt và có khả năng làm việc nhóm.</v>
      </c>
      <c r="BF24" s="775"/>
      <c r="BG24" s="792"/>
      <c r="BH24" s="774"/>
      <c r="BI24" s="775">
        <f>IF($B24="","",IF(INDEX(BDHKI,MATCH($C24,DiemHKI!$DI$4:$DI$58,0),BI$59)&lt;&gt;"",INDEX(BDHKI,MATCH($C24,DiemHKI!$DI$4:$DI$58,0),BI$59),""))</f>
        <v>9.8000000000000007</v>
      </c>
      <c r="BJ24" s="792">
        <f t="shared" si="18"/>
        <v>1</v>
      </c>
      <c r="BK24" s="776" t="str">
        <f t="shared" si="19"/>
        <v>Hứng thú, có trách nhiệm học tập tốt.</v>
      </c>
      <c r="BL24" s="775"/>
      <c r="BM24" s="792"/>
      <c r="BN24" s="774"/>
      <c r="BO24" s="775">
        <f>IF($B24="","",IF(INDEX(BDHKI,MATCH($C24,DiemHKI!$DI$4:$DI$58,0),BO$59)&lt;&gt;"",INDEX(BDHKI,MATCH($C24,DiemHKI!$DI$4:$DI$58,0),BO$59),""))</f>
        <v>9.8000000000000007</v>
      </c>
      <c r="BP24" s="792">
        <f t="shared" si="20"/>
        <v>1</v>
      </c>
      <c r="BQ24" s="776" t="str">
        <f t="shared" si="21"/>
        <v>Học giỏi, năng động, chăm ngoan.</v>
      </c>
      <c r="BR24" s="775"/>
      <c r="BS24" s="792"/>
      <c r="BT24" s="774"/>
      <c r="BU24" s="775" t="str">
        <f>IF($B24="","",IF(INDEX(BDHKI,MATCH($C24,DiemHKI!$DI$4:$DI$58,0),BU$59)&lt;&gt;"",INDEX(BDHKI,MATCH($C24,DiemHKI!$DI$4:$DI$58,0),BU$59),""))</f>
        <v>Đ</v>
      </c>
      <c r="BV24" s="792">
        <f t="shared" si="22"/>
        <v>1</v>
      </c>
      <c r="BW24" s="776" t="str">
        <f t="shared" si="23"/>
        <v>Chăm chỉ, cố gắng, rất ngoan.</v>
      </c>
      <c r="BX24" s="775"/>
      <c r="BY24" s="792"/>
      <c r="BZ24" s="774"/>
      <c r="CA24" s="775">
        <f>IF($B24="","",IF(INDEX(BDHKI,MATCH($C24,DiemHKI!$DI$4:$DI$58,0),CA$59)&lt;&gt;"",INDEX(BDHKI,MATCH($C24,DiemHKI!$DI$4:$DI$58,0),CA$59),""))</f>
        <v>9.9</v>
      </c>
      <c r="CB24" s="792">
        <f t="shared" si="24"/>
        <v>1</v>
      </c>
      <c r="CC24" s="776" t="str">
        <f t="shared" si="25"/>
        <v>Siêng năng, lễ phép, thành thạo thực hành, học giỏi.</v>
      </c>
      <c r="CD24" s="775"/>
      <c r="CE24" s="792"/>
      <c r="CF24" s="774"/>
      <c r="CG24" s="775" t="str">
        <f>IF($B24="","",IF(INDEX(BDHKI,MATCH($C24,DiemHKI!$DI$4:$DI$58,0),CG$59)&lt;&gt;"",INDEX(BDHKI,MATCH($C24,DiemHKI!$DI$4:$DI$58,0),CG$59),""))</f>
        <v/>
      </c>
      <c r="CH24" s="792" t="str">
        <f t="shared" si="26"/>
        <v/>
      </c>
      <c r="CI24" s="776" t="str">
        <f t="shared" si="27"/>
        <v/>
      </c>
      <c r="CJ24" s="775"/>
      <c r="CK24" s="792"/>
      <c r="CL24" s="774"/>
    </row>
    <row r="25" spans="1:90" ht="15" customHeight="1">
      <c r="A25" s="764"/>
      <c r="B25" s="771">
        <f>IF(B24&lt;MAX(DiemHKI!$B$4:$B$58),B24+1,"")</f>
        <v>23</v>
      </c>
      <c r="C25" s="771" t="str">
        <f t="shared" si="0"/>
        <v>12A1LêNa29/02/2004</v>
      </c>
      <c r="D25" s="772" t="str">
        <f>IF($B25&lt;&gt;"",PROPER(INDEX(BDHKI,MATCH($B25,DiemHKI!$B$4:$B$58,0),3)),"")</f>
        <v>Lê</v>
      </c>
      <c r="E25" s="773" t="str">
        <f>IF($B25&lt;&gt;"",PROPER(INDEX(BDHKI,MATCH($B25,DiemHKI!$B$4:$B$58,0),4)),"")</f>
        <v>Na</v>
      </c>
      <c r="F25" s="774" t="str">
        <f>IF($B25&lt;&gt;"",PROPER(INDEX(BDHKI,MATCH($B25,DiemHKI!$B$4:$B$58,0),5)),"")</f>
        <v>29/02/2004</v>
      </c>
      <c r="G25" s="775">
        <f>IF($B25="","",IF(INDEX(BDHKI,MATCH($C25,DiemHKI!$DI$4:$DI$58,0),G$59)&lt;&gt;"",INDEX(BDHKI,MATCH($C25,DiemHKI!$DI$4:$DI$58,0),G$59),""))</f>
        <v>9.4</v>
      </c>
      <c r="H25" s="792">
        <f t="shared" si="28"/>
        <v>1</v>
      </c>
      <c r="I25" s="776" t="str">
        <f t="shared" si="1"/>
        <v>Em học giỏi, chăm ngoan, tính tự giác cao, rất tốt.</v>
      </c>
      <c r="J25" s="775"/>
      <c r="K25" s="792">
        <v>4</v>
      </c>
      <c r="L25" s="774"/>
      <c r="M25" s="775">
        <f>IF($B25="","",IF(INDEX(BDHKI,MATCH($C25,DiemHKI!$DI$4:$DI$58,0),M$59)&lt;&gt;"",INDEX(BDHKI,MATCH($C25,DiemHKI!$DI$4:$DI$58,0),M$59),""))</f>
        <v>9.6999999999999993</v>
      </c>
      <c r="N25" s="792">
        <f t="shared" si="2"/>
        <v>1</v>
      </c>
      <c r="O25" s="776" t="str">
        <f t="shared" si="3"/>
        <v>Em học giỏi, chăm ngoan, tính tự giác cao, rất tốt.</v>
      </c>
      <c r="P25" s="775"/>
      <c r="Q25" s="792"/>
      <c r="R25" s="774"/>
      <c r="S25" s="775">
        <f>IF($B25="","",IF(INDEX(BDHKI,MATCH($C25,DiemHKI!$DI$4:$DI$58,0),S$59)&lt;&gt;"",INDEX(BDHKI,MATCH($C25,DiemHKI!$DI$4:$DI$58,0),S$59),""))</f>
        <v>9</v>
      </c>
      <c r="T25" s="792">
        <f t="shared" si="4"/>
        <v>1</v>
      </c>
      <c r="U25" s="776" t="str">
        <f t="shared" si="5"/>
        <v>Kiến thức vững, tự học tốt, ngoan.</v>
      </c>
      <c r="V25" s="775"/>
      <c r="W25" s="792"/>
      <c r="X25" s="774"/>
      <c r="Y25" s="775">
        <f>IF($B25="","",IF(INDEX(BDHKI,MATCH($C25,DiemHKI!$DI$4:$DI$58,0),Y$59)&lt;&gt;"",INDEX(BDHKI,MATCH($C25,DiemHKI!$DI$4:$DI$58,0),Y$59),""))</f>
        <v>9.1</v>
      </c>
      <c r="Z25" s="792">
        <f t="shared" si="6"/>
        <v>1</v>
      </c>
      <c r="AA25" s="776" t="str">
        <f t="shared" si="7"/>
        <v>Có khả năng tự học và tự chủ bản thân, tích cực trong học tập.</v>
      </c>
      <c r="AB25" s="775"/>
      <c r="AC25" s="792"/>
      <c r="AD25" s="774"/>
      <c r="AE25" s="775">
        <f>IF($B25="","",IF(INDEX(BDHKI,MATCH($C25,DiemHKI!$DI$4:$DI$58,0),AE$59)&lt;&gt;"",INDEX(BDHKI,MATCH($C25,DiemHKI!$DI$4:$DI$58,0),AE$59),""))</f>
        <v>9.6</v>
      </c>
      <c r="AF25" s="792">
        <f t="shared" si="8"/>
        <v>1</v>
      </c>
      <c r="AG25" s="776" t="str">
        <f t="shared" si="9"/>
        <v>Ngoan, chăm chỉ, tư duy tốt.</v>
      </c>
      <c r="AH25" s="775"/>
      <c r="AI25" s="792"/>
      <c r="AJ25" s="774"/>
      <c r="AK25" s="775">
        <f>IF($B25="","",IF(INDEX(BDHKI,MATCH($C25,DiemHKI!$DI$4:$DI$58,0),AK$59)&lt;&gt;"",INDEX(BDHKI,MATCH($C25,DiemHKI!$DI$4:$DI$58,0),AK$59),""))</f>
        <v>7.7</v>
      </c>
      <c r="AL25" s="792">
        <f t="shared" si="10"/>
        <v>4</v>
      </c>
      <c r="AM25" s="776" t="str">
        <f t="shared" si="11"/>
        <v>Có tinh thần học tập tốt, cần cố gắng rèn luyện thêm các kỹ năng.</v>
      </c>
      <c r="AN25" s="775"/>
      <c r="AO25" s="792"/>
      <c r="AP25" s="774"/>
      <c r="AQ25" s="775">
        <f>IF($B25="","",IF(INDEX(BDHKI,MATCH($C25,DiemHKI!$DI$4:$DI$58,0),AQ$59)&lt;&gt;"",INDEX(BDHKI,MATCH($C25,DiemHKI!$DI$4:$DI$58,0),AQ$59),""))</f>
        <v>9.8000000000000007</v>
      </c>
      <c r="AR25" s="792">
        <f t="shared" si="12"/>
        <v>1</v>
      </c>
      <c r="AS25" s="776" t="str">
        <f t="shared" si="13"/>
        <v>Tiếp thu bài tốt, ghi nhớ nhanh các sự kiện lịch sử.</v>
      </c>
      <c r="AT25" s="775"/>
      <c r="AU25" s="792"/>
      <c r="AV25" s="774"/>
      <c r="AW25" s="775">
        <f>IF($B25="","",IF(INDEX(BDHKI,MATCH($C25,DiemHKI!$DI$4:$DI$58,0),AW$59)&lt;&gt;"",INDEX(BDHKI,MATCH($C25,DiemHKI!$DI$4:$DI$58,0),AW$59),""))</f>
        <v>9.9</v>
      </c>
      <c r="AX25" s="792">
        <f t="shared" si="14"/>
        <v>1</v>
      </c>
      <c r="AY25" s="776" t="str">
        <f t="shared" si="15"/>
        <v>Em có tư duy tốt, rất tích cực, giải quyết vấn đề tốt.</v>
      </c>
      <c r="AZ25" s="775"/>
      <c r="BA25" s="792"/>
      <c r="BB25" s="774"/>
      <c r="BC25" s="775">
        <f>IF($B25="","",IF(INDEX(BDHKI,MATCH($C25,DiemHKI!$DI$4:$DI$58,0),BC$59)&lt;&gt;"",INDEX(BDHKI,MATCH($C25,DiemHKI!$DI$4:$DI$58,0),BC$59),""))</f>
        <v>8.6</v>
      </c>
      <c r="BD25" s="792">
        <f t="shared" si="16"/>
        <v>2</v>
      </c>
      <c r="BE25" s="776" t="str">
        <f t="shared" si="17"/>
        <v>Có khả năng nghe, nói và ngữ pháp vững.</v>
      </c>
      <c r="BF25" s="775"/>
      <c r="BG25" s="792"/>
      <c r="BH25" s="774"/>
      <c r="BI25" s="775">
        <f>IF($B25="","",IF(INDEX(BDHKI,MATCH($C25,DiemHKI!$DI$4:$DI$58,0),BI$59)&lt;&gt;"",INDEX(BDHKI,MATCH($C25,DiemHKI!$DI$4:$DI$58,0),BI$59),""))</f>
        <v>9.4</v>
      </c>
      <c r="BJ25" s="792">
        <f t="shared" si="18"/>
        <v>1</v>
      </c>
      <c r="BK25" s="776" t="str">
        <f t="shared" si="19"/>
        <v>Chăm chỉ, học giỏi.</v>
      </c>
      <c r="BL25" s="775"/>
      <c r="BM25" s="792"/>
      <c r="BN25" s="774"/>
      <c r="BO25" s="775">
        <f>IF($B25="","",IF(INDEX(BDHKI,MATCH($C25,DiemHKI!$DI$4:$DI$58,0),BO$59)&lt;&gt;"",INDEX(BDHKI,MATCH($C25,DiemHKI!$DI$4:$DI$58,0),BO$59),""))</f>
        <v>9.9</v>
      </c>
      <c r="BP25" s="792">
        <f t="shared" si="20"/>
        <v>1</v>
      </c>
      <c r="BQ25" s="776" t="str">
        <f t="shared" si="21"/>
        <v>Năng động, sáng tạo trong học tập.</v>
      </c>
      <c r="BR25" s="775"/>
      <c r="BS25" s="792"/>
      <c r="BT25" s="774"/>
      <c r="BU25" s="775" t="str">
        <f>IF($B25="","",IF(INDEX(BDHKI,MATCH($C25,DiemHKI!$DI$4:$DI$58,0),BU$59)&lt;&gt;"",INDEX(BDHKI,MATCH($C25,DiemHKI!$DI$4:$DI$58,0),BU$59),""))</f>
        <v>Đ</v>
      </c>
      <c r="BV25" s="792">
        <f t="shared" si="22"/>
        <v>1</v>
      </c>
      <c r="BW25" s="776" t="str">
        <f t="shared" si="23"/>
        <v>Giỏi, có nhiều tiến bộ trong học tập.</v>
      </c>
      <c r="BX25" s="775"/>
      <c r="BY25" s="792"/>
      <c r="BZ25" s="774"/>
      <c r="CA25" s="775">
        <f>IF($B25="","",IF(INDEX(BDHKI,MATCH($C25,DiemHKI!$DI$4:$DI$58,0),CA$59)&lt;&gt;"",INDEX(BDHKI,MATCH($C25,DiemHKI!$DI$4:$DI$58,0),CA$59),""))</f>
        <v>9.4</v>
      </c>
      <c r="CB25" s="792">
        <f t="shared" si="24"/>
        <v>1</v>
      </c>
      <c r="CC25" s="776" t="str">
        <f t="shared" si="25"/>
        <v>Tích cực, năng động, nắm bài tốt, học giỏi.</v>
      </c>
      <c r="CD25" s="775"/>
      <c r="CE25" s="792"/>
      <c r="CF25" s="774"/>
      <c r="CG25" s="775" t="str">
        <f>IF($B25="","",IF(INDEX(BDHKI,MATCH($C25,DiemHKI!$DI$4:$DI$58,0),CG$59)&lt;&gt;"",INDEX(BDHKI,MATCH($C25,DiemHKI!$DI$4:$DI$58,0),CG$59),""))</f>
        <v/>
      </c>
      <c r="CH25" s="792" t="str">
        <f t="shared" si="26"/>
        <v/>
      </c>
      <c r="CI25" s="776" t="str">
        <f t="shared" si="27"/>
        <v/>
      </c>
      <c r="CJ25" s="775"/>
      <c r="CK25" s="792"/>
      <c r="CL25" s="774"/>
    </row>
    <row r="26" spans="1:90" ht="15" customHeight="1">
      <c r="A26" s="764"/>
      <c r="B26" s="771">
        <f>IF(B25&lt;MAX(DiemHKI!$B$4:$B$58),B25+1,"")</f>
        <v>24</v>
      </c>
      <c r="C26" s="771" t="str">
        <f t="shared" si="0"/>
        <v>12A1Quách Tống MinhNhật01/12/2004</v>
      </c>
      <c r="D26" s="772" t="str">
        <f>IF($B26&lt;&gt;"",PROPER(INDEX(BDHKI,MATCH($B26,DiemHKI!$B$4:$B$58,0),3)),"")</f>
        <v>Quách Tống Minh</v>
      </c>
      <c r="E26" s="773" t="str">
        <f>IF($B26&lt;&gt;"",PROPER(INDEX(BDHKI,MATCH($B26,DiemHKI!$B$4:$B$58,0),4)),"")</f>
        <v>Nhật</v>
      </c>
      <c r="F26" s="774" t="str">
        <f>IF($B26&lt;&gt;"",PROPER(INDEX(BDHKI,MATCH($B26,DiemHKI!$B$4:$B$58,0),5)),"")</f>
        <v>01/12/2004</v>
      </c>
      <c r="G26" s="775">
        <f>IF($B26="","",IF(INDEX(BDHKI,MATCH($C26,DiemHKI!$DI$4:$DI$58,0),G$59)&lt;&gt;"",INDEX(BDHKI,MATCH($C26,DiemHKI!$DI$4:$DI$58,0),G$59),""))</f>
        <v>9.3000000000000007</v>
      </c>
      <c r="H26" s="792">
        <f t="shared" si="28"/>
        <v>1</v>
      </c>
      <c r="I26" s="776" t="str">
        <f t="shared" si="1"/>
        <v>Em ngoan, tích cực, năng động, rất đáng khen.</v>
      </c>
      <c r="J26" s="775"/>
      <c r="K26" s="792">
        <v>5</v>
      </c>
      <c r="L26" s="774"/>
      <c r="M26" s="775">
        <f>IF($B26="","",IF(INDEX(BDHKI,MATCH($C26,DiemHKI!$DI$4:$DI$58,0),M$59)&lt;&gt;"",INDEX(BDHKI,MATCH($C26,DiemHKI!$DI$4:$DI$58,0),M$59),""))</f>
        <v>9.1999999999999993</v>
      </c>
      <c r="N26" s="792">
        <f t="shared" si="2"/>
        <v>1</v>
      </c>
      <c r="O26" s="776" t="str">
        <f t="shared" si="3"/>
        <v>Em ngoan, tích cực, năng động, rất đáng khen.</v>
      </c>
      <c r="P26" s="775"/>
      <c r="Q26" s="792"/>
      <c r="R26" s="774"/>
      <c r="S26" s="775">
        <f>IF($B26="","",IF(INDEX(BDHKI,MATCH($C26,DiemHKI!$DI$4:$DI$58,0),S$59)&lt;&gt;"",INDEX(BDHKI,MATCH($C26,DiemHKI!$DI$4:$DI$58,0),S$59),""))</f>
        <v>8.9</v>
      </c>
      <c r="T26" s="792">
        <f t="shared" si="4"/>
        <v>2</v>
      </c>
      <c r="U26" s="776" t="str">
        <f t="shared" si="5"/>
        <v>Kiến thức vững, chăm ngoan.</v>
      </c>
      <c r="V26" s="775"/>
      <c r="W26" s="792"/>
      <c r="X26" s="774"/>
      <c r="Y26" s="775">
        <f>IF($B26="","",IF(INDEX(BDHKI,MATCH($C26,DiemHKI!$DI$4:$DI$58,0),Y$59)&lt;&gt;"",INDEX(BDHKI,MATCH($C26,DiemHKI!$DI$4:$DI$58,0),Y$59),""))</f>
        <v>8.4</v>
      </c>
      <c r="Z26" s="792">
        <f t="shared" si="6"/>
        <v>3</v>
      </c>
      <c r="AA26" s="776" t="str">
        <f t="shared" si="7"/>
        <v>Tinh thần học tập tốt, năng động, sáng tạo.</v>
      </c>
      <c r="AB26" s="775"/>
      <c r="AC26" s="792"/>
      <c r="AD26" s="774"/>
      <c r="AE26" s="775">
        <f>IF($B26="","",IF(INDEX(BDHKI,MATCH($C26,DiemHKI!$DI$4:$DI$58,0),AE$59)&lt;&gt;"",INDEX(BDHKI,MATCH($C26,DiemHKI!$DI$4:$DI$58,0),AE$59),""))</f>
        <v>9.8000000000000007</v>
      </c>
      <c r="AF26" s="792">
        <f t="shared" si="8"/>
        <v>1</v>
      </c>
      <c r="AG26" s="776" t="str">
        <f t="shared" si="9"/>
        <v>Học giỏi, năng động và sáng tạo trong học tập.</v>
      </c>
      <c r="AH26" s="775"/>
      <c r="AI26" s="792"/>
      <c r="AJ26" s="774"/>
      <c r="AK26" s="775">
        <f>IF($B26="","",IF(INDEX(BDHKI,MATCH($C26,DiemHKI!$DI$4:$DI$58,0),AK$59)&lt;&gt;"",INDEX(BDHKI,MATCH($C26,DiemHKI!$DI$4:$DI$58,0),AK$59),""))</f>
        <v>6.9</v>
      </c>
      <c r="AL26" s="792">
        <f t="shared" si="10"/>
        <v>6</v>
      </c>
      <c r="AM26" s="776" t="str">
        <f t="shared" si="11"/>
        <v>Cần chủ động hơn trong học tập, rèn thêm.</v>
      </c>
      <c r="AN26" s="775"/>
      <c r="AO26" s="792"/>
      <c r="AP26" s="774"/>
      <c r="AQ26" s="775">
        <f>IF($B26="","",IF(INDEX(BDHKI,MATCH($C26,DiemHKI!$DI$4:$DI$58,0),AQ$59)&lt;&gt;"",INDEX(BDHKI,MATCH($C26,DiemHKI!$DI$4:$DI$58,0),AQ$59),""))</f>
        <v>9.8000000000000007</v>
      </c>
      <c r="AR26" s="792">
        <f t="shared" si="12"/>
        <v>1</v>
      </c>
      <c r="AS26" s="776" t="str">
        <f t="shared" si="13"/>
        <v>Chăm học, tích cực phát biểu xây dựng bài.</v>
      </c>
      <c r="AT26" s="775"/>
      <c r="AU26" s="792"/>
      <c r="AV26" s="774"/>
      <c r="AW26" s="775">
        <f>IF($B26="","",IF(INDEX(BDHKI,MATCH($C26,DiemHKI!$DI$4:$DI$58,0),AW$59)&lt;&gt;"",INDEX(BDHKI,MATCH($C26,DiemHKI!$DI$4:$DI$58,0),AW$59),""))</f>
        <v>9.6</v>
      </c>
      <c r="AX26" s="792">
        <f t="shared" si="14"/>
        <v>1</v>
      </c>
      <c r="AY26" s="776" t="str">
        <f t="shared" si="15"/>
        <v>Em có tư duy tốt, tích cực, vận dụng thực tế tốt.</v>
      </c>
      <c r="AZ26" s="775"/>
      <c r="BA26" s="792"/>
      <c r="BB26" s="774"/>
      <c r="BC26" s="775">
        <f>IF($B26="","",IF(INDEX(BDHKI,MATCH($C26,DiemHKI!$DI$4:$DI$58,0),BC$59)&lt;&gt;"",INDEX(BDHKI,MATCH($C26,DiemHKI!$DI$4:$DI$58,0),BC$59),""))</f>
        <v>9.4</v>
      </c>
      <c r="BD26" s="792">
        <f t="shared" si="16"/>
        <v>1</v>
      </c>
      <c r="BE26" s="776" t="str">
        <f t="shared" si="17"/>
        <v>Tích cực phát biểu trong giờ học, tương tác tốt với giáo viên và bạn bè.</v>
      </c>
      <c r="BF26" s="775"/>
      <c r="BG26" s="792"/>
      <c r="BH26" s="774"/>
      <c r="BI26" s="775">
        <f>IF($B26="","",IF(INDEX(BDHKI,MATCH($C26,DiemHKI!$DI$4:$DI$58,0),BI$59)&lt;&gt;"",INDEX(BDHKI,MATCH($C26,DiemHKI!$DI$4:$DI$58,0),BI$59),""))</f>
        <v>9.4</v>
      </c>
      <c r="BJ26" s="792">
        <f t="shared" si="18"/>
        <v>1</v>
      </c>
      <c r="BK26" s="776" t="str">
        <f t="shared" si="19"/>
        <v>Hứng thú, tích cực, học giỏi.</v>
      </c>
      <c r="BL26" s="775"/>
      <c r="BM26" s="792"/>
      <c r="BN26" s="774"/>
      <c r="BO26" s="775">
        <f>IF($B26="","",IF(INDEX(BDHKI,MATCH($C26,DiemHKI!$DI$4:$DI$58,0),BO$59)&lt;&gt;"",INDEX(BDHKI,MATCH($C26,DiemHKI!$DI$4:$DI$58,0),BO$59),""))</f>
        <v>9.8000000000000007</v>
      </c>
      <c r="BP26" s="792">
        <f t="shared" si="20"/>
        <v>1</v>
      </c>
      <c r="BQ26" s="776" t="str">
        <f t="shared" si="21"/>
        <v>Học giỏi, tiếp thu nhanh, chăm ngoan.</v>
      </c>
      <c r="BR26" s="775"/>
      <c r="BS26" s="792"/>
      <c r="BT26" s="774"/>
      <c r="BU26" s="775" t="str">
        <f>IF($B26="","",IF(INDEX(BDHKI,MATCH($C26,DiemHKI!$DI$4:$DI$58,0),BU$59)&lt;&gt;"",INDEX(BDHKI,MATCH($C26,DiemHKI!$DI$4:$DI$58,0),BU$59),""))</f>
        <v>Đ</v>
      </c>
      <c r="BV26" s="792">
        <f t="shared" si="22"/>
        <v>1</v>
      </c>
      <c r="BW26" s="776" t="str">
        <f t="shared" si="23"/>
        <v>Rất ngoan, học có hiệu quả tốt.</v>
      </c>
      <c r="BX26" s="775"/>
      <c r="BY26" s="792"/>
      <c r="BZ26" s="774"/>
      <c r="CA26" s="775">
        <f>IF($B26="","",IF(INDEX(BDHKI,MATCH($C26,DiemHKI!$DI$4:$DI$58,0),CA$59)&lt;&gt;"",INDEX(BDHKI,MATCH($C26,DiemHKI!$DI$4:$DI$58,0),CA$59),""))</f>
        <v>9.9</v>
      </c>
      <c r="CB26" s="792">
        <f t="shared" si="24"/>
        <v>1</v>
      </c>
      <c r="CC26" s="776" t="str">
        <f t="shared" si="25"/>
        <v>Ngoan, tích cực xây dựng bài, nắm chắc thực hành, học giỏi.</v>
      </c>
      <c r="CD26" s="775"/>
      <c r="CE26" s="792"/>
      <c r="CF26" s="774"/>
      <c r="CG26" s="775" t="str">
        <f>IF($B26="","",IF(INDEX(BDHKI,MATCH($C26,DiemHKI!$DI$4:$DI$58,0),CG$59)&lt;&gt;"",INDEX(BDHKI,MATCH($C26,DiemHKI!$DI$4:$DI$58,0),CG$59),""))</f>
        <v/>
      </c>
      <c r="CH26" s="792" t="str">
        <f t="shared" si="26"/>
        <v/>
      </c>
      <c r="CI26" s="776" t="str">
        <f t="shared" si="27"/>
        <v/>
      </c>
      <c r="CJ26" s="775"/>
      <c r="CK26" s="792"/>
      <c r="CL26" s="774"/>
    </row>
    <row r="27" spans="1:90" ht="15" customHeight="1">
      <c r="A27" s="764"/>
      <c r="B27" s="777">
        <f>IF(B26&lt;MAX(DiemHKI!$B$4:$B$58),B26+1,"")</f>
        <v>25</v>
      </c>
      <c r="C27" s="777" t="str">
        <f t="shared" si="0"/>
        <v>12A1Nguyễn ThụcNhi04/10/2004</v>
      </c>
      <c r="D27" s="778" t="str">
        <f>IF($B27&lt;&gt;"",PROPER(INDEX(BDHKI,MATCH($B27,DiemHKI!$B$4:$B$58,0),3)),"")</f>
        <v>Nguyễn Thục</v>
      </c>
      <c r="E27" s="779" t="str">
        <f>IF($B27&lt;&gt;"",PROPER(INDEX(BDHKI,MATCH($B27,DiemHKI!$B$4:$B$58,0),4)),"")</f>
        <v>Nhi</v>
      </c>
      <c r="F27" s="780" t="str">
        <f>IF($B27&lt;&gt;"",PROPER(INDEX(BDHKI,MATCH($B27,DiemHKI!$B$4:$B$58,0),5)),"")</f>
        <v>04/10/2004</v>
      </c>
      <c r="G27" s="781">
        <f>IF($B27="","",IF(INDEX(BDHKI,MATCH($C27,DiemHKI!$DI$4:$DI$58,0),G$59)&lt;&gt;"",INDEX(BDHKI,MATCH($C27,DiemHKI!$DI$4:$DI$58,0),G$59),""))</f>
        <v>9.8000000000000007</v>
      </c>
      <c r="H27" s="793">
        <f t="shared" si="28"/>
        <v>1</v>
      </c>
      <c r="I27" s="782" t="str">
        <f t="shared" si="1"/>
        <v>Em chăm chỉ, chuyên cần, rất tích cực, rất đáng khen.</v>
      </c>
      <c r="J27" s="781"/>
      <c r="K27" s="793">
        <v>3</v>
      </c>
      <c r="L27" s="780"/>
      <c r="M27" s="781">
        <f>IF($B27="","",IF(INDEX(BDHKI,MATCH($C27,DiemHKI!$DI$4:$DI$58,0),M$59)&lt;&gt;"",INDEX(BDHKI,MATCH($C27,DiemHKI!$DI$4:$DI$58,0),M$59),""))</f>
        <v>9.6999999999999993</v>
      </c>
      <c r="N27" s="793">
        <f t="shared" si="2"/>
        <v>1</v>
      </c>
      <c r="O27" s="782" t="str">
        <f t="shared" si="3"/>
        <v>Em chăm chỉ, chuyên cần, rất tích cực, rất đáng khen.</v>
      </c>
      <c r="P27" s="781"/>
      <c r="Q27" s="793"/>
      <c r="R27" s="780"/>
      <c r="S27" s="781">
        <f>IF($B27="","",IF(INDEX(BDHKI,MATCH($C27,DiemHKI!$DI$4:$DI$58,0),S$59)&lt;&gt;"",INDEX(BDHKI,MATCH($C27,DiemHKI!$DI$4:$DI$58,0),S$59),""))</f>
        <v>9.8000000000000007</v>
      </c>
      <c r="T27" s="793">
        <f t="shared" si="4"/>
        <v>1</v>
      </c>
      <c r="U27" s="782" t="str">
        <f t="shared" si="5"/>
        <v>Học giỏi, thông minh, cần phát huy.</v>
      </c>
      <c r="V27" s="781"/>
      <c r="W27" s="793"/>
      <c r="X27" s="780"/>
      <c r="Y27" s="781">
        <f>IF($B27="","",IF(INDEX(BDHKI,MATCH($C27,DiemHKI!$DI$4:$DI$58,0),Y$59)&lt;&gt;"",INDEX(BDHKI,MATCH($C27,DiemHKI!$DI$4:$DI$58,0),Y$59),""))</f>
        <v>8.9</v>
      </c>
      <c r="Z27" s="793">
        <f t="shared" si="6"/>
        <v>2</v>
      </c>
      <c r="AA27" s="782" t="str">
        <f t="shared" si="7"/>
        <v>Chăm chỉ, năng động và có hiệu quả, có năng khiếu về bộ môn Sinh học.</v>
      </c>
      <c r="AB27" s="781"/>
      <c r="AC27" s="793"/>
      <c r="AD27" s="780"/>
      <c r="AE27" s="781">
        <f>IF($B27="","",IF(INDEX(BDHKI,MATCH($C27,DiemHKI!$DI$4:$DI$58,0),AE$59)&lt;&gt;"",INDEX(BDHKI,MATCH($C27,DiemHKI!$DI$4:$DI$58,0),AE$59),""))</f>
        <v>9.8000000000000007</v>
      </c>
      <c r="AF27" s="793">
        <f t="shared" si="8"/>
        <v>1</v>
      </c>
      <c r="AG27" s="782" t="str">
        <f t="shared" si="9"/>
        <v>Rất ngoan, cố gắng có hiệu quả.</v>
      </c>
      <c r="AH27" s="781"/>
      <c r="AI27" s="793"/>
      <c r="AJ27" s="780"/>
      <c r="AK27" s="781">
        <f>IF($B27="","",IF(INDEX(BDHKI,MATCH($C27,DiemHKI!$DI$4:$DI$58,0),AK$59)&lt;&gt;"",INDEX(BDHKI,MATCH($C27,DiemHKI!$DI$4:$DI$58,0),AK$59),""))</f>
        <v>7.9</v>
      </c>
      <c r="AL27" s="793">
        <f t="shared" si="10"/>
        <v>4</v>
      </c>
      <c r="AM27" s="782" t="str">
        <f t="shared" si="11"/>
        <v>Có năng khiếu, tự giác, cảm nhận được văn bản.</v>
      </c>
      <c r="AN27" s="781"/>
      <c r="AO27" s="793"/>
      <c r="AP27" s="780"/>
      <c r="AQ27" s="781">
        <f>IF($B27="","",IF(INDEX(BDHKI,MATCH($C27,DiemHKI!$DI$4:$DI$58,0),AQ$59)&lt;&gt;"",INDEX(BDHKI,MATCH($C27,DiemHKI!$DI$4:$DI$58,0),AQ$59),""))</f>
        <v>9.8000000000000007</v>
      </c>
      <c r="AR27" s="793">
        <f t="shared" si="12"/>
        <v>1</v>
      </c>
      <c r="AS27" s="782" t="str">
        <f t="shared" si="13"/>
        <v>Chăm ngoan, tích cực, chủ động tiếp thu bài học.</v>
      </c>
      <c r="AT27" s="781"/>
      <c r="AU27" s="793"/>
      <c r="AV27" s="780"/>
      <c r="AW27" s="781">
        <f>IF($B27="","",IF(INDEX(BDHKI,MATCH($C27,DiemHKI!$DI$4:$DI$58,0),AW$59)&lt;&gt;"",INDEX(BDHKI,MATCH($C27,DiemHKI!$DI$4:$DI$58,0),AW$59),""))</f>
        <v>9.8000000000000007</v>
      </c>
      <c r="AX27" s="793">
        <f t="shared" si="14"/>
        <v>1</v>
      </c>
      <c r="AY27" s="782" t="str">
        <f t="shared" si="15"/>
        <v>Em rất ngoan, cố gắng có hiệu quả.</v>
      </c>
      <c r="AZ27" s="781"/>
      <c r="BA27" s="793"/>
      <c r="BB27" s="780"/>
      <c r="BC27" s="781">
        <f>IF($B27="","",IF(INDEX(BDHKI,MATCH($C27,DiemHKI!$DI$4:$DI$58,0),BC$59)&lt;&gt;"",INDEX(BDHKI,MATCH($C27,DiemHKI!$DI$4:$DI$58,0),BC$59),""))</f>
        <v>9.6</v>
      </c>
      <c r="BD27" s="793">
        <f t="shared" si="16"/>
        <v>1</v>
      </c>
      <c r="BE27" s="782" t="str">
        <f t="shared" si="17"/>
        <v>Có năng khiếu, tự tin, giao tiếp tốt và có khả năng làm việc nhóm.</v>
      </c>
      <c r="BF27" s="781"/>
      <c r="BG27" s="793"/>
      <c r="BH27" s="780"/>
      <c r="BI27" s="781">
        <f>IF($B27="","",IF(INDEX(BDHKI,MATCH($C27,DiemHKI!$DI$4:$DI$58,0),BI$59)&lt;&gt;"",INDEX(BDHKI,MATCH($C27,DiemHKI!$DI$4:$DI$58,0),BI$59),""))</f>
        <v>9.1</v>
      </c>
      <c r="BJ27" s="793">
        <f t="shared" si="18"/>
        <v>1</v>
      </c>
      <c r="BK27" s="782" t="str">
        <f t="shared" si="19"/>
        <v>Hứng thú, có trách nhiệm học tập tốt.</v>
      </c>
      <c r="BL27" s="781"/>
      <c r="BM27" s="793"/>
      <c r="BN27" s="780"/>
      <c r="BO27" s="781">
        <f>IF($B27="","",IF(INDEX(BDHKI,MATCH($C27,DiemHKI!$DI$4:$DI$58,0),BO$59)&lt;&gt;"",INDEX(BDHKI,MATCH($C27,DiemHKI!$DI$4:$DI$58,0),BO$59),""))</f>
        <v>9.5</v>
      </c>
      <c r="BP27" s="793">
        <f t="shared" si="20"/>
        <v>1</v>
      </c>
      <c r="BQ27" s="782" t="str">
        <f t="shared" si="21"/>
        <v>Học giỏi, năng động, chăm ngoan.</v>
      </c>
      <c r="BR27" s="781"/>
      <c r="BS27" s="793"/>
      <c r="BT27" s="780"/>
      <c r="BU27" s="781" t="str">
        <f>IF($B27="","",IF(INDEX(BDHKI,MATCH($C27,DiemHKI!$DI$4:$DI$58,0),BU$59)&lt;&gt;"",INDEX(BDHKI,MATCH($C27,DiemHKI!$DI$4:$DI$58,0),BU$59),""))</f>
        <v>Đ</v>
      </c>
      <c r="BV27" s="793">
        <f t="shared" si="22"/>
        <v>1</v>
      </c>
      <c r="BW27" s="782" t="str">
        <f t="shared" si="23"/>
        <v>Chăm chỉ, cố gắng, rất ngoan.</v>
      </c>
      <c r="BX27" s="781"/>
      <c r="BY27" s="793"/>
      <c r="BZ27" s="780"/>
      <c r="CA27" s="781">
        <f>IF($B27="","",IF(INDEX(BDHKI,MATCH($C27,DiemHKI!$DI$4:$DI$58,0),CA$59)&lt;&gt;"",INDEX(BDHKI,MATCH($C27,DiemHKI!$DI$4:$DI$58,0),CA$59),""))</f>
        <v>9.9</v>
      </c>
      <c r="CB27" s="793">
        <f t="shared" si="24"/>
        <v>1</v>
      </c>
      <c r="CC27" s="782" t="str">
        <f t="shared" si="25"/>
        <v>Siêng năng, lễ phép, thành thạo thực hành, học giỏi.</v>
      </c>
      <c r="CD27" s="781"/>
      <c r="CE27" s="793"/>
      <c r="CF27" s="780"/>
      <c r="CG27" s="781" t="str">
        <f>IF($B27="","",IF(INDEX(BDHKI,MATCH($C27,DiemHKI!$DI$4:$DI$58,0),CG$59)&lt;&gt;"",INDEX(BDHKI,MATCH($C27,DiemHKI!$DI$4:$DI$58,0),CG$59),""))</f>
        <v/>
      </c>
      <c r="CH27" s="793" t="str">
        <f t="shared" si="26"/>
        <v/>
      </c>
      <c r="CI27" s="782" t="str">
        <f t="shared" si="27"/>
        <v/>
      </c>
      <c r="CJ27" s="781"/>
      <c r="CK27" s="793"/>
      <c r="CL27" s="780"/>
    </row>
    <row r="28" spans="1:90" ht="15" customHeight="1">
      <c r="A28" s="764"/>
      <c r="B28" s="765">
        <f>IF(B27&lt;MAX(DiemHKI!$B$4:$B$58),B27+1,"")</f>
        <v>26</v>
      </c>
      <c r="C28" s="765" t="str">
        <f t="shared" si="0"/>
        <v>12A1Trần Thị HảiNhư17/08/2004</v>
      </c>
      <c r="D28" s="766" t="str">
        <f>IF($B28&lt;&gt;"",PROPER(INDEX(BDHKI,MATCH($B28,DiemHKI!$B$4:$B$58,0),3)),"")</f>
        <v>Trần Thị Hải</v>
      </c>
      <c r="E28" s="767" t="str">
        <f>IF($B28&lt;&gt;"",PROPER(INDEX(BDHKI,MATCH($B28,DiemHKI!$B$4:$B$58,0),4)),"")</f>
        <v>Như</v>
      </c>
      <c r="F28" s="768" t="str">
        <f>IF($B28&lt;&gt;"",PROPER(INDEX(BDHKI,MATCH($B28,DiemHKI!$B$4:$B$58,0),5)),"")</f>
        <v>17/08/2004</v>
      </c>
      <c r="G28" s="783">
        <f>IF($B28="","",IF(INDEX(BDHKI,MATCH($C28,DiemHKI!$DI$4:$DI$58,0),G$59)&lt;&gt;"",INDEX(BDHKI,MATCH($C28,DiemHKI!$DI$4:$DI$58,0),G$59),""))</f>
        <v>9.3000000000000007</v>
      </c>
      <c r="H28" s="794">
        <f t="shared" si="28"/>
        <v>1</v>
      </c>
      <c r="I28" s="770" t="str">
        <f t="shared" si="1"/>
        <v>Em học giỏi, chăm ngoan, tính tự giác cao, rất tốt.</v>
      </c>
      <c r="J28" s="783"/>
      <c r="K28" s="794">
        <v>4</v>
      </c>
      <c r="L28" s="768"/>
      <c r="M28" s="783">
        <f>IF($B28="","",IF(INDEX(BDHKI,MATCH($C28,DiemHKI!$DI$4:$DI$58,0),M$59)&lt;&gt;"",INDEX(BDHKI,MATCH($C28,DiemHKI!$DI$4:$DI$58,0),M$59),""))</f>
        <v>9.6999999999999993</v>
      </c>
      <c r="N28" s="794">
        <f t="shared" si="2"/>
        <v>1</v>
      </c>
      <c r="O28" s="770" t="str">
        <f t="shared" si="3"/>
        <v>Em học giỏi, chăm ngoan, tính tự giác cao, rất tốt.</v>
      </c>
      <c r="P28" s="783"/>
      <c r="Q28" s="794"/>
      <c r="R28" s="768"/>
      <c r="S28" s="783">
        <f>IF($B28="","",IF(INDEX(BDHKI,MATCH($C28,DiemHKI!$DI$4:$DI$58,0),S$59)&lt;&gt;"",INDEX(BDHKI,MATCH($C28,DiemHKI!$DI$4:$DI$58,0),S$59),""))</f>
        <v>9.5</v>
      </c>
      <c r="T28" s="794">
        <f t="shared" si="4"/>
        <v>1</v>
      </c>
      <c r="U28" s="770" t="str">
        <f t="shared" si="5"/>
        <v>Kiến thức vững, tự học tốt, ngoan.</v>
      </c>
      <c r="V28" s="783"/>
      <c r="W28" s="794"/>
      <c r="X28" s="768"/>
      <c r="Y28" s="783">
        <f>IF($B28="","",IF(INDEX(BDHKI,MATCH($C28,DiemHKI!$DI$4:$DI$58,0),Y$59)&lt;&gt;"",INDEX(BDHKI,MATCH($C28,DiemHKI!$DI$4:$DI$58,0),Y$59),""))</f>
        <v>9</v>
      </c>
      <c r="Z28" s="794">
        <f t="shared" si="6"/>
        <v>1</v>
      </c>
      <c r="AA28" s="770" t="str">
        <f t="shared" si="7"/>
        <v>Có khả năng tự học và tự chủ bản thân, tích cực trong học tập.</v>
      </c>
      <c r="AB28" s="783"/>
      <c r="AC28" s="794"/>
      <c r="AD28" s="768"/>
      <c r="AE28" s="783">
        <f>IF($B28="","",IF(INDEX(BDHKI,MATCH($C28,DiemHKI!$DI$4:$DI$58,0),AE$59)&lt;&gt;"",INDEX(BDHKI,MATCH($C28,DiemHKI!$DI$4:$DI$58,0),AE$59),""))</f>
        <v>9.6</v>
      </c>
      <c r="AF28" s="794">
        <f t="shared" si="8"/>
        <v>1</v>
      </c>
      <c r="AG28" s="770" t="str">
        <f t="shared" si="9"/>
        <v>Ngoan, chăm chỉ, tư duy tốt.</v>
      </c>
      <c r="AH28" s="783"/>
      <c r="AI28" s="794"/>
      <c r="AJ28" s="768"/>
      <c r="AK28" s="783">
        <f>IF($B28="","",IF(INDEX(BDHKI,MATCH($C28,DiemHKI!$DI$4:$DI$58,0),AK$59)&lt;&gt;"",INDEX(BDHKI,MATCH($C28,DiemHKI!$DI$4:$DI$58,0),AK$59),""))</f>
        <v>7.3</v>
      </c>
      <c r="AL28" s="794">
        <f t="shared" si="10"/>
        <v>5</v>
      </c>
      <c r="AM28" s="770" t="str">
        <f t="shared" si="11"/>
        <v>Có ý thức học tập tốt, cần nỗ lực rèn luyện thêm các kỹ năng.</v>
      </c>
      <c r="AN28" s="783"/>
      <c r="AO28" s="794"/>
      <c r="AP28" s="768"/>
      <c r="AQ28" s="783">
        <f>IF($B28="","",IF(INDEX(BDHKI,MATCH($C28,DiemHKI!$DI$4:$DI$58,0),AQ$59)&lt;&gt;"",INDEX(BDHKI,MATCH($C28,DiemHKI!$DI$4:$DI$58,0),AQ$59),""))</f>
        <v>9.4</v>
      </c>
      <c r="AR28" s="794">
        <f t="shared" si="12"/>
        <v>1</v>
      </c>
      <c r="AS28" s="770" t="str">
        <f t="shared" si="13"/>
        <v>Tiếp thu bài tốt, ghi nhớ nhanh các sự kiện lịch sử.</v>
      </c>
      <c r="AT28" s="783"/>
      <c r="AU28" s="794"/>
      <c r="AV28" s="768"/>
      <c r="AW28" s="783">
        <f>IF($B28="","",IF(INDEX(BDHKI,MATCH($C28,DiemHKI!$DI$4:$DI$58,0),AW$59)&lt;&gt;"",INDEX(BDHKI,MATCH($C28,DiemHKI!$DI$4:$DI$58,0),AW$59),""))</f>
        <v>9.8000000000000007</v>
      </c>
      <c r="AX28" s="794">
        <f t="shared" si="14"/>
        <v>1</v>
      </c>
      <c r="AY28" s="770" t="str">
        <f t="shared" si="15"/>
        <v>Em có tư duy tốt, rất tích cực, giải quyết vấn đề tốt.</v>
      </c>
      <c r="AZ28" s="783"/>
      <c r="BA28" s="794"/>
      <c r="BB28" s="768"/>
      <c r="BC28" s="783">
        <f>IF($B28="","",IF(INDEX(BDHKI,MATCH($C28,DiemHKI!$DI$4:$DI$58,0),BC$59)&lt;&gt;"",INDEX(BDHKI,MATCH($C28,DiemHKI!$DI$4:$DI$58,0),BC$59),""))</f>
        <v>9.3000000000000007</v>
      </c>
      <c r="BD28" s="794">
        <f t="shared" si="16"/>
        <v>1</v>
      </c>
      <c r="BE28" s="770" t="str">
        <f t="shared" si="17"/>
        <v>Chăm chỉ, chuyên cần, rất tích cực và năng động.</v>
      </c>
      <c r="BF28" s="783"/>
      <c r="BG28" s="794"/>
      <c r="BH28" s="768"/>
      <c r="BI28" s="783">
        <f>IF($B28="","",IF(INDEX(BDHKI,MATCH($C28,DiemHKI!$DI$4:$DI$58,0),BI$59)&lt;&gt;"",INDEX(BDHKI,MATCH($C28,DiemHKI!$DI$4:$DI$58,0),BI$59),""))</f>
        <v>8.8000000000000007</v>
      </c>
      <c r="BJ28" s="794">
        <f t="shared" si="18"/>
        <v>2</v>
      </c>
      <c r="BK28" s="770" t="str">
        <f t="shared" si="19"/>
        <v>Tích cực, trách nhiệm học tốt.</v>
      </c>
      <c r="BL28" s="783"/>
      <c r="BM28" s="794"/>
      <c r="BN28" s="768"/>
      <c r="BO28" s="783">
        <f>IF($B28="","",IF(INDEX(BDHKI,MATCH($C28,DiemHKI!$DI$4:$DI$58,0),BO$59)&lt;&gt;"",INDEX(BDHKI,MATCH($C28,DiemHKI!$DI$4:$DI$58,0),BO$59),""))</f>
        <v>9.4</v>
      </c>
      <c r="BP28" s="794">
        <f t="shared" si="20"/>
        <v>1</v>
      </c>
      <c r="BQ28" s="770" t="str">
        <f t="shared" si="21"/>
        <v>Năng động, sáng tạo trong học tập.</v>
      </c>
      <c r="BR28" s="783"/>
      <c r="BS28" s="794"/>
      <c r="BT28" s="768"/>
      <c r="BU28" s="783" t="str">
        <f>IF($B28="","",IF(INDEX(BDHKI,MATCH($C28,DiemHKI!$DI$4:$DI$58,0),BU$59)&lt;&gt;"",INDEX(BDHKI,MATCH($C28,DiemHKI!$DI$4:$DI$58,0),BU$59),""))</f>
        <v>Đ</v>
      </c>
      <c r="BV28" s="794">
        <f t="shared" si="22"/>
        <v>1</v>
      </c>
      <c r="BW28" s="770" t="str">
        <f t="shared" si="23"/>
        <v>Giỏi, có nhiều tiến bộ trong học tập.</v>
      </c>
      <c r="BX28" s="783"/>
      <c r="BY28" s="794"/>
      <c r="BZ28" s="768"/>
      <c r="CA28" s="783">
        <f>IF($B28="","",IF(INDEX(BDHKI,MATCH($C28,DiemHKI!$DI$4:$DI$58,0),CA$59)&lt;&gt;"",INDEX(BDHKI,MATCH($C28,DiemHKI!$DI$4:$DI$58,0),CA$59),""))</f>
        <v>9.9</v>
      </c>
      <c r="CB28" s="794">
        <f t="shared" si="24"/>
        <v>1</v>
      </c>
      <c r="CC28" s="770" t="str">
        <f t="shared" si="25"/>
        <v>Tích cực, năng động, nắm bài tốt, học giỏi.</v>
      </c>
      <c r="CD28" s="783"/>
      <c r="CE28" s="794"/>
      <c r="CF28" s="768"/>
      <c r="CG28" s="783" t="str">
        <f>IF($B28="","",IF(INDEX(BDHKI,MATCH($C28,DiemHKI!$DI$4:$DI$58,0),CG$59)&lt;&gt;"",INDEX(BDHKI,MATCH($C28,DiemHKI!$DI$4:$DI$58,0),CG$59),""))</f>
        <v/>
      </c>
      <c r="CH28" s="794" t="str">
        <f t="shared" si="26"/>
        <v/>
      </c>
      <c r="CI28" s="770" t="str">
        <f t="shared" si="27"/>
        <v/>
      </c>
      <c r="CJ28" s="783"/>
      <c r="CK28" s="794"/>
      <c r="CL28" s="768"/>
    </row>
    <row r="29" spans="1:90" ht="15" customHeight="1">
      <c r="A29" s="764"/>
      <c r="B29" s="771">
        <f>IF(B28&lt;MAX(DiemHKI!$B$4:$B$58),B28+1,"")</f>
        <v>27</v>
      </c>
      <c r="C29" s="771" t="str">
        <f t="shared" si="0"/>
        <v>12A1Nguyễn Bá NhậtQuang18/07/2004</v>
      </c>
      <c r="D29" s="772" t="str">
        <f>IF($B29&lt;&gt;"",PROPER(INDEX(BDHKI,MATCH($B29,DiemHKI!$B$4:$B$58,0),3)),"")</f>
        <v>Nguyễn Bá Nhật</v>
      </c>
      <c r="E29" s="773" t="str">
        <f>IF($B29&lt;&gt;"",PROPER(INDEX(BDHKI,MATCH($B29,DiemHKI!$B$4:$B$58,0),4)),"")</f>
        <v>Quang</v>
      </c>
      <c r="F29" s="774" t="str">
        <f>IF($B29&lt;&gt;"",PROPER(INDEX(BDHKI,MATCH($B29,DiemHKI!$B$4:$B$58,0),5)),"")</f>
        <v>18/07/2004</v>
      </c>
      <c r="G29" s="775">
        <f>IF($B29="","",IF(INDEX(BDHKI,MATCH($C29,DiemHKI!$DI$4:$DI$58,0),G$59)&lt;&gt;"",INDEX(BDHKI,MATCH($C29,DiemHKI!$DI$4:$DI$58,0),G$59),""))</f>
        <v>9.6</v>
      </c>
      <c r="H29" s="792">
        <f t="shared" si="28"/>
        <v>1</v>
      </c>
      <c r="I29" s="776" t="str">
        <f t="shared" si="1"/>
        <v>Em ngoan, tích cực, năng động, rất đáng khen.</v>
      </c>
      <c r="J29" s="775"/>
      <c r="K29" s="792">
        <v>5</v>
      </c>
      <c r="L29" s="774"/>
      <c r="M29" s="775">
        <f>IF($B29="","",IF(INDEX(BDHKI,MATCH($C29,DiemHKI!$DI$4:$DI$58,0),M$59)&lt;&gt;"",INDEX(BDHKI,MATCH($C29,DiemHKI!$DI$4:$DI$58,0),M$59),""))</f>
        <v>9.9</v>
      </c>
      <c r="N29" s="792">
        <f t="shared" si="2"/>
        <v>1</v>
      </c>
      <c r="O29" s="776" t="str">
        <f t="shared" si="3"/>
        <v>Em ngoan, tích cực, năng động, rất đáng khen.</v>
      </c>
      <c r="P29" s="775"/>
      <c r="Q29" s="792"/>
      <c r="R29" s="774"/>
      <c r="S29" s="775">
        <f>IF($B29="","",IF(INDEX(BDHKI,MATCH($C29,DiemHKI!$DI$4:$DI$58,0),S$59)&lt;&gt;"",INDEX(BDHKI,MATCH($C29,DiemHKI!$DI$4:$DI$58,0),S$59),""))</f>
        <v>9.4</v>
      </c>
      <c r="T29" s="792">
        <f t="shared" si="4"/>
        <v>1</v>
      </c>
      <c r="U29" s="776" t="str">
        <f t="shared" si="5"/>
        <v>Kiến thức vững, sáng tạo, tự học tốt.</v>
      </c>
      <c r="V29" s="775"/>
      <c r="W29" s="792"/>
      <c r="X29" s="774"/>
      <c r="Y29" s="775">
        <f>IF($B29="","",IF(INDEX(BDHKI,MATCH($C29,DiemHKI!$DI$4:$DI$58,0),Y$59)&lt;&gt;"",INDEX(BDHKI,MATCH($C29,DiemHKI!$DI$4:$DI$58,0),Y$59),""))</f>
        <v>8.9</v>
      </c>
      <c r="Z29" s="792">
        <f t="shared" si="6"/>
        <v>2</v>
      </c>
      <c r="AA29" s="776" t="str">
        <f t="shared" si="7"/>
        <v>Ngoan, khả năng tư duy tốt, có trách nhiệm, trình bày tốt.</v>
      </c>
      <c r="AB29" s="775"/>
      <c r="AC29" s="792"/>
      <c r="AD29" s="774"/>
      <c r="AE29" s="775">
        <f>IF($B29="","",IF(INDEX(BDHKI,MATCH($C29,DiemHKI!$DI$4:$DI$58,0),AE$59)&lt;&gt;"",INDEX(BDHKI,MATCH($C29,DiemHKI!$DI$4:$DI$58,0),AE$59),""))</f>
        <v>9.8000000000000007</v>
      </c>
      <c r="AF29" s="792">
        <f t="shared" si="8"/>
        <v>1</v>
      </c>
      <c r="AG29" s="776" t="str">
        <f t="shared" si="9"/>
        <v>Học giỏi, năng động và sáng tạo trong học tập.</v>
      </c>
      <c r="AH29" s="775"/>
      <c r="AI29" s="792"/>
      <c r="AJ29" s="774"/>
      <c r="AK29" s="775">
        <f>IF($B29="","",IF(INDEX(BDHKI,MATCH($C29,DiemHKI!$DI$4:$DI$58,0),AK$59)&lt;&gt;"",INDEX(BDHKI,MATCH($C29,DiemHKI!$DI$4:$DI$58,0),AK$59),""))</f>
        <v>7.6</v>
      </c>
      <c r="AL29" s="792">
        <f t="shared" si="10"/>
        <v>4</v>
      </c>
      <c r="AM29" s="776" t="str">
        <f t="shared" si="11"/>
        <v>Cần chủ động hơn trong giờ học, rèn thêm kỹ năng viết.</v>
      </c>
      <c r="AN29" s="775"/>
      <c r="AO29" s="792"/>
      <c r="AP29" s="774"/>
      <c r="AQ29" s="775">
        <f>IF($B29="","",IF(INDEX(BDHKI,MATCH($C29,DiemHKI!$DI$4:$DI$58,0),AQ$59)&lt;&gt;"",INDEX(BDHKI,MATCH($C29,DiemHKI!$DI$4:$DI$58,0),AQ$59),""))</f>
        <v>9.9</v>
      </c>
      <c r="AR29" s="792">
        <f t="shared" si="12"/>
        <v>1</v>
      </c>
      <c r="AS29" s="776" t="str">
        <f t="shared" si="13"/>
        <v>Chăm học, tích cực phát biểu xây dựng bài.</v>
      </c>
      <c r="AT29" s="775"/>
      <c r="AU29" s="792"/>
      <c r="AV29" s="774"/>
      <c r="AW29" s="775">
        <f>IF($B29="","",IF(INDEX(BDHKI,MATCH($C29,DiemHKI!$DI$4:$DI$58,0),AW$59)&lt;&gt;"",INDEX(BDHKI,MATCH($C29,DiemHKI!$DI$4:$DI$58,0),AW$59),""))</f>
        <v>9.9</v>
      </c>
      <c r="AX29" s="792">
        <f t="shared" si="14"/>
        <v>1</v>
      </c>
      <c r="AY29" s="776" t="str">
        <f t="shared" si="15"/>
        <v>Em có tư duy tốt, tích cực, vận dụng thực tế tốt.</v>
      </c>
      <c r="AZ29" s="775"/>
      <c r="BA29" s="792"/>
      <c r="BB29" s="774"/>
      <c r="BC29" s="775">
        <f>IF($B29="","",IF(INDEX(BDHKI,MATCH($C29,DiemHKI!$DI$4:$DI$58,0),BC$59)&lt;&gt;"",INDEX(BDHKI,MATCH($C29,DiemHKI!$DI$4:$DI$58,0),BC$59),""))</f>
        <v>9.1999999999999993</v>
      </c>
      <c r="BD29" s="792">
        <f t="shared" si="16"/>
        <v>1</v>
      </c>
      <c r="BE29" s="776" t="str">
        <f t="shared" si="17"/>
        <v>Tích cực phát biểu trong giờ học, tương tác tốt với giáo viên và bạn bè.</v>
      </c>
      <c r="BF29" s="775"/>
      <c r="BG29" s="792"/>
      <c r="BH29" s="774"/>
      <c r="BI29" s="775">
        <f>IF($B29="","",IF(INDEX(BDHKI,MATCH($C29,DiemHKI!$DI$4:$DI$58,0),BI$59)&lt;&gt;"",INDEX(BDHKI,MATCH($C29,DiemHKI!$DI$4:$DI$58,0),BI$59),""))</f>
        <v>9.5</v>
      </c>
      <c r="BJ29" s="792">
        <f t="shared" si="18"/>
        <v>1</v>
      </c>
      <c r="BK29" s="776" t="str">
        <f t="shared" si="19"/>
        <v>Hứng thú, tích cực, học giỏi.</v>
      </c>
      <c r="BL29" s="775"/>
      <c r="BM29" s="792"/>
      <c r="BN29" s="774"/>
      <c r="BO29" s="775">
        <f>IF($B29="","",IF(INDEX(BDHKI,MATCH($C29,DiemHKI!$DI$4:$DI$58,0),BO$59)&lt;&gt;"",INDEX(BDHKI,MATCH($C29,DiemHKI!$DI$4:$DI$58,0),BO$59),""))</f>
        <v>9.9</v>
      </c>
      <c r="BP29" s="792">
        <f t="shared" si="20"/>
        <v>1</v>
      </c>
      <c r="BQ29" s="776" t="str">
        <f t="shared" si="21"/>
        <v>Học giỏi, tiếp thu nhanh, chăm ngoan.</v>
      </c>
      <c r="BR29" s="775"/>
      <c r="BS29" s="792"/>
      <c r="BT29" s="774"/>
      <c r="BU29" s="775" t="str">
        <f>IF($B29="","",IF(INDEX(BDHKI,MATCH($C29,DiemHKI!$DI$4:$DI$58,0),BU$59)&lt;&gt;"",INDEX(BDHKI,MATCH($C29,DiemHKI!$DI$4:$DI$58,0),BU$59),""))</f>
        <v>Đ</v>
      </c>
      <c r="BV29" s="792">
        <f t="shared" si="22"/>
        <v>1</v>
      </c>
      <c r="BW29" s="776" t="str">
        <f t="shared" si="23"/>
        <v>Rất ngoan, học có hiệu quả tốt.</v>
      </c>
      <c r="BX29" s="775"/>
      <c r="BY29" s="792"/>
      <c r="BZ29" s="774"/>
      <c r="CA29" s="775">
        <f>IF($B29="","",IF(INDEX(BDHKI,MATCH($C29,DiemHKI!$DI$4:$DI$58,0),CA$59)&lt;&gt;"",INDEX(BDHKI,MATCH($C29,DiemHKI!$DI$4:$DI$58,0),CA$59),""))</f>
        <v>9.9</v>
      </c>
      <c r="CB29" s="792">
        <f t="shared" si="24"/>
        <v>1</v>
      </c>
      <c r="CC29" s="776" t="str">
        <f t="shared" si="25"/>
        <v>Ngoan, tích cực xây dựng bài, nắm chắc thực hành, học giỏi.</v>
      </c>
      <c r="CD29" s="775"/>
      <c r="CE29" s="792"/>
      <c r="CF29" s="774"/>
      <c r="CG29" s="775" t="str">
        <f>IF($B29="","",IF(INDEX(BDHKI,MATCH($C29,DiemHKI!$DI$4:$DI$58,0),CG$59)&lt;&gt;"",INDEX(BDHKI,MATCH($C29,DiemHKI!$DI$4:$DI$58,0),CG$59),""))</f>
        <v/>
      </c>
      <c r="CH29" s="792" t="str">
        <f t="shared" si="26"/>
        <v/>
      </c>
      <c r="CI29" s="776" t="str">
        <f t="shared" si="27"/>
        <v/>
      </c>
      <c r="CJ29" s="775"/>
      <c r="CK29" s="792"/>
      <c r="CL29" s="774"/>
    </row>
    <row r="30" spans="1:90" ht="15" customHeight="1">
      <c r="A30" s="764"/>
      <c r="B30" s="771">
        <f>IF(B29&lt;MAX(DiemHKI!$B$4:$B$58),B29+1,"")</f>
        <v>28</v>
      </c>
      <c r="C30" s="771" t="str">
        <f t="shared" si="0"/>
        <v>12A1Phan Trương KiếnQuốc03/12/2004</v>
      </c>
      <c r="D30" s="772" t="str">
        <f>IF($B30&lt;&gt;"",PROPER(INDEX(BDHKI,MATCH($B30,DiemHKI!$B$4:$B$58,0),3)),"")</f>
        <v>Phan Trương Kiến</v>
      </c>
      <c r="E30" s="773" t="str">
        <f>IF($B30&lt;&gt;"",PROPER(INDEX(BDHKI,MATCH($B30,DiemHKI!$B$4:$B$58,0),4)),"")</f>
        <v>Quốc</v>
      </c>
      <c r="F30" s="774" t="str">
        <f>IF($B30&lt;&gt;"",PROPER(INDEX(BDHKI,MATCH($B30,DiemHKI!$B$4:$B$58,0),5)),"")</f>
        <v>03/12/2004</v>
      </c>
      <c r="G30" s="775">
        <f>IF($B30="","",IF(INDEX(BDHKI,MATCH($C30,DiemHKI!$DI$4:$DI$58,0),G$59)&lt;&gt;"",INDEX(BDHKI,MATCH($C30,DiemHKI!$DI$4:$DI$58,0),G$59),""))</f>
        <v>9.5</v>
      </c>
      <c r="H30" s="792">
        <f t="shared" si="28"/>
        <v>1</v>
      </c>
      <c r="I30" s="776" t="str">
        <f t="shared" si="1"/>
        <v>Em chăm chỉ, chuyên cần, rất tích cực, rất đáng khen.</v>
      </c>
      <c r="J30" s="775"/>
      <c r="K30" s="792">
        <v>3</v>
      </c>
      <c r="L30" s="774"/>
      <c r="M30" s="775">
        <f>IF($B30="","",IF(INDEX(BDHKI,MATCH($C30,DiemHKI!$DI$4:$DI$58,0),M$59)&lt;&gt;"",INDEX(BDHKI,MATCH($C30,DiemHKI!$DI$4:$DI$58,0),M$59),""))</f>
        <v>9.1999999999999993</v>
      </c>
      <c r="N30" s="792">
        <f t="shared" si="2"/>
        <v>1</v>
      </c>
      <c r="O30" s="776" t="str">
        <f t="shared" si="3"/>
        <v>Em chăm chỉ, chuyên cần, rất tích cực, rất đáng khen.</v>
      </c>
      <c r="P30" s="775"/>
      <c r="Q30" s="792"/>
      <c r="R30" s="774"/>
      <c r="S30" s="775">
        <f>IF($B30="","",IF(INDEX(BDHKI,MATCH($C30,DiemHKI!$DI$4:$DI$58,0),S$59)&lt;&gt;"",INDEX(BDHKI,MATCH($C30,DiemHKI!$DI$4:$DI$58,0),S$59),""))</f>
        <v>8.9</v>
      </c>
      <c r="T30" s="792">
        <f t="shared" si="4"/>
        <v>2</v>
      </c>
      <c r="U30" s="776" t="str">
        <f t="shared" si="5"/>
        <v>Học giỏi, ngoan, chuyên cần.</v>
      </c>
      <c r="V30" s="775"/>
      <c r="W30" s="792"/>
      <c r="X30" s="774"/>
      <c r="Y30" s="775">
        <f>IF($B30="","",IF(INDEX(BDHKI,MATCH($C30,DiemHKI!$DI$4:$DI$58,0),Y$59)&lt;&gt;"",INDEX(BDHKI,MATCH($C30,DiemHKI!$DI$4:$DI$58,0),Y$59),""))</f>
        <v>9.5</v>
      </c>
      <c r="Z30" s="792">
        <f t="shared" si="6"/>
        <v>1</v>
      </c>
      <c r="AA30" s="776" t="str">
        <f t="shared" si="7"/>
        <v>Sáng tạo, hoạt động nhóm rất tốt, biết chia sẻ kết quả học tập với bạn.</v>
      </c>
      <c r="AB30" s="775"/>
      <c r="AC30" s="792"/>
      <c r="AD30" s="774"/>
      <c r="AE30" s="775">
        <f>IF($B30="","",IF(INDEX(BDHKI,MATCH($C30,DiemHKI!$DI$4:$DI$58,0),AE$59)&lt;&gt;"",INDEX(BDHKI,MATCH($C30,DiemHKI!$DI$4:$DI$58,0),AE$59),""))</f>
        <v>9.8000000000000007</v>
      </c>
      <c r="AF30" s="792">
        <f t="shared" si="8"/>
        <v>1</v>
      </c>
      <c r="AG30" s="776" t="str">
        <f t="shared" si="9"/>
        <v>Rất ngoan, cố gắng có hiệu quả.</v>
      </c>
      <c r="AH30" s="775"/>
      <c r="AI30" s="792"/>
      <c r="AJ30" s="774"/>
      <c r="AK30" s="775">
        <f>IF($B30="","",IF(INDEX(BDHKI,MATCH($C30,DiemHKI!$DI$4:$DI$58,0),AK$59)&lt;&gt;"",INDEX(BDHKI,MATCH($C30,DiemHKI!$DI$4:$DI$58,0),AK$59),""))</f>
        <v>7.7</v>
      </c>
      <c r="AL30" s="792">
        <f t="shared" si="10"/>
        <v>4</v>
      </c>
      <c r="AM30" s="776" t="str">
        <f t="shared" si="11"/>
        <v>Có năng khiếu, tự giác, cảm nhận được văn bản.</v>
      </c>
      <c r="AN30" s="775"/>
      <c r="AO30" s="792"/>
      <c r="AP30" s="774"/>
      <c r="AQ30" s="775">
        <f>IF($B30="","",IF(INDEX(BDHKI,MATCH($C30,DiemHKI!$DI$4:$DI$58,0),AQ$59)&lt;&gt;"",INDEX(BDHKI,MATCH($C30,DiemHKI!$DI$4:$DI$58,0),AQ$59),""))</f>
        <v>9.6</v>
      </c>
      <c r="AR30" s="792">
        <f t="shared" si="12"/>
        <v>1</v>
      </c>
      <c r="AS30" s="776" t="str">
        <f t="shared" si="13"/>
        <v>Chăm ngoan, tích cực, chủ động tiếp thu bài học.</v>
      </c>
      <c r="AT30" s="775"/>
      <c r="AU30" s="792"/>
      <c r="AV30" s="774"/>
      <c r="AW30" s="775">
        <f>IF($B30="","",IF(INDEX(BDHKI,MATCH($C30,DiemHKI!$DI$4:$DI$58,0),AW$59)&lt;&gt;"",INDEX(BDHKI,MATCH($C30,DiemHKI!$DI$4:$DI$58,0),AW$59),""))</f>
        <v>9.9</v>
      </c>
      <c r="AX30" s="792">
        <f t="shared" si="14"/>
        <v>1</v>
      </c>
      <c r="AY30" s="776" t="str">
        <f t="shared" si="15"/>
        <v>Em rất ngoan, cố gắng có hiệu quả.</v>
      </c>
      <c r="AZ30" s="775"/>
      <c r="BA30" s="792"/>
      <c r="BB30" s="774"/>
      <c r="BC30" s="775">
        <f>IF($B30="","",IF(INDEX(BDHKI,MATCH($C30,DiemHKI!$DI$4:$DI$58,0),BC$59)&lt;&gt;"",INDEX(BDHKI,MATCH($C30,DiemHKI!$DI$4:$DI$58,0),BC$59),""))</f>
        <v>7.5</v>
      </c>
      <c r="BD30" s="792">
        <f t="shared" si="16"/>
        <v>4</v>
      </c>
      <c r="BE30" s="776" t="str">
        <f t="shared" si="17"/>
        <v>Nắm vững kiến thức căn bản, cần phát huy khả năng tự học để trau dồi thêm kiến thức.</v>
      </c>
      <c r="BF30" s="775"/>
      <c r="BG30" s="792"/>
      <c r="BH30" s="774"/>
      <c r="BI30" s="775">
        <f>IF($B30="","",IF(INDEX(BDHKI,MATCH($C30,DiemHKI!$DI$4:$DI$58,0),BI$59)&lt;&gt;"",INDEX(BDHKI,MATCH($C30,DiemHKI!$DI$4:$DI$58,0),BI$59),""))</f>
        <v>9.1</v>
      </c>
      <c r="BJ30" s="792">
        <f t="shared" si="18"/>
        <v>1</v>
      </c>
      <c r="BK30" s="776" t="str">
        <f t="shared" si="19"/>
        <v>Hứng thú, có trách nhiệm học tập tốt.</v>
      </c>
      <c r="BL30" s="775"/>
      <c r="BM30" s="792"/>
      <c r="BN30" s="774"/>
      <c r="BO30" s="775">
        <f>IF($B30="","",IF(INDEX(BDHKI,MATCH($C30,DiemHKI!$DI$4:$DI$58,0),BO$59)&lt;&gt;"",INDEX(BDHKI,MATCH($C30,DiemHKI!$DI$4:$DI$58,0),BO$59),""))</f>
        <v>9.8000000000000007</v>
      </c>
      <c r="BP30" s="792">
        <f t="shared" si="20"/>
        <v>1</v>
      </c>
      <c r="BQ30" s="776" t="str">
        <f t="shared" si="21"/>
        <v>Học giỏi, năng động, chăm ngoan.</v>
      </c>
      <c r="BR30" s="775"/>
      <c r="BS30" s="792"/>
      <c r="BT30" s="774"/>
      <c r="BU30" s="775" t="str">
        <f>IF($B30="","",IF(INDEX(BDHKI,MATCH($C30,DiemHKI!$DI$4:$DI$58,0),BU$59)&lt;&gt;"",INDEX(BDHKI,MATCH($C30,DiemHKI!$DI$4:$DI$58,0),BU$59),""))</f>
        <v>Đ</v>
      </c>
      <c r="BV30" s="792">
        <f t="shared" si="22"/>
        <v>1</v>
      </c>
      <c r="BW30" s="776" t="str">
        <f t="shared" si="23"/>
        <v>Chăm chỉ, cố gắng, rất ngoan.</v>
      </c>
      <c r="BX30" s="775"/>
      <c r="BY30" s="792"/>
      <c r="BZ30" s="774"/>
      <c r="CA30" s="775">
        <f>IF($B30="","",IF(INDEX(BDHKI,MATCH($C30,DiemHKI!$DI$4:$DI$58,0),CA$59)&lt;&gt;"",INDEX(BDHKI,MATCH($C30,DiemHKI!$DI$4:$DI$58,0),CA$59),""))</f>
        <v>9.9</v>
      </c>
      <c r="CB30" s="792">
        <f t="shared" si="24"/>
        <v>1</v>
      </c>
      <c r="CC30" s="776" t="str">
        <f t="shared" si="25"/>
        <v>Siêng năng, lễ phép, thành thạo thực hành, học giỏi.</v>
      </c>
      <c r="CD30" s="775"/>
      <c r="CE30" s="792"/>
      <c r="CF30" s="774"/>
      <c r="CG30" s="775" t="str">
        <f>IF($B30="","",IF(INDEX(BDHKI,MATCH($C30,DiemHKI!$DI$4:$DI$58,0),CG$59)&lt;&gt;"",INDEX(BDHKI,MATCH($C30,DiemHKI!$DI$4:$DI$58,0),CG$59),""))</f>
        <v/>
      </c>
      <c r="CH30" s="792" t="str">
        <f t="shared" si="26"/>
        <v/>
      </c>
      <c r="CI30" s="776" t="str">
        <f t="shared" si="27"/>
        <v/>
      </c>
      <c r="CJ30" s="775"/>
      <c r="CK30" s="792"/>
      <c r="CL30" s="774"/>
    </row>
    <row r="31" spans="1:90" ht="15" customHeight="1">
      <c r="B31" s="771">
        <f>IF(B30&lt;MAX(DiemHKI!$B$4:$B$58),B30+1,"")</f>
        <v>29</v>
      </c>
      <c r="C31" s="771" t="str">
        <f t="shared" si="0"/>
        <v>12A1Trần Thị NhưQuỳnh28/01/2004</v>
      </c>
      <c r="D31" s="772" t="str">
        <f>IF($B31&lt;&gt;"",PROPER(INDEX(BDHKI,MATCH($B31,DiemHKI!$B$4:$B$58,0),3)),"")</f>
        <v>Trần Thị Như</v>
      </c>
      <c r="E31" s="773" t="str">
        <f>IF($B31&lt;&gt;"",PROPER(INDEX(BDHKI,MATCH($B31,DiemHKI!$B$4:$B$58,0),4)),"")</f>
        <v>Quỳnh</v>
      </c>
      <c r="F31" s="774" t="str">
        <f>IF($B31&lt;&gt;"",PROPER(INDEX(BDHKI,MATCH($B31,DiemHKI!$B$4:$B$58,0),5)),"")</f>
        <v>28/01/2004</v>
      </c>
      <c r="G31" s="775">
        <f>IF($B31="","",IF(INDEX(BDHKI,MATCH($C31,DiemHKI!$DI$4:$DI$58,0),G$59)&lt;&gt;"",INDEX(BDHKI,MATCH($C31,DiemHKI!$DI$4:$DI$58,0),G$59),""))</f>
        <v>9.8000000000000007</v>
      </c>
      <c r="H31" s="792">
        <f t="shared" si="28"/>
        <v>1</v>
      </c>
      <c r="I31" s="776" t="str">
        <f t="shared" si="1"/>
        <v>Em học giỏi, chăm ngoan, tính tự giác cao, rất tốt.</v>
      </c>
      <c r="J31" s="775"/>
      <c r="K31" s="792">
        <v>4</v>
      </c>
      <c r="L31" s="774"/>
      <c r="M31" s="775">
        <f>IF($B31="","",IF(INDEX(BDHKI,MATCH($C31,DiemHKI!$DI$4:$DI$58,0),M$59)&lt;&gt;"",INDEX(BDHKI,MATCH($C31,DiemHKI!$DI$4:$DI$58,0),M$59),""))</f>
        <v>9.9</v>
      </c>
      <c r="N31" s="792">
        <f t="shared" si="2"/>
        <v>1</v>
      </c>
      <c r="O31" s="776" t="str">
        <f t="shared" si="3"/>
        <v>Em học giỏi, chăm ngoan, tính tự giác cao, rất tốt.</v>
      </c>
      <c r="P31" s="775"/>
      <c r="Q31" s="792"/>
      <c r="R31" s="774"/>
      <c r="S31" s="775">
        <f>IF($B31="","",IF(INDEX(BDHKI,MATCH($C31,DiemHKI!$DI$4:$DI$58,0),S$59)&lt;&gt;"",INDEX(BDHKI,MATCH($C31,DiemHKI!$DI$4:$DI$58,0),S$59),""))</f>
        <v>9.4</v>
      </c>
      <c r="T31" s="792">
        <f t="shared" si="4"/>
        <v>1</v>
      </c>
      <c r="U31" s="776" t="str">
        <f t="shared" si="5"/>
        <v>Kiến thức vững, tự học tốt, ngoan.</v>
      </c>
      <c r="V31" s="775"/>
      <c r="W31" s="792"/>
      <c r="X31" s="774"/>
      <c r="Y31" s="775">
        <f>IF($B31="","",IF(INDEX(BDHKI,MATCH($C31,DiemHKI!$DI$4:$DI$58,0),Y$59)&lt;&gt;"",INDEX(BDHKI,MATCH($C31,DiemHKI!$DI$4:$DI$58,0),Y$59),""))</f>
        <v>9.3000000000000007</v>
      </c>
      <c r="Z31" s="792">
        <f t="shared" si="6"/>
        <v>1</v>
      </c>
      <c r="AA31" s="776" t="str">
        <f t="shared" si="7"/>
        <v>Có khả năng tự học và tự chủ bản thân, tích cực trong học tập.</v>
      </c>
      <c r="AB31" s="775"/>
      <c r="AC31" s="792"/>
      <c r="AD31" s="774"/>
      <c r="AE31" s="775">
        <f>IF($B31="","",IF(INDEX(BDHKI,MATCH($C31,DiemHKI!$DI$4:$DI$58,0),AE$59)&lt;&gt;"",INDEX(BDHKI,MATCH($C31,DiemHKI!$DI$4:$DI$58,0),AE$59),""))</f>
        <v>9.9</v>
      </c>
      <c r="AF31" s="792">
        <f t="shared" si="8"/>
        <v>1</v>
      </c>
      <c r="AG31" s="776" t="str">
        <f t="shared" si="9"/>
        <v>Ngoan, chăm chỉ, tư duy tốt.</v>
      </c>
      <c r="AH31" s="775"/>
      <c r="AI31" s="792"/>
      <c r="AJ31" s="774"/>
      <c r="AK31" s="775">
        <f>IF($B31="","",IF(INDEX(BDHKI,MATCH($C31,DiemHKI!$DI$4:$DI$58,0),AK$59)&lt;&gt;"",INDEX(BDHKI,MATCH($C31,DiemHKI!$DI$4:$DI$58,0),AK$59),""))</f>
        <v>7.8</v>
      </c>
      <c r="AL31" s="792">
        <f t="shared" si="10"/>
        <v>4</v>
      </c>
      <c r="AM31" s="776" t="str">
        <f t="shared" si="11"/>
        <v>Có tinh thần học tập tốt, cần cố gắng rèn luyện thêm các kỹ năng.</v>
      </c>
      <c r="AN31" s="775"/>
      <c r="AO31" s="792"/>
      <c r="AP31" s="774"/>
      <c r="AQ31" s="775">
        <f>IF($B31="","",IF(INDEX(BDHKI,MATCH($C31,DiemHKI!$DI$4:$DI$58,0),AQ$59)&lt;&gt;"",INDEX(BDHKI,MATCH($C31,DiemHKI!$DI$4:$DI$58,0),AQ$59),""))</f>
        <v>9.6</v>
      </c>
      <c r="AR31" s="792">
        <f t="shared" si="12"/>
        <v>1</v>
      </c>
      <c r="AS31" s="776" t="str">
        <f t="shared" si="13"/>
        <v>Tiếp thu bài tốt, ghi nhớ nhanh các sự kiện lịch sử.</v>
      </c>
      <c r="AT31" s="775"/>
      <c r="AU31" s="792"/>
      <c r="AV31" s="774"/>
      <c r="AW31" s="775">
        <f>IF($B31="","",IF(INDEX(BDHKI,MATCH($C31,DiemHKI!$DI$4:$DI$58,0),AW$59)&lt;&gt;"",INDEX(BDHKI,MATCH($C31,DiemHKI!$DI$4:$DI$58,0),AW$59),""))</f>
        <v>9.6</v>
      </c>
      <c r="AX31" s="792">
        <f t="shared" si="14"/>
        <v>1</v>
      </c>
      <c r="AY31" s="776" t="str">
        <f t="shared" si="15"/>
        <v>Em có tư duy tốt, rất tích cực, giải quyết vấn đề tốt.</v>
      </c>
      <c r="AZ31" s="775"/>
      <c r="BA31" s="792"/>
      <c r="BB31" s="774"/>
      <c r="BC31" s="775">
        <f>IF($B31="","",IF(INDEX(BDHKI,MATCH($C31,DiemHKI!$DI$4:$DI$58,0),BC$59)&lt;&gt;"",INDEX(BDHKI,MATCH($C31,DiemHKI!$DI$4:$DI$58,0),BC$59),""))</f>
        <v>8.6999999999999993</v>
      </c>
      <c r="BD31" s="792">
        <f t="shared" si="16"/>
        <v>2</v>
      </c>
      <c r="BE31" s="776" t="str">
        <f t="shared" si="17"/>
        <v>Có khả năng nghe, nói và ngữ pháp vững.</v>
      </c>
      <c r="BF31" s="775"/>
      <c r="BG31" s="792"/>
      <c r="BH31" s="774"/>
      <c r="BI31" s="775">
        <f>IF($B31="","",IF(INDEX(BDHKI,MATCH($C31,DiemHKI!$DI$4:$DI$58,0),BI$59)&lt;&gt;"",INDEX(BDHKI,MATCH($C31,DiemHKI!$DI$4:$DI$58,0),BI$59),""))</f>
        <v>9.5</v>
      </c>
      <c r="BJ31" s="792">
        <f t="shared" si="18"/>
        <v>1</v>
      </c>
      <c r="BK31" s="776" t="str">
        <f t="shared" si="19"/>
        <v>Chăm chỉ, học giỏi.</v>
      </c>
      <c r="BL31" s="775"/>
      <c r="BM31" s="792"/>
      <c r="BN31" s="774"/>
      <c r="BO31" s="775">
        <f>IF($B31="","",IF(INDEX(BDHKI,MATCH($C31,DiemHKI!$DI$4:$DI$58,0),BO$59)&lt;&gt;"",INDEX(BDHKI,MATCH($C31,DiemHKI!$DI$4:$DI$58,0),BO$59),""))</f>
        <v>9.8000000000000007</v>
      </c>
      <c r="BP31" s="792">
        <f t="shared" si="20"/>
        <v>1</v>
      </c>
      <c r="BQ31" s="776" t="str">
        <f t="shared" si="21"/>
        <v>Năng động, sáng tạo trong học tập.</v>
      </c>
      <c r="BR31" s="775"/>
      <c r="BS31" s="792"/>
      <c r="BT31" s="774"/>
      <c r="BU31" s="775" t="str">
        <f>IF($B31="","",IF(INDEX(BDHKI,MATCH($C31,DiemHKI!$DI$4:$DI$58,0),BU$59)&lt;&gt;"",INDEX(BDHKI,MATCH($C31,DiemHKI!$DI$4:$DI$58,0),BU$59),""))</f>
        <v>Đ</v>
      </c>
      <c r="BV31" s="792">
        <f t="shared" si="22"/>
        <v>1</v>
      </c>
      <c r="BW31" s="776" t="str">
        <f t="shared" si="23"/>
        <v>Giỏi, có nhiều tiến bộ trong học tập.</v>
      </c>
      <c r="BX31" s="775"/>
      <c r="BY31" s="792"/>
      <c r="BZ31" s="774"/>
      <c r="CA31" s="775">
        <f>IF($B31="","",IF(INDEX(BDHKI,MATCH($C31,DiemHKI!$DI$4:$DI$58,0),CA$59)&lt;&gt;"",INDEX(BDHKI,MATCH($C31,DiemHKI!$DI$4:$DI$58,0),CA$59),""))</f>
        <v>9.9</v>
      </c>
      <c r="CB31" s="792">
        <f t="shared" si="24"/>
        <v>1</v>
      </c>
      <c r="CC31" s="776" t="str">
        <f t="shared" si="25"/>
        <v>Tích cực, năng động, nắm bài tốt, học giỏi.</v>
      </c>
      <c r="CD31" s="775"/>
      <c r="CE31" s="792"/>
      <c r="CF31" s="774"/>
      <c r="CG31" s="775" t="str">
        <f>IF($B31="","",IF(INDEX(BDHKI,MATCH($C31,DiemHKI!$DI$4:$DI$58,0),CG$59)&lt;&gt;"",INDEX(BDHKI,MATCH($C31,DiemHKI!$DI$4:$DI$58,0),CG$59),""))</f>
        <v/>
      </c>
      <c r="CH31" s="792" t="str">
        <f t="shared" si="26"/>
        <v/>
      </c>
      <c r="CI31" s="776" t="str">
        <f t="shared" si="27"/>
        <v/>
      </c>
      <c r="CJ31" s="775"/>
      <c r="CK31" s="792"/>
      <c r="CL31" s="774"/>
    </row>
    <row r="32" spans="1:90" ht="15" customHeight="1">
      <c r="B32" s="777">
        <f>IF(B31&lt;MAX(DiemHKI!$B$4:$B$58),B31+1,"")</f>
        <v>30</v>
      </c>
      <c r="C32" s="777" t="str">
        <f t="shared" si="0"/>
        <v>12A1Nguyễn TháiSơn14/04/2004</v>
      </c>
      <c r="D32" s="778" t="str">
        <f>IF($B32&lt;&gt;"",PROPER(INDEX(BDHKI,MATCH($B32,DiemHKI!$B$4:$B$58,0),3)),"")</f>
        <v>Nguyễn Thái</v>
      </c>
      <c r="E32" s="779" t="str">
        <f>IF($B32&lt;&gt;"",PROPER(INDEX(BDHKI,MATCH($B32,DiemHKI!$B$4:$B$58,0),4)),"")</f>
        <v>Sơn</v>
      </c>
      <c r="F32" s="780" t="str">
        <f>IF($B32&lt;&gt;"",PROPER(INDEX(BDHKI,MATCH($B32,DiemHKI!$B$4:$B$58,0),5)),"")</f>
        <v>14/04/2004</v>
      </c>
      <c r="G32" s="781">
        <f>IF($B32="","",IF(INDEX(BDHKI,MATCH($C32,DiemHKI!$DI$4:$DI$58,0),G$59)&lt;&gt;"",INDEX(BDHKI,MATCH($C32,DiemHKI!$DI$4:$DI$58,0),G$59),""))</f>
        <v>9.8000000000000007</v>
      </c>
      <c r="H32" s="793">
        <f t="shared" si="28"/>
        <v>1</v>
      </c>
      <c r="I32" s="782" t="str">
        <f t="shared" si="1"/>
        <v>Em ngoan, tích cực, năng động, rất đáng khen.</v>
      </c>
      <c r="J32" s="781"/>
      <c r="K32" s="793">
        <v>5</v>
      </c>
      <c r="L32" s="780"/>
      <c r="M32" s="781">
        <f>IF($B32="","",IF(INDEX(BDHKI,MATCH($C32,DiemHKI!$DI$4:$DI$58,0),M$59)&lt;&gt;"",INDEX(BDHKI,MATCH($C32,DiemHKI!$DI$4:$DI$58,0),M$59),""))</f>
        <v>9.6</v>
      </c>
      <c r="N32" s="793">
        <f t="shared" si="2"/>
        <v>1</v>
      </c>
      <c r="O32" s="782" t="str">
        <f t="shared" si="3"/>
        <v>Em ngoan, tích cực, năng động, rất đáng khen.</v>
      </c>
      <c r="P32" s="781"/>
      <c r="Q32" s="793"/>
      <c r="R32" s="780"/>
      <c r="S32" s="781">
        <f>IF($B32="","",IF(INDEX(BDHKI,MATCH($C32,DiemHKI!$DI$4:$DI$58,0),S$59)&lt;&gt;"",INDEX(BDHKI,MATCH($C32,DiemHKI!$DI$4:$DI$58,0),S$59),""))</f>
        <v>9</v>
      </c>
      <c r="T32" s="793">
        <f t="shared" si="4"/>
        <v>1</v>
      </c>
      <c r="U32" s="782" t="str">
        <f t="shared" si="5"/>
        <v>Kiến thức vững, sáng tạo, tự học tốt.</v>
      </c>
      <c r="V32" s="781"/>
      <c r="W32" s="793"/>
      <c r="X32" s="780"/>
      <c r="Y32" s="781">
        <f>IF($B32="","",IF(INDEX(BDHKI,MATCH($C32,DiemHKI!$DI$4:$DI$58,0),Y$59)&lt;&gt;"",INDEX(BDHKI,MATCH($C32,DiemHKI!$DI$4:$DI$58,0),Y$59),""))</f>
        <v>8.5</v>
      </c>
      <c r="Z32" s="793">
        <f t="shared" si="6"/>
        <v>2</v>
      </c>
      <c r="AA32" s="782" t="str">
        <f t="shared" si="7"/>
        <v>Ngoan, khả năng tư duy tốt, có trách nhiệm, trình bày tốt.</v>
      </c>
      <c r="AB32" s="781"/>
      <c r="AC32" s="793"/>
      <c r="AD32" s="780"/>
      <c r="AE32" s="781">
        <f>IF($B32="","",IF(INDEX(BDHKI,MATCH($C32,DiemHKI!$DI$4:$DI$58,0),AE$59)&lt;&gt;"",INDEX(BDHKI,MATCH($C32,DiemHKI!$DI$4:$DI$58,0),AE$59),""))</f>
        <v>9.8000000000000007</v>
      </c>
      <c r="AF32" s="793">
        <f t="shared" si="8"/>
        <v>1</v>
      </c>
      <c r="AG32" s="782" t="str">
        <f t="shared" si="9"/>
        <v>Học giỏi, năng động và sáng tạo trong học tập.</v>
      </c>
      <c r="AH32" s="781"/>
      <c r="AI32" s="793"/>
      <c r="AJ32" s="780"/>
      <c r="AK32" s="781">
        <f>IF($B32="","",IF(INDEX(BDHKI,MATCH($C32,DiemHKI!$DI$4:$DI$58,0),AK$59)&lt;&gt;"",INDEX(BDHKI,MATCH($C32,DiemHKI!$DI$4:$DI$58,0),AK$59),""))</f>
        <v>6.7</v>
      </c>
      <c r="AL32" s="793">
        <f t="shared" si="10"/>
        <v>6</v>
      </c>
      <c r="AM32" s="782" t="str">
        <f t="shared" si="11"/>
        <v>Cần chủ động hơn trong học tập, rèn thêm.</v>
      </c>
      <c r="AN32" s="781"/>
      <c r="AO32" s="793"/>
      <c r="AP32" s="780"/>
      <c r="AQ32" s="781">
        <f>IF($B32="","",IF(INDEX(BDHKI,MATCH($C32,DiemHKI!$DI$4:$DI$58,0),AQ$59)&lt;&gt;"",INDEX(BDHKI,MATCH($C32,DiemHKI!$DI$4:$DI$58,0),AQ$59),""))</f>
        <v>9.4</v>
      </c>
      <c r="AR32" s="793">
        <f t="shared" si="12"/>
        <v>1</v>
      </c>
      <c r="AS32" s="782" t="str">
        <f t="shared" si="13"/>
        <v>Chăm học, tích cực phát biểu xây dựng bài.</v>
      </c>
      <c r="AT32" s="781"/>
      <c r="AU32" s="793"/>
      <c r="AV32" s="780"/>
      <c r="AW32" s="781">
        <f>IF($B32="","",IF(INDEX(BDHKI,MATCH($C32,DiemHKI!$DI$4:$DI$58,0),AW$59)&lt;&gt;"",INDEX(BDHKI,MATCH($C32,DiemHKI!$DI$4:$DI$58,0),AW$59),""))</f>
        <v>9.8000000000000007</v>
      </c>
      <c r="AX32" s="793">
        <f t="shared" si="14"/>
        <v>1</v>
      </c>
      <c r="AY32" s="782" t="str">
        <f t="shared" si="15"/>
        <v>Em có tư duy tốt, tích cực, vận dụng thực tế tốt.</v>
      </c>
      <c r="AZ32" s="781"/>
      <c r="BA32" s="793"/>
      <c r="BB32" s="780"/>
      <c r="BC32" s="781">
        <f>IF($B32="","",IF(INDEX(BDHKI,MATCH($C32,DiemHKI!$DI$4:$DI$58,0),BC$59)&lt;&gt;"",INDEX(BDHKI,MATCH($C32,DiemHKI!$DI$4:$DI$58,0),BC$59),""))</f>
        <v>8.6</v>
      </c>
      <c r="BD32" s="793">
        <f t="shared" si="16"/>
        <v>2</v>
      </c>
      <c r="BE32" s="782" t="str">
        <f t="shared" si="17"/>
        <v>Chăm chỉ, tích cực phát biểu và phát âm tốt.</v>
      </c>
      <c r="BF32" s="781"/>
      <c r="BG32" s="793"/>
      <c r="BH32" s="780"/>
      <c r="BI32" s="781">
        <f>IF($B32="","",IF(INDEX(BDHKI,MATCH($C32,DiemHKI!$DI$4:$DI$58,0),BI$59)&lt;&gt;"",INDEX(BDHKI,MATCH($C32,DiemHKI!$DI$4:$DI$58,0),BI$59),""))</f>
        <v>9.1</v>
      </c>
      <c r="BJ32" s="793">
        <f t="shared" si="18"/>
        <v>1</v>
      </c>
      <c r="BK32" s="782" t="str">
        <f t="shared" si="19"/>
        <v>Hứng thú, tích cực, học giỏi.</v>
      </c>
      <c r="BL32" s="781"/>
      <c r="BM32" s="793"/>
      <c r="BN32" s="780"/>
      <c r="BO32" s="781">
        <f>IF($B32="","",IF(INDEX(BDHKI,MATCH($C32,DiemHKI!$DI$4:$DI$58,0),BO$59)&lt;&gt;"",INDEX(BDHKI,MATCH($C32,DiemHKI!$DI$4:$DI$58,0),BO$59),""))</f>
        <v>9.8000000000000007</v>
      </c>
      <c r="BP32" s="793">
        <f t="shared" si="20"/>
        <v>1</v>
      </c>
      <c r="BQ32" s="782" t="str">
        <f t="shared" si="21"/>
        <v>Học giỏi, tiếp thu nhanh, chăm ngoan.</v>
      </c>
      <c r="BR32" s="781"/>
      <c r="BS32" s="793"/>
      <c r="BT32" s="780"/>
      <c r="BU32" s="781" t="str">
        <f>IF($B32="","",IF(INDEX(BDHKI,MATCH($C32,DiemHKI!$DI$4:$DI$58,0),BU$59)&lt;&gt;"",INDEX(BDHKI,MATCH($C32,DiemHKI!$DI$4:$DI$58,0),BU$59),""))</f>
        <v>Đ</v>
      </c>
      <c r="BV32" s="793">
        <f t="shared" si="22"/>
        <v>1</v>
      </c>
      <c r="BW32" s="782" t="str">
        <f t="shared" si="23"/>
        <v>Rất ngoan, học có hiệu quả tốt.</v>
      </c>
      <c r="BX32" s="781"/>
      <c r="BY32" s="793"/>
      <c r="BZ32" s="780"/>
      <c r="CA32" s="781">
        <f>IF($B32="","",IF(INDEX(BDHKI,MATCH($C32,DiemHKI!$DI$4:$DI$58,0),CA$59)&lt;&gt;"",INDEX(BDHKI,MATCH($C32,DiemHKI!$DI$4:$DI$58,0),CA$59),""))</f>
        <v>9.9</v>
      </c>
      <c r="CB32" s="793">
        <f t="shared" si="24"/>
        <v>1</v>
      </c>
      <c r="CC32" s="782" t="str">
        <f t="shared" si="25"/>
        <v>Ngoan, tích cực xây dựng bài, nắm chắc thực hành, học giỏi.</v>
      </c>
      <c r="CD32" s="781"/>
      <c r="CE32" s="793"/>
      <c r="CF32" s="780"/>
      <c r="CG32" s="781" t="str">
        <f>IF($B32="","",IF(INDEX(BDHKI,MATCH($C32,DiemHKI!$DI$4:$DI$58,0),CG$59)&lt;&gt;"",INDEX(BDHKI,MATCH($C32,DiemHKI!$DI$4:$DI$58,0),CG$59),""))</f>
        <v/>
      </c>
      <c r="CH32" s="793" t="str">
        <f t="shared" si="26"/>
        <v/>
      </c>
      <c r="CI32" s="782" t="str">
        <f t="shared" si="27"/>
        <v/>
      </c>
      <c r="CJ32" s="781"/>
      <c r="CK32" s="793"/>
      <c r="CL32" s="780"/>
    </row>
    <row r="33" spans="2:90" ht="15" customHeight="1">
      <c r="B33" s="765">
        <f>IF(B32&lt;MAX(DiemHKI!$B$4:$B$58),B32+1,"")</f>
        <v>31</v>
      </c>
      <c r="C33" s="765" t="str">
        <f t="shared" si="0"/>
        <v>12A1Đặng HoàngTân26/09/2004</v>
      </c>
      <c r="D33" s="766" t="str">
        <f>IF($B33&lt;&gt;"",PROPER(INDEX(BDHKI,MATCH($B33,DiemHKI!$B$4:$B$58,0),3)),"")</f>
        <v>Đặng Hoàng</v>
      </c>
      <c r="E33" s="767" t="str">
        <f>IF($B33&lt;&gt;"",PROPER(INDEX(BDHKI,MATCH($B33,DiemHKI!$B$4:$B$58,0),4)),"")</f>
        <v>Tân</v>
      </c>
      <c r="F33" s="768" t="str">
        <f>IF($B33&lt;&gt;"",PROPER(INDEX(BDHKI,MATCH($B33,DiemHKI!$B$4:$B$58,0),5)),"")</f>
        <v>26/09/2004</v>
      </c>
      <c r="G33" s="769">
        <f>IF($B33="","",IF(INDEX(BDHKI,MATCH($C33,DiemHKI!$DI$4:$DI$58,0),G$59)&lt;&gt;"",INDEX(BDHKI,MATCH($C33,DiemHKI!$DI$4:$DI$58,0),G$59),""))</f>
        <v>9.4</v>
      </c>
      <c r="H33" s="791">
        <f t="shared" si="28"/>
        <v>1</v>
      </c>
      <c r="I33" s="770" t="str">
        <f t="shared" si="1"/>
        <v>Em chăm chỉ, chuyên cần, rất tích cực, rất đáng khen.</v>
      </c>
      <c r="J33" s="769"/>
      <c r="K33" s="791">
        <v>3</v>
      </c>
      <c r="L33" s="768"/>
      <c r="M33" s="769">
        <f>IF($B33="","",IF(INDEX(BDHKI,MATCH($C33,DiemHKI!$DI$4:$DI$58,0),M$59)&lt;&gt;"",INDEX(BDHKI,MATCH($C33,DiemHKI!$DI$4:$DI$58,0),M$59),""))</f>
        <v>9.6999999999999993</v>
      </c>
      <c r="N33" s="791">
        <f t="shared" si="2"/>
        <v>1</v>
      </c>
      <c r="O33" s="770" t="str">
        <f t="shared" si="3"/>
        <v>Em chăm chỉ, chuyên cần, rất tích cực, rất đáng khen.</v>
      </c>
      <c r="P33" s="769"/>
      <c r="Q33" s="791"/>
      <c r="R33" s="768"/>
      <c r="S33" s="769">
        <f>IF($B33="","",IF(INDEX(BDHKI,MATCH($C33,DiemHKI!$DI$4:$DI$58,0),S$59)&lt;&gt;"",INDEX(BDHKI,MATCH($C33,DiemHKI!$DI$4:$DI$58,0),S$59),""))</f>
        <v>9.3000000000000007</v>
      </c>
      <c r="T33" s="791">
        <f t="shared" si="4"/>
        <v>1</v>
      </c>
      <c r="U33" s="770" t="str">
        <f t="shared" si="5"/>
        <v>Học giỏi, thông minh, cần phát huy.</v>
      </c>
      <c r="V33" s="769"/>
      <c r="W33" s="791"/>
      <c r="X33" s="768"/>
      <c r="Y33" s="769">
        <f>IF($B33="","",IF(INDEX(BDHKI,MATCH($C33,DiemHKI!$DI$4:$DI$58,0),Y$59)&lt;&gt;"",INDEX(BDHKI,MATCH($C33,DiemHKI!$DI$4:$DI$58,0),Y$59),""))</f>
        <v>8.1</v>
      </c>
      <c r="Z33" s="791">
        <f t="shared" si="6"/>
        <v>3</v>
      </c>
      <c r="AA33" s="770" t="str">
        <f t="shared" si="7"/>
        <v>Ngoan, có khả năng quan sát và giải quyết tốt vấn đề.</v>
      </c>
      <c r="AB33" s="769"/>
      <c r="AC33" s="791"/>
      <c r="AD33" s="768"/>
      <c r="AE33" s="769">
        <f>IF($B33="","",IF(INDEX(BDHKI,MATCH($C33,DiemHKI!$DI$4:$DI$58,0),AE$59)&lt;&gt;"",INDEX(BDHKI,MATCH($C33,DiemHKI!$DI$4:$DI$58,0),AE$59),""))</f>
        <v>9.8000000000000007</v>
      </c>
      <c r="AF33" s="791">
        <f t="shared" si="8"/>
        <v>1</v>
      </c>
      <c r="AG33" s="770" t="str">
        <f t="shared" si="9"/>
        <v>Rất ngoan, cố gắng có hiệu quả.</v>
      </c>
      <c r="AH33" s="769"/>
      <c r="AI33" s="791"/>
      <c r="AJ33" s="768"/>
      <c r="AK33" s="769">
        <f>IF($B33="","",IF(INDEX(BDHKI,MATCH($C33,DiemHKI!$DI$4:$DI$58,0),AK$59)&lt;&gt;"",INDEX(BDHKI,MATCH($C33,DiemHKI!$DI$4:$DI$58,0),AK$59),""))</f>
        <v>7.3</v>
      </c>
      <c r="AL33" s="791">
        <f t="shared" si="10"/>
        <v>5</v>
      </c>
      <c r="AM33" s="770" t="str">
        <f t="shared" si="11"/>
        <v>Học khá, cần chủ động rèn thêm kỹ năng diễn đạt.</v>
      </c>
      <c r="AN33" s="769"/>
      <c r="AO33" s="791"/>
      <c r="AP33" s="768"/>
      <c r="AQ33" s="769">
        <f>IF($B33="","",IF(INDEX(BDHKI,MATCH($C33,DiemHKI!$DI$4:$DI$58,0),AQ$59)&lt;&gt;"",INDEX(BDHKI,MATCH($C33,DiemHKI!$DI$4:$DI$58,0),AQ$59),""))</f>
        <v>9.6</v>
      </c>
      <c r="AR33" s="791">
        <f t="shared" si="12"/>
        <v>1</v>
      </c>
      <c r="AS33" s="770" t="str">
        <f t="shared" si="13"/>
        <v>Chăm ngoan, tích cực, chủ động tiếp thu bài học.</v>
      </c>
      <c r="AT33" s="769"/>
      <c r="AU33" s="791"/>
      <c r="AV33" s="768"/>
      <c r="AW33" s="769">
        <f>IF($B33="","",IF(INDEX(BDHKI,MATCH($C33,DiemHKI!$DI$4:$DI$58,0),AW$59)&lt;&gt;"",INDEX(BDHKI,MATCH($C33,DiemHKI!$DI$4:$DI$58,0),AW$59),""))</f>
        <v>9.8000000000000007</v>
      </c>
      <c r="AX33" s="791">
        <f t="shared" si="14"/>
        <v>1</v>
      </c>
      <c r="AY33" s="770" t="str">
        <f t="shared" si="15"/>
        <v>Em rất ngoan, cố gắng có hiệu quả.</v>
      </c>
      <c r="AZ33" s="769"/>
      <c r="BA33" s="791"/>
      <c r="BB33" s="768"/>
      <c r="BC33" s="769">
        <f>IF($B33="","",IF(INDEX(BDHKI,MATCH($C33,DiemHKI!$DI$4:$DI$58,0),BC$59)&lt;&gt;"",INDEX(BDHKI,MATCH($C33,DiemHKI!$DI$4:$DI$58,0),BC$59),""))</f>
        <v>9.1</v>
      </c>
      <c r="BD33" s="791">
        <f t="shared" si="16"/>
        <v>1</v>
      </c>
      <c r="BE33" s="770" t="str">
        <f t="shared" si="17"/>
        <v>Có năng khiếu, tự tin, giao tiếp tốt và có khả năng làm việc nhóm.</v>
      </c>
      <c r="BF33" s="769"/>
      <c r="BG33" s="791"/>
      <c r="BH33" s="768"/>
      <c r="BI33" s="769">
        <f>IF($B33="","",IF(INDEX(BDHKI,MATCH($C33,DiemHKI!$DI$4:$DI$58,0),BI$59)&lt;&gt;"",INDEX(BDHKI,MATCH($C33,DiemHKI!$DI$4:$DI$58,0),BI$59),""))</f>
        <v>8.8000000000000007</v>
      </c>
      <c r="BJ33" s="791">
        <f t="shared" si="18"/>
        <v>2</v>
      </c>
      <c r="BK33" s="770" t="str">
        <f t="shared" si="19"/>
        <v>Tích cực, chăm chỉ, học tốt.</v>
      </c>
      <c r="BL33" s="769"/>
      <c r="BM33" s="791"/>
      <c r="BN33" s="768"/>
      <c r="BO33" s="769">
        <f>IF($B33="","",IF(INDEX(BDHKI,MATCH($C33,DiemHKI!$DI$4:$DI$58,0),BO$59)&lt;&gt;"",INDEX(BDHKI,MATCH($C33,DiemHKI!$DI$4:$DI$58,0),BO$59),""))</f>
        <v>9.9</v>
      </c>
      <c r="BP33" s="791">
        <f t="shared" si="20"/>
        <v>1</v>
      </c>
      <c r="BQ33" s="770" t="str">
        <f t="shared" si="21"/>
        <v>Học giỏi, năng động, chăm ngoan.</v>
      </c>
      <c r="BR33" s="769"/>
      <c r="BS33" s="791"/>
      <c r="BT33" s="768"/>
      <c r="BU33" s="769" t="str">
        <f>IF($B33="","",IF(INDEX(BDHKI,MATCH($C33,DiemHKI!$DI$4:$DI$58,0),BU$59)&lt;&gt;"",INDEX(BDHKI,MATCH($C33,DiemHKI!$DI$4:$DI$58,0),BU$59),""))</f>
        <v>Đ</v>
      </c>
      <c r="BV33" s="791">
        <f t="shared" si="22"/>
        <v>1</v>
      </c>
      <c r="BW33" s="770" t="str">
        <f t="shared" si="23"/>
        <v>Chăm chỉ, cố gắng, rất ngoan.</v>
      </c>
      <c r="BX33" s="769"/>
      <c r="BY33" s="791"/>
      <c r="BZ33" s="768"/>
      <c r="CA33" s="769">
        <f>IF($B33="","",IF(INDEX(BDHKI,MATCH($C33,DiemHKI!$DI$4:$DI$58,0),CA$59)&lt;&gt;"",INDEX(BDHKI,MATCH($C33,DiemHKI!$DI$4:$DI$58,0),CA$59),""))</f>
        <v>9.9</v>
      </c>
      <c r="CB33" s="791">
        <f t="shared" si="24"/>
        <v>1</v>
      </c>
      <c r="CC33" s="770" t="str">
        <f t="shared" si="25"/>
        <v>Siêng năng, lễ phép, thành thạo thực hành, học giỏi.</v>
      </c>
      <c r="CD33" s="769"/>
      <c r="CE33" s="791"/>
      <c r="CF33" s="768"/>
      <c r="CG33" s="769" t="str">
        <f>IF($B33="","",IF(INDEX(BDHKI,MATCH($C33,DiemHKI!$DI$4:$DI$58,0),CG$59)&lt;&gt;"",INDEX(BDHKI,MATCH($C33,DiemHKI!$DI$4:$DI$58,0),CG$59),""))</f>
        <v/>
      </c>
      <c r="CH33" s="791" t="str">
        <f t="shared" si="26"/>
        <v/>
      </c>
      <c r="CI33" s="770" t="str">
        <f t="shared" si="27"/>
        <v/>
      </c>
      <c r="CJ33" s="769"/>
      <c r="CK33" s="791"/>
      <c r="CL33" s="768"/>
    </row>
    <row r="34" spans="2:90" ht="15" customHeight="1">
      <c r="B34" s="771">
        <f>IF(B33&lt;MAX(DiemHKI!$B$4:$B$58),B33+1,"")</f>
        <v>32</v>
      </c>
      <c r="C34" s="771" t="str">
        <f t="shared" si="0"/>
        <v>12A1Hồ QuangThành28/02/2004</v>
      </c>
      <c r="D34" s="772" t="str">
        <f>IF($B34&lt;&gt;"",PROPER(INDEX(BDHKI,MATCH($B34,DiemHKI!$B$4:$B$58,0),3)),"")</f>
        <v>Hồ Quang</v>
      </c>
      <c r="E34" s="773" t="str">
        <f>IF($B34&lt;&gt;"",PROPER(INDEX(BDHKI,MATCH($B34,DiemHKI!$B$4:$B$58,0),4)),"")</f>
        <v>Thành</v>
      </c>
      <c r="F34" s="774" t="str">
        <f>IF($B34&lt;&gt;"",PROPER(INDEX(BDHKI,MATCH($B34,DiemHKI!$B$4:$B$58,0),5)),"")</f>
        <v>28/02/2004</v>
      </c>
      <c r="G34" s="775">
        <f>IF($B34="","",IF(INDEX(BDHKI,MATCH($C34,DiemHKI!$DI$4:$DI$58,0),G$59)&lt;&gt;"",INDEX(BDHKI,MATCH($C34,DiemHKI!$DI$4:$DI$58,0),G$59),""))</f>
        <v>9.5</v>
      </c>
      <c r="H34" s="792">
        <f t="shared" si="28"/>
        <v>1</v>
      </c>
      <c r="I34" s="776" t="str">
        <f t="shared" si="1"/>
        <v>Em học giỏi, chăm ngoan, tính tự giác cao, rất tốt.</v>
      </c>
      <c r="J34" s="775"/>
      <c r="K34" s="792">
        <v>4</v>
      </c>
      <c r="L34" s="774"/>
      <c r="M34" s="775">
        <f>IF($B34="","",IF(INDEX(BDHKI,MATCH($C34,DiemHKI!$DI$4:$DI$58,0),M$59)&lt;&gt;"",INDEX(BDHKI,MATCH($C34,DiemHKI!$DI$4:$DI$58,0),M$59),""))</f>
        <v>9.5</v>
      </c>
      <c r="N34" s="792">
        <f t="shared" si="2"/>
        <v>1</v>
      </c>
      <c r="O34" s="776" t="str">
        <f t="shared" si="3"/>
        <v>Em học giỏi, chăm ngoan, tính tự giác cao, rất tốt.</v>
      </c>
      <c r="P34" s="775"/>
      <c r="Q34" s="792"/>
      <c r="R34" s="774"/>
      <c r="S34" s="775">
        <f>IF($B34="","",IF(INDEX(BDHKI,MATCH($C34,DiemHKI!$DI$4:$DI$58,0),S$59)&lt;&gt;"",INDEX(BDHKI,MATCH($C34,DiemHKI!$DI$4:$DI$58,0),S$59),""))</f>
        <v>8.8000000000000007</v>
      </c>
      <c r="T34" s="792">
        <f t="shared" si="4"/>
        <v>2</v>
      </c>
      <c r="U34" s="776" t="str">
        <f t="shared" si="5"/>
        <v>Kiến thức vững, ngoan, tự học tốt.</v>
      </c>
      <c r="V34" s="775"/>
      <c r="W34" s="792"/>
      <c r="X34" s="774"/>
      <c r="Y34" s="775">
        <f>IF($B34="","",IF(INDEX(BDHKI,MATCH($C34,DiemHKI!$DI$4:$DI$58,0),Y$59)&lt;&gt;"",INDEX(BDHKI,MATCH($C34,DiemHKI!$DI$4:$DI$58,0),Y$59),""))</f>
        <v>9.8000000000000007</v>
      </c>
      <c r="Z34" s="792">
        <f t="shared" si="6"/>
        <v>1</v>
      </c>
      <c r="AA34" s="776" t="str">
        <f t="shared" si="7"/>
        <v>Có khả năng tự học và tự chủ bản thân, tích cực trong học tập.</v>
      </c>
      <c r="AB34" s="775"/>
      <c r="AC34" s="792"/>
      <c r="AD34" s="774"/>
      <c r="AE34" s="775">
        <f>IF($B34="","",IF(INDEX(BDHKI,MATCH($C34,DiemHKI!$DI$4:$DI$58,0),AE$59)&lt;&gt;"",INDEX(BDHKI,MATCH($C34,DiemHKI!$DI$4:$DI$58,0),AE$59),""))</f>
        <v>9.8000000000000007</v>
      </c>
      <c r="AF34" s="792">
        <f t="shared" si="8"/>
        <v>1</v>
      </c>
      <c r="AG34" s="776" t="str">
        <f t="shared" si="9"/>
        <v>Ngoan, chăm chỉ, tư duy tốt.</v>
      </c>
      <c r="AH34" s="775"/>
      <c r="AI34" s="792"/>
      <c r="AJ34" s="774"/>
      <c r="AK34" s="775">
        <f>IF($B34="","",IF(INDEX(BDHKI,MATCH($C34,DiemHKI!$DI$4:$DI$58,0),AK$59)&lt;&gt;"",INDEX(BDHKI,MATCH($C34,DiemHKI!$DI$4:$DI$58,0),AK$59),""))</f>
        <v>7.9</v>
      </c>
      <c r="AL34" s="792">
        <f t="shared" si="10"/>
        <v>4</v>
      </c>
      <c r="AM34" s="776" t="str">
        <f t="shared" si="11"/>
        <v>Có tinh thần học tập tốt, cần cố gắng rèn luyện thêm các kỹ năng.</v>
      </c>
      <c r="AN34" s="775"/>
      <c r="AO34" s="792"/>
      <c r="AP34" s="774"/>
      <c r="AQ34" s="775">
        <f>IF($B34="","",IF(INDEX(BDHKI,MATCH($C34,DiemHKI!$DI$4:$DI$58,0),AQ$59)&lt;&gt;"",INDEX(BDHKI,MATCH($C34,DiemHKI!$DI$4:$DI$58,0),AQ$59),""))</f>
        <v>9.6</v>
      </c>
      <c r="AR34" s="792">
        <f t="shared" si="12"/>
        <v>1</v>
      </c>
      <c r="AS34" s="776" t="str">
        <f t="shared" si="13"/>
        <v>Tiếp thu bài tốt, ghi nhớ nhanh các sự kiện lịch sử.</v>
      </c>
      <c r="AT34" s="775"/>
      <c r="AU34" s="792"/>
      <c r="AV34" s="774"/>
      <c r="AW34" s="775">
        <f>IF($B34="","",IF(INDEX(BDHKI,MATCH($C34,DiemHKI!$DI$4:$DI$58,0),AW$59)&lt;&gt;"",INDEX(BDHKI,MATCH($C34,DiemHKI!$DI$4:$DI$58,0),AW$59),""))</f>
        <v>9.8000000000000007</v>
      </c>
      <c r="AX34" s="792">
        <f t="shared" si="14"/>
        <v>1</v>
      </c>
      <c r="AY34" s="776" t="str">
        <f t="shared" si="15"/>
        <v>Em có tư duy tốt, rất tích cực, giải quyết vấn đề tốt.</v>
      </c>
      <c r="AZ34" s="775"/>
      <c r="BA34" s="792"/>
      <c r="BB34" s="774"/>
      <c r="BC34" s="775">
        <f>IF($B34="","",IF(INDEX(BDHKI,MATCH($C34,DiemHKI!$DI$4:$DI$58,0),BC$59)&lt;&gt;"",INDEX(BDHKI,MATCH($C34,DiemHKI!$DI$4:$DI$58,0),BC$59),""))</f>
        <v>9</v>
      </c>
      <c r="BD34" s="792">
        <f t="shared" si="16"/>
        <v>1</v>
      </c>
      <c r="BE34" s="776" t="str">
        <f t="shared" si="17"/>
        <v>Chăm chỉ, chuyên cần, rất tích cực và năng động.</v>
      </c>
      <c r="BF34" s="775"/>
      <c r="BG34" s="792"/>
      <c r="BH34" s="774"/>
      <c r="BI34" s="775">
        <f>IF($B34="","",IF(INDEX(BDHKI,MATCH($C34,DiemHKI!$DI$4:$DI$58,0),BI$59)&lt;&gt;"",INDEX(BDHKI,MATCH($C34,DiemHKI!$DI$4:$DI$58,0),BI$59),""))</f>
        <v>9.8000000000000007</v>
      </c>
      <c r="BJ34" s="792">
        <f t="shared" si="18"/>
        <v>1</v>
      </c>
      <c r="BK34" s="776" t="str">
        <f t="shared" si="19"/>
        <v>Chăm chỉ, học giỏi.</v>
      </c>
      <c r="BL34" s="775"/>
      <c r="BM34" s="792"/>
      <c r="BN34" s="774"/>
      <c r="BO34" s="775">
        <f>IF($B34="","",IF(INDEX(BDHKI,MATCH($C34,DiemHKI!$DI$4:$DI$58,0),BO$59)&lt;&gt;"",INDEX(BDHKI,MATCH($C34,DiemHKI!$DI$4:$DI$58,0),BO$59),""))</f>
        <v>9.4</v>
      </c>
      <c r="BP34" s="792">
        <f t="shared" si="20"/>
        <v>1</v>
      </c>
      <c r="BQ34" s="776" t="str">
        <f t="shared" si="21"/>
        <v>Năng động, sáng tạo trong học tập.</v>
      </c>
      <c r="BR34" s="775"/>
      <c r="BS34" s="792"/>
      <c r="BT34" s="774"/>
      <c r="BU34" s="775" t="str">
        <f>IF($B34="","",IF(INDEX(BDHKI,MATCH($C34,DiemHKI!$DI$4:$DI$58,0),BU$59)&lt;&gt;"",INDEX(BDHKI,MATCH($C34,DiemHKI!$DI$4:$DI$58,0),BU$59),""))</f>
        <v>Đ</v>
      </c>
      <c r="BV34" s="792">
        <f t="shared" si="22"/>
        <v>1</v>
      </c>
      <c r="BW34" s="776" t="str">
        <f t="shared" si="23"/>
        <v>Giỏi, có nhiều tiến bộ trong học tập.</v>
      </c>
      <c r="BX34" s="775"/>
      <c r="BY34" s="792"/>
      <c r="BZ34" s="774"/>
      <c r="CA34" s="775">
        <f>IF($B34="","",IF(INDEX(BDHKI,MATCH($C34,DiemHKI!$DI$4:$DI$58,0),CA$59)&lt;&gt;"",INDEX(BDHKI,MATCH($C34,DiemHKI!$DI$4:$DI$58,0),CA$59),""))</f>
        <v>9.9</v>
      </c>
      <c r="CB34" s="792">
        <f t="shared" si="24"/>
        <v>1</v>
      </c>
      <c r="CC34" s="776" t="str">
        <f t="shared" si="25"/>
        <v>Tích cực, năng động, nắm bài tốt, học giỏi.</v>
      </c>
      <c r="CD34" s="775"/>
      <c r="CE34" s="792"/>
      <c r="CF34" s="774"/>
      <c r="CG34" s="775" t="str">
        <f>IF($B34="","",IF(INDEX(BDHKI,MATCH($C34,DiemHKI!$DI$4:$DI$58,0),CG$59)&lt;&gt;"",INDEX(BDHKI,MATCH($C34,DiemHKI!$DI$4:$DI$58,0),CG$59),""))</f>
        <v/>
      </c>
      <c r="CH34" s="792" t="str">
        <f t="shared" si="26"/>
        <v/>
      </c>
      <c r="CI34" s="776" t="str">
        <f t="shared" si="27"/>
        <v/>
      </c>
      <c r="CJ34" s="775"/>
      <c r="CK34" s="792"/>
      <c r="CL34" s="774"/>
    </row>
    <row r="35" spans="2:90" ht="15" customHeight="1">
      <c r="B35" s="771">
        <f>IF(B34&lt;MAX(DiemHKI!$B$4:$B$58),B34+1,"")</f>
        <v>33</v>
      </c>
      <c r="C35" s="771" t="str">
        <f t="shared" si="0"/>
        <v>12A1Trần ThịnhThịnh18/08/2004</v>
      </c>
      <c r="D35" s="772" t="str">
        <f>IF($B35&lt;&gt;"",PROPER(INDEX(BDHKI,MATCH($B35,DiemHKI!$B$4:$B$58,0),3)),"")</f>
        <v>Trần Thịnh</v>
      </c>
      <c r="E35" s="773" t="str">
        <f>IF($B35&lt;&gt;"",PROPER(INDEX(BDHKI,MATCH($B35,DiemHKI!$B$4:$B$58,0),4)),"")</f>
        <v>Thịnh</v>
      </c>
      <c r="F35" s="774" t="str">
        <f>IF($B35&lt;&gt;"",PROPER(INDEX(BDHKI,MATCH($B35,DiemHKI!$B$4:$B$58,0),5)),"")</f>
        <v>18/08/2004</v>
      </c>
      <c r="G35" s="775">
        <f>IF($B35="","",IF(INDEX(BDHKI,MATCH($C35,DiemHKI!$DI$4:$DI$58,0),G$59)&lt;&gt;"",INDEX(BDHKI,MATCH($C35,DiemHKI!$DI$4:$DI$58,0),G$59),""))</f>
        <v>9.8000000000000007</v>
      </c>
      <c r="H35" s="792">
        <f t="shared" si="28"/>
        <v>1</v>
      </c>
      <c r="I35" s="776" t="str">
        <f t="shared" si="1"/>
        <v>Em ngoan, tích cực, năng động, rất đáng khen.</v>
      </c>
      <c r="J35" s="775"/>
      <c r="K35" s="792">
        <v>5</v>
      </c>
      <c r="L35" s="774"/>
      <c r="M35" s="775">
        <f>IF($B35="","",IF(INDEX(BDHKI,MATCH($C35,DiemHKI!$DI$4:$DI$58,0),M$59)&lt;&gt;"",INDEX(BDHKI,MATCH($C35,DiemHKI!$DI$4:$DI$58,0),M$59),""))</f>
        <v>9.6</v>
      </c>
      <c r="N35" s="792">
        <f t="shared" si="2"/>
        <v>1</v>
      </c>
      <c r="O35" s="776" t="str">
        <f t="shared" si="3"/>
        <v>Em ngoan, tích cực, năng động, rất đáng khen.</v>
      </c>
      <c r="P35" s="775"/>
      <c r="Q35" s="792"/>
      <c r="R35" s="774"/>
      <c r="S35" s="775">
        <f>IF($B35="","",IF(INDEX(BDHKI,MATCH($C35,DiemHKI!$DI$4:$DI$58,0),S$59)&lt;&gt;"",INDEX(BDHKI,MATCH($C35,DiemHKI!$DI$4:$DI$58,0),S$59),""))</f>
        <v>9.5</v>
      </c>
      <c r="T35" s="792">
        <f t="shared" si="4"/>
        <v>1</v>
      </c>
      <c r="U35" s="776" t="str">
        <f t="shared" si="5"/>
        <v>Kiến thức vững, sáng tạo, tự học tốt.</v>
      </c>
      <c r="V35" s="775"/>
      <c r="W35" s="792"/>
      <c r="X35" s="774"/>
      <c r="Y35" s="775">
        <f>IF($B35="","",IF(INDEX(BDHKI,MATCH($C35,DiemHKI!$DI$4:$DI$58,0),Y$59)&lt;&gt;"",INDEX(BDHKI,MATCH($C35,DiemHKI!$DI$4:$DI$58,0),Y$59),""))</f>
        <v>9.3000000000000007</v>
      </c>
      <c r="Z35" s="792">
        <f t="shared" si="6"/>
        <v>1</v>
      </c>
      <c r="AA35" s="776" t="str">
        <f t="shared" si="7"/>
        <v>Ý thức học tập tốt, vận dụng tốt kiến thức học tập</v>
      </c>
      <c r="AB35" s="775"/>
      <c r="AC35" s="792"/>
      <c r="AD35" s="774"/>
      <c r="AE35" s="775">
        <f>IF($B35="","",IF(INDEX(BDHKI,MATCH($C35,DiemHKI!$DI$4:$DI$58,0),AE$59)&lt;&gt;"",INDEX(BDHKI,MATCH($C35,DiemHKI!$DI$4:$DI$58,0),AE$59),""))</f>
        <v>9.6</v>
      </c>
      <c r="AF35" s="792">
        <f t="shared" si="8"/>
        <v>1</v>
      </c>
      <c r="AG35" s="776" t="str">
        <f t="shared" si="9"/>
        <v>Học giỏi, năng động và sáng tạo trong học tập.</v>
      </c>
      <c r="AH35" s="775"/>
      <c r="AI35" s="792"/>
      <c r="AJ35" s="774"/>
      <c r="AK35" s="775">
        <f>IF($B35="","",IF(INDEX(BDHKI,MATCH($C35,DiemHKI!$DI$4:$DI$58,0),AK$59)&lt;&gt;"",INDEX(BDHKI,MATCH($C35,DiemHKI!$DI$4:$DI$58,0),AK$59),""))</f>
        <v>7.3</v>
      </c>
      <c r="AL35" s="792">
        <f t="shared" si="10"/>
        <v>5</v>
      </c>
      <c r="AM35" s="776" t="str">
        <f t="shared" si="11"/>
        <v>Cần tích cực rèn thêm kỹ năng đọc, viết.</v>
      </c>
      <c r="AN35" s="775"/>
      <c r="AO35" s="792"/>
      <c r="AP35" s="774"/>
      <c r="AQ35" s="775">
        <f>IF($B35="","",IF(INDEX(BDHKI,MATCH($C35,DiemHKI!$DI$4:$DI$58,0),AQ$59)&lt;&gt;"",INDEX(BDHKI,MATCH($C35,DiemHKI!$DI$4:$DI$58,0),AQ$59),""))</f>
        <v>9.1</v>
      </c>
      <c r="AR35" s="792">
        <f t="shared" si="12"/>
        <v>1</v>
      </c>
      <c r="AS35" s="776" t="str">
        <f t="shared" si="13"/>
        <v>Chăm học, tích cực phát biểu xây dựng bài.</v>
      </c>
      <c r="AT35" s="775"/>
      <c r="AU35" s="792"/>
      <c r="AV35" s="774"/>
      <c r="AW35" s="775">
        <f>IF($B35="","",IF(INDEX(BDHKI,MATCH($C35,DiemHKI!$DI$4:$DI$58,0),AW$59)&lt;&gt;"",INDEX(BDHKI,MATCH($C35,DiemHKI!$DI$4:$DI$58,0),AW$59),""))</f>
        <v>9.1</v>
      </c>
      <c r="AX35" s="792">
        <f t="shared" si="14"/>
        <v>1</v>
      </c>
      <c r="AY35" s="776" t="str">
        <f t="shared" si="15"/>
        <v>Em có tư duy tốt, tích cực, vận dụng thực tế tốt.</v>
      </c>
      <c r="AZ35" s="775"/>
      <c r="BA35" s="792"/>
      <c r="BB35" s="774"/>
      <c r="BC35" s="775">
        <f>IF($B35="","",IF(INDEX(BDHKI,MATCH($C35,DiemHKI!$DI$4:$DI$58,0),BC$59)&lt;&gt;"",INDEX(BDHKI,MATCH($C35,DiemHKI!$DI$4:$DI$58,0),BC$59),""))</f>
        <v>8.9</v>
      </c>
      <c r="BD35" s="792">
        <f t="shared" si="16"/>
        <v>2</v>
      </c>
      <c r="BE35" s="776" t="str">
        <f t="shared" si="17"/>
        <v>Chăm chỉ, tích cực phát biểu và phát âm tốt.</v>
      </c>
      <c r="BF35" s="775"/>
      <c r="BG35" s="792"/>
      <c r="BH35" s="774"/>
      <c r="BI35" s="775">
        <f>IF($B35="","",IF(INDEX(BDHKI,MATCH($C35,DiemHKI!$DI$4:$DI$58,0),BI$59)&lt;&gt;"",INDEX(BDHKI,MATCH($C35,DiemHKI!$DI$4:$DI$58,0),BI$59),""))</f>
        <v>9.1</v>
      </c>
      <c r="BJ35" s="792">
        <f t="shared" si="18"/>
        <v>1</v>
      </c>
      <c r="BK35" s="776" t="str">
        <f t="shared" si="19"/>
        <v>Hứng thú, tích cực, học giỏi.</v>
      </c>
      <c r="BL35" s="775"/>
      <c r="BM35" s="792"/>
      <c r="BN35" s="774"/>
      <c r="BO35" s="775">
        <f>IF($B35="","",IF(INDEX(BDHKI,MATCH($C35,DiemHKI!$DI$4:$DI$58,0),BO$59)&lt;&gt;"",INDEX(BDHKI,MATCH($C35,DiemHKI!$DI$4:$DI$58,0),BO$59),""))</f>
        <v>9.8000000000000007</v>
      </c>
      <c r="BP35" s="792">
        <f t="shared" si="20"/>
        <v>1</v>
      </c>
      <c r="BQ35" s="776" t="str">
        <f t="shared" si="21"/>
        <v>Học giỏi, tiếp thu nhanh, chăm ngoan.</v>
      </c>
      <c r="BR35" s="775"/>
      <c r="BS35" s="792"/>
      <c r="BT35" s="774"/>
      <c r="BU35" s="775" t="str">
        <f>IF($B35="","",IF(INDEX(BDHKI,MATCH($C35,DiemHKI!$DI$4:$DI$58,0),BU$59)&lt;&gt;"",INDEX(BDHKI,MATCH($C35,DiemHKI!$DI$4:$DI$58,0),BU$59),""))</f>
        <v>Đ</v>
      </c>
      <c r="BV35" s="792">
        <f t="shared" si="22"/>
        <v>1</v>
      </c>
      <c r="BW35" s="776" t="str">
        <f t="shared" si="23"/>
        <v>Rất ngoan, học có hiệu quả tốt.</v>
      </c>
      <c r="BX35" s="775"/>
      <c r="BY35" s="792"/>
      <c r="BZ35" s="774"/>
      <c r="CA35" s="775">
        <f>IF($B35="","",IF(INDEX(BDHKI,MATCH($C35,DiemHKI!$DI$4:$DI$58,0),CA$59)&lt;&gt;"",INDEX(BDHKI,MATCH($C35,DiemHKI!$DI$4:$DI$58,0),CA$59),""))</f>
        <v>9.9</v>
      </c>
      <c r="CB35" s="792">
        <f t="shared" si="24"/>
        <v>1</v>
      </c>
      <c r="CC35" s="776" t="str">
        <f t="shared" si="25"/>
        <v>Ngoan, tích cực xây dựng bài, nắm chắc thực hành, học giỏi.</v>
      </c>
      <c r="CD35" s="775"/>
      <c r="CE35" s="792"/>
      <c r="CF35" s="774"/>
      <c r="CG35" s="775" t="str">
        <f>IF($B35="","",IF(INDEX(BDHKI,MATCH($C35,DiemHKI!$DI$4:$DI$58,0),CG$59)&lt;&gt;"",INDEX(BDHKI,MATCH($C35,DiemHKI!$DI$4:$DI$58,0),CG$59),""))</f>
        <v/>
      </c>
      <c r="CH35" s="792" t="str">
        <f t="shared" si="26"/>
        <v/>
      </c>
      <c r="CI35" s="776" t="str">
        <f t="shared" si="27"/>
        <v/>
      </c>
      <c r="CJ35" s="775"/>
      <c r="CK35" s="792"/>
      <c r="CL35" s="774"/>
    </row>
    <row r="36" spans="2:90" ht="15" customHeight="1">
      <c r="B36" s="771">
        <f>IF(B35&lt;MAX(DiemHKI!$B$4:$B$58),B35+1,"")</f>
        <v>34</v>
      </c>
      <c r="C36" s="771" t="str">
        <f t="shared" si="0"/>
        <v>12A1Trần Kim BảoTrân05/06/2004</v>
      </c>
      <c r="D36" s="772" t="str">
        <f>IF($B36&lt;&gt;"",PROPER(INDEX(BDHKI,MATCH($B36,DiemHKI!$B$4:$B$58,0),3)),"")</f>
        <v>Trần Kim Bảo</v>
      </c>
      <c r="E36" s="773" t="str">
        <f>IF($B36&lt;&gt;"",PROPER(INDEX(BDHKI,MATCH($B36,DiemHKI!$B$4:$B$58,0),4)),"")</f>
        <v>Trân</v>
      </c>
      <c r="F36" s="774" t="str">
        <f>IF($B36&lt;&gt;"",PROPER(INDEX(BDHKI,MATCH($B36,DiemHKI!$B$4:$B$58,0),5)),"")</f>
        <v>05/06/2004</v>
      </c>
      <c r="G36" s="775">
        <f>IF($B36="","",IF(INDEX(BDHKI,MATCH($C36,DiemHKI!$DI$4:$DI$58,0),G$59)&lt;&gt;"",INDEX(BDHKI,MATCH($C36,DiemHKI!$DI$4:$DI$58,0),G$59),""))</f>
        <v>9.1999999999999993</v>
      </c>
      <c r="H36" s="792">
        <f t="shared" si="28"/>
        <v>1</v>
      </c>
      <c r="I36" s="776" t="str">
        <f t="shared" si="1"/>
        <v>Em chăm chỉ, chuyên cần, rất tích cực, rất đáng khen.</v>
      </c>
      <c r="J36" s="775"/>
      <c r="K36" s="792">
        <v>3</v>
      </c>
      <c r="L36" s="774"/>
      <c r="M36" s="775">
        <f>IF($B36="","",IF(INDEX(BDHKI,MATCH($C36,DiemHKI!$DI$4:$DI$58,0),M$59)&lt;&gt;"",INDEX(BDHKI,MATCH($C36,DiemHKI!$DI$4:$DI$58,0),M$59),""))</f>
        <v>8.6999999999999993</v>
      </c>
      <c r="N36" s="792">
        <f t="shared" si="2"/>
        <v>2</v>
      </c>
      <c r="O36" s="776" t="str">
        <f t="shared" si="3"/>
        <v>Em siêng năng, chủ động trong học tập, kết quả tốt.</v>
      </c>
      <c r="P36" s="775"/>
      <c r="Q36" s="792"/>
      <c r="R36" s="774"/>
      <c r="S36" s="775">
        <f>IF($B36="","",IF(INDEX(BDHKI,MATCH($C36,DiemHKI!$DI$4:$DI$58,0),S$59)&lt;&gt;"",INDEX(BDHKI,MATCH($C36,DiemHKI!$DI$4:$DI$58,0),S$59),""))</f>
        <v>9.1999999999999993</v>
      </c>
      <c r="T36" s="792">
        <f t="shared" si="4"/>
        <v>1</v>
      </c>
      <c r="U36" s="776" t="str">
        <f t="shared" si="5"/>
        <v>Học giỏi, thông minh, cần phát huy.</v>
      </c>
      <c r="V36" s="775"/>
      <c r="W36" s="792"/>
      <c r="X36" s="774"/>
      <c r="Y36" s="775">
        <f>IF($B36="","",IF(INDEX(BDHKI,MATCH($C36,DiemHKI!$DI$4:$DI$58,0),Y$59)&lt;&gt;"",INDEX(BDHKI,MATCH($C36,DiemHKI!$DI$4:$DI$58,0),Y$59),""))</f>
        <v>8.8000000000000007</v>
      </c>
      <c r="Z36" s="792">
        <f t="shared" si="6"/>
        <v>2</v>
      </c>
      <c r="AA36" s="776" t="str">
        <f t="shared" si="7"/>
        <v>Chăm chỉ, năng động và có hiệu quả, có năng khiếu về bộ môn Sinh học.</v>
      </c>
      <c r="AB36" s="775"/>
      <c r="AC36" s="792"/>
      <c r="AD36" s="774"/>
      <c r="AE36" s="775">
        <f>IF($B36="","",IF(INDEX(BDHKI,MATCH($C36,DiemHKI!$DI$4:$DI$58,0),AE$59)&lt;&gt;"",INDEX(BDHKI,MATCH($C36,DiemHKI!$DI$4:$DI$58,0),AE$59),""))</f>
        <v>9.6</v>
      </c>
      <c r="AF36" s="792">
        <f t="shared" si="8"/>
        <v>1</v>
      </c>
      <c r="AG36" s="776" t="str">
        <f t="shared" si="9"/>
        <v>Rất ngoan, cố gắng có hiệu quả.</v>
      </c>
      <c r="AH36" s="775"/>
      <c r="AI36" s="792"/>
      <c r="AJ36" s="774"/>
      <c r="AK36" s="775">
        <f>IF($B36="","",IF(INDEX(BDHKI,MATCH($C36,DiemHKI!$DI$4:$DI$58,0),AK$59)&lt;&gt;"",INDEX(BDHKI,MATCH($C36,DiemHKI!$DI$4:$DI$58,0),AK$59),""))</f>
        <v>8</v>
      </c>
      <c r="AL36" s="792">
        <f t="shared" si="10"/>
        <v>3</v>
      </c>
      <c r="AM36" s="776" t="str">
        <f t="shared" si="11"/>
        <v>Học giỏi, chăm chỉ, cảm nhận tốt văn bản.</v>
      </c>
      <c r="AN36" s="775"/>
      <c r="AO36" s="792"/>
      <c r="AP36" s="774"/>
      <c r="AQ36" s="775">
        <f>IF($B36="","",IF(INDEX(BDHKI,MATCH($C36,DiemHKI!$DI$4:$DI$58,0),AQ$59)&lt;&gt;"",INDEX(BDHKI,MATCH($C36,DiemHKI!$DI$4:$DI$58,0),AQ$59),""))</f>
        <v>9.8000000000000007</v>
      </c>
      <c r="AR36" s="792">
        <f t="shared" si="12"/>
        <v>1</v>
      </c>
      <c r="AS36" s="776" t="str">
        <f t="shared" si="13"/>
        <v>Chăm ngoan, tích cực, chủ động tiếp thu bài học.</v>
      </c>
      <c r="AT36" s="775"/>
      <c r="AU36" s="792"/>
      <c r="AV36" s="774"/>
      <c r="AW36" s="775">
        <f>IF($B36="","",IF(INDEX(BDHKI,MATCH($C36,DiemHKI!$DI$4:$DI$58,0),AW$59)&lt;&gt;"",INDEX(BDHKI,MATCH($C36,DiemHKI!$DI$4:$DI$58,0),AW$59),""))</f>
        <v>9.9</v>
      </c>
      <c r="AX36" s="792">
        <f t="shared" si="14"/>
        <v>1</v>
      </c>
      <c r="AY36" s="776" t="str">
        <f t="shared" si="15"/>
        <v>Em rất ngoan, cố gắng có hiệu quả.</v>
      </c>
      <c r="AZ36" s="775"/>
      <c r="BA36" s="792"/>
      <c r="BB36" s="774"/>
      <c r="BC36" s="775">
        <f>IF($B36="","",IF(INDEX(BDHKI,MATCH($C36,DiemHKI!$DI$4:$DI$58,0),BC$59)&lt;&gt;"",INDEX(BDHKI,MATCH($C36,DiemHKI!$DI$4:$DI$58,0),BC$59),""))</f>
        <v>8.8000000000000007</v>
      </c>
      <c r="BD36" s="792">
        <f t="shared" si="16"/>
        <v>2</v>
      </c>
      <c r="BE36" s="776" t="str">
        <f t="shared" si="17"/>
        <v>Tích cực trong hoạt động thảo luận nhóm, có kỹ năng nghe và giao tiếp tốt.</v>
      </c>
      <c r="BF36" s="775"/>
      <c r="BG36" s="792"/>
      <c r="BH36" s="774"/>
      <c r="BI36" s="775">
        <f>IF($B36="","",IF(INDEX(BDHKI,MATCH($C36,DiemHKI!$DI$4:$DI$58,0),BI$59)&lt;&gt;"",INDEX(BDHKI,MATCH($C36,DiemHKI!$DI$4:$DI$58,0),BI$59),""))</f>
        <v>9.4</v>
      </c>
      <c r="BJ36" s="792">
        <f t="shared" si="18"/>
        <v>1</v>
      </c>
      <c r="BK36" s="776" t="str">
        <f t="shared" si="19"/>
        <v>Hứng thú, có trách nhiệm học tập tốt.</v>
      </c>
      <c r="BL36" s="775"/>
      <c r="BM36" s="792"/>
      <c r="BN36" s="774"/>
      <c r="BO36" s="775">
        <f>IF($B36="","",IF(INDEX(BDHKI,MATCH($C36,DiemHKI!$DI$4:$DI$58,0),BO$59)&lt;&gt;"",INDEX(BDHKI,MATCH($C36,DiemHKI!$DI$4:$DI$58,0),BO$59),""))</f>
        <v>9.9</v>
      </c>
      <c r="BP36" s="792">
        <f t="shared" si="20"/>
        <v>1</v>
      </c>
      <c r="BQ36" s="776" t="str">
        <f t="shared" si="21"/>
        <v>Học giỏi, năng động, chăm ngoan.</v>
      </c>
      <c r="BR36" s="775"/>
      <c r="BS36" s="792"/>
      <c r="BT36" s="774"/>
      <c r="BU36" s="775" t="str">
        <f>IF($B36="","",IF(INDEX(BDHKI,MATCH($C36,DiemHKI!$DI$4:$DI$58,0),BU$59)&lt;&gt;"",INDEX(BDHKI,MATCH($C36,DiemHKI!$DI$4:$DI$58,0),BU$59),""))</f>
        <v>Đ</v>
      </c>
      <c r="BV36" s="792">
        <f t="shared" si="22"/>
        <v>1</v>
      </c>
      <c r="BW36" s="776" t="str">
        <f t="shared" si="23"/>
        <v>Chăm chỉ, cố gắng, rất ngoan.</v>
      </c>
      <c r="BX36" s="775"/>
      <c r="BY36" s="792"/>
      <c r="BZ36" s="774"/>
      <c r="CA36" s="775">
        <f>IF($B36="","",IF(INDEX(BDHKI,MATCH($C36,DiemHKI!$DI$4:$DI$58,0),CA$59)&lt;&gt;"",INDEX(BDHKI,MATCH($C36,DiemHKI!$DI$4:$DI$58,0),CA$59),""))</f>
        <v>9.9</v>
      </c>
      <c r="CB36" s="792">
        <f t="shared" si="24"/>
        <v>1</v>
      </c>
      <c r="CC36" s="776" t="str">
        <f t="shared" si="25"/>
        <v>Siêng năng, lễ phép, thành thạo thực hành, học giỏi.</v>
      </c>
      <c r="CD36" s="775"/>
      <c r="CE36" s="792"/>
      <c r="CF36" s="774"/>
      <c r="CG36" s="775" t="str">
        <f>IF($B36="","",IF(INDEX(BDHKI,MATCH($C36,DiemHKI!$DI$4:$DI$58,0),CG$59)&lt;&gt;"",INDEX(BDHKI,MATCH($C36,DiemHKI!$DI$4:$DI$58,0),CG$59),""))</f>
        <v/>
      </c>
      <c r="CH36" s="792" t="str">
        <f t="shared" si="26"/>
        <v/>
      </c>
      <c r="CI36" s="776" t="str">
        <f t="shared" si="27"/>
        <v/>
      </c>
      <c r="CJ36" s="775"/>
      <c r="CK36" s="792"/>
      <c r="CL36" s="774"/>
    </row>
    <row r="37" spans="2:90" ht="15" customHeight="1">
      <c r="B37" s="777">
        <f>IF(B36&lt;MAX(DiemHKI!$B$4:$B$58),B36+1,"")</f>
        <v>35</v>
      </c>
      <c r="C37" s="777" t="str">
        <f t="shared" si="0"/>
        <v>12A1Phạm ĐứcTrung07/10/2004</v>
      </c>
      <c r="D37" s="778" t="str">
        <f>IF($B37&lt;&gt;"",PROPER(INDEX(BDHKI,MATCH($B37,DiemHKI!$B$4:$B$58,0),3)),"")</f>
        <v>Phạm Đức</v>
      </c>
      <c r="E37" s="779" t="str">
        <f>IF($B37&lt;&gt;"",PROPER(INDEX(BDHKI,MATCH($B37,DiemHKI!$B$4:$B$58,0),4)),"")</f>
        <v>Trung</v>
      </c>
      <c r="F37" s="780" t="str">
        <f>IF($B37&lt;&gt;"",PROPER(INDEX(BDHKI,MATCH($B37,DiemHKI!$B$4:$B$58,0),5)),"")</f>
        <v>07/10/2004</v>
      </c>
      <c r="G37" s="781">
        <f>IF($B37="","",IF(INDEX(BDHKI,MATCH($C37,DiemHKI!$DI$4:$DI$58,0),G$59)&lt;&gt;"",INDEX(BDHKI,MATCH($C37,DiemHKI!$DI$4:$DI$58,0),G$59),""))</f>
        <v>9.9</v>
      </c>
      <c r="H37" s="793">
        <f t="shared" si="28"/>
        <v>1</v>
      </c>
      <c r="I37" s="782" t="str">
        <f t="shared" si="1"/>
        <v>Em học giỏi, chăm ngoan, tính tự giác cao, rất tốt.</v>
      </c>
      <c r="J37" s="781"/>
      <c r="K37" s="793">
        <v>4</v>
      </c>
      <c r="L37" s="780"/>
      <c r="M37" s="781">
        <f>IF($B37="","",IF(INDEX(BDHKI,MATCH($C37,DiemHKI!$DI$4:$DI$58,0),M$59)&lt;&gt;"",INDEX(BDHKI,MATCH($C37,DiemHKI!$DI$4:$DI$58,0),M$59),""))</f>
        <v>9.6</v>
      </c>
      <c r="N37" s="793">
        <f t="shared" si="2"/>
        <v>1</v>
      </c>
      <c r="O37" s="782" t="str">
        <f t="shared" si="3"/>
        <v>Em học giỏi, chăm ngoan, tính tự giác cao, rất tốt.</v>
      </c>
      <c r="P37" s="781"/>
      <c r="Q37" s="793"/>
      <c r="R37" s="780"/>
      <c r="S37" s="781">
        <f>IF($B37="","",IF(INDEX(BDHKI,MATCH($C37,DiemHKI!$DI$4:$DI$58,0),S$59)&lt;&gt;"",INDEX(BDHKI,MATCH($C37,DiemHKI!$DI$4:$DI$58,0),S$59),""))</f>
        <v>9.8000000000000007</v>
      </c>
      <c r="T37" s="793">
        <f t="shared" si="4"/>
        <v>1</v>
      </c>
      <c r="U37" s="782" t="str">
        <f t="shared" si="5"/>
        <v>Kiến thức vững, tự học tốt, ngoan.</v>
      </c>
      <c r="V37" s="781"/>
      <c r="W37" s="793"/>
      <c r="X37" s="780"/>
      <c r="Y37" s="781">
        <f>IF($B37="","",IF(INDEX(BDHKI,MATCH($C37,DiemHKI!$DI$4:$DI$58,0),Y$59)&lt;&gt;"",INDEX(BDHKI,MATCH($C37,DiemHKI!$DI$4:$DI$58,0),Y$59),""))</f>
        <v>9.8000000000000007</v>
      </c>
      <c r="Z37" s="793">
        <f t="shared" si="6"/>
        <v>1</v>
      </c>
      <c r="AA37" s="782" t="str">
        <f t="shared" si="7"/>
        <v>Có khả năng tự học và tự chủ bản thân, tích cực trong học tập.</v>
      </c>
      <c r="AB37" s="781"/>
      <c r="AC37" s="793"/>
      <c r="AD37" s="780"/>
      <c r="AE37" s="781">
        <f>IF($B37="","",IF(INDEX(BDHKI,MATCH($C37,DiemHKI!$DI$4:$DI$58,0),AE$59)&lt;&gt;"",INDEX(BDHKI,MATCH($C37,DiemHKI!$DI$4:$DI$58,0),AE$59),""))</f>
        <v>9.8000000000000007</v>
      </c>
      <c r="AF37" s="793">
        <f t="shared" si="8"/>
        <v>1</v>
      </c>
      <c r="AG37" s="782" t="str">
        <f t="shared" si="9"/>
        <v>Ngoan, chăm chỉ, tư duy tốt.</v>
      </c>
      <c r="AH37" s="781"/>
      <c r="AI37" s="793"/>
      <c r="AJ37" s="780"/>
      <c r="AK37" s="781">
        <f>IF($B37="","",IF(INDEX(BDHKI,MATCH($C37,DiemHKI!$DI$4:$DI$58,0),AK$59)&lt;&gt;"",INDEX(BDHKI,MATCH($C37,DiemHKI!$DI$4:$DI$58,0),AK$59),""))</f>
        <v>7.5</v>
      </c>
      <c r="AL37" s="793">
        <f t="shared" si="10"/>
        <v>4</v>
      </c>
      <c r="AM37" s="782" t="str">
        <f t="shared" si="11"/>
        <v>Có tinh thần học tập tốt, cần cố gắng rèn luyện thêm các kỹ năng.</v>
      </c>
      <c r="AN37" s="781"/>
      <c r="AO37" s="793"/>
      <c r="AP37" s="780"/>
      <c r="AQ37" s="781">
        <f>IF($B37="","",IF(INDEX(BDHKI,MATCH($C37,DiemHKI!$DI$4:$DI$58,0),AQ$59)&lt;&gt;"",INDEX(BDHKI,MATCH($C37,DiemHKI!$DI$4:$DI$58,0),AQ$59),""))</f>
        <v>9.8000000000000007</v>
      </c>
      <c r="AR37" s="793">
        <f t="shared" si="12"/>
        <v>1</v>
      </c>
      <c r="AS37" s="782" t="str">
        <f t="shared" si="13"/>
        <v>Tiếp thu bài tốt, ghi nhớ nhanh các sự kiện lịch sử.</v>
      </c>
      <c r="AT37" s="781"/>
      <c r="AU37" s="793"/>
      <c r="AV37" s="780"/>
      <c r="AW37" s="781">
        <f>IF($B37="","",IF(INDEX(BDHKI,MATCH($C37,DiemHKI!$DI$4:$DI$58,0),AW$59)&lt;&gt;"",INDEX(BDHKI,MATCH($C37,DiemHKI!$DI$4:$DI$58,0),AW$59),""))</f>
        <v>9.6</v>
      </c>
      <c r="AX37" s="793">
        <f t="shared" si="14"/>
        <v>1</v>
      </c>
      <c r="AY37" s="782" t="str">
        <f t="shared" si="15"/>
        <v>Em có tư duy tốt, rất tích cực, giải quyết vấn đề tốt.</v>
      </c>
      <c r="AZ37" s="781"/>
      <c r="BA37" s="793"/>
      <c r="BB37" s="780"/>
      <c r="BC37" s="781">
        <f>IF($B37="","",IF(INDEX(BDHKI,MATCH($C37,DiemHKI!$DI$4:$DI$58,0),BC$59)&lt;&gt;"",INDEX(BDHKI,MATCH($C37,DiemHKI!$DI$4:$DI$58,0),BC$59),""))</f>
        <v>8.6</v>
      </c>
      <c r="BD37" s="793">
        <f t="shared" si="16"/>
        <v>2</v>
      </c>
      <c r="BE37" s="782" t="str">
        <f t="shared" si="17"/>
        <v>Có khả năng nghe, nói và ngữ pháp vững.</v>
      </c>
      <c r="BF37" s="781"/>
      <c r="BG37" s="793"/>
      <c r="BH37" s="780"/>
      <c r="BI37" s="781">
        <f>IF($B37="","",IF(INDEX(BDHKI,MATCH($C37,DiemHKI!$DI$4:$DI$58,0),BI$59)&lt;&gt;"",INDEX(BDHKI,MATCH($C37,DiemHKI!$DI$4:$DI$58,0),BI$59),""))</f>
        <v>9.1</v>
      </c>
      <c r="BJ37" s="793">
        <f t="shared" si="18"/>
        <v>1</v>
      </c>
      <c r="BK37" s="782" t="str">
        <f t="shared" si="19"/>
        <v>Chăm chỉ, học giỏi.</v>
      </c>
      <c r="BL37" s="781"/>
      <c r="BM37" s="793"/>
      <c r="BN37" s="780"/>
      <c r="BO37" s="781">
        <f>IF($B37="","",IF(INDEX(BDHKI,MATCH($C37,DiemHKI!$DI$4:$DI$58,0),BO$59)&lt;&gt;"",INDEX(BDHKI,MATCH($C37,DiemHKI!$DI$4:$DI$58,0),BO$59),""))</f>
        <v>9.9</v>
      </c>
      <c r="BP37" s="793">
        <f t="shared" si="20"/>
        <v>1</v>
      </c>
      <c r="BQ37" s="782" t="str">
        <f t="shared" si="21"/>
        <v>Năng động, sáng tạo trong học tập.</v>
      </c>
      <c r="BR37" s="781"/>
      <c r="BS37" s="793"/>
      <c r="BT37" s="780"/>
      <c r="BU37" s="781" t="str">
        <f>IF($B37="","",IF(INDEX(BDHKI,MATCH($C37,DiemHKI!$DI$4:$DI$58,0),BU$59)&lt;&gt;"",INDEX(BDHKI,MATCH($C37,DiemHKI!$DI$4:$DI$58,0),BU$59),""))</f>
        <v>Đ</v>
      </c>
      <c r="BV37" s="793">
        <f t="shared" si="22"/>
        <v>1</v>
      </c>
      <c r="BW37" s="782" t="str">
        <f t="shared" si="23"/>
        <v>Giỏi, có nhiều tiến bộ trong học tập.</v>
      </c>
      <c r="BX37" s="781"/>
      <c r="BY37" s="793"/>
      <c r="BZ37" s="780"/>
      <c r="CA37" s="781">
        <f>IF($B37="","",IF(INDEX(BDHKI,MATCH($C37,DiemHKI!$DI$4:$DI$58,0),CA$59)&lt;&gt;"",INDEX(BDHKI,MATCH($C37,DiemHKI!$DI$4:$DI$58,0),CA$59),""))</f>
        <v>9.9</v>
      </c>
      <c r="CB37" s="793">
        <f t="shared" si="24"/>
        <v>1</v>
      </c>
      <c r="CC37" s="782" t="str">
        <f t="shared" si="25"/>
        <v>Tích cực, năng động, nắm bài tốt, học giỏi.</v>
      </c>
      <c r="CD37" s="781"/>
      <c r="CE37" s="793"/>
      <c r="CF37" s="780"/>
      <c r="CG37" s="781" t="str">
        <f>IF($B37="","",IF(INDEX(BDHKI,MATCH($C37,DiemHKI!$DI$4:$DI$58,0),CG$59)&lt;&gt;"",INDEX(BDHKI,MATCH($C37,DiemHKI!$DI$4:$DI$58,0),CG$59),""))</f>
        <v/>
      </c>
      <c r="CH37" s="793" t="str">
        <f t="shared" si="26"/>
        <v/>
      </c>
      <c r="CI37" s="782" t="str">
        <f t="shared" si="27"/>
        <v/>
      </c>
      <c r="CJ37" s="781"/>
      <c r="CK37" s="793"/>
      <c r="CL37" s="780"/>
    </row>
    <row r="38" spans="2:90" ht="15" customHeight="1">
      <c r="B38" s="765">
        <f>IF(B37&lt;MAX(DiemHKI!$B$4:$B$58),B37+1,"")</f>
        <v>36</v>
      </c>
      <c r="C38" s="765" t="str">
        <f t="shared" si="0"/>
        <v>12A1Võ ThủyVân30/10/2004</v>
      </c>
      <c r="D38" s="766" t="str">
        <f>IF($B38&lt;&gt;"",PROPER(INDEX(BDHKI,MATCH($B38,DiemHKI!$B$4:$B$58,0),3)),"")</f>
        <v>Võ Thủy</v>
      </c>
      <c r="E38" s="767" t="str">
        <f>IF($B38&lt;&gt;"",PROPER(INDEX(BDHKI,MATCH($B38,DiemHKI!$B$4:$B$58,0),4)),"")</f>
        <v>Vân</v>
      </c>
      <c r="F38" s="768" t="str">
        <f>IF($B38&lt;&gt;"",PROPER(INDEX(BDHKI,MATCH($B38,DiemHKI!$B$4:$B$58,0),5)),"")</f>
        <v>30/10/2004</v>
      </c>
      <c r="G38" s="783">
        <f>IF($B38="","",IF(INDEX(BDHKI,MATCH($C38,DiemHKI!$DI$4:$DI$58,0),G$59)&lt;&gt;"",INDEX(BDHKI,MATCH($C38,DiemHKI!$DI$4:$DI$58,0),G$59),""))</f>
        <v>9.6999999999999993</v>
      </c>
      <c r="H38" s="794">
        <f t="shared" si="28"/>
        <v>1</v>
      </c>
      <c r="I38" s="770" t="str">
        <f t="shared" si="1"/>
        <v>Em ngoan, tích cực, năng động, rất đáng khen.</v>
      </c>
      <c r="J38" s="783"/>
      <c r="K38" s="794">
        <v>5</v>
      </c>
      <c r="L38" s="768"/>
      <c r="M38" s="783">
        <f>IF($B38="","",IF(INDEX(BDHKI,MATCH($C38,DiemHKI!$DI$4:$DI$58,0),M$59)&lt;&gt;"",INDEX(BDHKI,MATCH($C38,DiemHKI!$DI$4:$DI$58,0),M$59),""))</f>
        <v>9.9</v>
      </c>
      <c r="N38" s="794">
        <f t="shared" si="2"/>
        <v>1</v>
      </c>
      <c r="O38" s="770" t="str">
        <f t="shared" si="3"/>
        <v>Em ngoan, tích cực, năng động, rất đáng khen.</v>
      </c>
      <c r="P38" s="783"/>
      <c r="Q38" s="794"/>
      <c r="R38" s="768"/>
      <c r="S38" s="783">
        <f>IF($B38="","",IF(INDEX(BDHKI,MATCH($C38,DiemHKI!$DI$4:$DI$58,0),S$59)&lt;&gt;"",INDEX(BDHKI,MATCH($C38,DiemHKI!$DI$4:$DI$58,0),S$59),""))</f>
        <v>9.6999999999999993</v>
      </c>
      <c r="T38" s="794">
        <f t="shared" si="4"/>
        <v>1</v>
      </c>
      <c r="U38" s="770" t="str">
        <f t="shared" si="5"/>
        <v>Kiến thức vững, sáng tạo, tự học tốt.</v>
      </c>
      <c r="V38" s="783"/>
      <c r="W38" s="794"/>
      <c r="X38" s="768"/>
      <c r="Y38" s="783">
        <f>IF($B38="","",IF(INDEX(BDHKI,MATCH($C38,DiemHKI!$DI$4:$DI$58,0),Y$59)&lt;&gt;"",INDEX(BDHKI,MATCH($C38,DiemHKI!$DI$4:$DI$58,0),Y$59),""))</f>
        <v>9.4</v>
      </c>
      <c r="Z38" s="794">
        <f t="shared" si="6"/>
        <v>1</v>
      </c>
      <c r="AA38" s="770" t="str">
        <f t="shared" si="7"/>
        <v>Ý thức học tập tốt, vận dụng tốt kiến thức học tập</v>
      </c>
      <c r="AB38" s="783"/>
      <c r="AC38" s="794"/>
      <c r="AD38" s="768"/>
      <c r="AE38" s="783">
        <f>IF($B38="","",IF(INDEX(BDHKI,MATCH($C38,DiemHKI!$DI$4:$DI$58,0),AE$59)&lt;&gt;"",INDEX(BDHKI,MATCH($C38,DiemHKI!$DI$4:$DI$58,0),AE$59),""))</f>
        <v>9.8000000000000007</v>
      </c>
      <c r="AF38" s="794">
        <f t="shared" si="8"/>
        <v>1</v>
      </c>
      <c r="AG38" s="770" t="str">
        <f t="shared" si="9"/>
        <v>Học giỏi, năng động và sáng tạo trong học tập.</v>
      </c>
      <c r="AH38" s="783"/>
      <c r="AI38" s="794"/>
      <c r="AJ38" s="768"/>
      <c r="AK38" s="783">
        <f>IF($B38="","",IF(INDEX(BDHKI,MATCH($C38,DiemHKI!$DI$4:$DI$58,0),AK$59)&lt;&gt;"",INDEX(BDHKI,MATCH($C38,DiemHKI!$DI$4:$DI$58,0),AK$59),""))</f>
        <v>7.8</v>
      </c>
      <c r="AL38" s="794">
        <f t="shared" si="10"/>
        <v>4</v>
      </c>
      <c r="AM38" s="770" t="str">
        <f t="shared" si="11"/>
        <v>Cần chủ động hơn trong giờ học, rèn thêm kỹ năng viết.</v>
      </c>
      <c r="AN38" s="783"/>
      <c r="AO38" s="794"/>
      <c r="AP38" s="768"/>
      <c r="AQ38" s="783">
        <f>IF($B38="","",IF(INDEX(BDHKI,MATCH($C38,DiemHKI!$DI$4:$DI$58,0),AQ$59)&lt;&gt;"",INDEX(BDHKI,MATCH($C38,DiemHKI!$DI$4:$DI$58,0),AQ$59),""))</f>
        <v>9.8000000000000007</v>
      </c>
      <c r="AR38" s="794">
        <f t="shared" si="12"/>
        <v>1</v>
      </c>
      <c r="AS38" s="770" t="str">
        <f t="shared" si="13"/>
        <v>Chăm học, tích cực phát biểu xây dựng bài.</v>
      </c>
      <c r="AT38" s="783"/>
      <c r="AU38" s="794"/>
      <c r="AV38" s="768"/>
      <c r="AW38" s="783">
        <f>IF($B38="","",IF(INDEX(BDHKI,MATCH($C38,DiemHKI!$DI$4:$DI$58,0),AW$59)&lt;&gt;"",INDEX(BDHKI,MATCH($C38,DiemHKI!$DI$4:$DI$58,0),AW$59),""))</f>
        <v>9.9</v>
      </c>
      <c r="AX38" s="794">
        <f t="shared" si="14"/>
        <v>1</v>
      </c>
      <c r="AY38" s="770" t="str">
        <f t="shared" si="15"/>
        <v>Em có tư duy tốt, tích cực, vận dụng thực tế tốt.</v>
      </c>
      <c r="AZ38" s="783"/>
      <c r="BA38" s="794"/>
      <c r="BB38" s="768"/>
      <c r="BC38" s="783">
        <f>IF($B38="","",IF(INDEX(BDHKI,MATCH($C38,DiemHKI!$DI$4:$DI$58,0),BC$59)&lt;&gt;"",INDEX(BDHKI,MATCH($C38,DiemHKI!$DI$4:$DI$58,0),BC$59),""))</f>
        <v>9.6</v>
      </c>
      <c r="BD38" s="794">
        <f t="shared" si="16"/>
        <v>1</v>
      </c>
      <c r="BE38" s="770" t="str">
        <f t="shared" si="17"/>
        <v>Tích cực phát biểu trong giờ học, tương tác tốt với giáo viên và bạn bè.</v>
      </c>
      <c r="BF38" s="783"/>
      <c r="BG38" s="794"/>
      <c r="BH38" s="768"/>
      <c r="BI38" s="783">
        <f>IF($B38="","",IF(INDEX(BDHKI,MATCH($C38,DiemHKI!$DI$4:$DI$58,0),BI$59)&lt;&gt;"",INDEX(BDHKI,MATCH($C38,DiemHKI!$DI$4:$DI$58,0),BI$59),""))</f>
        <v>9.8000000000000007</v>
      </c>
      <c r="BJ38" s="794">
        <f t="shared" si="18"/>
        <v>1</v>
      </c>
      <c r="BK38" s="770" t="str">
        <f t="shared" si="19"/>
        <v>Hứng thú, tích cực, học giỏi.</v>
      </c>
      <c r="BL38" s="783"/>
      <c r="BM38" s="794"/>
      <c r="BN38" s="768"/>
      <c r="BO38" s="783">
        <f>IF($B38="","",IF(INDEX(BDHKI,MATCH($C38,DiemHKI!$DI$4:$DI$58,0),BO$59)&lt;&gt;"",INDEX(BDHKI,MATCH($C38,DiemHKI!$DI$4:$DI$58,0),BO$59),""))</f>
        <v>9.9</v>
      </c>
      <c r="BP38" s="794">
        <f t="shared" si="20"/>
        <v>1</v>
      </c>
      <c r="BQ38" s="770" t="str">
        <f t="shared" si="21"/>
        <v>Học giỏi, tiếp thu nhanh, chăm ngoan.</v>
      </c>
      <c r="BR38" s="783"/>
      <c r="BS38" s="794"/>
      <c r="BT38" s="768"/>
      <c r="BU38" s="783" t="str">
        <f>IF($B38="","",IF(INDEX(BDHKI,MATCH($C38,DiemHKI!$DI$4:$DI$58,0),BU$59)&lt;&gt;"",INDEX(BDHKI,MATCH($C38,DiemHKI!$DI$4:$DI$58,0),BU$59),""))</f>
        <v>Đ</v>
      </c>
      <c r="BV38" s="794">
        <f t="shared" si="22"/>
        <v>1</v>
      </c>
      <c r="BW38" s="770" t="str">
        <f t="shared" si="23"/>
        <v>Rất ngoan, học có hiệu quả tốt.</v>
      </c>
      <c r="BX38" s="783"/>
      <c r="BY38" s="794"/>
      <c r="BZ38" s="768"/>
      <c r="CA38" s="783">
        <f>IF($B38="","",IF(INDEX(BDHKI,MATCH($C38,DiemHKI!$DI$4:$DI$58,0),CA$59)&lt;&gt;"",INDEX(BDHKI,MATCH($C38,DiemHKI!$DI$4:$DI$58,0),CA$59),""))</f>
        <v>9.9</v>
      </c>
      <c r="CB38" s="794">
        <f t="shared" si="24"/>
        <v>1</v>
      </c>
      <c r="CC38" s="770" t="str">
        <f t="shared" si="25"/>
        <v>Ngoan, tích cực xây dựng bài, nắm chắc thực hành, học giỏi.</v>
      </c>
      <c r="CD38" s="783"/>
      <c r="CE38" s="794"/>
      <c r="CF38" s="768"/>
      <c r="CG38" s="783" t="str">
        <f>IF($B38="","",IF(INDEX(BDHKI,MATCH($C38,DiemHKI!$DI$4:$DI$58,0),CG$59)&lt;&gt;"",INDEX(BDHKI,MATCH($C38,DiemHKI!$DI$4:$DI$58,0),CG$59),""))</f>
        <v/>
      </c>
      <c r="CH38" s="794" t="str">
        <f t="shared" si="26"/>
        <v/>
      </c>
      <c r="CI38" s="770" t="str">
        <f t="shared" si="27"/>
        <v/>
      </c>
      <c r="CJ38" s="783"/>
      <c r="CK38" s="794"/>
      <c r="CL38" s="768"/>
    </row>
    <row r="39" spans="2:90" ht="15" customHeight="1">
      <c r="B39" s="771" t="str">
        <f>IF(B38&lt;MAX(DiemHKI!$B$4:$B$58),B38+1,"")</f>
        <v/>
      </c>
      <c r="C39" s="771" t="str">
        <f t="shared" si="0"/>
        <v/>
      </c>
      <c r="D39" s="772" t="str">
        <f>IF($B39&lt;&gt;"",PROPER(INDEX(BDHKI,MATCH($B39,DiemHKI!$B$4:$B$58,0),3)),"")</f>
        <v/>
      </c>
      <c r="E39" s="773" t="str">
        <f>IF($B39&lt;&gt;"",PROPER(INDEX(BDHKI,MATCH($B39,DiemHKI!$B$4:$B$58,0),4)),"")</f>
        <v/>
      </c>
      <c r="F39" s="774" t="str">
        <f>IF($B39&lt;&gt;"",PROPER(INDEX(BDHKI,MATCH($B39,DiemHKI!$B$4:$B$58,0),5)),"")</f>
        <v/>
      </c>
      <c r="G39" s="775" t="str">
        <f>IF($B39="","",IF(INDEX(BDHKI,MATCH($C39,DiemHKI!$DI$4:$DI$58,0),G$59)&lt;&gt;"",INDEX(BDHKI,MATCH($C39,DiemHKI!$DI$4:$DI$58,0),G$59),""))</f>
        <v/>
      </c>
      <c r="H39" s="792" t="str">
        <f t="shared" si="28"/>
        <v/>
      </c>
      <c r="I39" s="776" t="str">
        <f t="shared" si="1"/>
        <v/>
      </c>
      <c r="J39" s="775"/>
      <c r="K39" s="792">
        <v>3</v>
      </c>
      <c r="L39" s="774"/>
      <c r="M39" s="775" t="str">
        <f>IF($B39="","",IF(INDEX(BDHKI,MATCH($C39,DiemHKI!$DI$4:$DI$58,0),M$59)&lt;&gt;"",INDEX(BDHKI,MATCH($C39,DiemHKI!$DI$4:$DI$58,0),M$59),""))</f>
        <v/>
      </c>
      <c r="N39" s="792" t="str">
        <f t="shared" si="2"/>
        <v/>
      </c>
      <c r="O39" s="776" t="str">
        <f t="shared" si="3"/>
        <v/>
      </c>
      <c r="P39" s="775"/>
      <c r="Q39" s="792"/>
      <c r="R39" s="774"/>
      <c r="S39" s="775" t="str">
        <f>IF($B39="","",IF(INDEX(BDHKI,MATCH($C39,DiemHKI!$DI$4:$DI$58,0),S$59)&lt;&gt;"",INDEX(BDHKI,MATCH($C39,DiemHKI!$DI$4:$DI$58,0),S$59),""))</f>
        <v/>
      </c>
      <c r="T39" s="792" t="str">
        <f t="shared" si="4"/>
        <v/>
      </c>
      <c r="U39" s="776" t="str">
        <f t="shared" si="5"/>
        <v/>
      </c>
      <c r="V39" s="775"/>
      <c r="W39" s="792"/>
      <c r="X39" s="774"/>
      <c r="Y39" s="775" t="str">
        <f>IF($B39="","",IF(INDEX(BDHKI,MATCH($C39,DiemHKI!$DI$4:$DI$58,0),Y$59)&lt;&gt;"",INDEX(BDHKI,MATCH($C39,DiemHKI!$DI$4:$DI$58,0),Y$59),""))</f>
        <v/>
      </c>
      <c r="Z39" s="792" t="str">
        <f t="shared" si="6"/>
        <v/>
      </c>
      <c r="AA39" s="776" t="str">
        <f t="shared" si="7"/>
        <v/>
      </c>
      <c r="AB39" s="775"/>
      <c r="AC39" s="792"/>
      <c r="AD39" s="774"/>
      <c r="AE39" s="775" t="str">
        <f>IF($B39="","",IF(INDEX(BDHKI,MATCH($C39,DiemHKI!$DI$4:$DI$58,0),AE$59)&lt;&gt;"",INDEX(BDHKI,MATCH($C39,DiemHKI!$DI$4:$DI$58,0),AE$59),""))</f>
        <v/>
      </c>
      <c r="AF39" s="792" t="str">
        <f t="shared" si="8"/>
        <v/>
      </c>
      <c r="AG39" s="776" t="str">
        <f t="shared" si="9"/>
        <v/>
      </c>
      <c r="AH39" s="775"/>
      <c r="AI39" s="792"/>
      <c r="AJ39" s="774"/>
      <c r="AK39" s="775" t="str">
        <f>IF($B39="","",IF(INDEX(BDHKI,MATCH($C39,DiemHKI!$DI$4:$DI$58,0),AK$59)&lt;&gt;"",INDEX(BDHKI,MATCH($C39,DiemHKI!$DI$4:$DI$58,0),AK$59),""))</f>
        <v/>
      </c>
      <c r="AL39" s="792" t="str">
        <f t="shared" si="10"/>
        <v/>
      </c>
      <c r="AM39" s="776" t="str">
        <f t="shared" si="11"/>
        <v/>
      </c>
      <c r="AN39" s="775"/>
      <c r="AO39" s="792"/>
      <c r="AP39" s="774"/>
      <c r="AQ39" s="775" t="str">
        <f>IF($B39="","",IF(INDEX(BDHKI,MATCH($C39,DiemHKI!$DI$4:$DI$58,0),AQ$59)&lt;&gt;"",INDEX(BDHKI,MATCH($C39,DiemHKI!$DI$4:$DI$58,0),AQ$59),""))</f>
        <v/>
      </c>
      <c r="AR39" s="792" t="str">
        <f t="shared" si="12"/>
        <v/>
      </c>
      <c r="AS39" s="776" t="str">
        <f t="shared" si="13"/>
        <v/>
      </c>
      <c r="AT39" s="775"/>
      <c r="AU39" s="792"/>
      <c r="AV39" s="774"/>
      <c r="AW39" s="775" t="str">
        <f>IF($B39="","",IF(INDEX(BDHKI,MATCH($C39,DiemHKI!$DI$4:$DI$58,0),AW$59)&lt;&gt;"",INDEX(BDHKI,MATCH($C39,DiemHKI!$DI$4:$DI$58,0),AW$59),""))</f>
        <v/>
      </c>
      <c r="AX39" s="792" t="str">
        <f t="shared" si="14"/>
        <v/>
      </c>
      <c r="AY39" s="776" t="str">
        <f t="shared" si="15"/>
        <v/>
      </c>
      <c r="AZ39" s="775"/>
      <c r="BA39" s="792"/>
      <c r="BB39" s="774"/>
      <c r="BC39" s="775" t="str">
        <f>IF($B39="","",IF(INDEX(BDHKI,MATCH($C39,DiemHKI!$DI$4:$DI$58,0),BC$59)&lt;&gt;"",INDEX(BDHKI,MATCH($C39,DiemHKI!$DI$4:$DI$58,0),BC$59),""))</f>
        <v/>
      </c>
      <c r="BD39" s="792" t="str">
        <f t="shared" si="16"/>
        <v/>
      </c>
      <c r="BE39" s="776" t="str">
        <f t="shared" si="17"/>
        <v/>
      </c>
      <c r="BF39" s="775"/>
      <c r="BG39" s="792"/>
      <c r="BH39" s="774"/>
      <c r="BI39" s="775" t="str">
        <f>IF($B39="","",IF(INDEX(BDHKI,MATCH($C39,DiemHKI!$DI$4:$DI$58,0),BI$59)&lt;&gt;"",INDEX(BDHKI,MATCH($C39,DiemHKI!$DI$4:$DI$58,0),BI$59),""))</f>
        <v/>
      </c>
      <c r="BJ39" s="792" t="str">
        <f t="shared" si="18"/>
        <v/>
      </c>
      <c r="BK39" s="776" t="str">
        <f t="shared" si="19"/>
        <v/>
      </c>
      <c r="BL39" s="775"/>
      <c r="BM39" s="792"/>
      <c r="BN39" s="774"/>
      <c r="BO39" s="775" t="str">
        <f>IF($B39="","",IF(INDEX(BDHKI,MATCH($C39,DiemHKI!$DI$4:$DI$58,0),BO$59)&lt;&gt;"",INDEX(BDHKI,MATCH($C39,DiemHKI!$DI$4:$DI$58,0),BO$59),""))</f>
        <v/>
      </c>
      <c r="BP39" s="792" t="str">
        <f t="shared" si="20"/>
        <v/>
      </c>
      <c r="BQ39" s="776" t="str">
        <f t="shared" si="21"/>
        <v/>
      </c>
      <c r="BR39" s="775"/>
      <c r="BS39" s="792"/>
      <c r="BT39" s="774"/>
      <c r="BU39" s="775" t="str">
        <f>IF($B39="","",IF(INDEX(BDHKI,MATCH($C39,DiemHKI!$DI$4:$DI$58,0),BU$59)&lt;&gt;"",INDEX(BDHKI,MATCH($C39,DiemHKI!$DI$4:$DI$58,0),BU$59),""))</f>
        <v/>
      </c>
      <c r="BV39" s="792" t="str">
        <f t="shared" si="22"/>
        <v/>
      </c>
      <c r="BW39" s="776" t="str">
        <f t="shared" si="23"/>
        <v/>
      </c>
      <c r="BX39" s="775"/>
      <c r="BY39" s="792"/>
      <c r="BZ39" s="774"/>
      <c r="CA39" s="775" t="str">
        <f>IF($B39="","",IF(INDEX(BDHKI,MATCH($C39,DiemHKI!$DI$4:$DI$58,0),CA$59)&lt;&gt;"",INDEX(BDHKI,MATCH($C39,DiemHKI!$DI$4:$DI$58,0),CA$59),""))</f>
        <v/>
      </c>
      <c r="CB39" s="792" t="str">
        <f t="shared" si="24"/>
        <v/>
      </c>
      <c r="CC39" s="776" t="str">
        <f t="shared" si="25"/>
        <v/>
      </c>
      <c r="CD39" s="775"/>
      <c r="CE39" s="792"/>
      <c r="CF39" s="774"/>
      <c r="CG39" s="775" t="str">
        <f>IF($B39="","",IF(INDEX(BDHKI,MATCH($C39,DiemHKI!$DI$4:$DI$58,0),CG$59)&lt;&gt;"",INDEX(BDHKI,MATCH($C39,DiemHKI!$DI$4:$DI$58,0),CG$59),""))</f>
        <v/>
      </c>
      <c r="CH39" s="792" t="str">
        <f t="shared" si="26"/>
        <v/>
      </c>
      <c r="CI39" s="776" t="str">
        <f t="shared" si="27"/>
        <v/>
      </c>
      <c r="CJ39" s="775"/>
      <c r="CK39" s="792"/>
      <c r="CL39" s="774"/>
    </row>
    <row r="40" spans="2:90" ht="15" customHeight="1">
      <c r="B40" s="771" t="str">
        <f>IF(B39&lt;MAX(DiemHKI!$B$4:$B$58),B39+1,"")</f>
        <v/>
      </c>
      <c r="C40" s="771" t="str">
        <f t="shared" si="0"/>
        <v/>
      </c>
      <c r="D40" s="772" t="str">
        <f>IF($B40&lt;&gt;"",PROPER(INDEX(BDHKI,MATCH($B40,DiemHKI!$B$4:$B$58,0),3)),"")</f>
        <v/>
      </c>
      <c r="E40" s="773" t="str">
        <f>IF($B40&lt;&gt;"",PROPER(INDEX(BDHKI,MATCH($B40,DiemHKI!$B$4:$B$58,0),4)),"")</f>
        <v/>
      </c>
      <c r="F40" s="774" t="str">
        <f>IF($B40&lt;&gt;"",PROPER(INDEX(BDHKI,MATCH($B40,DiemHKI!$B$4:$B$58,0),5)),"")</f>
        <v/>
      </c>
      <c r="G40" s="775" t="str">
        <f>IF($B40="","",IF(INDEX(BDHKI,MATCH($C40,DiemHKI!$DI$4:$DI$58,0),G$59)&lt;&gt;"",INDEX(BDHKI,MATCH($C40,DiemHKI!$DI$4:$DI$58,0),G$59),""))</f>
        <v/>
      </c>
      <c r="H40" s="792" t="str">
        <f t="shared" si="28"/>
        <v/>
      </c>
      <c r="I40" s="776" t="str">
        <f t="shared" si="1"/>
        <v/>
      </c>
      <c r="J40" s="775"/>
      <c r="K40" s="792">
        <v>4</v>
      </c>
      <c r="L40" s="774"/>
      <c r="M40" s="775" t="str">
        <f>IF($B40="","",IF(INDEX(BDHKI,MATCH($C40,DiemHKI!$DI$4:$DI$58,0),M$59)&lt;&gt;"",INDEX(BDHKI,MATCH($C40,DiemHKI!$DI$4:$DI$58,0),M$59),""))</f>
        <v/>
      </c>
      <c r="N40" s="792" t="str">
        <f t="shared" si="2"/>
        <v/>
      </c>
      <c r="O40" s="776" t="str">
        <f t="shared" si="3"/>
        <v/>
      </c>
      <c r="P40" s="775"/>
      <c r="Q40" s="792"/>
      <c r="R40" s="774"/>
      <c r="S40" s="775" t="str">
        <f>IF($B40="","",IF(INDEX(BDHKI,MATCH($C40,DiemHKI!$DI$4:$DI$58,0),S$59)&lt;&gt;"",INDEX(BDHKI,MATCH($C40,DiemHKI!$DI$4:$DI$58,0),S$59),""))</f>
        <v/>
      </c>
      <c r="T40" s="792" t="str">
        <f t="shared" si="4"/>
        <v/>
      </c>
      <c r="U40" s="776" t="str">
        <f t="shared" si="5"/>
        <v/>
      </c>
      <c r="V40" s="775"/>
      <c r="W40" s="792"/>
      <c r="X40" s="774"/>
      <c r="Y40" s="775" t="str">
        <f>IF($B40="","",IF(INDEX(BDHKI,MATCH($C40,DiemHKI!$DI$4:$DI$58,0),Y$59)&lt;&gt;"",INDEX(BDHKI,MATCH($C40,DiemHKI!$DI$4:$DI$58,0),Y$59),""))</f>
        <v/>
      </c>
      <c r="Z40" s="792" t="str">
        <f t="shared" si="6"/>
        <v/>
      </c>
      <c r="AA40" s="776" t="str">
        <f t="shared" si="7"/>
        <v/>
      </c>
      <c r="AB40" s="775"/>
      <c r="AC40" s="792"/>
      <c r="AD40" s="774"/>
      <c r="AE40" s="775" t="str">
        <f>IF($B40="","",IF(INDEX(BDHKI,MATCH($C40,DiemHKI!$DI$4:$DI$58,0),AE$59)&lt;&gt;"",INDEX(BDHKI,MATCH($C40,DiemHKI!$DI$4:$DI$58,0),AE$59),""))</f>
        <v/>
      </c>
      <c r="AF40" s="792" t="str">
        <f t="shared" si="8"/>
        <v/>
      </c>
      <c r="AG40" s="776" t="str">
        <f t="shared" si="9"/>
        <v/>
      </c>
      <c r="AH40" s="775"/>
      <c r="AI40" s="792"/>
      <c r="AJ40" s="774"/>
      <c r="AK40" s="775" t="str">
        <f>IF($B40="","",IF(INDEX(BDHKI,MATCH($C40,DiemHKI!$DI$4:$DI$58,0),AK$59)&lt;&gt;"",INDEX(BDHKI,MATCH($C40,DiemHKI!$DI$4:$DI$58,0),AK$59),""))</f>
        <v/>
      </c>
      <c r="AL40" s="792" t="str">
        <f t="shared" si="10"/>
        <v/>
      </c>
      <c r="AM40" s="776" t="str">
        <f t="shared" si="11"/>
        <v/>
      </c>
      <c r="AN40" s="775"/>
      <c r="AO40" s="792"/>
      <c r="AP40" s="774"/>
      <c r="AQ40" s="775" t="str">
        <f>IF($B40="","",IF(INDEX(BDHKI,MATCH($C40,DiemHKI!$DI$4:$DI$58,0),AQ$59)&lt;&gt;"",INDEX(BDHKI,MATCH($C40,DiemHKI!$DI$4:$DI$58,0),AQ$59),""))</f>
        <v/>
      </c>
      <c r="AR40" s="792" t="str">
        <f t="shared" si="12"/>
        <v/>
      </c>
      <c r="AS40" s="776" t="str">
        <f t="shared" si="13"/>
        <v/>
      </c>
      <c r="AT40" s="775"/>
      <c r="AU40" s="792"/>
      <c r="AV40" s="774"/>
      <c r="AW40" s="775" t="str">
        <f>IF($B40="","",IF(INDEX(BDHKI,MATCH($C40,DiemHKI!$DI$4:$DI$58,0),AW$59)&lt;&gt;"",INDEX(BDHKI,MATCH($C40,DiemHKI!$DI$4:$DI$58,0),AW$59),""))</f>
        <v/>
      </c>
      <c r="AX40" s="792" t="str">
        <f t="shared" si="14"/>
        <v/>
      </c>
      <c r="AY40" s="776" t="str">
        <f t="shared" si="15"/>
        <v/>
      </c>
      <c r="AZ40" s="775"/>
      <c r="BA40" s="792"/>
      <c r="BB40" s="774"/>
      <c r="BC40" s="775" t="str">
        <f>IF($B40="","",IF(INDEX(BDHKI,MATCH($C40,DiemHKI!$DI$4:$DI$58,0),BC$59)&lt;&gt;"",INDEX(BDHKI,MATCH($C40,DiemHKI!$DI$4:$DI$58,0),BC$59),""))</f>
        <v/>
      </c>
      <c r="BD40" s="792" t="str">
        <f t="shared" si="16"/>
        <v/>
      </c>
      <c r="BE40" s="776" t="str">
        <f t="shared" si="17"/>
        <v/>
      </c>
      <c r="BF40" s="775"/>
      <c r="BG40" s="792"/>
      <c r="BH40" s="774"/>
      <c r="BI40" s="775" t="str">
        <f>IF($B40="","",IF(INDEX(BDHKI,MATCH($C40,DiemHKI!$DI$4:$DI$58,0),BI$59)&lt;&gt;"",INDEX(BDHKI,MATCH($C40,DiemHKI!$DI$4:$DI$58,0),BI$59),""))</f>
        <v/>
      </c>
      <c r="BJ40" s="792" t="str">
        <f t="shared" si="18"/>
        <v/>
      </c>
      <c r="BK40" s="776" t="str">
        <f t="shared" si="19"/>
        <v/>
      </c>
      <c r="BL40" s="775"/>
      <c r="BM40" s="792"/>
      <c r="BN40" s="774"/>
      <c r="BO40" s="775" t="str">
        <f>IF($B40="","",IF(INDEX(BDHKI,MATCH($C40,DiemHKI!$DI$4:$DI$58,0),BO$59)&lt;&gt;"",INDEX(BDHKI,MATCH($C40,DiemHKI!$DI$4:$DI$58,0),BO$59),""))</f>
        <v/>
      </c>
      <c r="BP40" s="792" t="str">
        <f t="shared" si="20"/>
        <v/>
      </c>
      <c r="BQ40" s="776" t="str">
        <f t="shared" si="21"/>
        <v/>
      </c>
      <c r="BR40" s="775"/>
      <c r="BS40" s="792"/>
      <c r="BT40" s="774"/>
      <c r="BU40" s="775" t="str">
        <f>IF($B40="","",IF(INDEX(BDHKI,MATCH($C40,DiemHKI!$DI$4:$DI$58,0),BU$59)&lt;&gt;"",INDEX(BDHKI,MATCH($C40,DiemHKI!$DI$4:$DI$58,0),BU$59),""))</f>
        <v/>
      </c>
      <c r="BV40" s="792" t="str">
        <f t="shared" si="22"/>
        <v/>
      </c>
      <c r="BW40" s="776" t="str">
        <f t="shared" si="23"/>
        <v/>
      </c>
      <c r="BX40" s="775"/>
      <c r="BY40" s="792"/>
      <c r="BZ40" s="774"/>
      <c r="CA40" s="775" t="str">
        <f>IF($B40="","",IF(INDEX(BDHKI,MATCH($C40,DiemHKI!$DI$4:$DI$58,0),CA$59)&lt;&gt;"",INDEX(BDHKI,MATCH($C40,DiemHKI!$DI$4:$DI$58,0),CA$59),""))</f>
        <v/>
      </c>
      <c r="CB40" s="792" t="str">
        <f t="shared" si="24"/>
        <v/>
      </c>
      <c r="CC40" s="776" t="str">
        <f t="shared" si="25"/>
        <v/>
      </c>
      <c r="CD40" s="775"/>
      <c r="CE40" s="792"/>
      <c r="CF40" s="774"/>
      <c r="CG40" s="775" t="str">
        <f>IF($B40="","",IF(INDEX(BDHKI,MATCH($C40,DiemHKI!$DI$4:$DI$58,0),CG$59)&lt;&gt;"",INDEX(BDHKI,MATCH($C40,DiemHKI!$DI$4:$DI$58,0),CG$59),""))</f>
        <v/>
      </c>
      <c r="CH40" s="792" t="str">
        <f t="shared" si="26"/>
        <v/>
      </c>
      <c r="CI40" s="776" t="str">
        <f t="shared" si="27"/>
        <v/>
      </c>
      <c r="CJ40" s="775"/>
      <c r="CK40" s="792"/>
      <c r="CL40" s="774"/>
    </row>
    <row r="41" spans="2:90" ht="15" customHeight="1">
      <c r="B41" s="771" t="str">
        <f>IF(B40&lt;MAX(DiemHKI!$B$4:$B$58),B40+1,"")</f>
        <v/>
      </c>
      <c r="C41" s="771" t="str">
        <f t="shared" si="0"/>
        <v/>
      </c>
      <c r="D41" s="772" t="str">
        <f>IF($B41&lt;&gt;"",PROPER(INDEX(BDHKI,MATCH($B41,DiemHKI!$B$4:$B$58,0),3)),"")</f>
        <v/>
      </c>
      <c r="E41" s="773" t="str">
        <f>IF($B41&lt;&gt;"",PROPER(INDEX(BDHKI,MATCH($B41,DiemHKI!$B$4:$B$58,0),4)),"")</f>
        <v/>
      </c>
      <c r="F41" s="774" t="str">
        <f>IF($B41&lt;&gt;"",PROPER(INDEX(BDHKI,MATCH($B41,DiemHKI!$B$4:$B$58,0),5)),"")</f>
        <v/>
      </c>
      <c r="G41" s="775" t="str">
        <f>IF($B41="","",IF(INDEX(BDHKI,MATCH($C41,DiemHKI!$DI$4:$DI$58,0),G$59)&lt;&gt;"",INDEX(BDHKI,MATCH($C41,DiemHKI!$DI$4:$DI$58,0),G$59),""))</f>
        <v/>
      </c>
      <c r="H41" s="792" t="str">
        <f t="shared" si="28"/>
        <v/>
      </c>
      <c r="I41" s="776" t="str">
        <f t="shared" si="1"/>
        <v/>
      </c>
      <c r="J41" s="775"/>
      <c r="K41" s="792">
        <v>5</v>
      </c>
      <c r="L41" s="774"/>
      <c r="M41" s="775" t="str">
        <f>IF($B41="","",IF(INDEX(BDHKI,MATCH($C41,DiemHKI!$DI$4:$DI$58,0),M$59)&lt;&gt;"",INDEX(BDHKI,MATCH($C41,DiemHKI!$DI$4:$DI$58,0),M$59),""))</f>
        <v/>
      </c>
      <c r="N41" s="792" t="str">
        <f t="shared" si="2"/>
        <v/>
      </c>
      <c r="O41" s="776" t="str">
        <f t="shared" si="3"/>
        <v/>
      </c>
      <c r="P41" s="775"/>
      <c r="Q41" s="792"/>
      <c r="R41" s="774"/>
      <c r="S41" s="775" t="str">
        <f>IF($B41="","",IF(INDEX(BDHKI,MATCH($C41,DiemHKI!$DI$4:$DI$58,0),S$59)&lt;&gt;"",INDEX(BDHKI,MATCH($C41,DiemHKI!$DI$4:$DI$58,0),S$59),""))</f>
        <v/>
      </c>
      <c r="T41" s="792" t="str">
        <f t="shared" si="4"/>
        <v/>
      </c>
      <c r="U41" s="776" t="str">
        <f t="shared" si="5"/>
        <v/>
      </c>
      <c r="V41" s="775"/>
      <c r="W41" s="792"/>
      <c r="X41" s="774"/>
      <c r="Y41" s="775" t="str">
        <f>IF($B41="","",IF(INDEX(BDHKI,MATCH($C41,DiemHKI!$DI$4:$DI$58,0),Y$59)&lt;&gt;"",INDEX(BDHKI,MATCH($C41,DiemHKI!$DI$4:$DI$58,0),Y$59),""))</f>
        <v/>
      </c>
      <c r="Z41" s="792" t="str">
        <f t="shared" si="6"/>
        <v/>
      </c>
      <c r="AA41" s="776" t="str">
        <f t="shared" si="7"/>
        <v/>
      </c>
      <c r="AB41" s="775"/>
      <c r="AC41" s="792"/>
      <c r="AD41" s="774"/>
      <c r="AE41" s="775" t="str">
        <f>IF($B41="","",IF(INDEX(BDHKI,MATCH($C41,DiemHKI!$DI$4:$DI$58,0),AE$59)&lt;&gt;"",INDEX(BDHKI,MATCH($C41,DiemHKI!$DI$4:$DI$58,0),AE$59),""))</f>
        <v/>
      </c>
      <c r="AF41" s="792" t="str">
        <f t="shared" si="8"/>
        <v/>
      </c>
      <c r="AG41" s="776" t="str">
        <f t="shared" si="9"/>
        <v/>
      </c>
      <c r="AH41" s="775"/>
      <c r="AI41" s="792"/>
      <c r="AJ41" s="774"/>
      <c r="AK41" s="775" t="str">
        <f>IF($B41="","",IF(INDEX(BDHKI,MATCH($C41,DiemHKI!$DI$4:$DI$58,0),AK$59)&lt;&gt;"",INDEX(BDHKI,MATCH($C41,DiemHKI!$DI$4:$DI$58,0),AK$59),""))</f>
        <v/>
      </c>
      <c r="AL41" s="792" t="str">
        <f t="shared" si="10"/>
        <v/>
      </c>
      <c r="AM41" s="776" t="str">
        <f t="shared" si="11"/>
        <v/>
      </c>
      <c r="AN41" s="775"/>
      <c r="AO41" s="792"/>
      <c r="AP41" s="774"/>
      <c r="AQ41" s="775" t="str">
        <f>IF($B41="","",IF(INDEX(BDHKI,MATCH($C41,DiemHKI!$DI$4:$DI$58,0),AQ$59)&lt;&gt;"",INDEX(BDHKI,MATCH($C41,DiemHKI!$DI$4:$DI$58,0),AQ$59),""))</f>
        <v/>
      </c>
      <c r="AR41" s="792" t="str">
        <f t="shared" si="12"/>
        <v/>
      </c>
      <c r="AS41" s="776" t="str">
        <f t="shared" si="13"/>
        <v/>
      </c>
      <c r="AT41" s="775"/>
      <c r="AU41" s="792"/>
      <c r="AV41" s="774"/>
      <c r="AW41" s="775" t="str">
        <f>IF($B41="","",IF(INDEX(BDHKI,MATCH($C41,DiemHKI!$DI$4:$DI$58,0),AW$59)&lt;&gt;"",INDEX(BDHKI,MATCH($C41,DiemHKI!$DI$4:$DI$58,0),AW$59),""))</f>
        <v/>
      </c>
      <c r="AX41" s="792" t="str">
        <f t="shared" si="14"/>
        <v/>
      </c>
      <c r="AY41" s="776" t="str">
        <f t="shared" si="15"/>
        <v/>
      </c>
      <c r="AZ41" s="775"/>
      <c r="BA41" s="792"/>
      <c r="BB41" s="774"/>
      <c r="BC41" s="775" t="str">
        <f>IF($B41="","",IF(INDEX(BDHKI,MATCH($C41,DiemHKI!$DI$4:$DI$58,0),BC$59)&lt;&gt;"",INDEX(BDHKI,MATCH($C41,DiemHKI!$DI$4:$DI$58,0),BC$59),""))</f>
        <v/>
      </c>
      <c r="BD41" s="792" t="str">
        <f t="shared" si="16"/>
        <v/>
      </c>
      <c r="BE41" s="776" t="str">
        <f t="shared" si="17"/>
        <v/>
      </c>
      <c r="BF41" s="775"/>
      <c r="BG41" s="792"/>
      <c r="BH41" s="774"/>
      <c r="BI41" s="775" t="str">
        <f>IF($B41="","",IF(INDEX(BDHKI,MATCH($C41,DiemHKI!$DI$4:$DI$58,0),BI$59)&lt;&gt;"",INDEX(BDHKI,MATCH($C41,DiemHKI!$DI$4:$DI$58,0),BI$59),""))</f>
        <v/>
      </c>
      <c r="BJ41" s="792" t="str">
        <f t="shared" si="18"/>
        <v/>
      </c>
      <c r="BK41" s="776" t="str">
        <f t="shared" si="19"/>
        <v/>
      </c>
      <c r="BL41" s="775"/>
      <c r="BM41" s="792"/>
      <c r="BN41" s="774"/>
      <c r="BO41" s="775" t="str">
        <f>IF($B41="","",IF(INDEX(BDHKI,MATCH($C41,DiemHKI!$DI$4:$DI$58,0),BO$59)&lt;&gt;"",INDEX(BDHKI,MATCH($C41,DiemHKI!$DI$4:$DI$58,0),BO$59),""))</f>
        <v/>
      </c>
      <c r="BP41" s="792" t="str">
        <f t="shared" si="20"/>
        <v/>
      </c>
      <c r="BQ41" s="776" t="str">
        <f t="shared" si="21"/>
        <v/>
      </c>
      <c r="BR41" s="775"/>
      <c r="BS41" s="792"/>
      <c r="BT41" s="774"/>
      <c r="BU41" s="775" t="str">
        <f>IF($B41="","",IF(INDEX(BDHKI,MATCH($C41,DiemHKI!$DI$4:$DI$58,0),BU$59)&lt;&gt;"",INDEX(BDHKI,MATCH($C41,DiemHKI!$DI$4:$DI$58,0),BU$59),""))</f>
        <v/>
      </c>
      <c r="BV41" s="792" t="str">
        <f t="shared" si="22"/>
        <v/>
      </c>
      <c r="BW41" s="776" t="str">
        <f t="shared" si="23"/>
        <v/>
      </c>
      <c r="BX41" s="775"/>
      <c r="BY41" s="792"/>
      <c r="BZ41" s="774"/>
      <c r="CA41" s="775" t="str">
        <f>IF($B41="","",IF(INDEX(BDHKI,MATCH($C41,DiemHKI!$DI$4:$DI$58,0),CA$59)&lt;&gt;"",INDEX(BDHKI,MATCH($C41,DiemHKI!$DI$4:$DI$58,0),CA$59),""))</f>
        <v/>
      </c>
      <c r="CB41" s="792" t="str">
        <f t="shared" si="24"/>
        <v/>
      </c>
      <c r="CC41" s="776" t="str">
        <f t="shared" si="25"/>
        <v/>
      </c>
      <c r="CD41" s="775"/>
      <c r="CE41" s="792"/>
      <c r="CF41" s="774"/>
      <c r="CG41" s="775" t="str">
        <f>IF($B41="","",IF(INDEX(BDHKI,MATCH($C41,DiemHKI!$DI$4:$DI$58,0),CG$59)&lt;&gt;"",INDEX(BDHKI,MATCH($C41,DiemHKI!$DI$4:$DI$58,0),CG$59),""))</f>
        <v/>
      </c>
      <c r="CH41" s="792" t="str">
        <f t="shared" si="26"/>
        <v/>
      </c>
      <c r="CI41" s="776" t="str">
        <f t="shared" si="27"/>
        <v/>
      </c>
      <c r="CJ41" s="775"/>
      <c r="CK41" s="792"/>
      <c r="CL41" s="774"/>
    </row>
    <row r="42" spans="2:90" ht="15" customHeight="1">
      <c r="B42" s="777" t="str">
        <f>IF(B41&lt;MAX(DiemHKI!$B$4:$B$58),B41+1,"")</f>
        <v/>
      </c>
      <c r="C42" s="777" t="str">
        <f t="shared" si="0"/>
        <v/>
      </c>
      <c r="D42" s="778" t="str">
        <f>IF($B42&lt;&gt;"",PROPER(INDEX(BDHKI,MATCH($B42,DiemHKI!$B$4:$B$58,0),3)),"")</f>
        <v/>
      </c>
      <c r="E42" s="779" t="str">
        <f>IF($B42&lt;&gt;"",PROPER(INDEX(BDHKI,MATCH($B42,DiemHKI!$B$4:$B$58,0),4)),"")</f>
        <v/>
      </c>
      <c r="F42" s="780" t="str">
        <f>IF($B42&lt;&gt;"",PROPER(INDEX(BDHKI,MATCH($B42,DiemHKI!$B$4:$B$58,0),5)),"")</f>
        <v/>
      </c>
      <c r="G42" s="781" t="str">
        <f>IF($B42="","",IF(INDEX(BDHKI,MATCH($C42,DiemHKI!$DI$4:$DI$58,0),G$59)&lt;&gt;"",INDEX(BDHKI,MATCH($C42,DiemHKI!$DI$4:$DI$58,0),G$59),""))</f>
        <v/>
      </c>
      <c r="H42" s="793" t="str">
        <f t="shared" si="28"/>
        <v/>
      </c>
      <c r="I42" s="782" t="str">
        <f t="shared" si="1"/>
        <v/>
      </c>
      <c r="J42" s="781"/>
      <c r="K42" s="793">
        <v>3</v>
      </c>
      <c r="L42" s="780"/>
      <c r="M42" s="781" t="str">
        <f>IF($B42="","",IF(INDEX(BDHKI,MATCH($C42,DiemHKI!$DI$4:$DI$58,0),M$59)&lt;&gt;"",INDEX(BDHKI,MATCH($C42,DiemHKI!$DI$4:$DI$58,0),M$59),""))</f>
        <v/>
      </c>
      <c r="N42" s="793" t="str">
        <f t="shared" si="2"/>
        <v/>
      </c>
      <c r="O42" s="782" t="str">
        <f t="shared" si="3"/>
        <v/>
      </c>
      <c r="P42" s="781"/>
      <c r="Q42" s="793"/>
      <c r="R42" s="780"/>
      <c r="S42" s="781" t="str">
        <f>IF($B42="","",IF(INDEX(BDHKI,MATCH($C42,DiemHKI!$DI$4:$DI$58,0),S$59)&lt;&gt;"",INDEX(BDHKI,MATCH($C42,DiemHKI!$DI$4:$DI$58,0),S$59),""))</f>
        <v/>
      </c>
      <c r="T42" s="793" t="str">
        <f t="shared" si="4"/>
        <v/>
      </c>
      <c r="U42" s="782" t="str">
        <f t="shared" si="5"/>
        <v/>
      </c>
      <c r="V42" s="781"/>
      <c r="W42" s="793"/>
      <c r="X42" s="780"/>
      <c r="Y42" s="781" t="str">
        <f>IF($B42="","",IF(INDEX(BDHKI,MATCH($C42,DiemHKI!$DI$4:$DI$58,0),Y$59)&lt;&gt;"",INDEX(BDHKI,MATCH($C42,DiemHKI!$DI$4:$DI$58,0),Y$59),""))</f>
        <v/>
      </c>
      <c r="Z42" s="793" t="str">
        <f t="shared" si="6"/>
        <v/>
      </c>
      <c r="AA42" s="782" t="str">
        <f t="shared" si="7"/>
        <v/>
      </c>
      <c r="AB42" s="781"/>
      <c r="AC42" s="793"/>
      <c r="AD42" s="780"/>
      <c r="AE42" s="781" t="str">
        <f>IF($B42="","",IF(INDEX(BDHKI,MATCH($C42,DiemHKI!$DI$4:$DI$58,0),AE$59)&lt;&gt;"",INDEX(BDHKI,MATCH($C42,DiemHKI!$DI$4:$DI$58,0),AE$59),""))</f>
        <v/>
      </c>
      <c r="AF42" s="793" t="str">
        <f t="shared" si="8"/>
        <v/>
      </c>
      <c r="AG42" s="782" t="str">
        <f t="shared" si="9"/>
        <v/>
      </c>
      <c r="AH42" s="781"/>
      <c r="AI42" s="793"/>
      <c r="AJ42" s="780"/>
      <c r="AK42" s="781" t="str">
        <f>IF($B42="","",IF(INDEX(BDHKI,MATCH($C42,DiemHKI!$DI$4:$DI$58,0),AK$59)&lt;&gt;"",INDEX(BDHKI,MATCH($C42,DiemHKI!$DI$4:$DI$58,0),AK$59),""))</f>
        <v/>
      </c>
      <c r="AL42" s="793" t="str">
        <f t="shared" si="10"/>
        <v/>
      </c>
      <c r="AM42" s="782" t="str">
        <f t="shared" si="11"/>
        <v/>
      </c>
      <c r="AN42" s="781"/>
      <c r="AO42" s="793"/>
      <c r="AP42" s="780"/>
      <c r="AQ42" s="781" t="str">
        <f>IF($B42="","",IF(INDEX(BDHKI,MATCH($C42,DiemHKI!$DI$4:$DI$58,0),AQ$59)&lt;&gt;"",INDEX(BDHKI,MATCH($C42,DiemHKI!$DI$4:$DI$58,0),AQ$59),""))</f>
        <v/>
      </c>
      <c r="AR42" s="793" t="str">
        <f t="shared" si="12"/>
        <v/>
      </c>
      <c r="AS42" s="782" t="str">
        <f t="shared" si="13"/>
        <v/>
      </c>
      <c r="AT42" s="781"/>
      <c r="AU42" s="793"/>
      <c r="AV42" s="780"/>
      <c r="AW42" s="781" t="str">
        <f>IF($B42="","",IF(INDEX(BDHKI,MATCH($C42,DiemHKI!$DI$4:$DI$58,0),AW$59)&lt;&gt;"",INDEX(BDHKI,MATCH($C42,DiemHKI!$DI$4:$DI$58,0),AW$59),""))</f>
        <v/>
      </c>
      <c r="AX42" s="793" t="str">
        <f t="shared" si="14"/>
        <v/>
      </c>
      <c r="AY42" s="782" t="str">
        <f t="shared" si="15"/>
        <v/>
      </c>
      <c r="AZ42" s="781"/>
      <c r="BA42" s="793"/>
      <c r="BB42" s="780"/>
      <c r="BC42" s="781" t="str">
        <f>IF($B42="","",IF(INDEX(BDHKI,MATCH($C42,DiemHKI!$DI$4:$DI$58,0),BC$59)&lt;&gt;"",INDEX(BDHKI,MATCH($C42,DiemHKI!$DI$4:$DI$58,0),BC$59),""))</f>
        <v/>
      </c>
      <c r="BD42" s="793" t="str">
        <f t="shared" si="16"/>
        <v/>
      </c>
      <c r="BE42" s="782" t="str">
        <f t="shared" si="17"/>
        <v/>
      </c>
      <c r="BF42" s="781"/>
      <c r="BG42" s="793"/>
      <c r="BH42" s="780"/>
      <c r="BI42" s="781" t="str">
        <f>IF($B42="","",IF(INDEX(BDHKI,MATCH($C42,DiemHKI!$DI$4:$DI$58,0),BI$59)&lt;&gt;"",INDEX(BDHKI,MATCH($C42,DiemHKI!$DI$4:$DI$58,0),BI$59),""))</f>
        <v/>
      </c>
      <c r="BJ42" s="793" t="str">
        <f t="shared" si="18"/>
        <v/>
      </c>
      <c r="BK42" s="782" t="str">
        <f t="shared" si="19"/>
        <v/>
      </c>
      <c r="BL42" s="781"/>
      <c r="BM42" s="793"/>
      <c r="BN42" s="780"/>
      <c r="BO42" s="781" t="str">
        <f>IF($B42="","",IF(INDEX(BDHKI,MATCH($C42,DiemHKI!$DI$4:$DI$58,0),BO$59)&lt;&gt;"",INDEX(BDHKI,MATCH($C42,DiemHKI!$DI$4:$DI$58,0),BO$59),""))</f>
        <v/>
      </c>
      <c r="BP42" s="793" t="str">
        <f t="shared" si="20"/>
        <v/>
      </c>
      <c r="BQ42" s="782" t="str">
        <f t="shared" si="21"/>
        <v/>
      </c>
      <c r="BR42" s="781"/>
      <c r="BS42" s="793"/>
      <c r="BT42" s="780"/>
      <c r="BU42" s="781" t="str">
        <f>IF($B42="","",IF(INDEX(BDHKI,MATCH($C42,DiemHKI!$DI$4:$DI$58,0),BU$59)&lt;&gt;"",INDEX(BDHKI,MATCH($C42,DiemHKI!$DI$4:$DI$58,0),BU$59),""))</f>
        <v/>
      </c>
      <c r="BV42" s="793" t="str">
        <f t="shared" si="22"/>
        <v/>
      </c>
      <c r="BW42" s="782" t="str">
        <f t="shared" si="23"/>
        <v/>
      </c>
      <c r="BX42" s="781"/>
      <c r="BY42" s="793"/>
      <c r="BZ42" s="780"/>
      <c r="CA42" s="781" t="str">
        <f>IF($B42="","",IF(INDEX(BDHKI,MATCH($C42,DiemHKI!$DI$4:$DI$58,0),CA$59)&lt;&gt;"",INDEX(BDHKI,MATCH($C42,DiemHKI!$DI$4:$DI$58,0),CA$59),""))</f>
        <v/>
      </c>
      <c r="CB42" s="793" t="str">
        <f t="shared" si="24"/>
        <v/>
      </c>
      <c r="CC42" s="782" t="str">
        <f t="shared" si="25"/>
        <v/>
      </c>
      <c r="CD42" s="781"/>
      <c r="CE42" s="793"/>
      <c r="CF42" s="780"/>
      <c r="CG42" s="781" t="str">
        <f>IF($B42="","",IF(INDEX(BDHKI,MATCH($C42,DiemHKI!$DI$4:$DI$58,0),CG$59)&lt;&gt;"",INDEX(BDHKI,MATCH($C42,DiemHKI!$DI$4:$DI$58,0),CG$59),""))</f>
        <v/>
      </c>
      <c r="CH42" s="793" t="str">
        <f t="shared" si="26"/>
        <v/>
      </c>
      <c r="CI42" s="782" t="str">
        <f t="shared" si="27"/>
        <v/>
      </c>
      <c r="CJ42" s="781"/>
      <c r="CK42" s="793"/>
      <c r="CL42" s="780"/>
    </row>
    <row r="43" spans="2:90" ht="15" customHeight="1">
      <c r="B43" s="765" t="str">
        <f>IF(B42&lt;MAX(DiemHKI!$B$4:$B$58),B42+1,"")</f>
        <v/>
      </c>
      <c r="C43" s="765" t="str">
        <f t="shared" si="0"/>
        <v/>
      </c>
      <c r="D43" s="766" t="str">
        <f>IF($B43&lt;&gt;"",PROPER(INDEX(BDHKI,MATCH($B43,DiemHKI!$B$4:$B$58,0),3)),"")</f>
        <v/>
      </c>
      <c r="E43" s="767" t="str">
        <f>IF($B43&lt;&gt;"",PROPER(INDEX(BDHKI,MATCH($B43,DiemHKI!$B$4:$B$58,0),4)),"")</f>
        <v/>
      </c>
      <c r="F43" s="768" t="str">
        <f>IF($B43&lt;&gt;"",PROPER(INDEX(BDHKI,MATCH($B43,DiemHKI!$B$4:$B$58,0),5)),"")</f>
        <v/>
      </c>
      <c r="G43" s="769" t="str">
        <f>IF($B43="","",IF(INDEX(BDHKI,MATCH($C43,DiemHKI!$DI$4:$DI$58,0),G$59)&lt;&gt;"",INDEX(BDHKI,MATCH($C43,DiemHKI!$DI$4:$DI$58,0),G$59),""))</f>
        <v/>
      </c>
      <c r="H43" s="791" t="str">
        <f t="shared" si="28"/>
        <v/>
      </c>
      <c r="I43" s="770" t="str">
        <f t="shared" si="1"/>
        <v/>
      </c>
      <c r="J43" s="769"/>
      <c r="K43" s="791">
        <v>4</v>
      </c>
      <c r="L43" s="768"/>
      <c r="M43" s="769" t="str">
        <f>IF($B43="","",IF(INDEX(BDHKI,MATCH($C43,DiemHKI!$DI$4:$DI$58,0),M$59)&lt;&gt;"",INDEX(BDHKI,MATCH($C43,DiemHKI!$DI$4:$DI$58,0),M$59),""))</f>
        <v/>
      </c>
      <c r="N43" s="791" t="str">
        <f t="shared" si="2"/>
        <v/>
      </c>
      <c r="O43" s="770" t="str">
        <f t="shared" si="3"/>
        <v/>
      </c>
      <c r="P43" s="769"/>
      <c r="Q43" s="791"/>
      <c r="R43" s="768"/>
      <c r="S43" s="769" t="str">
        <f>IF($B43="","",IF(INDEX(BDHKI,MATCH($C43,DiemHKI!$DI$4:$DI$58,0),S$59)&lt;&gt;"",INDEX(BDHKI,MATCH($C43,DiemHKI!$DI$4:$DI$58,0),S$59),""))</f>
        <v/>
      </c>
      <c r="T43" s="791" t="str">
        <f t="shared" si="4"/>
        <v/>
      </c>
      <c r="U43" s="770" t="str">
        <f t="shared" si="5"/>
        <v/>
      </c>
      <c r="V43" s="769"/>
      <c r="W43" s="791"/>
      <c r="X43" s="768"/>
      <c r="Y43" s="769" t="str">
        <f>IF($B43="","",IF(INDEX(BDHKI,MATCH($C43,DiemHKI!$DI$4:$DI$58,0),Y$59)&lt;&gt;"",INDEX(BDHKI,MATCH($C43,DiemHKI!$DI$4:$DI$58,0),Y$59),""))</f>
        <v/>
      </c>
      <c r="Z43" s="791" t="str">
        <f t="shared" si="6"/>
        <v/>
      </c>
      <c r="AA43" s="770" t="str">
        <f t="shared" si="7"/>
        <v/>
      </c>
      <c r="AB43" s="769"/>
      <c r="AC43" s="791"/>
      <c r="AD43" s="768"/>
      <c r="AE43" s="769" t="str">
        <f>IF($B43="","",IF(INDEX(BDHKI,MATCH($C43,DiemHKI!$DI$4:$DI$58,0),AE$59)&lt;&gt;"",INDEX(BDHKI,MATCH($C43,DiemHKI!$DI$4:$DI$58,0),AE$59),""))</f>
        <v/>
      </c>
      <c r="AF43" s="791" t="str">
        <f t="shared" si="8"/>
        <v/>
      </c>
      <c r="AG43" s="770" t="str">
        <f t="shared" si="9"/>
        <v/>
      </c>
      <c r="AH43" s="769"/>
      <c r="AI43" s="791"/>
      <c r="AJ43" s="768"/>
      <c r="AK43" s="769" t="str">
        <f>IF($B43="","",IF(INDEX(BDHKI,MATCH($C43,DiemHKI!$DI$4:$DI$58,0),AK$59)&lt;&gt;"",INDEX(BDHKI,MATCH($C43,DiemHKI!$DI$4:$DI$58,0),AK$59),""))</f>
        <v/>
      </c>
      <c r="AL43" s="791" t="str">
        <f t="shared" si="10"/>
        <v/>
      </c>
      <c r="AM43" s="770" t="str">
        <f t="shared" si="11"/>
        <v/>
      </c>
      <c r="AN43" s="769"/>
      <c r="AO43" s="791"/>
      <c r="AP43" s="768"/>
      <c r="AQ43" s="769" t="str">
        <f>IF($B43="","",IF(INDEX(BDHKI,MATCH($C43,DiemHKI!$DI$4:$DI$58,0),AQ$59)&lt;&gt;"",INDEX(BDHKI,MATCH($C43,DiemHKI!$DI$4:$DI$58,0),AQ$59),""))</f>
        <v/>
      </c>
      <c r="AR43" s="791" t="str">
        <f t="shared" si="12"/>
        <v/>
      </c>
      <c r="AS43" s="770" t="str">
        <f t="shared" si="13"/>
        <v/>
      </c>
      <c r="AT43" s="769"/>
      <c r="AU43" s="791"/>
      <c r="AV43" s="768"/>
      <c r="AW43" s="769" t="str">
        <f>IF($B43="","",IF(INDEX(BDHKI,MATCH($C43,DiemHKI!$DI$4:$DI$58,0),AW$59)&lt;&gt;"",INDEX(BDHKI,MATCH($C43,DiemHKI!$DI$4:$DI$58,0),AW$59),""))</f>
        <v/>
      </c>
      <c r="AX43" s="791" t="str">
        <f t="shared" si="14"/>
        <v/>
      </c>
      <c r="AY43" s="770" t="str">
        <f t="shared" si="15"/>
        <v/>
      </c>
      <c r="AZ43" s="769"/>
      <c r="BA43" s="791"/>
      <c r="BB43" s="768"/>
      <c r="BC43" s="769" t="str">
        <f>IF($B43="","",IF(INDEX(BDHKI,MATCH($C43,DiemHKI!$DI$4:$DI$58,0),BC$59)&lt;&gt;"",INDEX(BDHKI,MATCH($C43,DiemHKI!$DI$4:$DI$58,0),BC$59),""))</f>
        <v/>
      </c>
      <c r="BD43" s="791" t="str">
        <f t="shared" si="16"/>
        <v/>
      </c>
      <c r="BE43" s="770" t="str">
        <f t="shared" si="17"/>
        <v/>
      </c>
      <c r="BF43" s="769"/>
      <c r="BG43" s="791"/>
      <c r="BH43" s="768"/>
      <c r="BI43" s="769" t="str">
        <f>IF($B43="","",IF(INDEX(BDHKI,MATCH($C43,DiemHKI!$DI$4:$DI$58,0),BI$59)&lt;&gt;"",INDEX(BDHKI,MATCH($C43,DiemHKI!$DI$4:$DI$58,0),BI$59),""))</f>
        <v/>
      </c>
      <c r="BJ43" s="791" t="str">
        <f t="shared" si="18"/>
        <v/>
      </c>
      <c r="BK43" s="770" t="str">
        <f t="shared" si="19"/>
        <v/>
      </c>
      <c r="BL43" s="769"/>
      <c r="BM43" s="791"/>
      <c r="BN43" s="768"/>
      <c r="BO43" s="769" t="str">
        <f>IF($B43="","",IF(INDEX(BDHKI,MATCH($C43,DiemHKI!$DI$4:$DI$58,0),BO$59)&lt;&gt;"",INDEX(BDHKI,MATCH($C43,DiemHKI!$DI$4:$DI$58,0),BO$59),""))</f>
        <v/>
      </c>
      <c r="BP43" s="791" t="str">
        <f t="shared" si="20"/>
        <v/>
      </c>
      <c r="BQ43" s="770" t="str">
        <f t="shared" si="21"/>
        <v/>
      </c>
      <c r="BR43" s="769"/>
      <c r="BS43" s="791"/>
      <c r="BT43" s="768"/>
      <c r="BU43" s="769" t="str">
        <f>IF($B43="","",IF(INDEX(BDHKI,MATCH($C43,DiemHKI!$DI$4:$DI$58,0),BU$59)&lt;&gt;"",INDEX(BDHKI,MATCH($C43,DiemHKI!$DI$4:$DI$58,0),BU$59),""))</f>
        <v/>
      </c>
      <c r="BV43" s="791" t="str">
        <f t="shared" si="22"/>
        <v/>
      </c>
      <c r="BW43" s="770" t="str">
        <f t="shared" si="23"/>
        <v/>
      </c>
      <c r="BX43" s="769"/>
      <c r="BY43" s="791"/>
      <c r="BZ43" s="768"/>
      <c r="CA43" s="769" t="str">
        <f>IF($B43="","",IF(INDEX(BDHKI,MATCH($C43,DiemHKI!$DI$4:$DI$58,0),CA$59)&lt;&gt;"",INDEX(BDHKI,MATCH($C43,DiemHKI!$DI$4:$DI$58,0),CA$59),""))</f>
        <v/>
      </c>
      <c r="CB43" s="791" t="str">
        <f t="shared" si="24"/>
        <v/>
      </c>
      <c r="CC43" s="770" t="str">
        <f t="shared" si="25"/>
        <v/>
      </c>
      <c r="CD43" s="769"/>
      <c r="CE43" s="791"/>
      <c r="CF43" s="768"/>
      <c r="CG43" s="769" t="str">
        <f>IF($B43="","",IF(INDEX(BDHKI,MATCH($C43,DiemHKI!$DI$4:$DI$58,0),CG$59)&lt;&gt;"",INDEX(BDHKI,MATCH($C43,DiemHKI!$DI$4:$DI$58,0),CG$59),""))</f>
        <v/>
      </c>
      <c r="CH43" s="791" t="str">
        <f t="shared" si="26"/>
        <v/>
      </c>
      <c r="CI43" s="770" t="str">
        <f t="shared" si="27"/>
        <v/>
      </c>
      <c r="CJ43" s="769"/>
      <c r="CK43" s="791"/>
      <c r="CL43" s="768"/>
    </row>
    <row r="44" spans="2:90" ht="15" customHeight="1">
      <c r="B44" s="771" t="str">
        <f>IF(B43&lt;MAX(DiemHKI!$B$4:$B$58),B43+1,"")</f>
        <v/>
      </c>
      <c r="C44" s="771" t="str">
        <f t="shared" si="0"/>
        <v/>
      </c>
      <c r="D44" s="772" t="str">
        <f>IF($B44&lt;&gt;"",PROPER(INDEX(BDHKI,MATCH($B44,DiemHKI!$B$4:$B$58,0),3)),"")</f>
        <v/>
      </c>
      <c r="E44" s="773" t="str">
        <f>IF($B44&lt;&gt;"",PROPER(INDEX(BDHKI,MATCH($B44,DiemHKI!$B$4:$B$58,0),4)),"")</f>
        <v/>
      </c>
      <c r="F44" s="774" t="str">
        <f>IF($B44&lt;&gt;"",PROPER(INDEX(BDHKI,MATCH($B44,DiemHKI!$B$4:$B$58,0),5)),"")</f>
        <v/>
      </c>
      <c r="G44" s="775" t="str">
        <f>IF($B44="","",IF(INDEX(BDHKI,MATCH($C44,DiemHKI!$DI$4:$DI$58,0),G$59)&lt;&gt;"",INDEX(BDHKI,MATCH($C44,DiemHKI!$DI$4:$DI$58,0),G$59),""))</f>
        <v/>
      </c>
      <c r="H44" s="792" t="str">
        <f t="shared" si="28"/>
        <v/>
      </c>
      <c r="I44" s="776" t="str">
        <f t="shared" si="1"/>
        <v/>
      </c>
      <c r="J44" s="775"/>
      <c r="K44" s="792">
        <v>5</v>
      </c>
      <c r="L44" s="774"/>
      <c r="M44" s="775" t="str">
        <f>IF($B44="","",IF(INDEX(BDHKI,MATCH($C44,DiemHKI!$DI$4:$DI$58,0),M$59)&lt;&gt;"",INDEX(BDHKI,MATCH($C44,DiemHKI!$DI$4:$DI$58,0),M$59),""))</f>
        <v/>
      </c>
      <c r="N44" s="792" t="str">
        <f t="shared" si="2"/>
        <v/>
      </c>
      <c r="O44" s="776" t="str">
        <f t="shared" si="3"/>
        <v/>
      </c>
      <c r="P44" s="775"/>
      <c r="Q44" s="792"/>
      <c r="R44" s="774"/>
      <c r="S44" s="775" t="str">
        <f>IF($B44="","",IF(INDEX(BDHKI,MATCH($C44,DiemHKI!$DI$4:$DI$58,0),S$59)&lt;&gt;"",INDEX(BDHKI,MATCH($C44,DiemHKI!$DI$4:$DI$58,0),S$59),""))</f>
        <v/>
      </c>
      <c r="T44" s="792" t="str">
        <f t="shared" si="4"/>
        <v/>
      </c>
      <c r="U44" s="776" t="str">
        <f t="shared" si="5"/>
        <v/>
      </c>
      <c r="V44" s="775"/>
      <c r="W44" s="792"/>
      <c r="X44" s="774"/>
      <c r="Y44" s="775" t="str">
        <f>IF($B44="","",IF(INDEX(BDHKI,MATCH($C44,DiemHKI!$DI$4:$DI$58,0),Y$59)&lt;&gt;"",INDEX(BDHKI,MATCH($C44,DiemHKI!$DI$4:$DI$58,0),Y$59),""))</f>
        <v/>
      </c>
      <c r="Z44" s="792" t="str">
        <f t="shared" si="6"/>
        <v/>
      </c>
      <c r="AA44" s="776" t="str">
        <f t="shared" si="7"/>
        <v/>
      </c>
      <c r="AB44" s="775"/>
      <c r="AC44" s="792"/>
      <c r="AD44" s="774"/>
      <c r="AE44" s="775" t="str">
        <f>IF($B44="","",IF(INDEX(BDHKI,MATCH($C44,DiemHKI!$DI$4:$DI$58,0),AE$59)&lt;&gt;"",INDEX(BDHKI,MATCH($C44,DiemHKI!$DI$4:$DI$58,0),AE$59),""))</f>
        <v/>
      </c>
      <c r="AF44" s="792" t="str">
        <f t="shared" si="8"/>
        <v/>
      </c>
      <c r="AG44" s="776" t="str">
        <f t="shared" si="9"/>
        <v/>
      </c>
      <c r="AH44" s="775"/>
      <c r="AI44" s="792"/>
      <c r="AJ44" s="774"/>
      <c r="AK44" s="775" t="str">
        <f>IF($B44="","",IF(INDEX(BDHKI,MATCH($C44,DiemHKI!$DI$4:$DI$58,0),AK$59)&lt;&gt;"",INDEX(BDHKI,MATCH($C44,DiemHKI!$DI$4:$DI$58,0),AK$59),""))</f>
        <v/>
      </c>
      <c r="AL44" s="792" t="str">
        <f t="shared" si="10"/>
        <v/>
      </c>
      <c r="AM44" s="776" t="str">
        <f t="shared" si="11"/>
        <v/>
      </c>
      <c r="AN44" s="775"/>
      <c r="AO44" s="792"/>
      <c r="AP44" s="774"/>
      <c r="AQ44" s="775" t="str">
        <f>IF($B44="","",IF(INDEX(BDHKI,MATCH($C44,DiemHKI!$DI$4:$DI$58,0),AQ$59)&lt;&gt;"",INDEX(BDHKI,MATCH($C44,DiemHKI!$DI$4:$DI$58,0),AQ$59),""))</f>
        <v/>
      </c>
      <c r="AR44" s="792" t="str">
        <f t="shared" si="12"/>
        <v/>
      </c>
      <c r="AS44" s="776" t="str">
        <f t="shared" si="13"/>
        <v/>
      </c>
      <c r="AT44" s="775"/>
      <c r="AU44" s="792"/>
      <c r="AV44" s="774"/>
      <c r="AW44" s="775" t="str">
        <f>IF($B44="","",IF(INDEX(BDHKI,MATCH($C44,DiemHKI!$DI$4:$DI$58,0),AW$59)&lt;&gt;"",INDEX(BDHKI,MATCH($C44,DiemHKI!$DI$4:$DI$58,0),AW$59),""))</f>
        <v/>
      </c>
      <c r="AX44" s="792" t="str">
        <f t="shared" si="14"/>
        <v/>
      </c>
      <c r="AY44" s="776" t="str">
        <f t="shared" si="15"/>
        <v/>
      </c>
      <c r="AZ44" s="775"/>
      <c r="BA44" s="792"/>
      <c r="BB44" s="774"/>
      <c r="BC44" s="775" t="str">
        <f>IF($B44="","",IF(INDEX(BDHKI,MATCH($C44,DiemHKI!$DI$4:$DI$58,0),BC$59)&lt;&gt;"",INDEX(BDHKI,MATCH($C44,DiemHKI!$DI$4:$DI$58,0),BC$59),""))</f>
        <v/>
      </c>
      <c r="BD44" s="792" t="str">
        <f t="shared" si="16"/>
        <v/>
      </c>
      <c r="BE44" s="776" t="str">
        <f t="shared" si="17"/>
        <v/>
      </c>
      <c r="BF44" s="775"/>
      <c r="BG44" s="792"/>
      <c r="BH44" s="774"/>
      <c r="BI44" s="775" t="str">
        <f>IF($B44="","",IF(INDEX(BDHKI,MATCH($C44,DiemHKI!$DI$4:$DI$58,0),BI$59)&lt;&gt;"",INDEX(BDHKI,MATCH($C44,DiemHKI!$DI$4:$DI$58,0),BI$59),""))</f>
        <v/>
      </c>
      <c r="BJ44" s="792" t="str">
        <f t="shared" si="18"/>
        <v/>
      </c>
      <c r="BK44" s="776" t="str">
        <f t="shared" si="19"/>
        <v/>
      </c>
      <c r="BL44" s="775"/>
      <c r="BM44" s="792"/>
      <c r="BN44" s="774"/>
      <c r="BO44" s="775" t="str">
        <f>IF($B44="","",IF(INDEX(BDHKI,MATCH($C44,DiemHKI!$DI$4:$DI$58,0),BO$59)&lt;&gt;"",INDEX(BDHKI,MATCH($C44,DiemHKI!$DI$4:$DI$58,0),BO$59),""))</f>
        <v/>
      </c>
      <c r="BP44" s="792" t="str">
        <f t="shared" si="20"/>
        <v/>
      </c>
      <c r="BQ44" s="776" t="str">
        <f t="shared" si="21"/>
        <v/>
      </c>
      <c r="BR44" s="775"/>
      <c r="BS44" s="792"/>
      <c r="BT44" s="774"/>
      <c r="BU44" s="775" t="str">
        <f>IF($B44="","",IF(INDEX(BDHKI,MATCH($C44,DiemHKI!$DI$4:$DI$58,0),BU$59)&lt;&gt;"",INDEX(BDHKI,MATCH($C44,DiemHKI!$DI$4:$DI$58,0),BU$59),""))</f>
        <v/>
      </c>
      <c r="BV44" s="792" t="str">
        <f t="shared" si="22"/>
        <v/>
      </c>
      <c r="BW44" s="776" t="str">
        <f t="shared" si="23"/>
        <v/>
      </c>
      <c r="BX44" s="775"/>
      <c r="BY44" s="792"/>
      <c r="BZ44" s="774"/>
      <c r="CA44" s="775" t="str">
        <f>IF($B44="","",IF(INDEX(BDHKI,MATCH($C44,DiemHKI!$DI$4:$DI$58,0),CA$59)&lt;&gt;"",INDEX(BDHKI,MATCH($C44,DiemHKI!$DI$4:$DI$58,0),CA$59),""))</f>
        <v/>
      </c>
      <c r="CB44" s="792" t="str">
        <f t="shared" si="24"/>
        <v/>
      </c>
      <c r="CC44" s="776" t="str">
        <f t="shared" si="25"/>
        <v/>
      </c>
      <c r="CD44" s="775"/>
      <c r="CE44" s="792"/>
      <c r="CF44" s="774"/>
      <c r="CG44" s="775" t="str">
        <f>IF($B44="","",IF(INDEX(BDHKI,MATCH($C44,DiemHKI!$DI$4:$DI$58,0),CG$59)&lt;&gt;"",INDEX(BDHKI,MATCH($C44,DiemHKI!$DI$4:$DI$58,0),CG$59),""))</f>
        <v/>
      </c>
      <c r="CH44" s="792" t="str">
        <f t="shared" si="26"/>
        <v/>
      </c>
      <c r="CI44" s="776" t="str">
        <f t="shared" si="27"/>
        <v/>
      </c>
      <c r="CJ44" s="775"/>
      <c r="CK44" s="792"/>
      <c r="CL44" s="774"/>
    </row>
    <row r="45" spans="2:90" ht="15" customHeight="1">
      <c r="B45" s="771" t="str">
        <f>IF(B44&lt;MAX(DiemHKI!$B$4:$B$58),B44+1,"")</f>
        <v/>
      </c>
      <c r="C45" s="771" t="str">
        <f t="shared" si="0"/>
        <v/>
      </c>
      <c r="D45" s="772" t="str">
        <f>IF($B45&lt;&gt;"",PROPER(INDEX(BDHKI,MATCH($B45,DiemHKI!$B$4:$B$58,0),3)),"")</f>
        <v/>
      </c>
      <c r="E45" s="773" t="str">
        <f>IF($B45&lt;&gt;"",PROPER(INDEX(BDHKI,MATCH($B45,DiemHKI!$B$4:$B$58,0),4)),"")</f>
        <v/>
      </c>
      <c r="F45" s="774" t="str">
        <f>IF($B45&lt;&gt;"",PROPER(INDEX(BDHKI,MATCH($B45,DiemHKI!$B$4:$B$58,0),5)),"")</f>
        <v/>
      </c>
      <c r="G45" s="775" t="str">
        <f>IF($B45="","",IF(INDEX(BDHKI,MATCH($C45,DiemHKI!$DI$4:$DI$58,0),G$59)&lt;&gt;"",INDEX(BDHKI,MATCH($C45,DiemHKI!$DI$4:$DI$58,0),G$59),""))</f>
        <v/>
      </c>
      <c r="H45" s="792" t="str">
        <f t="shared" si="28"/>
        <v/>
      </c>
      <c r="I45" s="776" t="str">
        <f t="shared" si="1"/>
        <v/>
      </c>
      <c r="J45" s="775"/>
      <c r="K45" s="792">
        <v>3</v>
      </c>
      <c r="L45" s="774"/>
      <c r="M45" s="775" t="str">
        <f>IF($B45="","",IF(INDEX(BDHKI,MATCH($C45,DiemHKI!$DI$4:$DI$58,0),M$59)&lt;&gt;"",INDEX(BDHKI,MATCH($C45,DiemHKI!$DI$4:$DI$58,0),M$59),""))</f>
        <v/>
      </c>
      <c r="N45" s="792" t="str">
        <f t="shared" si="2"/>
        <v/>
      </c>
      <c r="O45" s="776" t="str">
        <f t="shared" si="3"/>
        <v/>
      </c>
      <c r="P45" s="775"/>
      <c r="Q45" s="792"/>
      <c r="R45" s="774"/>
      <c r="S45" s="775" t="str">
        <f>IF($B45="","",IF(INDEX(BDHKI,MATCH($C45,DiemHKI!$DI$4:$DI$58,0),S$59)&lt;&gt;"",INDEX(BDHKI,MATCH($C45,DiemHKI!$DI$4:$DI$58,0),S$59),""))</f>
        <v/>
      </c>
      <c r="T45" s="792" t="str">
        <f t="shared" si="4"/>
        <v/>
      </c>
      <c r="U45" s="776" t="str">
        <f t="shared" si="5"/>
        <v/>
      </c>
      <c r="V45" s="775"/>
      <c r="W45" s="792"/>
      <c r="X45" s="774"/>
      <c r="Y45" s="775" t="str">
        <f>IF($B45="","",IF(INDEX(BDHKI,MATCH($C45,DiemHKI!$DI$4:$DI$58,0),Y$59)&lt;&gt;"",INDEX(BDHKI,MATCH($C45,DiemHKI!$DI$4:$DI$58,0),Y$59),""))</f>
        <v/>
      </c>
      <c r="Z45" s="792" t="str">
        <f t="shared" si="6"/>
        <v/>
      </c>
      <c r="AA45" s="776" t="str">
        <f t="shared" si="7"/>
        <v/>
      </c>
      <c r="AB45" s="775"/>
      <c r="AC45" s="792"/>
      <c r="AD45" s="774"/>
      <c r="AE45" s="775" t="str">
        <f>IF($B45="","",IF(INDEX(BDHKI,MATCH($C45,DiemHKI!$DI$4:$DI$58,0),AE$59)&lt;&gt;"",INDEX(BDHKI,MATCH($C45,DiemHKI!$DI$4:$DI$58,0),AE$59),""))</f>
        <v/>
      </c>
      <c r="AF45" s="792" t="str">
        <f t="shared" si="8"/>
        <v/>
      </c>
      <c r="AG45" s="776" t="str">
        <f t="shared" si="9"/>
        <v/>
      </c>
      <c r="AH45" s="775"/>
      <c r="AI45" s="792"/>
      <c r="AJ45" s="774"/>
      <c r="AK45" s="775" t="str">
        <f>IF($B45="","",IF(INDEX(BDHKI,MATCH($C45,DiemHKI!$DI$4:$DI$58,0),AK$59)&lt;&gt;"",INDEX(BDHKI,MATCH($C45,DiemHKI!$DI$4:$DI$58,0),AK$59),""))</f>
        <v/>
      </c>
      <c r="AL45" s="792" t="str">
        <f t="shared" si="10"/>
        <v/>
      </c>
      <c r="AM45" s="776" t="str">
        <f t="shared" si="11"/>
        <v/>
      </c>
      <c r="AN45" s="775"/>
      <c r="AO45" s="792"/>
      <c r="AP45" s="774"/>
      <c r="AQ45" s="775" t="str">
        <f>IF($B45="","",IF(INDEX(BDHKI,MATCH($C45,DiemHKI!$DI$4:$DI$58,0),AQ$59)&lt;&gt;"",INDEX(BDHKI,MATCH($C45,DiemHKI!$DI$4:$DI$58,0),AQ$59),""))</f>
        <v/>
      </c>
      <c r="AR45" s="792" t="str">
        <f t="shared" si="12"/>
        <v/>
      </c>
      <c r="AS45" s="776" t="str">
        <f t="shared" si="13"/>
        <v/>
      </c>
      <c r="AT45" s="775"/>
      <c r="AU45" s="792"/>
      <c r="AV45" s="774"/>
      <c r="AW45" s="775" t="str">
        <f>IF($B45="","",IF(INDEX(BDHKI,MATCH($C45,DiemHKI!$DI$4:$DI$58,0),AW$59)&lt;&gt;"",INDEX(BDHKI,MATCH($C45,DiemHKI!$DI$4:$DI$58,0),AW$59),""))</f>
        <v/>
      </c>
      <c r="AX45" s="792" t="str">
        <f t="shared" si="14"/>
        <v/>
      </c>
      <c r="AY45" s="776" t="str">
        <f t="shared" si="15"/>
        <v/>
      </c>
      <c r="AZ45" s="775"/>
      <c r="BA45" s="792"/>
      <c r="BB45" s="774"/>
      <c r="BC45" s="775" t="str">
        <f>IF($B45="","",IF(INDEX(BDHKI,MATCH($C45,DiemHKI!$DI$4:$DI$58,0),BC$59)&lt;&gt;"",INDEX(BDHKI,MATCH($C45,DiemHKI!$DI$4:$DI$58,0),BC$59),""))</f>
        <v/>
      </c>
      <c r="BD45" s="792" t="str">
        <f t="shared" si="16"/>
        <v/>
      </c>
      <c r="BE45" s="776" t="str">
        <f t="shared" si="17"/>
        <v/>
      </c>
      <c r="BF45" s="775"/>
      <c r="BG45" s="792"/>
      <c r="BH45" s="774"/>
      <c r="BI45" s="775" t="str">
        <f>IF($B45="","",IF(INDEX(BDHKI,MATCH($C45,DiemHKI!$DI$4:$DI$58,0),BI$59)&lt;&gt;"",INDEX(BDHKI,MATCH($C45,DiemHKI!$DI$4:$DI$58,0),BI$59),""))</f>
        <v/>
      </c>
      <c r="BJ45" s="792" t="str">
        <f t="shared" si="18"/>
        <v/>
      </c>
      <c r="BK45" s="776" t="str">
        <f t="shared" si="19"/>
        <v/>
      </c>
      <c r="BL45" s="775"/>
      <c r="BM45" s="792"/>
      <c r="BN45" s="774"/>
      <c r="BO45" s="775" t="str">
        <f>IF($B45="","",IF(INDEX(BDHKI,MATCH($C45,DiemHKI!$DI$4:$DI$58,0),BO$59)&lt;&gt;"",INDEX(BDHKI,MATCH($C45,DiemHKI!$DI$4:$DI$58,0),BO$59),""))</f>
        <v/>
      </c>
      <c r="BP45" s="792" t="str">
        <f t="shared" si="20"/>
        <v/>
      </c>
      <c r="BQ45" s="776" t="str">
        <f t="shared" si="21"/>
        <v/>
      </c>
      <c r="BR45" s="775"/>
      <c r="BS45" s="792"/>
      <c r="BT45" s="774"/>
      <c r="BU45" s="775" t="str">
        <f>IF($B45="","",IF(INDEX(BDHKI,MATCH($C45,DiemHKI!$DI$4:$DI$58,0),BU$59)&lt;&gt;"",INDEX(BDHKI,MATCH($C45,DiemHKI!$DI$4:$DI$58,0),BU$59),""))</f>
        <v/>
      </c>
      <c r="BV45" s="792" t="str">
        <f t="shared" si="22"/>
        <v/>
      </c>
      <c r="BW45" s="776" t="str">
        <f t="shared" si="23"/>
        <v/>
      </c>
      <c r="BX45" s="775"/>
      <c r="BY45" s="792"/>
      <c r="BZ45" s="774"/>
      <c r="CA45" s="775" t="str">
        <f>IF($B45="","",IF(INDEX(BDHKI,MATCH($C45,DiemHKI!$DI$4:$DI$58,0),CA$59)&lt;&gt;"",INDEX(BDHKI,MATCH($C45,DiemHKI!$DI$4:$DI$58,0),CA$59),""))</f>
        <v/>
      </c>
      <c r="CB45" s="792" t="str">
        <f t="shared" si="24"/>
        <v/>
      </c>
      <c r="CC45" s="776" t="str">
        <f t="shared" si="25"/>
        <v/>
      </c>
      <c r="CD45" s="775"/>
      <c r="CE45" s="792"/>
      <c r="CF45" s="774"/>
      <c r="CG45" s="775" t="str">
        <f>IF($B45="","",IF(INDEX(BDHKI,MATCH($C45,DiemHKI!$DI$4:$DI$58,0),CG$59)&lt;&gt;"",INDEX(BDHKI,MATCH($C45,DiemHKI!$DI$4:$DI$58,0),CG$59),""))</f>
        <v/>
      </c>
      <c r="CH45" s="792" t="str">
        <f t="shared" si="26"/>
        <v/>
      </c>
      <c r="CI45" s="776" t="str">
        <f t="shared" si="27"/>
        <v/>
      </c>
      <c r="CJ45" s="775"/>
      <c r="CK45" s="792"/>
      <c r="CL45" s="774"/>
    </row>
    <row r="46" spans="2:90" ht="15" customHeight="1">
      <c r="B46" s="771" t="str">
        <f>IF(B45&lt;MAX(DiemHKI!$B$4:$B$58),B45+1,"")</f>
        <v/>
      </c>
      <c r="C46" s="771" t="str">
        <f t="shared" si="0"/>
        <v/>
      </c>
      <c r="D46" s="772" t="str">
        <f>IF($B46&lt;&gt;"",PROPER(INDEX(BDHKI,MATCH($B46,DiemHKI!$B$4:$B$58,0),3)),"")</f>
        <v/>
      </c>
      <c r="E46" s="773" t="str">
        <f>IF($B46&lt;&gt;"",PROPER(INDEX(BDHKI,MATCH($B46,DiemHKI!$B$4:$B$58,0),4)),"")</f>
        <v/>
      </c>
      <c r="F46" s="774" t="str">
        <f>IF($B46&lt;&gt;"",PROPER(INDEX(BDHKI,MATCH($B46,DiemHKI!$B$4:$B$58,0),5)),"")</f>
        <v/>
      </c>
      <c r="G46" s="775" t="str">
        <f>IF($B46="","",IF(INDEX(BDHKI,MATCH($C46,DiemHKI!$DI$4:$DI$58,0),G$59)&lt;&gt;"",INDEX(BDHKI,MATCH($C46,DiemHKI!$DI$4:$DI$58,0),G$59),""))</f>
        <v/>
      </c>
      <c r="H46" s="792" t="str">
        <f t="shared" si="28"/>
        <v/>
      </c>
      <c r="I46" s="776" t="str">
        <f t="shared" si="1"/>
        <v/>
      </c>
      <c r="J46" s="775"/>
      <c r="K46" s="792">
        <v>4</v>
      </c>
      <c r="L46" s="774"/>
      <c r="M46" s="775" t="str">
        <f>IF($B46="","",IF(INDEX(BDHKI,MATCH($C46,DiemHKI!$DI$4:$DI$58,0),M$59)&lt;&gt;"",INDEX(BDHKI,MATCH($C46,DiemHKI!$DI$4:$DI$58,0),M$59),""))</f>
        <v/>
      </c>
      <c r="N46" s="792" t="str">
        <f t="shared" si="2"/>
        <v/>
      </c>
      <c r="O46" s="776" t="str">
        <f t="shared" si="3"/>
        <v/>
      </c>
      <c r="P46" s="775"/>
      <c r="Q46" s="792"/>
      <c r="R46" s="774"/>
      <c r="S46" s="775" t="str">
        <f>IF($B46="","",IF(INDEX(BDHKI,MATCH($C46,DiemHKI!$DI$4:$DI$58,0),S$59)&lt;&gt;"",INDEX(BDHKI,MATCH($C46,DiemHKI!$DI$4:$DI$58,0),S$59),""))</f>
        <v/>
      </c>
      <c r="T46" s="792" t="str">
        <f t="shared" si="4"/>
        <v/>
      </c>
      <c r="U46" s="776" t="str">
        <f t="shared" si="5"/>
        <v/>
      </c>
      <c r="V46" s="775"/>
      <c r="W46" s="792"/>
      <c r="X46" s="774"/>
      <c r="Y46" s="775" t="str">
        <f>IF($B46="","",IF(INDEX(BDHKI,MATCH($C46,DiemHKI!$DI$4:$DI$58,0),Y$59)&lt;&gt;"",INDEX(BDHKI,MATCH($C46,DiemHKI!$DI$4:$DI$58,0),Y$59),""))</f>
        <v/>
      </c>
      <c r="Z46" s="792" t="str">
        <f t="shared" si="6"/>
        <v/>
      </c>
      <c r="AA46" s="776" t="str">
        <f t="shared" si="7"/>
        <v/>
      </c>
      <c r="AB46" s="775"/>
      <c r="AC46" s="792"/>
      <c r="AD46" s="774"/>
      <c r="AE46" s="775" t="str">
        <f>IF($B46="","",IF(INDEX(BDHKI,MATCH($C46,DiemHKI!$DI$4:$DI$58,0),AE$59)&lt;&gt;"",INDEX(BDHKI,MATCH($C46,DiemHKI!$DI$4:$DI$58,0),AE$59),""))</f>
        <v/>
      </c>
      <c r="AF46" s="792" t="str">
        <f t="shared" si="8"/>
        <v/>
      </c>
      <c r="AG46" s="776" t="str">
        <f t="shared" si="9"/>
        <v/>
      </c>
      <c r="AH46" s="775"/>
      <c r="AI46" s="792"/>
      <c r="AJ46" s="774"/>
      <c r="AK46" s="775" t="str">
        <f>IF($B46="","",IF(INDEX(BDHKI,MATCH($C46,DiemHKI!$DI$4:$DI$58,0),AK$59)&lt;&gt;"",INDEX(BDHKI,MATCH($C46,DiemHKI!$DI$4:$DI$58,0),AK$59),""))</f>
        <v/>
      </c>
      <c r="AL46" s="792" t="str">
        <f t="shared" si="10"/>
        <v/>
      </c>
      <c r="AM46" s="776" t="str">
        <f t="shared" si="11"/>
        <v/>
      </c>
      <c r="AN46" s="775"/>
      <c r="AO46" s="792"/>
      <c r="AP46" s="774"/>
      <c r="AQ46" s="775" t="str">
        <f>IF($B46="","",IF(INDEX(BDHKI,MATCH($C46,DiemHKI!$DI$4:$DI$58,0),AQ$59)&lt;&gt;"",INDEX(BDHKI,MATCH($C46,DiemHKI!$DI$4:$DI$58,0),AQ$59),""))</f>
        <v/>
      </c>
      <c r="AR46" s="792" t="str">
        <f t="shared" si="12"/>
        <v/>
      </c>
      <c r="AS46" s="776" t="str">
        <f t="shared" si="13"/>
        <v/>
      </c>
      <c r="AT46" s="775"/>
      <c r="AU46" s="792"/>
      <c r="AV46" s="774"/>
      <c r="AW46" s="775" t="str">
        <f>IF($B46="","",IF(INDEX(BDHKI,MATCH($C46,DiemHKI!$DI$4:$DI$58,0),AW$59)&lt;&gt;"",INDEX(BDHKI,MATCH($C46,DiemHKI!$DI$4:$DI$58,0),AW$59),""))</f>
        <v/>
      </c>
      <c r="AX46" s="792" t="str">
        <f t="shared" si="14"/>
        <v/>
      </c>
      <c r="AY46" s="776" t="str">
        <f t="shared" si="15"/>
        <v/>
      </c>
      <c r="AZ46" s="775"/>
      <c r="BA46" s="792"/>
      <c r="BB46" s="774"/>
      <c r="BC46" s="775" t="str">
        <f>IF($B46="","",IF(INDEX(BDHKI,MATCH($C46,DiemHKI!$DI$4:$DI$58,0),BC$59)&lt;&gt;"",INDEX(BDHKI,MATCH($C46,DiemHKI!$DI$4:$DI$58,0),BC$59),""))</f>
        <v/>
      </c>
      <c r="BD46" s="792" t="str">
        <f t="shared" si="16"/>
        <v/>
      </c>
      <c r="BE46" s="776" t="str">
        <f t="shared" si="17"/>
        <v/>
      </c>
      <c r="BF46" s="775"/>
      <c r="BG46" s="792"/>
      <c r="BH46" s="774"/>
      <c r="BI46" s="775" t="str">
        <f>IF($B46="","",IF(INDEX(BDHKI,MATCH($C46,DiemHKI!$DI$4:$DI$58,0),BI$59)&lt;&gt;"",INDEX(BDHKI,MATCH($C46,DiemHKI!$DI$4:$DI$58,0),BI$59),""))</f>
        <v/>
      </c>
      <c r="BJ46" s="792" t="str">
        <f t="shared" si="18"/>
        <v/>
      </c>
      <c r="BK46" s="776" t="str">
        <f t="shared" si="19"/>
        <v/>
      </c>
      <c r="BL46" s="775"/>
      <c r="BM46" s="792"/>
      <c r="BN46" s="774"/>
      <c r="BO46" s="775" t="str">
        <f>IF($B46="","",IF(INDEX(BDHKI,MATCH($C46,DiemHKI!$DI$4:$DI$58,0),BO$59)&lt;&gt;"",INDEX(BDHKI,MATCH($C46,DiemHKI!$DI$4:$DI$58,0),BO$59),""))</f>
        <v/>
      </c>
      <c r="BP46" s="792" t="str">
        <f t="shared" si="20"/>
        <v/>
      </c>
      <c r="BQ46" s="776" t="str">
        <f t="shared" si="21"/>
        <v/>
      </c>
      <c r="BR46" s="775"/>
      <c r="BS46" s="792"/>
      <c r="BT46" s="774"/>
      <c r="BU46" s="775" t="str">
        <f>IF($B46="","",IF(INDEX(BDHKI,MATCH($C46,DiemHKI!$DI$4:$DI$58,0),BU$59)&lt;&gt;"",INDEX(BDHKI,MATCH($C46,DiemHKI!$DI$4:$DI$58,0),BU$59),""))</f>
        <v/>
      </c>
      <c r="BV46" s="792" t="str">
        <f t="shared" si="22"/>
        <v/>
      </c>
      <c r="BW46" s="776" t="str">
        <f t="shared" si="23"/>
        <v/>
      </c>
      <c r="BX46" s="775"/>
      <c r="BY46" s="792"/>
      <c r="BZ46" s="774"/>
      <c r="CA46" s="775" t="str">
        <f>IF($B46="","",IF(INDEX(BDHKI,MATCH($C46,DiemHKI!$DI$4:$DI$58,0),CA$59)&lt;&gt;"",INDEX(BDHKI,MATCH($C46,DiemHKI!$DI$4:$DI$58,0),CA$59),""))</f>
        <v/>
      </c>
      <c r="CB46" s="792" t="str">
        <f t="shared" si="24"/>
        <v/>
      </c>
      <c r="CC46" s="776" t="str">
        <f t="shared" si="25"/>
        <v/>
      </c>
      <c r="CD46" s="775"/>
      <c r="CE46" s="792"/>
      <c r="CF46" s="774"/>
      <c r="CG46" s="775" t="str">
        <f>IF($B46="","",IF(INDEX(BDHKI,MATCH($C46,DiemHKI!$DI$4:$DI$58,0),CG$59)&lt;&gt;"",INDEX(BDHKI,MATCH($C46,DiemHKI!$DI$4:$DI$58,0),CG$59),""))</f>
        <v/>
      </c>
      <c r="CH46" s="792" t="str">
        <f t="shared" si="26"/>
        <v/>
      </c>
      <c r="CI46" s="776" t="str">
        <f t="shared" si="27"/>
        <v/>
      </c>
      <c r="CJ46" s="775"/>
      <c r="CK46" s="792"/>
      <c r="CL46" s="774"/>
    </row>
    <row r="47" spans="2:90" ht="15" customHeight="1">
      <c r="B47" s="777" t="str">
        <f>IF(B46&lt;MAX(DiemHKI!$B$4:$B$58),B46+1,"")</f>
        <v/>
      </c>
      <c r="C47" s="777" t="str">
        <f t="shared" si="0"/>
        <v/>
      </c>
      <c r="D47" s="778" t="str">
        <f>IF($B47&lt;&gt;"",PROPER(INDEX(BDHKI,MATCH($B47,DiemHKI!$B$4:$B$58,0),3)),"")</f>
        <v/>
      </c>
      <c r="E47" s="779" t="str">
        <f>IF($B47&lt;&gt;"",PROPER(INDEX(BDHKI,MATCH($B47,DiemHKI!$B$4:$B$58,0),4)),"")</f>
        <v/>
      </c>
      <c r="F47" s="780" t="str">
        <f>IF($B47&lt;&gt;"",PROPER(INDEX(BDHKI,MATCH($B47,DiemHKI!$B$4:$B$58,0),5)),"")</f>
        <v/>
      </c>
      <c r="G47" s="781" t="str">
        <f>IF($B47="","",IF(INDEX(BDHKI,MATCH($C47,DiemHKI!$DI$4:$DI$58,0),G$59)&lt;&gt;"",INDEX(BDHKI,MATCH($C47,DiemHKI!$DI$4:$DI$58,0),G$59),""))</f>
        <v/>
      </c>
      <c r="H47" s="793" t="str">
        <f t="shared" si="28"/>
        <v/>
      </c>
      <c r="I47" s="782" t="str">
        <f t="shared" si="1"/>
        <v/>
      </c>
      <c r="J47" s="781"/>
      <c r="K47" s="793">
        <v>5</v>
      </c>
      <c r="L47" s="780"/>
      <c r="M47" s="781" t="str">
        <f>IF($B47="","",IF(INDEX(BDHKI,MATCH($C47,DiemHKI!$DI$4:$DI$58,0),M$59)&lt;&gt;"",INDEX(BDHKI,MATCH($C47,DiemHKI!$DI$4:$DI$58,0),M$59),""))</f>
        <v/>
      </c>
      <c r="N47" s="793" t="str">
        <f t="shared" si="2"/>
        <v/>
      </c>
      <c r="O47" s="782" t="str">
        <f t="shared" si="3"/>
        <v/>
      </c>
      <c r="P47" s="781"/>
      <c r="Q47" s="793"/>
      <c r="R47" s="780"/>
      <c r="S47" s="781" t="str">
        <f>IF($B47="","",IF(INDEX(BDHKI,MATCH($C47,DiemHKI!$DI$4:$DI$58,0),S$59)&lt;&gt;"",INDEX(BDHKI,MATCH($C47,DiemHKI!$DI$4:$DI$58,0),S$59),""))</f>
        <v/>
      </c>
      <c r="T47" s="793" t="str">
        <f t="shared" si="4"/>
        <v/>
      </c>
      <c r="U47" s="782" t="str">
        <f t="shared" si="5"/>
        <v/>
      </c>
      <c r="V47" s="781"/>
      <c r="W47" s="793"/>
      <c r="X47" s="780"/>
      <c r="Y47" s="781" t="str">
        <f>IF($B47="","",IF(INDEX(BDHKI,MATCH($C47,DiemHKI!$DI$4:$DI$58,0),Y$59)&lt;&gt;"",INDEX(BDHKI,MATCH($C47,DiemHKI!$DI$4:$DI$58,0),Y$59),""))</f>
        <v/>
      </c>
      <c r="Z47" s="793" t="str">
        <f t="shared" si="6"/>
        <v/>
      </c>
      <c r="AA47" s="782" t="str">
        <f t="shared" si="7"/>
        <v/>
      </c>
      <c r="AB47" s="781"/>
      <c r="AC47" s="793"/>
      <c r="AD47" s="780"/>
      <c r="AE47" s="781" t="str">
        <f>IF($B47="","",IF(INDEX(BDHKI,MATCH($C47,DiemHKI!$DI$4:$DI$58,0),AE$59)&lt;&gt;"",INDEX(BDHKI,MATCH($C47,DiemHKI!$DI$4:$DI$58,0),AE$59),""))</f>
        <v/>
      </c>
      <c r="AF47" s="793" t="str">
        <f t="shared" si="8"/>
        <v/>
      </c>
      <c r="AG47" s="782" t="str">
        <f t="shared" si="9"/>
        <v/>
      </c>
      <c r="AH47" s="781"/>
      <c r="AI47" s="793"/>
      <c r="AJ47" s="780"/>
      <c r="AK47" s="781" t="str">
        <f>IF($B47="","",IF(INDEX(BDHKI,MATCH($C47,DiemHKI!$DI$4:$DI$58,0),AK$59)&lt;&gt;"",INDEX(BDHKI,MATCH($C47,DiemHKI!$DI$4:$DI$58,0),AK$59),""))</f>
        <v/>
      </c>
      <c r="AL47" s="793" t="str">
        <f t="shared" si="10"/>
        <v/>
      </c>
      <c r="AM47" s="782" t="str">
        <f t="shared" si="11"/>
        <v/>
      </c>
      <c r="AN47" s="781"/>
      <c r="AO47" s="793"/>
      <c r="AP47" s="780"/>
      <c r="AQ47" s="781" t="str">
        <f>IF($B47="","",IF(INDEX(BDHKI,MATCH($C47,DiemHKI!$DI$4:$DI$58,0),AQ$59)&lt;&gt;"",INDEX(BDHKI,MATCH($C47,DiemHKI!$DI$4:$DI$58,0),AQ$59),""))</f>
        <v/>
      </c>
      <c r="AR47" s="793" t="str">
        <f t="shared" si="12"/>
        <v/>
      </c>
      <c r="AS47" s="782" t="str">
        <f t="shared" si="13"/>
        <v/>
      </c>
      <c r="AT47" s="781"/>
      <c r="AU47" s="793"/>
      <c r="AV47" s="780"/>
      <c r="AW47" s="781" t="str">
        <f>IF($B47="","",IF(INDEX(BDHKI,MATCH($C47,DiemHKI!$DI$4:$DI$58,0),AW$59)&lt;&gt;"",INDEX(BDHKI,MATCH($C47,DiemHKI!$DI$4:$DI$58,0),AW$59),""))</f>
        <v/>
      </c>
      <c r="AX47" s="793" t="str">
        <f t="shared" si="14"/>
        <v/>
      </c>
      <c r="AY47" s="782" t="str">
        <f t="shared" si="15"/>
        <v/>
      </c>
      <c r="AZ47" s="781"/>
      <c r="BA47" s="793"/>
      <c r="BB47" s="780"/>
      <c r="BC47" s="781" t="str">
        <f>IF($B47="","",IF(INDEX(BDHKI,MATCH($C47,DiemHKI!$DI$4:$DI$58,0),BC$59)&lt;&gt;"",INDEX(BDHKI,MATCH($C47,DiemHKI!$DI$4:$DI$58,0),BC$59),""))</f>
        <v/>
      </c>
      <c r="BD47" s="793" t="str">
        <f t="shared" si="16"/>
        <v/>
      </c>
      <c r="BE47" s="782" t="str">
        <f t="shared" si="17"/>
        <v/>
      </c>
      <c r="BF47" s="781"/>
      <c r="BG47" s="793"/>
      <c r="BH47" s="780"/>
      <c r="BI47" s="781" t="str">
        <f>IF($B47="","",IF(INDEX(BDHKI,MATCH($C47,DiemHKI!$DI$4:$DI$58,0),BI$59)&lt;&gt;"",INDEX(BDHKI,MATCH($C47,DiemHKI!$DI$4:$DI$58,0),BI$59),""))</f>
        <v/>
      </c>
      <c r="BJ47" s="793" t="str">
        <f t="shared" si="18"/>
        <v/>
      </c>
      <c r="BK47" s="782" t="str">
        <f t="shared" si="19"/>
        <v/>
      </c>
      <c r="BL47" s="781"/>
      <c r="BM47" s="793"/>
      <c r="BN47" s="780"/>
      <c r="BO47" s="781" t="str">
        <f>IF($B47="","",IF(INDEX(BDHKI,MATCH($C47,DiemHKI!$DI$4:$DI$58,0),BO$59)&lt;&gt;"",INDEX(BDHKI,MATCH($C47,DiemHKI!$DI$4:$DI$58,0),BO$59),""))</f>
        <v/>
      </c>
      <c r="BP47" s="793" t="str">
        <f t="shared" si="20"/>
        <v/>
      </c>
      <c r="BQ47" s="782" t="str">
        <f t="shared" si="21"/>
        <v/>
      </c>
      <c r="BR47" s="781"/>
      <c r="BS47" s="793"/>
      <c r="BT47" s="780"/>
      <c r="BU47" s="781" t="str">
        <f>IF($B47="","",IF(INDEX(BDHKI,MATCH($C47,DiemHKI!$DI$4:$DI$58,0),BU$59)&lt;&gt;"",INDEX(BDHKI,MATCH($C47,DiemHKI!$DI$4:$DI$58,0),BU$59),""))</f>
        <v/>
      </c>
      <c r="BV47" s="793" t="str">
        <f t="shared" si="22"/>
        <v/>
      </c>
      <c r="BW47" s="782" t="str">
        <f t="shared" si="23"/>
        <v/>
      </c>
      <c r="BX47" s="781"/>
      <c r="BY47" s="793"/>
      <c r="BZ47" s="780"/>
      <c r="CA47" s="781" t="str">
        <f>IF($B47="","",IF(INDEX(BDHKI,MATCH($C47,DiemHKI!$DI$4:$DI$58,0),CA$59)&lt;&gt;"",INDEX(BDHKI,MATCH($C47,DiemHKI!$DI$4:$DI$58,0),CA$59),""))</f>
        <v/>
      </c>
      <c r="CB47" s="793" t="str">
        <f t="shared" si="24"/>
        <v/>
      </c>
      <c r="CC47" s="782" t="str">
        <f t="shared" si="25"/>
        <v/>
      </c>
      <c r="CD47" s="781"/>
      <c r="CE47" s="793"/>
      <c r="CF47" s="780"/>
      <c r="CG47" s="781" t="str">
        <f>IF($B47="","",IF(INDEX(BDHKI,MATCH($C47,DiemHKI!$DI$4:$DI$58,0),CG$59)&lt;&gt;"",INDEX(BDHKI,MATCH($C47,DiemHKI!$DI$4:$DI$58,0),CG$59),""))</f>
        <v/>
      </c>
      <c r="CH47" s="793" t="str">
        <f t="shared" si="26"/>
        <v/>
      </c>
      <c r="CI47" s="782" t="str">
        <f t="shared" si="27"/>
        <v/>
      </c>
      <c r="CJ47" s="781"/>
      <c r="CK47" s="793"/>
      <c r="CL47" s="780"/>
    </row>
    <row r="48" spans="2:90" ht="15" customHeight="1">
      <c r="B48" s="765" t="str">
        <f>IF(B47&lt;MAX(DiemHKI!$B$4:$B$58),B47+1,"")</f>
        <v/>
      </c>
      <c r="C48" s="765" t="str">
        <f t="shared" si="0"/>
        <v/>
      </c>
      <c r="D48" s="766" t="str">
        <f>IF($B48&lt;&gt;"",PROPER(INDEX(BDHKI,MATCH($B48,DiemHKI!$B$4:$B$58,0),3)),"")</f>
        <v/>
      </c>
      <c r="E48" s="767" t="str">
        <f>IF($B48&lt;&gt;"",PROPER(INDEX(BDHKI,MATCH($B48,DiemHKI!$B$4:$B$58,0),4)),"")</f>
        <v/>
      </c>
      <c r="F48" s="768" t="str">
        <f>IF($B48&lt;&gt;"",PROPER(INDEX(BDHKI,MATCH($B48,DiemHKI!$B$4:$B$58,0),5)),"")</f>
        <v/>
      </c>
      <c r="G48" s="783" t="str">
        <f>IF($B48="","",IF(INDEX(BDHKI,MATCH($C48,DiemHKI!$DI$4:$DI$58,0),G$59)&lt;&gt;"",INDEX(BDHKI,MATCH($C48,DiemHKI!$DI$4:$DI$58,0),G$59),""))</f>
        <v/>
      </c>
      <c r="H48" s="794" t="str">
        <f t="shared" si="28"/>
        <v/>
      </c>
      <c r="I48" s="770" t="str">
        <f>IF(H48="","",VLOOKUP(H48,$G$61:$K$75,K48,0))</f>
        <v/>
      </c>
      <c r="J48" s="783"/>
      <c r="K48" s="794">
        <v>3</v>
      </c>
      <c r="L48" s="768"/>
      <c r="M48" s="783" t="str">
        <f>IF($B48="","",IF(INDEX(BDHKI,MATCH($C48,DiemHKI!$DI$4:$DI$58,0),M$59)&lt;&gt;"",INDEX(BDHKI,MATCH($C48,DiemHKI!$DI$4:$DI$58,0),M$59),""))</f>
        <v/>
      </c>
      <c r="N48" s="794" t="str">
        <f t="shared" si="2"/>
        <v/>
      </c>
      <c r="O48" s="770" t="str">
        <f t="shared" si="3"/>
        <v/>
      </c>
      <c r="P48" s="783"/>
      <c r="Q48" s="794"/>
      <c r="R48" s="768"/>
      <c r="S48" s="783" t="str">
        <f>IF($B48="","",IF(INDEX(BDHKI,MATCH($C48,DiemHKI!$DI$4:$DI$58,0),S$59)&lt;&gt;"",INDEX(BDHKI,MATCH($C48,DiemHKI!$DI$4:$DI$58,0),S$59),""))</f>
        <v/>
      </c>
      <c r="T48" s="794" t="str">
        <f t="shared" si="4"/>
        <v/>
      </c>
      <c r="U48" s="770" t="str">
        <f t="shared" si="5"/>
        <v/>
      </c>
      <c r="V48" s="783"/>
      <c r="W48" s="794"/>
      <c r="X48" s="768"/>
      <c r="Y48" s="783" t="str">
        <f>IF($B48="","",IF(INDEX(BDHKI,MATCH($C48,DiemHKI!$DI$4:$DI$58,0),Y$59)&lt;&gt;"",INDEX(BDHKI,MATCH($C48,DiemHKI!$DI$4:$DI$58,0),Y$59),""))</f>
        <v/>
      </c>
      <c r="Z48" s="794" t="str">
        <f t="shared" si="6"/>
        <v/>
      </c>
      <c r="AA48" s="770" t="str">
        <f t="shared" si="7"/>
        <v/>
      </c>
      <c r="AB48" s="783"/>
      <c r="AC48" s="794"/>
      <c r="AD48" s="768"/>
      <c r="AE48" s="783" t="str">
        <f>IF($B48="","",IF(INDEX(BDHKI,MATCH($C48,DiemHKI!$DI$4:$DI$58,0),AE$59)&lt;&gt;"",INDEX(BDHKI,MATCH($C48,DiemHKI!$DI$4:$DI$58,0),AE$59),""))</f>
        <v/>
      </c>
      <c r="AF48" s="794" t="str">
        <f t="shared" si="8"/>
        <v/>
      </c>
      <c r="AG48" s="770" t="str">
        <f t="shared" si="9"/>
        <v/>
      </c>
      <c r="AH48" s="783"/>
      <c r="AI48" s="794"/>
      <c r="AJ48" s="768"/>
      <c r="AK48" s="783" t="str">
        <f>IF($B48="","",IF(INDEX(BDHKI,MATCH($C48,DiemHKI!$DI$4:$DI$58,0),AK$59)&lt;&gt;"",INDEX(BDHKI,MATCH($C48,DiemHKI!$DI$4:$DI$58,0),AK$59),""))</f>
        <v/>
      </c>
      <c r="AL48" s="794" t="str">
        <f t="shared" si="10"/>
        <v/>
      </c>
      <c r="AM48" s="770" t="str">
        <f t="shared" si="11"/>
        <v/>
      </c>
      <c r="AN48" s="783"/>
      <c r="AO48" s="794"/>
      <c r="AP48" s="768"/>
      <c r="AQ48" s="783" t="str">
        <f>IF($B48="","",IF(INDEX(BDHKI,MATCH($C48,DiemHKI!$DI$4:$DI$58,0),AQ$59)&lt;&gt;"",INDEX(BDHKI,MATCH($C48,DiemHKI!$DI$4:$DI$58,0),AQ$59),""))</f>
        <v/>
      </c>
      <c r="AR48" s="794" t="str">
        <f t="shared" si="12"/>
        <v/>
      </c>
      <c r="AS48" s="770" t="str">
        <f t="shared" si="13"/>
        <v/>
      </c>
      <c r="AT48" s="783"/>
      <c r="AU48" s="794"/>
      <c r="AV48" s="768"/>
      <c r="AW48" s="783" t="str">
        <f>IF($B48="","",IF(INDEX(BDHKI,MATCH($C48,DiemHKI!$DI$4:$DI$58,0),AW$59)&lt;&gt;"",INDEX(BDHKI,MATCH($C48,DiemHKI!$DI$4:$DI$58,0),AW$59),""))</f>
        <v/>
      </c>
      <c r="AX48" s="794" t="str">
        <f t="shared" si="14"/>
        <v/>
      </c>
      <c r="AY48" s="770" t="str">
        <f t="shared" si="15"/>
        <v/>
      </c>
      <c r="AZ48" s="783"/>
      <c r="BA48" s="794"/>
      <c r="BB48" s="768"/>
      <c r="BC48" s="783" t="str">
        <f>IF($B48="","",IF(INDEX(BDHKI,MATCH($C48,DiemHKI!$DI$4:$DI$58,0),BC$59)&lt;&gt;"",INDEX(BDHKI,MATCH($C48,DiemHKI!$DI$4:$DI$58,0),BC$59),""))</f>
        <v/>
      </c>
      <c r="BD48" s="794" t="str">
        <f t="shared" si="16"/>
        <v/>
      </c>
      <c r="BE48" s="770" t="str">
        <f t="shared" si="17"/>
        <v/>
      </c>
      <c r="BF48" s="783"/>
      <c r="BG48" s="794"/>
      <c r="BH48" s="768"/>
      <c r="BI48" s="783" t="str">
        <f>IF($B48="","",IF(INDEX(BDHKI,MATCH($C48,DiemHKI!$DI$4:$DI$58,0),BI$59)&lt;&gt;"",INDEX(BDHKI,MATCH($C48,DiemHKI!$DI$4:$DI$58,0),BI$59),""))</f>
        <v/>
      </c>
      <c r="BJ48" s="794" t="str">
        <f t="shared" si="18"/>
        <v/>
      </c>
      <c r="BK48" s="770" t="str">
        <f t="shared" si="19"/>
        <v/>
      </c>
      <c r="BL48" s="783"/>
      <c r="BM48" s="794"/>
      <c r="BN48" s="768"/>
      <c r="BO48" s="783" t="str">
        <f>IF($B48="","",IF(INDEX(BDHKI,MATCH($C48,DiemHKI!$DI$4:$DI$58,0),BO$59)&lt;&gt;"",INDEX(BDHKI,MATCH($C48,DiemHKI!$DI$4:$DI$58,0),BO$59),""))</f>
        <v/>
      </c>
      <c r="BP48" s="794" t="str">
        <f t="shared" si="20"/>
        <v/>
      </c>
      <c r="BQ48" s="770" t="str">
        <f t="shared" si="21"/>
        <v/>
      </c>
      <c r="BR48" s="783"/>
      <c r="BS48" s="794"/>
      <c r="BT48" s="768"/>
      <c r="BU48" s="783" t="str">
        <f>IF($B48="","",IF(INDEX(BDHKI,MATCH($C48,DiemHKI!$DI$4:$DI$58,0),BU$59)&lt;&gt;"",INDEX(BDHKI,MATCH($C48,DiemHKI!$DI$4:$DI$58,0),BU$59),""))</f>
        <v/>
      </c>
      <c r="BV48" s="794" t="str">
        <f t="shared" si="22"/>
        <v/>
      </c>
      <c r="BW48" s="770" t="str">
        <f t="shared" si="23"/>
        <v/>
      </c>
      <c r="BX48" s="783"/>
      <c r="BY48" s="794"/>
      <c r="BZ48" s="768"/>
      <c r="CA48" s="783" t="str">
        <f>IF($B48="","",IF(INDEX(BDHKI,MATCH($C48,DiemHKI!$DI$4:$DI$58,0),CA$59)&lt;&gt;"",INDEX(BDHKI,MATCH($C48,DiemHKI!$DI$4:$DI$58,0),CA$59),""))</f>
        <v/>
      </c>
      <c r="CB48" s="794" t="str">
        <f t="shared" si="24"/>
        <v/>
      </c>
      <c r="CC48" s="770" t="str">
        <f t="shared" si="25"/>
        <v/>
      </c>
      <c r="CD48" s="783"/>
      <c r="CE48" s="794"/>
      <c r="CF48" s="768"/>
      <c r="CG48" s="783" t="str">
        <f>IF($B48="","",IF(INDEX(BDHKI,MATCH($C48,DiemHKI!$DI$4:$DI$58,0),CG$59)&lt;&gt;"",INDEX(BDHKI,MATCH($C48,DiemHKI!$DI$4:$DI$58,0),CG$59),""))</f>
        <v/>
      </c>
      <c r="CH48" s="794" t="str">
        <f t="shared" si="26"/>
        <v/>
      </c>
      <c r="CI48" s="770" t="str">
        <f t="shared" si="27"/>
        <v/>
      </c>
      <c r="CJ48" s="783"/>
      <c r="CK48" s="794"/>
      <c r="CL48" s="768"/>
    </row>
    <row r="49" spans="2:90" ht="15" customHeight="1">
      <c r="B49" s="771" t="str">
        <f>IF(B48&lt;MAX(DiemHKI!$B$4:$B$58),B48+1,"")</f>
        <v/>
      </c>
      <c r="C49" s="771" t="str">
        <f t="shared" si="0"/>
        <v/>
      </c>
      <c r="D49" s="772" t="str">
        <f>IF($B49&lt;&gt;"",PROPER(INDEX(BDHKI,MATCH($B49,DiemHKI!$B$4:$B$58,0),3)),"")</f>
        <v/>
      </c>
      <c r="E49" s="773" t="str">
        <f>IF($B49&lt;&gt;"",PROPER(INDEX(BDHKI,MATCH($B49,DiemHKI!$B$4:$B$58,0),4)),"")</f>
        <v/>
      </c>
      <c r="F49" s="774" t="str">
        <f>IF($B49&lt;&gt;"",PROPER(INDEX(BDHKI,MATCH($B49,DiemHKI!$B$4:$B$58,0),5)),"")</f>
        <v/>
      </c>
      <c r="G49" s="775" t="str">
        <f>IF($B49="","",IF(INDEX(BDHKI,MATCH($C49,DiemHKI!$DI$4:$DI$58,0),G$59)&lt;&gt;"",INDEX(BDHKI,MATCH($C49,DiemHKI!$DI$4:$DI$58,0),G$59),""))</f>
        <v/>
      </c>
      <c r="H49" s="792" t="str">
        <f t="shared" si="28"/>
        <v/>
      </c>
      <c r="I49" s="776" t="str">
        <f>IF(H49="","",VLOOKUP(H49,$G$61:$K$75,K49,0))</f>
        <v/>
      </c>
      <c r="J49" s="775"/>
      <c r="K49" s="792">
        <v>4</v>
      </c>
      <c r="L49" s="774"/>
      <c r="M49" s="775" t="str">
        <f>IF($B49="","",IF(INDEX(BDHKI,MATCH($C49,DiemHKI!$DI$4:$DI$58,0),M$59)&lt;&gt;"",INDEX(BDHKI,MATCH($C49,DiemHKI!$DI$4:$DI$58,0),M$59),""))</f>
        <v/>
      </c>
      <c r="N49" s="792" t="str">
        <f t="shared" si="2"/>
        <v/>
      </c>
      <c r="O49" s="776" t="str">
        <f t="shared" si="3"/>
        <v/>
      </c>
      <c r="P49" s="775"/>
      <c r="Q49" s="792"/>
      <c r="R49" s="774"/>
      <c r="S49" s="775" t="str">
        <f>IF($B49="","",IF(INDEX(BDHKI,MATCH($C49,DiemHKI!$DI$4:$DI$58,0),S$59)&lt;&gt;"",INDEX(BDHKI,MATCH($C49,DiemHKI!$DI$4:$DI$58,0),S$59),""))</f>
        <v/>
      </c>
      <c r="T49" s="792" t="str">
        <f t="shared" si="4"/>
        <v/>
      </c>
      <c r="U49" s="776" t="str">
        <f t="shared" si="5"/>
        <v/>
      </c>
      <c r="V49" s="775"/>
      <c r="W49" s="792"/>
      <c r="X49" s="774"/>
      <c r="Y49" s="775" t="str">
        <f>IF($B49="","",IF(INDEX(BDHKI,MATCH($C49,DiemHKI!$DI$4:$DI$58,0),Y$59)&lt;&gt;"",INDEX(BDHKI,MATCH($C49,DiemHKI!$DI$4:$DI$58,0),Y$59),""))</f>
        <v/>
      </c>
      <c r="Z49" s="792" t="str">
        <f t="shared" si="6"/>
        <v/>
      </c>
      <c r="AA49" s="776" t="str">
        <f t="shared" si="7"/>
        <v/>
      </c>
      <c r="AB49" s="775"/>
      <c r="AC49" s="792"/>
      <c r="AD49" s="774"/>
      <c r="AE49" s="775" t="str">
        <f>IF($B49="","",IF(INDEX(BDHKI,MATCH($C49,DiemHKI!$DI$4:$DI$58,0),AE$59)&lt;&gt;"",INDEX(BDHKI,MATCH($C49,DiemHKI!$DI$4:$DI$58,0),AE$59),""))</f>
        <v/>
      </c>
      <c r="AF49" s="792" t="str">
        <f t="shared" si="8"/>
        <v/>
      </c>
      <c r="AG49" s="776" t="str">
        <f t="shared" si="9"/>
        <v/>
      </c>
      <c r="AH49" s="775"/>
      <c r="AI49" s="792"/>
      <c r="AJ49" s="774"/>
      <c r="AK49" s="775" t="str">
        <f>IF($B49="","",IF(INDEX(BDHKI,MATCH($C49,DiemHKI!$DI$4:$DI$58,0),AK$59)&lt;&gt;"",INDEX(BDHKI,MATCH($C49,DiemHKI!$DI$4:$DI$58,0),AK$59),""))</f>
        <v/>
      </c>
      <c r="AL49" s="792" t="str">
        <f t="shared" si="10"/>
        <v/>
      </c>
      <c r="AM49" s="776" t="str">
        <f t="shared" si="11"/>
        <v/>
      </c>
      <c r="AN49" s="775"/>
      <c r="AO49" s="792"/>
      <c r="AP49" s="774"/>
      <c r="AQ49" s="775" t="str">
        <f>IF($B49="","",IF(INDEX(BDHKI,MATCH($C49,DiemHKI!$DI$4:$DI$58,0),AQ$59)&lt;&gt;"",INDEX(BDHKI,MATCH($C49,DiemHKI!$DI$4:$DI$58,0),AQ$59),""))</f>
        <v/>
      </c>
      <c r="AR49" s="792" t="str">
        <f t="shared" si="12"/>
        <v/>
      </c>
      <c r="AS49" s="776" t="str">
        <f t="shared" si="13"/>
        <v/>
      </c>
      <c r="AT49" s="775"/>
      <c r="AU49" s="792"/>
      <c r="AV49" s="774"/>
      <c r="AW49" s="775" t="str">
        <f>IF($B49="","",IF(INDEX(BDHKI,MATCH($C49,DiemHKI!$DI$4:$DI$58,0),AW$59)&lt;&gt;"",INDEX(BDHKI,MATCH($C49,DiemHKI!$DI$4:$DI$58,0),AW$59),""))</f>
        <v/>
      </c>
      <c r="AX49" s="792" t="str">
        <f t="shared" si="14"/>
        <v/>
      </c>
      <c r="AY49" s="776" t="str">
        <f t="shared" si="15"/>
        <v/>
      </c>
      <c r="AZ49" s="775"/>
      <c r="BA49" s="792"/>
      <c r="BB49" s="774"/>
      <c r="BC49" s="775" t="str">
        <f>IF($B49="","",IF(INDEX(BDHKI,MATCH($C49,DiemHKI!$DI$4:$DI$58,0),BC$59)&lt;&gt;"",INDEX(BDHKI,MATCH($C49,DiemHKI!$DI$4:$DI$58,0),BC$59),""))</f>
        <v/>
      </c>
      <c r="BD49" s="792" t="str">
        <f t="shared" si="16"/>
        <v/>
      </c>
      <c r="BE49" s="776" t="str">
        <f t="shared" si="17"/>
        <v/>
      </c>
      <c r="BF49" s="775"/>
      <c r="BG49" s="792"/>
      <c r="BH49" s="774"/>
      <c r="BI49" s="775" t="str">
        <f>IF($B49="","",IF(INDEX(BDHKI,MATCH($C49,DiemHKI!$DI$4:$DI$58,0),BI$59)&lt;&gt;"",INDEX(BDHKI,MATCH($C49,DiemHKI!$DI$4:$DI$58,0),BI$59),""))</f>
        <v/>
      </c>
      <c r="BJ49" s="792" t="str">
        <f t="shared" si="18"/>
        <v/>
      </c>
      <c r="BK49" s="776" t="str">
        <f t="shared" si="19"/>
        <v/>
      </c>
      <c r="BL49" s="775"/>
      <c r="BM49" s="792"/>
      <c r="BN49" s="774"/>
      <c r="BO49" s="775" t="str">
        <f>IF($B49="","",IF(INDEX(BDHKI,MATCH($C49,DiemHKI!$DI$4:$DI$58,0),BO$59)&lt;&gt;"",INDEX(BDHKI,MATCH($C49,DiemHKI!$DI$4:$DI$58,0),BO$59),""))</f>
        <v/>
      </c>
      <c r="BP49" s="792" t="str">
        <f t="shared" si="20"/>
        <v/>
      </c>
      <c r="BQ49" s="776" t="str">
        <f t="shared" si="21"/>
        <v/>
      </c>
      <c r="BR49" s="775"/>
      <c r="BS49" s="792"/>
      <c r="BT49" s="774"/>
      <c r="BU49" s="775" t="str">
        <f>IF($B49="","",IF(INDEX(BDHKI,MATCH($C49,DiemHKI!$DI$4:$DI$58,0),BU$59)&lt;&gt;"",INDEX(BDHKI,MATCH($C49,DiemHKI!$DI$4:$DI$58,0),BU$59),""))</f>
        <v/>
      </c>
      <c r="BV49" s="792" t="str">
        <f t="shared" si="22"/>
        <v/>
      </c>
      <c r="BW49" s="776" t="str">
        <f t="shared" si="23"/>
        <v/>
      </c>
      <c r="BX49" s="775"/>
      <c r="BY49" s="792"/>
      <c r="BZ49" s="774"/>
      <c r="CA49" s="775" t="str">
        <f>IF($B49="","",IF(INDEX(BDHKI,MATCH($C49,DiemHKI!$DI$4:$DI$58,0),CA$59)&lt;&gt;"",INDEX(BDHKI,MATCH($C49,DiemHKI!$DI$4:$DI$58,0),CA$59),""))</f>
        <v/>
      </c>
      <c r="CB49" s="792" t="str">
        <f t="shared" si="24"/>
        <v/>
      </c>
      <c r="CC49" s="776" t="str">
        <f t="shared" si="25"/>
        <v/>
      </c>
      <c r="CD49" s="775"/>
      <c r="CE49" s="792"/>
      <c r="CF49" s="774"/>
      <c r="CG49" s="775" t="str">
        <f>IF($B49="","",IF(INDEX(BDHKI,MATCH($C49,DiemHKI!$DI$4:$DI$58,0),CG$59)&lt;&gt;"",INDEX(BDHKI,MATCH($C49,DiemHKI!$DI$4:$DI$58,0),CG$59),""))</f>
        <v/>
      </c>
      <c r="CH49" s="792" t="str">
        <f t="shared" si="26"/>
        <v/>
      </c>
      <c r="CI49" s="776" t="str">
        <f t="shared" si="27"/>
        <v/>
      </c>
      <c r="CJ49" s="775"/>
      <c r="CK49" s="792"/>
      <c r="CL49" s="774"/>
    </row>
    <row r="50" spans="2:90" ht="15" customHeight="1">
      <c r="B50" s="771" t="str">
        <f>IF(B49&lt;MAX(DiemHKI!$B$4:$B$58),B49+1,"")</f>
        <v/>
      </c>
      <c r="C50" s="771" t="str">
        <f t="shared" si="0"/>
        <v/>
      </c>
      <c r="D50" s="772" t="str">
        <f>IF($B50&lt;&gt;"",PROPER(INDEX(BDHKI,MATCH($B50,DiemHKI!$B$4:$B$58,0),3)),"")</f>
        <v/>
      </c>
      <c r="E50" s="773" t="str">
        <f>IF($B50&lt;&gt;"",PROPER(INDEX(BDHKI,MATCH($B50,DiemHKI!$B$4:$B$58,0),4)),"")</f>
        <v/>
      </c>
      <c r="F50" s="774" t="str">
        <f>IF($B50&lt;&gt;"",PROPER(INDEX(BDHKI,MATCH($B50,DiemHKI!$B$4:$B$58,0),5)),"")</f>
        <v/>
      </c>
      <c r="G50" s="775" t="str">
        <f>IF($B50="","",IF(INDEX(BDHKI,MATCH($C50,DiemHKI!$DI$4:$DI$58,0),G$59)&lt;&gt;"",INDEX(BDHKI,MATCH($C50,DiemHKI!$DI$4:$DI$58,0),G$59),""))</f>
        <v/>
      </c>
      <c r="H50" s="792" t="str">
        <f t="shared" si="28"/>
        <v/>
      </c>
      <c r="I50" s="776" t="str">
        <f>IF(H50="","",VLOOKUP(H50,$G$61:$K$75,K50,0))</f>
        <v/>
      </c>
      <c r="J50" s="775"/>
      <c r="K50" s="792">
        <v>5</v>
      </c>
      <c r="L50" s="774"/>
      <c r="M50" s="775" t="str">
        <f>IF($B50="","",IF(INDEX(BDHKI,MATCH($C50,DiemHKI!$DI$4:$DI$58,0),M$59)&lt;&gt;"",INDEX(BDHKI,MATCH($C50,DiemHKI!$DI$4:$DI$58,0),M$59),""))</f>
        <v/>
      </c>
      <c r="N50" s="792" t="str">
        <f t="shared" si="2"/>
        <v/>
      </c>
      <c r="O50" s="776" t="str">
        <f t="shared" si="3"/>
        <v/>
      </c>
      <c r="P50" s="775"/>
      <c r="Q50" s="792"/>
      <c r="R50" s="774"/>
      <c r="S50" s="775" t="str">
        <f>IF($B50="","",IF(INDEX(BDHKI,MATCH($C50,DiemHKI!$DI$4:$DI$58,0),S$59)&lt;&gt;"",INDEX(BDHKI,MATCH($C50,DiemHKI!$DI$4:$DI$58,0),S$59),""))</f>
        <v/>
      </c>
      <c r="T50" s="792" t="str">
        <f t="shared" si="4"/>
        <v/>
      </c>
      <c r="U50" s="776" t="str">
        <f t="shared" si="5"/>
        <v/>
      </c>
      <c r="V50" s="775"/>
      <c r="W50" s="792"/>
      <c r="X50" s="774"/>
      <c r="Y50" s="775" t="str">
        <f>IF($B50="","",IF(INDEX(BDHKI,MATCH($C50,DiemHKI!$DI$4:$DI$58,0),Y$59)&lt;&gt;"",INDEX(BDHKI,MATCH($C50,DiemHKI!$DI$4:$DI$58,0),Y$59),""))</f>
        <v/>
      </c>
      <c r="Z50" s="792" t="str">
        <f t="shared" si="6"/>
        <v/>
      </c>
      <c r="AA50" s="776" t="str">
        <f t="shared" si="7"/>
        <v/>
      </c>
      <c r="AB50" s="775"/>
      <c r="AC50" s="792"/>
      <c r="AD50" s="774"/>
      <c r="AE50" s="775" t="str">
        <f>IF($B50="","",IF(INDEX(BDHKI,MATCH($C50,DiemHKI!$DI$4:$DI$58,0),AE$59)&lt;&gt;"",INDEX(BDHKI,MATCH($C50,DiemHKI!$DI$4:$DI$58,0),AE$59),""))</f>
        <v/>
      </c>
      <c r="AF50" s="792" t="str">
        <f t="shared" si="8"/>
        <v/>
      </c>
      <c r="AG50" s="776" t="str">
        <f t="shared" si="9"/>
        <v/>
      </c>
      <c r="AH50" s="775"/>
      <c r="AI50" s="792"/>
      <c r="AJ50" s="774"/>
      <c r="AK50" s="775" t="str">
        <f>IF($B50="","",IF(INDEX(BDHKI,MATCH($C50,DiemHKI!$DI$4:$DI$58,0),AK$59)&lt;&gt;"",INDEX(BDHKI,MATCH($C50,DiemHKI!$DI$4:$DI$58,0),AK$59),""))</f>
        <v/>
      </c>
      <c r="AL50" s="792" t="str">
        <f t="shared" si="10"/>
        <v/>
      </c>
      <c r="AM50" s="776" t="str">
        <f t="shared" si="11"/>
        <v/>
      </c>
      <c r="AN50" s="775"/>
      <c r="AO50" s="792"/>
      <c r="AP50" s="774"/>
      <c r="AQ50" s="775" t="str">
        <f>IF($B50="","",IF(INDEX(BDHKI,MATCH($C50,DiemHKI!$DI$4:$DI$58,0),AQ$59)&lt;&gt;"",INDEX(BDHKI,MATCH($C50,DiemHKI!$DI$4:$DI$58,0),AQ$59),""))</f>
        <v/>
      </c>
      <c r="AR50" s="792" t="str">
        <f t="shared" si="12"/>
        <v/>
      </c>
      <c r="AS50" s="776" t="str">
        <f t="shared" si="13"/>
        <v/>
      </c>
      <c r="AT50" s="775"/>
      <c r="AU50" s="792"/>
      <c r="AV50" s="774"/>
      <c r="AW50" s="775" t="str">
        <f>IF($B50="","",IF(INDEX(BDHKI,MATCH($C50,DiemHKI!$DI$4:$DI$58,0),AW$59)&lt;&gt;"",INDEX(BDHKI,MATCH($C50,DiemHKI!$DI$4:$DI$58,0),AW$59),""))</f>
        <v/>
      </c>
      <c r="AX50" s="792" t="str">
        <f t="shared" si="14"/>
        <v/>
      </c>
      <c r="AY50" s="776" t="str">
        <f t="shared" si="15"/>
        <v/>
      </c>
      <c r="AZ50" s="775"/>
      <c r="BA50" s="792"/>
      <c r="BB50" s="774"/>
      <c r="BC50" s="775" t="str">
        <f>IF($B50="","",IF(INDEX(BDHKI,MATCH($C50,DiemHKI!$DI$4:$DI$58,0),BC$59)&lt;&gt;"",INDEX(BDHKI,MATCH($C50,DiemHKI!$DI$4:$DI$58,0),BC$59),""))</f>
        <v/>
      </c>
      <c r="BD50" s="792" t="str">
        <f t="shared" si="16"/>
        <v/>
      </c>
      <c r="BE50" s="776" t="str">
        <f t="shared" si="17"/>
        <v/>
      </c>
      <c r="BF50" s="775"/>
      <c r="BG50" s="792"/>
      <c r="BH50" s="774"/>
      <c r="BI50" s="775" t="str">
        <f>IF($B50="","",IF(INDEX(BDHKI,MATCH($C50,DiemHKI!$DI$4:$DI$58,0),BI$59)&lt;&gt;"",INDEX(BDHKI,MATCH($C50,DiemHKI!$DI$4:$DI$58,0),BI$59),""))</f>
        <v/>
      </c>
      <c r="BJ50" s="792" t="str">
        <f t="shared" si="18"/>
        <v/>
      </c>
      <c r="BK50" s="776" t="str">
        <f t="shared" si="19"/>
        <v/>
      </c>
      <c r="BL50" s="775"/>
      <c r="BM50" s="792"/>
      <c r="BN50" s="774"/>
      <c r="BO50" s="775" t="str">
        <f>IF($B50="","",IF(INDEX(BDHKI,MATCH($C50,DiemHKI!$DI$4:$DI$58,0),BO$59)&lt;&gt;"",INDEX(BDHKI,MATCH($C50,DiemHKI!$DI$4:$DI$58,0),BO$59),""))</f>
        <v/>
      </c>
      <c r="BP50" s="792" t="str">
        <f t="shared" si="20"/>
        <v/>
      </c>
      <c r="BQ50" s="776" t="str">
        <f t="shared" si="21"/>
        <v/>
      </c>
      <c r="BR50" s="775"/>
      <c r="BS50" s="792"/>
      <c r="BT50" s="774"/>
      <c r="BU50" s="775" t="str">
        <f>IF($B50="","",IF(INDEX(BDHKI,MATCH($C50,DiemHKI!$DI$4:$DI$58,0),BU$59)&lt;&gt;"",INDEX(BDHKI,MATCH($C50,DiemHKI!$DI$4:$DI$58,0),BU$59),""))</f>
        <v/>
      </c>
      <c r="BV50" s="792" t="str">
        <f t="shared" si="22"/>
        <v/>
      </c>
      <c r="BW50" s="776" t="str">
        <f t="shared" si="23"/>
        <v/>
      </c>
      <c r="BX50" s="775"/>
      <c r="BY50" s="792"/>
      <c r="BZ50" s="774"/>
      <c r="CA50" s="775" t="str">
        <f>IF($B50="","",IF(INDEX(BDHKI,MATCH($C50,DiemHKI!$DI$4:$DI$58,0),CA$59)&lt;&gt;"",INDEX(BDHKI,MATCH($C50,DiemHKI!$DI$4:$DI$58,0),CA$59),""))</f>
        <v/>
      </c>
      <c r="CB50" s="792" t="str">
        <f t="shared" si="24"/>
        <v/>
      </c>
      <c r="CC50" s="776" t="str">
        <f t="shared" si="25"/>
        <v/>
      </c>
      <c r="CD50" s="775"/>
      <c r="CE50" s="792"/>
      <c r="CF50" s="774"/>
      <c r="CG50" s="775" t="str">
        <f>IF($B50="","",IF(INDEX(BDHKI,MATCH($C50,DiemHKI!$DI$4:$DI$58,0),CG$59)&lt;&gt;"",INDEX(BDHKI,MATCH($C50,DiemHKI!$DI$4:$DI$58,0),CG$59),""))</f>
        <v/>
      </c>
      <c r="CH50" s="792" t="str">
        <f t="shared" si="26"/>
        <v/>
      </c>
      <c r="CI50" s="776" t="str">
        <f t="shared" si="27"/>
        <v/>
      </c>
      <c r="CJ50" s="775"/>
      <c r="CK50" s="792"/>
      <c r="CL50" s="774"/>
    </row>
    <row r="51" spans="2:90" ht="15" customHeight="1">
      <c r="B51" s="771" t="str">
        <f>IF(B50&lt;MAX(DiemHKI!$B$4:$B$58),B50+1,"")</f>
        <v/>
      </c>
      <c r="C51" s="771" t="str">
        <f t="shared" si="0"/>
        <v/>
      </c>
      <c r="D51" s="772" t="str">
        <f>IF($B51&lt;&gt;"",PROPER(INDEX(BDHKI,MATCH($B51,DiemHKI!$B$4:$B$58,0),3)),"")</f>
        <v/>
      </c>
      <c r="E51" s="773" t="str">
        <f>IF($B51&lt;&gt;"",PROPER(INDEX(BDHKI,MATCH($B51,DiemHKI!$B$4:$B$58,0),4)),"")</f>
        <v/>
      </c>
      <c r="F51" s="774" t="str">
        <f>IF($B51&lt;&gt;"",PROPER(INDEX(BDHKI,MATCH($B51,DiemHKI!$B$4:$B$58,0),5)),"")</f>
        <v/>
      </c>
      <c r="G51" s="775" t="str">
        <f>IF($B51="","",IF(INDEX(BDHKI,MATCH($C51,DiemHKI!$DI$4:$DI$58,0),G$59)&lt;&gt;"",INDEX(BDHKI,MATCH($C51,DiemHKI!$DI$4:$DI$58,0),G$59),""))</f>
        <v/>
      </c>
      <c r="H51" s="792" t="str">
        <f t="shared" si="28"/>
        <v/>
      </c>
      <c r="I51" s="776" t="str">
        <f>IF(H51="","",VLOOKUP(H51,$G$61:$K$75,K51,0))</f>
        <v/>
      </c>
      <c r="J51" s="775"/>
      <c r="K51" s="792">
        <v>3</v>
      </c>
      <c r="L51" s="774"/>
      <c r="M51" s="775" t="str">
        <f>IF($B51="","",IF(INDEX(BDHKI,MATCH($C51,DiemHKI!$DI$4:$DI$58,0),M$59)&lt;&gt;"",INDEX(BDHKI,MATCH($C51,DiemHKI!$DI$4:$DI$58,0),M$59),""))</f>
        <v/>
      </c>
      <c r="N51" s="792" t="str">
        <f t="shared" si="2"/>
        <v/>
      </c>
      <c r="O51" s="776" t="str">
        <f t="shared" si="3"/>
        <v/>
      </c>
      <c r="P51" s="775"/>
      <c r="Q51" s="792"/>
      <c r="R51" s="774"/>
      <c r="S51" s="775" t="str">
        <f>IF($B51="","",IF(INDEX(BDHKI,MATCH($C51,DiemHKI!$DI$4:$DI$58,0),S$59)&lt;&gt;"",INDEX(BDHKI,MATCH($C51,DiemHKI!$DI$4:$DI$58,0),S$59),""))</f>
        <v/>
      </c>
      <c r="T51" s="792" t="str">
        <f t="shared" si="4"/>
        <v/>
      </c>
      <c r="U51" s="776" t="str">
        <f t="shared" si="5"/>
        <v/>
      </c>
      <c r="V51" s="775"/>
      <c r="W51" s="792"/>
      <c r="X51" s="774"/>
      <c r="Y51" s="775" t="str">
        <f>IF($B51="","",IF(INDEX(BDHKI,MATCH($C51,DiemHKI!$DI$4:$DI$58,0),Y$59)&lt;&gt;"",INDEX(BDHKI,MATCH($C51,DiemHKI!$DI$4:$DI$58,0),Y$59),""))</f>
        <v/>
      </c>
      <c r="Z51" s="792" t="str">
        <f t="shared" si="6"/>
        <v/>
      </c>
      <c r="AA51" s="776" t="str">
        <f t="shared" si="7"/>
        <v/>
      </c>
      <c r="AB51" s="775"/>
      <c r="AC51" s="792"/>
      <c r="AD51" s="774"/>
      <c r="AE51" s="775" t="str">
        <f>IF($B51="","",IF(INDEX(BDHKI,MATCH($C51,DiemHKI!$DI$4:$DI$58,0),AE$59)&lt;&gt;"",INDEX(BDHKI,MATCH($C51,DiemHKI!$DI$4:$DI$58,0),AE$59),""))</f>
        <v/>
      </c>
      <c r="AF51" s="792" t="str">
        <f t="shared" si="8"/>
        <v/>
      </c>
      <c r="AG51" s="776" t="str">
        <f t="shared" si="9"/>
        <v/>
      </c>
      <c r="AH51" s="775"/>
      <c r="AI51" s="792"/>
      <c r="AJ51" s="774"/>
      <c r="AK51" s="775" t="str">
        <f>IF($B51="","",IF(INDEX(BDHKI,MATCH($C51,DiemHKI!$DI$4:$DI$58,0),AK$59)&lt;&gt;"",INDEX(BDHKI,MATCH($C51,DiemHKI!$DI$4:$DI$58,0),AK$59),""))</f>
        <v/>
      </c>
      <c r="AL51" s="792" t="str">
        <f t="shared" si="10"/>
        <v/>
      </c>
      <c r="AM51" s="776" t="str">
        <f t="shared" si="11"/>
        <v/>
      </c>
      <c r="AN51" s="775"/>
      <c r="AO51" s="792"/>
      <c r="AP51" s="774"/>
      <c r="AQ51" s="775" t="str">
        <f>IF($B51="","",IF(INDEX(BDHKI,MATCH($C51,DiemHKI!$DI$4:$DI$58,0),AQ$59)&lt;&gt;"",INDEX(BDHKI,MATCH($C51,DiemHKI!$DI$4:$DI$58,0),AQ$59),""))</f>
        <v/>
      </c>
      <c r="AR51" s="792" t="str">
        <f t="shared" si="12"/>
        <v/>
      </c>
      <c r="AS51" s="776" t="str">
        <f t="shared" si="13"/>
        <v/>
      </c>
      <c r="AT51" s="775"/>
      <c r="AU51" s="792"/>
      <c r="AV51" s="774"/>
      <c r="AW51" s="775" t="str">
        <f>IF($B51="","",IF(INDEX(BDHKI,MATCH($C51,DiemHKI!$DI$4:$DI$58,0),AW$59)&lt;&gt;"",INDEX(BDHKI,MATCH($C51,DiemHKI!$DI$4:$DI$58,0),AW$59),""))</f>
        <v/>
      </c>
      <c r="AX51" s="792" t="str">
        <f t="shared" si="14"/>
        <v/>
      </c>
      <c r="AY51" s="776" t="str">
        <f t="shared" si="15"/>
        <v/>
      </c>
      <c r="AZ51" s="775"/>
      <c r="BA51" s="792"/>
      <c r="BB51" s="774"/>
      <c r="BC51" s="775" t="str">
        <f>IF($B51="","",IF(INDEX(BDHKI,MATCH($C51,DiemHKI!$DI$4:$DI$58,0),BC$59)&lt;&gt;"",INDEX(BDHKI,MATCH($C51,DiemHKI!$DI$4:$DI$58,0),BC$59),""))</f>
        <v/>
      </c>
      <c r="BD51" s="792" t="str">
        <f t="shared" si="16"/>
        <v/>
      </c>
      <c r="BE51" s="776" t="str">
        <f t="shared" si="17"/>
        <v/>
      </c>
      <c r="BF51" s="775"/>
      <c r="BG51" s="792"/>
      <c r="BH51" s="774"/>
      <c r="BI51" s="775" t="str">
        <f>IF($B51="","",IF(INDEX(BDHKI,MATCH($C51,DiemHKI!$DI$4:$DI$58,0),BI$59)&lt;&gt;"",INDEX(BDHKI,MATCH($C51,DiemHKI!$DI$4:$DI$58,0),BI$59),""))</f>
        <v/>
      </c>
      <c r="BJ51" s="792" t="str">
        <f t="shared" si="18"/>
        <v/>
      </c>
      <c r="BK51" s="776" t="str">
        <f t="shared" si="19"/>
        <v/>
      </c>
      <c r="BL51" s="775"/>
      <c r="BM51" s="792"/>
      <c r="BN51" s="774"/>
      <c r="BO51" s="775" t="str">
        <f>IF($B51="","",IF(INDEX(BDHKI,MATCH($C51,DiemHKI!$DI$4:$DI$58,0),BO$59)&lt;&gt;"",INDEX(BDHKI,MATCH($C51,DiemHKI!$DI$4:$DI$58,0),BO$59),""))</f>
        <v/>
      </c>
      <c r="BP51" s="792" t="str">
        <f t="shared" si="20"/>
        <v/>
      </c>
      <c r="BQ51" s="776" t="str">
        <f t="shared" si="21"/>
        <v/>
      </c>
      <c r="BR51" s="775"/>
      <c r="BS51" s="792"/>
      <c r="BT51" s="774"/>
      <c r="BU51" s="775" t="str">
        <f>IF($B51="","",IF(INDEX(BDHKI,MATCH($C51,DiemHKI!$DI$4:$DI$58,0),BU$59)&lt;&gt;"",INDEX(BDHKI,MATCH($C51,DiemHKI!$DI$4:$DI$58,0),BU$59),""))</f>
        <v/>
      </c>
      <c r="BV51" s="792" t="str">
        <f t="shared" si="22"/>
        <v/>
      </c>
      <c r="BW51" s="776" t="str">
        <f t="shared" si="23"/>
        <v/>
      </c>
      <c r="BX51" s="775"/>
      <c r="BY51" s="792"/>
      <c r="BZ51" s="774"/>
      <c r="CA51" s="775" t="str">
        <f>IF($B51="","",IF(INDEX(BDHKI,MATCH($C51,DiemHKI!$DI$4:$DI$58,0),CA$59)&lt;&gt;"",INDEX(BDHKI,MATCH($C51,DiemHKI!$DI$4:$DI$58,0),CA$59),""))</f>
        <v/>
      </c>
      <c r="CB51" s="792" t="str">
        <f t="shared" si="24"/>
        <v/>
      </c>
      <c r="CC51" s="776" t="str">
        <f t="shared" si="25"/>
        <v/>
      </c>
      <c r="CD51" s="775"/>
      <c r="CE51" s="792"/>
      <c r="CF51" s="774"/>
      <c r="CG51" s="775" t="str">
        <f>IF($B51="","",IF(INDEX(BDHKI,MATCH($C51,DiemHKI!$DI$4:$DI$58,0),CG$59)&lt;&gt;"",INDEX(BDHKI,MATCH($C51,DiemHKI!$DI$4:$DI$58,0),CG$59),""))</f>
        <v/>
      </c>
      <c r="CH51" s="792" t="str">
        <f t="shared" si="26"/>
        <v/>
      </c>
      <c r="CI51" s="776" t="str">
        <f t="shared" si="27"/>
        <v/>
      </c>
      <c r="CJ51" s="775"/>
      <c r="CK51" s="792"/>
      <c r="CL51" s="774"/>
    </row>
    <row r="52" spans="2:90" ht="15" customHeight="1">
      <c r="B52" s="777" t="str">
        <f>IF(B51&lt;MAX(DiemHKI!$B$4:$B$58),B51+1,"")</f>
        <v/>
      </c>
      <c r="C52" s="777" t="str">
        <f t="shared" si="0"/>
        <v/>
      </c>
      <c r="D52" s="778" t="str">
        <f>IF($B52&lt;&gt;"",PROPER(INDEX(BDHKI,MATCH($B52,DiemHKI!$B$4:$B$58,0),3)),"")</f>
        <v/>
      </c>
      <c r="E52" s="779" t="str">
        <f>IF($B52&lt;&gt;"",PROPER(INDEX(BDHKI,MATCH($B52,DiemHKI!$B$4:$B$58,0),4)),"")</f>
        <v/>
      </c>
      <c r="F52" s="780" t="str">
        <f>IF($B52&lt;&gt;"",PROPER(INDEX(BDHKI,MATCH($B52,DiemHKI!$B$4:$B$58,0),5)),"")</f>
        <v/>
      </c>
      <c r="G52" s="781" t="str">
        <f>IF($B52="","",IF(INDEX(BDHKI,MATCH($C52,DiemHKI!$DI$4:$DI$58,0),G$59)&lt;&gt;"",INDEX(BDHKI,MATCH($C52,DiemHKI!$DI$4:$DI$58,0),G$59),""))</f>
        <v/>
      </c>
      <c r="H52" s="793" t="str">
        <f t="shared" si="28"/>
        <v/>
      </c>
      <c r="I52" s="782" t="str">
        <f>IF(H52="","",VLOOKUP(H52,$G$61:$K$75,K52,0))</f>
        <v/>
      </c>
      <c r="J52" s="781"/>
      <c r="K52" s="793">
        <v>4</v>
      </c>
      <c r="L52" s="780"/>
      <c r="M52" s="781" t="str">
        <f>IF($B52="","",IF(INDEX(BDHKI,MATCH($C52,DiemHKI!$DI$4:$DI$58,0),M$59)&lt;&gt;"",INDEX(BDHKI,MATCH($C52,DiemHKI!$DI$4:$DI$58,0),M$59),""))</f>
        <v/>
      </c>
      <c r="N52" s="793" t="str">
        <f t="shared" si="2"/>
        <v/>
      </c>
      <c r="O52" s="782" t="str">
        <f t="shared" si="3"/>
        <v/>
      </c>
      <c r="P52" s="781"/>
      <c r="Q52" s="793"/>
      <c r="R52" s="780"/>
      <c r="S52" s="781" t="str">
        <f>IF($B52="","",IF(INDEX(BDHKI,MATCH($C52,DiemHKI!$DI$4:$DI$58,0),S$59)&lt;&gt;"",INDEX(BDHKI,MATCH($C52,DiemHKI!$DI$4:$DI$58,0),S$59),""))</f>
        <v/>
      </c>
      <c r="T52" s="793" t="str">
        <f t="shared" si="4"/>
        <v/>
      </c>
      <c r="U52" s="782" t="str">
        <f t="shared" si="5"/>
        <v/>
      </c>
      <c r="V52" s="781"/>
      <c r="W52" s="793"/>
      <c r="X52" s="780"/>
      <c r="Y52" s="781" t="str">
        <f>IF($B52="","",IF(INDEX(BDHKI,MATCH($C52,DiemHKI!$DI$4:$DI$58,0),Y$59)&lt;&gt;"",INDEX(BDHKI,MATCH($C52,DiemHKI!$DI$4:$DI$58,0),Y$59),""))</f>
        <v/>
      </c>
      <c r="Z52" s="793" t="str">
        <f t="shared" si="6"/>
        <v/>
      </c>
      <c r="AA52" s="782" t="str">
        <f t="shared" si="7"/>
        <v/>
      </c>
      <c r="AB52" s="781"/>
      <c r="AC52" s="793"/>
      <c r="AD52" s="780"/>
      <c r="AE52" s="781" t="str">
        <f>IF($B52="","",IF(INDEX(BDHKI,MATCH($C52,DiemHKI!$DI$4:$DI$58,0),AE$59)&lt;&gt;"",INDEX(BDHKI,MATCH($C52,DiemHKI!$DI$4:$DI$58,0),AE$59),""))</f>
        <v/>
      </c>
      <c r="AF52" s="793" t="str">
        <f t="shared" si="8"/>
        <v/>
      </c>
      <c r="AG52" s="782" t="str">
        <f t="shared" si="9"/>
        <v/>
      </c>
      <c r="AH52" s="781"/>
      <c r="AI52" s="793"/>
      <c r="AJ52" s="780"/>
      <c r="AK52" s="781" t="str">
        <f>IF($B52="","",IF(INDEX(BDHKI,MATCH($C52,DiemHKI!$DI$4:$DI$58,0),AK$59)&lt;&gt;"",INDEX(BDHKI,MATCH($C52,DiemHKI!$DI$4:$DI$58,0),AK$59),""))</f>
        <v/>
      </c>
      <c r="AL52" s="793" t="str">
        <f t="shared" si="10"/>
        <v/>
      </c>
      <c r="AM52" s="782" t="str">
        <f t="shared" si="11"/>
        <v/>
      </c>
      <c r="AN52" s="781"/>
      <c r="AO52" s="793"/>
      <c r="AP52" s="780"/>
      <c r="AQ52" s="781" t="str">
        <f>IF($B52="","",IF(INDEX(BDHKI,MATCH($C52,DiemHKI!$DI$4:$DI$58,0),AQ$59)&lt;&gt;"",INDEX(BDHKI,MATCH($C52,DiemHKI!$DI$4:$DI$58,0),AQ$59),""))</f>
        <v/>
      </c>
      <c r="AR52" s="793" t="str">
        <f t="shared" si="12"/>
        <v/>
      </c>
      <c r="AS52" s="782" t="str">
        <f t="shared" si="13"/>
        <v/>
      </c>
      <c r="AT52" s="781"/>
      <c r="AU52" s="793"/>
      <c r="AV52" s="780"/>
      <c r="AW52" s="781" t="str">
        <f>IF($B52="","",IF(INDEX(BDHKI,MATCH($C52,DiemHKI!$DI$4:$DI$58,0),AW$59)&lt;&gt;"",INDEX(BDHKI,MATCH($C52,DiemHKI!$DI$4:$DI$58,0),AW$59),""))</f>
        <v/>
      </c>
      <c r="AX52" s="793" t="str">
        <f t="shared" si="14"/>
        <v/>
      </c>
      <c r="AY52" s="782" t="str">
        <f t="shared" si="15"/>
        <v/>
      </c>
      <c r="AZ52" s="781"/>
      <c r="BA52" s="793"/>
      <c r="BB52" s="780"/>
      <c r="BC52" s="781" t="str">
        <f>IF($B52="","",IF(INDEX(BDHKI,MATCH($C52,DiemHKI!$DI$4:$DI$58,0),BC$59)&lt;&gt;"",INDEX(BDHKI,MATCH($C52,DiemHKI!$DI$4:$DI$58,0),BC$59),""))</f>
        <v/>
      </c>
      <c r="BD52" s="793" t="str">
        <f t="shared" si="16"/>
        <v/>
      </c>
      <c r="BE52" s="782" t="str">
        <f t="shared" si="17"/>
        <v/>
      </c>
      <c r="BF52" s="781"/>
      <c r="BG52" s="793"/>
      <c r="BH52" s="780"/>
      <c r="BI52" s="781" t="str">
        <f>IF($B52="","",IF(INDEX(BDHKI,MATCH($C52,DiemHKI!$DI$4:$DI$58,0),BI$59)&lt;&gt;"",INDEX(BDHKI,MATCH($C52,DiemHKI!$DI$4:$DI$58,0),BI$59),""))</f>
        <v/>
      </c>
      <c r="BJ52" s="793" t="str">
        <f t="shared" si="18"/>
        <v/>
      </c>
      <c r="BK52" s="782" t="str">
        <f t="shared" si="19"/>
        <v/>
      </c>
      <c r="BL52" s="781"/>
      <c r="BM52" s="793"/>
      <c r="BN52" s="780"/>
      <c r="BO52" s="781" t="str">
        <f>IF($B52="","",IF(INDEX(BDHKI,MATCH($C52,DiemHKI!$DI$4:$DI$58,0),BO$59)&lt;&gt;"",INDEX(BDHKI,MATCH($C52,DiemHKI!$DI$4:$DI$58,0),BO$59),""))</f>
        <v/>
      </c>
      <c r="BP52" s="793" t="str">
        <f t="shared" si="20"/>
        <v/>
      </c>
      <c r="BQ52" s="782" t="str">
        <f t="shared" si="21"/>
        <v/>
      </c>
      <c r="BR52" s="781"/>
      <c r="BS52" s="793"/>
      <c r="BT52" s="780"/>
      <c r="BU52" s="781" t="str">
        <f>IF($B52="","",IF(INDEX(BDHKI,MATCH($C52,DiemHKI!$DI$4:$DI$58,0),BU$59)&lt;&gt;"",INDEX(BDHKI,MATCH($C52,DiemHKI!$DI$4:$DI$58,0),BU$59),""))</f>
        <v/>
      </c>
      <c r="BV52" s="793" t="str">
        <f t="shared" si="22"/>
        <v/>
      </c>
      <c r="BW52" s="782" t="str">
        <f t="shared" si="23"/>
        <v/>
      </c>
      <c r="BX52" s="781"/>
      <c r="BY52" s="793"/>
      <c r="BZ52" s="780"/>
      <c r="CA52" s="781" t="str">
        <f>IF($B52="","",IF(INDEX(BDHKI,MATCH($C52,DiemHKI!$DI$4:$DI$58,0),CA$59)&lt;&gt;"",INDEX(BDHKI,MATCH($C52,DiemHKI!$DI$4:$DI$58,0),CA$59),""))</f>
        <v/>
      </c>
      <c r="CB52" s="793" t="str">
        <f t="shared" si="24"/>
        <v/>
      </c>
      <c r="CC52" s="782" t="str">
        <f t="shared" si="25"/>
        <v/>
      </c>
      <c r="CD52" s="781"/>
      <c r="CE52" s="793"/>
      <c r="CF52" s="780"/>
      <c r="CG52" s="781" t="str">
        <f>IF($B52="","",IF(INDEX(BDHKI,MATCH($C52,DiemHKI!$DI$4:$DI$58,0),CG$59)&lt;&gt;"",INDEX(BDHKI,MATCH($C52,DiemHKI!$DI$4:$DI$58,0),CG$59),""))</f>
        <v/>
      </c>
      <c r="CH52" s="793" t="str">
        <f t="shared" si="26"/>
        <v/>
      </c>
      <c r="CI52" s="782" t="str">
        <f t="shared" si="27"/>
        <v/>
      </c>
      <c r="CJ52" s="781"/>
      <c r="CK52" s="793"/>
      <c r="CL52" s="780"/>
    </row>
    <row r="53" spans="2:90" ht="15" customHeight="1">
      <c r="B53" s="765" t="str">
        <f>IF(B52&lt;MAX(DiemHKI!$B$4:$B$58),B52+1,"")</f>
        <v/>
      </c>
      <c r="C53" s="765" t="str">
        <f t="shared" si="0"/>
        <v/>
      </c>
      <c r="D53" s="766" t="str">
        <f>IF($B53&lt;&gt;"",PROPER(INDEX(BDHKI,MATCH($B53,DiemHKI!$B$4:$B$58,0),3)),"")</f>
        <v/>
      </c>
      <c r="E53" s="767" t="str">
        <f>IF($B53&lt;&gt;"",PROPER(INDEX(BDHKI,MATCH($B53,DiemHKI!$B$4:$B$58,0),4)),"")</f>
        <v/>
      </c>
      <c r="F53" s="768" t="str">
        <f>IF($B53&lt;&gt;"",PROPER(INDEX(BDHKI,MATCH($B53,DiemHKI!$B$4:$B$58,0),5)),"")</f>
        <v/>
      </c>
      <c r="G53" s="769" t="str">
        <f>IF($B53="","",IF(INDEX(BDHKI,MATCH($C53,DiemHKI!$DI$4:$DI$58,0),G$59)&lt;&gt;"",INDEX(BDHKI,MATCH($C53,DiemHKI!$DI$4:$DI$58,0),G$59),""))</f>
        <v/>
      </c>
      <c r="H53" s="791" t="str">
        <f t="shared" si="28"/>
        <v/>
      </c>
      <c r="I53" s="770" t="str">
        <f t="shared" si="1"/>
        <v/>
      </c>
      <c r="J53" s="769"/>
      <c r="K53" s="791">
        <v>5</v>
      </c>
      <c r="L53" s="768"/>
      <c r="M53" s="769" t="str">
        <f>IF($B53="","",IF(INDEX(BDHKI,MATCH($C53,DiemHKI!$DI$4:$DI$58,0),M$59)&lt;&gt;"",INDEX(BDHKI,MATCH($C53,DiemHKI!$DI$4:$DI$58,0),M$59),""))</f>
        <v/>
      </c>
      <c r="N53" s="791" t="str">
        <f t="shared" si="2"/>
        <v/>
      </c>
      <c r="O53" s="770" t="str">
        <f t="shared" si="3"/>
        <v/>
      </c>
      <c r="P53" s="769"/>
      <c r="Q53" s="791"/>
      <c r="R53" s="768"/>
      <c r="S53" s="769" t="str">
        <f>IF($B53="","",IF(INDEX(BDHKI,MATCH($C53,DiemHKI!$DI$4:$DI$58,0),S$59)&lt;&gt;"",INDEX(BDHKI,MATCH($C53,DiemHKI!$DI$4:$DI$58,0),S$59),""))</f>
        <v/>
      </c>
      <c r="T53" s="791" t="str">
        <f t="shared" si="4"/>
        <v/>
      </c>
      <c r="U53" s="770" t="str">
        <f t="shared" si="5"/>
        <v/>
      </c>
      <c r="V53" s="769"/>
      <c r="W53" s="791"/>
      <c r="X53" s="768"/>
      <c r="Y53" s="769" t="str">
        <f>IF($B53="","",IF(INDEX(BDHKI,MATCH($C53,DiemHKI!$DI$4:$DI$58,0),Y$59)&lt;&gt;"",INDEX(BDHKI,MATCH($C53,DiemHKI!$DI$4:$DI$58,0),Y$59),""))</f>
        <v/>
      </c>
      <c r="Z53" s="791" t="str">
        <f t="shared" si="6"/>
        <v/>
      </c>
      <c r="AA53" s="770" t="str">
        <f t="shared" si="7"/>
        <v/>
      </c>
      <c r="AB53" s="769"/>
      <c r="AC53" s="791"/>
      <c r="AD53" s="768"/>
      <c r="AE53" s="769" t="str">
        <f>IF($B53="","",IF(INDEX(BDHKI,MATCH($C53,DiemHKI!$DI$4:$DI$58,0),AE$59)&lt;&gt;"",INDEX(BDHKI,MATCH($C53,DiemHKI!$DI$4:$DI$58,0),AE$59),""))</f>
        <v/>
      </c>
      <c r="AF53" s="791" t="str">
        <f t="shared" si="8"/>
        <v/>
      </c>
      <c r="AG53" s="770" t="str">
        <f t="shared" si="9"/>
        <v/>
      </c>
      <c r="AH53" s="769"/>
      <c r="AI53" s="791"/>
      <c r="AJ53" s="768"/>
      <c r="AK53" s="769" t="str">
        <f>IF($B53="","",IF(INDEX(BDHKI,MATCH($C53,DiemHKI!$DI$4:$DI$58,0),AK$59)&lt;&gt;"",INDEX(BDHKI,MATCH($C53,DiemHKI!$DI$4:$DI$58,0),AK$59),""))</f>
        <v/>
      </c>
      <c r="AL53" s="791" t="str">
        <f t="shared" si="10"/>
        <v/>
      </c>
      <c r="AM53" s="770" t="str">
        <f t="shared" si="11"/>
        <v/>
      </c>
      <c r="AN53" s="769"/>
      <c r="AO53" s="791"/>
      <c r="AP53" s="768"/>
      <c r="AQ53" s="769" t="str">
        <f>IF($B53="","",IF(INDEX(BDHKI,MATCH($C53,DiemHKI!$DI$4:$DI$58,0),AQ$59)&lt;&gt;"",INDEX(BDHKI,MATCH($C53,DiemHKI!$DI$4:$DI$58,0),AQ$59),""))</f>
        <v/>
      </c>
      <c r="AR53" s="791" t="str">
        <f t="shared" si="12"/>
        <v/>
      </c>
      <c r="AS53" s="770" t="str">
        <f t="shared" si="13"/>
        <v/>
      </c>
      <c r="AT53" s="769"/>
      <c r="AU53" s="791"/>
      <c r="AV53" s="768"/>
      <c r="AW53" s="769" t="str">
        <f>IF($B53="","",IF(INDEX(BDHKI,MATCH($C53,DiemHKI!$DI$4:$DI$58,0),AW$59)&lt;&gt;"",INDEX(BDHKI,MATCH($C53,DiemHKI!$DI$4:$DI$58,0),AW$59),""))</f>
        <v/>
      </c>
      <c r="AX53" s="791" t="str">
        <f t="shared" si="14"/>
        <v/>
      </c>
      <c r="AY53" s="770" t="str">
        <f t="shared" si="15"/>
        <v/>
      </c>
      <c r="AZ53" s="769"/>
      <c r="BA53" s="791"/>
      <c r="BB53" s="768"/>
      <c r="BC53" s="769" t="str">
        <f>IF($B53="","",IF(INDEX(BDHKI,MATCH($C53,DiemHKI!$DI$4:$DI$58,0),BC$59)&lt;&gt;"",INDEX(BDHKI,MATCH($C53,DiemHKI!$DI$4:$DI$58,0),BC$59),""))</f>
        <v/>
      </c>
      <c r="BD53" s="791" t="str">
        <f t="shared" si="16"/>
        <v/>
      </c>
      <c r="BE53" s="770" t="str">
        <f t="shared" si="17"/>
        <v/>
      </c>
      <c r="BF53" s="769"/>
      <c r="BG53" s="791"/>
      <c r="BH53" s="768"/>
      <c r="BI53" s="769" t="str">
        <f>IF($B53="","",IF(INDEX(BDHKI,MATCH($C53,DiemHKI!$DI$4:$DI$58,0),BI$59)&lt;&gt;"",INDEX(BDHKI,MATCH($C53,DiemHKI!$DI$4:$DI$58,0),BI$59),""))</f>
        <v/>
      </c>
      <c r="BJ53" s="791" t="str">
        <f t="shared" si="18"/>
        <v/>
      </c>
      <c r="BK53" s="770" t="str">
        <f t="shared" si="19"/>
        <v/>
      </c>
      <c r="BL53" s="769"/>
      <c r="BM53" s="791"/>
      <c r="BN53" s="768"/>
      <c r="BO53" s="769" t="str">
        <f>IF($B53="","",IF(INDEX(BDHKI,MATCH($C53,DiemHKI!$DI$4:$DI$58,0),BO$59)&lt;&gt;"",INDEX(BDHKI,MATCH($C53,DiemHKI!$DI$4:$DI$58,0),BO$59),""))</f>
        <v/>
      </c>
      <c r="BP53" s="791" t="str">
        <f t="shared" si="20"/>
        <v/>
      </c>
      <c r="BQ53" s="770" t="str">
        <f t="shared" si="21"/>
        <v/>
      </c>
      <c r="BR53" s="769"/>
      <c r="BS53" s="791"/>
      <c r="BT53" s="768"/>
      <c r="BU53" s="769" t="str">
        <f>IF($B53="","",IF(INDEX(BDHKI,MATCH($C53,DiemHKI!$DI$4:$DI$58,0),BU$59)&lt;&gt;"",INDEX(BDHKI,MATCH($C53,DiemHKI!$DI$4:$DI$58,0),BU$59),""))</f>
        <v/>
      </c>
      <c r="BV53" s="791" t="str">
        <f t="shared" si="22"/>
        <v/>
      </c>
      <c r="BW53" s="770" t="str">
        <f t="shared" si="23"/>
        <v/>
      </c>
      <c r="BX53" s="769"/>
      <c r="BY53" s="791"/>
      <c r="BZ53" s="768"/>
      <c r="CA53" s="769" t="str">
        <f>IF($B53="","",IF(INDEX(BDHKI,MATCH($C53,DiemHKI!$DI$4:$DI$58,0),CA$59)&lt;&gt;"",INDEX(BDHKI,MATCH($C53,DiemHKI!$DI$4:$DI$58,0),CA$59),""))</f>
        <v/>
      </c>
      <c r="CB53" s="791" t="str">
        <f t="shared" si="24"/>
        <v/>
      </c>
      <c r="CC53" s="770" t="str">
        <f t="shared" si="25"/>
        <v/>
      </c>
      <c r="CD53" s="769"/>
      <c r="CE53" s="791"/>
      <c r="CF53" s="768"/>
      <c r="CG53" s="769" t="str">
        <f>IF($B53="","",IF(INDEX(BDHKI,MATCH($C53,DiemHKI!$DI$4:$DI$58,0),CG$59)&lt;&gt;"",INDEX(BDHKI,MATCH($C53,DiemHKI!$DI$4:$DI$58,0),CG$59),""))</f>
        <v/>
      </c>
      <c r="CH53" s="791" t="str">
        <f t="shared" si="26"/>
        <v/>
      </c>
      <c r="CI53" s="770" t="str">
        <f t="shared" si="27"/>
        <v/>
      </c>
      <c r="CJ53" s="769"/>
      <c r="CK53" s="791"/>
      <c r="CL53" s="768"/>
    </row>
    <row r="54" spans="2:90" ht="15" customHeight="1">
      <c r="B54" s="771" t="str">
        <f>IF(B53&lt;MAX(DiemHKI!$B$4:$B$58),B53+1,"")</f>
        <v/>
      </c>
      <c r="C54" s="771" t="str">
        <f t="shared" si="0"/>
        <v/>
      </c>
      <c r="D54" s="772" t="str">
        <f>IF($B54&lt;&gt;"",PROPER(INDEX(BDHKI,MATCH($B54,DiemHKI!$B$4:$B$58,0),3)),"")</f>
        <v/>
      </c>
      <c r="E54" s="773" t="str">
        <f>IF($B54&lt;&gt;"",PROPER(INDEX(BDHKI,MATCH($B54,DiemHKI!$B$4:$B$58,0),4)),"")</f>
        <v/>
      </c>
      <c r="F54" s="774" t="str">
        <f>IF($B54&lt;&gt;"",PROPER(INDEX(BDHKI,MATCH($B54,DiemHKI!$B$4:$B$58,0),5)),"")</f>
        <v/>
      </c>
      <c r="G54" s="775" t="str">
        <f>IF($B54="","",IF(INDEX(BDHKI,MATCH($C54,DiemHKI!$DI$4:$DI$58,0),G$59)&lt;&gt;"",INDEX(BDHKI,MATCH($C54,DiemHKI!$DI$4:$DI$58,0),G$59),""))</f>
        <v/>
      </c>
      <c r="H54" s="792" t="str">
        <f t="shared" si="28"/>
        <v/>
      </c>
      <c r="I54" s="776" t="str">
        <f t="shared" si="1"/>
        <v/>
      </c>
      <c r="J54" s="775"/>
      <c r="K54" s="792">
        <v>3</v>
      </c>
      <c r="L54" s="774"/>
      <c r="M54" s="775" t="str">
        <f>IF($B54="","",IF(INDEX(BDHKI,MATCH($C54,DiemHKI!$DI$4:$DI$58,0),M$59)&lt;&gt;"",INDEX(BDHKI,MATCH($C54,DiemHKI!$DI$4:$DI$58,0),M$59),""))</f>
        <v/>
      </c>
      <c r="N54" s="792" t="str">
        <f t="shared" si="2"/>
        <v/>
      </c>
      <c r="O54" s="776" t="str">
        <f t="shared" si="3"/>
        <v/>
      </c>
      <c r="P54" s="775"/>
      <c r="Q54" s="792"/>
      <c r="R54" s="774"/>
      <c r="S54" s="775" t="str">
        <f>IF($B54="","",IF(INDEX(BDHKI,MATCH($C54,DiemHKI!$DI$4:$DI$58,0),S$59)&lt;&gt;"",INDEX(BDHKI,MATCH($C54,DiemHKI!$DI$4:$DI$58,0),S$59),""))</f>
        <v/>
      </c>
      <c r="T54" s="792" t="str">
        <f t="shared" si="4"/>
        <v/>
      </c>
      <c r="U54" s="776" t="str">
        <f t="shared" si="5"/>
        <v/>
      </c>
      <c r="V54" s="775"/>
      <c r="W54" s="792"/>
      <c r="X54" s="774"/>
      <c r="Y54" s="775" t="str">
        <f>IF($B54="","",IF(INDEX(BDHKI,MATCH($C54,DiemHKI!$DI$4:$DI$58,0),Y$59)&lt;&gt;"",INDEX(BDHKI,MATCH($C54,DiemHKI!$DI$4:$DI$58,0),Y$59),""))</f>
        <v/>
      </c>
      <c r="Z54" s="792" t="str">
        <f t="shared" si="6"/>
        <v/>
      </c>
      <c r="AA54" s="776" t="str">
        <f t="shared" si="7"/>
        <v/>
      </c>
      <c r="AB54" s="775"/>
      <c r="AC54" s="792"/>
      <c r="AD54" s="774"/>
      <c r="AE54" s="775" t="str">
        <f>IF($B54="","",IF(INDEX(BDHKI,MATCH($C54,DiemHKI!$DI$4:$DI$58,0),AE$59)&lt;&gt;"",INDEX(BDHKI,MATCH($C54,DiemHKI!$DI$4:$DI$58,0),AE$59),""))</f>
        <v/>
      </c>
      <c r="AF54" s="792" t="str">
        <f t="shared" si="8"/>
        <v/>
      </c>
      <c r="AG54" s="776" t="str">
        <f t="shared" si="9"/>
        <v/>
      </c>
      <c r="AH54" s="775"/>
      <c r="AI54" s="792"/>
      <c r="AJ54" s="774"/>
      <c r="AK54" s="775" t="str">
        <f>IF($B54="","",IF(INDEX(BDHKI,MATCH($C54,DiemHKI!$DI$4:$DI$58,0),AK$59)&lt;&gt;"",INDEX(BDHKI,MATCH($C54,DiemHKI!$DI$4:$DI$58,0),AK$59),""))</f>
        <v/>
      </c>
      <c r="AL54" s="792" t="str">
        <f t="shared" si="10"/>
        <v/>
      </c>
      <c r="AM54" s="776" t="str">
        <f t="shared" si="11"/>
        <v/>
      </c>
      <c r="AN54" s="775"/>
      <c r="AO54" s="792"/>
      <c r="AP54" s="774"/>
      <c r="AQ54" s="775" t="str">
        <f>IF($B54="","",IF(INDEX(BDHKI,MATCH($C54,DiemHKI!$DI$4:$DI$58,0),AQ$59)&lt;&gt;"",INDEX(BDHKI,MATCH($C54,DiemHKI!$DI$4:$DI$58,0),AQ$59),""))</f>
        <v/>
      </c>
      <c r="AR54" s="792" t="str">
        <f t="shared" si="12"/>
        <v/>
      </c>
      <c r="AS54" s="776" t="str">
        <f t="shared" si="13"/>
        <v/>
      </c>
      <c r="AT54" s="775"/>
      <c r="AU54" s="792"/>
      <c r="AV54" s="774"/>
      <c r="AW54" s="775" t="str">
        <f>IF($B54="","",IF(INDEX(BDHKI,MATCH($C54,DiemHKI!$DI$4:$DI$58,0),AW$59)&lt;&gt;"",INDEX(BDHKI,MATCH($C54,DiemHKI!$DI$4:$DI$58,0),AW$59),""))</f>
        <v/>
      </c>
      <c r="AX54" s="792" t="str">
        <f t="shared" si="14"/>
        <v/>
      </c>
      <c r="AY54" s="776" t="str">
        <f t="shared" si="15"/>
        <v/>
      </c>
      <c r="AZ54" s="775"/>
      <c r="BA54" s="792"/>
      <c r="BB54" s="774"/>
      <c r="BC54" s="775" t="str">
        <f>IF($B54="","",IF(INDEX(BDHKI,MATCH($C54,DiemHKI!$DI$4:$DI$58,0),BC$59)&lt;&gt;"",INDEX(BDHKI,MATCH($C54,DiemHKI!$DI$4:$DI$58,0),BC$59),""))</f>
        <v/>
      </c>
      <c r="BD54" s="792" t="str">
        <f t="shared" si="16"/>
        <v/>
      </c>
      <c r="BE54" s="776" t="str">
        <f t="shared" si="17"/>
        <v/>
      </c>
      <c r="BF54" s="775"/>
      <c r="BG54" s="792"/>
      <c r="BH54" s="774"/>
      <c r="BI54" s="775" t="str">
        <f>IF($B54="","",IF(INDEX(BDHKI,MATCH($C54,DiemHKI!$DI$4:$DI$58,0),BI$59)&lt;&gt;"",INDEX(BDHKI,MATCH($C54,DiemHKI!$DI$4:$DI$58,0),BI$59),""))</f>
        <v/>
      </c>
      <c r="BJ54" s="792" t="str">
        <f t="shared" si="18"/>
        <v/>
      </c>
      <c r="BK54" s="776" t="str">
        <f t="shared" si="19"/>
        <v/>
      </c>
      <c r="BL54" s="775"/>
      <c r="BM54" s="792"/>
      <c r="BN54" s="774"/>
      <c r="BO54" s="775" t="str">
        <f>IF($B54="","",IF(INDEX(BDHKI,MATCH($C54,DiemHKI!$DI$4:$DI$58,0),BO$59)&lt;&gt;"",INDEX(BDHKI,MATCH($C54,DiemHKI!$DI$4:$DI$58,0),BO$59),""))</f>
        <v/>
      </c>
      <c r="BP54" s="792" t="str">
        <f t="shared" si="20"/>
        <v/>
      </c>
      <c r="BQ54" s="776" t="str">
        <f t="shared" si="21"/>
        <v/>
      </c>
      <c r="BR54" s="775"/>
      <c r="BS54" s="792"/>
      <c r="BT54" s="774"/>
      <c r="BU54" s="775" t="str">
        <f>IF($B54="","",IF(INDEX(BDHKI,MATCH($C54,DiemHKI!$DI$4:$DI$58,0),BU$59)&lt;&gt;"",INDEX(BDHKI,MATCH($C54,DiemHKI!$DI$4:$DI$58,0),BU$59),""))</f>
        <v/>
      </c>
      <c r="BV54" s="792" t="str">
        <f t="shared" si="22"/>
        <v/>
      </c>
      <c r="BW54" s="776" t="str">
        <f t="shared" si="23"/>
        <v/>
      </c>
      <c r="BX54" s="775"/>
      <c r="BY54" s="792"/>
      <c r="BZ54" s="774"/>
      <c r="CA54" s="775" t="str">
        <f>IF($B54="","",IF(INDEX(BDHKI,MATCH($C54,DiemHKI!$DI$4:$DI$58,0),CA$59)&lt;&gt;"",INDEX(BDHKI,MATCH($C54,DiemHKI!$DI$4:$DI$58,0),CA$59),""))</f>
        <v/>
      </c>
      <c r="CB54" s="792" t="str">
        <f t="shared" si="24"/>
        <v/>
      </c>
      <c r="CC54" s="776" t="str">
        <f t="shared" si="25"/>
        <v/>
      </c>
      <c r="CD54" s="775"/>
      <c r="CE54" s="792"/>
      <c r="CF54" s="774"/>
      <c r="CG54" s="775" t="str">
        <f>IF($B54="","",IF(INDEX(BDHKI,MATCH($C54,DiemHKI!$DI$4:$DI$58,0),CG$59)&lt;&gt;"",INDEX(BDHKI,MATCH($C54,DiemHKI!$DI$4:$DI$58,0),CG$59),""))</f>
        <v/>
      </c>
      <c r="CH54" s="792" t="str">
        <f t="shared" si="26"/>
        <v/>
      </c>
      <c r="CI54" s="776" t="str">
        <f t="shared" si="27"/>
        <v/>
      </c>
      <c r="CJ54" s="775"/>
      <c r="CK54" s="792"/>
      <c r="CL54" s="774"/>
    </row>
    <row r="55" spans="2:90" ht="15" customHeight="1">
      <c r="B55" s="771" t="str">
        <f>IF(B54&lt;MAX(DiemHKI!$B$4:$B$58),B54+1,"")</f>
        <v/>
      </c>
      <c r="C55" s="771" t="str">
        <f t="shared" si="0"/>
        <v/>
      </c>
      <c r="D55" s="772" t="str">
        <f>IF($B55&lt;&gt;"",PROPER(INDEX(BDHKI,MATCH($B55,DiemHKI!$B$4:$B$58,0),3)),"")</f>
        <v/>
      </c>
      <c r="E55" s="773" t="str">
        <f>IF($B55&lt;&gt;"",PROPER(INDEX(BDHKI,MATCH($B55,DiemHKI!$B$4:$B$58,0),4)),"")</f>
        <v/>
      </c>
      <c r="F55" s="774" t="str">
        <f>IF($B55&lt;&gt;"",PROPER(INDEX(BDHKI,MATCH($B55,DiemHKI!$B$4:$B$58,0),5)),"")</f>
        <v/>
      </c>
      <c r="G55" s="775" t="str">
        <f>IF($B55="","",IF(INDEX(BDHKI,MATCH($C55,DiemHKI!$DI$4:$DI$58,0),G$59)&lt;&gt;"",INDEX(BDHKI,MATCH($C55,DiemHKI!$DI$4:$DI$58,0),G$59),""))</f>
        <v/>
      </c>
      <c r="H55" s="792" t="str">
        <f t="shared" si="28"/>
        <v/>
      </c>
      <c r="I55" s="776" t="str">
        <f t="shared" si="1"/>
        <v/>
      </c>
      <c r="J55" s="775"/>
      <c r="K55" s="792">
        <v>4</v>
      </c>
      <c r="L55" s="774"/>
      <c r="M55" s="775" t="str">
        <f>IF($B55="","",IF(INDEX(BDHKI,MATCH($C55,DiemHKI!$DI$4:$DI$58,0),M$59)&lt;&gt;"",INDEX(BDHKI,MATCH($C55,DiemHKI!$DI$4:$DI$58,0),M$59),""))</f>
        <v/>
      </c>
      <c r="N55" s="792" t="str">
        <f t="shared" si="2"/>
        <v/>
      </c>
      <c r="O55" s="776" t="str">
        <f t="shared" si="3"/>
        <v/>
      </c>
      <c r="P55" s="775"/>
      <c r="Q55" s="792"/>
      <c r="R55" s="774"/>
      <c r="S55" s="775" t="str">
        <f>IF($B55="","",IF(INDEX(BDHKI,MATCH($C55,DiemHKI!$DI$4:$DI$58,0),S$59)&lt;&gt;"",INDEX(BDHKI,MATCH($C55,DiemHKI!$DI$4:$DI$58,0),S$59),""))</f>
        <v/>
      </c>
      <c r="T55" s="792" t="str">
        <f t="shared" si="4"/>
        <v/>
      </c>
      <c r="U55" s="776" t="str">
        <f t="shared" si="5"/>
        <v/>
      </c>
      <c r="V55" s="775"/>
      <c r="W55" s="792"/>
      <c r="X55" s="774"/>
      <c r="Y55" s="775" t="str">
        <f>IF($B55="","",IF(INDEX(BDHKI,MATCH($C55,DiemHKI!$DI$4:$DI$58,0),Y$59)&lt;&gt;"",INDEX(BDHKI,MATCH($C55,DiemHKI!$DI$4:$DI$58,0),Y$59),""))</f>
        <v/>
      </c>
      <c r="Z55" s="792" t="str">
        <f t="shared" si="6"/>
        <v/>
      </c>
      <c r="AA55" s="776" t="str">
        <f t="shared" si="7"/>
        <v/>
      </c>
      <c r="AB55" s="775"/>
      <c r="AC55" s="792"/>
      <c r="AD55" s="774"/>
      <c r="AE55" s="775" t="str">
        <f>IF($B55="","",IF(INDEX(BDHKI,MATCH($C55,DiemHKI!$DI$4:$DI$58,0),AE$59)&lt;&gt;"",INDEX(BDHKI,MATCH($C55,DiemHKI!$DI$4:$DI$58,0),AE$59),""))</f>
        <v/>
      </c>
      <c r="AF55" s="792" t="str">
        <f t="shared" si="8"/>
        <v/>
      </c>
      <c r="AG55" s="776" t="str">
        <f t="shared" si="9"/>
        <v/>
      </c>
      <c r="AH55" s="775"/>
      <c r="AI55" s="792"/>
      <c r="AJ55" s="774"/>
      <c r="AK55" s="775" t="str">
        <f>IF($B55="","",IF(INDEX(BDHKI,MATCH($C55,DiemHKI!$DI$4:$DI$58,0),AK$59)&lt;&gt;"",INDEX(BDHKI,MATCH($C55,DiemHKI!$DI$4:$DI$58,0),AK$59),""))</f>
        <v/>
      </c>
      <c r="AL55" s="792" t="str">
        <f t="shared" si="10"/>
        <v/>
      </c>
      <c r="AM55" s="776" t="str">
        <f t="shared" si="11"/>
        <v/>
      </c>
      <c r="AN55" s="775"/>
      <c r="AO55" s="792"/>
      <c r="AP55" s="774"/>
      <c r="AQ55" s="775" t="str">
        <f>IF($B55="","",IF(INDEX(BDHKI,MATCH($C55,DiemHKI!$DI$4:$DI$58,0),AQ$59)&lt;&gt;"",INDEX(BDHKI,MATCH($C55,DiemHKI!$DI$4:$DI$58,0),AQ$59),""))</f>
        <v/>
      </c>
      <c r="AR55" s="792" t="str">
        <f t="shared" si="12"/>
        <v/>
      </c>
      <c r="AS55" s="776" t="str">
        <f t="shared" si="13"/>
        <v/>
      </c>
      <c r="AT55" s="775"/>
      <c r="AU55" s="792"/>
      <c r="AV55" s="774"/>
      <c r="AW55" s="775" t="str">
        <f>IF($B55="","",IF(INDEX(BDHKI,MATCH($C55,DiemHKI!$DI$4:$DI$58,0),AW$59)&lt;&gt;"",INDEX(BDHKI,MATCH($C55,DiemHKI!$DI$4:$DI$58,0),AW$59),""))</f>
        <v/>
      </c>
      <c r="AX55" s="792" t="str">
        <f t="shared" si="14"/>
        <v/>
      </c>
      <c r="AY55" s="776" t="str">
        <f t="shared" si="15"/>
        <v/>
      </c>
      <c r="AZ55" s="775"/>
      <c r="BA55" s="792"/>
      <c r="BB55" s="774"/>
      <c r="BC55" s="775" t="str">
        <f>IF($B55="","",IF(INDEX(BDHKI,MATCH($C55,DiemHKI!$DI$4:$DI$58,0),BC$59)&lt;&gt;"",INDEX(BDHKI,MATCH($C55,DiemHKI!$DI$4:$DI$58,0),BC$59),""))</f>
        <v/>
      </c>
      <c r="BD55" s="792" t="str">
        <f t="shared" si="16"/>
        <v/>
      </c>
      <c r="BE55" s="776" t="str">
        <f t="shared" si="17"/>
        <v/>
      </c>
      <c r="BF55" s="775"/>
      <c r="BG55" s="792"/>
      <c r="BH55" s="774"/>
      <c r="BI55" s="775" t="str">
        <f>IF($B55="","",IF(INDEX(BDHKI,MATCH($C55,DiemHKI!$DI$4:$DI$58,0),BI$59)&lt;&gt;"",INDEX(BDHKI,MATCH($C55,DiemHKI!$DI$4:$DI$58,0),BI$59),""))</f>
        <v/>
      </c>
      <c r="BJ55" s="792" t="str">
        <f t="shared" si="18"/>
        <v/>
      </c>
      <c r="BK55" s="776" t="str">
        <f t="shared" si="19"/>
        <v/>
      </c>
      <c r="BL55" s="775"/>
      <c r="BM55" s="792"/>
      <c r="BN55" s="774"/>
      <c r="BO55" s="775" t="str">
        <f>IF($B55="","",IF(INDEX(BDHKI,MATCH($C55,DiemHKI!$DI$4:$DI$58,0),BO$59)&lt;&gt;"",INDEX(BDHKI,MATCH($C55,DiemHKI!$DI$4:$DI$58,0),BO$59),""))</f>
        <v/>
      </c>
      <c r="BP55" s="792" t="str">
        <f t="shared" si="20"/>
        <v/>
      </c>
      <c r="BQ55" s="776" t="str">
        <f t="shared" si="21"/>
        <v/>
      </c>
      <c r="BR55" s="775"/>
      <c r="BS55" s="792"/>
      <c r="BT55" s="774"/>
      <c r="BU55" s="775" t="str">
        <f>IF($B55="","",IF(INDEX(BDHKI,MATCH($C55,DiemHKI!$DI$4:$DI$58,0),BU$59)&lt;&gt;"",INDEX(BDHKI,MATCH($C55,DiemHKI!$DI$4:$DI$58,0),BU$59),""))</f>
        <v/>
      </c>
      <c r="BV55" s="792" t="str">
        <f t="shared" si="22"/>
        <v/>
      </c>
      <c r="BW55" s="776" t="str">
        <f t="shared" si="23"/>
        <v/>
      </c>
      <c r="BX55" s="775"/>
      <c r="BY55" s="792"/>
      <c r="BZ55" s="774"/>
      <c r="CA55" s="775" t="str">
        <f>IF($B55="","",IF(INDEX(BDHKI,MATCH($C55,DiemHKI!$DI$4:$DI$58,0),CA$59)&lt;&gt;"",INDEX(BDHKI,MATCH($C55,DiemHKI!$DI$4:$DI$58,0),CA$59),""))</f>
        <v/>
      </c>
      <c r="CB55" s="792" t="str">
        <f t="shared" si="24"/>
        <v/>
      </c>
      <c r="CC55" s="776" t="str">
        <f t="shared" si="25"/>
        <v/>
      </c>
      <c r="CD55" s="775"/>
      <c r="CE55" s="792"/>
      <c r="CF55" s="774"/>
      <c r="CG55" s="775" t="str">
        <f>IF($B55="","",IF(INDEX(BDHKI,MATCH($C55,DiemHKI!$DI$4:$DI$58,0),CG$59)&lt;&gt;"",INDEX(BDHKI,MATCH($C55,DiemHKI!$DI$4:$DI$58,0),CG$59),""))</f>
        <v/>
      </c>
      <c r="CH55" s="792" t="str">
        <f t="shared" si="26"/>
        <v/>
      </c>
      <c r="CI55" s="776" t="str">
        <f t="shared" si="27"/>
        <v/>
      </c>
      <c r="CJ55" s="775"/>
      <c r="CK55" s="792"/>
      <c r="CL55" s="774"/>
    </row>
    <row r="56" spans="2:90" ht="15" customHeight="1">
      <c r="B56" s="771" t="str">
        <f>IF(B55&lt;MAX(DiemHKI!$B$4:$B$58),B55+1,"")</f>
        <v/>
      </c>
      <c r="C56" s="771" t="str">
        <f t="shared" si="0"/>
        <v/>
      </c>
      <c r="D56" s="772" t="str">
        <f>IF($B56&lt;&gt;"",PROPER(INDEX(BDHKI,MATCH($B56,DiemHKI!$B$4:$B$58,0),3)),"")</f>
        <v/>
      </c>
      <c r="E56" s="773" t="str">
        <f>IF($B56&lt;&gt;"",PROPER(INDEX(BDHKI,MATCH($B56,DiemHKI!$B$4:$B$58,0),4)),"")</f>
        <v/>
      </c>
      <c r="F56" s="774" t="str">
        <f>IF($B56&lt;&gt;"",PROPER(INDEX(BDHKI,MATCH($B56,DiemHKI!$B$4:$B$58,0),5)),"")</f>
        <v/>
      </c>
      <c r="G56" s="775" t="str">
        <f>IF($B56="","",IF(INDEX(BDHKI,MATCH($C56,DiemHKI!$DI$4:$DI$58,0),G$59)&lt;&gt;"",INDEX(BDHKI,MATCH($C56,DiemHKI!$DI$4:$DI$58,0),G$59),""))</f>
        <v/>
      </c>
      <c r="H56" s="792" t="str">
        <f t="shared" si="28"/>
        <v/>
      </c>
      <c r="I56" s="776" t="str">
        <f t="shared" si="1"/>
        <v/>
      </c>
      <c r="J56" s="775"/>
      <c r="K56" s="792">
        <v>5</v>
      </c>
      <c r="L56" s="774"/>
      <c r="M56" s="775" t="str">
        <f>IF($B56="","",IF(INDEX(BDHKI,MATCH($C56,DiemHKI!$DI$4:$DI$58,0),M$59)&lt;&gt;"",INDEX(BDHKI,MATCH($C56,DiemHKI!$DI$4:$DI$58,0),M$59),""))</f>
        <v/>
      </c>
      <c r="N56" s="792" t="str">
        <f t="shared" si="2"/>
        <v/>
      </c>
      <c r="O56" s="776" t="str">
        <f t="shared" si="3"/>
        <v/>
      </c>
      <c r="P56" s="775"/>
      <c r="Q56" s="792"/>
      <c r="R56" s="774"/>
      <c r="S56" s="775" t="str">
        <f>IF($B56="","",IF(INDEX(BDHKI,MATCH($C56,DiemHKI!$DI$4:$DI$58,0),S$59)&lt;&gt;"",INDEX(BDHKI,MATCH($C56,DiemHKI!$DI$4:$DI$58,0),S$59),""))</f>
        <v/>
      </c>
      <c r="T56" s="792" t="str">
        <f t="shared" si="4"/>
        <v/>
      </c>
      <c r="U56" s="776" t="str">
        <f t="shared" si="5"/>
        <v/>
      </c>
      <c r="V56" s="775"/>
      <c r="W56" s="792"/>
      <c r="X56" s="774"/>
      <c r="Y56" s="775" t="str">
        <f>IF($B56="","",IF(INDEX(BDHKI,MATCH($C56,DiemHKI!$DI$4:$DI$58,0),Y$59)&lt;&gt;"",INDEX(BDHKI,MATCH($C56,DiemHKI!$DI$4:$DI$58,0),Y$59),""))</f>
        <v/>
      </c>
      <c r="Z56" s="792" t="str">
        <f t="shared" si="6"/>
        <v/>
      </c>
      <c r="AA56" s="776" t="str">
        <f t="shared" si="7"/>
        <v/>
      </c>
      <c r="AB56" s="775"/>
      <c r="AC56" s="792"/>
      <c r="AD56" s="774"/>
      <c r="AE56" s="775" t="str">
        <f>IF($B56="","",IF(INDEX(BDHKI,MATCH($C56,DiemHKI!$DI$4:$DI$58,0),AE$59)&lt;&gt;"",INDEX(BDHKI,MATCH($C56,DiemHKI!$DI$4:$DI$58,0),AE$59),""))</f>
        <v/>
      </c>
      <c r="AF56" s="792" t="str">
        <f t="shared" si="8"/>
        <v/>
      </c>
      <c r="AG56" s="776" t="str">
        <f t="shared" si="9"/>
        <v/>
      </c>
      <c r="AH56" s="775"/>
      <c r="AI56" s="792"/>
      <c r="AJ56" s="774"/>
      <c r="AK56" s="775" t="str">
        <f>IF($B56="","",IF(INDEX(BDHKI,MATCH($C56,DiemHKI!$DI$4:$DI$58,0),AK$59)&lt;&gt;"",INDEX(BDHKI,MATCH($C56,DiemHKI!$DI$4:$DI$58,0),AK$59),""))</f>
        <v/>
      </c>
      <c r="AL56" s="792" t="str">
        <f t="shared" si="10"/>
        <v/>
      </c>
      <c r="AM56" s="776" t="str">
        <f t="shared" si="11"/>
        <v/>
      </c>
      <c r="AN56" s="775"/>
      <c r="AO56" s="792"/>
      <c r="AP56" s="774"/>
      <c r="AQ56" s="775" t="str">
        <f>IF($B56="","",IF(INDEX(BDHKI,MATCH($C56,DiemHKI!$DI$4:$DI$58,0),AQ$59)&lt;&gt;"",INDEX(BDHKI,MATCH($C56,DiemHKI!$DI$4:$DI$58,0),AQ$59),""))</f>
        <v/>
      </c>
      <c r="AR56" s="792" t="str">
        <f t="shared" si="12"/>
        <v/>
      </c>
      <c r="AS56" s="776" t="str">
        <f t="shared" si="13"/>
        <v/>
      </c>
      <c r="AT56" s="775"/>
      <c r="AU56" s="792"/>
      <c r="AV56" s="774"/>
      <c r="AW56" s="775" t="str">
        <f>IF($B56="","",IF(INDEX(BDHKI,MATCH($C56,DiemHKI!$DI$4:$DI$58,0),AW$59)&lt;&gt;"",INDEX(BDHKI,MATCH($C56,DiemHKI!$DI$4:$DI$58,0),AW$59),""))</f>
        <v/>
      </c>
      <c r="AX56" s="792" t="str">
        <f t="shared" si="14"/>
        <v/>
      </c>
      <c r="AY56" s="776" t="str">
        <f t="shared" si="15"/>
        <v/>
      </c>
      <c r="AZ56" s="775"/>
      <c r="BA56" s="792"/>
      <c r="BB56" s="774"/>
      <c r="BC56" s="775" t="str">
        <f>IF($B56="","",IF(INDEX(BDHKI,MATCH($C56,DiemHKI!$DI$4:$DI$58,0),BC$59)&lt;&gt;"",INDEX(BDHKI,MATCH($C56,DiemHKI!$DI$4:$DI$58,0),BC$59),""))</f>
        <v/>
      </c>
      <c r="BD56" s="792" t="str">
        <f t="shared" si="16"/>
        <v/>
      </c>
      <c r="BE56" s="776" t="str">
        <f t="shared" si="17"/>
        <v/>
      </c>
      <c r="BF56" s="775"/>
      <c r="BG56" s="792"/>
      <c r="BH56" s="774"/>
      <c r="BI56" s="775" t="str">
        <f>IF($B56="","",IF(INDEX(BDHKI,MATCH($C56,DiemHKI!$DI$4:$DI$58,0),BI$59)&lt;&gt;"",INDEX(BDHKI,MATCH($C56,DiemHKI!$DI$4:$DI$58,0),BI$59),""))</f>
        <v/>
      </c>
      <c r="BJ56" s="792" t="str">
        <f t="shared" si="18"/>
        <v/>
      </c>
      <c r="BK56" s="776" t="str">
        <f t="shared" si="19"/>
        <v/>
      </c>
      <c r="BL56" s="775"/>
      <c r="BM56" s="792"/>
      <c r="BN56" s="774"/>
      <c r="BO56" s="775" t="str">
        <f>IF($B56="","",IF(INDEX(BDHKI,MATCH($C56,DiemHKI!$DI$4:$DI$58,0),BO$59)&lt;&gt;"",INDEX(BDHKI,MATCH($C56,DiemHKI!$DI$4:$DI$58,0),BO$59),""))</f>
        <v/>
      </c>
      <c r="BP56" s="792" t="str">
        <f t="shared" si="20"/>
        <v/>
      </c>
      <c r="BQ56" s="776" t="str">
        <f t="shared" si="21"/>
        <v/>
      </c>
      <c r="BR56" s="775"/>
      <c r="BS56" s="792"/>
      <c r="BT56" s="774"/>
      <c r="BU56" s="775" t="str">
        <f>IF($B56="","",IF(INDEX(BDHKI,MATCH($C56,DiemHKI!$DI$4:$DI$58,0),BU$59)&lt;&gt;"",INDEX(BDHKI,MATCH($C56,DiemHKI!$DI$4:$DI$58,0),BU$59),""))</f>
        <v/>
      </c>
      <c r="BV56" s="792" t="str">
        <f t="shared" si="22"/>
        <v/>
      </c>
      <c r="BW56" s="776" t="str">
        <f t="shared" si="23"/>
        <v/>
      </c>
      <c r="BX56" s="775"/>
      <c r="BY56" s="792"/>
      <c r="BZ56" s="774"/>
      <c r="CA56" s="775" t="str">
        <f>IF($B56="","",IF(INDEX(BDHKI,MATCH($C56,DiemHKI!$DI$4:$DI$58,0),CA$59)&lt;&gt;"",INDEX(BDHKI,MATCH($C56,DiemHKI!$DI$4:$DI$58,0),CA$59),""))</f>
        <v/>
      </c>
      <c r="CB56" s="792" t="str">
        <f t="shared" si="24"/>
        <v/>
      </c>
      <c r="CC56" s="776" t="str">
        <f t="shared" si="25"/>
        <v/>
      </c>
      <c r="CD56" s="775"/>
      <c r="CE56" s="792"/>
      <c r="CF56" s="774"/>
      <c r="CG56" s="775" t="str">
        <f>IF($B56="","",IF(INDEX(BDHKI,MATCH($C56,DiemHKI!$DI$4:$DI$58,0),CG$59)&lt;&gt;"",INDEX(BDHKI,MATCH($C56,DiemHKI!$DI$4:$DI$58,0),CG$59),""))</f>
        <v/>
      </c>
      <c r="CH56" s="792" t="str">
        <f t="shared" si="26"/>
        <v/>
      </c>
      <c r="CI56" s="776" t="str">
        <f t="shared" si="27"/>
        <v/>
      </c>
      <c r="CJ56" s="775"/>
      <c r="CK56" s="792"/>
      <c r="CL56" s="774"/>
    </row>
    <row r="57" spans="2:90" ht="15" customHeight="1">
      <c r="B57" s="777" t="str">
        <f>IF(B56&lt;MAX(DiemHKI!$B$4:$B$58),B56+1,"")</f>
        <v/>
      </c>
      <c r="C57" s="777" t="str">
        <f t="shared" si="0"/>
        <v/>
      </c>
      <c r="D57" s="778" t="str">
        <f>IF($B57&lt;&gt;"",PROPER(INDEX(BDHKI,MATCH($B57,DiemHKI!$B$4:$B$58,0),3)),"")</f>
        <v/>
      </c>
      <c r="E57" s="779" t="str">
        <f>IF($B57&lt;&gt;"",PROPER(INDEX(BDHKI,MATCH($B57,DiemHKI!$B$4:$B$58,0),4)),"")</f>
        <v/>
      </c>
      <c r="F57" s="780" t="str">
        <f>IF($B57&lt;&gt;"",PROPER(INDEX(BDHKI,MATCH($B57,DiemHKI!$B$4:$B$58,0),5)),"")</f>
        <v/>
      </c>
      <c r="G57" s="781" t="str">
        <f>IF($B57="","",IF(INDEX(BDHKI,MATCH($C57,DiemHKI!$DI$4:$DI$58,0),G$59)&lt;&gt;"",INDEX(BDHKI,MATCH($C57,DiemHKI!$DI$4:$DI$58,0),G$59),""))</f>
        <v/>
      </c>
      <c r="H57" s="793" t="str">
        <f t="shared" si="28"/>
        <v/>
      </c>
      <c r="I57" s="782" t="str">
        <f>IF(H57="","",VLOOKUP(H57,$G$61:$K$75,K57,0))</f>
        <v/>
      </c>
      <c r="J57" s="781"/>
      <c r="K57" s="793">
        <v>3</v>
      </c>
      <c r="L57" s="780"/>
      <c r="M57" s="781" t="str">
        <f>IF($B57="","",IF(INDEX(BDHKI,MATCH($C57,DiemHKI!$DI$4:$DI$58,0),M$59)&lt;&gt;"",INDEX(BDHKI,MATCH($C57,DiemHKI!$DI$4:$DI$58,0),M$59),""))</f>
        <v/>
      </c>
      <c r="N57" s="793" t="str">
        <f t="shared" si="2"/>
        <v/>
      </c>
      <c r="O57" s="782" t="str">
        <f>IF(N57="","",VLOOKUP(N57,$M$61:$Q$75,K57,0))</f>
        <v/>
      </c>
      <c r="P57" s="781"/>
      <c r="Q57" s="793"/>
      <c r="R57" s="780"/>
      <c r="S57" s="781" t="str">
        <f>IF($B57="","",IF(INDEX(BDHKI,MATCH($C57,DiemHKI!$DI$4:$DI$58,0),S$59)&lt;&gt;"",INDEX(BDHKI,MATCH($C57,DiemHKI!$DI$4:$DI$58,0),S$59),""))</f>
        <v/>
      </c>
      <c r="T57" s="793" t="str">
        <f t="shared" si="4"/>
        <v/>
      </c>
      <c r="U57" s="782" t="str">
        <f>IF(T57="","",VLOOKUP(T57,$S$61:$W$75,K57,0))</f>
        <v/>
      </c>
      <c r="V57" s="781"/>
      <c r="W57" s="793"/>
      <c r="X57" s="780"/>
      <c r="Y57" s="781" t="str">
        <f>IF($B57="","",IF(INDEX(BDHKI,MATCH($C57,DiemHKI!$DI$4:$DI$58,0),Y$59)&lt;&gt;"",INDEX(BDHKI,MATCH($C57,DiemHKI!$DI$4:$DI$58,0),Y$59),""))</f>
        <v/>
      </c>
      <c r="Z57" s="793" t="str">
        <f t="shared" si="6"/>
        <v/>
      </c>
      <c r="AA57" s="782" t="str">
        <f>IF(Z57="","",VLOOKUP(Z57,$Y$61:$AC$75,K57,0))</f>
        <v/>
      </c>
      <c r="AB57" s="781"/>
      <c r="AC57" s="793"/>
      <c r="AD57" s="780"/>
      <c r="AE57" s="781" t="str">
        <f>IF($B57="","",IF(INDEX(BDHKI,MATCH($C57,DiemHKI!$DI$4:$DI$58,0),AE$59)&lt;&gt;"",INDEX(BDHKI,MATCH($C57,DiemHKI!$DI$4:$DI$58,0),AE$59),""))</f>
        <v/>
      </c>
      <c r="AF57" s="793" t="str">
        <f t="shared" si="8"/>
        <v/>
      </c>
      <c r="AG57" s="782" t="str">
        <f>IF(AF57="","",VLOOKUP(AF57,$AE$61:$AI$75,K57,0))</f>
        <v/>
      </c>
      <c r="AH57" s="781"/>
      <c r="AI57" s="793"/>
      <c r="AJ57" s="780"/>
      <c r="AK57" s="781" t="str">
        <f>IF($B57="","",IF(INDEX(BDHKI,MATCH($C57,DiemHKI!$DI$4:$DI$58,0),AK$59)&lt;&gt;"",INDEX(BDHKI,MATCH($C57,DiemHKI!$DI$4:$DI$58,0),AK$59),""))</f>
        <v/>
      </c>
      <c r="AL57" s="793" t="str">
        <f t="shared" si="10"/>
        <v/>
      </c>
      <c r="AM57" s="782" t="str">
        <f>IF(AL57="","",VLOOKUP(AL57,$AK$61:$AO$75,K57,0))</f>
        <v/>
      </c>
      <c r="AN57" s="781"/>
      <c r="AO57" s="793"/>
      <c r="AP57" s="780"/>
      <c r="AQ57" s="781" t="str">
        <f>IF($B57="","",IF(INDEX(BDHKI,MATCH($C57,DiemHKI!$DI$4:$DI$58,0),AQ$59)&lt;&gt;"",INDEX(BDHKI,MATCH($C57,DiemHKI!$DI$4:$DI$58,0),AQ$59),""))</f>
        <v/>
      </c>
      <c r="AR57" s="793" t="str">
        <f t="shared" si="12"/>
        <v/>
      </c>
      <c r="AS57" s="782" t="str">
        <f>IF(AR57="","",VLOOKUP(AR57,$AQ$61:$AU$75,K57,0))</f>
        <v/>
      </c>
      <c r="AT57" s="781"/>
      <c r="AU57" s="793"/>
      <c r="AV57" s="780"/>
      <c r="AW57" s="781" t="str">
        <f>IF($B57="","",IF(INDEX(BDHKI,MATCH($C57,DiemHKI!$DI$4:$DI$58,0),AW$59)&lt;&gt;"",INDEX(BDHKI,MATCH($C57,DiemHKI!$DI$4:$DI$58,0),AW$59),""))</f>
        <v/>
      </c>
      <c r="AX57" s="793" t="str">
        <f t="shared" si="14"/>
        <v/>
      </c>
      <c r="AY57" s="782" t="str">
        <f>IF(AX57="","",VLOOKUP(AX57,$AW$61:$BA$75,K57,0))</f>
        <v/>
      </c>
      <c r="AZ57" s="781"/>
      <c r="BA57" s="793"/>
      <c r="BB57" s="780"/>
      <c r="BC57" s="781" t="str">
        <f>IF($B57="","",IF(INDEX(BDHKI,MATCH($C57,DiemHKI!$DI$4:$DI$58,0),BC$59)&lt;&gt;"",INDEX(BDHKI,MATCH($C57,DiemHKI!$DI$4:$DI$58,0),BC$59),""))</f>
        <v/>
      </c>
      <c r="BD57" s="793" t="str">
        <f t="shared" si="16"/>
        <v/>
      </c>
      <c r="BE57" s="782" t="str">
        <f>IF(BD57="","",VLOOKUP(BD57,$BC$61:$BG$75,K57,0))</f>
        <v/>
      </c>
      <c r="BF57" s="781"/>
      <c r="BG57" s="793"/>
      <c r="BH57" s="780"/>
      <c r="BI57" s="781" t="str">
        <f>IF($B57="","",IF(INDEX(BDHKI,MATCH($C57,DiemHKI!$DI$4:$DI$58,0),BI$59)&lt;&gt;"",INDEX(BDHKI,MATCH($C57,DiemHKI!$DI$4:$DI$58,0),BI$59),""))</f>
        <v/>
      </c>
      <c r="BJ57" s="793" t="str">
        <f t="shared" si="18"/>
        <v/>
      </c>
      <c r="BK57" s="782" t="str">
        <f>IF(BJ57="","",VLOOKUP(BJ57,$BI$61:$BM$76,K57,0))</f>
        <v/>
      </c>
      <c r="BL57" s="781"/>
      <c r="BM57" s="793"/>
      <c r="BN57" s="780"/>
      <c r="BO57" s="781" t="str">
        <f>IF($B57="","",IF(INDEX(BDHKI,MATCH($C57,DiemHKI!$DI$4:$DI$58,0),BO$59)&lt;&gt;"",INDEX(BDHKI,MATCH($C57,DiemHKI!$DI$4:$DI$58,0),BO$59),""))</f>
        <v/>
      </c>
      <c r="BP57" s="793" t="str">
        <f t="shared" si="20"/>
        <v/>
      </c>
      <c r="BQ57" s="782" t="str">
        <f>IF(BP57="","",VLOOKUP(BP57,$BO$61:$BS$75,K57,0))</f>
        <v/>
      </c>
      <c r="BR57" s="781"/>
      <c r="BS57" s="793"/>
      <c r="BT57" s="780"/>
      <c r="BU57" s="781" t="str">
        <f>IF($B57="","",IF(INDEX(BDHKI,MATCH($C57,DiemHKI!$DI$4:$DI$58,0),BU$59)&lt;&gt;"",INDEX(BDHKI,MATCH($C57,DiemHKI!$DI$4:$DI$58,0),BU$59),""))</f>
        <v/>
      </c>
      <c r="BV57" s="793" t="str">
        <f t="shared" si="22"/>
        <v/>
      </c>
      <c r="BW57" s="782" t="str">
        <f>IF(BV57="","",VLOOKUP(BV57,$BU$61:$BY$75,K57,0))</f>
        <v/>
      </c>
      <c r="BX57" s="781"/>
      <c r="BY57" s="793"/>
      <c r="BZ57" s="780"/>
      <c r="CA57" s="781" t="str">
        <f>IF($B57="","",IF(INDEX(BDHKI,MATCH($C57,DiemHKI!$DI$4:$DI$58,0),CA$59)&lt;&gt;"",INDEX(BDHKI,MATCH($C57,DiemHKI!$DI$4:$DI$58,0),CA$59),""))</f>
        <v/>
      </c>
      <c r="CB57" s="793" t="str">
        <f t="shared" si="24"/>
        <v/>
      </c>
      <c r="CC57" s="782" t="str">
        <f>IF(CB57="","",VLOOKUP(CB57,$CA$61:$CE$75,K57,0))</f>
        <v/>
      </c>
      <c r="CD57" s="781"/>
      <c r="CE57" s="793"/>
      <c r="CF57" s="780"/>
      <c r="CG57" s="781" t="str">
        <f>IF($B57="","",IF(INDEX(BDHKI,MATCH($C57,DiemHKI!$DI$4:$DI$58,0),CG$59)&lt;&gt;"",INDEX(BDHKI,MATCH($C57,DiemHKI!$DI$4:$DI$58,0),CG$59),""))</f>
        <v/>
      </c>
      <c r="CH57" s="793" t="str">
        <f t="shared" si="26"/>
        <v/>
      </c>
      <c r="CI57" s="782" t="str">
        <f>IF(CH57="","",VLOOKUP(CH57,$CG$61:$CK$75,K57,0))</f>
        <v/>
      </c>
      <c r="CJ57" s="781"/>
      <c r="CK57" s="793"/>
      <c r="CL57" s="780"/>
    </row>
    <row r="59" spans="2:90" hidden="1">
      <c r="B59" s="799"/>
      <c r="C59" s="799"/>
      <c r="D59" s="799"/>
      <c r="E59" s="799"/>
      <c r="F59" s="799"/>
      <c r="G59" s="799">
        <v>16</v>
      </c>
      <c r="H59" s="799"/>
      <c r="I59" s="800"/>
      <c r="J59" s="799"/>
      <c r="K59" s="799"/>
      <c r="L59" s="799"/>
      <c r="M59" s="799">
        <v>23</v>
      </c>
      <c r="N59" s="799"/>
      <c r="O59" s="800"/>
      <c r="P59" s="799"/>
      <c r="Q59" s="799"/>
      <c r="R59" s="799"/>
      <c r="S59" s="799">
        <v>30</v>
      </c>
      <c r="T59" s="799"/>
      <c r="U59" s="800"/>
      <c r="V59" s="799"/>
      <c r="W59" s="799"/>
      <c r="X59" s="799"/>
      <c r="Y59" s="799">
        <v>37</v>
      </c>
      <c r="Z59" s="799"/>
      <c r="AA59" s="800"/>
      <c r="AB59" s="799"/>
      <c r="AC59" s="799"/>
      <c r="AD59" s="799"/>
      <c r="AE59" s="799">
        <v>44</v>
      </c>
      <c r="AF59" s="799"/>
      <c r="AG59" s="800"/>
      <c r="AH59" s="799"/>
      <c r="AI59" s="799"/>
      <c r="AJ59" s="799"/>
      <c r="AK59" s="799">
        <v>51</v>
      </c>
      <c r="AL59" s="799"/>
      <c r="AM59" s="800"/>
      <c r="AN59" s="799"/>
      <c r="AO59" s="799"/>
      <c r="AP59" s="799"/>
      <c r="AQ59" s="799">
        <v>58</v>
      </c>
      <c r="AR59" s="799"/>
      <c r="AS59" s="800"/>
      <c r="AT59" s="799"/>
      <c r="AU59" s="799"/>
      <c r="AV59" s="799"/>
      <c r="AW59" s="799">
        <v>65</v>
      </c>
      <c r="AX59" s="799"/>
      <c r="AY59" s="800"/>
      <c r="AZ59" s="799"/>
      <c r="BA59" s="799"/>
      <c r="BB59" s="799"/>
      <c r="BC59" s="799">
        <v>72</v>
      </c>
      <c r="BD59" s="799"/>
      <c r="BE59" s="800"/>
      <c r="BF59" s="799"/>
      <c r="BG59" s="799"/>
      <c r="BH59" s="799"/>
      <c r="BI59" s="799">
        <v>79</v>
      </c>
      <c r="BJ59" s="799"/>
      <c r="BK59" s="800"/>
      <c r="BL59" s="799"/>
      <c r="BM59" s="799"/>
      <c r="BN59" s="799"/>
      <c r="BO59" s="799">
        <v>86</v>
      </c>
      <c r="BP59" s="799"/>
      <c r="BQ59" s="800"/>
      <c r="BR59" s="799"/>
      <c r="BS59" s="799"/>
      <c r="BT59" s="799"/>
      <c r="BU59" s="799">
        <v>93</v>
      </c>
      <c r="BV59" s="799"/>
      <c r="BW59" s="800"/>
      <c r="BX59" s="799"/>
      <c r="BY59" s="799"/>
      <c r="BZ59" s="799"/>
      <c r="CA59" s="799">
        <v>100</v>
      </c>
      <c r="CB59" s="799"/>
      <c r="CC59" s="800"/>
      <c r="CD59" s="799"/>
      <c r="CE59" s="799"/>
      <c r="CF59" s="799"/>
      <c r="CG59" s="799">
        <v>107</v>
      </c>
      <c r="CH59" s="799"/>
      <c r="CI59" s="800"/>
      <c r="CJ59" s="799"/>
      <c r="CK59" s="799"/>
      <c r="CL59" s="799"/>
    </row>
    <row r="60" spans="2:90" ht="15.6" hidden="1">
      <c r="G60" s="785" t="s">
        <v>322</v>
      </c>
      <c r="H60" s="786" t="s">
        <v>301</v>
      </c>
      <c r="I60" s="786" t="s">
        <v>302</v>
      </c>
      <c r="J60" s="786" t="s">
        <v>303</v>
      </c>
      <c r="K60" s="786" t="s">
        <v>304</v>
      </c>
      <c r="M60" s="785" t="s">
        <v>322</v>
      </c>
      <c r="N60" s="786" t="s">
        <v>301</v>
      </c>
      <c r="O60" s="786" t="s">
        <v>302</v>
      </c>
      <c r="P60" s="786" t="s">
        <v>303</v>
      </c>
      <c r="Q60" s="786" t="s">
        <v>304</v>
      </c>
      <c r="S60" s="785" t="s">
        <v>322</v>
      </c>
      <c r="T60" s="786" t="s">
        <v>301</v>
      </c>
      <c r="U60" s="786" t="s">
        <v>302</v>
      </c>
      <c r="V60" s="786" t="s">
        <v>303</v>
      </c>
      <c r="W60" s="786" t="s">
        <v>304</v>
      </c>
      <c r="Y60" s="785" t="s">
        <v>322</v>
      </c>
      <c r="Z60" s="786" t="s">
        <v>301</v>
      </c>
      <c r="AA60" s="786" t="s">
        <v>302</v>
      </c>
      <c r="AB60" s="786" t="s">
        <v>303</v>
      </c>
      <c r="AC60" s="786" t="s">
        <v>304</v>
      </c>
      <c r="AE60" s="785" t="s">
        <v>322</v>
      </c>
      <c r="AF60" s="786" t="s">
        <v>301</v>
      </c>
      <c r="AG60" s="786" t="s">
        <v>302</v>
      </c>
      <c r="AH60" s="786" t="s">
        <v>303</v>
      </c>
      <c r="AI60" s="786" t="s">
        <v>304</v>
      </c>
      <c r="AK60" s="785" t="s">
        <v>322</v>
      </c>
      <c r="AL60" s="786" t="s">
        <v>301</v>
      </c>
      <c r="AM60" s="786" t="s">
        <v>302</v>
      </c>
      <c r="AN60" s="786" t="s">
        <v>303</v>
      </c>
      <c r="AO60" s="786" t="s">
        <v>304</v>
      </c>
      <c r="AQ60" s="785" t="s">
        <v>322</v>
      </c>
      <c r="AR60" s="786" t="s">
        <v>301</v>
      </c>
      <c r="AS60" s="786" t="s">
        <v>302</v>
      </c>
      <c r="AT60" s="786" t="s">
        <v>303</v>
      </c>
      <c r="AU60" s="786" t="s">
        <v>304</v>
      </c>
      <c r="AW60" s="785" t="s">
        <v>322</v>
      </c>
      <c r="AX60" s="786" t="s">
        <v>301</v>
      </c>
      <c r="AY60" s="786" t="s">
        <v>302</v>
      </c>
      <c r="AZ60" s="786" t="s">
        <v>303</v>
      </c>
      <c r="BA60" s="786" t="s">
        <v>304</v>
      </c>
      <c r="BC60" s="785" t="s">
        <v>322</v>
      </c>
      <c r="BD60" s="786" t="s">
        <v>301</v>
      </c>
      <c r="BE60" s="786" t="s">
        <v>302</v>
      </c>
      <c r="BF60" s="786" t="s">
        <v>303</v>
      </c>
      <c r="BG60" s="786" t="s">
        <v>304</v>
      </c>
      <c r="BI60" s="785" t="s">
        <v>322</v>
      </c>
      <c r="BJ60" s="786" t="s">
        <v>301</v>
      </c>
      <c r="BK60" s="786" t="s">
        <v>302</v>
      </c>
      <c r="BL60" s="786" t="s">
        <v>303</v>
      </c>
      <c r="BM60" s="786" t="s">
        <v>304</v>
      </c>
      <c r="BO60" s="785" t="s">
        <v>322</v>
      </c>
      <c r="BP60" s="786" t="s">
        <v>301</v>
      </c>
      <c r="BQ60" s="786" t="s">
        <v>302</v>
      </c>
      <c r="BR60" s="786" t="s">
        <v>303</v>
      </c>
      <c r="BS60" s="786" t="s">
        <v>304</v>
      </c>
      <c r="BU60" s="785" t="s">
        <v>322</v>
      </c>
      <c r="BV60" s="786" t="s">
        <v>301</v>
      </c>
      <c r="BW60" s="786" t="s">
        <v>302</v>
      </c>
      <c r="BX60" s="786" t="s">
        <v>303</v>
      </c>
      <c r="BY60" s="786" t="s">
        <v>304</v>
      </c>
      <c r="CA60" s="785" t="s">
        <v>322</v>
      </c>
      <c r="CB60" s="786" t="s">
        <v>301</v>
      </c>
      <c r="CC60" s="786" t="s">
        <v>302</v>
      </c>
      <c r="CD60" s="786" t="s">
        <v>303</v>
      </c>
      <c r="CE60" s="786" t="s">
        <v>304</v>
      </c>
      <c r="CG60" s="785" t="s">
        <v>322</v>
      </c>
      <c r="CH60" s="786" t="s">
        <v>301</v>
      </c>
      <c r="CI60" s="786" t="s">
        <v>302</v>
      </c>
      <c r="CJ60" s="786" t="s">
        <v>303</v>
      </c>
      <c r="CK60" s="786" t="s">
        <v>304</v>
      </c>
    </row>
    <row r="61" spans="2:90" ht="14.4" hidden="1">
      <c r="G61" s="789">
        <v>1</v>
      </c>
      <c r="H61" s="787" t="s">
        <v>305</v>
      </c>
      <c r="I61" s="787" t="s">
        <v>381</v>
      </c>
      <c r="J61" s="787" t="s">
        <v>382</v>
      </c>
      <c r="K61" s="787" t="s">
        <v>383</v>
      </c>
      <c r="M61" s="789">
        <v>1</v>
      </c>
      <c r="N61" s="787" t="s">
        <v>305</v>
      </c>
      <c r="O61" s="787" t="s">
        <v>381</v>
      </c>
      <c r="P61" s="787" t="s">
        <v>382</v>
      </c>
      <c r="Q61" s="787" t="s">
        <v>383</v>
      </c>
      <c r="S61" s="789">
        <v>1</v>
      </c>
      <c r="T61" s="787" t="s">
        <v>305</v>
      </c>
      <c r="U61" s="787" t="s">
        <v>407</v>
      </c>
      <c r="V61" s="787" t="s">
        <v>408</v>
      </c>
      <c r="W61" s="787" t="s">
        <v>409</v>
      </c>
      <c r="Y61" s="789">
        <v>1</v>
      </c>
      <c r="Z61" s="787" t="s">
        <v>305</v>
      </c>
      <c r="AA61" s="787" t="s">
        <v>571</v>
      </c>
      <c r="AB61" s="787" t="s">
        <v>431</v>
      </c>
      <c r="AC61" s="787" t="s">
        <v>572</v>
      </c>
      <c r="AE61" s="789">
        <v>1</v>
      </c>
      <c r="AF61" s="787" t="s">
        <v>305</v>
      </c>
      <c r="AG61" s="787" t="s">
        <v>340</v>
      </c>
      <c r="AH61" s="787" t="s">
        <v>442</v>
      </c>
      <c r="AI61" s="787" t="s">
        <v>326</v>
      </c>
      <c r="AK61" s="789">
        <v>1</v>
      </c>
      <c r="AL61" s="787" t="s">
        <v>305</v>
      </c>
      <c r="AM61" s="787" t="s">
        <v>444</v>
      </c>
      <c r="AN61" s="787" t="s">
        <v>613</v>
      </c>
      <c r="AO61" s="787" t="s">
        <v>614</v>
      </c>
      <c r="AQ61" s="789">
        <v>1</v>
      </c>
      <c r="AR61" s="787" t="s">
        <v>305</v>
      </c>
      <c r="AS61" s="787" t="s">
        <v>450</v>
      </c>
      <c r="AT61" s="787" t="s">
        <v>451</v>
      </c>
      <c r="AU61" s="787" t="s">
        <v>452</v>
      </c>
      <c r="AW61" s="789">
        <v>1</v>
      </c>
      <c r="AX61" s="787" t="s">
        <v>305</v>
      </c>
      <c r="AY61" s="787" t="s">
        <v>477</v>
      </c>
      <c r="AZ61" s="787" t="s">
        <v>478</v>
      </c>
      <c r="BA61" s="787" t="s">
        <v>479</v>
      </c>
      <c r="BC61" s="789">
        <v>1</v>
      </c>
      <c r="BD61" s="787" t="s">
        <v>305</v>
      </c>
      <c r="BE61" s="787" t="s">
        <v>586</v>
      </c>
      <c r="BF61" s="787" t="s">
        <v>587</v>
      </c>
      <c r="BG61" s="787" t="s">
        <v>588</v>
      </c>
      <c r="BI61" s="789">
        <v>1</v>
      </c>
      <c r="BJ61" s="787" t="s">
        <v>305</v>
      </c>
      <c r="BK61" s="787" t="s">
        <v>510</v>
      </c>
      <c r="BL61" s="787" t="s">
        <v>511</v>
      </c>
      <c r="BM61" s="787" t="s">
        <v>512</v>
      </c>
      <c r="BO61" s="789">
        <v>1</v>
      </c>
      <c r="BP61" s="787" t="s">
        <v>305</v>
      </c>
      <c r="BQ61" s="787" t="s">
        <v>525</v>
      </c>
      <c r="BR61" s="787" t="s">
        <v>526</v>
      </c>
      <c r="BS61" s="787" t="s">
        <v>585</v>
      </c>
      <c r="BU61" s="789">
        <v>1</v>
      </c>
      <c r="BV61" s="787" t="s">
        <v>305</v>
      </c>
      <c r="BW61" s="787" t="s">
        <v>550</v>
      </c>
      <c r="BX61" s="787" t="s">
        <v>341</v>
      </c>
      <c r="BY61" s="787" t="s">
        <v>551</v>
      </c>
      <c r="CA61" s="789">
        <v>1</v>
      </c>
      <c r="CB61" s="787" t="s">
        <v>305</v>
      </c>
      <c r="CC61" s="787" t="s">
        <v>552</v>
      </c>
      <c r="CD61" s="787" t="s">
        <v>553</v>
      </c>
      <c r="CE61" s="787" t="s">
        <v>554</v>
      </c>
      <c r="CG61" s="789">
        <v>1</v>
      </c>
      <c r="CH61" s="787" t="s">
        <v>305</v>
      </c>
      <c r="CI61" s="787" t="s">
        <v>340</v>
      </c>
      <c r="CJ61" s="787" t="s">
        <v>442</v>
      </c>
      <c r="CK61" s="787" t="s">
        <v>326</v>
      </c>
    </row>
    <row r="62" spans="2:90" ht="14.4" hidden="1">
      <c r="G62" s="789">
        <v>2</v>
      </c>
      <c r="H62" s="787" t="s">
        <v>306</v>
      </c>
      <c r="I62" s="787" t="s">
        <v>384</v>
      </c>
      <c r="J62" s="787" t="s">
        <v>385</v>
      </c>
      <c r="K62" s="787" t="s">
        <v>386</v>
      </c>
      <c r="M62" s="789">
        <v>2</v>
      </c>
      <c r="N62" s="787" t="s">
        <v>306</v>
      </c>
      <c r="O62" s="787" t="s">
        <v>384</v>
      </c>
      <c r="P62" s="787" t="s">
        <v>385</v>
      </c>
      <c r="Q62" s="787" t="s">
        <v>386</v>
      </c>
      <c r="S62" s="789">
        <v>2</v>
      </c>
      <c r="T62" s="787" t="s">
        <v>306</v>
      </c>
      <c r="U62" s="787" t="s">
        <v>410</v>
      </c>
      <c r="V62" s="787" t="s">
        <v>411</v>
      </c>
      <c r="W62" s="787" t="s">
        <v>412</v>
      </c>
      <c r="Y62" s="789">
        <v>2</v>
      </c>
      <c r="Z62" s="787" t="s">
        <v>306</v>
      </c>
      <c r="AA62" s="787" t="s">
        <v>612</v>
      </c>
      <c r="AB62" s="787" t="s">
        <v>573</v>
      </c>
      <c r="AC62" s="787" t="s">
        <v>574</v>
      </c>
      <c r="AE62" s="789">
        <v>2</v>
      </c>
      <c r="AF62" s="787" t="s">
        <v>306</v>
      </c>
      <c r="AG62" s="787" t="s">
        <v>307</v>
      </c>
      <c r="AH62" s="787" t="s">
        <v>339</v>
      </c>
      <c r="AI62" s="787" t="s">
        <v>327</v>
      </c>
      <c r="AK62" s="789">
        <v>2</v>
      </c>
      <c r="AL62" s="787" t="s">
        <v>306</v>
      </c>
      <c r="AM62" s="787" t="s">
        <v>615</v>
      </c>
      <c r="AN62" s="787" t="s">
        <v>616</v>
      </c>
      <c r="AO62" s="787" t="s">
        <v>617</v>
      </c>
      <c r="AQ62" s="789">
        <v>2</v>
      </c>
      <c r="AR62" s="787" t="s">
        <v>306</v>
      </c>
      <c r="AS62" s="787" t="s">
        <v>453</v>
      </c>
      <c r="AT62" s="787" t="s">
        <v>454</v>
      </c>
      <c r="AU62" s="787" t="s">
        <v>455</v>
      </c>
      <c r="AW62" s="789">
        <v>2</v>
      </c>
      <c r="AX62" s="787" t="s">
        <v>306</v>
      </c>
      <c r="AY62" s="787" t="s">
        <v>480</v>
      </c>
      <c r="AZ62" s="787" t="s">
        <v>635</v>
      </c>
      <c r="BA62" s="787" t="s">
        <v>481</v>
      </c>
      <c r="BC62" s="789">
        <v>2</v>
      </c>
      <c r="BD62" s="787" t="s">
        <v>306</v>
      </c>
      <c r="BE62" s="787" t="s">
        <v>589</v>
      </c>
      <c r="BF62" s="787" t="s">
        <v>590</v>
      </c>
      <c r="BG62" s="787" t="s">
        <v>591</v>
      </c>
      <c r="BI62" s="789">
        <v>2</v>
      </c>
      <c r="BJ62" s="787" t="s">
        <v>306</v>
      </c>
      <c r="BK62" s="787" t="s">
        <v>513</v>
      </c>
      <c r="BL62" s="787" t="s">
        <v>514</v>
      </c>
      <c r="BM62" s="787" t="s">
        <v>515</v>
      </c>
      <c r="BO62" s="789">
        <v>2</v>
      </c>
      <c r="BP62" s="787" t="s">
        <v>306</v>
      </c>
      <c r="BQ62" s="787" t="s">
        <v>527</v>
      </c>
      <c r="BR62" s="787" t="s">
        <v>528</v>
      </c>
      <c r="BS62" s="787" t="s">
        <v>529</v>
      </c>
      <c r="BU62" s="789">
        <v>2</v>
      </c>
      <c r="BV62" s="787" t="s">
        <v>306</v>
      </c>
      <c r="BW62" s="787"/>
      <c r="BX62" s="787"/>
      <c r="BY62" s="787"/>
      <c r="CA62" s="789">
        <v>2</v>
      </c>
      <c r="CB62" s="787" t="s">
        <v>306</v>
      </c>
      <c r="CC62" s="787" t="s">
        <v>555</v>
      </c>
      <c r="CD62" s="787" t="s">
        <v>556</v>
      </c>
      <c r="CE62" s="787" t="s">
        <v>557</v>
      </c>
      <c r="CG62" s="789">
        <v>2</v>
      </c>
      <c r="CH62" s="787" t="s">
        <v>306</v>
      </c>
      <c r="CI62" s="787" t="s">
        <v>307</v>
      </c>
      <c r="CJ62" s="787" t="s">
        <v>339</v>
      </c>
      <c r="CK62" s="787" t="s">
        <v>327</v>
      </c>
    </row>
    <row r="63" spans="2:90" ht="14.4" hidden="1">
      <c r="G63" s="789">
        <v>3</v>
      </c>
      <c r="H63" s="787" t="s">
        <v>308</v>
      </c>
      <c r="I63" s="787" t="s">
        <v>387</v>
      </c>
      <c r="J63" s="787" t="s">
        <v>388</v>
      </c>
      <c r="K63" s="787" t="s">
        <v>570</v>
      </c>
      <c r="M63" s="789">
        <v>3</v>
      </c>
      <c r="N63" s="787" t="s">
        <v>308</v>
      </c>
      <c r="O63" s="787" t="s">
        <v>387</v>
      </c>
      <c r="P63" s="787" t="s">
        <v>388</v>
      </c>
      <c r="Q63" s="787" t="s">
        <v>570</v>
      </c>
      <c r="S63" s="789">
        <v>3</v>
      </c>
      <c r="T63" s="787" t="s">
        <v>308</v>
      </c>
      <c r="U63" s="787" t="s">
        <v>413</v>
      </c>
      <c r="V63" s="787" t="s">
        <v>414</v>
      </c>
      <c r="W63" s="787" t="s">
        <v>415</v>
      </c>
      <c r="Y63" s="789">
        <v>3</v>
      </c>
      <c r="Z63" s="787" t="s">
        <v>308</v>
      </c>
      <c r="AA63" s="787" t="s">
        <v>575</v>
      </c>
      <c r="AB63" s="787" t="s">
        <v>576</v>
      </c>
      <c r="AC63" s="787" t="s">
        <v>432</v>
      </c>
      <c r="AE63" s="789">
        <v>3</v>
      </c>
      <c r="AF63" s="787" t="s">
        <v>308</v>
      </c>
      <c r="AG63" s="787" t="s">
        <v>341</v>
      </c>
      <c r="AH63" s="787" t="s">
        <v>338</v>
      </c>
      <c r="AI63" s="787" t="s">
        <v>328</v>
      </c>
      <c r="AK63" s="789">
        <v>3</v>
      </c>
      <c r="AL63" s="787" t="s">
        <v>308</v>
      </c>
      <c r="AM63" s="787" t="s">
        <v>445</v>
      </c>
      <c r="AN63" s="787" t="s">
        <v>618</v>
      </c>
      <c r="AO63" s="787" t="s">
        <v>446</v>
      </c>
      <c r="AQ63" s="789">
        <v>3</v>
      </c>
      <c r="AR63" s="787" t="s">
        <v>308</v>
      </c>
      <c r="AS63" s="787" t="s">
        <v>456</v>
      </c>
      <c r="AT63" s="787" t="s">
        <v>457</v>
      </c>
      <c r="AU63" s="787" t="s">
        <v>458</v>
      </c>
      <c r="AW63" s="789">
        <v>3</v>
      </c>
      <c r="AX63" s="787" t="s">
        <v>308</v>
      </c>
      <c r="AY63" s="787" t="s">
        <v>482</v>
      </c>
      <c r="AZ63" s="787" t="s">
        <v>483</v>
      </c>
      <c r="BA63" s="787" t="s">
        <v>484</v>
      </c>
      <c r="BC63" s="789">
        <v>3</v>
      </c>
      <c r="BD63" s="787" t="s">
        <v>308</v>
      </c>
      <c r="BE63" s="787" t="s">
        <v>592</v>
      </c>
      <c r="BF63" s="787" t="s">
        <v>593</v>
      </c>
      <c r="BG63" s="787" t="s">
        <v>638</v>
      </c>
      <c r="BI63" s="789">
        <v>3</v>
      </c>
      <c r="BJ63" s="787" t="s">
        <v>308</v>
      </c>
      <c r="BK63" s="787" t="s">
        <v>516</v>
      </c>
      <c r="BL63" s="787" t="s">
        <v>517</v>
      </c>
      <c r="BM63" s="787" t="s">
        <v>518</v>
      </c>
      <c r="BO63" s="789">
        <v>3</v>
      </c>
      <c r="BP63" s="787" t="s">
        <v>308</v>
      </c>
      <c r="BQ63" s="787" t="s">
        <v>530</v>
      </c>
      <c r="BR63" s="787" t="s">
        <v>531</v>
      </c>
      <c r="BS63" s="787" t="s">
        <v>532</v>
      </c>
      <c r="BU63" s="789">
        <v>3</v>
      </c>
      <c r="BV63" s="787" t="s">
        <v>308</v>
      </c>
      <c r="BW63" s="787"/>
      <c r="BX63" s="787"/>
      <c r="BY63" s="787"/>
      <c r="CA63" s="789">
        <v>3</v>
      </c>
      <c r="CB63" s="787" t="s">
        <v>308</v>
      </c>
      <c r="CC63" s="787" t="s">
        <v>558</v>
      </c>
      <c r="CD63" s="787" t="s">
        <v>559</v>
      </c>
      <c r="CE63" s="787" t="s">
        <v>560</v>
      </c>
      <c r="CG63" s="789">
        <v>3</v>
      </c>
      <c r="CH63" s="787" t="s">
        <v>308</v>
      </c>
      <c r="CI63" s="787" t="s">
        <v>341</v>
      </c>
      <c r="CJ63" s="787" t="s">
        <v>338</v>
      </c>
      <c r="CK63" s="787" t="s">
        <v>328</v>
      </c>
    </row>
    <row r="64" spans="2:90" ht="14.4" hidden="1">
      <c r="G64" s="789">
        <v>4</v>
      </c>
      <c r="H64" s="787" t="s">
        <v>309</v>
      </c>
      <c r="I64" s="787" t="s">
        <v>389</v>
      </c>
      <c r="J64" s="787" t="s">
        <v>390</v>
      </c>
      <c r="K64" s="787" t="s">
        <v>391</v>
      </c>
      <c r="M64" s="789">
        <v>4</v>
      </c>
      <c r="N64" s="787" t="s">
        <v>309</v>
      </c>
      <c r="O64" s="787" t="s">
        <v>389</v>
      </c>
      <c r="P64" s="787" t="s">
        <v>390</v>
      </c>
      <c r="Q64" s="787" t="s">
        <v>391</v>
      </c>
      <c r="S64" s="789">
        <v>4</v>
      </c>
      <c r="T64" s="787" t="s">
        <v>309</v>
      </c>
      <c r="U64" s="787" t="s">
        <v>416</v>
      </c>
      <c r="V64" s="787" t="s">
        <v>417</v>
      </c>
      <c r="W64" s="787" t="s">
        <v>418</v>
      </c>
      <c r="Y64" s="789">
        <v>4</v>
      </c>
      <c r="Z64" s="787" t="s">
        <v>309</v>
      </c>
      <c r="AA64" s="787" t="s">
        <v>577</v>
      </c>
      <c r="AB64" s="787" t="s">
        <v>578</v>
      </c>
      <c r="AC64" s="787" t="s">
        <v>433</v>
      </c>
      <c r="AE64" s="789">
        <v>4</v>
      </c>
      <c r="AF64" s="787" t="s">
        <v>309</v>
      </c>
      <c r="AG64" s="787" t="s">
        <v>342</v>
      </c>
      <c r="AH64" s="787" t="s">
        <v>337</v>
      </c>
      <c r="AI64" s="787" t="s">
        <v>329</v>
      </c>
      <c r="AK64" s="789">
        <v>4</v>
      </c>
      <c r="AL64" s="787" t="s">
        <v>309</v>
      </c>
      <c r="AM64" s="787" t="s">
        <v>619</v>
      </c>
      <c r="AN64" s="787" t="s">
        <v>620</v>
      </c>
      <c r="AO64" s="787" t="s">
        <v>621</v>
      </c>
      <c r="AQ64" s="789">
        <v>4</v>
      </c>
      <c r="AR64" s="787" t="s">
        <v>309</v>
      </c>
      <c r="AS64" s="787" t="s">
        <v>459</v>
      </c>
      <c r="AT64" s="787" t="s">
        <v>460</v>
      </c>
      <c r="AU64" s="787" t="s">
        <v>461</v>
      </c>
      <c r="AW64" s="789">
        <v>4</v>
      </c>
      <c r="AX64" s="787" t="s">
        <v>309</v>
      </c>
      <c r="AY64" s="787" t="s">
        <v>485</v>
      </c>
      <c r="AZ64" s="787" t="s">
        <v>486</v>
      </c>
      <c r="BA64" s="787" t="s">
        <v>486</v>
      </c>
      <c r="BC64" s="789">
        <v>4</v>
      </c>
      <c r="BD64" s="787" t="s">
        <v>309</v>
      </c>
      <c r="BE64" s="787" t="s">
        <v>594</v>
      </c>
      <c r="BF64" s="787" t="s">
        <v>595</v>
      </c>
      <c r="BG64" s="787" t="s">
        <v>596</v>
      </c>
      <c r="BI64" s="789">
        <v>4</v>
      </c>
      <c r="BJ64" s="787" t="s">
        <v>309</v>
      </c>
      <c r="BK64" s="787" t="s">
        <v>519</v>
      </c>
      <c r="BL64" s="787" t="s">
        <v>520</v>
      </c>
      <c r="BM64" s="787" t="s">
        <v>521</v>
      </c>
      <c r="BO64" s="789">
        <v>4</v>
      </c>
      <c r="BP64" s="787" t="s">
        <v>309</v>
      </c>
      <c r="BQ64" s="787" t="s">
        <v>533</v>
      </c>
      <c r="BR64" s="787" t="s">
        <v>534</v>
      </c>
      <c r="BS64" s="787" t="s">
        <v>535</v>
      </c>
      <c r="BU64" s="789">
        <v>4</v>
      </c>
      <c r="BV64" s="787" t="s">
        <v>309</v>
      </c>
      <c r="BW64" s="787"/>
      <c r="BX64" s="787"/>
      <c r="BY64" s="787"/>
      <c r="CA64" s="789">
        <v>4</v>
      </c>
      <c r="CB64" s="787" t="s">
        <v>309</v>
      </c>
      <c r="CC64" s="787" t="s">
        <v>561</v>
      </c>
      <c r="CD64" s="787" t="s">
        <v>562</v>
      </c>
      <c r="CE64" s="787" t="s">
        <v>563</v>
      </c>
      <c r="CG64" s="789">
        <v>4</v>
      </c>
      <c r="CH64" s="787" t="s">
        <v>309</v>
      </c>
      <c r="CI64" s="787" t="s">
        <v>342</v>
      </c>
      <c r="CJ64" s="787" t="s">
        <v>337</v>
      </c>
      <c r="CK64" s="787" t="s">
        <v>329</v>
      </c>
    </row>
    <row r="65" spans="2:90" ht="14.4" hidden="1">
      <c r="G65" s="789">
        <v>5</v>
      </c>
      <c r="H65" s="787" t="s">
        <v>310</v>
      </c>
      <c r="I65" s="787" t="s">
        <v>392</v>
      </c>
      <c r="J65" s="787" t="s">
        <v>393</v>
      </c>
      <c r="K65" s="787" t="s">
        <v>394</v>
      </c>
      <c r="M65" s="789">
        <v>5</v>
      </c>
      <c r="N65" s="787" t="s">
        <v>310</v>
      </c>
      <c r="O65" s="787" t="s">
        <v>392</v>
      </c>
      <c r="P65" s="787" t="s">
        <v>393</v>
      </c>
      <c r="Q65" s="787" t="s">
        <v>394</v>
      </c>
      <c r="S65" s="789">
        <v>5</v>
      </c>
      <c r="T65" s="787" t="s">
        <v>310</v>
      </c>
      <c r="U65" s="787" t="s">
        <v>419</v>
      </c>
      <c r="V65" s="787" t="s">
        <v>420</v>
      </c>
      <c r="W65" s="787" t="s">
        <v>421</v>
      </c>
      <c r="Y65" s="789">
        <v>5</v>
      </c>
      <c r="Z65" s="787" t="s">
        <v>310</v>
      </c>
      <c r="AA65" s="787" t="s">
        <v>434</v>
      </c>
      <c r="AB65" s="787" t="s">
        <v>579</v>
      </c>
      <c r="AC65" s="787" t="s">
        <v>580</v>
      </c>
      <c r="AE65" s="789">
        <v>5</v>
      </c>
      <c r="AF65" s="787" t="s">
        <v>310</v>
      </c>
      <c r="AG65" s="787" t="s">
        <v>343</v>
      </c>
      <c r="AH65" s="787" t="s">
        <v>336</v>
      </c>
      <c r="AI65" s="787" t="s">
        <v>330</v>
      </c>
      <c r="AK65" s="789">
        <v>5</v>
      </c>
      <c r="AL65" s="787" t="s">
        <v>310</v>
      </c>
      <c r="AM65" s="787" t="s">
        <v>622</v>
      </c>
      <c r="AN65" s="787" t="s">
        <v>623</v>
      </c>
      <c r="AO65" s="787" t="s">
        <v>624</v>
      </c>
      <c r="AQ65" s="789">
        <v>5</v>
      </c>
      <c r="AR65" s="787" t="s">
        <v>310</v>
      </c>
      <c r="AS65" s="787" t="s">
        <v>462</v>
      </c>
      <c r="AT65" s="787" t="s">
        <v>463</v>
      </c>
      <c r="AU65" s="787" t="s">
        <v>464</v>
      </c>
      <c r="AW65" s="789">
        <v>5</v>
      </c>
      <c r="AX65" s="787" t="s">
        <v>310</v>
      </c>
      <c r="AY65" s="787" t="s">
        <v>487</v>
      </c>
      <c r="AZ65" s="787" t="s">
        <v>488</v>
      </c>
      <c r="BA65" s="787" t="s">
        <v>489</v>
      </c>
      <c r="BC65" s="789">
        <v>5</v>
      </c>
      <c r="BD65" s="787" t="s">
        <v>310</v>
      </c>
      <c r="BE65" s="787" t="s">
        <v>597</v>
      </c>
      <c r="BF65" s="787" t="s">
        <v>598</v>
      </c>
      <c r="BG65" s="787" t="s">
        <v>599</v>
      </c>
      <c r="BI65" s="789">
        <v>5</v>
      </c>
      <c r="BJ65" s="787" t="s">
        <v>310</v>
      </c>
      <c r="BK65" s="787" t="s">
        <v>522</v>
      </c>
      <c r="BL65" s="787" t="s">
        <v>523</v>
      </c>
      <c r="BM65" s="787" t="s">
        <v>524</v>
      </c>
      <c r="BO65" s="789">
        <v>5</v>
      </c>
      <c r="BP65" s="787" t="s">
        <v>310</v>
      </c>
      <c r="BQ65" s="787" t="s">
        <v>536</v>
      </c>
      <c r="BR65" s="787" t="s">
        <v>537</v>
      </c>
      <c r="BS65" s="787" t="s">
        <v>538</v>
      </c>
      <c r="BU65" s="789">
        <v>5</v>
      </c>
      <c r="BV65" s="787" t="s">
        <v>310</v>
      </c>
      <c r="BW65" s="787"/>
      <c r="BX65" s="787"/>
      <c r="BY65" s="787"/>
      <c r="CA65" s="789">
        <v>5</v>
      </c>
      <c r="CB65" s="787" t="s">
        <v>310</v>
      </c>
      <c r="CC65" s="787" t="s">
        <v>564</v>
      </c>
      <c r="CD65" s="787" t="s">
        <v>565</v>
      </c>
      <c r="CE65" s="787" t="s">
        <v>566</v>
      </c>
      <c r="CG65" s="789">
        <v>5</v>
      </c>
      <c r="CH65" s="787" t="s">
        <v>310</v>
      </c>
      <c r="CI65" s="787" t="s">
        <v>343</v>
      </c>
      <c r="CJ65" s="787" t="s">
        <v>336</v>
      </c>
      <c r="CK65" s="787" t="s">
        <v>330</v>
      </c>
    </row>
    <row r="66" spans="2:90" ht="14.4" hidden="1">
      <c r="G66" s="789">
        <v>6</v>
      </c>
      <c r="H66" s="787" t="s">
        <v>311</v>
      </c>
      <c r="I66" s="787" t="s">
        <v>395</v>
      </c>
      <c r="J66" s="787" t="s">
        <v>396</v>
      </c>
      <c r="K66" s="787" t="s">
        <v>397</v>
      </c>
      <c r="M66" s="789">
        <v>6</v>
      </c>
      <c r="N66" s="787" t="s">
        <v>311</v>
      </c>
      <c r="O66" s="787" t="s">
        <v>395</v>
      </c>
      <c r="P66" s="787" t="s">
        <v>396</v>
      </c>
      <c r="Q66" s="787" t="s">
        <v>397</v>
      </c>
      <c r="S66" s="789">
        <v>6</v>
      </c>
      <c r="T66" s="787" t="s">
        <v>311</v>
      </c>
      <c r="U66" s="787" t="s">
        <v>422</v>
      </c>
      <c r="V66" s="787" t="s">
        <v>423</v>
      </c>
      <c r="W66" s="787" t="s">
        <v>424</v>
      </c>
      <c r="Y66" s="789">
        <v>6</v>
      </c>
      <c r="Z66" s="787" t="s">
        <v>311</v>
      </c>
      <c r="AA66" s="787" t="s">
        <v>435</v>
      </c>
      <c r="AB66" s="787" t="s">
        <v>436</v>
      </c>
      <c r="AC66" s="787" t="s">
        <v>437</v>
      </c>
      <c r="AE66" s="789">
        <v>6</v>
      </c>
      <c r="AF66" s="787" t="s">
        <v>311</v>
      </c>
      <c r="AG66" s="787" t="s">
        <v>344</v>
      </c>
      <c r="AH66" s="787" t="s">
        <v>335</v>
      </c>
      <c r="AI66" s="787" t="s">
        <v>331</v>
      </c>
      <c r="AK66" s="789">
        <v>6</v>
      </c>
      <c r="AL66" s="787" t="s">
        <v>311</v>
      </c>
      <c r="AM66" s="787" t="s">
        <v>625</v>
      </c>
      <c r="AN66" s="787" t="s">
        <v>447</v>
      </c>
      <c r="AO66" s="787" t="s">
        <v>448</v>
      </c>
      <c r="AQ66" s="789">
        <v>6</v>
      </c>
      <c r="AR66" s="787" t="s">
        <v>311</v>
      </c>
      <c r="AS66" s="787" t="s">
        <v>465</v>
      </c>
      <c r="AT66" s="787" t="s">
        <v>466</v>
      </c>
      <c r="AU66" s="787" t="s">
        <v>467</v>
      </c>
      <c r="AW66" s="789">
        <v>6</v>
      </c>
      <c r="AX66" s="787" t="s">
        <v>311</v>
      </c>
      <c r="AY66" s="787" t="s">
        <v>490</v>
      </c>
      <c r="AZ66" s="787" t="s">
        <v>491</v>
      </c>
      <c r="BA66" s="787" t="s">
        <v>636</v>
      </c>
      <c r="BC66" s="789">
        <v>6</v>
      </c>
      <c r="BD66" s="787" t="s">
        <v>311</v>
      </c>
      <c r="BE66" s="787" t="s">
        <v>600</v>
      </c>
      <c r="BF66" s="787" t="s">
        <v>601</v>
      </c>
      <c r="BG66" s="787" t="s">
        <v>602</v>
      </c>
      <c r="BI66" s="789">
        <v>6</v>
      </c>
      <c r="BJ66" s="787" t="s">
        <v>311</v>
      </c>
      <c r="BK66" s="787" t="s">
        <v>522</v>
      </c>
      <c r="BL66" s="787" t="s">
        <v>523</v>
      </c>
      <c r="BM66" s="787" t="s">
        <v>524</v>
      </c>
      <c r="BO66" s="789">
        <v>6</v>
      </c>
      <c r="BP66" s="787" t="s">
        <v>311</v>
      </c>
      <c r="BQ66" s="787" t="s">
        <v>637</v>
      </c>
      <c r="BR66" s="787" t="s">
        <v>539</v>
      </c>
      <c r="BS66" s="787" t="s">
        <v>540</v>
      </c>
      <c r="BU66" s="789">
        <v>6</v>
      </c>
      <c r="BV66" s="787" t="s">
        <v>311</v>
      </c>
      <c r="BW66" s="787"/>
      <c r="BX66" s="787"/>
      <c r="BY66" s="787"/>
      <c r="CA66" s="789">
        <v>6</v>
      </c>
      <c r="CB66" s="787" t="s">
        <v>311</v>
      </c>
      <c r="CC66" s="787"/>
      <c r="CD66" s="787"/>
      <c r="CE66" s="787"/>
      <c r="CG66" s="789">
        <v>6</v>
      </c>
      <c r="CH66" s="787" t="s">
        <v>311</v>
      </c>
      <c r="CI66" s="787" t="s">
        <v>344</v>
      </c>
      <c r="CJ66" s="787" t="s">
        <v>335</v>
      </c>
      <c r="CK66" s="787" t="s">
        <v>331</v>
      </c>
    </row>
    <row r="67" spans="2:90" ht="14.4" hidden="1">
      <c r="G67" s="789">
        <v>7</v>
      </c>
      <c r="H67" s="787" t="s">
        <v>312</v>
      </c>
      <c r="I67" s="787" t="s">
        <v>398</v>
      </c>
      <c r="J67" s="787" t="s">
        <v>399</v>
      </c>
      <c r="K67" s="787" t="s">
        <v>400</v>
      </c>
      <c r="M67" s="789">
        <v>7</v>
      </c>
      <c r="N67" s="787" t="s">
        <v>312</v>
      </c>
      <c r="O67" s="787" t="s">
        <v>398</v>
      </c>
      <c r="P67" s="787" t="s">
        <v>399</v>
      </c>
      <c r="Q67" s="787" t="s">
        <v>400</v>
      </c>
      <c r="S67" s="789">
        <v>7</v>
      </c>
      <c r="T67" s="787" t="s">
        <v>312</v>
      </c>
      <c r="U67" s="787" t="s">
        <v>425</v>
      </c>
      <c r="V67" s="787" t="s">
        <v>426</v>
      </c>
      <c r="W67" s="787" t="s">
        <v>427</v>
      </c>
      <c r="Y67" s="789">
        <v>7</v>
      </c>
      <c r="Z67" s="787" t="s">
        <v>312</v>
      </c>
      <c r="AA67" s="787" t="s">
        <v>581</v>
      </c>
      <c r="AB67" s="787" t="s">
        <v>438</v>
      </c>
      <c r="AC67" s="787" t="s">
        <v>439</v>
      </c>
      <c r="AE67" s="789">
        <v>7</v>
      </c>
      <c r="AF67" s="787" t="s">
        <v>312</v>
      </c>
      <c r="AG67" s="787" t="s">
        <v>345</v>
      </c>
      <c r="AH67" s="787" t="s">
        <v>334</v>
      </c>
      <c r="AI67" s="787" t="s">
        <v>325</v>
      </c>
      <c r="AK67" s="789">
        <v>7</v>
      </c>
      <c r="AL67" s="787" t="s">
        <v>312</v>
      </c>
      <c r="AM67" s="787" t="s">
        <v>626</v>
      </c>
      <c r="AN67" s="787" t="s">
        <v>627</v>
      </c>
      <c r="AO67" s="787" t="s">
        <v>628</v>
      </c>
      <c r="AQ67" s="789">
        <v>7</v>
      </c>
      <c r="AR67" s="787" t="s">
        <v>312</v>
      </c>
      <c r="AS67" s="787" t="s">
        <v>468</v>
      </c>
      <c r="AT67" s="787" t="s">
        <v>469</v>
      </c>
      <c r="AU67" s="787" t="s">
        <v>470</v>
      </c>
      <c r="AW67" s="789">
        <v>7</v>
      </c>
      <c r="AX67" s="787" t="s">
        <v>312</v>
      </c>
      <c r="AY67" s="787" t="s">
        <v>492</v>
      </c>
      <c r="AZ67" s="787" t="s">
        <v>493</v>
      </c>
      <c r="BA67" s="787" t="s">
        <v>494</v>
      </c>
      <c r="BC67" s="789">
        <v>7</v>
      </c>
      <c r="BD67" s="787" t="s">
        <v>312</v>
      </c>
      <c r="BE67" s="787" t="s">
        <v>603</v>
      </c>
      <c r="BF67" s="787" t="s">
        <v>604</v>
      </c>
      <c r="BG67" s="787" t="s">
        <v>605</v>
      </c>
      <c r="BI67" s="789">
        <v>7</v>
      </c>
      <c r="BJ67" s="787" t="s">
        <v>312</v>
      </c>
      <c r="BK67" s="787"/>
      <c r="BL67" s="787"/>
      <c r="BM67" s="787"/>
      <c r="BO67" s="789">
        <v>7</v>
      </c>
      <c r="BP67" s="787" t="s">
        <v>312</v>
      </c>
      <c r="BQ67" s="787" t="s">
        <v>541</v>
      </c>
      <c r="BR67" s="787" t="s">
        <v>542</v>
      </c>
      <c r="BS67" s="787" t="s">
        <v>543</v>
      </c>
      <c r="BU67" s="789">
        <v>7</v>
      </c>
      <c r="BV67" s="787" t="s">
        <v>312</v>
      </c>
      <c r="BW67" s="787"/>
      <c r="BX67" s="787"/>
      <c r="BY67" s="787"/>
      <c r="CA67" s="789">
        <v>7</v>
      </c>
      <c r="CB67" s="787" t="s">
        <v>312</v>
      </c>
      <c r="CC67" s="787"/>
      <c r="CD67" s="787"/>
      <c r="CE67" s="787"/>
      <c r="CG67" s="789">
        <v>7</v>
      </c>
      <c r="CH67" s="787" t="s">
        <v>312</v>
      </c>
      <c r="CI67" s="787" t="s">
        <v>345</v>
      </c>
      <c r="CJ67" s="787" t="s">
        <v>334</v>
      </c>
      <c r="CK67" s="787" t="s">
        <v>325</v>
      </c>
    </row>
    <row r="68" spans="2:90" ht="14.4" hidden="1">
      <c r="G68" s="789">
        <v>8</v>
      </c>
      <c r="H68" s="787" t="s">
        <v>313</v>
      </c>
      <c r="I68" s="787" t="s">
        <v>401</v>
      </c>
      <c r="J68" s="787" t="s">
        <v>402</v>
      </c>
      <c r="K68" s="787" t="s">
        <v>403</v>
      </c>
      <c r="M68" s="789">
        <v>8</v>
      </c>
      <c r="N68" s="787" t="s">
        <v>313</v>
      </c>
      <c r="O68" s="787" t="s">
        <v>401</v>
      </c>
      <c r="P68" s="787" t="s">
        <v>402</v>
      </c>
      <c r="Q68" s="787" t="s">
        <v>403</v>
      </c>
      <c r="S68" s="789">
        <v>8</v>
      </c>
      <c r="T68" s="787" t="s">
        <v>313</v>
      </c>
      <c r="U68" s="787" t="s">
        <v>428</v>
      </c>
      <c r="V68" s="787" t="s">
        <v>429</v>
      </c>
      <c r="W68" s="787" t="s">
        <v>430</v>
      </c>
      <c r="Y68" s="789">
        <v>8</v>
      </c>
      <c r="Z68" s="787" t="s">
        <v>313</v>
      </c>
      <c r="AA68" s="787" t="s">
        <v>440</v>
      </c>
      <c r="AB68" s="787" t="s">
        <v>582</v>
      </c>
      <c r="AC68" s="787" t="s">
        <v>583</v>
      </c>
      <c r="AE68" s="789">
        <v>8</v>
      </c>
      <c r="AF68" s="787" t="s">
        <v>313</v>
      </c>
      <c r="AG68" s="787" t="s">
        <v>346</v>
      </c>
      <c r="AH68" s="787" t="s">
        <v>333</v>
      </c>
      <c r="AI68" s="787" t="s">
        <v>324</v>
      </c>
      <c r="AK68" s="789">
        <v>8</v>
      </c>
      <c r="AL68" s="787" t="s">
        <v>313</v>
      </c>
      <c r="AM68" s="787" t="s">
        <v>629</v>
      </c>
      <c r="AN68" s="787" t="s">
        <v>449</v>
      </c>
      <c r="AO68" s="787" t="s">
        <v>630</v>
      </c>
      <c r="AQ68" s="789">
        <v>8</v>
      </c>
      <c r="AR68" s="787" t="s">
        <v>313</v>
      </c>
      <c r="AS68" s="787" t="s">
        <v>471</v>
      </c>
      <c r="AT68" s="787" t="s">
        <v>472</v>
      </c>
      <c r="AU68" s="787" t="s">
        <v>473</v>
      </c>
      <c r="AW68" s="789">
        <v>8</v>
      </c>
      <c r="AX68" s="787" t="s">
        <v>313</v>
      </c>
      <c r="AY68" s="787" t="s">
        <v>495</v>
      </c>
      <c r="AZ68" s="787" t="s">
        <v>496</v>
      </c>
      <c r="BA68" s="787" t="s">
        <v>497</v>
      </c>
      <c r="BC68" s="789">
        <v>8</v>
      </c>
      <c r="BD68" s="787" t="s">
        <v>313</v>
      </c>
      <c r="BE68" s="787" t="s">
        <v>606</v>
      </c>
      <c r="BF68" s="787" t="s">
        <v>607</v>
      </c>
      <c r="BG68" s="787" t="s">
        <v>608</v>
      </c>
      <c r="BI68" s="789">
        <v>8</v>
      </c>
      <c r="BJ68" s="787" t="s">
        <v>313</v>
      </c>
      <c r="BK68" s="787"/>
      <c r="BL68" s="787"/>
      <c r="BM68" s="787"/>
      <c r="BO68" s="789">
        <v>8</v>
      </c>
      <c r="BP68" s="787" t="s">
        <v>313</v>
      </c>
      <c r="BQ68" s="787" t="s">
        <v>544</v>
      </c>
      <c r="BR68" s="787" t="s">
        <v>545</v>
      </c>
      <c r="BS68" s="787" t="s">
        <v>546</v>
      </c>
      <c r="BU68" s="789">
        <v>8</v>
      </c>
      <c r="BV68" s="787" t="s">
        <v>313</v>
      </c>
      <c r="BW68" s="787"/>
      <c r="BX68" s="787"/>
      <c r="BY68" s="787"/>
      <c r="CA68" s="789">
        <v>8</v>
      </c>
      <c r="CB68" s="787" t="s">
        <v>313</v>
      </c>
      <c r="CC68" s="787"/>
      <c r="CD68" s="787"/>
      <c r="CE68" s="787"/>
      <c r="CG68" s="789">
        <v>8</v>
      </c>
      <c r="CH68" s="787" t="s">
        <v>313</v>
      </c>
      <c r="CI68" s="787" t="s">
        <v>346</v>
      </c>
      <c r="CJ68" s="787" t="s">
        <v>333</v>
      </c>
      <c r="CK68" s="787" t="s">
        <v>324</v>
      </c>
    </row>
    <row r="69" spans="2:90" ht="14.4" hidden="1">
      <c r="G69" s="789">
        <v>9</v>
      </c>
      <c r="H69" s="787" t="s">
        <v>314</v>
      </c>
      <c r="I69" s="787" t="s">
        <v>404</v>
      </c>
      <c r="J69" s="787" t="s">
        <v>405</v>
      </c>
      <c r="K69" s="787" t="s">
        <v>406</v>
      </c>
      <c r="M69" s="789">
        <v>9</v>
      </c>
      <c r="N69" s="787" t="s">
        <v>314</v>
      </c>
      <c r="O69" s="787" t="s">
        <v>404</v>
      </c>
      <c r="P69" s="787" t="s">
        <v>405</v>
      </c>
      <c r="Q69" s="787" t="s">
        <v>406</v>
      </c>
      <c r="S69" s="789">
        <v>9</v>
      </c>
      <c r="T69" s="787" t="s">
        <v>314</v>
      </c>
      <c r="U69" s="787" t="s">
        <v>663</v>
      </c>
      <c r="V69" s="787" t="s">
        <v>664</v>
      </c>
      <c r="W69" s="787" t="s">
        <v>665</v>
      </c>
      <c r="Y69" s="789">
        <v>9</v>
      </c>
      <c r="Z69" s="787" t="s">
        <v>314</v>
      </c>
      <c r="AA69" s="787" t="s">
        <v>584</v>
      </c>
      <c r="AB69" s="787" t="s">
        <v>332</v>
      </c>
      <c r="AC69" s="787" t="s">
        <v>441</v>
      </c>
      <c r="AE69" s="789">
        <v>9</v>
      </c>
      <c r="AF69" s="787" t="s">
        <v>314</v>
      </c>
      <c r="AG69" s="787" t="s">
        <v>443</v>
      </c>
      <c r="AH69" s="787" t="s">
        <v>332</v>
      </c>
      <c r="AI69" s="787" t="s">
        <v>323</v>
      </c>
      <c r="AK69" s="789">
        <v>9</v>
      </c>
      <c r="AL69" s="787" t="s">
        <v>314</v>
      </c>
      <c r="AM69" s="787" t="s">
        <v>631</v>
      </c>
      <c r="AN69" s="787" t="s">
        <v>632</v>
      </c>
      <c r="AO69" s="787" t="s">
        <v>633</v>
      </c>
      <c r="AQ69" s="789">
        <v>9</v>
      </c>
      <c r="AR69" s="787" t="s">
        <v>314</v>
      </c>
      <c r="AS69" s="787" t="s">
        <v>474</v>
      </c>
      <c r="AT69" s="787" t="s">
        <v>475</v>
      </c>
      <c r="AU69" s="787" t="s">
        <v>476</v>
      </c>
      <c r="AW69" s="789">
        <v>9</v>
      </c>
      <c r="AX69" s="787" t="s">
        <v>314</v>
      </c>
      <c r="AY69" s="787" t="s">
        <v>498</v>
      </c>
      <c r="AZ69" s="787" t="s">
        <v>499</v>
      </c>
      <c r="BA69" s="787" t="s">
        <v>500</v>
      </c>
      <c r="BC69" s="789">
        <v>9</v>
      </c>
      <c r="BD69" s="787" t="s">
        <v>314</v>
      </c>
      <c r="BE69" s="787" t="s">
        <v>609</v>
      </c>
      <c r="BF69" s="787" t="s">
        <v>610</v>
      </c>
      <c r="BG69" s="787" t="s">
        <v>611</v>
      </c>
      <c r="BI69" s="789">
        <v>9</v>
      </c>
      <c r="BJ69" s="787" t="s">
        <v>314</v>
      </c>
      <c r="BK69" s="787"/>
      <c r="BL69" s="787"/>
      <c r="BM69" s="787"/>
      <c r="BO69" s="789">
        <v>9</v>
      </c>
      <c r="BP69" s="787" t="s">
        <v>314</v>
      </c>
      <c r="BQ69" s="787" t="s">
        <v>547</v>
      </c>
      <c r="BR69" s="787" t="s">
        <v>548</v>
      </c>
      <c r="BS69" s="787" t="s">
        <v>549</v>
      </c>
      <c r="BU69" s="789">
        <v>9</v>
      </c>
      <c r="BV69" s="787" t="s">
        <v>314</v>
      </c>
      <c r="BW69" s="787"/>
      <c r="BX69" s="787"/>
      <c r="BY69" s="787"/>
      <c r="CA69" s="789">
        <v>9</v>
      </c>
      <c r="CB69" s="787" t="s">
        <v>314</v>
      </c>
      <c r="CC69" s="787"/>
      <c r="CD69" s="787"/>
      <c r="CE69" s="787"/>
      <c r="CG69" s="789">
        <v>9</v>
      </c>
      <c r="CH69" s="787" t="s">
        <v>314</v>
      </c>
      <c r="CI69" s="787" t="s">
        <v>443</v>
      </c>
      <c r="CJ69" s="787" t="s">
        <v>332</v>
      </c>
      <c r="CK69" s="787" t="s">
        <v>323</v>
      </c>
    </row>
    <row r="70" spans="2:90" ht="14.4" hidden="1">
      <c r="G70" s="789">
        <v>10</v>
      </c>
      <c r="H70" s="787" t="s">
        <v>316</v>
      </c>
      <c r="I70" s="787" t="s">
        <v>667</v>
      </c>
      <c r="J70" s="787" t="s">
        <v>668</v>
      </c>
      <c r="K70" s="787" t="s">
        <v>669</v>
      </c>
      <c r="M70" s="789">
        <v>10</v>
      </c>
      <c r="N70" s="787" t="s">
        <v>316</v>
      </c>
      <c r="O70" s="787" t="s">
        <v>667</v>
      </c>
      <c r="P70" s="787" t="s">
        <v>668</v>
      </c>
      <c r="Q70" s="787" t="s">
        <v>669</v>
      </c>
      <c r="S70" s="789">
        <v>10</v>
      </c>
      <c r="T70" s="787" t="s">
        <v>316</v>
      </c>
      <c r="U70" s="787" t="s">
        <v>665</v>
      </c>
      <c r="V70" s="787" t="s">
        <v>666</v>
      </c>
      <c r="W70" s="787" t="s">
        <v>666</v>
      </c>
      <c r="Y70" s="789">
        <v>10</v>
      </c>
      <c r="Z70" s="787" t="s">
        <v>316</v>
      </c>
      <c r="AA70" s="787"/>
      <c r="AB70" s="787"/>
      <c r="AC70" s="787"/>
      <c r="AE70" s="789">
        <v>10</v>
      </c>
      <c r="AF70" s="787" t="s">
        <v>316</v>
      </c>
      <c r="AG70" s="787"/>
      <c r="AH70" s="787"/>
      <c r="AI70" s="787"/>
      <c r="AK70" s="789">
        <v>10</v>
      </c>
      <c r="AL70" s="787" t="s">
        <v>316</v>
      </c>
      <c r="AM70" s="787"/>
      <c r="AN70" s="787"/>
      <c r="AO70" s="787"/>
      <c r="AQ70" s="789">
        <v>10</v>
      </c>
      <c r="AR70" s="787" t="s">
        <v>316</v>
      </c>
      <c r="AS70" s="787"/>
      <c r="AT70" s="787"/>
      <c r="AU70" s="787"/>
      <c r="AW70" s="789">
        <v>10</v>
      </c>
      <c r="AX70" s="787" t="s">
        <v>316</v>
      </c>
      <c r="AY70" s="787" t="s">
        <v>501</v>
      </c>
      <c r="AZ70" s="787" t="s">
        <v>502</v>
      </c>
      <c r="BA70" s="787" t="s">
        <v>503</v>
      </c>
      <c r="BC70" s="789">
        <v>10</v>
      </c>
      <c r="BD70" s="787" t="s">
        <v>316</v>
      </c>
      <c r="BE70" s="787" t="s">
        <v>332</v>
      </c>
      <c r="BF70" s="787" t="s">
        <v>672</v>
      </c>
      <c r="BG70" s="787" t="s">
        <v>673</v>
      </c>
      <c r="BI70" s="789">
        <v>10</v>
      </c>
      <c r="BJ70" s="787" t="s">
        <v>316</v>
      </c>
      <c r="BK70" s="787"/>
      <c r="BL70" s="787"/>
      <c r="BM70" s="787"/>
      <c r="BO70" s="789">
        <v>10</v>
      </c>
      <c r="BP70" s="787" t="s">
        <v>316</v>
      </c>
      <c r="BQ70" s="787"/>
      <c r="BR70" s="787"/>
      <c r="BS70" s="787"/>
      <c r="BU70" s="789">
        <v>10</v>
      </c>
      <c r="BV70" s="787" t="s">
        <v>316</v>
      </c>
      <c r="BW70" s="787"/>
      <c r="BX70" s="787"/>
      <c r="BY70" s="787"/>
      <c r="CA70" s="789">
        <v>10</v>
      </c>
      <c r="CB70" s="787" t="s">
        <v>316</v>
      </c>
      <c r="CC70" s="787"/>
      <c r="CD70" s="787"/>
      <c r="CE70" s="787"/>
      <c r="CG70" s="789">
        <v>10</v>
      </c>
      <c r="CH70" s="787" t="s">
        <v>316</v>
      </c>
      <c r="CI70" s="787"/>
      <c r="CJ70" s="787"/>
      <c r="CK70" s="787"/>
    </row>
    <row r="71" spans="2:90" ht="14.4" hidden="1">
      <c r="G71" s="789">
        <v>11</v>
      </c>
      <c r="H71" s="787" t="s">
        <v>317</v>
      </c>
      <c r="I71" s="787" t="s">
        <v>665</v>
      </c>
      <c r="J71" s="787" t="s">
        <v>670</v>
      </c>
      <c r="K71" s="787" t="s">
        <v>671</v>
      </c>
      <c r="M71" s="789">
        <v>11</v>
      </c>
      <c r="N71" s="787" t="s">
        <v>317</v>
      </c>
      <c r="O71" s="787" t="s">
        <v>665</v>
      </c>
      <c r="P71" s="787" t="s">
        <v>670</v>
      </c>
      <c r="Q71" s="787" t="s">
        <v>671</v>
      </c>
      <c r="S71" s="789">
        <v>11</v>
      </c>
      <c r="T71" s="787" t="s">
        <v>317</v>
      </c>
      <c r="U71" s="842" t="s">
        <v>665</v>
      </c>
      <c r="V71" s="842" t="s">
        <v>670</v>
      </c>
      <c r="W71" s="842" t="s">
        <v>671</v>
      </c>
      <c r="Y71" s="789">
        <v>11</v>
      </c>
      <c r="Z71" s="787" t="s">
        <v>317</v>
      </c>
      <c r="AA71" s="787"/>
      <c r="AB71" s="787"/>
      <c r="AC71" s="787"/>
      <c r="AE71" s="789">
        <v>11</v>
      </c>
      <c r="AF71" s="787" t="s">
        <v>317</v>
      </c>
      <c r="AG71" s="787"/>
      <c r="AH71" s="787"/>
      <c r="AI71" s="787"/>
      <c r="AK71" s="789">
        <v>11</v>
      </c>
      <c r="AL71" s="787" t="s">
        <v>317</v>
      </c>
      <c r="AM71" s="787"/>
      <c r="AN71" s="787"/>
      <c r="AO71" s="787"/>
      <c r="AQ71" s="789">
        <v>11</v>
      </c>
      <c r="AR71" s="787" t="s">
        <v>317</v>
      </c>
      <c r="AS71" s="787"/>
      <c r="AT71" s="787"/>
      <c r="AU71" s="787"/>
      <c r="AW71" s="789">
        <v>11</v>
      </c>
      <c r="AX71" s="787" t="s">
        <v>317</v>
      </c>
      <c r="AY71" s="787" t="s">
        <v>504</v>
      </c>
      <c r="AZ71" s="787" t="s">
        <v>505</v>
      </c>
      <c r="BA71" s="787" t="s">
        <v>506</v>
      </c>
      <c r="BC71" s="789">
        <v>11</v>
      </c>
      <c r="BD71" s="787" t="s">
        <v>317</v>
      </c>
      <c r="BE71" s="787" t="s">
        <v>325</v>
      </c>
      <c r="BF71" s="787" t="s">
        <v>345</v>
      </c>
      <c r="BG71" s="787" t="s">
        <v>674</v>
      </c>
      <c r="BI71" s="789">
        <v>11</v>
      </c>
      <c r="BJ71" s="787" t="s">
        <v>317</v>
      </c>
      <c r="BK71" s="787"/>
      <c r="BL71" s="787"/>
      <c r="BM71" s="787"/>
      <c r="BO71" s="789">
        <v>11</v>
      </c>
      <c r="BP71" s="787" t="s">
        <v>317</v>
      </c>
      <c r="BQ71" s="787"/>
      <c r="BR71" s="787"/>
      <c r="BS71" s="787"/>
      <c r="BU71" s="789">
        <v>11</v>
      </c>
      <c r="BV71" s="787" t="s">
        <v>317</v>
      </c>
      <c r="BW71" s="787"/>
      <c r="BX71" s="787"/>
      <c r="BY71" s="787"/>
      <c r="CA71" s="789">
        <v>11</v>
      </c>
      <c r="CB71" s="787" t="s">
        <v>317</v>
      </c>
      <c r="CC71" s="787"/>
      <c r="CD71" s="787"/>
      <c r="CE71" s="787"/>
      <c r="CG71" s="789">
        <v>11</v>
      </c>
      <c r="CH71" s="787" t="s">
        <v>317</v>
      </c>
      <c r="CI71" s="787"/>
      <c r="CJ71" s="787"/>
      <c r="CK71" s="787"/>
    </row>
    <row r="72" spans="2:90" ht="14.4" hidden="1">
      <c r="G72" s="789">
        <v>12</v>
      </c>
      <c r="H72" s="787" t="s">
        <v>318</v>
      </c>
      <c r="I72" s="842" t="s">
        <v>677</v>
      </c>
      <c r="J72" s="787" t="s">
        <v>677</v>
      </c>
      <c r="K72" s="787" t="s">
        <v>677</v>
      </c>
      <c r="M72" s="789">
        <v>12</v>
      </c>
      <c r="N72" s="787" t="s">
        <v>318</v>
      </c>
      <c r="O72" s="787"/>
      <c r="P72" s="787"/>
      <c r="Q72" s="787"/>
      <c r="S72" s="789">
        <v>12</v>
      </c>
      <c r="T72" s="787" t="s">
        <v>318</v>
      </c>
      <c r="U72" s="787"/>
      <c r="V72" s="787"/>
      <c r="W72" s="787"/>
      <c r="Y72" s="789">
        <v>12</v>
      </c>
      <c r="Z72" s="787" t="s">
        <v>318</v>
      </c>
      <c r="AA72" s="787"/>
      <c r="AB72" s="787"/>
      <c r="AC72" s="787"/>
      <c r="AE72" s="789">
        <v>12</v>
      </c>
      <c r="AF72" s="787" t="s">
        <v>318</v>
      </c>
      <c r="AG72" s="787"/>
      <c r="AH72" s="787"/>
      <c r="AI72" s="787"/>
      <c r="AK72" s="789">
        <v>12</v>
      </c>
      <c r="AL72" s="787" t="s">
        <v>318</v>
      </c>
      <c r="AM72" s="787" t="s">
        <v>634</v>
      </c>
      <c r="AN72" s="787"/>
      <c r="AO72" s="787"/>
      <c r="AQ72" s="789">
        <v>12</v>
      </c>
      <c r="AR72" s="787" t="s">
        <v>318</v>
      </c>
      <c r="AS72" s="787"/>
      <c r="AT72" s="787"/>
      <c r="AU72" s="787"/>
      <c r="AW72" s="789">
        <v>12</v>
      </c>
      <c r="AX72" s="787" t="s">
        <v>318</v>
      </c>
      <c r="AY72" s="787" t="s">
        <v>507</v>
      </c>
      <c r="AZ72" s="787" t="s">
        <v>508</v>
      </c>
      <c r="BA72" s="787" t="s">
        <v>509</v>
      </c>
      <c r="BC72" s="789">
        <v>12</v>
      </c>
      <c r="BD72" s="787" t="s">
        <v>318</v>
      </c>
      <c r="BE72" s="787" t="s">
        <v>343</v>
      </c>
      <c r="BF72" s="787" t="s">
        <v>678</v>
      </c>
      <c r="BG72" s="787" t="s">
        <v>679</v>
      </c>
      <c r="BI72" s="789">
        <v>12</v>
      </c>
      <c r="BJ72" s="787" t="s">
        <v>318</v>
      </c>
      <c r="BK72" s="787"/>
      <c r="BL72" s="787"/>
      <c r="BM72" s="787"/>
      <c r="BO72" s="789">
        <v>12</v>
      </c>
      <c r="BP72" s="787" t="s">
        <v>318</v>
      </c>
      <c r="BQ72" s="787"/>
      <c r="BR72" s="787"/>
      <c r="BS72" s="787"/>
      <c r="BU72" s="789">
        <v>12</v>
      </c>
      <c r="BV72" s="787" t="s">
        <v>318</v>
      </c>
      <c r="BW72" s="787"/>
      <c r="BX72" s="787"/>
      <c r="BY72" s="787"/>
      <c r="CA72" s="789">
        <v>12</v>
      </c>
      <c r="CB72" s="787" t="s">
        <v>318</v>
      </c>
      <c r="CC72" s="787"/>
      <c r="CD72" s="787"/>
      <c r="CE72" s="787"/>
      <c r="CG72" s="789">
        <v>12</v>
      </c>
      <c r="CH72" s="787" t="s">
        <v>318</v>
      </c>
      <c r="CI72" s="787"/>
      <c r="CJ72" s="787"/>
      <c r="CK72" s="787"/>
    </row>
    <row r="73" spans="2:90" ht="14.4" hidden="1">
      <c r="G73" s="789">
        <v>13</v>
      </c>
      <c r="H73" s="787" t="s">
        <v>319</v>
      </c>
      <c r="I73" s="842" t="s">
        <v>677</v>
      </c>
      <c r="J73" s="787" t="s">
        <v>677</v>
      </c>
      <c r="K73" s="787" t="s">
        <v>677</v>
      </c>
      <c r="M73" s="789">
        <v>13</v>
      </c>
      <c r="N73" s="787" t="s">
        <v>319</v>
      </c>
      <c r="O73" s="787"/>
      <c r="P73" s="787"/>
      <c r="Q73" s="787"/>
      <c r="S73" s="789">
        <v>13</v>
      </c>
      <c r="T73" s="787" t="s">
        <v>319</v>
      </c>
      <c r="U73" s="787"/>
      <c r="V73" s="787"/>
      <c r="W73" s="787"/>
      <c r="Y73" s="789">
        <v>13</v>
      </c>
      <c r="Z73" s="787" t="s">
        <v>319</v>
      </c>
      <c r="AA73" s="787"/>
      <c r="AB73" s="787"/>
      <c r="AC73" s="787"/>
      <c r="AE73" s="789">
        <v>13</v>
      </c>
      <c r="AF73" s="787" t="s">
        <v>319</v>
      </c>
      <c r="AG73" s="787"/>
      <c r="AH73" s="787"/>
      <c r="AI73" s="787"/>
      <c r="AK73" s="789">
        <v>13</v>
      </c>
      <c r="AL73" s="787" t="s">
        <v>319</v>
      </c>
      <c r="AM73" s="787"/>
      <c r="AN73" s="787"/>
      <c r="AO73" s="787"/>
      <c r="AQ73" s="789">
        <v>13</v>
      </c>
      <c r="AR73" s="787" t="s">
        <v>319</v>
      </c>
      <c r="AS73" s="787"/>
      <c r="AT73" s="787"/>
      <c r="AU73" s="787"/>
      <c r="AW73" s="789">
        <v>13</v>
      </c>
      <c r="AX73" s="787" t="s">
        <v>319</v>
      </c>
      <c r="AY73" s="787"/>
      <c r="AZ73" s="787"/>
      <c r="BA73" s="787"/>
      <c r="BC73" s="789">
        <v>13</v>
      </c>
      <c r="BD73" s="787" t="s">
        <v>319</v>
      </c>
      <c r="BE73" s="787"/>
      <c r="BF73" s="787"/>
      <c r="BG73" s="787"/>
      <c r="BI73" s="789">
        <v>13</v>
      </c>
      <c r="BJ73" s="787" t="s">
        <v>319</v>
      </c>
      <c r="BK73" s="787"/>
      <c r="BL73" s="787"/>
      <c r="BM73" s="787"/>
      <c r="BO73" s="789">
        <v>13</v>
      </c>
      <c r="BP73" s="787" t="s">
        <v>319</v>
      </c>
      <c r="BQ73" s="787"/>
      <c r="BR73" s="787"/>
      <c r="BS73" s="787"/>
      <c r="BU73" s="789">
        <v>13</v>
      </c>
      <c r="BV73" s="787" t="s">
        <v>319</v>
      </c>
      <c r="BW73" s="787"/>
      <c r="BX73" s="787"/>
      <c r="BY73" s="787"/>
      <c r="CA73" s="789">
        <v>13</v>
      </c>
      <c r="CB73" s="787" t="s">
        <v>319</v>
      </c>
      <c r="CC73" s="787"/>
      <c r="CD73" s="787"/>
      <c r="CE73" s="787"/>
      <c r="CG73" s="789">
        <v>13</v>
      </c>
      <c r="CH73" s="787" t="s">
        <v>319</v>
      </c>
      <c r="CI73" s="787"/>
      <c r="CJ73" s="787"/>
      <c r="CK73" s="787"/>
    </row>
    <row r="74" spans="2:90" ht="14.4" hidden="1">
      <c r="G74" s="789">
        <v>14</v>
      </c>
      <c r="H74" s="787" t="s">
        <v>320</v>
      </c>
      <c r="I74" s="787"/>
      <c r="J74" s="787"/>
      <c r="K74" s="787"/>
      <c r="M74" s="789">
        <v>14</v>
      </c>
      <c r="N74" s="787" t="s">
        <v>320</v>
      </c>
      <c r="O74" s="787"/>
      <c r="P74" s="787"/>
      <c r="Q74" s="787"/>
      <c r="S74" s="789">
        <v>14</v>
      </c>
      <c r="T74" s="787" t="s">
        <v>320</v>
      </c>
      <c r="U74" s="787"/>
      <c r="V74" s="787"/>
      <c r="W74" s="787"/>
      <c r="Y74" s="789">
        <v>14</v>
      </c>
      <c r="Z74" s="787" t="s">
        <v>320</v>
      </c>
      <c r="AA74" s="787"/>
      <c r="AB74" s="787"/>
      <c r="AC74" s="787"/>
      <c r="AE74" s="789">
        <v>14</v>
      </c>
      <c r="AF74" s="787" t="s">
        <v>320</v>
      </c>
      <c r="AG74" s="787"/>
      <c r="AH74" s="787"/>
      <c r="AI74" s="787"/>
      <c r="AK74" s="789">
        <v>14</v>
      </c>
      <c r="AL74" s="787" t="s">
        <v>320</v>
      </c>
      <c r="AM74" s="787"/>
      <c r="AN74" s="787"/>
      <c r="AO74" s="787"/>
      <c r="AQ74" s="789">
        <v>14</v>
      </c>
      <c r="AR74" s="787" t="s">
        <v>320</v>
      </c>
      <c r="AS74" s="787"/>
      <c r="AT74" s="787"/>
      <c r="AU74" s="787"/>
      <c r="AW74" s="789">
        <v>14</v>
      </c>
      <c r="AX74" s="787" t="s">
        <v>320</v>
      </c>
      <c r="AY74" s="787"/>
      <c r="AZ74" s="787"/>
      <c r="BA74" s="787"/>
      <c r="BC74" s="789">
        <v>14</v>
      </c>
      <c r="BD74" s="787" t="s">
        <v>320</v>
      </c>
      <c r="BE74" s="787"/>
      <c r="BF74" s="787"/>
      <c r="BG74" s="787"/>
      <c r="BI74" s="789">
        <v>14</v>
      </c>
      <c r="BJ74" s="787" t="s">
        <v>320</v>
      </c>
      <c r="BK74" s="787"/>
      <c r="BL74" s="787"/>
      <c r="BM74" s="787"/>
      <c r="BO74" s="789">
        <v>14</v>
      </c>
      <c r="BP74" s="787" t="s">
        <v>320</v>
      </c>
      <c r="BQ74" s="787"/>
      <c r="BR74" s="787"/>
      <c r="BS74" s="787"/>
      <c r="BU74" s="789">
        <v>14</v>
      </c>
      <c r="BV74" s="787" t="s">
        <v>320</v>
      </c>
      <c r="BW74" s="787"/>
      <c r="BX74" s="787"/>
      <c r="BY74" s="787"/>
      <c r="CA74" s="789">
        <v>14</v>
      </c>
      <c r="CB74" s="787" t="s">
        <v>320</v>
      </c>
      <c r="CC74" s="787"/>
      <c r="CD74" s="787"/>
      <c r="CE74" s="787"/>
      <c r="CG74" s="789">
        <v>14</v>
      </c>
      <c r="CH74" s="787" t="s">
        <v>320</v>
      </c>
      <c r="CI74" s="787"/>
      <c r="CJ74" s="787"/>
      <c r="CK74" s="787"/>
    </row>
    <row r="75" spans="2:90" ht="14.4" hidden="1">
      <c r="G75" s="789">
        <v>15</v>
      </c>
      <c r="H75" s="787" t="s">
        <v>321</v>
      </c>
      <c r="I75" s="787"/>
      <c r="J75" s="787"/>
      <c r="K75" s="787"/>
      <c r="M75" s="789">
        <v>15</v>
      </c>
      <c r="N75" s="787" t="s">
        <v>321</v>
      </c>
      <c r="O75" s="787"/>
      <c r="P75" s="787"/>
      <c r="Q75" s="787"/>
      <c r="S75" s="789">
        <v>15</v>
      </c>
      <c r="T75" s="787" t="s">
        <v>321</v>
      </c>
      <c r="U75" s="787"/>
      <c r="V75" s="787"/>
      <c r="W75" s="787"/>
      <c r="Y75" s="789">
        <v>15</v>
      </c>
      <c r="Z75" s="787" t="s">
        <v>321</v>
      </c>
      <c r="AA75" s="787"/>
      <c r="AB75" s="787"/>
      <c r="AC75" s="787"/>
      <c r="AE75" s="789">
        <v>15</v>
      </c>
      <c r="AF75" s="787" t="s">
        <v>321</v>
      </c>
      <c r="AG75" s="787"/>
      <c r="AH75" s="787"/>
      <c r="AI75" s="787"/>
      <c r="AK75" s="789">
        <v>15</v>
      </c>
      <c r="AL75" s="787" t="s">
        <v>321</v>
      </c>
      <c r="AM75" s="787"/>
      <c r="AN75" s="787"/>
      <c r="AO75" s="787"/>
      <c r="AQ75" s="789">
        <v>15</v>
      </c>
      <c r="AR75" s="787" t="s">
        <v>321</v>
      </c>
      <c r="AS75" s="787"/>
      <c r="AT75" s="787"/>
      <c r="AU75" s="787"/>
      <c r="AW75" s="789">
        <v>15</v>
      </c>
      <c r="AX75" s="787" t="s">
        <v>321</v>
      </c>
      <c r="AY75" s="787"/>
      <c r="AZ75" s="787"/>
      <c r="BA75" s="787"/>
      <c r="BC75" s="789">
        <v>15</v>
      </c>
      <c r="BD75" s="787" t="s">
        <v>321</v>
      </c>
      <c r="BE75" s="787"/>
      <c r="BF75" s="787"/>
      <c r="BG75" s="787"/>
      <c r="BI75" s="789">
        <v>15</v>
      </c>
      <c r="BJ75" s="787" t="s">
        <v>321</v>
      </c>
      <c r="BK75" s="787"/>
      <c r="BL75" s="787"/>
      <c r="BM75" s="787"/>
      <c r="BO75" s="789">
        <v>15</v>
      </c>
      <c r="BP75" s="787" t="s">
        <v>321</v>
      </c>
      <c r="BQ75" s="787"/>
      <c r="BR75" s="787"/>
      <c r="BS75" s="787"/>
      <c r="BU75" s="789">
        <v>15</v>
      </c>
      <c r="BV75" s="787" t="s">
        <v>321</v>
      </c>
      <c r="BW75" s="787"/>
      <c r="BX75" s="787"/>
      <c r="BY75" s="787"/>
      <c r="CA75" s="789">
        <v>15</v>
      </c>
      <c r="CB75" s="787" t="s">
        <v>321</v>
      </c>
      <c r="CC75" s="787"/>
      <c r="CD75" s="787"/>
      <c r="CE75" s="787"/>
      <c r="CG75" s="789">
        <v>15</v>
      </c>
      <c r="CH75" s="787" t="s">
        <v>321</v>
      </c>
      <c r="CI75" s="787"/>
      <c r="CJ75" s="787"/>
      <c r="CK75" s="787"/>
    </row>
    <row r="76" spans="2:90" hidden="1"/>
    <row r="77" spans="2:90" customFormat="1" ht="14.4" hidden="1">
      <c r="B77" s="798">
        <v>1</v>
      </c>
      <c r="C77" s="798">
        <v>2</v>
      </c>
      <c r="D77" s="798">
        <v>3</v>
      </c>
      <c r="E77" s="798">
        <v>4</v>
      </c>
      <c r="F77" s="798">
        <v>5</v>
      </c>
      <c r="G77" s="798">
        <v>6</v>
      </c>
      <c r="H77" s="798">
        <v>7</v>
      </c>
      <c r="I77" s="798">
        <v>8</v>
      </c>
      <c r="J77" s="798">
        <v>9</v>
      </c>
      <c r="K77" s="798">
        <v>10</v>
      </c>
      <c r="L77" s="798">
        <v>11</v>
      </c>
      <c r="M77" s="798">
        <v>12</v>
      </c>
      <c r="N77" s="798">
        <v>13</v>
      </c>
      <c r="O77" s="798">
        <v>14</v>
      </c>
      <c r="P77" s="798">
        <v>15</v>
      </c>
      <c r="Q77" s="798">
        <v>16</v>
      </c>
      <c r="R77" s="798">
        <v>17</v>
      </c>
      <c r="S77" s="798">
        <v>18</v>
      </c>
      <c r="T77" s="798">
        <v>19</v>
      </c>
      <c r="U77" s="798">
        <v>20</v>
      </c>
      <c r="V77" s="798">
        <v>21</v>
      </c>
      <c r="W77" s="798">
        <v>22</v>
      </c>
      <c r="X77" s="798">
        <v>23</v>
      </c>
      <c r="Y77" s="798">
        <v>24</v>
      </c>
      <c r="Z77" s="798">
        <v>25</v>
      </c>
      <c r="AA77" s="798">
        <v>26</v>
      </c>
      <c r="AB77" s="798">
        <v>27</v>
      </c>
      <c r="AC77" s="798">
        <v>28</v>
      </c>
      <c r="AD77" s="798">
        <v>29</v>
      </c>
      <c r="AE77" s="798">
        <v>30</v>
      </c>
      <c r="AF77" s="798">
        <v>31</v>
      </c>
      <c r="AG77" s="798">
        <v>32</v>
      </c>
      <c r="AH77" s="798">
        <v>33</v>
      </c>
      <c r="AI77" s="798">
        <v>34</v>
      </c>
      <c r="AJ77" s="798">
        <v>35</v>
      </c>
      <c r="AK77" s="798">
        <v>36</v>
      </c>
      <c r="AL77" s="798">
        <v>37</v>
      </c>
      <c r="AM77" s="798">
        <v>38</v>
      </c>
      <c r="AN77" s="798">
        <v>39</v>
      </c>
      <c r="AO77" s="798">
        <v>40</v>
      </c>
      <c r="AP77" s="798">
        <v>41</v>
      </c>
      <c r="AQ77" s="798">
        <v>42</v>
      </c>
      <c r="AR77" s="798">
        <v>43</v>
      </c>
      <c r="AS77" s="798">
        <v>44</v>
      </c>
      <c r="AT77" s="798">
        <v>45</v>
      </c>
      <c r="AU77" s="798">
        <v>46</v>
      </c>
      <c r="AV77" s="798">
        <v>47</v>
      </c>
      <c r="AW77" s="798">
        <v>48</v>
      </c>
      <c r="AX77" s="798">
        <v>49</v>
      </c>
      <c r="AY77" s="798">
        <v>50</v>
      </c>
      <c r="AZ77" s="798">
        <v>51</v>
      </c>
      <c r="BA77" s="798">
        <v>52</v>
      </c>
      <c r="BB77" s="798">
        <v>53</v>
      </c>
      <c r="BC77" s="798">
        <v>54</v>
      </c>
      <c r="BD77" s="798">
        <v>55</v>
      </c>
      <c r="BE77" s="798">
        <v>56</v>
      </c>
      <c r="BF77" s="798">
        <v>57</v>
      </c>
      <c r="BG77" s="798">
        <v>58</v>
      </c>
      <c r="BH77" s="798">
        <v>59</v>
      </c>
      <c r="BI77" s="798">
        <v>60</v>
      </c>
      <c r="BJ77" s="798">
        <v>61</v>
      </c>
      <c r="BK77" s="798">
        <v>62</v>
      </c>
      <c r="BL77" s="798">
        <v>63</v>
      </c>
      <c r="BM77" s="798">
        <v>64</v>
      </c>
      <c r="BN77" s="798">
        <v>65</v>
      </c>
      <c r="BO77" s="798">
        <v>66</v>
      </c>
      <c r="BP77" s="798">
        <v>67</v>
      </c>
      <c r="BQ77" s="798">
        <v>68</v>
      </c>
      <c r="BR77" s="798">
        <v>69</v>
      </c>
      <c r="BS77" s="798">
        <v>70</v>
      </c>
      <c r="BT77" s="798">
        <v>71</v>
      </c>
      <c r="BU77" s="798">
        <v>72</v>
      </c>
      <c r="BV77" s="798">
        <v>73</v>
      </c>
      <c r="BW77" s="798">
        <v>74</v>
      </c>
      <c r="BX77" s="798">
        <v>75</v>
      </c>
      <c r="BY77" s="798">
        <v>76</v>
      </c>
      <c r="BZ77" s="798">
        <v>77</v>
      </c>
      <c r="CA77" s="798">
        <v>78</v>
      </c>
      <c r="CB77" s="798">
        <v>79</v>
      </c>
      <c r="CC77" s="798">
        <v>80</v>
      </c>
      <c r="CD77" s="798">
        <v>81</v>
      </c>
      <c r="CE77" s="798">
        <v>82</v>
      </c>
      <c r="CF77" s="798">
        <v>83</v>
      </c>
      <c r="CG77" s="798">
        <v>84</v>
      </c>
      <c r="CH77" s="798">
        <v>85</v>
      </c>
      <c r="CI77" s="798">
        <v>86</v>
      </c>
      <c r="CJ77" s="798">
        <v>87</v>
      </c>
      <c r="CK77" s="798">
        <v>88</v>
      </c>
      <c r="CL77" s="798">
        <v>89</v>
      </c>
    </row>
  </sheetData>
  <sheetProtection algorithmName="SHA-512" hashValue="G2nxOiZGedyW7wEhCl2Pqoe618FHVosnCD7i81jD6+COg6XHpFl4vxLEigZpn8DWjoVqVuHyv7lI9AJao/i/2A==" saltValue="MZ6PGuuwIoGdEMf64kn3Xw==" spinCount="100000" sheet="1" objects="1" scenarios="1"/>
  <mergeCells count="16">
    <mergeCell ref="BU1:BY1"/>
    <mergeCell ref="CA1:CE1"/>
    <mergeCell ref="CG1:CK1"/>
    <mergeCell ref="D2:E2"/>
    <mergeCell ref="M1:Q1"/>
    <mergeCell ref="S1:W1"/>
    <mergeCell ref="Y1:AC1"/>
    <mergeCell ref="AE1:AI1"/>
    <mergeCell ref="AK1:AO1"/>
    <mergeCell ref="AQ1:AU1"/>
    <mergeCell ref="AW1:BA1"/>
    <mergeCell ref="BC1:BG1"/>
    <mergeCell ref="BI1:BM1"/>
    <mergeCell ref="BO1:BS1"/>
    <mergeCell ref="B1:F1"/>
    <mergeCell ref="G1:K1"/>
  </mergeCells>
  <conditionalFormatting sqref="G3:H12">
    <cfRule type="expression" dxfId="419" priority="430">
      <formula>LEN(G3)&gt;=4</formula>
    </cfRule>
    <cfRule type="cellIs" dxfId="418" priority="431" operator="lessThan">
      <formula>5</formula>
    </cfRule>
    <cfRule type="cellIs" dxfId="417" priority="432" operator="greaterThan">
      <formula>8</formula>
    </cfRule>
  </conditionalFormatting>
  <conditionalFormatting sqref="J3:K12">
    <cfRule type="expression" dxfId="416" priority="427">
      <formula>LEN(J3)&gt;=4</formula>
    </cfRule>
    <cfRule type="cellIs" dxfId="415" priority="428" operator="lessThan">
      <formula>5</formula>
    </cfRule>
    <cfRule type="cellIs" dxfId="414" priority="429" operator="greaterThan">
      <formula>8</formula>
    </cfRule>
  </conditionalFormatting>
  <conditionalFormatting sqref="G13:H57">
    <cfRule type="expression" dxfId="413" priority="421">
      <formula>LEN(G13)&gt;=4</formula>
    </cfRule>
    <cfRule type="cellIs" dxfId="412" priority="422" operator="lessThan">
      <formula>5</formula>
    </cfRule>
    <cfRule type="cellIs" dxfId="411" priority="423" operator="greaterThan">
      <formula>8</formula>
    </cfRule>
  </conditionalFormatting>
  <conditionalFormatting sqref="J13:K57">
    <cfRule type="expression" dxfId="410" priority="418">
      <formula>LEN(J13)&gt;=4</formula>
    </cfRule>
    <cfRule type="cellIs" dxfId="409" priority="419" operator="lessThan">
      <formula>5</formula>
    </cfRule>
    <cfRule type="cellIs" dxfId="408" priority="420" operator="greaterThan">
      <formula>8</formula>
    </cfRule>
  </conditionalFormatting>
  <conditionalFormatting sqref="M3:N12">
    <cfRule type="expression" dxfId="407" priority="178">
      <formula>LEN(M3)&gt;=4</formula>
    </cfRule>
    <cfRule type="cellIs" dxfId="406" priority="179" operator="lessThan">
      <formula>5</formula>
    </cfRule>
    <cfRule type="cellIs" dxfId="405" priority="180" operator="greaterThan">
      <formula>8</formula>
    </cfRule>
  </conditionalFormatting>
  <conditionalFormatting sqref="P3:Q12">
    <cfRule type="expression" dxfId="404" priority="175">
      <formula>LEN(P3)&gt;=4</formula>
    </cfRule>
    <cfRule type="cellIs" dxfId="403" priority="176" operator="lessThan">
      <formula>5</formula>
    </cfRule>
    <cfRule type="cellIs" dxfId="402" priority="177" operator="greaterThan">
      <formula>8</formula>
    </cfRule>
  </conditionalFormatting>
  <conditionalFormatting sqref="M13:N57">
    <cfRule type="expression" dxfId="401" priority="172">
      <formula>LEN(M13)&gt;=4</formula>
    </cfRule>
    <cfRule type="cellIs" dxfId="400" priority="173" operator="lessThan">
      <formula>5</formula>
    </cfRule>
    <cfRule type="cellIs" dxfId="399" priority="174" operator="greaterThan">
      <formula>8</formula>
    </cfRule>
  </conditionalFormatting>
  <conditionalFormatting sqref="P13:Q57">
    <cfRule type="expression" dxfId="398" priority="169">
      <formula>LEN(P13)&gt;=4</formula>
    </cfRule>
    <cfRule type="cellIs" dxfId="397" priority="170" operator="lessThan">
      <formula>5</formula>
    </cfRule>
    <cfRule type="cellIs" dxfId="396" priority="171" operator="greaterThan">
      <formula>8</formula>
    </cfRule>
  </conditionalFormatting>
  <conditionalFormatting sqref="S3:T12">
    <cfRule type="expression" dxfId="395" priority="166">
      <formula>LEN(S3)&gt;=4</formula>
    </cfRule>
    <cfRule type="cellIs" dxfId="394" priority="167" operator="lessThan">
      <formula>5</formula>
    </cfRule>
    <cfRule type="cellIs" dxfId="393" priority="168" operator="greaterThan">
      <formula>8</formula>
    </cfRule>
  </conditionalFormatting>
  <conditionalFormatting sqref="V3:W12">
    <cfRule type="expression" dxfId="392" priority="163">
      <formula>LEN(V3)&gt;=4</formula>
    </cfRule>
    <cfRule type="cellIs" dxfId="391" priority="164" operator="lessThan">
      <formula>5</formula>
    </cfRule>
    <cfRule type="cellIs" dxfId="390" priority="165" operator="greaterThan">
      <formula>8</formula>
    </cfRule>
  </conditionalFormatting>
  <conditionalFormatting sqref="S13:T57">
    <cfRule type="expression" dxfId="389" priority="160">
      <formula>LEN(S13)&gt;=4</formula>
    </cfRule>
    <cfRule type="cellIs" dxfId="388" priority="161" operator="lessThan">
      <formula>5</formula>
    </cfRule>
    <cfRule type="cellIs" dxfId="387" priority="162" operator="greaterThan">
      <formula>8</formula>
    </cfRule>
  </conditionalFormatting>
  <conditionalFormatting sqref="V13:W57">
    <cfRule type="expression" dxfId="386" priority="157">
      <formula>LEN(V13)&gt;=4</formula>
    </cfRule>
    <cfRule type="cellIs" dxfId="385" priority="158" operator="lessThan">
      <formula>5</formula>
    </cfRule>
    <cfRule type="cellIs" dxfId="384" priority="159" operator="greaterThan">
      <formula>8</formula>
    </cfRule>
  </conditionalFormatting>
  <conditionalFormatting sqref="Y3:Z12">
    <cfRule type="expression" dxfId="383" priority="154">
      <formula>LEN(Y3)&gt;=4</formula>
    </cfRule>
    <cfRule type="cellIs" dxfId="382" priority="155" operator="lessThan">
      <formula>5</formula>
    </cfRule>
    <cfRule type="cellIs" dxfId="381" priority="156" operator="greaterThan">
      <formula>8</formula>
    </cfRule>
  </conditionalFormatting>
  <conditionalFormatting sqref="AB3:AC12">
    <cfRule type="expression" dxfId="380" priority="151">
      <formula>LEN(AB3)&gt;=4</formula>
    </cfRule>
    <cfRule type="cellIs" dxfId="379" priority="152" operator="lessThan">
      <formula>5</formula>
    </cfRule>
    <cfRule type="cellIs" dxfId="378" priority="153" operator="greaterThan">
      <formula>8</formula>
    </cfRule>
  </conditionalFormatting>
  <conditionalFormatting sqref="Y13:Z57">
    <cfRule type="expression" dxfId="377" priority="148">
      <formula>LEN(Y13)&gt;=4</formula>
    </cfRule>
    <cfRule type="cellIs" dxfId="376" priority="149" operator="lessThan">
      <formula>5</formula>
    </cfRule>
    <cfRule type="cellIs" dxfId="375" priority="150" operator="greaterThan">
      <formula>8</formula>
    </cfRule>
  </conditionalFormatting>
  <conditionalFormatting sqref="AB13:AC57">
    <cfRule type="expression" dxfId="374" priority="145">
      <formula>LEN(AB13)&gt;=4</formula>
    </cfRule>
    <cfRule type="cellIs" dxfId="373" priority="146" operator="lessThan">
      <formula>5</formula>
    </cfRule>
    <cfRule type="cellIs" dxfId="372" priority="147" operator="greaterThan">
      <formula>8</formula>
    </cfRule>
  </conditionalFormatting>
  <conditionalFormatting sqref="AE3:AF12">
    <cfRule type="expression" dxfId="371" priority="142">
      <formula>LEN(AE3)&gt;=4</formula>
    </cfRule>
    <cfRule type="cellIs" dxfId="370" priority="143" operator="lessThan">
      <formula>5</formula>
    </cfRule>
    <cfRule type="cellIs" dxfId="369" priority="144" operator="greaterThan">
      <formula>8</formula>
    </cfRule>
  </conditionalFormatting>
  <conditionalFormatting sqref="AH3:AI12">
    <cfRule type="expression" dxfId="368" priority="139">
      <formula>LEN(AH3)&gt;=4</formula>
    </cfRule>
    <cfRule type="cellIs" dxfId="367" priority="140" operator="lessThan">
      <formula>5</formula>
    </cfRule>
    <cfRule type="cellIs" dxfId="366" priority="141" operator="greaterThan">
      <formula>8</formula>
    </cfRule>
  </conditionalFormatting>
  <conditionalFormatting sqref="AE13:AF57">
    <cfRule type="expression" dxfId="365" priority="136">
      <formula>LEN(AE13)&gt;=4</formula>
    </cfRule>
    <cfRule type="cellIs" dxfId="364" priority="137" operator="lessThan">
      <formula>5</formula>
    </cfRule>
    <cfRule type="cellIs" dxfId="363" priority="138" operator="greaterThan">
      <formula>8</formula>
    </cfRule>
  </conditionalFormatting>
  <conditionalFormatting sqref="AH13:AI57">
    <cfRule type="expression" dxfId="362" priority="133">
      <formula>LEN(AH13)&gt;=4</formula>
    </cfRule>
    <cfRule type="cellIs" dxfId="361" priority="134" operator="lessThan">
      <formula>5</formula>
    </cfRule>
    <cfRule type="cellIs" dxfId="360" priority="135" operator="greaterThan">
      <formula>8</formula>
    </cfRule>
  </conditionalFormatting>
  <conditionalFormatting sqref="AK3:AL12">
    <cfRule type="expression" dxfId="359" priority="130">
      <formula>LEN(AK3)&gt;=4</formula>
    </cfRule>
    <cfRule type="cellIs" dxfId="358" priority="131" operator="lessThan">
      <formula>5</formula>
    </cfRule>
    <cfRule type="cellIs" dxfId="357" priority="132" operator="greaterThan">
      <formula>8</formula>
    </cfRule>
  </conditionalFormatting>
  <conditionalFormatting sqref="AN3:AO12">
    <cfRule type="expression" dxfId="356" priority="127">
      <formula>LEN(AN3)&gt;=4</formula>
    </cfRule>
    <cfRule type="cellIs" dxfId="355" priority="128" operator="lessThan">
      <formula>5</formula>
    </cfRule>
    <cfRule type="cellIs" dxfId="354" priority="129" operator="greaterThan">
      <formula>8</formula>
    </cfRule>
  </conditionalFormatting>
  <conditionalFormatting sqref="AK13:AL57">
    <cfRule type="expression" dxfId="353" priority="124">
      <formula>LEN(AK13)&gt;=4</formula>
    </cfRule>
    <cfRule type="cellIs" dxfId="352" priority="125" operator="lessThan">
      <formula>5</formula>
    </cfRule>
    <cfRule type="cellIs" dxfId="351" priority="126" operator="greaterThan">
      <formula>8</formula>
    </cfRule>
  </conditionalFormatting>
  <conditionalFormatting sqref="AN13:AO57">
    <cfRule type="expression" dxfId="350" priority="121">
      <formula>LEN(AN13)&gt;=4</formula>
    </cfRule>
    <cfRule type="cellIs" dxfId="349" priority="122" operator="lessThan">
      <formula>5</formula>
    </cfRule>
    <cfRule type="cellIs" dxfId="348" priority="123" operator="greaterThan">
      <formula>8</formula>
    </cfRule>
  </conditionalFormatting>
  <conditionalFormatting sqref="AQ3:AR12">
    <cfRule type="expression" dxfId="347" priority="118">
      <formula>LEN(AQ3)&gt;=4</formula>
    </cfRule>
    <cfRule type="cellIs" dxfId="346" priority="119" operator="lessThan">
      <formula>5</formula>
    </cfRule>
    <cfRule type="cellIs" dxfId="345" priority="120" operator="greaterThan">
      <formula>8</formula>
    </cfRule>
  </conditionalFormatting>
  <conditionalFormatting sqref="AT3:AU12">
    <cfRule type="expression" dxfId="344" priority="115">
      <formula>LEN(AT3)&gt;=4</formula>
    </cfRule>
    <cfRule type="cellIs" dxfId="343" priority="116" operator="lessThan">
      <formula>5</formula>
    </cfRule>
    <cfRule type="cellIs" dxfId="342" priority="117" operator="greaterThan">
      <formula>8</formula>
    </cfRule>
  </conditionalFormatting>
  <conditionalFormatting sqref="AQ13:AR57">
    <cfRule type="expression" dxfId="341" priority="112">
      <formula>LEN(AQ13)&gt;=4</formula>
    </cfRule>
    <cfRule type="cellIs" dxfId="340" priority="113" operator="lessThan">
      <formula>5</formula>
    </cfRule>
    <cfRule type="cellIs" dxfId="339" priority="114" operator="greaterThan">
      <formula>8</formula>
    </cfRule>
  </conditionalFormatting>
  <conditionalFormatting sqref="AT13:AU57">
    <cfRule type="expression" dxfId="338" priority="109">
      <formula>LEN(AT13)&gt;=4</formula>
    </cfRule>
    <cfRule type="cellIs" dxfId="337" priority="110" operator="lessThan">
      <formula>5</formula>
    </cfRule>
    <cfRule type="cellIs" dxfId="336" priority="111" operator="greaterThan">
      <formula>8</formula>
    </cfRule>
  </conditionalFormatting>
  <conditionalFormatting sqref="AW3:AX12">
    <cfRule type="expression" dxfId="335" priority="106">
      <formula>LEN(AW3)&gt;=4</formula>
    </cfRule>
    <cfRule type="cellIs" dxfId="334" priority="107" operator="lessThan">
      <formula>5</formula>
    </cfRule>
    <cfRule type="cellIs" dxfId="333" priority="108" operator="greaterThan">
      <formula>8</formula>
    </cfRule>
  </conditionalFormatting>
  <conditionalFormatting sqref="AZ3:BA12">
    <cfRule type="expression" dxfId="332" priority="103">
      <formula>LEN(AZ3)&gt;=4</formula>
    </cfRule>
    <cfRule type="cellIs" dxfId="331" priority="104" operator="lessThan">
      <formula>5</formula>
    </cfRule>
    <cfRule type="cellIs" dxfId="330" priority="105" operator="greaterThan">
      <formula>8</formula>
    </cfRule>
  </conditionalFormatting>
  <conditionalFormatting sqref="AW13:AX57">
    <cfRule type="expression" dxfId="329" priority="100">
      <formula>LEN(AW13)&gt;=4</formula>
    </cfRule>
    <cfRule type="cellIs" dxfId="328" priority="101" operator="lessThan">
      <formula>5</formula>
    </cfRule>
    <cfRule type="cellIs" dxfId="327" priority="102" operator="greaterThan">
      <formula>8</formula>
    </cfRule>
  </conditionalFormatting>
  <conditionalFormatting sqref="AZ13:BA57">
    <cfRule type="expression" dxfId="326" priority="97">
      <formula>LEN(AZ13)&gt;=4</formula>
    </cfRule>
    <cfRule type="cellIs" dxfId="325" priority="98" operator="lessThan">
      <formula>5</formula>
    </cfRule>
    <cfRule type="cellIs" dxfId="324" priority="99" operator="greaterThan">
      <formula>8</formula>
    </cfRule>
  </conditionalFormatting>
  <conditionalFormatting sqref="BC3:BD12">
    <cfRule type="expression" dxfId="323" priority="94">
      <formula>LEN(BC3)&gt;=4</formula>
    </cfRule>
    <cfRule type="cellIs" dxfId="322" priority="95" operator="lessThan">
      <formula>5</formula>
    </cfRule>
    <cfRule type="cellIs" dxfId="321" priority="96" operator="greaterThan">
      <formula>8</formula>
    </cfRule>
  </conditionalFormatting>
  <conditionalFormatting sqref="BF3:BG12">
    <cfRule type="expression" dxfId="320" priority="91">
      <formula>LEN(BF3)&gt;=4</formula>
    </cfRule>
    <cfRule type="cellIs" dxfId="319" priority="92" operator="lessThan">
      <formula>5</formula>
    </cfRule>
    <cfRule type="cellIs" dxfId="318" priority="93" operator="greaterThan">
      <formula>8</formula>
    </cfRule>
  </conditionalFormatting>
  <conditionalFormatting sqref="BC13:BD57">
    <cfRule type="expression" dxfId="317" priority="88">
      <formula>LEN(BC13)&gt;=4</formula>
    </cfRule>
    <cfRule type="cellIs" dxfId="316" priority="89" operator="lessThan">
      <formula>5</formula>
    </cfRule>
    <cfRule type="cellIs" dxfId="315" priority="90" operator="greaterThan">
      <formula>8</formula>
    </cfRule>
  </conditionalFormatting>
  <conditionalFormatting sqref="BF13:BG57">
    <cfRule type="expression" dxfId="314" priority="85">
      <formula>LEN(BF13)&gt;=4</formula>
    </cfRule>
    <cfRule type="cellIs" dxfId="313" priority="86" operator="lessThan">
      <formula>5</formula>
    </cfRule>
    <cfRule type="cellIs" dxfId="312" priority="87" operator="greaterThan">
      <formula>8</formula>
    </cfRule>
  </conditionalFormatting>
  <conditionalFormatting sqref="BI3:BJ12">
    <cfRule type="expression" dxfId="311" priority="82">
      <formula>LEN(BI3)&gt;=4</formula>
    </cfRule>
    <cfRule type="cellIs" dxfId="310" priority="83" operator="lessThan">
      <formula>5</formula>
    </cfRule>
    <cfRule type="cellIs" dxfId="309" priority="84" operator="greaterThan">
      <formula>8</formula>
    </cfRule>
  </conditionalFormatting>
  <conditionalFormatting sqref="BL3:BM12">
    <cfRule type="expression" dxfId="308" priority="79">
      <formula>LEN(BL3)&gt;=4</formula>
    </cfRule>
    <cfRule type="cellIs" dxfId="307" priority="80" operator="lessThan">
      <formula>5</formula>
    </cfRule>
    <cfRule type="cellIs" dxfId="306" priority="81" operator="greaterThan">
      <formula>8</formula>
    </cfRule>
  </conditionalFormatting>
  <conditionalFormatting sqref="BI13:BJ57">
    <cfRule type="expression" dxfId="305" priority="76">
      <formula>LEN(BI13)&gt;=4</formula>
    </cfRule>
    <cfRule type="cellIs" dxfId="304" priority="77" operator="lessThan">
      <formula>5</formula>
    </cfRule>
    <cfRule type="cellIs" dxfId="303" priority="78" operator="greaterThan">
      <formula>8</formula>
    </cfRule>
  </conditionalFormatting>
  <conditionalFormatting sqref="BL13:BM57">
    <cfRule type="expression" dxfId="302" priority="73">
      <formula>LEN(BL13)&gt;=4</formula>
    </cfRule>
    <cfRule type="cellIs" dxfId="301" priority="74" operator="lessThan">
      <formula>5</formula>
    </cfRule>
    <cfRule type="cellIs" dxfId="300" priority="75" operator="greaterThan">
      <formula>8</formula>
    </cfRule>
  </conditionalFormatting>
  <conditionalFormatting sqref="BO3:BP12">
    <cfRule type="expression" dxfId="299" priority="70">
      <formula>LEN(BO3)&gt;=4</formula>
    </cfRule>
    <cfRule type="cellIs" dxfId="298" priority="71" operator="lessThan">
      <formula>5</formula>
    </cfRule>
    <cfRule type="cellIs" dxfId="297" priority="72" operator="greaterThan">
      <formula>8</formula>
    </cfRule>
  </conditionalFormatting>
  <conditionalFormatting sqref="BR3:BS12">
    <cfRule type="expression" dxfId="296" priority="67">
      <formula>LEN(BR3)&gt;=4</formula>
    </cfRule>
    <cfRule type="cellIs" dxfId="295" priority="68" operator="lessThan">
      <formula>5</formula>
    </cfRule>
    <cfRule type="cellIs" dxfId="294" priority="69" operator="greaterThan">
      <formula>8</formula>
    </cfRule>
  </conditionalFormatting>
  <conditionalFormatting sqref="BO13:BP57">
    <cfRule type="expression" dxfId="293" priority="64">
      <formula>LEN(BO13)&gt;=4</formula>
    </cfRule>
    <cfRule type="cellIs" dxfId="292" priority="65" operator="lessThan">
      <formula>5</formula>
    </cfRule>
    <cfRule type="cellIs" dxfId="291" priority="66" operator="greaterThan">
      <formula>8</formula>
    </cfRule>
  </conditionalFormatting>
  <conditionalFormatting sqref="BR13:BS57">
    <cfRule type="expression" dxfId="290" priority="61">
      <formula>LEN(BR13)&gt;=4</formula>
    </cfRule>
    <cfRule type="cellIs" dxfId="289" priority="62" operator="lessThan">
      <formula>5</formula>
    </cfRule>
    <cfRule type="cellIs" dxfId="288" priority="63" operator="greaterThan">
      <formula>8</formula>
    </cfRule>
  </conditionalFormatting>
  <conditionalFormatting sqref="BU3:BV12">
    <cfRule type="expression" dxfId="287" priority="58">
      <formula>LEN(BU3)&gt;=4</formula>
    </cfRule>
    <cfRule type="cellIs" dxfId="286" priority="59" operator="lessThan">
      <formula>5</formula>
    </cfRule>
    <cfRule type="cellIs" dxfId="285" priority="60" operator="greaterThan">
      <formula>8</formula>
    </cfRule>
  </conditionalFormatting>
  <conditionalFormatting sqref="BX3:BY12">
    <cfRule type="expression" dxfId="284" priority="55">
      <formula>LEN(BX3)&gt;=4</formula>
    </cfRule>
    <cfRule type="cellIs" dxfId="283" priority="56" operator="lessThan">
      <formula>5</formula>
    </cfRule>
    <cfRule type="cellIs" dxfId="282" priority="57" operator="greaterThan">
      <formula>8</formula>
    </cfRule>
  </conditionalFormatting>
  <conditionalFormatting sqref="BU13:BV57">
    <cfRule type="expression" dxfId="281" priority="52">
      <formula>LEN(BU13)&gt;=4</formula>
    </cfRule>
    <cfRule type="cellIs" dxfId="280" priority="53" operator="lessThan">
      <formula>5</formula>
    </cfRule>
    <cfRule type="cellIs" dxfId="279" priority="54" operator="greaterThan">
      <formula>8</formula>
    </cfRule>
  </conditionalFormatting>
  <conditionalFormatting sqref="BX13:BY57">
    <cfRule type="expression" dxfId="278" priority="49">
      <formula>LEN(BX13)&gt;=4</formula>
    </cfRule>
    <cfRule type="cellIs" dxfId="277" priority="50" operator="lessThan">
      <formula>5</formula>
    </cfRule>
    <cfRule type="cellIs" dxfId="276" priority="51" operator="greaterThan">
      <formula>8</formula>
    </cfRule>
  </conditionalFormatting>
  <conditionalFormatting sqref="CA3:CB12">
    <cfRule type="expression" dxfId="275" priority="46">
      <formula>LEN(CA3)&gt;=4</formula>
    </cfRule>
    <cfRule type="cellIs" dxfId="274" priority="47" operator="lessThan">
      <formula>5</formula>
    </cfRule>
    <cfRule type="cellIs" dxfId="273" priority="48" operator="greaterThan">
      <formula>8</formula>
    </cfRule>
  </conditionalFormatting>
  <conditionalFormatting sqref="CD3:CE12">
    <cfRule type="expression" dxfId="272" priority="43">
      <formula>LEN(CD3)&gt;=4</formula>
    </cfRule>
    <cfRule type="cellIs" dxfId="271" priority="44" operator="lessThan">
      <formula>5</formula>
    </cfRule>
    <cfRule type="cellIs" dxfId="270" priority="45" operator="greaterThan">
      <formula>8</formula>
    </cfRule>
  </conditionalFormatting>
  <conditionalFormatting sqref="CA13:CB57">
    <cfRule type="expression" dxfId="269" priority="40">
      <formula>LEN(CA13)&gt;=4</formula>
    </cfRule>
    <cfRule type="cellIs" dxfId="268" priority="41" operator="lessThan">
      <formula>5</formula>
    </cfRule>
    <cfRule type="cellIs" dxfId="267" priority="42" operator="greaterThan">
      <formula>8</formula>
    </cfRule>
  </conditionalFormatting>
  <conditionalFormatting sqref="CD13:CE57">
    <cfRule type="expression" dxfId="266" priority="37">
      <formula>LEN(CD13)&gt;=4</formula>
    </cfRule>
    <cfRule type="cellIs" dxfId="265" priority="38" operator="lessThan">
      <formula>5</formula>
    </cfRule>
    <cfRule type="cellIs" dxfId="264" priority="39" operator="greaterThan">
      <formula>8</formula>
    </cfRule>
  </conditionalFormatting>
  <conditionalFormatting sqref="CG3:CH12">
    <cfRule type="expression" dxfId="263" priority="34">
      <formula>LEN(CG3)&gt;=4</formula>
    </cfRule>
    <cfRule type="cellIs" dxfId="262" priority="35" operator="lessThan">
      <formula>5</formula>
    </cfRule>
    <cfRule type="cellIs" dxfId="261" priority="36" operator="greaterThan">
      <formula>8</formula>
    </cfRule>
  </conditionalFormatting>
  <conditionalFormatting sqref="CJ3:CK12">
    <cfRule type="expression" dxfId="260" priority="31">
      <formula>LEN(CJ3)&gt;=4</formula>
    </cfRule>
    <cfRule type="cellIs" dxfId="259" priority="32" operator="lessThan">
      <formula>5</formula>
    </cfRule>
    <cfRule type="cellIs" dxfId="258" priority="33" operator="greaterThan">
      <formula>8</formula>
    </cfRule>
  </conditionalFormatting>
  <conditionalFormatting sqref="CG13:CH57">
    <cfRule type="expression" dxfId="257" priority="28">
      <formula>LEN(CG13)&gt;=4</formula>
    </cfRule>
    <cfRule type="cellIs" dxfId="256" priority="29" operator="lessThan">
      <formula>5</formula>
    </cfRule>
    <cfRule type="cellIs" dxfId="255" priority="30" operator="greaterThan">
      <formula>8</formula>
    </cfRule>
  </conditionalFormatting>
  <conditionalFormatting sqref="CJ13:CK57">
    <cfRule type="expression" dxfId="254" priority="25">
      <formula>LEN(CJ13)&gt;=4</formula>
    </cfRule>
    <cfRule type="cellIs" dxfId="253" priority="26" operator="lessThan">
      <formula>5</formula>
    </cfRule>
    <cfRule type="cellIs" dxfId="252" priority="27" operator="greaterThan">
      <formula>8</formula>
    </cfRule>
  </conditionalFormatting>
  <pageMargins left="0.25" right="0.25" top="0.25" bottom="0.25" header="0" footer="0"/>
  <pageSetup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NxkiToan">
                <anchor moveWithCells="1" sizeWithCells="1">
                  <from>
                    <xdr:col>0</xdr:col>
                    <xdr:colOff>7620</xdr:colOff>
                    <xdr:row>2</xdr:row>
                    <xdr:rowOff>22860</xdr:rowOff>
                  </from>
                  <to>
                    <xdr:col>0</xdr:col>
                    <xdr:colOff>754380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NxkiLy">
                <anchor moveWithCells="1" sizeWithCells="1">
                  <from>
                    <xdr:col>0</xdr:col>
                    <xdr:colOff>7620</xdr:colOff>
                    <xdr:row>3</xdr:row>
                    <xdr:rowOff>106680</xdr:rowOff>
                  </from>
                  <to>
                    <xdr:col>0</xdr:col>
                    <xdr:colOff>754380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NxkiCN">
                <anchor moveWithCells="1" sizeWithCells="1">
                  <from>
                    <xdr:col>0</xdr:col>
                    <xdr:colOff>7620</xdr:colOff>
                    <xdr:row>16</xdr:row>
                    <xdr:rowOff>114300</xdr:rowOff>
                  </from>
                  <to>
                    <xdr:col>0</xdr:col>
                    <xdr:colOff>754380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NxkiCD">
                <anchor moveWithCells="1" sizeWithCells="1">
                  <from>
                    <xdr:col>0</xdr:col>
                    <xdr:colOff>7620</xdr:colOff>
                    <xdr:row>15</xdr:row>
                    <xdr:rowOff>30480</xdr:rowOff>
                  </from>
                  <to>
                    <xdr:col>0</xdr:col>
                    <xdr:colOff>754380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NxkiAnh">
                <anchor moveWithCells="1" sizeWithCells="1">
                  <from>
                    <xdr:col>0</xdr:col>
                    <xdr:colOff>7620</xdr:colOff>
                    <xdr:row>13</xdr:row>
                    <xdr:rowOff>137160</xdr:rowOff>
                  </from>
                  <to>
                    <xdr:col>0</xdr:col>
                    <xdr:colOff>754380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NxkiDia">
                <anchor moveWithCells="1" sizeWithCells="1">
                  <from>
                    <xdr:col>0</xdr:col>
                    <xdr:colOff>7620</xdr:colOff>
                    <xdr:row>12</xdr:row>
                    <xdr:rowOff>45720</xdr:rowOff>
                  </from>
                  <to>
                    <xdr:col>0</xdr:col>
                    <xdr:colOff>754380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NxkiSu">
                <anchor moveWithCells="1" sizeWithCells="1">
                  <from>
                    <xdr:col>0</xdr:col>
                    <xdr:colOff>7620</xdr:colOff>
                    <xdr:row>10</xdr:row>
                    <xdr:rowOff>152400</xdr:rowOff>
                  </from>
                  <to>
                    <xdr:col>0</xdr:col>
                    <xdr:colOff>754380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NxkiVan">
                <anchor moveWithCells="1" sizeWithCells="1">
                  <from>
                    <xdr:col>0</xdr:col>
                    <xdr:colOff>7620</xdr:colOff>
                    <xdr:row>9</xdr:row>
                    <xdr:rowOff>68580</xdr:rowOff>
                  </from>
                  <to>
                    <xdr:col>0</xdr:col>
                    <xdr:colOff>754380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NxkiTin">
                <anchor moveWithCells="1" sizeWithCells="1">
                  <from>
                    <xdr:col>0</xdr:col>
                    <xdr:colOff>7620</xdr:colOff>
                    <xdr:row>7</xdr:row>
                    <xdr:rowOff>175260</xdr:rowOff>
                  </from>
                  <to>
                    <xdr:col>0</xdr:col>
                    <xdr:colOff>754380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NxkiSinh">
                <anchor moveWithCells="1" sizeWithCells="1">
                  <from>
                    <xdr:col>0</xdr:col>
                    <xdr:colOff>7620</xdr:colOff>
                    <xdr:row>6</xdr:row>
                    <xdr:rowOff>83820</xdr:rowOff>
                  </from>
                  <to>
                    <xdr:col>0</xdr:col>
                    <xdr:colOff>754380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NxkiHoa">
                <anchor moveWithCells="1" sizeWithCells="1">
                  <from>
                    <xdr:col>0</xdr:col>
                    <xdr:colOff>7620</xdr:colOff>
                    <xdr:row>5</xdr:row>
                    <xdr:rowOff>0</xdr:rowOff>
                  </from>
                  <to>
                    <xdr:col>0</xdr:col>
                    <xdr:colOff>754380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Button 13">
              <controlPr defaultSize="0" print="0" autoFill="0" autoPict="0" macro="[0]!NxkiNPT">
                <anchor moveWithCells="1" sizeWithCells="1">
                  <from>
                    <xdr:col>0</xdr:col>
                    <xdr:colOff>7620</xdr:colOff>
                    <xdr:row>20</xdr:row>
                    <xdr:rowOff>182880</xdr:rowOff>
                  </from>
                  <to>
                    <xdr:col>0</xdr:col>
                    <xdr:colOff>754380</xdr:colOff>
                    <xdr:row>22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Button 14">
              <controlPr defaultSize="0" print="0" autoFill="0" autoPict="0" macro="[0]!NxkiQP">
                <anchor moveWithCells="1" sizeWithCells="1">
                  <from>
                    <xdr:col>0</xdr:col>
                    <xdr:colOff>7620</xdr:colOff>
                    <xdr:row>19</xdr:row>
                    <xdr:rowOff>99060</xdr:rowOff>
                  </from>
                  <to>
                    <xdr:col>0</xdr:col>
                    <xdr:colOff>754380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Button 15">
              <controlPr defaultSize="0" print="0" autoFill="0" autoPict="0" macro="[0]!NxkiTD">
                <anchor moveWithCells="1" sizeWithCells="1">
                  <from>
                    <xdr:col>0</xdr:col>
                    <xdr:colOff>7620</xdr:colOff>
                    <xdr:row>18</xdr:row>
                    <xdr:rowOff>7620</xdr:rowOff>
                  </from>
                  <to>
                    <xdr:col>0</xdr:col>
                    <xdr:colOff>754380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Button 16">
              <controlPr defaultSize="0" print="0" autoFill="0" autoPict="0" macro="[0]!InNXHKI">
                <anchor moveWithCells="1" sizeWithCells="1">
                  <from>
                    <xdr:col>0</xdr:col>
                    <xdr:colOff>0</xdr:colOff>
                    <xdr:row>24</xdr:row>
                    <xdr:rowOff>114300</xdr:rowOff>
                  </from>
                  <to>
                    <xdr:col>0</xdr:col>
                    <xdr:colOff>746760</xdr:colOff>
                    <xdr:row>27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7030A0"/>
    <pageSetUpPr fitToPage="1"/>
  </sheetPr>
  <dimension ref="A1:AF79"/>
  <sheetViews>
    <sheetView topLeftCell="A7" workbookViewId="0">
      <selection activeCell="O46" sqref="O46"/>
    </sheetView>
  </sheetViews>
  <sheetFormatPr defaultColWidth="9.109375" defaultRowHeight="13.8"/>
  <cols>
    <col min="1" max="1" width="5.109375" style="251" customWidth="1"/>
    <col min="2" max="2" width="21.44140625" style="7" customWidth="1"/>
    <col min="3" max="3" width="10" style="7" customWidth="1"/>
    <col min="4" max="4" width="12.6640625" style="7" customWidth="1"/>
    <col min="5" max="5" width="11.88671875" style="251" customWidth="1"/>
    <col min="6" max="6" width="51.5546875" style="251" customWidth="1"/>
    <col min="7" max="7" width="10.33203125" style="251" customWidth="1"/>
    <col min="8" max="8" width="1.33203125" style="248" customWidth="1"/>
    <col min="9" max="9" width="9.109375" style="248" customWidth="1"/>
    <col min="10" max="10" width="10.88671875" style="1" hidden="1" customWidth="1"/>
    <col min="11" max="11" width="6.5546875" style="1" hidden="1" customWidth="1"/>
    <col min="12" max="12" width="9.109375" style="1" hidden="1" customWidth="1"/>
    <col min="13" max="14" width="5.109375" style="1" customWidth="1"/>
    <col min="15" max="15" width="6.88671875" style="1" customWidth="1"/>
    <col min="16" max="16" width="7.44140625" style="1" customWidth="1"/>
    <col min="17" max="17" width="6.88671875" style="1" customWidth="1"/>
    <col min="18" max="32" width="4.109375" style="248" customWidth="1"/>
    <col min="33" max="16384" width="9.109375" style="248"/>
  </cols>
  <sheetData>
    <row r="1" spans="1:30" ht="17.25" customHeight="1">
      <c r="A1" s="921" t="str">
        <f>IF('Huong dan'!E3&lt;&gt;"","SỞ GIÁO DỤC VÀ ĐÀO TẠO "&amp;UPPER('Huong dan'!E3),"")</f>
        <v>SỞ GIÁO DỤC VÀ ĐÀO TẠO TP. HỒ CHÍ MINH</v>
      </c>
      <c r="B1" s="921"/>
      <c r="C1" s="921"/>
      <c r="D1" s="921"/>
      <c r="E1" s="922" t="s">
        <v>19</v>
      </c>
      <c r="F1" s="922"/>
      <c r="G1" s="922"/>
    </row>
    <row r="2" spans="1:30" ht="15.6">
      <c r="A2" s="931" t="str">
        <f>IF('Huong dan'!E4&lt;&gt;"","TRƯỜNG "&amp;UPPER('Huong dan'!E4),"")</f>
        <v>TRƯỜNG THCS VÀ THPT NGUYỄN KHUYẾN</v>
      </c>
      <c r="B2" s="931"/>
      <c r="C2" s="931"/>
      <c r="D2" s="931"/>
      <c r="E2" s="923" t="s">
        <v>179</v>
      </c>
      <c r="F2" s="923"/>
      <c r="G2" s="923"/>
    </row>
    <row r="3" spans="1:30" ht="17.25" customHeight="1">
      <c r="A3" s="458"/>
      <c r="B3" s="922" t="str">
        <f>"Lớp: "&amp;IF('Huong dan'!C3&lt;&gt;"",UPPER('Huong dan'!C3),"")</f>
        <v>Lớp: 12A1</v>
      </c>
      <c r="C3" s="922"/>
      <c r="D3" s="458"/>
      <c r="E3" s="458"/>
      <c r="F3" s="458"/>
      <c r="G3" s="459"/>
    </row>
    <row r="4" spans="1:30" ht="26.25" customHeight="1">
      <c r="A4" s="932" t="s">
        <v>567</v>
      </c>
      <c r="B4" s="932"/>
      <c r="C4" s="932"/>
      <c r="D4" s="932"/>
      <c r="E4" s="932"/>
      <c r="F4" s="932"/>
      <c r="G4" s="932"/>
    </row>
    <row r="5" spans="1:30" ht="21.75" customHeight="1">
      <c r="A5" s="932" t="str">
        <f>"HỌC KỲ I NĂM HỌC "&amp;'Huong dan'!C5</f>
        <v>HỌC KỲ I NĂM HỌC 2021 - 2022</v>
      </c>
      <c r="B5" s="932"/>
      <c r="C5" s="932"/>
      <c r="D5" s="932"/>
      <c r="E5" s="932"/>
      <c r="F5" s="932"/>
      <c r="G5" s="932"/>
    </row>
    <row r="6" spans="1:30" ht="13.5" customHeight="1">
      <c r="A6" s="1"/>
    </row>
    <row r="7" spans="1:30" ht="18.75" customHeight="1">
      <c r="B7" s="822" t="s">
        <v>64</v>
      </c>
      <c r="C7" s="1156" t="s">
        <v>121</v>
      </c>
      <c r="D7" s="1156"/>
      <c r="F7" s="823" t="str">
        <f>"Giáo viên: "&amp;IF(C7&lt;&gt;"",PROPER(VLOOKUP(C7,'Huong dan'!$B$8:$C$21,2,0)),"")</f>
        <v xml:space="preserve">Giáo viên: </v>
      </c>
      <c r="G7" s="6"/>
    </row>
    <row r="8" spans="1:30" ht="7.5" customHeight="1">
      <c r="M8" s="248"/>
      <c r="N8" s="248"/>
      <c r="O8" s="248"/>
      <c r="P8" s="248"/>
      <c r="Q8" s="248"/>
    </row>
    <row r="9" spans="1:30" ht="17.25" customHeight="1">
      <c r="A9" s="933" t="s">
        <v>0</v>
      </c>
      <c r="B9" s="927" t="s">
        <v>63</v>
      </c>
      <c r="C9" s="927"/>
      <c r="D9" s="928" t="s">
        <v>2</v>
      </c>
      <c r="E9" s="455" t="s">
        <v>639</v>
      </c>
      <c r="F9" s="933" t="s">
        <v>640</v>
      </c>
      <c r="G9" s="455" t="s">
        <v>67</v>
      </c>
      <c r="K9" s="1" t="s">
        <v>217</v>
      </c>
      <c r="L9" s="1" t="s">
        <v>641</v>
      </c>
      <c r="M9" s="248"/>
      <c r="N9" s="248"/>
      <c r="O9" s="248"/>
      <c r="P9" s="248"/>
      <c r="Q9" s="248"/>
    </row>
    <row r="10" spans="1:30" ht="16.5" customHeight="1">
      <c r="A10" s="934"/>
      <c r="B10" s="927"/>
      <c r="C10" s="927"/>
      <c r="D10" s="929"/>
      <c r="E10" s="382" t="s">
        <v>10</v>
      </c>
      <c r="F10" s="934"/>
      <c r="G10" s="382" t="s">
        <v>68</v>
      </c>
      <c r="J10" s="1">
        <v>1</v>
      </c>
      <c r="K10" s="355">
        <v>2</v>
      </c>
      <c r="L10" s="355">
        <v>3</v>
      </c>
      <c r="M10" s="355"/>
      <c r="N10" s="355"/>
      <c r="O10" s="355"/>
      <c r="P10" s="355"/>
      <c r="Q10" s="355"/>
      <c r="R10" s="252"/>
      <c r="S10" s="252"/>
      <c r="T10" s="252"/>
      <c r="U10" s="252"/>
      <c r="V10" s="252"/>
      <c r="W10" s="252"/>
      <c r="X10" s="252"/>
      <c r="Y10" s="252"/>
      <c r="Z10" s="252"/>
      <c r="AA10" s="252"/>
      <c r="AB10" s="252"/>
      <c r="AC10" s="252"/>
      <c r="AD10" s="252"/>
    </row>
    <row r="11" spans="1:30" ht="45" customHeight="1">
      <c r="A11" s="253">
        <f>IF(MIN(NXetHKI!B3:B57)&lt;1,"",MIN(NXetHKI!B3:B57))</f>
        <v>1</v>
      </c>
      <c r="B11" s="94" t="str">
        <f>IF($A11&lt;&gt;"",PROPER(INDEX(NXetHKI!$B$3:$CL$57,MATCH(NxGvHKI!$A11,NXetHKI!$B$3:$B$57,0),3)),"")</f>
        <v>Phạm Huỳnh Hiệp</v>
      </c>
      <c r="C11" s="254" t="str">
        <f>IF($A11&lt;&gt;"",PROPER(INDEX(NXetHKI!$B$3:$CL$57,MATCH(NxGvHKI!$A11,NXetHKI!$B$3:$B$57,0),4)),"")</f>
        <v>An</v>
      </c>
      <c r="D11" s="358" t="str">
        <f>IF($A11&lt;&gt;"",PROPER(INDEX(NXetHKI!$B$3:$CL$57,MATCH(NxGvHKI!$A11,NXetHKI!$B$3:$B$57,0),5)),"")</f>
        <v>16/10/2004</v>
      </c>
      <c r="E11" s="824">
        <f>IF($A11&lt;&gt;"",INDEX(NXetHKI!$B$3:$CL$57,MATCH(NxGvHKI!$A11,NXetHKI!$B$3:$B$57,0),INDEX($J$11:$L$24,MATCH($C$7,$J$11:$J$24,0),K$10)),"")</f>
        <v>9.9</v>
      </c>
      <c r="F11" s="829" t="str">
        <f>IF($A11&lt;&gt;"",INDEX(NXetHKI!$B$3:$CL$57,MATCH(NxGvHKI!$A11,NXetHKI!$B$3:$B$57,0),INDEX($J$11:$L$24,MATCH($C$7,$J$11:$J$24,0),L$10)),"")</f>
        <v>Siêng năng, lễ phép, thành thạo thực hành, học giỏi.</v>
      </c>
      <c r="G11" s="366"/>
      <c r="J11" s="1" t="s">
        <v>26</v>
      </c>
      <c r="K11" s="355">
        <v>6</v>
      </c>
      <c r="L11" s="355">
        <v>8</v>
      </c>
      <c r="M11" s="355"/>
      <c r="N11" s="355"/>
      <c r="O11" s="355"/>
      <c r="P11" s="355"/>
      <c r="Q11" s="355"/>
      <c r="R11" s="252"/>
      <c r="S11" s="252"/>
      <c r="T11" s="252"/>
      <c r="U11" s="252"/>
      <c r="V11" s="252"/>
      <c r="W11" s="252"/>
      <c r="X11" s="252"/>
      <c r="Y11" s="252"/>
      <c r="Z11" s="252"/>
      <c r="AA11" s="252"/>
      <c r="AB11" s="252"/>
      <c r="AC11" s="252"/>
      <c r="AD11" s="252"/>
    </row>
    <row r="12" spans="1:30" ht="45" customHeight="1">
      <c r="A12" s="117">
        <f>IF(A11&lt;MAX(NXetHKI!$B$3:$B$57),A11+1,"")</f>
        <v>2</v>
      </c>
      <c r="B12" s="100" t="str">
        <f>IF($A12&lt;&gt;"",PROPER(INDEX(NXetHKI!$B$3:$CL$57,MATCH(NxGvHKI!$A12,NXetHKI!$B$3:$B$57,0),3)),"")</f>
        <v>Chử Ngọc</v>
      </c>
      <c r="C12" s="257" t="str">
        <f>IF($A12&lt;&gt;"",PROPER(INDEX(NXetHKI!$B$3:$CL$57,MATCH(NxGvHKI!$A12,NXetHKI!$B$3:$B$57,0),4)),"")</f>
        <v>Anh</v>
      </c>
      <c r="D12" s="359" t="str">
        <f>IF($A12&lt;&gt;"",PROPER(INDEX(NXetHKI!$B$3:$CL$57,MATCH(NxGvHKI!$A12,NXetHKI!$B$3:$B$57,0),5)),"")</f>
        <v>14/04/2004</v>
      </c>
      <c r="E12" s="825">
        <f>IF($A12&lt;&gt;"",INDEX(NXetHKI!$B$3:$CL$57,MATCH(NxGvHKI!$A12,NXetHKI!$B$3:$B$57,0),INDEX($J$11:$L$24,MATCH($C$7,$J$11:$J$24,0),K$10)),"")</f>
        <v>9.9</v>
      </c>
      <c r="F12" s="830" t="str">
        <f>IF($A12&lt;&gt;"",INDEX(NXetHKI!$B$3:$CL$57,MATCH(NxGvHKI!$A12,NXetHKI!$B$3:$B$57,0),INDEX($J$11:$L$24,MATCH($C$7,$J$11:$J$24,0),L$10)),"")</f>
        <v>Tích cực, năng động, nắm bài tốt, học giỏi.</v>
      </c>
      <c r="G12" s="367"/>
      <c r="J12" s="1" t="s">
        <v>27</v>
      </c>
      <c r="K12" s="355">
        <v>12</v>
      </c>
      <c r="L12" s="355">
        <v>14</v>
      </c>
      <c r="M12" s="355"/>
      <c r="N12" s="355"/>
      <c r="O12" s="355"/>
      <c r="P12" s="355"/>
      <c r="Q12" s="355"/>
      <c r="R12" s="252"/>
      <c r="S12" s="252"/>
      <c r="T12" s="252"/>
      <c r="U12" s="252"/>
      <c r="V12" s="252"/>
      <c r="W12" s="252"/>
      <c r="X12" s="252"/>
      <c r="Y12" s="252"/>
      <c r="Z12" s="252"/>
      <c r="AA12" s="252"/>
      <c r="AB12" s="252"/>
      <c r="AC12" s="252"/>
      <c r="AD12" s="252"/>
    </row>
    <row r="13" spans="1:30" ht="45" customHeight="1">
      <c r="A13" s="117">
        <f>IF(A12&lt;MAX(NXetHKI!$B$3:$B$57),A12+1,"")</f>
        <v>3</v>
      </c>
      <c r="B13" s="100" t="str">
        <f>IF($A13&lt;&gt;"",PROPER(INDEX(NXetHKI!$B$3:$CL$57,MATCH(NxGvHKI!$A13,NXetHKI!$B$3:$B$57,0),3)),"")</f>
        <v>Lê Tuấn</v>
      </c>
      <c r="C13" s="257" t="str">
        <f>IF($A13&lt;&gt;"",PROPER(INDEX(NXetHKI!$B$3:$CL$57,MATCH(NxGvHKI!$A13,NXetHKI!$B$3:$B$57,0),4)),"")</f>
        <v>Anh</v>
      </c>
      <c r="D13" s="359" t="str">
        <f>IF($A13&lt;&gt;"",PROPER(INDEX(NXetHKI!$B$3:$CL$57,MATCH(NxGvHKI!$A13,NXetHKI!$B$3:$B$57,0),5)),"")</f>
        <v>20/10/2004</v>
      </c>
      <c r="E13" s="825">
        <f>IF($A13&lt;&gt;"",INDEX(NXetHKI!$B$3:$CL$57,MATCH(NxGvHKI!$A13,NXetHKI!$B$3:$B$57,0),INDEX($J$11:$L$24,MATCH($C$7,$J$11:$J$24,0),K$10)),"")</f>
        <v>9.4</v>
      </c>
      <c r="F13" s="830" t="str">
        <f>IF($A13&lt;&gt;"",INDEX(NXetHKI!$B$3:$CL$57,MATCH(NxGvHKI!$A13,NXetHKI!$B$3:$B$57,0),INDEX($J$11:$L$24,MATCH($C$7,$J$11:$J$24,0),L$10)),"")</f>
        <v>Ngoan, tích cực xây dựng bài, nắm chắc thực hành, học giỏi.</v>
      </c>
      <c r="G13" s="367"/>
      <c r="J13" s="1" t="s">
        <v>28</v>
      </c>
      <c r="K13" s="355">
        <v>18</v>
      </c>
      <c r="L13" s="355">
        <v>20</v>
      </c>
      <c r="M13" s="355"/>
      <c r="N13" s="355"/>
      <c r="O13" s="355"/>
      <c r="P13" s="355"/>
      <c r="Q13" s="355"/>
      <c r="R13" s="252"/>
      <c r="S13" s="252"/>
      <c r="T13" s="252"/>
      <c r="U13" s="252"/>
      <c r="V13" s="252"/>
      <c r="W13" s="252"/>
      <c r="X13" s="252"/>
      <c r="Y13" s="252"/>
      <c r="Z13" s="252"/>
      <c r="AA13" s="252"/>
      <c r="AB13" s="252"/>
      <c r="AC13" s="252"/>
      <c r="AD13" s="252"/>
    </row>
    <row r="14" spans="1:30" ht="45" customHeight="1">
      <c r="A14" s="117">
        <f>IF(A13&lt;MAX(NXetHKI!$B$3:$B$57),A13+1,"")</f>
        <v>4</v>
      </c>
      <c r="B14" s="100" t="str">
        <f>IF($A14&lt;&gt;"",PROPER(INDEX(NXetHKI!$B$3:$CL$57,MATCH(NxGvHKI!$A14,NXetHKI!$B$3:$B$57,0),3)),"")</f>
        <v>Nguyễn Quách Mai</v>
      </c>
      <c r="C14" s="257" t="str">
        <f>IF($A14&lt;&gt;"",PROPER(INDEX(NXetHKI!$B$3:$CL$57,MATCH(NxGvHKI!$A14,NXetHKI!$B$3:$B$57,0),4)),"")</f>
        <v>Anh</v>
      </c>
      <c r="D14" s="359" t="str">
        <f>IF($A14&lt;&gt;"",PROPER(INDEX(NXetHKI!$B$3:$CL$57,MATCH(NxGvHKI!$A14,NXetHKI!$B$3:$B$57,0),5)),"")</f>
        <v>12/05/2004</v>
      </c>
      <c r="E14" s="825">
        <f>IF($A14&lt;&gt;"",INDEX(NXetHKI!$B$3:$CL$57,MATCH(NxGvHKI!$A14,NXetHKI!$B$3:$B$57,0),INDEX($J$11:$L$24,MATCH($C$7,$J$11:$J$24,0),K$10)),"")</f>
        <v>9.9</v>
      </c>
      <c r="F14" s="830" t="str">
        <f>IF($A14&lt;&gt;"",INDEX(NXetHKI!$B$3:$CL$57,MATCH(NxGvHKI!$A14,NXetHKI!$B$3:$B$57,0),INDEX($J$11:$L$24,MATCH($C$7,$J$11:$J$24,0),L$10)),"")</f>
        <v>Siêng năng, lễ phép, thành thạo thực hành, học giỏi.</v>
      </c>
      <c r="G14" s="367"/>
      <c r="J14" s="1" t="s">
        <v>29</v>
      </c>
      <c r="K14" s="355">
        <v>24</v>
      </c>
      <c r="L14" s="355">
        <v>26</v>
      </c>
      <c r="M14" s="355"/>
      <c r="N14" s="355"/>
      <c r="O14" s="355"/>
      <c r="P14" s="355"/>
      <c r="Q14" s="355"/>
      <c r="R14" s="252"/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</row>
    <row r="15" spans="1:30" ht="45" customHeight="1">
      <c r="A15" s="260">
        <f>IF(A14&lt;MAX(NXetHKI!$B$3:$B$57),A14+1,"")</f>
        <v>5</v>
      </c>
      <c r="B15" s="106" t="str">
        <f>IF($A15&lt;&gt;"",PROPER(INDEX(NXetHKI!$B$3:$CL$57,MATCH(NxGvHKI!$A15,NXetHKI!$B$3:$B$57,0),3)),"")</f>
        <v>Vũ Song</v>
      </c>
      <c r="C15" s="261" t="str">
        <f>IF($A15&lt;&gt;"",PROPER(INDEX(NXetHKI!$B$3:$CL$57,MATCH(NxGvHKI!$A15,NXetHKI!$B$3:$B$57,0),4)),"")</f>
        <v>Anh</v>
      </c>
      <c r="D15" s="360" t="str">
        <f>IF($A15&lt;&gt;"",PROPER(INDEX(NXetHKI!$B$3:$CL$57,MATCH(NxGvHKI!$A15,NXetHKI!$B$3:$B$57,0),5)),"")</f>
        <v>20/04/2004</v>
      </c>
      <c r="E15" s="826">
        <f>IF($A15&lt;&gt;"",INDEX(NXetHKI!$B$3:$CL$57,MATCH(NxGvHKI!$A15,NXetHKI!$B$3:$B$57,0),INDEX($J$11:$L$24,MATCH($C$7,$J$11:$J$24,0),K$10)),"")</f>
        <v>9.9</v>
      </c>
      <c r="F15" s="831" t="str">
        <f>IF($A15&lt;&gt;"",INDEX(NXetHKI!$B$3:$CL$57,MATCH(NxGvHKI!$A15,NXetHKI!$B$3:$B$57,0),INDEX($J$11:$L$24,MATCH($C$7,$J$11:$J$24,0),L$10)),"")</f>
        <v>Tích cực, năng động, nắm bài tốt, học giỏi.</v>
      </c>
      <c r="G15" s="368"/>
      <c r="J15" s="1" t="s">
        <v>120</v>
      </c>
      <c r="K15" s="355">
        <v>30</v>
      </c>
      <c r="L15" s="355">
        <v>32</v>
      </c>
      <c r="M15" s="355"/>
      <c r="N15" s="355"/>
      <c r="O15" s="355"/>
      <c r="P15" s="355"/>
      <c r="Q15" s="355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</row>
    <row r="16" spans="1:30" ht="45" customHeight="1">
      <c r="A16" s="264">
        <f>IF(A15&lt;MAX(NXetHKI!$B$3:$B$57),A15+1,"")</f>
        <v>6</v>
      </c>
      <c r="B16" s="112" t="str">
        <f>IF($A16&lt;&gt;"",PROPER(INDEX(NXetHKI!$B$3:$CL$57,MATCH(NxGvHKI!$A16,NXetHKI!$B$3:$B$57,0),3)),"")</f>
        <v>Phan Gia</v>
      </c>
      <c r="C16" s="265" t="str">
        <f>IF($A16&lt;&gt;"",PROPER(INDEX(NXetHKI!$B$3:$CL$57,MATCH(NxGvHKI!$A16,NXetHKI!$B$3:$B$57,0),4)),"")</f>
        <v>Bảo</v>
      </c>
      <c r="D16" s="361" t="str">
        <f>IF($A16&lt;&gt;"",PROPER(INDEX(NXetHKI!$B$3:$CL$57,MATCH(NxGvHKI!$A16,NXetHKI!$B$3:$B$57,0),5)),"")</f>
        <v>27/10/2004</v>
      </c>
      <c r="E16" s="113">
        <f>IF($A16&lt;&gt;"",INDEX(NXetHKI!$B$3:$CL$57,MATCH(NxGvHKI!$A16,NXetHKI!$B$3:$B$57,0),INDEX($J$11:$L$24,MATCH($C$7,$J$11:$J$24,0),K$10)),"")</f>
        <v>9.9</v>
      </c>
      <c r="F16" s="829" t="str">
        <f>IF($A16&lt;&gt;"",INDEX(NXetHKI!$B$3:$CL$57,MATCH(NxGvHKI!$A16,NXetHKI!$B$3:$B$57,0),INDEX($J$11:$L$24,MATCH($C$7,$J$11:$J$24,0),L$10)),"")</f>
        <v>Ngoan, tích cực xây dựng bài, nắm chắc thực hành, học giỏi.</v>
      </c>
      <c r="G16" s="369"/>
      <c r="J16" s="1" t="s">
        <v>30</v>
      </c>
      <c r="K16" s="355">
        <v>36</v>
      </c>
      <c r="L16" s="355">
        <v>38</v>
      </c>
      <c r="M16" s="355"/>
      <c r="N16" s="355"/>
      <c r="O16" s="355"/>
      <c r="P16" s="355"/>
      <c r="Q16" s="355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</row>
    <row r="17" spans="1:30" ht="45" customHeight="1">
      <c r="A17" s="117">
        <f>IF(A16&lt;MAX(NXetHKI!$B$3:$B$57),A16+1,"")</f>
        <v>7</v>
      </c>
      <c r="B17" s="100" t="str">
        <f>IF($A17&lt;&gt;"",PROPER(INDEX(NXetHKI!$B$3:$CL$57,MATCH(NxGvHKI!$A17,NXetHKI!$B$3:$B$57,0),3)),"")</f>
        <v>Nguyễn Phúc</v>
      </c>
      <c r="C17" s="257" t="str">
        <f>IF($A17&lt;&gt;"",PROPER(INDEX(NXetHKI!$B$3:$CL$57,MATCH(NxGvHKI!$A17,NXetHKI!$B$3:$B$57,0),4)),"")</f>
        <v>Bình</v>
      </c>
      <c r="D17" s="359" t="str">
        <f>IF($A17&lt;&gt;"",PROPER(INDEX(NXetHKI!$B$3:$CL$57,MATCH(NxGvHKI!$A17,NXetHKI!$B$3:$B$57,0),5)),"")</f>
        <v>20/06/2004</v>
      </c>
      <c r="E17" s="101">
        <f>IF($A17&lt;&gt;"",INDEX(NXetHKI!$B$3:$CL$57,MATCH(NxGvHKI!$A17,NXetHKI!$B$3:$B$57,0),INDEX($J$11:$L$24,MATCH($C$7,$J$11:$J$24,0),K$10)),"")</f>
        <v>9.9</v>
      </c>
      <c r="F17" s="830" t="str">
        <f>IF($A17&lt;&gt;"",INDEX(NXetHKI!$B$3:$CL$57,MATCH(NxGvHKI!$A17,NXetHKI!$B$3:$B$57,0),INDEX($J$11:$L$24,MATCH($C$7,$J$11:$J$24,0),L$10)),"")</f>
        <v>Siêng năng, lễ phép, thành thạo thực hành, học giỏi.</v>
      </c>
      <c r="G17" s="367"/>
      <c r="J17" s="1" t="s">
        <v>31</v>
      </c>
      <c r="K17" s="355">
        <v>42</v>
      </c>
      <c r="L17" s="355">
        <v>44</v>
      </c>
      <c r="M17" s="355"/>
      <c r="N17" s="355"/>
      <c r="O17" s="355"/>
      <c r="P17" s="355"/>
      <c r="Q17" s="355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</row>
    <row r="18" spans="1:30" ht="45" customHeight="1">
      <c r="A18" s="117">
        <f>IF(A17&lt;MAX(NXetHKI!$B$3:$B$57),A17+1,"")</f>
        <v>8</v>
      </c>
      <c r="B18" s="100" t="str">
        <f>IF($A18&lt;&gt;"",PROPER(INDEX(NXetHKI!$B$3:$CL$57,MATCH(NxGvHKI!$A18,NXetHKI!$B$3:$B$57,0),3)),"")</f>
        <v>Trần Lê</v>
      </c>
      <c r="C18" s="257" t="str">
        <f>IF($A18&lt;&gt;"",PROPER(INDEX(NXetHKI!$B$3:$CL$57,MATCH(NxGvHKI!$A18,NXetHKI!$B$3:$B$57,0),4)),"")</f>
        <v>Cường</v>
      </c>
      <c r="D18" s="359" t="str">
        <f>IF($A18&lt;&gt;"",PROPER(INDEX(NXetHKI!$B$3:$CL$57,MATCH(NxGvHKI!$A18,NXetHKI!$B$3:$B$57,0),5)),"")</f>
        <v>08/04/2004</v>
      </c>
      <c r="E18" s="101">
        <f>IF($A18&lt;&gt;"",INDEX(NXetHKI!$B$3:$CL$57,MATCH(NxGvHKI!$A18,NXetHKI!$B$3:$B$57,0),INDEX($J$11:$L$24,MATCH($C$7,$J$11:$J$24,0),K$10)),"")</f>
        <v>9.9</v>
      </c>
      <c r="F18" s="830" t="str">
        <f>IF($A18&lt;&gt;"",INDEX(NXetHKI!$B$3:$CL$57,MATCH(NxGvHKI!$A18,NXetHKI!$B$3:$B$57,0),INDEX($J$11:$L$24,MATCH($C$7,$J$11:$J$24,0),L$10)),"")</f>
        <v>Tích cực, năng động, nắm bài tốt, học giỏi.</v>
      </c>
      <c r="G18" s="367"/>
      <c r="J18" s="1" t="s">
        <v>32</v>
      </c>
      <c r="K18" s="355">
        <v>48</v>
      </c>
      <c r="L18" s="355">
        <v>50</v>
      </c>
      <c r="M18" s="355"/>
      <c r="N18" s="355"/>
      <c r="O18" s="355"/>
      <c r="P18" s="355"/>
      <c r="Q18" s="355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</row>
    <row r="19" spans="1:30" ht="45" customHeight="1">
      <c r="A19" s="117">
        <f>IF(A18&lt;MAX(NXetHKI!$B$3:$B$57),A18+1,"")</f>
        <v>9</v>
      </c>
      <c r="B19" s="100" t="str">
        <f>IF($A19&lt;&gt;"",PROPER(INDEX(NXetHKI!$B$3:$CL$57,MATCH(NxGvHKI!$A19,NXetHKI!$B$3:$B$57,0),3)),"")</f>
        <v>Nguyễn Thanh</v>
      </c>
      <c r="C19" s="257" t="str">
        <f>IF($A19&lt;&gt;"",PROPER(INDEX(NXetHKI!$B$3:$CL$57,MATCH(NxGvHKI!$A19,NXetHKI!$B$3:$B$57,0),4)),"")</f>
        <v>Duyên</v>
      </c>
      <c r="D19" s="359" t="str">
        <f>IF($A19&lt;&gt;"",PROPER(INDEX(NXetHKI!$B$3:$CL$57,MATCH(NxGvHKI!$A19,NXetHKI!$B$3:$B$57,0),5)),"")</f>
        <v>16/11/2004</v>
      </c>
      <c r="E19" s="101">
        <f>IF($A19&lt;&gt;"",INDEX(NXetHKI!$B$3:$CL$57,MATCH(NxGvHKI!$A19,NXetHKI!$B$3:$B$57,0),INDEX($J$11:$L$24,MATCH($C$7,$J$11:$J$24,0),K$10)),"")</f>
        <v>9.9</v>
      </c>
      <c r="F19" s="830" t="str">
        <f>IF($A19&lt;&gt;"",INDEX(NXetHKI!$B$3:$CL$57,MATCH(NxGvHKI!$A19,NXetHKI!$B$3:$B$57,0),INDEX($J$11:$L$24,MATCH($C$7,$J$11:$J$24,0),L$10)),"")</f>
        <v>Ngoan, tích cực xây dựng bài, nắm chắc thực hành, học giỏi.</v>
      </c>
      <c r="G19" s="367"/>
      <c r="J19" s="1" t="s">
        <v>33</v>
      </c>
      <c r="K19" s="355">
        <v>54</v>
      </c>
      <c r="L19" s="355">
        <v>56</v>
      </c>
      <c r="M19" s="355"/>
      <c r="N19" s="355"/>
      <c r="O19" s="355"/>
      <c r="P19" s="355"/>
      <c r="Q19" s="355"/>
      <c r="R19" s="252"/>
      <c r="S19" s="252"/>
      <c r="T19" s="252"/>
      <c r="U19" s="252"/>
      <c r="V19" s="252"/>
      <c r="W19" s="252"/>
      <c r="X19" s="252"/>
      <c r="Y19" s="252"/>
      <c r="Z19" s="252"/>
      <c r="AA19" s="252"/>
      <c r="AB19" s="252"/>
      <c r="AC19" s="252"/>
      <c r="AD19" s="252"/>
    </row>
    <row r="20" spans="1:30" ht="45" customHeight="1">
      <c r="A20" s="260">
        <f>IF(A19&lt;MAX(NXetHKI!$B$3:$B$57),A19+1,"")</f>
        <v>10</v>
      </c>
      <c r="B20" s="106" t="str">
        <f>IF($A20&lt;&gt;"",PROPER(INDEX(NXetHKI!$B$3:$CL$57,MATCH(NxGvHKI!$A20,NXetHKI!$B$3:$B$57,0),3)),"")</f>
        <v>Trương Đắc</v>
      </c>
      <c r="C20" s="261" t="str">
        <f>IF($A20&lt;&gt;"",PROPER(INDEX(NXetHKI!$B$3:$CL$57,MATCH(NxGvHKI!$A20,NXetHKI!$B$3:$B$57,0),4)),"")</f>
        <v>Điền</v>
      </c>
      <c r="D20" s="360" t="str">
        <f>IF($A20&lt;&gt;"",PROPER(INDEX(NXetHKI!$B$3:$CL$57,MATCH(NxGvHKI!$A20,NXetHKI!$B$3:$B$57,0),5)),"")</f>
        <v>08/05/2004</v>
      </c>
      <c r="E20" s="107">
        <f>IF($A20&lt;&gt;"",INDEX(NXetHKI!$B$3:$CL$57,MATCH(NxGvHKI!$A20,NXetHKI!$B$3:$B$57,0),INDEX($J$11:$L$24,MATCH($C$7,$J$11:$J$24,0),K$10)),"")</f>
        <v>9.9</v>
      </c>
      <c r="F20" s="831" t="str">
        <f>IF($A20&lt;&gt;"",INDEX(NXetHKI!$B$3:$CL$57,MATCH(NxGvHKI!$A20,NXetHKI!$B$3:$B$57,0),INDEX($J$11:$L$24,MATCH($C$7,$J$11:$J$24,0),L$10)),"")</f>
        <v>Siêng năng, lễ phép, thành thạo thực hành, học giỏi.</v>
      </c>
      <c r="G20" s="368"/>
      <c r="J20" s="1" t="s">
        <v>60</v>
      </c>
      <c r="K20" s="355">
        <v>60</v>
      </c>
      <c r="L20" s="355">
        <v>62</v>
      </c>
      <c r="M20" s="355"/>
      <c r="N20" s="355"/>
      <c r="O20" s="355"/>
      <c r="P20" s="355"/>
      <c r="Q20" s="355"/>
      <c r="R20" s="252"/>
      <c r="S20" s="252"/>
      <c r="T20" s="252"/>
      <c r="U20" s="252"/>
      <c r="V20" s="252"/>
      <c r="W20" s="252"/>
      <c r="X20" s="252"/>
      <c r="Y20" s="252"/>
      <c r="Z20" s="252"/>
      <c r="AA20" s="252"/>
      <c r="AB20" s="252"/>
      <c r="AC20" s="252"/>
      <c r="AD20" s="252"/>
    </row>
    <row r="21" spans="1:30" ht="45" customHeight="1">
      <c r="A21" s="264">
        <f>IF(A20&lt;MAX(NXetHKI!$B$3:$B$57),A20+1,"")</f>
        <v>11</v>
      </c>
      <c r="B21" s="112" t="str">
        <f>IF($A21&lt;&gt;"",PROPER(INDEX(NXetHKI!$B$3:$CL$57,MATCH(NxGvHKI!$A21,NXetHKI!$B$3:$B$57,0),3)),"")</f>
        <v>Hồ Ngọc</v>
      </c>
      <c r="C21" s="265" t="str">
        <f>IF($A21&lt;&gt;"",PROPER(INDEX(NXetHKI!$B$3:$CL$57,MATCH(NxGvHKI!$A21,NXetHKI!$B$3:$B$57,0),4)),"")</f>
        <v>Hải</v>
      </c>
      <c r="D21" s="361" t="str">
        <f>IF($A21&lt;&gt;"",PROPER(INDEX(NXetHKI!$B$3:$CL$57,MATCH(NxGvHKI!$A21,NXetHKI!$B$3:$B$57,0),5)),"")</f>
        <v>25/10/2004</v>
      </c>
      <c r="E21" s="113">
        <f>IF($A21&lt;&gt;"",INDEX(NXetHKI!$B$3:$CL$57,MATCH(NxGvHKI!$A21,NXetHKI!$B$3:$B$57,0),INDEX($J$11:$L$24,MATCH($C$7,$J$11:$J$24,0),K$10)),"")</f>
        <v>9.4</v>
      </c>
      <c r="F21" s="829" t="str">
        <f>IF($A21&lt;&gt;"",INDEX(NXetHKI!$B$3:$CL$57,MATCH(NxGvHKI!$A21,NXetHKI!$B$3:$B$57,0),INDEX($J$11:$L$24,MATCH($C$7,$J$11:$J$24,0),L$10)),"")</f>
        <v>Tích cực, năng động, nắm bài tốt, học giỏi.</v>
      </c>
      <c r="G21" s="369"/>
      <c r="J21" s="1" t="s">
        <v>34</v>
      </c>
      <c r="K21" s="355">
        <v>66</v>
      </c>
      <c r="L21" s="355">
        <v>68</v>
      </c>
      <c r="M21" s="355"/>
      <c r="N21" s="355"/>
      <c r="O21" s="355"/>
      <c r="P21" s="355"/>
      <c r="Q21" s="355"/>
      <c r="R21" s="252"/>
      <c r="S21" s="252"/>
      <c r="T21" s="252"/>
      <c r="U21" s="252"/>
      <c r="V21" s="252"/>
      <c r="W21" s="252"/>
      <c r="X21" s="252"/>
      <c r="Y21" s="252"/>
      <c r="Z21" s="252"/>
      <c r="AA21" s="252"/>
      <c r="AB21" s="252"/>
      <c r="AC21" s="252"/>
      <c r="AD21" s="252"/>
    </row>
    <row r="22" spans="1:30" ht="45" customHeight="1">
      <c r="A22" s="117">
        <f>IF(A21&lt;MAX(NXetHKI!$B$3:$B$57),A21+1,"")</f>
        <v>12</v>
      </c>
      <c r="B22" s="100" t="str">
        <f>IF($A22&lt;&gt;"",PROPER(INDEX(NXetHKI!$B$3:$CL$57,MATCH(NxGvHKI!$A22,NXetHKI!$B$3:$B$57,0),3)),"")</f>
        <v>Hồ Sơn</v>
      </c>
      <c r="C22" s="257" t="str">
        <f>IF($A22&lt;&gt;"",PROPER(INDEX(NXetHKI!$B$3:$CL$57,MATCH(NxGvHKI!$A22,NXetHKI!$B$3:$B$57,0),4)),"")</f>
        <v>Hậu</v>
      </c>
      <c r="D22" s="359" t="str">
        <f>IF($A22&lt;&gt;"",PROPER(INDEX(NXetHKI!$B$3:$CL$57,MATCH(NxGvHKI!$A22,NXetHKI!$B$3:$B$57,0),5)),"")</f>
        <v>08/01/2004</v>
      </c>
      <c r="E22" s="101">
        <f>IF($A22&lt;&gt;"",INDEX(NXetHKI!$B$3:$CL$57,MATCH(NxGvHKI!$A22,NXetHKI!$B$3:$B$57,0),INDEX($J$11:$L$24,MATCH($C$7,$J$11:$J$24,0),K$10)),"")</f>
        <v>9.9</v>
      </c>
      <c r="F22" s="830" t="str">
        <f>IF($A22&lt;&gt;"",INDEX(NXetHKI!$B$3:$CL$57,MATCH(NxGvHKI!$A22,NXetHKI!$B$3:$B$57,0),INDEX($J$11:$L$24,MATCH($C$7,$J$11:$J$24,0),L$10)),"")</f>
        <v>Ngoan, tích cực xây dựng bài, nắm chắc thực hành, học giỏi.</v>
      </c>
      <c r="G22" s="367"/>
      <c r="J22" s="1" t="s">
        <v>35</v>
      </c>
      <c r="K22" s="355">
        <v>72</v>
      </c>
      <c r="L22" s="355">
        <v>74</v>
      </c>
      <c r="M22" s="355"/>
      <c r="N22" s="355"/>
      <c r="O22" s="355"/>
      <c r="P22" s="355"/>
      <c r="Q22" s="355"/>
      <c r="R22" s="252"/>
      <c r="S22" s="252"/>
      <c r="T22" s="252"/>
      <c r="U22" s="252"/>
      <c r="V22" s="252"/>
      <c r="W22" s="252"/>
      <c r="X22" s="252"/>
      <c r="Y22" s="252"/>
      <c r="Z22" s="252"/>
      <c r="AA22" s="252"/>
      <c r="AB22" s="252"/>
      <c r="AC22" s="252"/>
      <c r="AD22" s="252"/>
    </row>
    <row r="23" spans="1:30" ht="45" customHeight="1">
      <c r="A23" s="117">
        <f>IF(A22&lt;MAX(NXetHKI!$B$3:$B$57),A22+1,"")</f>
        <v>13</v>
      </c>
      <c r="B23" s="100" t="str">
        <f>IF($A23&lt;&gt;"",PROPER(INDEX(NXetHKI!$B$3:$CL$57,MATCH(NxGvHKI!$A23,NXetHKI!$B$3:$B$57,0),3)),"")</f>
        <v xml:space="preserve">Nguyễn Thị Thu </v>
      </c>
      <c r="C23" s="257" t="str">
        <f>IF($A23&lt;&gt;"",PROPER(INDEX(NXetHKI!$B$3:$CL$57,MATCH(NxGvHKI!$A23,NXetHKI!$B$3:$B$57,0),4)),"")</f>
        <v>Hiền</v>
      </c>
      <c r="D23" s="359" t="str">
        <f>IF($A23&lt;&gt;"",PROPER(INDEX(NXetHKI!$B$3:$CL$57,MATCH(NxGvHKI!$A23,NXetHKI!$B$3:$B$57,0),5)),"")</f>
        <v>20/05/2004</v>
      </c>
      <c r="E23" s="101">
        <f>IF($A23&lt;&gt;"",INDEX(NXetHKI!$B$3:$CL$57,MATCH(NxGvHKI!$A23,NXetHKI!$B$3:$B$57,0),INDEX($J$11:$L$24,MATCH($C$7,$J$11:$J$24,0),K$10)),"")</f>
        <v>9.4</v>
      </c>
      <c r="F23" s="830" t="str">
        <f>IF($A23&lt;&gt;"",INDEX(NXetHKI!$B$3:$CL$57,MATCH(NxGvHKI!$A23,NXetHKI!$B$3:$B$57,0),INDEX($J$11:$L$24,MATCH($C$7,$J$11:$J$24,0),L$10)),"")</f>
        <v>Siêng năng, lễ phép, thành thạo thực hành, học giỏi.</v>
      </c>
      <c r="G23" s="367"/>
      <c r="J23" s="1" t="s">
        <v>121</v>
      </c>
      <c r="K23" s="355">
        <v>78</v>
      </c>
      <c r="L23" s="355">
        <v>80</v>
      </c>
      <c r="M23" s="355"/>
      <c r="N23" s="355"/>
      <c r="O23" s="355"/>
      <c r="P23" s="355"/>
      <c r="Q23" s="355"/>
      <c r="R23" s="252"/>
      <c r="S23" s="252"/>
      <c r="T23" s="252"/>
      <c r="U23" s="252"/>
      <c r="V23" s="252"/>
      <c r="W23" s="252"/>
      <c r="X23" s="252"/>
      <c r="Y23" s="252"/>
      <c r="Z23" s="252"/>
      <c r="AA23" s="252"/>
      <c r="AB23" s="252"/>
      <c r="AC23" s="252"/>
      <c r="AD23" s="252"/>
    </row>
    <row r="24" spans="1:30" ht="45" customHeight="1">
      <c r="A24" s="117">
        <f>IF(A23&lt;MAX(NXetHKI!$B$3:$B$57),A23+1,"")</f>
        <v>14</v>
      </c>
      <c r="B24" s="100" t="str">
        <f>IF($A24&lt;&gt;"",PROPER(INDEX(NXetHKI!$B$3:$CL$57,MATCH(NxGvHKI!$A24,NXetHKI!$B$3:$B$57,0),3)),"")</f>
        <v>Lê Phan Ngọc</v>
      </c>
      <c r="C24" s="257" t="str">
        <f>IF($A24&lt;&gt;"",PROPER(INDEX(NXetHKI!$B$3:$CL$57,MATCH(NxGvHKI!$A24,NXetHKI!$B$3:$B$57,0),4)),"")</f>
        <v>Hiếu</v>
      </c>
      <c r="D24" s="359" t="str">
        <f>IF($A24&lt;&gt;"",PROPER(INDEX(NXetHKI!$B$3:$CL$57,MATCH(NxGvHKI!$A24,NXetHKI!$B$3:$B$57,0),5)),"")</f>
        <v>01/02/2004</v>
      </c>
      <c r="E24" s="101">
        <f>IF($A24&lt;&gt;"",INDEX(NXetHKI!$B$3:$CL$57,MATCH(NxGvHKI!$A24,NXetHKI!$B$3:$B$57,0),INDEX($J$11:$L$24,MATCH($C$7,$J$11:$J$24,0),K$10)),"")</f>
        <v>9.9</v>
      </c>
      <c r="F24" s="830" t="str">
        <f>IF($A24&lt;&gt;"",INDEX(NXetHKI!$B$3:$CL$57,MATCH(NxGvHKI!$A24,NXetHKI!$B$3:$B$57,0),INDEX($J$11:$L$24,MATCH($C$7,$J$11:$J$24,0),L$10)),"")</f>
        <v>Tích cực, năng động, nắm bài tốt, học giỏi.</v>
      </c>
      <c r="G24" s="367"/>
      <c r="J24" s="1" t="s">
        <v>122</v>
      </c>
      <c r="K24" s="355">
        <v>84</v>
      </c>
      <c r="L24" s="355">
        <v>86</v>
      </c>
      <c r="M24" s="355"/>
      <c r="N24" s="355"/>
      <c r="O24" s="355"/>
      <c r="P24" s="355"/>
      <c r="Q24" s="355"/>
      <c r="R24" s="252"/>
      <c r="S24" s="252"/>
      <c r="T24" s="252"/>
      <c r="U24" s="252"/>
      <c r="V24" s="252"/>
      <c r="W24" s="252"/>
      <c r="X24" s="252"/>
      <c r="Y24" s="252"/>
      <c r="Z24" s="252"/>
      <c r="AA24" s="252"/>
      <c r="AB24" s="252"/>
      <c r="AC24" s="252"/>
      <c r="AD24" s="252"/>
    </row>
    <row r="25" spans="1:30" ht="45" customHeight="1">
      <c r="A25" s="260">
        <f>IF(A24&lt;MAX(NXetHKI!$B$3:$B$57),A24+1,"")</f>
        <v>15</v>
      </c>
      <c r="B25" s="106" t="str">
        <f>IF($A25&lt;&gt;"",PROPER(INDEX(NXetHKI!$B$3:$CL$57,MATCH(NxGvHKI!$A25,NXetHKI!$B$3:$B$57,0),3)),"")</f>
        <v>Trần Hoàng</v>
      </c>
      <c r="C25" s="261" t="str">
        <f>IF($A25&lt;&gt;"",PROPER(INDEX(NXetHKI!$B$3:$CL$57,MATCH(NxGvHKI!$A25,NXetHKI!$B$3:$B$57,0),4)),"")</f>
        <v>Hưng</v>
      </c>
      <c r="D25" s="360" t="str">
        <f>IF($A25&lt;&gt;"",PROPER(INDEX(NXetHKI!$B$3:$CL$57,MATCH(NxGvHKI!$A25,NXetHKI!$B$3:$B$57,0),5)),"")</f>
        <v>11/06/2004</v>
      </c>
      <c r="E25" s="107">
        <f>IF($A25&lt;&gt;"",INDEX(NXetHKI!$B$3:$CL$57,MATCH(NxGvHKI!$A25,NXetHKI!$B$3:$B$57,0),INDEX($J$11:$L$24,MATCH($C$7,$J$11:$J$24,0),K$10)),"")</f>
        <v>9.9</v>
      </c>
      <c r="F25" s="831" t="str">
        <f>IF($A25&lt;&gt;"",INDEX(NXetHKI!$B$3:$CL$57,MATCH(NxGvHKI!$A25,NXetHKI!$B$3:$B$57,0),INDEX($J$11:$L$24,MATCH($C$7,$J$11:$J$24,0),L$10)),"")</f>
        <v>Ngoan, tích cực xây dựng bài, nắm chắc thực hành, học giỏi.</v>
      </c>
      <c r="G25" s="368"/>
      <c r="J25" s="1" t="s">
        <v>247</v>
      </c>
      <c r="K25" s="355"/>
      <c r="L25" s="355"/>
      <c r="M25" s="355"/>
      <c r="N25" s="355"/>
      <c r="O25" s="355"/>
      <c r="P25" s="355"/>
      <c r="Q25" s="355"/>
    </row>
    <row r="26" spans="1:30" ht="45" customHeight="1">
      <c r="A26" s="264">
        <f>IF(A25&lt;MAX(NXetHKI!$B$3:$B$57),A25+1,"")</f>
        <v>16</v>
      </c>
      <c r="B26" s="112" t="str">
        <f>IF($A26&lt;&gt;"",PROPER(INDEX(NXetHKI!$B$3:$CL$57,MATCH(NxGvHKI!$A26,NXetHKI!$B$3:$B$57,0),3)),"")</f>
        <v>Trần Đăng</v>
      </c>
      <c r="C26" s="265" t="str">
        <f>IF($A26&lt;&gt;"",PROPER(INDEX(NXetHKI!$B$3:$CL$57,MATCH(NxGvHKI!$A26,NXetHKI!$B$3:$B$57,0),4)),"")</f>
        <v>Khải</v>
      </c>
      <c r="D26" s="361" t="str">
        <f>IF($A26&lt;&gt;"",PROPER(INDEX(NXetHKI!$B$3:$CL$57,MATCH(NxGvHKI!$A26,NXetHKI!$B$3:$B$57,0),5)),"")</f>
        <v>22/04/2004</v>
      </c>
      <c r="E26" s="113">
        <f>IF($A26&lt;&gt;"",INDEX(NXetHKI!$B$3:$CL$57,MATCH(NxGvHKI!$A26,NXetHKI!$B$3:$B$57,0),INDEX($J$11:$L$24,MATCH($C$7,$J$11:$J$24,0),K$10)),"")</f>
        <v>9.9</v>
      </c>
      <c r="F26" s="829" t="str">
        <f>IF($A26&lt;&gt;"",INDEX(NXetHKI!$B$3:$CL$57,MATCH(NxGvHKI!$A26,NXetHKI!$B$3:$B$57,0),INDEX($J$11:$L$24,MATCH($C$7,$J$11:$J$24,0),L$10)),"")</f>
        <v>Siêng năng, lễ phép, thành thạo thực hành, học giỏi.</v>
      </c>
      <c r="G26" s="369"/>
    </row>
    <row r="27" spans="1:30" ht="45" customHeight="1">
      <c r="A27" s="117">
        <f>IF(A26&lt;MAX(NXetHKI!$B$3:$B$57),A26+1,"")</f>
        <v>17</v>
      </c>
      <c r="B27" s="100" t="str">
        <f>IF($A27&lt;&gt;"",PROPER(INDEX(NXetHKI!$B$3:$CL$57,MATCH(NxGvHKI!$A27,NXetHKI!$B$3:$B$57,0),3)),"")</f>
        <v>Nguyễn Huỳnh Phúc</v>
      </c>
      <c r="C27" s="257" t="str">
        <f>IF($A27&lt;&gt;"",PROPER(INDEX(NXetHKI!$B$3:$CL$57,MATCH(NxGvHKI!$A27,NXetHKI!$B$3:$B$57,0),4)),"")</f>
        <v>Khang</v>
      </c>
      <c r="D27" s="359" t="str">
        <f>IF($A27&lt;&gt;"",PROPER(INDEX(NXetHKI!$B$3:$CL$57,MATCH(NxGvHKI!$A27,NXetHKI!$B$3:$B$57,0),5)),"")</f>
        <v>14/12/2004</v>
      </c>
      <c r="E27" s="101">
        <f>IF($A27&lt;&gt;"",INDEX(NXetHKI!$B$3:$CL$57,MATCH(NxGvHKI!$A27,NXetHKI!$B$3:$B$57,0),INDEX($J$11:$L$24,MATCH($C$7,$J$11:$J$24,0),K$10)),"")</f>
        <v>9.9</v>
      </c>
      <c r="F27" s="830" t="str">
        <f>IF($A27&lt;&gt;"",INDEX(NXetHKI!$B$3:$CL$57,MATCH(NxGvHKI!$A27,NXetHKI!$B$3:$B$57,0),INDEX($J$11:$L$24,MATCH($C$7,$J$11:$J$24,0),L$10)),"")</f>
        <v>Tích cực, năng động, nắm bài tốt, học giỏi.</v>
      </c>
      <c r="G27" s="367"/>
    </row>
    <row r="28" spans="1:30" ht="45" customHeight="1">
      <c r="A28" s="117">
        <f>IF(A27&lt;MAX(NXetHKI!$B$3:$B$57),A27+1,"")</f>
        <v>18</v>
      </c>
      <c r="B28" s="100" t="str">
        <f>IF($A28&lt;&gt;"",PROPER(INDEX(NXetHKI!$B$3:$CL$57,MATCH(NxGvHKI!$A28,NXetHKI!$B$3:$B$57,0),3)),"")</f>
        <v>Nguyễn Đăng</v>
      </c>
      <c r="C28" s="257" t="str">
        <f>IF($A28&lt;&gt;"",PROPER(INDEX(NXetHKI!$B$3:$CL$57,MATCH(NxGvHKI!$A28,NXetHKI!$B$3:$B$57,0),4)),"")</f>
        <v>Khoa</v>
      </c>
      <c r="D28" s="359" t="str">
        <f>IF($A28&lt;&gt;"",PROPER(INDEX(NXetHKI!$B$3:$CL$57,MATCH(NxGvHKI!$A28,NXetHKI!$B$3:$B$57,0),5)),"")</f>
        <v>07/11/2004</v>
      </c>
      <c r="E28" s="101">
        <f>IF($A28&lt;&gt;"",INDEX(NXetHKI!$B$3:$CL$57,MATCH(NxGvHKI!$A28,NXetHKI!$B$3:$B$57,0),INDEX($J$11:$L$24,MATCH($C$7,$J$11:$J$24,0),K$10)),"")</f>
        <v>9.9</v>
      </c>
      <c r="F28" s="830" t="str">
        <f>IF($A28&lt;&gt;"",INDEX(NXetHKI!$B$3:$CL$57,MATCH(NxGvHKI!$A28,NXetHKI!$B$3:$B$57,0),INDEX($J$11:$L$24,MATCH($C$7,$J$11:$J$24,0),L$10)),"")</f>
        <v>Ngoan, tích cực xây dựng bài, nắm chắc thực hành, học giỏi.</v>
      </c>
      <c r="G28" s="367"/>
    </row>
    <row r="29" spans="1:30" ht="45" customHeight="1">
      <c r="A29" s="117">
        <f>IF(A28&lt;MAX(NXetHKI!$B$3:$B$57),A28+1,"")</f>
        <v>19</v>
      </c>
      <c r="B29" s="100" t="str">
        <f>IF($A29&lt;&gt;"",PROPER(INDEX(NXetHKI!$B$3:$CL$57,MATCH(NxGvHKI!$A29,NXetHKI!$B$3:$B$57,0),3)),"")</f>
        <v>Lê Tiến</v>
      </c>
      <c r="C29" s="257" t="str">
        <f>IF($A29&lt;&gt;"",PROPER(INDEX(NXetHKI!$B$3:$CL$57,MATCH(NxGvHKI!$A29,NXetHKI!$B$3:$B$57,0),4)),"")</f>
        <v>Khôi</v>
      </c>
      <c r="D29" s="359" t="str">
        <f>IF($A29&lt;&gt;"",PROPER(INDEX(NXetHKI!$B$3:$CL$57,MATCH(NxGvHKI!$A29,NXetHKI!$B$3:$B$57,0),5)),"")</f>
        <v>14/10/2004</v>
      </c>
      <c r="E29" s="101">
        <f>IF($A29&lt;&gt;"",INDEX(NXetHKI!$B$3:$CL$57,MATCH(NxGvHKI!$A29,NXetHKI!$B$3:$B$57,0),INDEX($J$11:$L$24,MATCH($C$7,$J$11:$J$24,0),K$10)),"")</f>
        <v>9.9</v>
      </c>
      <c r="F29" s="830" t="str">
        <f>IF($A29&lt;&gt;"",INDEX(NXetHKI!$B$3:$CL$57,MATCH(NxGvHKI!$A29,NXetHKI!$B$3:$B$57,0),INDEX($J$11:$L$24,MATCH($C$7,$J$11:$J$24,0),L$10)),"")</f>
        <v>Siêng năng, lễ phép, thành thạo thực hành, học giỏi.</v>
      </c>
      <c r="G29" s="367"/>
    </row>
    <row r="30" spans="1:30" ht="45" customHeight="1">
      <c r="A30" s="260">
        <f>IF(A29&lt;MAX(NXetHKI!$B$3:$B$57),A29+1,"")</f>
        <v>20</v>
      </c>
      <c r="B30" s="106" t="str">
        <f>IF($A30&lt;&gt;"",PROPER(INDEX(NXetHKI!$B$3:$CL$57,MATCH(NxGvHKI!$A30,NXetHKI!$B$3:$B$57,0),3)),"")</f>
        <v>Nguyễn Phúc</v>
      </c>
      <c r="C30" s="261" t="str">
        <f>IF($A30&lt;&gt;"",PROPER(INDEX(NXetHKI!$B$3:$CL$57,MATCH(NxGvHKI!$A30,NXetHKI!$B$3:$B$57,0),4)),"")</f>
        <v>Lâm</v>
      </c>
      <c r="D30" s="360" t="str">
        <f>IF($A30&lt;&gt;"",PROPER(INDEX(NXetHKI!$B$3:$CL$57,MATCH(NxGvHKI!$A30,NXetHKI!$B$3:$B$57,0),5)),"")</f>
        <v>02/04/2004</v>
      </c>
      <c r="E30" s="107">
        <f>IF($A30&lt;&gt;"",INDEX(NXetHKI!$B$3:$CL$57,MATCH(NxGvHKI!$A30,NXetHKI!$B$3:$B$57,0),INDEX($J$11:$L$24,MATCH($C$7,$J$11:$J$24,0),K$10)),"")</f>
        <v>9.9</v>
      </c>
      <c r="F30" s="831" t="str">
        <f>IF($A30&lt;&gt;"",INDEX(NXetHKI!$B$3:$CL$57,MATCH(NxGvHKI!$A30,NXetHKI!$B$3:$B$57,0),INDEX($J$11:$L$24,MATCH($C$7,$J$11:$J$24,0),L$10)),"")</f>
        <v>Tích cực, năng động, nắm bài tốt, học giỏi.</v>
      </c>
      <c r="G30" s="368"/>
    </row>
    <row r="31" spans="1:30" ht="45" customHeight="1">
      <c r="A31" s="264">
        <f>IF(A30&lt;MAX(NXetHKI!$B$3:$B$57),A30+1,"")</f>
        <v>21</v>
      </c>
      <c r="B31" s="112" t="str">
        <f>IF($A31&lt;&gt;"",PROPER(INDEX(NXetHKI!$B$3:$CL$57,MATCH(NxGvHKI!$A31,NXetHKI!$B$3:$B$57,0),3)),"")</f>
        <v>Phạm Tấn</v>
      </c>
      <c r="C31" s="265" t="str">
        <f>IF($A31&lt;&gt;"",PROPER(INDEX(NXetHKI!$B$3:$CL$57,MATCH(NxGvHKI!$A31,NXetHKI!$B$3:$B$57,0),4)),"")</f>
        <v>Lộc</v>
      </c>
      <c r="D31" s="361" t="str">
        <f>IF($A31&lt;&gt;"",PROPER(INDEX(NXetHKI!$B$3:$CL$57,MATCH(NxGvHKI!$A31,NXetHKI!$B$3:$B$57,0),5)),"")</f>
        <v>05/07/2004</v>
      </c>
      <c r="E31" s="113">
        <f>IF($A31&lt;&gt;"",INDEX(NXetHKI!$B$3:$CL$57,MATCH(NxGvHKI!$A31,NXetHKI!$B$3:$B$57,0),INDEX($J$11:$L$24,MATCH($C$7,$J$11:$J$24,0),K$10)),"")</f>
        <v>9.9</v>
      </c>
      <c r="F31" s="829" t="str">
        <f>IF($A31&lt;&gt;"",INDEX(NXetHKI!$B$3:$CL$57,MATCH(NxGvHKI!$A31,NXetHKI!$B$3:$B$57,0),INDEX($J$11:$L$24,MATCH($C$7,$J$11:$J$24,0),L$10)),"")</f>
        <v>Ngoan, tích cực xây dựng bài, nắm chắc thực hành, học giỏi.</v>
      </c>
      <c r="G31" s="369"/>
    </row>
    <row r="32" spans="1:30" ht="45" customHeight="1">
      <c r="A32" s="117">
        <f>IF(A31&lt;MAX(NXetHKI!$B$3:$B$57),A31+1,"")</f>
        <v>22</v>
      </c>
      <c r="B32" s="100" t="str">
        <f>IF($A32&lt;&gt;"",PROPER(INDEX(NXetHKI!$B$3:$CL$57,MATCH(NxGvHKI!$A32,NXetHKI!$B$3:$B$57,0),3)),"")</f>
        <v xml:space="preserve">Phạm Thị Khả </v>
      </c>
      <c r="C32" s="257" t="str">
        <f>IF($A32&lt;&gt;"",PROPER(INDEX(NXetHKI!$B$3:$CL$57,MATCH(NxGvHKI!$A32,NXetHKI!$B$3:$B$57,0),4)),"")</f>
        <v>My</v>
      </c>
      <c r="D32" s="359" t="str">
        <f>IF($A32&lt;&gt;"",PROPER(INDEX(NXetHKI!$B$3:$CL$57,MATCH(NxGvHKI!$A32,NXetHKI!$B$3:$B$57,0),5)),"")</f>
        <v>28/02/2004</v>
      </c>
      <c r="E32" s="101">
        <f>IF($A32&lt;&gt;"",INDEX(NXetHKI!$B$3:$CL$57,MATCH(NxGvHKI!$A32,NXetHKI!$B$3:$B$57,0),INDEX($J$11:$L$24,MATCH($C$7,$J$11:$J$24,0),K$10)),"")</f>
        <v>9.9</v>
      </c>
      <c r="F32" s="830" t="str">
        <f>IF($A32&lt;&gt;"",INDEX(NXetHKI!$B$3:$CL$57,MATCH(NxGvHKI!$A32,NXetHKI!$B$3:$B$57,0),INDEX($J$11:$L$24,MATCH($C$7,$J$11:$J$24,0),L$10)),"")</f>
        <v>Siêng năng, lễ phép, thành thạo thực hành, học giỏi.</v>
      </c>
      <c r="G32" s="367"/>
    </row>
    <row r="33" spans="1:7" ht="45" customHeight="1">
      <c r="A33" s="117">
        <f>IF(A32&lt;MAX(NXetHKI!$B$3:$B$57),A32+1,"")</f>
        <v>23</v>
      </c>
      <c r="B33" s="100" t="str">
        <f>IF($A33&lt;&gt;"",PROPER(INDEX(NXetHKI!$B$3:$CL$57,MATCH(NxGvHKI!$A33,NXetHKI!$B$3:$B$57,0),3)),"")</f>
        <v>Lê</v>
      </c>
      <c r="C33" s="257" t="str">
        <f>IF($A33&lt;&gt;"",PROPER(INDEX(NXetHKI!$B$3:$CL$57,MATCH(NxGvHKI!$A33,NXetHKI!$B$3:$B$57,0),4)),"")</f>
        <v>Na</v>
      </c>
      <c r="D33" s="359" t="str">
        <f>IF($A33&lt;&gt;"",PROPER(INDEX(NXetHKI!$B$3:$CL$57,MATCH(NxGvHKI!$A33,NXetHKI!$B$3:$B$57,0),5)),"")</f>
        <v>29/02/2004</v>
      </c>
      <c r="E33" s="101">
        <f>IF($A33&lt;&gt;"",INDEX(NXetHKI!$B$3:$CL$57,MATCH(NxGvHKI!$A33,NXetHKI!$B$3:$B$57,0),INDEX($J$11:$L$24,MATCH($C$7,$J$11:$J$24,0),K$10)),"")</f>
        <v>9.4</v>
      </c>
      <c r="F33" s="830" t="str">
        <f>IF($A33&lt;&gt;"",INDEX(NXetHKI!$B$3:$CL$57,MATCH(NxGvHKI!$A33,NXetHKI!$B$3:$B$57,0),INDEX($J$11:$L$24,MATCH($C$7,$J$11:$J$24,0),L$10)),"")</f>
        <v>Tích cực, năng động, nắm bài tốt, học giỏi.</v>
      </c>
      <c r="G33" s="367"/>
    </row>
    <row r="34" spans="1:7" ht="45" customHeight="1">
      <c r="A34" s="117">
        <f>IF(A33&lt;MAX(NXetHKI!$B$3:$B$57),A33+1,"")</f>
        <v>24</v>
      </c>
      <c r="B34" s="100" t="str">
        <f>IF($A34&lt;&gt;"",PROPER(INDEX(NXetHKI!$B$3:$CL$57,MATCH(NxGvHKI!$A34,NXetHKI!$B$3:$B$57,0),3)),"")</f>
        <v>Quách Tống Minh</v>
      </c>
      <c r="C34" s="257" t="str">
        <f>IF($A34&lt;&gt;"",PROPER(INDEX(NXetHKI!$B$3:$CL$57,MATCH(NxGvHKI!$A34,NXetHKI!$B$3:$B$57,0),4)),"")</f>
        <v>Nhật</v>
      </c>
      <c r="D34" s="359" t="str">
        <f>IF($A34&lt;&gt;"",PROPER(INDEX(NXetHKI!$B$3:$CL$57,MATCH(NxGvHKI!$A34,NXetHKI!$B$3:$B$57,0),5)),"")</f>
        <v>01/12/2004</v>
      </c>
      <c r="E34" s="101">
        <f>IF($A34&lt;&gt;"",INDEX(NXetHKI!$B$3:$CL$57,MATCH(NxGvHKI!$A34,NXetHKI!$B$3:$B$57,0),INDEX($J$11:$L$24,MATCH($C$7,$J$11:$J$24,0),K$10)),"")</f>
        <v>9.9</v>
      </c>
      <c r="F34" s="830" t="str">
        <f>IF($A34&lt;&gt;"",INDEX(NXetHKI!$B$3:$CL$57,MATCH(NxGvHKI!$A34,NXetHKI!$B$3:$B$57,0),INDEX($J$11:$L$24,MATCH($C$7,$J$11:$J$24,0),L$10)),"")</f>
        <v>Ngoan, tích cực xây dựng bài, nắm chắc thực hành, học giỏi.</v>
      </c>
      <c r="G34" s="367"/>
    </row>
    <row r="35" spans="1:7" ht="45" customHeight="1">
      <c r="A35" s="260">
        <f>IF(A34&lt;MAX(NXetHKI!$B$3:$B$57),A34+1,"")</f>
        <v>25</v>
      </c>
      <c r="B35" s="106" t="str">
        <f>IF($A35&lt;&gt;"",PROPER(INDEX(NXetHKI!$B$3:$CL$57,MATCH(NxGvHKI!$A35,NXetHKI!$B$3:$B$57,0),3)),"")</f>
        <v>Nguyễn Thục</v>
      </c>
      <c r="C35" s="261" t="str">
        <f>IF($A35&lt;&gt;"",PROPER(INDEX(NXetHKI!$B$3:$CL$57,MATCH(NxGvHKI!$A35,NXetHKI!$B$3:$B$57,0),4)),"")</f>
        <v>Nhi</v>
      </c>
      <c r="D35" s="360" t="str">
        <f>IF($A35&lt;&gt;"",PROPER(INDEX(NXetHKI!$B$3:$CL$57,MATCH(NxGvHKI!$A35,NXetHKI!$B$3:$B$57,0),5)),"")</f>
        <v>04/10/2004</v>
      </c>
      <c r="E35" s="107">
        <f>IF($A35&lt;&gt;"",INDEX(NXetHKI!$B$3:$CL$57,MATCH(NxGvHKI!$A35,NXetHKI!$B$3:$B$57,0),INDEX($J$11:$L$24,MATCH($C$7,$J$11:$J$24,0),K$10)),"")</f>
        <v>9.9</v>
      </c>
      <c r="F35" s="831" t="str">
        <f>IF($A35&lt;&gt;"",INDEX(NXetHKI!$B$3:$CL$57,MATCH(NxGvHKI!$A35,NXetHKI!$B$3:$B$57,0),INDEX($J$11:$L$24,MATCH($C$7,$J$11:$J$24,0),L$10)),"")</f>
        <v>Siêng năng, lễ phép, thành thạo thực hành, học giỏi.</v>
      </c>
      <c r="G35" s="368"/>
    </row>
    <row r="36" spans="1:7" ht="45" customHeight="1">
      <c r="A36" s="264">
        <f>IF(A35&lt;MAX(NXetHKI!$B$3:$B$57),A35+1,"")</f>
        <v>26</v>
      </c>
      <c r="B36" s="112" t="str">
        <f>IF($A36&lt;&gt;"",PROPER(INDEX(NXetHKI!$B$3:$CL$57,MATCH(NxGvHKI!$A36,NXetHKI!$B$3:$B$57,0),3)),"")</f>
        <v>Trần Thị Hải</v>
      </c>
      <c r="C36" s="265" t="str">
        <f>IF($A36&lt;&gt;"",PROPER(INDEX(NXetHKI!$B$3:$CL$57,MATCH(NxGvHKI!$A36,NXetHKI!$B$3:$B$57,0),4)),"")</f>
        <v>Như</v>
      </c>
      <c r="D36" s="361" t="str">
        <f>IF($A36&lt;&gt;"",PROPER(INDEX(NXetHKI!$B$3:$CL$57,MATCH(NxGvHKI!$A36,NXetHKI!$B$3:$B$57,0),5)),"")</f>
        <v>17/08/2004</v>
      </c>
      <c r="E36" s="113">
        <f>IF($A36&lt;&gt;"",INDEX(NXetHKI!$B$3:$CL$57,MATCH(NxGvHKI!$A36,NXetHKI!$B$3:$B$57,0),INDEX($J$11:$L$24,MATCH($C$7,$J$11:$J$24,0),K$10)),"")</f>
        <v>9.9</v>
      </c>
      <c r="F36" s="829" t="str">
        <f>IF($A36&lt;&gt;"",INDEX(NXetHKI!$B$3:$CL$57,MATCH(NxGvHKI!$A36,NXetHKI!$B$3:$B$57,0),INDEX($J$11:$L$24,MATCH($C$7,$J$11:$J$24,0),L$10)),"")</f>
        <v>Tích cực, năng động, nắm bài tốt, học giỏi.</v>
      </c>
      <c r="G36" s="369"/>
    </row>
    <row r="37" spans="1:7" ht="45" customHeight="1">
      <c r="A37" s="117">
        <f>IF(A36&lt;MAX(NXetHKI!$B$3:$B$57),A36+1,"")</f>
        <v>27</v>
      </c>
      <c r="B37" s="100" t="str">
        <f>IF($A37&lt;&gt;"",PROPER(INDEX(NXetHKI!$B$3:$CL$57,MATCH(NxGvHKI!$A37,NXetHKI!$B$3:$B$57,0),3)),"")</f>
        <v>Nguyễn Bá Nhật</v>
      </c>
      <c r="C37" s="257" t="str">
        <f>IF($A37&lt;&gt;"",PROPER(INDEX(NXetHKI!$B$3:$CL$57,MATCH(NxGvHKI!$A37,NXetHKI!$B$3:$B$57,0),4)),"")</f>
        <v>Quang</v>
      </c>
      <c r="D37" s="359" t="str">
        <f>IF($A37&lt;&gt;"",PROPER(INDEX(NXetHKI!$B$3:$CL$57,MATCH(NxGvHKI!$A37,NXetHKI!$B$3:$B$57,0),5)),"")</f>
        <v>18/07/2004</v>
      </c>
      <c r="E37" s="101">
        <f>IF($A37&lt;&gt;"",INDEX(NXetHKI!$B$3:$CL$57,MATCH(NxGvHKI!$A37,NXetHKI!$B$3:$B$57,0),INDEX($J$11:$L$24,MATCH($C$7,$J$11:$J$24,0),K$10)),"")</f>
        <v>9.9</v>
      </c>
      <c r="F37" s="830" t="str">
        <f>IF($A37&lt;&gt;"",INDEX(NXetHKI!$B$3:$CL$57,MATCH(NxGvHKI!$A37,NXetHKI!$B$3:$B$57,0),INDEX($J$11:$L$24,MATCH($C$7,$J$11:$J$24,0),L$10)),"")</f>
        <v>Ngoan, tích cực xây dựng bài, nắm chắc thực hành, học giỏi.</v>
      </c>
      <c r="G37" s="367"/>
    </row>
    <row r="38" spans="1:7" ht="45" customHeight="1">
      <c r="A38" s="117">
        <f>IF(A37&lt;MAX(NXetHKI!$B$3:$B$57),A37+1,"")</f>
        <v>28</v>
      </c>
      <c r="B38" s="100" t="str">
        <f>IF($A38&lt;&gt;"",PROPER(INDEX(NXetHKI!$B$3:$CL$57,MATCH(NxGvHKI!$A38,NXetHKI!$B$3:$B$57,0),3)),"")</f>
        <v>Phan Trương Kiến</v>
      </c>
      <c r="C38" s="257" t="str">
        <f>IF($A38&lt;&gt;"",PROPER(INDEX(NXetHKI!$B$3:$CL$57,MATCH(NxGvHKI!$A38,NXetHKI!$B$3:$B$57,0),4)),"")</f>
        <v>Quốc</v>
      </c>
      <c r="D38" s="359" t="str">
        <f>IF($A38&lt;&gt;"",PROPER(INDEX(NXetHKI!$B$3:$CL$57,MATCH(NxGvHKI!$A38,NXetHKI!$B$3:$B$57,0),5)),"")</f>
        <v>03/12/2004</v>
      </c>
      <c r="E38" s="101">
        <f>IF($A38&lt;&gt;"",INDEX(NXetHKI!$B$3:$CL$57,MATCH(NxGvHKI!$A38,NXetHKI!$B$3:$B$57,0),INDEX($J$11:$L$24,MATCH($C$7,$J$11:$J$24,0),K$10)),"")</f>
        <v>9.9</v>
      </c>
      <c r="F38" s="830" t="str">
        <f>IF($A38&lt;&gt;"",INDEX(NXetHKI!$B$3:$CL$57,MATCH(NxGvHKI!$A38,NXetHKI!$B$3:$B$57,0),INDEX($J$11:$L$24,MATCH($C$7,$J$11:$J$24,0),L$10)),"")</f>
        <v>Siêng năng, lễ phép, thành thạo thực hành, học giỏi.</v>
      </c>
      <c r="G38" s="367"/>
    </row>
    <row r="39" spans="1:7" ht="45" customHeight="1">
      <c r="A39" s="117">
        <f>IF(A38&lt;MAX(NXetHKI!$B$3:$B$57),A38+1,"")</f>
        <v>29</v>
      </c>
      <c r="B39" s="100" t="str">
        <f>IF($A39&lt;&gt;"",PROPER(INDEX(NXetHKI!$B$3:$CL$57,MATCH(NxGvHKI!$A39,NXetHKI!$B$3:$B$57,0),3)),"")</f>
        <v>Trần Thị Như</v>
      </c>
      <c r="C39" s="257" t="str">
        <f>IF($A39&lt;&gt;"",PROPER(INDEX(NXetHKI!$B$3:$CL$57,MATCH(NxGvHKI!$A39,NXetHKI!$B$3:$B$57,0),4)),"")</f>
        <v>Quỳnh</v>
      </c>
      <c r="D39" s="359" t="str">
        <f>IF($A39&lt;&gt;"",PROPER(INDEX(NXetHKI!$B$3:$CL$57,MATCH(NxGvHKI!$A39,NXetHKI!$B$3:$B$57,0),5)),"")</f>
        <v>28/01/2004</v>
      </c>
      <c r="E39" s="101">
        <f>IF($A39&lt;&gt;"",INDEX(NXetHKI!$B$3:$CL$57,MATCH(NxGvHKI!$A39,NXetHKI!$B$3:$B$57,0),INDEX($J$11:$L$24,MATCH($C$7,$J$11:$J$24,0),K$10)),"")</f>
        <v>9.9</v>
      </c>
      <c r="F39" s="830" t="str">
        <f>IF($A39&lt;&gt;"",INDEX(NXetHKI!$B$3:$CL$57,MATCH(NxGvHKI!$A39,NXetHKI!$B$3:$B$57,0),INDEX($J$11:$L$24,MATCH($C$7,$J$11:$J$24,0),L$10)),"")</f>
        <v>Tích cực, năng động, nắm bài tốt, học giỏi.</v>
      </c>
      <c r="G39" s="367"/>
    </row>
    <row r="40" spans="1:7" ht="45" customHeight="1">
      <c r="A40" s="260">
        <f>IF(A39&lt;MAX(NXetHKI!$B$3:$B$57),A39+1,"")</f>
        <v>30</v>
      </c>
      <c r="B40" s="106" t="str">
        <f>IF($A40&lt;&gt;"",PROPER(INDEX(NXetHKI!$B$3:$CL$57,MATCH(NxGvHKI!$A40,NXetHKI!$B$3:$B$57,0),3)),"")</f>
        <v>Nguyễn Thái</v>
      </c>
      <c r="C40" s="261" t="str">
        <f>IF($A40&lt;&gt;"",PROPER(INDEX(NXetHKI!$B$3:$CL$57,MATCH(NxGvHKI!$A40,NXetHKI!$B$3:$B$57,0),4)),"")</f>
        <v>Sơn</v>
      </c>
      <c r="D40" s="360" t="str">
        <f>IF($A40&lt;&gt;"",PROPER(INDEX(NXetHKI!$B$3:$CL$57,MATCH(NxGvHKI!$A40,NXetHKI!$B$3:$B$57,0),5)),"")</f>
        <v>14/04/2004</v>
      </c>
      <c r="E40" s="107">
        <f>IF($A40&lt;&gt;"",INDEX(NXetHKI!$B$3:$CL$57,MATCH(NxGvHKI!$A40,NXetHKI!$B$3:$B$57,0),INDEX($J$11:$L$24,MATCH($C$7,$J$11:$J$24,0),K$10)),"")</f>
        <v>9.9</v>
      </c>
      <c r="F40" s="831" t="str">
        <f>IF($A40&lt;&gt;"",INDEX(NXetHKI!$B$3:$CL$57,MATCH(NxGvHKI!$A40,NXetHKI!$B$3:$B$57,0),INDEX($J$11:$L$24,MATCH($C$7,$J$11:$J$24,0),L$10)),"")</f>
        <v>Ngoan, tích cực xây dựng bài, nắm chắc thực hành, học giỏi.</v>
      </c>
      <c r="G40" s="368"/>
    </row>
    <row r="41" spans="1:7" ht="45" customHeight="1">
      <c r="A41" s="264">
        <f>IF(A40&lt;MAX(NXetHKI!$B$3:$B$57),A40+1,"")</f>
        <v>31</v>
      </c>
      <c r="B41" s="112" t="str">
        <f>IF($A41&lt;&gt;"",PROPER(INDEX(NXetHKI!$B$3:$CL$57,MATCH(NxGvHKI!$A41,NXetHKI!$B$3:$B$57,0),3)),"")</f>
        <v>Đặng Hoàng</v>
      </c>
      <c r="C41" s="265" t="str">
        <f>IF($A41&lt;&gt;"",PROPER(INDEX(NXetHKI!$B$3:$CL$57,MATCH(NxGvHKI!$A41,NXetHKI!$B$3:$B$57,0),4)),"")</f>
        <v>Tân</v>
      </c>
      <c r="D41" s="361" t="str">
        <f>IF($A41&lt;&gt;"",PROPER(INDEX(NXetHKI!$B$3:$CL$57,MATCH(NxGvHKI!$A41,NXetHKI!$B$3:$B$57,0),5)),"")</f>
        <v>26/09/2004</v>
      </c>
      <c r="E41" s="113">
        <f>IF($A41&lt;&gt;"",INDEX(NXetHKI!$B$3:$CL$57,MATCH(NxGvHKI!$A41,NXetHKI!$B$3:$B$57,0),INDEX($J$11:$L$24,MATCH($C$7,$J$11:$J$24,0),K$10)),"")</f>
        <v>9.9</v>
      </c>
      <c r="F41" s="829" t="str">
        <f>IF($A41&lt;&gt;"",INDEX(NXetHKI!$B$3:$CL$57,MATCH(NxGvHKI!$A41,NXetHKI!$B$3:$B$57,0),INDEX($J$11:$L$24,MATCH($C$7,$J$11:$J$24,0),L$10)),"")</f>
        <v>Siêng năng, lễ phép, thành thạo thực hành, học giỏi.</v>
      </c>
      <c r="G41" s="369"/>
    </row>
    <row r="42" spans="1:7" ht="45" customHeight="1">
      <c r="A42" s="117">
        <f>IF(A41&lt;MAX(NXetHKI!$B$3:$B$57),A41+1,"")</f>
        <v>32</v>
      </c>
      <c r="B42" s="100" t="str">
        <f>IF($A42&lt;&gt;"",PROPER(INDEX(NXetHKI!$B$3:$CL$57,MATCH(NxGvHKI!$A42,NXetHKI!$B$3:$B$57,0),3)),"")</f>
        <v>Hồ Quang</v>
      </c>
      <c r="C42" s="257" t="str">
        <f>IF($A42&lt;&gt;"",PROPER(INDEX(NXetHKI!$B$3:$CL$57,MATCH(NxGvHKI!$A42,NXetHKI!$B$3:$B$57,0),4)),"")</f>
        <v>Thành</v>
      </c>
      <c r="D42" s="359" t="str">
        <f>IF($A42&lt;&gt;"",PROPER(INDEX(NXetHKI!$B$3:$CL$57,MATCH(NxGvHKI!$A42,NXetHKI!$B$3:$B$57,0),5)),"")</f>
        <v>28/02/2004</v>
      </c>
      <c r="E42" s="101">
        <f>IF($A42&lt;&gt;"",INDEX(NXetHKI!$B$3:$CL$57,MATCH(NxGvHKI!$A42,NXetHKI!$B$3:$B$57,0),INDEX($J$11:$L$24,MATCH($C$7,$J$11:$J$24,0),K$10)),"")</f>
        <v>9.9</v>
      </c>
      <c r="F42" s="830" t="str">
        <f>IF($A42&lt;&gt;"",INDEX(NXetHKI!$B$3:$CL$57,MATCH(NxGvHKI!$A42,NXetHKI!$B$3:$B$57,0),INDEX($J$11:$L$24,MATCH($C$7,$J$11:$J$24,0),L$10)),"")</f>
        <v>Tích cực, năng động, nắm bài tốt, học giỏi.</v>
      </c>
      <c r="G42" s="367"/>
    </row>
    <row r="43" spans="1:7" ht="45" customHeight="1">
      <c r="A43" s="117">
        <f>IF(A42&lt;MAX(NXetHKI!$B$3:$B$57),A42+1,"")</f>
        <v>33</v>
      </c>
      <c r="B43" s="100" t="str">
        <f>IF($A43&lt;&gt;"",PROPER(INDEX(NXetHKI!$B$3:$CL$57,MATCH(NxGvHKI!$A43,NXetHKI!$B$3:$B$57,0),3)),"")</f>
        <v>Trần Thịnh</v>
      </c>
      <c r="C43" s="257" t="str">
        <f>IF($A43&lt;&gt;"",PROPER(INDEX(NXetHKI!$B$3:$CL$57,MATCH(NxGvHKI!$A43,NXetHKI!$B$3:$B$57,0),4)),"")</f>
        <v>Thịnh</v>
      </c>
      <c r="D43" s="359" t="str">
        <f>IF($A43&lt;&gt;"",PROPER(INDEX(NXetHKI!$B$3:$CL$57,MATCH(NxGvHKI!$A43,NXetHKI!$B$3:$B$57,0),5)),"")</f>
        <v>18/08/2004</v>
      </c>
      <c r="E43" s="101">
        <f>IF($A43&lt;&gt;"",INDEX(NXetHKI!$B$3:$CL$57,MATCH(NxGvHKI!$A43,NXetHKI!$B$3:$B$57,0),INDEX($J$11:$L$24,MATCH($C$7,$J$11:$J$24,0),K$10)),"")</f>
        <v>9.9</v>
      </c>
      <c r="F43" s="830" t="str">
        <f>IF($A43&lt;&gt;"",INDEX(NXetHKI!$B$3:$CL$57,MATCH(NxGvHKI!$A43,NXetHKI!$B$3:$B$57,0),INDEX($J$11:$L$24,MATCH($C$7,$J$11:$J$24,0),L$10)),"")</f>
        <v>Ngoan, tích cực xây dựng bài, nắm chắc thực hành, học giỏi.</v>
      </c>
      <c r="G43" s="367"/>
    </row>
    <row r="44" spans="1:7" ht="45" customHeight="1">
      <c r="A44" s="117">
        <f>IF(A43&lt;MAX(NXetHKI!$B$3:$B$57),A43+1,"")</f>
        <v>34</v>
      </c>
      <c r="B44" s="100" t="str">
        <f>IF($A44&lt;&gt;"",PROPER(INDEX(NXetHKI!$B$3:$CL$57,MATCH(NxGvHKI!$A44,NXetHKI!$B$3:$B$57,0),3)),"")</f>
        <v>Trần Kim Bảo</v>
      </c>
      <c r="C44" s="257" t="str">
        <f>IF($A44&lt;&gt;"",PROPER(INDEX(NXetHKI!$B$3:$CL$57,MATCH(NxGvHKI!$A44,NXetHKI!$B$3:$B$57,0),4)),"")</f>
        <v>Trân</v>
      </c>
      <c r="D44" s="359" t="str">
        <f>IF($A44&lt;&gt;"",PROPER(INDEX(NXetHKI!$B$3:$CL$57,MATCH(NxGvHKI!$A44,NXetHKI!$B$3:$B$57,0),5)),"")</f>
        <v>05/06/2004</v>
      </c>
      <c r="E44" s="101">
        <f>IF($A44&lt;&gt;"",INDEX(NXetHKI!$B$3:$CL$57,MATCH(NxGvHKI!$A44,NXetHKI!$B$3:$B$57,0),INDEX($J$11:$L$24,MATCH($C$7,$J$11:$J$24,0),K$10)),"")</f>
        <v>9.9</v>
      </c>
      <c r="F44" s="830" t="str">
        <f>IF($A44&lt;&gt;"",INDEX(NXetHKI!$B$3:$CL$57,MATCH(NxGvHKI!$A44,NXetHKI!$B$3:$B$57,0),INDEX($J$11:$L$24,MATCH($C$7,$J$11:$J$24,0),L$10)),"")</f>
        <v>Siêng năng, lễ phép, thành thạo thực hành, học giỏi.</v>
      </c>
      <c r="G44" s="367"/>
    </row>
    <row r="45" spans="1:7" ht="45" customHeight="1">
      <c r="A45" s="260">
        <f>IF(A44&lt;MAX(NXetHKI!$B$3:$B$57),A44+1,"")</f>
        <v>35</v>
      </c>
      <c r="B45" s="106" t="str">
        <f>IF($A45&lt;&gt;"",PROPER(INDEX(NXetHKI!$B$3:$CL$57,MATCH(NxGvHKI!$A45,NXetHKI!$B$3:$B$57,0),3)),"")</f>
        <v>Phạm Đức</v>
      </c>
      <c r="C45" s="261" t="str">
        <f>IF($A45&lt;&gt;"",PROPER(INDEX(NXetHKI!$B$3:$CL$57,MATCH(NxGvHKI!$A45,NXetHKI!$B$3:$B$57,0),4)),"")</f>
        <v>Trung</v>
      </c>
      <c r="D45" s="360" t="str">
        <f>IF($A45&lt;&gt;"",PROPER(INDEX(NXetHKI!$B$3:$CL$57,MATCH(NxGvHKI!$A45,NXetHKI!$B$3:$B$57,0),5)),"")</f>
        <v>07/10/2004</v>
      </c>
      <c r="E45" s="107">
        <f>IF($A45&lt;&gt;"",INDEX(NXetHKI!$B$3:$CL$57,MATCH(NxGvHKI!$A45,NXetHKI!$B$3:$B$57,0),INDEX($J$11:$L$24,MATCH($C$7,$J$11:$J$24,0),K$10)),"")</f>
        <v>9.9</v>
      </c>
      <c r="F45" s="831" t="str">
        <f>IF($A45&lt;&gt;"",INDEX(NXetHKI!$B$3:$CL$57,MATCH(NxGvHKI!$A45,NXetHKI!$B$3:$B$57,0),INDEX($J$11:$L$24,MATCH($C$7,$J$11:$J$24,0),L$10)),"")</f>
        <v>Tích cực, năng động, nắm bài tốt, học giỏi.</v>
      </c>
      <c r="G45" s="368"/>
    </row>
    <row r="46" spans="1:7" ht="45" customHeight="1">
      <c r="A46" s="264">
        <f>IF(A45&lt;MAX(NXetHKI!$B$3:$B$57),A45+1,"")</f>
        <v>36</v>
      </c>
      <c r="B46" s="112" t="str">
        <f>IF($A46&lt;&gt;"",PROPER(INDEX(NXetHKI!$B$3:$CL$57,MATCH(NxGvHKI!$A46,NXetHKI!$B$3:$B$57,0),3)),"")</f>
        <v>Võ Thủy</v>
      </c>
      <c r="C46" s="265" t="str">
        <f>IF($A46&lt;&gt;"",PROPER(INDEX(NXetHKI!$B$3:$CL$57,MATCH(NxGvHKI!$A46,NXetHKI!$B$3:$B$57,0),4)),"")</f>
        <v>Vân</v>
      </c>
      <c r="D46" s="361" t="str">
        <f>IF($A46&lt;&gt;"",PROPER(INDEX(NXetHKI!$B$3:$CL$57,MATCH(NxGvHKI!$A46,NXetHKI!$B$3:$B$57,0),5)),"")</f>
        <v>30/10/2004</v>
      </c>
      <c r="E46" s="113">
        <f>IF($A46&lt;&gt;"",INDEX(NXetHKI!$B$3:$CL$57,MATCH(NxGvHKI!$A46,NXetHKI!$B$3:$B$57,0),INDEX($J$11:$L$24,MATCH($C$7,$J$11:$J$24,0),K$10)),"")</f>
        <v>9.9</v>
      </c>
      <c r="F46" s="829" t="str">
        <f>IF($A46&lt;&gt;"",INDEX(NXetHKI!$B$3:$CL$57,MATCH(NxGvHKI!$A46,NXetHKI!$B$3:$B$57,0),INDEX($J$11:$L$24,MATCH($C$7,$J$11:$J$24,0),L$10)),"")</f>
        <v>Ngoan, tích cực xây dựng bài, nắm chắc thực hành, học giỏi.</v>
      </c>
      <c r="G46" s="369"/>
    </row>
    <row r="47" spans="1:7" ht="45" customHeight="1">
      <c r="A47" s="117" t="str">
        <f>IF(A46&lt;MAX(NXetHKI!$B$3:$B$57),A46+1,"")</f>
        <v/>
      </c>
      <c r="B47" s="100" t="str">
        <f>IF($A47&lt;&gt;"",PROPER(INDEX(NXetHKI!$B$3:$CL$57,MATCH(NxGvHKI!$A47,NXetHKI!$B$3:$B$57,0),3)),"")</f>
        <v/>
      </c>
      <c r="C47" s="257" t="str">
        <f>IF($A47&lt;&gt;"",PROPER(INDEX(NXetHKI!$B$3:$CL$57,MATCH(NxGvHKI!$A47,NXetHKI!$B$3:$B$57,0),4)),"")</f>
        <v/>
      </c>
      <c r="D47" s="359" t="str">
        <f>IF($A47&lt;&gt;"",PROPER(INDEX(NXetHKI!$B$3:$CL$57,MATCH(NxGvHKI!$A47,NXetHKI!$B$3:$B$57,0),5)),"")</f>
        <v/>
      </c>
      <c r="E47" s="101" t="str">
        <f>IF($A47&lt;&gt;"",INDEX(NXetHKI!$B$3:$CL$57,MATCH(NxGvHKI!$A47,NXetHKI!$B$3:$B$57,0),INDEX($J$11:$L$24,MATCH($C$7,$J$11:$J$24,0),K$10)),"")</f>
        <v/>
      </c>
      <c r="F47" s="830" t="str">
        <f>IF($A47&lt;&gt;"",INDEX(NXetHKI!$B$3:$CL$57,MATCH(NxGvHKI!$A47,NXetHKI!$B$3:$B$57,0),INDEX($J$11:$L$24,MATCH($C$7,$J$11:$J$24,0),L$10)),"")</f>
        <v/>
      </c>
      <c r="G47" s="367"/>
    </row>
    <row r="48" spans="1:7" ht="45" customHeight="1">
      <c r="A48" s="117" t="str">
        <f>IF(A47&lt;MAX(NXetHKI!$B$3:$B$57),A47+1,"")</f>
        <v/>
      </c>
      <c r="B48" s="100" t="str">
        <f>IF($A48&lt;&gt;"",PROPER(INDEX(NXetHKI!$B$3:$CL$57,MATCH(NxGvHKI!$A48,NXetHKI!$B$3:$B$57,0),3)),"")</f>
        <v/>
      </c>
      <c r="C48" s="257" t="str">
        <f>IF($A48&lt;&gt;"",PROPER(INDEX(NXetHKI!$B$3:$CL$57,MATCH(NxGvHKI!$A48,NXetHKI!$B$3:$B$57,0),4)),"")</f>
        <v/>
      </c>
      <c r="D48" s="359" t="str">
        <f>IF($A48&lt;&gt;"",PROPER(INDEX(NXetHKI!$B$3:$CL$57,MATCH(NxGvHKI!$A48,NXetHKI!$B$3:$B$57,0),5)),"")</f>
        <v/>
      </c>
      <c r="E48" s="101" t="str">
        <f>IF($A48&lt;&gt;"",INDEX(NXetHKI!$B$3:$CL$57,MATCH(NxGvHKI!$A48,NXetHKI!$B$3:$B$57,0),INDEX($J$11:$L$24,MATCH($C$7,$J$11:$J$24,0),K$10)),"")</f>
        <v/>
      </c>
      <c r="F48" s="830" t="str">
        <f>IF($A48&lt;&gt;"",INDEX(NXetHKI!$B$3:$CL$57,MATCH(NxGvHKI!$A48,NXetHKI!$B$3:$B$57,0),INDEX($J$11:$L$24,MATCH($C$7,$J$11:$J$24,0),L$10)),"")</f>
        <v/>
      </c>
      <c r="G48" s="367"/>
    </row>
    <row r="49" spans="1:7" ht="45" customHeight="1">
      <c r="A49" s="117" t="str">
        <f>IF(A48&lt;MAX(NXetHKI!$B$3:$B$57),A48+1,"")</f>
        <v/>
      </c>
      <c r="B49" s="100" t="str">
        <f>IF($A49&lt;&gt;"",PROPER(INDEX(NXetHKI!$B$3:$CL$57,MATCH(NxGvHKI!$A49,NXetHKI!$B$3:$B$57,0),3)),"")</f>
        <v/>
      </c>
      <c r="C49" s="257" t="str">
        <f>IF($A49&lt;&gt;"",PROPER(INDEX(NXetHKI!$B$3:$CL$57,MATCH(NxGvHKI!$A49,NXetHKI!$B$3:$B$57,0),4)),"")</f>
        <v/>
      </c>
      <c r="D49" s="359" t="str">
        <f>IF($A49&lt;&gt;"",PROPER(INDEX(NXetHKI!$B$3:$CL$57,MATCH(NxGvHKI!$A49,NXetHKI!$B$3:$B$57,0),5)),"")</f>
        <v/>
      </c>
      <c r="E49" s="101" t="str">
        <f>IF($A49&lt;&gt;"",INDEX(NXetHKI!$B$3:$CL$57,MATCH(NxGvHKI!$A49,NXetHKI!$B$3:$B$57,0),INDEX($J$11:$L$24,MATCH($C$7,$J$11:$J$24,0),K$10)),"")</f>
        <v/>
      </c>
      <c r="F49" s="830" t="str">
        <f>IF($A49&lt;&gt;"",INDEX(NXetHKI!$B$3:$CL$57,MATCH(NxGvHKI!$A49,NXetHKI!$B$3:$B$57,0),INDEX($J$11:$L$24,MATCH($C$7,$J$11:$J$24,0),L$10)),"")</f>
        <v/>
      </c>
      <c r="G49" s="367"/>
    </row>
    <row r="50" spans="1:7" ht="45" customHeight="1">
      <c r="A50" s="260" t="str">
        <f>IF(A49&lt;MAX(NXetHKI!$B$3:$B$57),A49+1,"")</f>
        <v/>
      </c>
      <c r="B50" s="106" t="str">
        <f>IF($A50&lt;&gt;"",PROPER(INDEX(NXetHKI!$B$3:$CL$57,MATCH(NxGvHKI!$A50,NXetHKI!$B$3:$B$57,0),3)),"")</f>
        <v/>
      </c>
      <c r="C50" s="261" t="str">
        <f>IF($A50&lt;&gt;"",PROPER(INDEX(NXetHKI!$B$3:$CL$57,MATCH(NxGvHKI!$A50,NXetHKI!$B$3:$B$57,0),4)),"")</f>
        <v/>
      </c>
      <c r="D50" s="360" t="str">
        <f>IF($A50&lt;&gt;"",PROPER(INDEX(NXetHKI!$B$3:$CL$57,MATCH(NxGvHKI!$A50,NXetHKI!$B$3:$B$57,0),5)),"")</f>
        <v/>
      </c>
      <c r="E50" s="107" t="str">
        <f>IF($A50&lt;&gt;"",INDEX(NXetHKI!$B$3:$CL$57,MATCH(NxGvHKI!$A50,NXetHKI!$B$3:$B$57,0),INDEX($J$11:$L$24,MATCH($C$7,$J$11:$J$24,0),K$10)),"")</f>
        <v/>
      </c>
      <c r="F50" s="831" t="str">
        <f>IF($A50&lt;&gt;"",INDEX(NXetHKI!$B$3:$CL$57,MATCH(NxGvHKI!$A50,NXetHKI!$B$3:$B$57,0),INDEX($J$11:$L$24,MATCH($C$7,$J$11:$J$24,0),L$10)),"")</f>
        <v/>
      </c>
      <c r="G50" s="368"/>
    </row>
    <row r="51" spans="1:7" ht="32.1" hidden="1" customHeight="1">
      <c r="A51" s="264" t="str">
        <f>IF(A50&lt;MAX(NXetHKI!$B$3:$B$57),A50+1,"")</f>
        <v/>
      </c>
      <c r="B51" s="112" t="str">
        <f>IF($A51&lt;&gt;"",PROPER(INDEX(NXetHKI!$B$3:$CL$57,MATCH(NxGvHKI!$A51,NXetHKI!$B$3:$B$57,0),3)),"")</f>
        <v/>
      </c>
      <c r="C51" s="265" t="str">
        <f>IF($A51&lt;&gt;"",PROPER(INDEX(NXetHKI!$B$3:$CL$57,MATCH(NxGvHKI!$A51,NXetHKI!$B$3:$B$57,0),4)),"")</f>
        <v/>
      </c>
      <c r="D51" s="361" t="str">
        <f>IF($A51&lt;&gt;"",PROPER(INDEX(NXetHKI!$B$3:$CL$57,MATCH(NxGvHKI!$A51,NXetHKI!$B$3:$B$57,0),5)),"")</f>
        <v/>
      </c>
      <c r="E51" s="113" t="str">
        <f>IF($A51&lt;&gt;"",INDEX(NXetHKI!$B$3:$CL$57,MATCH(NxGvHKI!$A51,NXetHKI!$B$3:$B$57,0),INDEX($J$11:$L$24,MATCH($C$7,$J$11:$J$24,0),K$10)),"")</f>
        <v/>
      </c>
      <c r="F51" s="829" t="str">
        <f>IF($A51&lt;&gt;"",INDEX(NXetHKI!$B$3:$CL$57,MATCH(NxGvHKI!$A51,NXetHKI!$B$3:$B$57,0),INDEX($J$11:$L$24,MATCH($C$7,$J$11:$J$24,0),L$10)),"")</f>
        <v/>
      </c>
      <c r="G51" s="369"/>
    </row>
    <row r="52" spans="1:7" ht="32.1" hidden="1" customHeight="1">
      <c r="A52" s="117" t="str">
        <f>IF(A51&lt;MAX(NXetHKI!$B$3:$B$57),A51+1,"")</f>
        <v/>
      </c>
      <c r="B52" s="100" t="str">
        <f>IF($A52&lt;&gt;"",PROPER(INDEX(NXetHKI!$B$3:$CL$57,MATCH(NxGvHKI!$A52,NXetHKI!$B$3:$B$57,0),3)),"")</f>
        <v/>
      </c>
      <c r="C52" s="257" t="str">
        <f>IF($A52&lt;&gt;"",PROPER(INDEX(NXetHKI!$B$3:$CL$57,MATCH(NxGvHKI!$A52,NXetHKI!$B$3:$B$57,0),4)),"")</f>
        <v/>
      </c>
      <c r="D52" s="359" t="str">
        <f>IF($A52&lt;&gt;"",PROPER(INDEX(NXetHKI!$B$3:$CL$57,MATCH(NxGvHKI!$A52,NXetHKI!$B$3:$B$57,0),5)),"")</f>
        <v/>
      </c>
      <c r="E52" s="101" t="str">
        <f>IF($A52&lt;&gt;"",INDEX(NXetHKI!$B$3:$CL$57,MATCH(NxGvHKI!$A52,NXetHKI!$B$3:$B$57,0),INDEX($J$11:$L$24,MATCH($C$7,$J$11:$J$24,0),K$10)),"")</f>
        <v/>
      </c>
      <c r="F52" s="830" t="str">
        <f>IF($A52&lt;&gt;"",INDEX(NXetHKI!$B$3:$CL$57,MATCH(NxGvHKI!$A52,NXetHKI!$B$3:$B$57,0),INDEX($J$11:$L$24,MATCH($C$7,$J$11:$J$24,0),L$10)),"")</f>
        <v/>
      </c>
      <c r="G52" s="367"/>
    </row>
    <row r="53" spans="1:7" ht="32.1" hidden="1" customHeight="1">
      <c r="A53" s="117" t="str">
        <f>IF(A52&lt;MAX(NXetHKI!$B$3:$B$57),A52+1,"")</f>
        <v/>
      </c>
      <c r="B53" s="100" t="str">
        <f>IF($A53&lt;&gt;"",PROPER(INDEX(NXetHKI!$B$3:$CL$57,MATCH(NxGvHKI!$A53,NXetHKI!$B$3:$B$57,0),3)),"")</f>
        <v/>
      </c>
      <c r="C53" s="257" t="str">
        <f>IF($A53&lt;&gt;"",PROPER(INDEX(NXetHKI!$B$3:$CL$57,MATCH(NxGvHKI!$A53,NXetHKI!$B$3:$B$57,0),4)),"")</f>
        <v/>
      </c>
      <c r="D53" s="359" t="str">
        <f>IF($A53&lt;&gt;"",PROPER(INDEX(NXetHKI!$B$3:$CL$57,MATCH(NxGvHKI!$A53,NXetHKI!$B$3:$B$57,0),5)),"")</f>
        <v/>
      </c>
      <c r="E53" s="101" t="str">
        <f>IF($A53&lt;&gt;"",INDEX(NXetHKI!$B$3:$CL$57,MATCH(NxGvHKI!$A53,NXetHKI!$B$3:$B$57,0),INDEX($J$11:$L$24,MATCH($C$7,$J$11:$J$24,0),K$10)),"")</f>
        <v/>
      </c>
      <c r="F53" s="830" t="str">
        <f>IF($A53&lt;&gt;"",INDEX(NXetHKI!$B$3:$CL$57,MATCH(NxGvHKI!$A53,NXetHKI!$B$3:$B$57,0),INDEX($J$11:$L$24,MATCH($C$7,$J$11:$J$24,0),L$10)),"")</f>
        <v/>
      </c>
      <c r="G53" s="367"/>
    </row>
    <row r="54" spans="1:7" ht="32.1" hidden="1" customHeight="1">
      <c r="A54" s="117" t="str">
        <f>IF(A53&lt;MAX(NXetHKI!$B$3:$B$57),A53+1,"")</f>
        <v/>
      </c>
      <c r="B54" s="100" t="str">
        <f>IF($A54&lt;&gt;"",PROPER(INDEX(NXetHKI!$B$3:$CL$57,MATCH(NxGvHKI!$A54,NXetHKI!$B$3:$B$57,0),3)),"")</f>
        <v/>
      </c>
      <c r="C54" s="257" t="str">
        <f>IF($A54&lt;&gt;"",PROPER(INDEX(NXetHKI!$B$3:$CL$57,MATCH(NxGvHKI!$A54,NXetHKI!$B$3:$B$57,0),4)),"")</f>
        <v/>
      </c>
      <c r="D54" s="359" t="str">
        <f>IF($A54&lt;&gt;"",PROPER(INDEX(NXetHKI!$B$3:$CL$57,MATCH(NxGvHKI!$A54,NXetHKI!$B$3:$B$57,0),5)),"")</f>
        <v/>
      </c>
      <c r="E54" s="101" t="str">
        <f>IF($A54&lt;&gt;"",INDEX(NXetHKI!$B$3:$CL$57,MATCH(NxGvHKI!$A54,NXetHKI!$B$3:$B$57,0),INDEX($J$11:$L$24,MATCH($C$7,$J$11:$J$24,0),K$10)),"")</f>
        <v/>
      </c>
      <c r="F54" s="830" t="str">
        <f>IF($A54&lt;&gt;"",INDEX(NXetHKI!$B$3:$CL$57,MATCH(NxGvHKI!$A54,NXetHKI!$B$3:$B$57,0),INDEX($J$11:$L$24,MATCH($C$7,$J$11:$J$24,0),L$10)),"")</f>
        <v/>
      </c>
      <c r="G54" s="367"/>
    </row>
    <row r="55" spans="1:7" ht="32.1" hidden="1" customHeight="1">
      <c r="A55" s="260" t="str">
        <f>IF(A54&lt;MAX(NXetHKI!$B$3:$B$57),A54+1,"")</f>
        <v/>
      </c>
      <c r="B55" s="106" t="str">
        <f>IF($A55&lt;&gt;"",PROPER(INDEX(NXetHKI!$B$3:$CL$57,MATCH(NxGvHKI!$A55,NXetHKI!$B$3:$B$57,0),3)),"")</f>
        <v/>
      </c>
      <c r="C55" s="261" t="str">
        <f>IF($A55&lt;&gt;"",PROPER(INDEX(NXetHKI!$B$3:$CL$57,MATCH(NxGvHKI!$A55,NXetHKI!$B$3:$B$57,0),4)),"")</f>
        <v/>
      </c>
      <c r="D55" s="360" t="str">
        <f>IF($A55&lt;&gt;"",PROPER(INDEX(NXetHKI!$B$3:$CL$57,MATCH(NxGvHKI!$A55,NXetHKI!$B$3:$B$57,0),5)),"")</f>
        <v/>
      </c>
      <c r="E55" s="107" t="str">
        <f>IF($A55&lt;&gt;"",INDEX(NXetHKI!$B$3:$CL$57,MATCH(NxGvHKI!$A55,NXetHKI!$B$3:$B$57,0),INDEX($J$11:$L$24,MATCH($C$7,$J$11:$J$24,0),K$10)),"")</f>
        <v/>
      </c>
      <c r="F55" s="831" t="str">
        <f>IF($A55&lt;&gt;"",INDEX(NXetHKI!$B$3:$CL$57,MATCH(NxGvHKI!$A55,NXetHKI!$B$3:$B$57,0),INDEX($J$11:$L$24,MATCH($C$7,$J$11:$J$24,0),L$10)),"")</f>
        <v/>
      </c>
      <c r="G55" s="368"/>
    </row>
    <row r="56" spans="1:7" ht="32.1" hidden="1" customHeight="1">
      <c r="A56" s="264" t="str">
        <f>IF(A55&lt;MAX(NXetHKI!$B$3:$B$57),A55+1,"")</f>
        <v/>
      </c>
      <c r="B56" s="112" t="str">
        <f>IF($A56&lt;&gt;"",PROPER(INDEX(NXetHKI!$B$3:$CL$57,MATCH(NxGvHKI!$A56,NXetHKI!$B$3:$B$57,0),3)),"")</f>
        <v/>
      </c>
      <c r="C56" s="265" t="str">
        <f>IF($A56&lt;&gt;"",PROPER(INDEX(NXetHKI!$B$3:$CL$57,MATCH(NxGvHKI!$A56,NXetHKI!$B$3:$B$57,0),4)),"")</f>
        <v/>
      </c>
      <c r="D56" s="361" t="str">
        <f>IF($A56&lt;&gt;"",PROPER(INDEX(NXetHKI!$B$3:$CL$57,MATCH(NxGvHKI!$A56,NXetHKI!$B$3:$B$57,0),5)),"")</f>
        <v/>
      </c>
      <c r="E56" s="113" t="str">
        <f>IF($A56&lt;&gt;"",INDEX(NXetHKI!$B$3:$CL$57,MATCH(NxGvHKI!$A56,NXetHKI!$B$3:$B$57,0),INDEX($J$11:$L$24,MATCH($C$7,$J$11:$J$24,0),K$10)),"")</f>
        <v/>
      </c>
      <c r="F56" s="829" t="str">
        <f>IF($A56&lt;&gt;"",INDEX(NXetHKI!$B$3:$CL$57,MATCH(NxGvHKI!$A56,NXetHKI!$B$3:$B$57,0),INDEX($J$11:$L$24,MATCH($C$7,$J$11:$J$24,0),L$10)),"")</f>
        <v/>
      </c>
      <c r="G56" s="369"/>
    </row>
    <row r="57" spans="1:7" ht="32.1" hidden="1" customHeight="1">
      <c r="A57" s="117" t="str">
        <f>IF(A56&lt;MAX(NXetHKI!$B$3:$B$57),A56+1,"")</f>
        <v/>
      </c>
      <c r="B57" s="100" t="str">
        <f>IF($A57&lt;&gt;"",PROPER(INDEX(NXetHKI!$B$3:$CL$57,MATCH(NxGvHKI!$A57,NXetHKI!$B$3:$B$57,0),3)),"")</f>
        <v/>
      </c>
      <c r="C57" s="257" t="str">
        <f>IF($A57&lt;&gt;"",PROPER(INDEX(NXetHKI!$B$3:$CL$57,MATCH(NxGvHKI!$A57,NXetHKI!$B$3:$B$57,0),4)),"")</f>
        <v/>
      </c>
      <c r="D57" s="359" t="str">
        <f>IF($A57&lt;&gt;"",PROPER(INDEX(NXetHKI!$B$3:$CL$57,MATCH(NxGvHKI!$A57,NXetHKI!$B$3:$B$57,0),5)),"")</f>
        <v/>
      </c>
      <c r="E57" s="101" t="str">
        <f>IF($A57&lt;&gt;"",INDEX(NXetHKI!$B$3:$CL$57,MATCH(NxGvHKI!$A57,NXetHKI!$B$3:$B$57,0),INDEX($J$11:$L$24,MATCH($C$7,$J$11:$J$24,0),K$10)),"")</f>
        <v/>
      </c>
      <c r="F57" s="830" t="str">
        <f>IF($A57&lt;&gt;"",INDEX(NXetHKI!$B$3:$CL$57,MATCH(NxGvHKI!$A57,NXetHKI!$B$3:$B$57,0),INDEX($J$11:$L$24,MATCH($C$7,$J$11:$J$24,0),L$10)),"")</f>
        <v/>
      </c>
      <c r="G57" s="367"/>
    </row>
    <row r="58" spans="1:7" ht="32.1" hidden="1" customHeight="1">
      <c r="A58" s="117" t="str">
        <f>IF(A57&lt;MAX(NXetHKI!$B$3:$B$57),A57+1,"")</f>
        <v/>
      </c>
      <c r="B58" s="100" t="str">
        <f>IF($A58&lt;&gt;"",PROPER(INDEX(NXetHKI!$B$3:$CL$57,MATCH(NxGvHKI!$A58,NXetHKI!$B$3:$B$57,0),3)),"")</f>
        <v/>
      </c>
      <c r="C58" s="257" t="str">
        <f>IF($A58&lt;&gt;"",PROPER(INDEX(NXetHKI!$B$3:$CL$57,MATCH(NxGvHKI!$A58,NXetHKI!$B$3:$B$57,0),4)),"")</f>
        <v/>
      </c>
      <c r="D58" s="359" t="str">
        <f>IF($A58&lt;&gt;"",PROPER(INDEX(NXetHKI!$B$3:$CL$57,MATCH(NxGvHKI!$A58,NXetHKI!$B$3:$B$57,0),5)),"")</f>
        <v/>
      </c>
      <c r="E58" s="101" t="str">
        <f>IF($A58&lt;&gt;"",INDEX(NXetHKI!$B$3:$CL$57,MATCH(NxGvHKI!$A58,NXetHKI!$B$3:$B$57,0),INDEX($J$11:$L$24,MATCH($C$7,$J$11:$J$24,0),K$10)),"")</f>
        <v/>
      </c>
      <c r="F58" s="830" t="str">
        <f>IF($A58&lt;&gt;"",INDEX(NXetHKI!$B$3:$CL$57,MATCH(NxGvHKI!$A58,NXetHKI!$B$3:$B$57,0),INDEX($J$11:$L$24,MATCH($C$7,$J$11:$J$24,0),L$10)),"")</f>
        <v/>
      </c>
      <c r="G58" s="367"/>
    </row>
    <row r="59" spans="1:7" ht="32.1" hidden="1" customHeight="1">
      <c r="A59" s="117" t="str">
        <f>IF(A58&lt;MAX(NXetHKI!$B$3:$B$57),A58+1,"")</f>
        <v/>
      </c>
      <c r="B59" s="100" t="str">
        <f>IF($A59&lt;&gt;"",PROPER(INDEX(NXetHKI!$B$3:$CL$57,MATCH(NxGvHKI!$A59,NXetHKI!$B$3:$B$57,0),3)),"")</f>
        <v/>
      </c>
      <c r="C59" s="257" t="str">
        <f>IF($A59&lt;&gt;"",PROPER(INDEX(NXetHKI!$B$3:$CL$57,MATCH(NxGvHKI!$A59,NXetHKI!$B$3:$B$57,0),4)),"")</f>
        <v/>
      </c>
      <c r="D59" s="359" t="str">
        <f>IF($A59&lt;&gt;"",PROPER(INDEX(NXetHKI!$B$3:$CL$57,MATCH(NxGvHKI!$A59,NXetHKI!$B$3:$B$57,0),5)),"")</f>
        <v/>
      </c>
      <c r="E59" s="101" t="str">
        <f>IF($A59&lt;&gt;"",INDEX(NXetHKI!$B$3:$CL$57,MATCH(NxGvHKI!$A59,NXetHKI!$B$3:$B$57,0),INDEX($J$11:$L$24,MATCH($C$7,$J$11:$J$24,0),K$10)),"")</f>
        <v/>
      </c>
      <c r="F59" s="830" t="str">
        <f>IF($A59&lt;&gt;"",INDEX(NXetHKI!$B$3:$CL$57,MATCH(NxGvHKI!$A59,NXetHKI!$B$3:$B$57,0),INDEX($J$11:$L$24,MATCH($C$7,$J$11:$J$24,0),L$10)),"")</f>
        <v/>
      </c>
      <c r="G59" s="367"/>
    </row>
    <row r="60" spans="1:7" ht="32.1" hidden="1" customHeight="1">
      <c r="A60" s="260" t="str">
        <f>IF(A59&lt;MAX(NXetHKI!$B$3:$B$57),A59+1,"")</f>
        <v/>
      </c>
      <c r="B60" s="106" t="str">
        <f>IF($A60&lt;&gt;"",PROPER(INDEX(NXetHKI!$B$3:$CL$57,MATCH(NxGvHKI!$A60,NXetHKI!$B$3:$B$57,0),3)),"")</f>
        <v/>
      </c>
      <c r="C60" s="261" t="str">
        <f>IF($A60&lt;&gt;"",PROPER(INDEX(NXetHKI!$B$3:$CL$57,MATCH(NxGvHKI!$A60,NXetHKI!$B$3:$B$57,0),4)),"")</f>
        <v/>
      </c>
      <c r="D60" s="360" t="str">
        <f>IF($A60&lt;&gt;"",PROPER(INDEX(NXetHKI!$B$3:$CL$57,MATCH(NxGvHKI!$A60,NXetHKI!$B$3:$B$57,0),5)),"")</f>
        <v/>
      </c>
      <c r="E60" s="107" t="str">
        <f>IF($A60&lt;&gt;"",INDEX(NXetHKI!$B$3:$CL$57,MATCH(NxGvHKI!$A60,NXetHKI!$B$3:$B$57,0),INDEX($J$11:$L$24,MATCH($C$7,$J$11:$J$24,0),K$10)),"")</f>
        <v/>
      </c>
      <c r="F60" s="831" t="str">
        <f>IF($A60&lt;&gt;"",INDEX(NXetHKI!$B$3:$CL$57,MATCH(NxGvHKI!$A60,NXetHKI!$B$3:$B$57,0),INDEX($J$11:$L$24,MATCH($C$7,$J$11:$J$24,0),L$10)),"")</f>
        <v/>
      </c>
      <c r="G60" s="368"/>
    </row>
    <row r="61" spans="1:7" ht="32.1" hidden="1" customHeight="1">
      <c r="A61" s="253" t="str">
        <f>IF(A60&lt;MAX(NXetHKI!$B$3:$B$57),A60+1,"")</f>
        <v/>
      </c>
      <c r="B61" s="94" t="str">
        <f>IF($A61&lt;&gt;"",PROPER(INDEX(NXetHKI!$B$3:$CL$57,MATCH(NxGvHKI!$A61,NXetHKI!$B$3:$B$57,0),3)),"")</f>
        <v/>
      </c>
      <c r="C61" s="254" t="str">
        <f>IF($A61&lt;&gt;"",PROPER(INDEX(NXetHKI!$B$3:$CL$57,MATCH(NxGvHKI!$A61,NXetHKI!$B$3:$B$57,0),4)),"")</f>
        <v/>
      </c>
      <c r="D61" s="358" t="str">
        <f>IF($A61&lt;&gt;"",PROPER(INDEX(NXetHKI!$B$3:$CL$57,MATCH(NxGvHKI!$A61,NXetHKI!$B$3:$B$57,0),5)),"")</f>
        <v/>
      </c>
      <c r="E61" s="95" t="str">
        <f>IF($A61&lt;&gt;"",INDEX(NXetHKI!$B$3:$CL$57,MATCH(NxGvHKI!$A61,NXetHKI!$B$3:$B$57,0),INDEX($J$11:$L$24,MATCH($C$7,$J$11:$J$24,0),K$10)),"")</f>
        <v/>
      </c>
      <c r="F61" s="829" t="str">
        <f>IF($A61&lt;&gt;"",INDEX(NXetHKI!$B$3:$CL$57,MATCH(NxGvHKI!$A61,NXetHKI!$B$3:$B$57,0),INDEX($J$11:$L$24,MATCH($C$7,$J$11:$J$24,0),L$10)),"")</f>
        <v/>
      </c>
      <c r="G61" s="366"/>
    </row>
    <row r="62" spans="1:7" ht="32.1" hidden="1" customHeight="1">
      <c r="A62" s="117" t="str">
        <f>IF(A61&lt;MAX(NXetHKI!$B$3:$B$57),A61+1,"")</f>
        <v/>
      </c>
      <c r="B62" s="100" t="str">
        <f>IF($A62&lt;&gt;"",PROPER(INDEX(NXetHKI!$B$3:$CL$57,MATCH(NxGvHKI!$A62,NXetHKI!$B$3:$B$57,0),3)),"")</f>
        <v/>
      </c>
      <c r="C62" s="257" t="str">
        <f>IF($A62&lt;&gt;"",PROPER(INDEX(NXetHKI!$B$3:$CL$57,MATCH(NxGvHKI!$A62,NXetHKI!$B$3:$B$57,0),4)),"")</f>
        <v/>
      </c>
      <c r="D62" s="359" t="str">
        <f>IF($A62&lt;&gt;"",PROPER(INDEX(NXetHKI!$B$3:$CL$57,MATCH(NxGvHKI!$A62,NXetHKI!$B$3:$B$57,0),5)),"")</f>
        <v/>
      </c>
      <c r="E62" s="101" t="str">
        <f>IF($A62&lt;&gt;"",INDEX(NXetHKI!$B$3:$CL$57,MATCH(NxGvHKI!$A62,NXetHKI!$B$3:$B$57,0),INDEX($J$11:$L$24,MATCH($C$7,$J$11:$J$24,0),K$10)),"")</f>
        <v/>
      </c>
      <c r="F62" s="830" t="str">
        <f>IF($A62&lt;&gt;"",INDEX(NXetHKI!$B$3:$CL$57,MATCH(NxGvHKI!$A62,NXetHKI!$B$3:$B$57,0),INDEX($J$11:$L$24,MATCH($C$7,$J$11:$J$24,0),L$10)),"")</f>
        <v/>
      </c>
      <c r="G62" s="367"/>
    </row>
    <row r="63" spans="1:7" ht="32.1" hidden="1" customHeight="1">
      <c r="A63" s="117" t="str">
        <f>IF(A62&lt;MAX(NXetHKI!$B$3:$B$57),A62+1,"")</f>
        <v/>
      </c>
      <c r="B63" s="100" t="str">
        <f>IF($A63&lt;&gt;"",PROPER(INDEX(NXetHKI!$B$3:$CL$57,MATCH(NxGvHKI!$A63,NXetHKI!$B$3:$B$57,0),3)),"")</f>
        <v/>
      </c>
      <c r="C63" s="257" t="str">
        <f>IF($A63&lt;&gt;"",PROPER(INDEX(NXetHKI!$B$3:$CL$57,MATCH(NxGvHKI!$A63,NXetHKI!$B$3:$B$57,0),4)),"")</f>
        <v/>
      </c>
      <c r="D63" s="359" t="str">
        <f>IF($A63&lt;&gt;"",PROPER(INDEX(NXetHKI!$B$3:$CL$57,MATCH(NxGvHKI!$A63,NXetHKI!$B$3:$B$57,0),5)),"")</f>
        <v/>
      </c>
      <c r="E63" s="101" t="str">
        <f>IF($A63&lt;&gt;"",INDEX(NXetHKI!$B$3:$CL$57,MATCH(NxGvHKI!$A63,NXetHKI!$B$3:$B$57,0),INDEX($J$11:$L$24,MATCH($C$7,$J$11:$J$24,0),K$10)),"")</f>
        <v/>
      </c>
      <c r="F63" s="830" t="str">
        <f>IF($A63&lt;&gt;"",INDEX(NXetHKI!$B$3:$CL$57,MATCH(NxGvHKI!$A63,NXetHKI!$B$3:$B$57,0),INDEX($J$11:$L$24,MATCH($C$7,$J$11:$J$24,0),L$10)),"")</f>
        <v/>
      </c>
      <c r="G63" s="367"/>
    </row>
    <row r="64" spans="1:7" ht="32.1" hidden="1" customHeight="1">
      <c r="A64" s="117" t="str">
        <f>IF(A63&lt;MAX(NXetHKI!$B$3:$B$57),A63+1,"")</f>
        <v/>
      </c>
      <c r="B64" s="100" t="str">
        <f>IF($A64&lt;&gt;"",PROPER(INDEX(NXetHKI!$B$3:$CL$57,MATCH(NxGvHKI!$A64,NXetHKI!$B$3:$B$57,0),3)),"")</f>
        <v/>
      </c>
      <c r="C64" s="257" t="str">
        <f>IF($A64&lt;&gt;"",PROPER(INDEX(NXetHKI!$B$3:$CL$57,MATCH(NxGvHKI!$A64,NXetHKI!$B$3:$B$57,0),4)),"")</f>
        <v/>
      </c>
      <c r="D64" s="359" t="str">
        <f>IF($A64&lt;&gt;"",PROPER(INDEX(NXetHKI!$B$3:$CL$57,MATCH(NxGvHKI!$A64,NXetHKI!$B$3:$B$57,0),5)),"")</f>
        <v/>
      </c>
      <c r="E64" s="101" t="str">
        <f>IF($A64&lt;&gt;"",INDEX(NXetHKI!$B$3:$CL$57,MATCH(NxGvHKI!$A64,NXetHKI!$B$3:$B$57,0),INDEX($J$11:$L$24,MATCH($C$7,$J$11:$J$24,0),K$10)),"")</f>
        <v/>
      </c>
      <c r="F64" s="830" t="str">
        <f>IF($A64&lt;&gt;"",INDEX(NXetHKI!$B$3:$CL$57,MATCH(NxGvHKI!$A64,NXetHKI!$B$3:$B$57,0),INDEX($J$11:$L$24,MATCH($C$7,$J$11:$J$24,0),L$10)),"")</f>
        <v/>
      </c>
      <c r="G64" s="367"/>
    </row>
    <row r="65" spans="1:32" ht="32.1" hidden="1" customHeight="1">
      <c r="A65" s="260" t="str">
        <f>IF(A64&lt;MAX(NXetHKI!$B$3:$B$57),A64+1,"")</f>
        <v/>
      </c>
      <c r="B65" s="106" t="str">
        <f>IF($A65&lt;&gt;"",PROPER(INDEX(NXetHKI!$B$3:$CL$57,MATCH(NxGvHKI!$A65,NXetHKI!$B$3:$B$57,0),3)),"")</f>
        <v/>
      </c>
      <c r="C65" s="261" t="str">
        <f>IF($A65&lt;&gt;"",PROPER(INDEX(NXetHKI!$B$3:$CL$57,MATCH(NxGvHKI!$A65,NXetHKI!$B$3:$B$57,0),4)),"")</f>
        <v/>
      </c>
      <c r="D65" s="360" t="str">
        <f>IF($A65&lt;&gt;"",PROPER(INDEX(NXetHKI!$B$3:$CL$57,MATCH(NxGvHKI!$A65,NXetHKI!$B$3:$B$57,0),5)),"")</f>
        <v/>
      </c>
      <c r="E65" s="107" t="str">
        <f>IF($A65&lt;&gt;"",INDEX(NXetHKI!$B$3:$CL$57,MATCH(NxGvHKI!$A65,NXetHKI!$B$3:$B$57,0),INDEX($J$11:$L$24,MATCH($C$7,$J$11:$J$24,0),K$10)),"")</f>
        <v/>
      </c>
      <c r="F65" s="831" t="str">
        <f>IF($A65&lt;&gt;"",INDEX(NXetHKI!$B$3:$CL$57,MATCH(NxGvHKI!$A65,NXetHKI!$B$3:$B$57,0),INDEX($J$11:$L$24,MATCH($C$7,$J$11:$J$24,0),L$10)),"")</f>
        <v/>
      </c>
      <c r="G65" s="368"/>
    </row>
    <row r="66" spans="1:32" s="1" customFormat="1" ht="7.5" customHeight="1">
      <c r="A66" s="129"/>
      <c r="B66" s="129"/>
      <c r="C66" s="129"/>
      <c r="D66" s="129"/>
      <c r="E66" s="129"/>
      <c r="F66" s="129"/>
      <c r="G66" s="129"/>
      <c r="H66" s="248"/>
      <c r="I66" s="248"/>
      <c r="R66" s="248"/>
      <c r="S66" s="248"/>
      <c r="T66" s="248"/>
      <c r="U66" s="248"/>
      <c r="V66" s="248"/>
      <c r="W66" s="248"/>
      <c r="X66" s="248"/>
      <c r="Y66" s="248"/>
      <c r="Z66" s="248"/>
      <c r="AA66" s="248"/>
      <c r="AB66" s="248"/>
      <c r="AC66" s="248"/>
      <c r="AD66" s="248"/>
      <c r="AE66" s="248"/>
      <c r="AF66" s="248"/>
    </row>
    <row r="67" spans="1:32" s="1" customFormat="1">
      <c r="A67" s="129"/>
      <c r="B67" s="129"/>
      <c r="C67" s="129"/>
      <c r="D67" s="129"/>
      <c r="E67" s="129"/>
      <c r="F67" s="460" t="s">
        <v>248</v>
      </c>
      <c r="G67" s="378"/>
      <c r="H67" s="378"/>
      <c r="I67" s="378"/>
      <c r="J67" s="827"/>
      <c r="K67" s="827"/>
      <c r="R67" s="248"/>
      <c r="S67" s="248"/>
      <c r="T67" s="248"/>
      <c r="U67" s="248"/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</row>
    <row r="68" spans="1:32" s="1" customFormat="1">
      <c r="A68" s="129"/>
      <c r="B68" s="129"/>
      <c r="C68" s="129"/>
      <c r="D68" s="129"/>
      <c r="E68" s="129"/>
      <c r="F68" s="251" t="s">
        <v>642</v>
      </c>
      <c r="G68" s="379"/>
      <c r="H68" s="379"/>
      <c r="I68" s="379"/>
      <c r="J68" s="30"/>
      <c r="K68" s="30"/>
      <c r="R68" s="248"/>
      <c r="S68" s="248"/>
      <c r="T68" s="248"/>
      <c r="U68" s="248"/>
      <c r="V68" s="248"/>
      <c r="W68" s="248"/>
      <c r="X68" s="248"/>
      <c r="Y68" s="248"/>
      <c r="Z68" s="248"/>
      <c r="AA68" s="248"/>
      <c r="AB68" s="248"/>
      <c r="AC68" s="248"/>
      <c r="AD68" s="248"/>
      <c r="AE68" s="248"/>
      <c r="AF68" s="248"/>
    </row>
    <row r="69" spans="1:32" s="1" customFormat="1" ht="10.5" customHeight="1">
      <c r="A69" s="129"/>
      <c r="B69" s="129"/>
      <c r="C69" s="129"/>
      <c r="D69" s="129"/>
      <c r="E69" s="129"/>
      <c r="F69" s="129"/>
      <c r="G69" s="129"/>
      <c r="H69" s="248"/>
      <c r="I69" s="248"/>
      <c r="R69" s="248"/>
      <c r="S69" s="248"/>
      <c r="T69" s="248"/>
      <c r="U69" s="248"/>
      <c r="V69" s="248"/>
      <c r="W69" s="248"/>
      <c r="X69" s="248"/>
      <c r="Y69" s="248"/>
      <c r="Z69" s="248"/>
      <c r="AA69" s="248"/>
      <c r="AB69" s="248"/>
      <c r="AC69" s="248"/>
      <c r="AD69" s="248"/>
      <c r="AE69" s="248"/>
      <c r="AF69" s="248"/>
    </row>
    <row r="70" spans="1:32" s="1" customFormat="1" ht="10.5" customHeight="1">
      <c r="A70" s="129"/>
      <c r="B70" s="129"/>
      <c r="C70" s="129"/>
      <c r="D70" s="129"/>
      <c r="E70" s="129"/>
      <c r="F70" s="129"/>
      <c r="G70" s="129"/>
      <c r="H70" s="248"/>
      <c r="I70" s="248"/>
      <c r="R70" s="248"/>
      <c r="S70" s="248"/>
      <c r="T70" s="248"/>
      <c r="U70" s="248"/>
      <c r="V70" s="248"/>
      <c r="W70" s="248"/>
      <c r="X70" s="248"/>
      <c r="Y70" s="248"/>
      <c r="Z70" s="248"/>
      <c r="AA70" s="248"/>
      <c r="AB70" s="248"/>
      <c r="AC70" s="248"/>
      <c r="AD70" s="248"/>
      <c r="AE70" s="248"/>
      <c r="AF70" s="248"/>
    </row>
    <row r="71" spans="1:32" s="1" customFormat="1" ht="10.5" customHeight="1">
      <c r="A71" s="129"/>
      <c r="B71" s="129"/>
      <c r="C71" s="129"/>
      <c r="D71" s="129"/>
      <c r="E71" s="129"/>
      <c r="F71" s="129"/>
      <c r="G71" s="129"/>
      <c r="H71" s="248"/>
      <c r="I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</row>
    <row r="72" spans="1:32" s="1" customFormat="1" ht="10.5" customHeight="1">
      <c r="A72" s="129"/>
      <c r="B72" s="129"/>
      <c r="C72" s="129"/>
      <c r="D72" s="129"/>
      <c r="E72" s="129"/>
      <c r="F72" s="129"/>
      <c r="G72" s="129"/>
      <c r="H72" s="248"/>
      <c r="I72" s="248"/>
      <c r="R72" s="248"/>
      <c r="S72" s="248"/>
      <c r="T72" s="248"/>
      <c r="U72" s="248"/>
      <c r="V72" s="248"/>
      <c r="W72" s="248"/>
      <c r="X72" s="248"/>
      <c r="Y72" s="248"/>
      <c r="Z72" s="248"/>
      <c r="AA72" s="248"/>
      <c r="AB72" s="248"/>
      <c r="AC72" s="248"/>
      <c r="AD72" s="248"/>
      <c r="AE72" s="248"/>
      <c r="AF72" s="248"/>
    </row>
    <row r="73" spans="1:32" s="1" customFormat="1" ht="10.5" customHeight="1">
      <c r="A73" s="129"/>
      <c r="B73" s="129"/>
      <c r="C73" s="129"/>
      <c r="D73" s="129"/>
      <c r="E73" s="129"/>
      <c r="F73" s="129"/>
      <c r="G73" s="129"/>
      <c r="H73" s="248"/>
      <c r="I73" s="248"/>
      <c r="R73" s="248"/>
      <c r="S73" s="248"/>
      <c r="T73" s="248"/>
      <c r="U73" s="248"/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</row>
    <row r="74" spans="1:32" s="1" customFormat="1" ht="10.5" customHeight="1">
      <c r="A74" s="129"/>
      <c r="B74" s="129"/>
      <c r="C74" s="129"/>
      <c r="D74" s="129"/>
      <c r="E74" s="129"/>
      <c r="F74" s="129"/>
      <c r="G74" s="129"/>
      <c r="H74" s="248"/>
      <c r="I74" s="248"/>
      <c r="R74" s="248"/>
      <c r="S74" s="248"/>
      <c r="T74" s="248"/>
      <c r="U74" s="248"/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</row>
    <row r="75" spans="1:32" s="1" customFormat="1">
      <c r="A75" s="129"/>
      <c r="B75" s="129"/>
      <c r="C75" s="129"/>
      <c r="D75" s="129"/>
      <c r="E75" s="129"/>
      <c r="F75" s="129"/>
      <c r="G75" s="129"/>
      <c r="H75" s="248"/>
      <c r="I75" s="248"/>
      <c r="R75" s="248"/>
      <c r="S75" s="248"/>
      <c r="T75" s="248"/>
      <c r="U75" s="248"/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</row>
    <row r="76" spans="1:32" s="1" customFormat="1">
      <c r="A76" s="129"/>
      <c r="B76" s="129"/>
      <c r="C76" s="129"/>
      <c r="D76" s="129"/>
      <c r="E76" s="129"/>
      <c r="F76" s="129"/>
      <c r="G76" s="129"/>
      <c r="H76" s="248"/>
      <c r="I76" s="248"/>
      <c r="R76" s="248"/>
      <c r="S76" s="248"/>
      <c r="T76" s="248"/>
      <c r="U76" s="248"/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</row>
    <row r="77" spans="1:32" s="1" customFormat="1">
      <c r="A77" s="129"/>
      <c r="B77" s="129"/>
      <c r="C77" s="129"/>
      <c r="D77" s="129"/>
      <c r="E77" s="129"/>
      <c r="F77" s="129"/>
      <c r="G77" s="129"/>
      <c r="H77" s="248"/>
      <c r="I77" s="248"/>
      <c r="R77" s="248"/>
      <c r="S77" s="248"/>
      <c r="T77" s="248"/>
      <c r="U77" s="248"/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</row>
    <row r="78" spans="1:32" s="1" customFormat="1">
      <c r="A78" s="129"/>
      <c r="B78" s="129"/>
      <c r="C78" s="129"/>
      <c r="D78" s="129"/>
      <c r="E78" s="129"/>
      <c r="F78" s="129"/>
      <c r="G78" s="129"/>
      <c r="H78" s="248"/>
      <c r="I78" s="248"/>
      <c r="R78" s="248"/>
      <c r="S78" s="248"/>
      <c r="T78" s="248"/>
      <c r="U78" s="248"/>
      <c r="V78" s="248"/>
      <c r="W78" s="248"/>
      <c r="X78" s="248"/>
      <c r="Y78" s="248"/>
      <c r="Z78" s="248"/>
      <c r="AA78" s="248"/>
      <c r="AB78" s="248"/>
      <c r="AC78" s="248"/>
      <c r="AD78" s="248"/>
      <c r="AE78" s="248"/>
      <c r="AF78" s="248"/>
    </row>
    <row r="79" spans="1:32" s="1" customFormat="1">
      <c r="A79" s="129"/>
      <c r="B79" s="129"/>
      <c r="C79" s="129"/>
      <c r="D79" s="129"/>
      <c r="E79" s="129"/>
      <c r="F79" s="129"/>
      <c r="G79" s="129"/>
      <c r="H79" s="248"/>
      <c r="I79" s="248"/>
      <c r="R79" s="248"/>
      <c r="S79" s="248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</row>
  </sheetData>
  <sheetProtection algorithmName="SHA-512" hashValue="UwzZSoA8ItTtaJ2MQP66bBhGfYHH7rTTgRsZpikJr79KV9B8pC29+ejoH8W+C4r+ea8GmFMxIi7KEjrNyg5/9g==" saltValue="/EAnkQ1r7THClajc6UUVew==" spinCount="100000" sheet="1" formatCells="0" formatColumns="0" formatRows="0"/>
  <mergeCells count="12">
    <mergeCell ref="A1:D1"/>
    <mergeCell ref="E1:G1"/>
    <mergeCell ref="A2:D2"/>
    <mergeCell ref="E2:G2"/>
    <mergeCell ref="A4:G4"/>
    <mergeCell ref="B3:C3"/>
    <mergeCell ref="A5:G5"/>
    <mergeCell ref="C7:D7"/>
    <mergeCell ref="F9:F10"/>
    <mergeCell ref="A9:A10"/>
    <mergeCell ref="B9:C10"/>
    <mergeCell ref="D9:D10"/>
  </mergeCells>
  <dataValidations count="1">
    <dataValidation type="list" allowBlank="1" showInputMessage="1" showErrorMessage="1" sqref="C7">
      <formula1>$J$11:$J$24</formula1>
    </dataValidation>
  </dataValidations>
  <pageMargins left="0.35" right="0.25" top="0.25" bottom="0" header="0" footer="0"/>
  <pageSetup paperSize="9" scale="79" fitToHeight="2" orientation="portrait" blackAndWhite="1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3" tint="0.39997558519241921"/>
    <pageSetUpPr fitToPage="1"/>
  </sheetPr>
  <dimension ref="A1:K1599"/>
  <sheetViews>
    <sheetView workbookViewId="0">
      <pane ySplit="1" topLeftCell="A8" activePane="bottomLeft" state="frozen"/>
      <selection activeCell="P11" sqref="P11"/>
      <selection pane="bottomLeft" activeCell="P11" sqref="P11"/>
    </sheetView>
  </sheetViews>
  <sheetFormatPr defaultColWidth="9.109375" defaultRowHeight="15.6"/>
  <cols>
    <col min="1" max="1" width="6.33203125" style="57" customWidth="1"/>
    <col min="2" max="2" width="11.6640625" style="57" customWidth="1"/>
    <col min="3" max="3" width="10.44140625" style="57" customWidth="1"/>
    <col min="4" max="4" width="20.109375" style="57" customWidth="1"/>
    <col min="5" max="5" width="23.33203125" style="57" customWidth="1"/>
    <col min="6" max="6" width="28.5546875" style="57" customWidth="1"/>
    <col min="7" max="7" width="2" style="57" customWidth="1"/>
    <col min="8" max="8" width="4.109375" style="57" customWidth="1"/>
    <col min="9" max="9" width="12.6640625" style="57" hidden="1" customWidth="1"/>
    <col min="10" max="10" width="16.33203125" style="57" hidden="1" customWidth="1"/>
    <col min="11" max="11" width="19.5546875" style="57" hidden="1" customWidth="1"/>
    <col min="12" max="16384" width="9.109375" style="57"/>
  </cols>
  <sheetData>
    <row r="1" spans="1:11" ht="27" customHeight="1">
      <c r="E1" s="810" t="s">
        <v>362</v>
      </c>
      <c r="F1" s="807"/>
    </row>
    <row r="2" spans="1:11" s="60" customFormat="1" ht="24.75" customHeight="1">
      <c r="A2" s="1128" t="str">
        <f>IF('Huong dan'!$E$3&lt;&gt;"","SỞ GIÁO DỤC VÀ ĐÀO TẠO "&amp;UPPER('Huong dan'!$E$3),"")</f>
        <v>SỞ GIÁO DỤC VÀ ĐÀO TẠO TP. HỒ CHÍ MINH</v>
      </c>
      <c r="B2" s="1128"/>
      <c r="C2" s="1128"/>
      <c r="D2" s="1128"/>
      <c r="E2" s="1129" t="s">
        <v>19</v>
      </c>
      <c r="F2" s="1129"/>
    </row>
    <row r="3" spans="1:11" ht="17.25" customHeight="1">
      <c r="A3" s="992" t="str">
        <f>IF('Huong dan'!$E$4&lt;&gt;"","TRƯỜNG "&amp;UPPER('Huong dan'!$E$4),"")</f>
        <v>TRƯỜNG THCS VÀ THPT NGUYỄN KHUYẾN</v>
      </c>
      <c r="B3" s="992"/>
      <c r="C3" s="992"/>
      <c r="D3" s="992"/>
      <c r="E3" s="1130" t="s">
        <v>179</v>
      </c>
      <c r="F3" s="1130"/>
    </row>
    <row r="4" spans="1:11" ht="20.25" customHeight="1">
      <c r="A4" s="69"/>
      <c r="B4" s="69"/>
      <c r="C4" s="30"/>
      <c r="D4" s="30"/>
    </row>
    <row r="5" spans="1:11" ht="28.5" customHeight="1">
      <c r="A5" s="1164" t="s">
        <v>567</v>
      </c>
      <c r="B5" s="1164"/>
      <c r="C5" s="1164"/>
      <c r="D5" s="1164"/>
      <c r="E5" s="1164"/>
      <c r="F5" s="1164"/>
    </row>
    <row r="6" spans="1:11" ht="24.75" customHeight="1">
      <c r="A6" s="1164" t="str">
        <f>"HỌC KỲ I NĂM HỌC "&amp;'Huong dan'!$C$5</f>
        <v>HỌC KỲ I NĂM HỌC 2021 - 2022</v>
      </c>
      <c r="B6" s="1164"/>
      <c r="C6" s="1164"/>
      <c r="D6" s="1164"/>
      <c r="E6" s="1164"/>
      <c r="F6" s="1164"/>
    </row>
    <row r="7" spans="1:11" ht="14.25" customHeight="1">
      <c r="A7" s="70"/>
      <c r="B7" s="66"/>
      <c r="C7" s="66"/>
      <c r="D7" s="66"/>
      <c r="E7" s="66"/>
      <c r="F7" s="66"/>
    </row>
    <row r="8" spans="1:11" ht="18.75" customHeight="1">
      <c r="A8" s="1158" t="s">
        <v>212</v>
      </c>
      <c r="B8" s="1158"/>
      <c r="C8" s="1158"/>
      <c r="D8" s="77" t="str">
        <f>IF(B30="","",INDEX(NXetHKI!$B$3:$CL$57,MATCH(InNXKI!B30,NXetHKI!$B$3:$B$57,0),3)&amp;" "&amp;INDEX(NXetHKI!$B$3:$CL$57,MATCH(InNXKI!B30,NXetHKI!$B$3:$B$57,0),4))</f>
        <v>Phạm Huỳnh Hiệp An</v>
      </c>
      <c r="E8" s="77"/>
      <c r="F8" s="77" t="str">
        <f>IF('Huong dan'!$C$3="","","Lớp: "&amp;'Huong dan'!$C$3)</f>
        <v>Lớp: 12A1</v>
      </c>
    </row>
    <row r="9" spans="1:11" ht="18.75" customHeight="1">
      <c r="A9" s="1158" t="s">
        <v>213</v>
      </c>
      <c r="B9" s="1158"/>
      <c r="C9" s="1158"/>
      <c r="D9" s="77" t="str">
        <f>INDEX(NXetHKI!$B$3:$CL$57,MATCH(InNXKI!B30,NXetHKI!$B$3:$B$57,0),5)</f>
        <v>16/10/2004</v>
      </c>
      <c r="E9" s="77"/>
      <c r="F9" s="77" t="str">
        <f>IF(B30="","","Nơi sinh: "&amp;INDEX(DiemHKI!$G$4:$G$58,MATCH(InNXKI!B30,DiemHKI!$B$4:$B$58,0),1))</f>
        <v>Nơi sinh: Long An</v>
      </c>
      <c r="J9" s="57" t="s">
        <v>298</v>
      </c>
      <c r="K9" s="57" t="s">
        <v>295</v>
      </c>
    </row>
    <row r="10" spans="1:11" ht="9.75" customHeight="1">
      <c r="A10" s="62"/>
      <c r="B10" s="62"/>
      <c r="C10" s="62"/>
      <c r="D10" s="62"/>
      <c r="E10" s="62"/>
      <c r="F10" s="62"/>
    </row>
    <row r="11" spans="1:11" ht="34.5" customHeight="1">
      <c r="A11" s="801" t="s">
        <v>0</v>
      </c>
      <c r="B11" s="801" t="s">
        <v>59</v>
      </c>
      <c r="C11" s="806" t="s">
        <v>360</v>
      </c>
      <c r="D11" s="1159" t="s">
        <v>568</v>
      </c>
      <c r="E11" s="1160"/>
      <c r="F11" s="802" t="s">
        <v>569</v>
      </c>
      <c r="I11" s="57">
        <v>1</v>
      </c>
      <c r="J11" s="57">
        <v>1</v>
      </c>
      <c r="K11" s="57">
        <v>2</v>
      </c>
    </row>
    <row r="12" spans="1:11" ht="32.25" customHeight="1">
      <c r="A12" s="803" t="s">
        <v>191</v>
      </c>
      <c r="B12" s="804" t="s">
        <v>26</v>
      </c>
      <c r="C12" s="805">
        <f>IF(B30="","",INDEX(NXetHKI!$B$3:$CL$57,MATCH(InNXKI!B30,NXetHKI!$B$3:$B$57,0),INDEX($J$12:$K$25,MATCH($B12,$I$12:$I$25,0),J$11)))</f>
        <v>9.4</v>
      </c>
      <c r="D12" s="1161" t="str">
        <f>IF(B30="","",INDEX(NXetHKI!$B$3:$CL$57,MATCH(InNXKI!B30,NXetHKI!$B$3:$B$57,0),INDEX($J$12:$K$25,MATCH($B12,$I$12:$I$25,0),K$11)))</f>
        <v>Em chăm chỉ, chuyên cần, rất tích cực, rất đáng khen.</v>
      </c>
      <c r="E12" s="1162"/>
      <c r="F12" s="805"/>
      <c r="H12" s="64"/>
      <c r="I12" s="64" t="s">
        <v>26</v>
      </c>
      <c r="J12" s="57">
        <v>6</v>
      </c>
      <c r="K12" s="57">
        <v>8</v>
      </c>
    </row>
    <row r="13" spans="1:11" ht="32.25" customHeight="1">
      <c r="A13" s="803" t="s">
        <v>192</v>
      </c>
      <c r="B13" s="804" t="s">
        <v>27</v>
      </c>
      <c r="C13" s="805">
        <f>IF(B30="","",INDEX(NXetHKI!$B$3:$CL$57,MATCH(InNXKI!B30,NXetHKI!$B$3:$B$57,0),INDEX($J$12:$K$25,MATCH($B13,$I$12:$I$25,0),J$11)))</f>
        <v>9.5</v>
      </c>
      <c r="D13" s="1161" t="str">
        <f>IF(B30="","",INDEX(NXetHKI!$B$3:$CL$57,MATCH(InNXKI!B30,NXetHKI!$B$3:$B$57,0),INDEX($J$12:$K$25,MATCH($B13,$I$12:$I$25,0),K$11)))</f>
        <v>Em chăm chỉ, chuyên cần, rất tích cực, rất đáng khen.</v>
      </c>
      <c r="E13" s="1162"/>
      <c r="F13" s="805"/>
      <c r="H13" s="64"/>
      <c r="I13" s="64" t="s">
        <v>27</v>
      </c>
      <c r="J13" s="57">
        <v>12</v>
      </c>
      <c r="K13" s="57">
        <v>14</v>
      </c>
    </row>
    <row r="14" spans="1:11" ht="32.25" customHeight="1">
      <c r="A14" s="803" t="s">
        <v>193</v>
      </c>
      <c r="B14" s="804" t="s">
        <v>28</v>
      </c>
      <c r="C14" s="805">
        <f>IF(B30="","",INDEX(NXetHKI!$B$3:$CL$57,MATCH(InNXKI!B30,NXetHKI!$B$3:$B$57,0),INDEX($J$12:$K$25,MATCH($B14,$I$12:$I$25,0),J$11)))</f>
        <v>9.3000000000000007</v>
      </c>
      <c r="D14" s="1161" t="str">
        <f>IF(B30="","",INDEX(NXetHKI!$B$3:$CL$57,MATCH(InNXKI!B30,NXetHKI!$B$3:$B$57,0),INDEX($J$12:$K$25,MATCH($B14,$I$12:$I$25,0),K$11)))</f>
        <v>Học giỏi, thông minh, cần phát huy.</v>
      </c>
      <c r="E14" s="1162"/>
      <c r="F14" s="805"/>
      <c r="H14" s="64"/>
      <c r="I14" s="64" t="s">
        <v>28</v>
      </c>
      <c r="J14" s="57">
        <v>18</v>
      </c>
      <c r="K14" s="57">
        <v>20</v>
      </c>
    </row>
    <row r="15" spans="1:11" ht="32.25" customHeight="1">
      <c r="A15" s="803" t="s">
        <v>194</v>
      </c>
      <c r="B15" s="804" t="s">
        <v>29</v>
      </c>
      <c r="C15" s="805">
        <f>IF(B30="","",INDEX(NXetHKI!$B$3:$CL$57,MATCH(InNXKI!B30,NXetHKI!$B$3:$B$57,0),INDEX($J$12:$K$25,MATCH($B15,$I$12:$I$25,0),J$11)))</f>
        <v>9</v>
      </c>
      <c r="D15" s="1161" t="str">
        <f>IF(B30="","",INDEX(NXetHKI!$B$3:$CL$57,MATCH(InNXKI!B30,NXetHKI!$B$3:$B$57,0),INDEX($J$12:$K$25,MATCH($B15,$I$12:$I$25,0),K$11)))</f>
        <v>Sáng tạo, hoạt động nhóm rất tốt, biết chia sẻ kết quả học tập với bạn.</v>
      </c>
      <c r="E15" s="1162"/>
      <c r="F15" s="805"/>
      <c r="H15" s="64"/>
      <c r="I15" s="64" t="s">
        <v>29</v>
      </c>
      <c r="J15" s="57">
        <v>24</v>
      </c>
      <c r="K15" s="57">
        <v>26</v>
      </c>
    </row>
    <row r="16" spans="1:11" ht="32.25" customHeight="1">
      <c r="A16" s="803" t="s">
        <v>195</v>
      </c>
      <c r="B16" s="804" t="s">
        <v>120</v>
      </c>
      <c r="C16" s="805">
        <f>IF(B30="","",INDEX(NXetHKI!$B$3:$CL$57,MATCH(InNXKI!B30,NXetHKI!$B$3:$B$57,0),INDEX($J$12:$K$25,MATCH($B16,$I$12:$I$25,0),J$11)))</f>
        <v>9.6</v>
      </c>
      <c r="D16" s="1161" t="str">
        <f>IF(B30="","",INDEX(NXetHKI!$B$3:$CL$57,MATCH(InNXKI!B30,NXetHKI!$B$3:$B$57,0),INDEX($J$12:$K$25,MATCH($B16,$I$12:$I$25,0),K$11)))</f>
        <v>Rất ngoan, cố gắng có hiệu quả.</v>
      </c>
      <c r="E16" s="1162"/>
      <c r="F16" s="805"/>
      <c r="H16" s="64"/>
      <c r="I16" s="64" t="s">
        <v>120</v>
      </c>
      <c r="J16" s="57">
        <v>30</v>
      </c>
      <c r="K16" s="57">
        <v>32</v>
      </c>
    </row>
    <row r="17" spans="1:11" ht="32.25" customHeight="1">
      <c r="A17" s="803" t="s">
        <v>196</v>
      </c>
      <c r="B17" s="804" t="s">
        <v>30</v>
      </c>
      <c r="C17" s="805">
        <f>IF(B30="","",INDEX(NXetHKI!$B$3:$CL$57,MATCH(InNXKI!B30,NXetHKI!$B$3:$B$57,0),INDEX($J$12:$K$25,MATCH($B17,$I$12:$I$25,0),J$11)))</f>
        <v>7.8</v>
      </c>
      <c r="D17" s="1161" t="str">
        <f>IF(B30="","",INDEX(NXetHKI!$B$3:$CL$57,MATCH(InNXKI!B30,NXetHKI!$B$3:$B$57,0),INDEX($J$12:$K$25,MATCH($B17,$I$12:$I$25,0),K$11)))</f>
        <v>Có năng khiếu, tự giác, cảm nhận được văn bản.</v>
      </c>
      <c r="E17" s="1162"/>
      <c r="F17" s="805"/>
      <c r="H17" s="64"/>
      <c r="I17" s="64" t="s">
        <v>30</v>
      </c>
      <c r="J17" s="57">
        <v>36</v>
      </c>
      <c r="K17" s="57">
        <v>38</v>
      </c>
    </row>
    <row r="18" spans="1:11" ht="32.25" customHeight="1">
      <c r="A18" s="803" t="s">
        <v>197</v>
      </c>
      <c r="B18" s="804" t="s">
        <v>31</v>
      </c>
      <c r="C18" s="805">
        <f>IF(B30="","",INDEX(NXetHKI!$B$3:$CL$57,MATCH(InNXKI!B30,NXetHKI!$B$3:$B$57,0),INDEX($J$12:$K$25,MATCH($B18,$I$12:$I$25,0),J$11)))</f>
        <v>9.6</v>
      </c>
      <c r="D18" s="1161" t="str">
        <f>IF(B30="","",INDEX(NXetHKI!$B$3:$CL$57,MATCH(InNXKI!B30,NXetHKI!$B$3:$B$57,0),INDEX($J$12:$K$25,MATCH($B18,$I$12:$I$25,0),K$11)))</f>
        <v>Chăm ngoan, tích cực, chủ động tiếp thu bài học.</v>
      </c>
      <c r="E18" s="1162"/>
      <c r="F18" s="805"/>
      <c r="H18" s="64"/>
      <c r="I18" s="64" t="s">
        <v>31</v>
      </c>
      <c r="J18" s="57">
        <v>42</v>
      </c>
      <c r="K18" s="57">
        <v>44</v>
      </c>
    </row>
    <row r="19" spans="1:11" ht="32.25" customHeight="1">
      <c r="A19" s="803" t="s">
        <v>198</v>
      </c>
      <c r="B19" s="804" t="s">
        <v>32</v>
      </c>
      <c r="C19" s="805">
        <f>IF(B30="","",INDEX(NXetHKI!$B$3:$CL$57,MATCH(InNXKI!B30,NXetHKI!$B$3:$B$57,0),INDEX($J$12:$K$25,MATCH($B19,$I$12:$I$25,0),J$11)))</f>
        <v>9.8000000000000007</v>
      </c>
      <c r="D19" s="1161" t="str">
        <f>IF(B30="","",INDEX(NXetHKI!$B$3:$CL$57,MATCH(InNXKI!B30,NXetHKI!$B$3:$B$57,0),INDEX($J$12:$K$25,MATCH($B19,$I$12:$I$25,0),K$11)))</f>
        <v>Em rất ngoan, cố gắng có hiệu quả.</v>
      </c>
      <c r="E19" s="1162"/>
      <c r="F19" s="805"/>
      <c r="H19" s="64"/>
      <c r="I19" s="64" t="s">
        <v>32</v>
      </c>
      <c r="J19" s="57">
        <v>48</v>
      </c>
      <c r="K19" s="57">
        <v>50</v>
      </c>
    </row>
    <row r="20" spans="1:11" ht="32.25" customHeight="1">
      <c r="A20" s="803" t="s">
        <v>199</v>
      </c>
      <c r="B20" s="804" t="s">
        <v>33</v>
      </c>
      <c r="C20" s="805">
        <f>IF(B30="","",INDEX(NXetHKI!$B$3:$CL$57,MATCH(InNXKI!B30,NXetHKI!$B$3:$B$57,0),INDEX($J$12:$K$25,MATCH($B20,$I$12:$I$25,0),J$11)))</f>
        <v>9.6</v>
      </c>
      <c r="D20" s="1161" t="str">
        <f>IF(B30="","",INDEX(NXetHKI!$B$3:$CL$57,MATCH(InNXKI!B30,NXetHKI!$B$3:$B$57,0),INDEX($J$12:$K$25,MATCH($B20,$I$12:$I$25,0),K$11)))</f>
        <v>Có năng khiếu, tự tin, giao tiếp tốt và có khả năng làm việc nhóm.</v>
      </c>
      <c r="E20" s="1162"/>
      <c r="F20" s="805"/>
      <c r="H20" s="64"/>
      <c r="I20" s="64" t="s">
        <v>33</v>
      </c>
      <c r="J20" s="57">
        <v>54</v>
      </c>
      <c r="K20" s="57">
        <v>56</v>
      </c>
    </row>
    <row r="21" spans="1:11" ht="32.25" customHeight="1">
      <c r="A21" s="803" t="s">
        <v>200</v>
      </c>
      <c r="B21" s="804" t="s">
        <v>60</v>
      </c>
      <c r="C21" s="805">
        <f>IF(B30="","",INDEX(NXetHKI!$B$3:$CL$57,MATCH(InNXKI!B30,NXetHKI!$B$3:$B$57,0),INDEX($J$12:$K$25,MATCH($B21,$I$12:$I$25,0),J$11)))</f>
        <v>9.1</v>
      </c>
      <c r="D21" s="1161" t="str">
        <f>IF(B30="","",INDEX(NXetHKI!$B$3:$CL$57,MATCH(InNXKI!B30,NXetHKI!$B$3:$B$57,0),INDEX($J$12:$K$25,MATCH($B21,$I$12:$I$25,0),K$11)))</f>
        <v>Hứng thú, có trách nhiệm học tập tốt.</v>
      </c>
      <c r="E21" s="1162"/>
      <c r="F21" s="805"/>
      <c r="H21" s="64"/>
      <c r="I21" s="64" t="s">
        <v>60</v>
      </c>
      <c r="J21" s="57">
        <v>60</v>
      </c>
      <c r="K21" s="57">
        <v>62</v>
      </c>
    </row>
    <row r="22" spans="1:11" ht="32.25" customHeight="1">
      <c r="A22" s="803" t="s">
        <v>201</v>
      </c>
      <c r="B22" s="804" t="s">
        <v>34</v>
      </c>
      <c r="C22" s="805">
        <f>IF(B30="","",INDEX(NXetHKI!$B$3:$CL$57,MATCH(InNXKI!B30,NXetHKI!$B$3:$B$57,0),INDEX($J$12:$K$25,MATCH($B22,$I$12:$I$25,0),J$11)))</f>
        <v>9.5</v>
      </c>
      <c r="D22" s="1161" t="str">
        <f>IF(B30="","",INDEX(NXetHKI!$B$3:$CL$57,MATCH(InNXKI!B30,NXetHKI!$B$3:$B$57,0),INDEX($J$12:$K$25,MATCH($B22,$I$12:$I$25,0),K$11)))</f>
        <v>Học giỏi, năng động, chăm ngoan.</v>
      </c>
      <c r="E22" s="1162"/>
      <c r="F22" s="805"/>
      <c r="H22" s="64"/>
      <c r="I22" s="64" t="s">
        <v>34</v>
      </c>
      <c r="J22" s="57">
        <v>66</v>
      </c>
      <c r="K22" s="57">
        <v>68</v>
      </c>
    </row>
    <row r="23" spans="1:11" ht="32.25" customHeight="1">
      <c r="A23" s="803" t="s">
        <v>202</v>
      </c>
      <c r="B23" s="804" t="s">
        <v>35</v>
      </c>
      <c r="C23" s="805" t="str">
        <f>IF(B30="","",INDEX(NXetHKI!$B$3:$CL$57,MATCH(InNXKI!B30,NXetHKI!$B$3:$B$57,0),INDEX($J$12:$K$25,MATCH($B23,$I$12:$I$25,0),J$11)))</f>
        <v>Đ</v>
      </c>
      <c r="D23" s="1161" t="str">
        <f>IF(B30="","",INDEX(NXetHKI!$B$3:$CL$57,MATCH(InNXKI!B30,NXetHKI!$B$3:$B$57,0),INDEX($J$12:$K$25,MATCH($B23,$I$12:$I$25,0),K$11)))</f>
        <v>Chăm chỉ, cố gắng, rất ngoan.</v>
      </c>
      <c r="E23" s="1162"/>
      <c r="F23" s="805"/>
      <c r="H23" s="64"/>
      <c r="I23" s="64" t="s">
        <v>35</v>
      </c>
      <c r="J23" s="57">
        <v>72</v>
      </c>
      <c r="K23" s="57">
        <v>74</v>
      </c>
    </row>
    <row r="24" spans="1:11" ht="32.25" customHeight="1">
      <c r="A24" s="803" t="s">
        <v>203</v>
      </c>
      <c r="B24" s="804" t="s">
        <v>121</v>
      </c>
      <c r="C24" s="805">
        <f>IF(B30="","",INDEX(NXetHKI!$B$3:$CL$57,MATCH(InNXKI!B30,NXetHKI!$B$3:$B$57,0),INDEX($J$12:$K$25,MATCH($B24,$I$12:$I$25,0),J$11)))</f>
        <v>9.9</v>
      </c>
      <c r="D24" s="1161" t="str">
        <f>IF(B30="","",INDEX(NXetHKI!$B$3:$CL$57,MATCH(InNXKI!B30,NXetHKI!$B$3:$B$57,0),INDEX($J$12:$K$25,MATCH($B24,$I$12:$I$25,0),K$11)))</f>
        <v>Siêng năng, lễ phép, thành thạo thực hành, học giỏi.</v>
      </c>
      <c r="E24" s="1162"/>
      <c r="F24" s="805"/>
      <c r="H24" s="64"/>
      <c r="I24" s="64" t="s">
        <v>121</v>
      </c>
      <c r="J24" s="57">
        <v>78</v>
      </c>
      <c r="K24" s="57">
        <v>80</v>
      </c>
    </row>
    <row r="25" spans="1:11" ht="32.25" customHeight="1">
      <c r="A25" s="803">
        <v>14</v>
      </c>
      <c r="B25" s="804" t="s">
        <v>122</v>
      </c>
      <c r="C25" s="805" t="str">
        <f>IF(B30="","",INDEX(NXetHKI!$B$3:$CL$57,MATCH(InNXKI!B30,NXetHKI!$B$3:$B$57,0),INDEX($J$12:$K$25,MATCH($B25,$I$12:$I$25,0),J$11)))</f>
        <v/>
      </c>
      <c r="D25" s="1161" t="str">
        <f>IF(B30="","",INDEX(NXetHKI!$B$3:$CL$57,MATCH(InNXKI!B30,NXetHKI!$B$3:$B$57,0),INDEX($J$12:$K$25,MATCH($B25,$I$12:$I$25,0),K$11)))</f>
        <v/>
      </c>
      <c r="E25" s="1162"/>
      <c r="F25" s="805"/>
      <c r="H25" s="64"/>
      <c r="I25" s="57" t="s">
        <v>122</v>
      </c>
      <c r="J25" s="57">
        <v>84</v>
      </c>
      <c r="K25" s="57">
        <v>86</v>
      </c>
    </row>
    <row r="26" spans="1:11" ht="12" customHeight="1"/>
    <row r="27" spans="1:11" ht="21.75" customHeight="1">
      <c r="D27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27" s="1163"/>
      <c r="F27" s="1163"/>
    </row>
    <row r="28" spans="1:11">
      <c r="D28" s="992" t="s">
        <v>377</v>
      </c>
      <c r="E28" s="992"/>
      <c r="F28" s="992"/>
    </row>
    <row r="29" spans="1:11" ht="81" customHeight="1">
      <c r="D29" s="923" t="str">
        <f>IF('Huong dan'!$E$5="","",'Huong dan'!$E$5)</f>
        <v/>
      </c>
      <c r="E29" s="923"/>
      <c r="F29" s="923"/>
    </row>
    <row r="30" spans="1:11">
      <c r="A30" s="811"/>
      <c r="B30" s="711">
        <f>IF(MIN(NXetHKI!$B$3:$B$57)&lt;=0,"",MIN(NXetHKI!$B$3:$B$57))</f>
        <v>1</v>
      </c>
      <c r="C30" s="811"/>
      <c r="D30" s="1157"/>
      <c r="E30" s="1157"/>
      <c r="F30" s="1157"/>
    </row>
    <row r="31" spans="1:11" s="60" customFormat="1" ht="24.75" customHeight="1">
      <c r="A31" s="1128" t="str">
        <f>IF('Huong dan'!$E$3&lt;&gt;"","SỞ GIÁO DỤC VÀ ĐÀO TẠO "&amp;UPPER('Huong dan'!$E$3),"")</f>
        <v>SỞ GIÁO DỤC VÀ ĐÀO TẠO TP. HỒ CHÍ MINH</v>
      </c>
      <c r="B31" s="1128"/>
      <c r="C31" s="1128"/>
      <c r="D31" s="1128"/>
      <c r="E31" s="1129" t="s">
        <v>19</v>
      </c>
      <c r="F31" s="1129"/>
    </row>
    <row r="32" spans="1:11" ht="17.25" customHeight="1">
      <c r="A32" s="992" t="str">
        <f>IF('Huong dan'!$E$4&lt;&gt;"","TRƯỜNG "&amp;UPPER('Huong dan'!$E$4),"")</f>
        <v>TRƯỜNG THCS VÀ THPT NGUYỄN KHUYẾN</v>
      </c>
      <c r="B32" s="992"/>
      <c r="C32" s="992"/>
      <c r="D32" s="992"/>
      <c r="E32" s="1130" t="s">
        <v>179</v>
      </c>
      <c r="F32" s="1130"/>
    </row>
    <row r="33" spans="1:9" ht="20.25" customHeight="1">
      <c r="A33" s="69"/>
      <c r="B33" s="69"/>
      <c r="C33" s="30"/>
      <c r="D33" s="30"/>
    </row>
    <row r="34" spans="1:9" ht="28.5" customHeight="1">
      <c r="A34" s="1164" t="s">
        <v>567</v>
      </c>
      <c r="B34" s="1164"/>
      <c r="C34" s="1164"/>
      <c r="D34" s="1164"/>
      <c r="E34" s="1164"/>
      <c r="F34" s="1164"/>
    </row>
    <row r="35" spans="1:9" ht="24.75" customHeight="1">
      <c r="A35" s="1164" t="str">
        <f>"HỌC KỲ I NĂM HỌC "&amp;'Huong dan'!$C$5</f>
        <v>HỌC KỲ I NĂM HỌC 2021 - 2022</v>
      </c>
      <c r="B35" s="1164"/>
      <c r="C35" s="1164"/>
      <c r="D35" s="1164"/>
      <c r="E35" s="1164"/>
      <c r="F35" s="1164"/>
    </row>
    <row r="36" spans="1:9" ht="14.25" customHeight="1">
      <c r="A36" s="70"/>
      <c r="B36" s="66"/>
      <c r="C36" s="66"/>
      <c r="D36" s="66"/>
      <c r="E36" s="66"/>
      <c r="F36" s="66"/>
    </row>
    <row r="37" spans="1:9" ht="18.75" customHeight="1">
      <c r="A37" s="1158" t="s">
        <v>212</v>
      </c>
      <c r="B37" s="1158"/>
      <c r="C37" s="1158"/>
      <c r="D37" s="77" t="str">
        <f>IF(B59="","",INDEX(NXetHKI!$B$3:$CL$57,MATCH(InNXKI!B59,NXetHKI!$B$3:$B$57,0),3)&amp;" "&amp;INDEX(NXetHKI!$B$3:$CL$57,MATCH(InNXKI!B59,NXetHKI!$B$3:$B$57,0),4))</f>
        <v>Chử Ngọc Anh</v>
      </c>
      <c r="E37" s="77"/>
      <c r="F37" s="77" t="str">
        <f>IF('Huong dan'!$C$3="","","Lớp: "&amp;'Huong dan'!$C$3)</f>
        <v>Lớp: 12A1</v>
      </c>
    </row>
    <row r="38" spans="1:9" ht="18.75" customHeight="1">
      <c r="A38" s="1158" t="s">
        <v>213</v>
      </c>
      <c r="B38" s="1158"/>
      <c r="C38" s="1158"/>
      <c r="D38" s="77" t="str">
        <f>INDEX(NXetHKI!$B$3:$CL$57,MATCH(InNXKI!B59,NXetHKI!$B$3:$B$57,0),5)</f>
        <v>14/04/2004</v>
      </c>
      <c r="E38" s="77"/>
      <c r="F38" s="841" t="str">
        <f>IF(B59="","","Nơi sinh: "&amp;INDEX(DiemHKI!$G$4:$G$58,MATCH(InNXKI!B59,DiemHKI!$B$4:$B$58,0),1))</f>
        <v>Nơi sinh: Lâm Đồng</v>
      </c>
    </row>
    <row r="39" spans="1:9" ht="9.75" customHeight="1">
      <c r="A39" s="62"/>
      <c r="B39" s="62"/>
      <c r="C39" s="62"/>
      <c r="D39" s="62"/>
      <c r="E39" s="62"/>
      <c r="F39" s="62"/>
    </row>
    <row r="40" spans="1:9" ht="34.5" customHeight="1">
      <c r="A40" s="801" t="s">
        <v>0</v>
      </c>
      <c r="B40" s="801" t="s">
        <v>59</v>
      </c>
      <c r="C40" s="806" t="s">
        <v>360</v>
      </c>
      <c r="D40" s="1159" t="s">
        <v>568</v>
      </c>
      <c r="E40" s="1160"/>
      <c r="F40" s="802" t="s">
        <v>569</v>
      </c>
    </row>
    <row r="41" spans="1:9" ht="32.25" customHeight="1">
      <c r="A41" s="803" t="s">
        <v>191</v>
      </c>
      <c r="B41" s="804" t="s">
        <v>26</v>
      </c>
      <c r="C41" s="805">
        <f>IF(B59="","",INDEX(NXetHKI!$B$3:$CL$57,MATCH(InNXKI!B59,NXetHKI!$B$3:$B$57,0),INDEX($J$12:$K$25,MATCH($B41,$I$12:$I$25,0),J$11)))</f>
        <v>9.5</v>
      </c>
      <c r="D41" s="1161" t="str">
        <f>IF(B59="","",INDEX(NXetHKI!$B$3:$CL$57,MATCH(InNXKI!B59,NXetHKI!$B$3:$B$57,0),INDEX($J$12:$K$25,MATCH($B41,$I$12:$I$25,0),K$11)))</f>
        <v>Em học giỏi, chăm ngoan, tính tự giác cao, rất tốt.</v>
      </c>
      <c r="E41" s="1162"/>
      <c r="F41" s="805"/>
      <c r="H41" s="64"/>
      <c r="I41" s="64"/>
    </row>
    <row r="42" spans="1:9" ht="32.25" customHeight="1">
      <c r="A42" s="803" t="s">
        <v>192</v>
      </c>
      <c r="B42" s="804" t="s">
        <v>27</v>
      </c>
      <c r="C42" s="805">
        <f>IF(B59="","",INDEX(NXetHKI!$B$3:$CL$57,MATCH(InNXKI!B59,NXetHKI!$B$3:$B$57,0),INDEX($J$12:$K$25,MATCH($B42,$I$12:$I$25,0),J$11)))</f>
        <v>9.6</v>
      </c>
      <c r="D42" s="1161" t="str">
        <f>IF(B59="","",INDEX(NXetHKI!$B$3:$CL$57,MATCH(InNXKI!B59,NXetHKI!$B$3:$B$57,0),INDEX($J$12:$K$25,MATCH($B42,$I$12:$I$25,0),K$11)))</f>
        <v>Em học giỏi, chăm ngoan, tính tự giác cao, rất tốt.</v>
      </c>
      <c r="E42" s="1162"/>
      <c r="F42" s="805"/>
      <c r="H42" s="64"/>
      <c r="I42" s="64"/>
    </row>
    <row r="43" spans="1:9" ht="32.25" customHeight="1">
      <c r="A43" s="803" t="s">
        <v>193</v>
      </c>
      <c r="B43" s="804" t="s">
        <v>28</v>
      </c>
      <c r="C43" s="805">
        <f>IF(B59="","",INDEX(NXetHKI!$B$3:$CL$57,MATCH(InNXKI!B59,NXetHKI!$B$3:$B$57,0),INDEX($J$12:$K$25,MATCH($B43,$I$12:$I$25,0),J$11)))</f>
        <v>9.4</v>
      </c>
      <c r="D43" s="1161" t="str">
        <f>IF(B59="","",INDEX(NXetHKI!$B$3:$CL$57,MATCH(InNXKI!B59,NXetHKI!$B$3:$B$57,0),INDEX($J$12:$K$25,MATCH($B43,$I$12:$I$25,0),K$11)))</f>
        <v>Kiến thức vững, tự học tốt, ngoan.</v>
      </c>
      <c r="E43" s="1162"/>
      <c r="F43" s="805"/>
      <c r="H43" s="64"/>
      <c r="I43" s="64"/>
    </row>
    <row r="44" spans="1:9" ht="32.25" customHeight="1">
      <c r="A44" s="803" t="s">
        <v>194</v>
      </c>
      <c r="B44" s="804" t="s">
        <v>29</v>
      </c>
      <c r="C44" s="805">
        <f>IF(B59="","",INDEX(NXetHKI!$B$3:$CL$57,MATCH(InNXKI!B59,NXetHKI!$B$3:$B$57,0),INDEX($J$12:$K$25,MATCH($B44,$I$12:$I$25,0),J$11)))</f>
        <v>9.6999999999999993</v>
      </c>
      <c r="D44" s="1161" t="str">
        <f>IF(B59="","",INDEX(NXetHKI!$B$3:$CL$57,MATCH(InNXKI!B59,NXetHKI!$B$3:$B$57,0),INDEX($J$12:$K$25,MATCH($B44,$I$12:$I$25,0),K$11)))</f>
        <v>Có khả năng tự học và tự chủ bản thân, tích cực trong học tập.</v>
      </c>
      <c r="E44" s="1162"/>
      <c r="F44" s="805"/>
      <c r="H44" s="64"/>
      <c r="I44" s="64"/>
    </row>
    <row r="45" spans="1:9" ht="32.25" customHeight="1">
      <c r="A45" s="803" t="s">
        <v>195</v>
      </c>
      <c r="B45" s="804" t="s">
        <v>120</v>
      </c>
      <c r="C45" s="805">
        <f>IF(B59="","",INDEX(NXetHKI!$B$3:$CL$57,MATCH(InNXKI!B59,NXetHKI!$B$3:$B$57,0),INDEX($J$12:$K$25,MATCH($B45,$I$12:$I$25,0),J$11)))</f>
        <v>9.6</v>
      </c>
      <c r="D45" s="1161" t="str">
        <f>IF(B59="","",INDEX(NXetHKI!$B$3:$CL$57,MATCH(InNXKI!B59,NXetHKI!$B$3:$B$57,0),INDEX($J$12:$K$25,MATCH($B45,$I$12:$I$25,0),K$11)))</f>
        <v>Ngoan, chăm chỉ, tư duy tốt.</v>
      </c>
      <c r="E45" s="1162"/>
      <c r="F45" s="805"/>
      <c r="H45" s="64"/>
      <c r="I45" s="64"/>
    </row>
    <row r="46" spans="1:9" ht="32.25" customHeight="1">
      <c r="A46" s="803" t="s">
        <v>196</v>
      </c>
      <c r="B46" s="804" t="s">
        <v>30</v>
      </c>
      <c r="C46" s="805">
        <f>IF(B59="","",INDEX(NXetHKI!$B$3:$CL$57,MATCH(InNXKI!B59,NXetHKI!$B$3:$B$57,0),INDEX($J$12:$K$25,MATCH($B46,$I$12:$I$25,0),J$11)))</f>
        <v>8.4</v>
      </c>
      <c r="D46" s="1161" t="str">
        <f>IF(B59="","",INDEX(NXetHKI!$B$3:$CL$57,MATCH(InNXKI!B59,NXetHKI!$B$3:$B$57,0),INDEX($J$12:$K$25,MATCH($B46,$I$12:$I$25,0),K$11)))</f>
        <v>Tích cực học tập, nắm vững bốn kỹ năng.</v>
      </c>
      <c r="E46" s="1162"/>
      <c r="F46" s="805"/>
      <c r="H46" s="64"/>
      <c r="I46" s="64"/>
    </row>
    <row r="47" spans="1:9" ht="32.25" customHeight="1">
      <c r="A47" s="803" t="s">
        <v>197</v>
      </c>
      <c r="B47" s="804" t="s">
        <v>31</v>
      </c>
      <c r="C47" s="805">
        <f>IF(B59="","",INDEX(NXetHKI!$B$3:$CL$57,MATCH(InNXKI!B59,NXetHKI!$B$3:$B$57,0),INDEX($J$12:$K$25,MATCH($B47,$I$12:$I$25,0),J$11)))</f>
        <v>9.6</v>
      </c>
      <c r="D47" s="1161" t="str">
        <f>IF(B59="","",INDEX(NXetHKI!$B$3:$CL$57,MATCH(InNXKI!B59,NXetHKI!$B$3:$B$57,0),INDEX($J$12:$K$25,MATCH($B47,$I$12:$I$25,0),K$11)))</f>
        <v>Tiếp thu bài tốt, ghi nhớ nhanh các sự kiện lịch sử.</v>
      </c>
      <c r="E47" s="1162"/>
      <c r="F47" s="805"/>
      <c r="H47" s="64"/>
      <c r="I47" s="64"/>
    </row>
    <row r="48" spans="1:9" ht="32.25" customHeight="1">
      <c r="A48" s="803" t="s">
        <v>198</v>
      </c>
      <c r="B48" s="804" t="s">
        <v>32</v>
      </c>
      <c r="C48" s="805">
        <f>IF(B59="","",INDEX(NXetHKI!$B$3:$CL$57,MATCH(InNXKI!B59,NXetHKI!$B$3:$B$57,0),INDEX($J$12:$K$25,MATCH($B48,$I$12:$I$25,0),J$11)))</f>
        <v>9.8000000000000007</v>
      </c>
      <c r="D48" s="1161" t="str">
        <f>IF(B59="","",INDEX(NXetHKI!$B$3:$CL$57,MATCH(InNXKI!B59,NXetHKI!$B$3:$B$57,0),INDEX($J$12:$K$25,MATCH($B48,$I$12:$I$25,0),K$11)))</f>
        <v>Em có tư duy tốt, rất tích cực, giải quyết vấn đề tốt.</v>
      </c>
      <c r="E48" s="1162"/>
      <c r="F48" s="805"/>
      <c r="H48" s="64"/>
      <c r="I48" s="64"/>
    </row>
    <row r="49" spans="1:9" ht="32.25" customHeight="1">
      <c r="A49" s="803" t="s">
        <v>199</v>
      </c>
      <c r="B49" s="804" t="s">
        <v>33</v>
      </c>
      <c r="C49" s="805">
        <f>IF(B59="","",INDEX(NXetHKI!$B$3:$CL$57,MATCH(InNXKI!B59,NXetHKI!$B$3:$B$57,0),INDEX($J$12:$K$25,MATCH($B49,$I$12:$I$25,0),J$11)))</f>
        <v>9</v>
      </c>
      <c r="D49" s="1161" t="str">
        <f>IF(B59="","",INDEX(NXetHKI!$B$3:$CL$57,MATCH(InNXKI!B59,NXetHKI!$B$3:$B$57,0),INDEX($J$12:$K$25,MATCH($B49,$I$12:$I$25,0),K$11)))</f>
        <v>Chăm chỉ, chuyên cần, rất tích cực và năng động.</v>
      </c>
      <c r="E49" s="1162"/>
      <c r="F49" s="805"/>
      <c r="H49" s="64"/>
      <c r="I49" s="64"/>
    </row>
    <row r="50" spans="1:9" ht="32.25" customHeight="1">
      <c r="A50" s="803" t="s">
        <v>200</v>
      </c>
      <c r="B50" s="804" t="s">
        <v>60</v>
      </c>
      <c r="C50" s="805">
        <f>IF(B59="","",INDEX(NXetHKI!$B$3:$CL$57,MATCH(InNXKI!B59,NXetHKI!$B$3:$B$57,0),INDEX($J$12:$K$25,MATCH($B50,$I$12:$I$25,0),J$11)))</f>
        <v>9.1</v>
      </c>
      <c r="D50" s="1161" t="str">
        <f>IF(B59="","",INDEX(NXetHKI!$B$3:$CL$57,MATCH(InNXKI!B59,NXetHKI!$B$3:$B$57,0),INDEX($J$12:$K$25,MATCH($B50,$I$12:$I$25,0),K$11)))</f>
        <v>Chăm chỉ, học giỏi.</v>
      </c>
      <c r="E50" s="1162"/>
      <c r="F50" s="805"/>
      <c r="H50" s="64"/>
      <c r="I50" s="64"/>
    </row>
    <row r="51" spans="1:9" ht="32.25" customHeight="1">
      <c r="A51" s="803" t="s">
        <v>201</v>
      </c>
      <c r="B51" s="804" t="s">
        <v>34</v>
      </c>
      <c r="C51" s="805">
        <f>IF(B59="","",INDEX(NXetHKI!$B$3:$CL$57,MATCH(InNXKI!B59,NXetHKI!$B$3:$B$57,0),INDEX($J$12:$K$25,MATCH($B51,$I$12:$I$25,0),J$11)))</f>
        <v>9.8000000000000007</v>
      </c>
      <c r="D51" s="1161" t="str">
        <f>IF(B59="","",INDEX(NXetHKI!$B$3:$CL$57,MATCH(InNXKI!B59,NXetHKI!$B$3:$B$57,0),INDEX($J$12:$K$25,MATCH($B51,$I$12:$I$25,0),K$11)))</f>
        <v>Năng động, sáng tạo trong học tập.</v>
      </c>
      <c r="E51" s="1162"/>
      <c r="F51" s="805"/>
      <c r="H51" s="64"/>
      <c r="I51" s="64"/>
    </row>
    <row r="52" spans="1:9" ht="32.25" customHeight="1">
      <c r="A52" s="803" t="s">
        <v>202</v>
      </c>
      <c r="B52" s="804" t="s">
        <v>35</v>
      </c>
      <c r="C52" s="805" t="str">
        <f>IF(B59="","",INDEX(NXetHKI!$B$3:$CL$57,MATCH(InNXKI!B59,NXetHKI!$B$3:$B$57,0),INDEX($J$12:$K$25,MATCH($B52,$I$12:$I$25,0),J$11)))</f>
        <v>Đ</v>
      </c>
      <c r="D52" s="1161" t="str">
        <f>IF(B59="","",INDEX(NXetHKI!$B$3:$CL$57,MATCH(InNXKI!B59,NXetHKI!$B$3:$B$57,0),INDEX($J$12:$K$25,MATCH($B52,$I$12:$I$25,0),K$11)))</f>
        <v>Giỏi, có nhiều tiến bộ trong học tập.</v>
      </c>
      <c r="E52" s="1162"/>
      <c r="F52" s="805"/>
      <c r="H52" s="64"/>
      <c r="I52" s="64"/>
    </row>
    <row r="53" spans="1:9" ht="32.25" customHeight="1">
      <c r="A53" s="803" t="s">
        <v>203</v>
      </c>
      <c r="B53" s="804" t="s">
        <v>121</v>
      </c>
      <c r="C53" s="805">
        <f>IF(B59="","",INDEX(NXetHKI!$B$3:$CL$57,MATCH(InNXKI!B59,NXetHKI!$B$3:$B$57,0),INDEX($J$12:$K$25,MATCH($B53,$I$12:$I$25,0),J$11)))</f>
        <v>9.9</v>
      </c>
      <c r="D53" s="1161" t="str">
        <f>IF(B59="","",INDEX(NXetHKI!$B$3:$CL$57,MATCH(InNXKI!B59,NXetHKI!$B$3:$B$57,0),INDEX($J$12:$K$25,MATCH($B53,$I$12:$I$25,0),K$11)))</f>
        <v>Tích cực, năng động, nắm bài tốt, học giỏi.</v>
      </c>
      <c r="E53" s="1162"/>
      <c r="F53" s="805"/>
      <c r="H53" s="64"/>
      <c r="I53" s="64"/>
    </row>
    <row r="54" spans="1:9" ht="32.25" customHeight="1">
      <c r="A54" s="803">
        <v>14</v>
      </c>
      <c r="B54" s="804" t="s">
        <v>122</v>
      </c>
      <c r="C54" s="805" t="str">
        <f>IF(B59="","",INDEX(NXetHKI!$B$3:$CL$57,MATCH(InNXKI!B59,NXetHKI!$B$3:$B$57,0),INDEX($J$12:$K$25,MATCH($B54,$I$12:$I$25,0),J$11)))</f>
        <v/>
      </c>
      <c r="D54" s="1161" t="str">
        <f>IF(B59="","",INDEX(NXetHKI!$B$3:$CL$57,MATCH(InNXKI!B59,NXetHKI!$B$3:$B$57,0),INDEX($J$12:$K$25,MATCH($B54,$I$12:$I$25,0),K$11)))</f>
        <v/>
      </c>
      <c r="E54" s="1162"/>
      <c r="F54" s="805"/>
      <c r="H54" s="64"/>
    </row>
    <row r="55" spans="1:9" ht="12" customHeight="1"/>
    <row r="56" spans="1:9" ht="21.75" customHeight="1">
      <c r="D56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56" s="1163"/>
      <c r="F56" s="1163"/>
    </row>
    <row r="57" spans="1:9">
      <c r="D57" s="992" t="s">
        <v>377</v>
      </c>
      <c r="E57" s="992"/>
      <c r="F57" s="992"/>
    </row>
    <row r="58" spans="1:9" ht="81" customHeight="1">
      <c r="D58" s="923" t="str">
        <f>IF('Huong dan'!$E$5="","",'Huong dan'!$E$5)</f>
        <v/>
      </c>
      <c r="E58" s="923"/>
      <c r="F58" s="923"/>
    </row>
    <row r="59" spans="1:9">
      <c r="A59" s="811"/>
      <c r="B59" s="711">
        <f>IF(B30="","",IF(B30&lt;MAX(NXetHKI!$B$3:$B$57),B30+1,""))</f>
        <v>2</v>
      </c>
      <c r="C59" s="811"/>
      <c r="D59" s="1157"/>
      <c r="E59" s="1157"/>
      <c r="F59" s="1157"/>
    </row>
    <row r="60" spans="1:9" s="60" customFormat="1" ht="24.75" customHeight="1">
      <c r="A60" s="1128" t="str">
        <f>IF('Huong dan'!$E$3&lt;&gt;"","SỞ GIÁO DỤC VÀ ĐÀO TẠO "&amp;UPPER('Huong dan'!$E$3),"")</f>
        <v>SỞ GIÁO DỤC VÀ ĐÀO TẠO TP. HỒ CHÍ MINH</v>
      </c>
      <c r="B60" s="1128"/>
      <c r="C60" s="1128"/>
      <c r="D60" s="1128"/>
      <c r="E60" s="1129" t="s">
        <v>19</v>
      </c>
      <c r="F60" s="1129"/>
    </row>
    <row r="61" spans="1:9" ht="17.25" customHeight="1">
      <c r="A61" s="992" t="str">
        <f>IF('Huong dan'!$E$4&lt;&gt;"","TRƯỜNG "&amp;UPPER('Huong dan'!$E$4),"")</f>
        <v>TRƯỜNG THCS VÀ THPT NGUYỄN KHUYẾN</v>
      </c>
      <c r="B61" s="992"/>
      <c r="C61" s="992"/>
      <c r="D61" s="992"/>
      <c r="E61" s="1130" t="s">
        <v>179</v>
      </c>
      <c r="F61" s="1130"/>
    </row>
    <row r="62" spans="1:9" ht="20.25" customHeight="1">
      <c r="A62" s="69"/>
      <c r="B62" s="69"/>
      <c r="C62" s="30"/>
      <c r="D62" s="30"/>
    </row>
    <row r="63" spans="1:9" ht="28.5" customHeight="1">
      <c r="A63" s="1164" t="s">
        <v>567</v>
      </c>
      <c r="B63" s="1164"/>
      <c r="C63" s="1164"/>
      <c r="D63" s="1164"/>
      <c r="E63" s="1164"/>
      <c r="F63" s="1164"/>
    </row>
    <row r="64" spans="1:9" ht="24.75" customHeight="1">
      <c r="A64" s="1164" t="str">
        <f>"HỌC KỲ I NĂM HỌC "&amp;'Huong dan'!$C$5</f>
        <v>HỌC KỲ I NĂM HỌC 2021 - 2022</v>
      </c>
      <c r="B64" s="1164"/>
      <c r="C64" s="1164"/>
      <c r="D64" s="1164"/>
      <c r="E64" s="1164"/>
      <c r="F64" s="1164"/>
    </row>
    <row r="65" spans="1:9" ht="14.25" customHeight="1">
      <c r="A65" s="70"/>
      <c r="B65" s="66"/>
      <c r="C65" s="66"/>
      <c r="D65" s="66"/>
      <c r="E65" s="66"/>
      <c r="F65" s="66"/>
    </row>
    <row r="66" spans="1:9" ht="18.75" customHeight="1">
      <c r="A66" s="1158" t="s">
        <v>212</v>
      </c>
      <c r="B66" s="1158"/>
      <c r="C66" s="1158"/>
      <c r="D66" s="77" t="str">
        <f>IF(B88="","",INDEX(NXetHKI!$B$3:$CL$57,MATCH(InNXKI!B88,NXetHKI!$B$3:$B$57,0),3)&amp;" "&amp;INDEX(NXetHKI!$B$3:$CL$57,MATCH(InNXKI!B88,NXetHKI!$B$3:$B$57,0),4))</f>
        <v>Lê Tuấn Anh</v>
      </c>
      <c r="E66" s="77"/>
      <c r="F66" s="77" t="str">
        <f>IF('Huong dan'!$C$3="","","Lớp: "&amp;'Huong dan'!$C$3)</f>
        <v>Lớp: 12A1</v>
      </c>
    </row>
    <row r="67" spans="1:9" ht="18.75" customHeight="1">
      <c r="A67" s="1158" t="s">
        <v>213</v>
      </c>
      <c r="B67" s="1158"/>
      <c r="C67" s="1158"/>
      <c r="D67" s="77" t="str">
        <f>INDEX(NXetHKI!$B$3:$CL$57,MATCH(InNXKI!B88,NXetHKI!$B$3:$B$57,0),5)</f>
        <v>20/10/2004</v>
      </c>
      <c r="E67" s="77"/>
      <c r="F67" s="841" t="str">
        <f>IF(B88="","","Nơi sinh: "&amp;INDEX(DiemHKI!$G$4:$G$58,MATCH(InNXKI!B88,DiemHKI!$B$4:$B$58,0),1))</f>
        <v>Nơi sinh: Kiên Giang</v>
      </c>
    </row>
    <row r="68" spans="1:9" ht="9.75" customHeight="1">
      <c r="A68" s="62"/>
      <c r="B68" s="62"/>
      <c r="C68" s="62"/>
      <c r="D68" s="62"/>
      <c r="E68" s="62"/>
      <c r="F68" s="62"/>
    </row>
    <row r="69" spans="1:9" ht="34.5" customHeight="1">
      <c r="A69" s="801" t="s">
        <v>0</v>
      </c>
      <c r="B69" s="801" t="s">
        <v>59</v>
      </c>
      <c r="C69" s="806" t="s">
        <v>360</v>
      </c>
      <c r="D69" s="1159" t="s">
        <v>568</v>
      </c>
      <c r="E69" s="1160"/>
      <c r="F69" s="802" t="s">
        <v>569</v>
      </c>
    </row>
    <row r="70" spans="1:9" ht="32.25" customHeight="1">
      <c r="A70" s="803" t="s">
        <v>191</v>
      </c>
      <c r="B70" s="804" t="s">
        <v>26</v>
      </c>
      <c r="C70" s="805">
        <f>IF(B88="","",INDEX(NXetHKI!$B$3:$CL$57,MATCH(InNXKI!B88,NXetHKI!$B$3:$B$57,0),INDEX($J$12:$K$25,MATCH($B70,$I$12:$I$25,0),J$11)))</f>
        <v>9.6</v>
      </c>
      <c r="D70" s="1161" t="str">
        <f>IF(B88="","",INDEX(NXetHKI!$B$3:$CL$57,MATCH(InNXKI!B88,NXetHKI!$B$3:$B$57,0),INDEX($J$12:$K$25,MATCH($B70,$I$12:$I$25,0),K$11)))</f>
        <v>Em ngoan, tích cực, năng động, rất đáng khen.</v>
      </c>
      <c r="E70" s="1162"/>
      <c r="F70" s="805"/>
      <c r="H70" s="64"/>
      <c r="I70" s="64"/>
    </row>
    <row r="71" spans="1:9" ht="32.25" customHeight="1">
      <c r="A71" s="803" t="s">
        <v>192</v>
      </c>
      <c r="B71" s="804" t="s">
        <v>27</v>
      </c>
      <c r="C71" s="805">
        <f>IF(B88="","",INDEX(NXetHKI!$B$3:$CL$57,MATCH(InNXKI!B88,NXetHKI!$B$3:$B$57,0),INDEX($J$12:$K$25,MATCH($B71,$I$12:$I$25,0),J$11)))</f>
        <v>9.4</v>
      </c>
      <c r="D71" s="1161" t="str">
        <f>IF(B88="","",INDEX(NXetHKI!$B$3:$CL$57,MATCH(InNXKI!B88,NXetHKI!$B$3:$B$57,0),INDEX($J$12:$K$25,MATCH($B71,$I$12:$I$25,0),K$11)))</f>
        <v>Em ngoan, tích cực, năng động, rất đáng khen.</v>
      </c>
      <c r="E71" s="1162"/>
      <c r="F71" s="805"/>
      <c r="H71" s="64"/>
      <c r="I71" s="64"/>
    </row>
    <row r="72" spans="1:9" ht="32.25" customHeight="1">
      <c r="A72" s="803" t="s">
        <v>193</v>
      </c>
      <c r="B72" s="804" t="s">
        <v>28</v>
      </c>
      <c r="C72" s="805">
        <f>IF(B88="","",INDEX(NXetHKI!$B$3:$CL$57,MATCH(InNXKI!B88,NXetHKI!$B$3:$B$57,0),INDEX($J$12:$K$25,MATCH($B72,$I$12:$I$25,0),J$11)))</f>
        <v>9.4</v>
      </c>
      <c r="D72" s="1161" t="str">
        <f>IF(B88="","",INDEX(NXetHKI!$B$3:$CL$57,MATCH(InNXKI!B88,NXetHKI!$B$3:$B$57,0),INDEX($J$12:$K$25,MATCH($B72,$I$12:$I$25,0),K$11)))</f>
        <v>Kiến thức vững, sáng tạo, tự học tốt.</v>
      </c>
      <c r="E72" s="1162"/>
      <c r="F72" s="805"/>
      <c r="H72" s="64"/>
      <c r="I72" s="64"/>
    </row>
    <row r="73" spans="1:9" ht="32.25" customHeight="1">
      <c r="A73" s="803" t="s">
        <v>194</v>
      </c>
      <c r="B73" s="804" t="s">
        <v>29</v>
      </c>
      <c r="C73" s="805">
        <f>IF(B88="","",INDEX(NXetHKI!$B$3:$CL$57,MATCH(InNXKI!B88,NXetHKI!$B$3:$B$57,0),INDEX($J$12:$K$25,MATCH($B73,$I$12:$I$25,0),J$11)))</f>
        <v>8.6</v>
      </c>
      <c r="D73" s="1161" t="str">
        <f>IF(B88="","",INDEX(NXetHKI!$B$3:$CL$57,MATCH(InNXKI!B88,NXetHKI!$B$3:$B$57,0),INDEX($J$12:$K$25,MATCH($B73,$I$12:$I$25,0),K$11)))</f>
        <v>Ngoan, khả năng tư duy tốt, có trách nhiệm, trình bày tốt.</v>
      </c>
      <c r="E73" s="1162"/>
      <c r="F73" s="805"/>
      <c r="H73" s="64"/>
      <c r="I73" s="64"/>
    </row>
    <row r="74" spans="1:9" ht="32.25" customHeight="1">
      <c r="A74" s="803" t="s">
        <v>195</v>
      </c>
      <c r="B74" s="804" t="s">
        <v>120</v>
      </c>
      <c r="C74" s="805">
        <f>IF(B88="","",INDEX(NXetHKI!$B$3:$CL$57,MATCH(InNXKI!B88,NXetHKI!$B$3:$B$57,0),INDEX($J$12:$K$25,MATCH($B74,$I$12:$I$25,0),J$11)))</f>
        <v>9.8000000000000007</v>
      </c>
      <c r="D74" s="1161" t="str">
        <f>IF(B88="","",INDEX(NXetHKI!$B$3:$CL$57,MATCH(InNXKI!B88,NXetHKI!$B$3:$B$57,0),INDEX($J$12:$K$25,MATCH($B74,$I$12:$I$25,0),K$11)))</f>
        <v>Học giỏi, năng động và sáng tạo trong học tập.</v>
      </c>
      <c r="E74" s="1162"/>
      <c r="F74" s="805"/>
      <c r="H74" s="64"/>
      <c r="I74" s="64"/>
    </row>
    <row r="75" spans="1:9" ht="32.25" customHeight="1">
      <c r="A75" s="803" t="s">
        <v>196</v>
      </c>
      <c r="B75" s="804" t="s">
        <v>30</v>
      </c>
      <c r="C75" s="805">
        <f>IF(B88="","",INDEX(NXetHKI!$B$3:$CL$57,MATCH(InNXKI!B88,NXetHKI!$B$3:$B$57,0),INDEX($J$12:$K$25,MATCH($B75,$I$12:$I$25,0),J$11)))</f>
        <v>7.1</v>
      </c>
      <c r="D75" s="1161" t="str">
        <f>IF(B88="","",INDEX(NXetHKI!$B$3:$CL$57,MATCH(InNXKI!B88,NXetHKI!$B$3:$B$57,0),INDEX($J$12:$K$25,MATCH($B75,$I$12:$I$25,0),K$11)))</f>
        <v>Cần tích cực rèn thêm kỹ năng đọc, viết.</v>
      </c>
      <c r="E75" s="1162"/>
      <c r="F75" s="805"/>
      <c r="H75" s="64"/>
      <c r="I75" s="64"/>
    </row>
    <row r="76" spans="1:9" ht="32.25" customHeight="1">
      <c r="A76" s="803" t="s">
        <v>197</v>
      </c>
      <c r="B76" s="804" t="s">
        <v>31</v>
      </c>
      <c r="C76" s="805">
        <f>IF(B88="","",INDEX(NXetHKI!$B$3:$CL$57,MATCH(InNXKI!B88,NXetHKI!$B$3:$B$57,0),INDEX($J$12:$K$25,MATCH($B76,$I$12:$I$25,0),J$11)))</f>
        <v>9.4</v>
      </c>
      <c r="D76" s="1161" t="str">
        <f>IF(B88="","",INDEX(NXetHKI!$B$3:$CL$57,MATCH(InNXKI!B88,NXetHKI!$B$3:$B$57,0),INDEX($J$12:$K$25,MATCH($B76,$I$12:$I$25,0),K$11)))</f>
        <v>Chăm học, tích cực phát biểu xây dựng bài.</v>
      </c>
      <c r="E76" s="1162"/>
      <c r="F76" s="805"/>
      <c r="H76" s="64"/>
      <c r="I76" s="64"/>
    </row>
    <row r="77" spans="1:9" ht="32.25" customHeight="1">
      <c r="A77" s="803" t="s">
        <v>198</v>
      </c>
      <c r="B77" s="804" t="s">
        <v>32</v>
      </c>
      <c r="C77" s="805">
        <f>IF(B88="","",INDEX(NXetHKI!$B$3:$CL$57,MATCH(InNXKI!B88,NXetHKI!$B$3:$B$57,0),INDEX($J$12:$K$25,MATCH($B77,$I$12:$I$25,0),J$11)))</f>
        <v>9.6</v>
      </c>
      <c r="D77" s="1161" t="str">
        <f>IF(B88="","",INDEX(NXetHKI!$B$3:$CL$57,MATCH(InNXKI!B88,NXetHKI!$B$3:$B$57,0),INDEX($J$12:$K$25,MATCH($B77,$I$12:$I$25,0),K$11)))</f>
        <v>Em có tư duy tốt, tích cực, vận dụng thực tế tốt.</v>
      </c>
      <c r="E77" s="1162"/>
      <c r="F77" s="805"/>
      <c r="H77" s="64"/>
      <c r="I77" s="64"/>
    </row>
    <row r="78" spans="1:9" ht="32.25" customHeight="1">
      <c r="A78" s="803" t="s">
        <v>199</v>
      </c>
      <c r="B78" s="804" t="s">
        <v>33</v>
      </c>
      <c r="C78" s="805">
        <f>IF(B88="","",INDEX(NXetHKI!$B$3:$CL$57,MATCH(InNXKI!B88,NXetHKI!$B$3:$B$57,0),INDEX($J$12:$K$25,MATCH($B78,$I$12:$I$25,0),J$11)))</f>
        <v>8.1999999999999993</v>
      </c>
      <c r="D78" s="1161" t="str">
        <f>IF(B88="","",INDEX(NXetHKI!$B$3:$CL$57,MATCH(InNXKI!B88,NXetHKI!$B$3:$B$57,0),INDEX($J$12:$K$25,MATCH($B78,$I$12:$I$25,0),K$11)))</f>
        <v>Có ý thức tự giác học tập, chuyên cần và tích cực trong các hoạt động tập thể.</v>
      </c>
      <c r="E78" s="1162"/>
      <c r="F78" s="805"/>
      <c r="H78" s="64"/>
      <c r="I78" s="64"/>
    </row>
    <row r="79" spans="1:9" ht="32.25" customHeight="1">
      <c r="A79" s="803" t="s">
        <v>200</v>
      </c>
      <c r="B79" s="804" t="s">
        <v>60</v>
      </c>
      <c r="C79" s="805">
        <f>IF(B88="","",INDEX(NXetHKI!$B$3:$CL$57,MATCH(InNXKI!B88,NXetHKI!$B$3:$B$57,0),INDEX($J$12:$K$25,MATCH($B79,$I$12:$I$25,0),J$11)))</f>
        <v>8.8000000000000007</v>
      </c>
      <c r="D79" s="1161" t="str">
        <f>IF(B88="","",INDEX(NXetHKI!$B$3:$CL$57,MATCH(InNXKI!B88,NXetHKI!$B$3:$B$57,0),INDEX($J$12:$K$25,MATCH($B79,$I$12:$I$25,0),K$11)))</f>
        <v>Chủ động, nhân ái, học giỏi.</v>
      </c>
      <c r="E79" s="1162"/>
      <c r="F79" s="805"/>
      <c r="H79" s="64"/>
      <c r="I79" s="64"/>
    </row>
    <row r="80" spans="1:9" ht="32.25" customHeight="1">
      <c r="A80" s="803" t="s">
        <v>201</v>
      </c>
      <c r="B80" s="804" t="s">
        <v>34</v>
      </c>
      <c r="C80" s="805">
        <f>IF(B88="","",INDEX(NXetHKI!$B$3:$CL$57,MATCH(InNXKI!B88,NXetHKI!$B$3:$B$57,0),INDEX($J$12:$K$25,MATCH($B80,$I$12:$I$25,0),J$11)))</f>
        <v>9.5</v>
      </c>
      <c r="D80" s="1161" t="str">
        <f>IF(B88="","",INDEX(NXetHKI!$B$3:$CL$57,MATCH(InNXKI!B88,NXetHKI!$B$3:$B$57,0),INDEX($J$12:$K$25,MATCH($B80,$I$12:$I$25,0),K$11)))</f>
        <v>Học giỏi, tiếp thu nhanh, chăm ngoan.</v>
      </c>
      <c r="E80" s="1162"/>
      <c r="F80" s="805"/>
      <c r="H80" s="64"/>
      <c r="I80" s="64"/>
    </row>
    <row r="81" spans="1:9" ht="32.25" customHeight="1">
      <c r="A81" s="803" t="s">
        <v>202</v>
      </c>
      <c r="B81" s="804" t="s">
        <v>35</v>
      </c>
      <c r="C81" s="805" t="str">
        <f>IF(B88="","",INDEX(NXetHKI!$B$3:$CL$57,MATCH(InNXKI!B88,NXetHKI!$B$3:$B$57,0),INDEX($J$12:$K$25,MATCH($B81,$I$12:$I$25,0),J$11)))</f>
        <v>Đ</v>
      </c>
      <c r="D81" s="1161" t="str">
        <f>IF(B88="","",INDEX(NXetHKI!$B$3:$CL$57,MATCH(InNXKI!B88,NXetHKI!$B$3:$B$57,0),INDEX($J$12:$K$25,MATCH($B81,$I$12:$I$25,0),K$11)))</f>
        <v>Rất ngoan, học có hiệu quả tốt.</v>
      </c>
      <c r="E81" s="1162"/>
      <c r="F81" s="805"/>
      <c r="H81" s="64"/>
      <c r="I81" s="64"/>
    </row>
    <row r="82" spans="1:9" ht="32.25" customHeight="1">
      <c r="A82" s="803" t="s">
        <v>203</v>
      </c>
      <c r="B82" s="804" t="s">
        <v>121</v>
      </c>
      <c r="C82" s="805">
        <f>IF(B88="","",INDEX(NXetHKI!$B$3:$CL$57,MATCH(InNXKI!B88,NXetHKI!$B$3:$B$57,0),INDEX($J$12:$K$25,MATCH($B82,$I$12:$I$25,0),J$11)))</f>
        <v>9.4</v>
      </c>
      <c r="D82" s="1161" t="str">
        <f>IF(B88="","",INDEX(NXetHKI!$B$3:$CL$57,MATCH(InNXKI!B88,NXetHKI!$B$3:$B$57,0),INDEX($J$12:$K$25,MATCH($B82,$I$12:$I$25,0),K$11)))</f>
        <v>Ngoan, tích cực xây dựng bài, nắm chắc thực hành, học giỏi.</v>
      </c>
      <c r="E82" s="1162"/>
      <c r="F82" s="805"/>
      <c r="H82" s="64"/>
      <c r="I82" s="64"/>
    </row>
    <row r="83" spans="1:9" ht="32.25" customHeight="1">
      <c r="A83" s="803">
        <v>14</v>
      </c>
      <c r="B83" s="804" t="s">
        <v>122</v>
      </c>
      <c r="C83" s="805" t="str">
        <f>IF(B88="","",INDEX(NXetHKI!$B$3:$CL$57,MATCH(InNXKI!B88,NXetHKI!$B$3:$B$57,0),INDEX($J$12:$K$25,MATCH($B83,$I$12:$I$25,0),J$11)))</f>
        <v/>
      </c>
      <c r="D83" s="1161" t="str">
        <f>IF(B88="","",INDEX(NXetHKI!$B$3:$CL$57,MATCH(InNXKI!B88,NXetHKI!$B$3:$B$57,0),INDEX($J$12:$K$25,MATCH($B83,$I$12:$I$25,0),K$11)))</f>
        <v/>
      </c>
      <c r="E83" s="1162"/>
      <c r="F83" s="805"/>
      <c r="H83" s="64"/>
    </row>
    <row r="84" spans="1:9" ht="12" customHeight="1"/>
    <row r="85" spans="1:9" ht="21.75" customHeight="1">
      <c r="D85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85" s="1163"/>
      <c r="F85" s="1163"/>
    </row>
    <row r="86" spans="1:9">
      <c r="D86" s="992" t="s">
        <v>377</v>
      </c>
      <c r="E86" s="992"/>
      <c r="F86" s="992"/>
    </row>
    <row r="87" spans="1:9" ht="81" customHeight="1">
      <c r="D87" s="923" t="str">
        <f>IF('Huong dan'!$E$5="","",'Huong dan'!$E$5)</f>
        <v/>
      </c>
      <c r="E87" s="923"/>
      <c r="F87" s="923"/>
    </row>
    <row r="88" spans="1:9">
      <c r="A88" s="811"/>
      <c r="B88" s="711">
        <f>IF(B59="","",IF(B59&lt;MAX(NXetHKI!$B$3:$B$57),B59+1,""))</f>
        <v>3</v>
      </c>
      <c r="C88" s="811"/>
      <c r="D88" s="1157"/>
      <c r="E88" s="1157"/>
      <c r="F88" s="1157"/>
    </row>
    <row r="89" spans="1:9" s="60" customFormat="1" ht="24.75" customHeight="1">
      <c r="A89" s="1128" t="str">
        <f>IF('Huong dan'!$E$3&lt;&gt;"","SỞ GIÁO DỤC VÀ ĐÀO TẠO "&amp;UPPER('Huong dan'!$E$3),"")</f>
        <v>SỞ GIÁO DỤC VÀ ĐÀO TẠO TP. HỒ CHÍ MINH</v>
      </c>
      <c r="B89" s="1128"/>
      <c r="C89" s="1128"/>
      <c r="D89" s="1128"/>
      <c r="E89" s="1129" t="s">
        <v>19</v>
      </c>
      <c r="F89" s="1129"/>
    </row>
    <row r="90" spans="1:9" ht="17.25" customHeight="1">
      <c r="A90" s="992" t="str">
        <f>IF('Huong dan'!$E$4&lt;&gt;"","TRƯỜNG "&amp;UPPER('Huong dan'!$E$4),"")</f>
        <v>TRƯỜNG THCS VÀ THPT NGUYỄN KHUYẾN</v>
      </c>
      <c r="B90" s="992"/>
      <c r="C90" s="992"/>
      <c r="D90" s="992"/>
      <c r="E90" s="1130" t="s">
        <v>179</v>
      </c>
      <c r="F90" s="1130"/>
    </row>
    <row r="91" spans="1:9" ht="20.25" customHeight="1">
      <c r="A91" s="69"/>
      <c r="B91" s="69"/>
      <c r="C91" s="30"/>
      <c r="D91" s="30"/>
    </row>
    <row r="92" spans="1:9" ht="28.5" customHeight="1">
      <c r="A92" s="1164" t="s">
        <v>567</v>
      </c>
      <c r="B92" s="1164"/>
      <c r="C92" s="1164"/>
      <c r="D92" s="1164"/>
      <c r="E92" s="1164"/>
      <c r="F92" s="1164"/>
    </row>
    <row r="93" spans="1:9" ht="24.75" customHeight="1">
      <c r="A93" s="1164" t="str">
        <f>"HỌC KỲ I NĂM HỌC "&amp;'Huong dan'!$C$5</f>
        <v>HỌC KỲ I NĂM HỌC 2021 - 2022</v>
      </c>
      <c r="B93" s="1164"/>
      <c r="C93" s="1164"/>
      <c r="D93" s="1164"/>
      <c r="E93" s="1164"/>
      <c r="F93" s="1164"/>
    </row>
    <row r="94" spans="1:9" ht="14.25" customHeight="1">
      <c r="A94" s="70"/>
      <c r="B94" s="66"/>
      <c r="C94" s="66"/>
      <c r="D94" s="66"/>
      <c r="E94" s="66"/>
      <c r="F94" s="66"/>
    </row>
    <row r="95" spans="1:9" ht="18.75" customHeight="1">
      <c r="A95" s="1158" t="s">
        <v>212</v>
      </c>
      <c r="B95" s="1158"/>
      <c r="C95" s="1158"/>
      <c r="D95" s="77" t="str">
        <f>IF(B117="","",INDEX(NXetHKI!$B$3:$CL$57,MATCH(InNXKI!B117,NXetHKI!$B$3:$B$57,0),3)&amp;" "&amp;INDEX(NXetHKI!$B$3:$CL$57,MATCH(InNXKI!B117,NXetHKI!$B$3:$B$57,0),4))</f>
        <v>Nguyễn Quách Mai Anh</v>
      </c>
      <c r="E95" s="77"/>
      <c r="F95" s="77" t="str">
        <f>IF('Huong dan'!$C$3="","","Lớp: "&amp;'Huong dan'!$C$3)</f>
        <v>Lớp: 12A1</v>
      </c>
    </row>
    <row r="96" spans="1:9" ht="18.75" customHeight="1">
      <c r="A96" s="1158" t="s">
        <v>213</v>
      </c>
      <c r="B96" s="1158"/>
      <c r="C96" s="1158"/>
      <c r="D96" s="77" t="str">
        <f>INDEX(NXetHKI!$B$3:$CL$57,MATCH(InNXKI!B117,NXetHKI!$B$3:$B$57,0),5)</f>
        <v>12/05/2004</v>
      </c>
      <c r="E96" s="77"/>
      <c r="F96" s="841" t="str">
        <f>IF(B117="","","Nơi sinh: "&amp;INDEX(DiemHKI!$G$4:$G$58,MATCH(InNXKI!B117,DiemHKI!$B$4:$B$58,0),1))</f>
        <v>Nơi sinh: TP. Hồ Chí Minh</v>
      </c>
    </row>
    <row r="97" spans="1:9" ht="9.75" customHeight="1">
      <c r="A97" s="62"/>
      <c r="B97" s="62"/>
      <c r="C97" s="62"/>
      <c r="D97" s="62"/>
      <c r="E97" s="62"/>
      <c r="F97" s="62"/>
    </row>
    <row r="98" spans="1:9" ht="34.5" customHeight="1">
      <c r="A98" s="801" t="s">
        <v>0</v>
      </c>
      <c r="B98" s="801" t="s">
        <v>59</v>
      </c>
      <c r="C98" s="806" t="s">
        <v>360</v>
      </c>
      <c r="D98" s="1159" t="s">
        <v>568</v>
      </c>
      <c r="E98" s="1160"/>
      <c r="F98" s="802" t="s">
        <v>569</v>
      </c>
    </row>
    <row r="99" spans="1:9" ht="32.25" customHeight="1">
      <c r="A99" s="803" t="s">
        <v>191</v>
      </c>
      <c r="B99" s="804" t="s">
        <v>26</v>
      </c>
      <c r="C99" s="805">
        <f>IF(B117="","",INDEX(NXetHKI!$B$3:$CL$57,MATCH(InNXKI!B117,NXetHKI!$B$3:$B$57,0),INDEX($J$12:$K$25,MATCH($B99,$I$12:$I$25,0),J$11)))</f>
        <v>9.8000000000000007</v>
      </c>
      <c r="D99" s="1161" t="str">
        <f>IF(B117="","",INDEX(NXetHKI!$B$3:$CL$57,MATCH(InNXKI!B117,NXetHKI!$B$3:$B$57,0),INDEX($J$12:$K$25,MATCH($B99,$I$12:$I$25,0),K$11)))</f>
        <v>Em chăm chỉ, chuyên cần, rất tích cực, rất đáng khen.</v>
      </c>
      <c r="E99" s="1162"/>
      <c r="F99" s="805"/>
      <c r="H99" s="64"/>
      <c r="I99" s="64"/>
    </row>
    <row r="100" spans="1:9" ht="32.25" customHeight="1">
      <c r="A100" s="803" t="s">
        <v>192</v>
      </c>
      <c r="B100" s="804" t="s">
        <v>27</v>
      </c>
      <c r="C100" s="805">
        <f>IF(B117="","",INDEX(NXetHKI!$B$3:$CL$57,MATCH(InNXKI!B117,NXetHKI!$B$3:$B$57,0),INDEX($J$12:$K$25,MATCH($B100,$I$12:$I$25,0),J$11)))</f>
        <v>9.6999999999999993</v>
      </c>
      <c r="D100" s="1161" t="str">
        <f>IF(B117="","",INDEX(NXetHKI!$B$3:$CL$57,MATCH(InNXKI!B117,NXetHKI!$B$3:$B$57,0),INDEX($J$12:$K$25,MATCH($B100,$I$12:$I$25,0),K$11)))</f>
        <v>Em chăm chỉ, chuyên cần, rất tích cực, rất đáng khen.</v>
      </c>
      <c r="E100" s="1162"/>
      <c r="F100" s="805"/>
      <c r="H100" s="64"/>
      <c r="I100" s="64"/>
    </row>
    <row r="101" spans="1:9" ht="32.25" customHeight="1">
      <c r="A101" s="803" t="s">
        <v>193</v>
      </c>
      <c r="B101" s="804" t="s">
        <v>28</v>
      </c>
      <c r="C101" s="805">
        <f>IF(B117="","",INDEX(NXetHKI!$B$3:$CL$57,MATCH(InNXKI!B117,NXetHKI!$B$3:$B$57,0),INDEX($J$12:$K$25,MATCH($B101,$I$12:$I$25,0),J$11)))</f>
        <v>9.3000000000000007</v>
      </c>
      <c r="D101" s="1161" t="str">
        <f>IF(B117="","",INDEX(NXetHKI!$B$3:$CL$57,MATCH(InNXKI!B117,NXetHKI!$B$3:$B$57,0),INDEX($J$12:$K$25,MATCH($B101,$I$12:$I$25,0),K$11)))</f>
        <v>Học giỏi, thông minh, cần phát huy.</v>
      </c>
      <c r="E101" s="1162"/>
      <c r="F101" s="805"/>
      <c r="H101" s="64"/>
      <c r="I101" s="64"/>
    </row>
    <row r="102" spans="1:9" ht="32.25" customHeight="1">
      <c r="A102" s="803" t="s">
        <v>194</v>
      </c>
      <c r="B102" s="804" t="s">
        <v>29</v>
      </c>
      <c r="C102" s="805">
        <f>IF(B117="","",INDEX(NXetHKI!$B$3:$CL$57,MATCH(InNXKI!B117,NXetHKI!$B$3:$B$57,0),INDEX($J$12:$K$25,MATCH($B102,$I$12:$I$25,0),J$11)))</f>
        <v>9.1999999999999993</v>
      </c>
      <c r="D102" s="1161" t="str">
        <f>IF(B117="","",INDEX(NXetHKI!$B$3:$CL$57,MATCH(InNXKI!B117,NXetHKI!$B$3:$B$57,0),INDEX($J$12:$K$25,MATCH($B102,$I$12:$I$25,0),K$11)))</f>
        <v>Sáng tạo, hoạt động nhóm rất tốt, biết chia sẻ kết quả học tập với bạn.</v>
      </c>
      <c r="E102" s="1162"/>
      <c r="F102" s="805"/>
      <c r="H102" s="64"/>
      <c r="I102" s="64"/>
    </row>
    <row r="103" spans="1:9" ht="32.25" customHeight="1">
      <c r="A103" s="803" t="s">
        <v>195</v>
      </c>
      <c r="B103" s="804" t="s">
        <v>120</v>
      </c>
      <c r="C103" s="805">
        <f>IF(B117="","",INDEX(NXetHKI!$B$3:$CL$57,MATCH(InNXKI!B117,NXetHKI!$B$3:$B$57,0),INDEX($J$12:$K$25,MATCH($B103,$I$12:$I$25,0),J$11)))</f>
        <v>9.8000000000000007</v>
      </c>
      <c r="D103" s="1161" t="str">
        <f>IF(B117="","",INDEX(NXetHKI!$B$3:$CL$57,MATCH(InNXKI!B117,NXetHKI!$B$3:$B$57,0),INDEX($J$12:$K$25,MATCH($B103,$I$12:$I$25,0),K$11)))</f>
        <v>Rất ngoan, cố gắng có hiệu quả.</v>
      </c>
      <c r="E103" s="1162"/>
      <c r="F103" s="805"/>
      <c r="H103" s="64"/>
      <c r="I103" s="64"/>
    </row>
    <row r="104" spans="1:9" ht="32.25" customHeight="1">
      <c r="A104" s="803" t="s">
        <v>196</v>
      </c>
      <c r="B104" s="804" t="s">
        <v>30</v>
      </c>
      <c r="C104" s="805">
        <f>IF(B117="","",INDEX(NXetHKI!$B$3:$CL$57,MATCH(InNXKI!B117,NXetHKI!$B$3:$B$57,0),INDEX($J$12:$K$25,MATCH($B104,$I$12:$I$25,0),J$11)))</f>
        <v>7.4</v>
      </c>
      <c r="D104" s="1161" t="str">
        <f>IF(B117="","",INDEX(NXetHKI!$B$3:$CL$57,MATCH(InNXKI!B117,NXetHKI!$B$3:$B$57,0),INDEX($J$12:$K$25,MATCH($B104,$I$12:$I$25,0),K$11)))</f>
        <v>Học khá, cần chủ động rèn thêm kỹ năng diễn đạt.</v>
      </c>
      <c r="E104" s="1162"/>
      <c r="F104" s="805"/>
      <c r="H104" s="64"/>
      <c r="I104" s="64"/>
    </row>
    <row r="105" spans="1:9" ht="32.25" customHeight="1">
      <c r="A105" s="803" t="s">
        <v>197</v>
      </c>
      <c r="B105" s="804" t="s">
        <v>31</v>
      </c>
      <c r="C105" s="805">
        <f>IF(B117="","",INDEX(NXetHKI!$B$3:$CL$57,MATCH(InNXKI!B117,NXetHKI!$B$3:$B$57,0),INDEX($J$12:$K$25,MATCH($B105,$I$12:$I$25,0),J$11)))</f>
        <v>9.8000000000000007</v>
      </c>
      <c r="D105" s="1161" t="str">
        <f>IF(B117="","",INDEX(NXetHKI!$B$3:$CL$57,MATCH(InNXKI!B117,NXetHKI!$B$3:$B$57,0),INDEX($J$12:$K$25,MATCH($B105,$I$12:$I$25,0),K$11)))</f>
        <v>Chăm ngoan, tích cực, chủ động tiếp thu bài học.</v>
      </c>
      <c r="E105" s="1162"/>
      <c r="F105" s="805"/>
      <c r="H105" s="64"/>
      <c r="I105" s="64"/>
    </row>
    <row r="106" spans="1:9" ht="32.25" customHeight="1">
      <c r="A106" s="803" t="s">
        <v>198</v>
      </c>
      <c r="B106" s="804" t="s">
        <v>32</v>
      </c>
      <c r="C106" s="805">
        <f>IF(B117="","",INDEX(NXetHKI!$B$3:$CL$57,MATCH(InNXKI!B117,NXetHKI!$B$3:$B$57,0),INDEX($J$12:$K$25,MATCH($B106,$I$12:$I$25,0),J$11)))</f>
        <v>9.9</v>
      </c>
      <c r="D106" s="1161" t="str">
        <f>IF(B117="","",INDEX(NXetHKI!$B$3:$CL$57,MATCH(InNXKI!B117,NXetHKI!$B$3:$B$57,0),INDEX($J$12:$K$25,MATCH($B106,$I$12:$I$25,0),K$11)))</f>
        <v>Em rất ngoan, cố gắng có hiệu quả.</v>
      </c>
      <c r="E106" s="1162"/>
      <c r="F106" s="805"/>
      <c r="H106" s="64"/>
      <c r="I106" s="64"/>
    </row>
    <row r="107" spans="1:9" ht="32.25" customHeight="1">
      <c r="A107" s="803" t="s">
        <v>199</v>
      </c>
      <c r="B107" s="804" t="s">
        <v>33</v>
      </c>
      <c r="C107" s="805">
        <f>IF(B117="","",INDEX(NXetHKI!$B$3:$CL$57,MATCH(InNXKI!B117,NXetHKI!$B$3:$B$57,0),INDEX($J$12:$K$25,MATCH($B107,$I$12:$I$25,0),J$11)))</f>
        <v>8</v>
      </c>
      <c r="D107" s="1161" t="str">
        <f>IF(B117="","",INDEX(NXetHKI!$B$3:$CL$57,MATCH(InNXKI!B117,NXetHKI!$B$3:$B$57,0),INDEX($J$12:$K$25,MATCH($B107,$I$12:$I$25,0),K$11)))</f>
        <v>Học giỏi, chăm ngoan, ý thức tự giác học tập, chuyên cần.</v>
      </c>
      <c r="E107" s="1162"/>
      <c r="F107" s="805"/>
      <c r="H107" s="64"/>
      <c r="I107" s="64"/>
    </row>
    <row r="108" spans="1:9" ht="32.25" customHeight="1">
      <c r="A108" s="803" t="s">
        <v>200</v>
      </c>
      <c r="B108" s="804" t="s">
        <v>60</v>
      </c>
      <c r="C108" s="805">
        <f>IF(B117="","",INDEX(NXetHKI!$B$3:$CL$57,MATCH(InNXKI!B117,NXetHKI!$B$3:$B$57,0),INDEX($J$12:$K$25,MATCH($B108,$I$12:$I$25,0),J$11)))</f>
        <v>9.5</v>
      </c>
      <c r="D108" s="1161" t="str">
        <f>IF(B117="","",INDEX(NXetHKI!$B$3:$CL$57,MATCH(InNXKI!B117,NXetHKI!$B$3:$B$57,0),INDEX($J$12:$K$25,MATCH($B108,$I$12:$I$25,0),K$11)))</f>
        <v>Hứng thú, có trách nhiệm học tập tốt.</v>
      </c>
      <c r="E108" s="1162"/>
      <c r="F108" s="805"/>
      <c r="H108" s="64"/>
      <c r="I108" s="64"/>
    </row>
    <row r="109" spans="1:9" ht="32.25" customHeight="1">
      <c r="A109" s="803" t="s">
        <v>201</v>
      </c>
      <c r="B109" s="804" t="s">
        <v>34</v>
      </c>
      <c r="C109" s="805">
        <f>IF(B117="","",INDEX(NXetHKI!$B$3:$CL$57,MATCH(InNXKI!B117,NXetHKI!$B$3:$B$57,0),INDEX($J$12:$K$25,MATCH($B109,$I$12:$I$25,0),J$11)))</f>
        <v>9.9</v>
      </c>
      <c r="D109" s="1161" t="str">
        <f>IF(B117="","",INDEX(NXetHKI!$B$3:$CL$57,MATCH(InNXKI!B117,NXetHKI!$B$3:$B$57,0),INDEX($J$12:$K$25,MATCH($B109,$I$12:$I$25,0),K$11)))</f>
        <v>Học giỏi, năng động, chăm ngoan.</v>
      </c>
      <c r="E109" s="1162"/>
      <c r="F109" s="805"/>
      <c r="H109" s="64"/>
      <c r="I109" s="64"/>
    </row>
    <row r="110" spans="1:9" ht="32.25" customHeight="1">
      <c r="A110" s="803" t="s">
        <v>202</v>
      </c>
      <c r="B110" s="804" t="s">
        <v>35</v>
      </c>
      <c r="C110" s="805" t="str">
        <f>IF(B117="","",INDEX(NXetHKI!$B$3:$CL$57,MATCH(InNXKI!B117,NXetHKI!$B$3:$B$57,0),INDEX($J$12:$K$25,MATCH($B110,$I$12:$I$25,0),J$11)))</f>
        <v>Đ</v>
      </c>
      <c r="D110" s="1161" t="str">
        <f>IF(B117="","",INDEX(NXetHKI!$B$3:$CL$57,MATCH(InNXKI!B117,NXetHKI!$B$3:$B$57,0),INDEX($J$12:$K$25,MATCH($B110,$I$12:$I$25,0),K$11)))</f>
        <v>Chăm chỉ, cố gắng, rất ngoan.</v>
      </c>
      <c r="E110" s="1162"/>
      <c r="F110" s="805"/>
      <c r="H110" s="64"/>
      <c r="I110" s="64"/>
    </row>
    <row r="111" spans="1:9" ht="32.25" customHeight="1">
      <c r="A111" s="803" t="s">
        <v>203</v>
      </c>
      <c r="B111" s="804" t="s">
        <v>121</v>
      </c>
      <c r="C111" s="805">
        <f>IF(B117="","",INDEX(NXetHKI!$B$3:$CL$57,MATCH(InNXKI!B117,NXetHKI!$B$3:$B$57,0),INDEX($J$12:$K$25,MATCH($B111,$I$12:$I$25,0),J$11)))</f>
        <v>9.9</v>
      </c>
      <c r="D111" s="1161" t="str">
        <f>IF(B117="","",INDEX(NXetHKI!$B$3:$CL$57,MATCH(InNXKI!B117,NXetHKI!$B$3:$B$57,0),INDEX($J$12:$K$25,MATCH($B111,$I$12:$I$25,0),K$11)))</f>
        <v>Siêng năng, lễ phép, thành thạo thực hành, học giỏi.</v>
      </c>
      <c r="E111" s="1162"/>
      <c r="F111" s="805"/>
      <c r="H111" s="64"/>
      <c r="I111" s="64"/>
    </row>
    <row r="112" spans="1:9" ht="32.25" customHeight="1">
      <c r="A112" s="803">
        <v>14</v>
      </c>
      <c r="B112" s="804" t="s">
        <v>122</v>
      </c>
      <c r="C112" s="805" t="str">
        <f>IF(B117="","",INDEX(NXetHKI!$B$3:$CL$57,MATCH(InNXKI!B117,NXetHKI!$B$3:$B$57,0),INDEX($J$12:$K$25,MATCH($B112,$I$12:$I$25,0),J$11)))</f>
        <v/>
      </c>
      <c r="D112" s="1161" t="str">
        <f>IF(B117="","",INDEX(NXetHKI!$B$3:$CL$57,MATCH(InNXKI!B117,NXetHKI!$B$3:$B$57,0),INDEX($J$12:$K$25,MATCH($B112,$I$12:$I$25,0),K$11)))</f>
        <v/>
      </c>
      <c r="E112" s="1162"/>
      <c r="F112" s="805"/>
      <c r="H112" s="64"/>
    </row>
    <row r="113" spans="1:9" ht="12" customHeight="1"/>
    <row r="114" spans="1:9" ht="21.75" customHeight="1">
      <c r="D114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14" s="1163"/>
      <c r="F114" s="1163"/>
    </row>
    <row r="115" spans="1:9">
      <c r="D115" s="992" t="s">
        <v>377</v>
      </c>
      <c r="E115" s="992"/>
      <c r="F115" s="992"/>
    </row>
    <row r="116" spans="1:9" ht="81" customHeight="1">
      <c r="D116" s="923" t="str">
        <f>IF('Huong dan'!$E$5="","",'Huong dan'!$E$5)</f>
        <v/>
      </c>
      <c r="E116" s="923"/>
      <c r="F116" s="923"/>
    </row>
    <row r="117" spans="1:9">
      <c r="A117" s="811"/>
      <c r="B117" s="711">
        <f>IF(B88="","",IF(B88&lt;MAX(NXetHKI!$B$3:$B$57),B88+1,""))</f>
        <v>4</v>
      </c>
      <c r="C117" s="811"/>
      <c r="D117" s="1157"/>
      <c r="E117" s="1157"/>
      <c r="F117" s="1157"/>
    </row>
    <row r="118" spans="1:9" s="60" customFormat="1" ht="24.75" customHeight="1">
      <c r="A118" s="1128" t="str">
        <f>IF('Huong dan'!$E$3&lt;&gt;"","SỞ GIÁO DỤC VÀ ĐÀO TẠO "&amp;UPPER('Huong dan'!$E$3),"")</f>
        <v>SỞ GIÁO DỤC VÀ ĐÀO TẠO TP. HỒ CHÍ MINH</v>
      </c>
      <c r="B118" s="1128"/>
      <c r="C118" s="1128"/>
      <c r="D118" s="1128"/>
      <c r="E118" s="1129" t="s">
        <v>19</v>
      </c>
      <c r="F118" s="1129"/>
    </row>
    <row r="119" spans="1:9" ht="17.25" customHeight="1">
      <c r="A119" s="992" t="str">
        <f>IF('Huong dan'!$E$4&lt;&gt;"","TRƯỜNG "&amp;UPPER('Huong dan'!$E$4),"")</f>
        <v>TRƯỜNG THCS VÀ THPT NGUYỄN KHUYẾN</v>
      </c>
      <c r="B119" s="992"/>
      <c r="C119" s="992"/>
      <c r="D119" s="992"/>
      <c r="E119" s="1130" t="s">
        <v>179</v>
      </c>
      <c r="F119" s="1130"/>
    </row>
    <row r="120" spans="1:9" ht="20.25" customHeight="1">
      <c r="A120" s="69"/>
      <c r="B120" s="69"/>
      <c r="C120" s="30"/>
      <c r="D120" s="30"/>
    </row>
    <row r="121" spans="1:9" ht="28.5" customHeight="1">
      <c r="A121" s="1164" t="s">
        <v>567</v>
      </c>
      <c r="B121" s="1164"/>
      <c r="C121" s="1164"/>
      <c r="D121" s="1164"/>
      <c r="E121" s="1164"/>
      <c r="F121" s="1164"/>
    </row>
    <row r="122" spans="1:9" ht="24.75" customHeight="1">
      <c r="A122" s="1164" t="str">
        <f>"HỌC KỲ I NĂM HỌC "&amp;'Huong dan'!$C$5</f>
        <v>HỌC KỲ I NĂM HỌC 2021 - 2022</v>
      </c>
      <c r="B122" s="1164"/>
      <c r="C122" s="1164"/>
      <c r="D122" s="1164"/>
      <c r="E122" s="1164"/>
      <c r="F122" s="1164"/>
    </row>
    <row r="123" spans="1:9" ht="14.25" customHeight="1">
      <c r="A123" s="70"/>
      <c r="B123" s="66"/>
      <c r="C123" s="66"/>
      <c r="D123" s="66"/>
      <c r="E123" s="66"/>
      <c r="F123" s="66"/>
    </row>
    <row r="124" spans="1:9" ht="18.75" customHeight="1">
      <c r="A124" s="1158" t="s">
        <v>212</v>
      </c>
      <c r="B124" s="1158"/>
      <c r="C124" s="1158"/>
      <c r="D124" s="77" t="str">
        <f>IF(B146="","",INDEX(NXetHKI!$B$3:$CL$57,MATCH(InNXKI!B146,NXetHKI!$B$3:$B$57,0),3)&amp;" "&amp;INDEX(NXetHKI!$B$3:$CL$57,MATCH(InNXKI!B146,NXetHKI!$B$3:$B$57,0),4))</f>
        <v>Vũ Song Anh</v>
      </c>
      <c r="E124" s="77"/>
      <c r="F124" s="77" t="str">
        <f>IF('Huong dan'!$C$3="","","Lớp: "&amp;'Huong dan'!$C$3)</f>
        <v>Lớp: 12A1</v>
      </c>
    </row>
    <row r="125" spans="1:9" ht="18.75" customHeight="1">
      <c r="A125" s="1158" t="s">
        <v>213</v>
      </c>
      <c r="B125" s="1158"/>
      <c r="C125" s="1158"/>
      <c r="D125" s="77" t="str">
        <f>INDEX(NXetHKI!$B$3:$CL$57,MATCH(InNXKI!B146,NXetHKI!$B$3:$B$57,0),5)</f>
        <v>20/04/2004</v>
      </c>
      <c r="E125" s="77"/>
      <c r="F125" s="841" t="str">
        <f>IF(B146="","","Nơi sinh: "&amp;INDEX(DiemHKI!$G$4:$G$58,MATCH(InNXKI!B146,DiemHKI!$B$4:$B$58,0),1))</f>
        <v>Nơi sinh: TP. Hồ Chí Minh</v>
      </c>
    </row>
    <row r="126" spans="1:9" ht="9.75" customHeight="1">
      <c r="A126" s="62"/>
      <c r="B126" s="62"/>
      <c r="C126" s="62"/>
      <c r="D126" s="62"/>
      <c r="E126" s="62"/>
      <c r="F126" s="62"/>
    </row>
    <row r="127" spans="1:9" ht="34.5" customHeight="1">
      <c r="A127" s="801" t="s">
        <v>0</v>
      </c>
      <c r="B127" s="801" t="s">
        <v>59</v>
      </c>
      <c r="C127" s="806" t="s">
        <v>360</v>
      </c>
      <c r="D127" s="1159" t="s">
        <v>568</v>
      </c>
      <c r="E127" s="1160"/>
      <c r="F127" s="802" t="s">
        <v>569</v>
      </c>
    </row>
    <row r="128" spans="1:9" ht="32.25" customHeight="1">
      <c r="A128" s="803" t="s">
        <v>191</v>
      </c>
      <c r="B128" s="804" t="s">
        <v>26</v>
      </c>
      <c r="C128" s="805">
        <f>IF(B146="","",INDEX(NXetHKI!$B$3:$CL$57,MATCH(InNXKI!B146,NXetHKI!$B$3:$B$57,0),INDEX($J$12:$K$25,MATCH($B128,$I$12:$I$25,0),J$11)))</f>
        <v>9.6</v>
      </c>
      <c r="D128" s="1161" t="str">
        <f>IF(B146="","",INDEX(NXetHKI!$B$3:$CL$57,MATCH(InNXKI!B146,NXetHKI!$B$3:$B$57,0),INDEX($J$12:$K$25,MATCH($B128,$I$12:$I$25,0),K$11)))</f>
        <v>Em học giỏi, chăm ngoan, tính tự giác cao, rất tốt.</v>
      </c>
      <c r="E128" s="1162"/>
      <c r="F128" s="805"/>
      <c r="H128" s="64"/>
      <c r="I128" s="64"/>
    </row>
    <row r="129" spans="1:9" ht="32.25" customHeight="1">
      <c r="A129" s="803" t="s">
        <v>192</v>
      </c>
      <c r="B129" s="804" t="s">
        <v>27</v>
      </c>
      <c r="C129" s="805">
        <f>IF(B146="","",INDEX(NXetHKI!$B$3:$CL$57,MATCH(InNXKI!B146,NXetHKI!$B$3:$B$57,0),INDEX($J$12:$K$25,MATCH($B129,$I$12:$I$25,0),J$11)))</f>
        <v>9.6</v>
      </c>
      <c r="D129" s="1161" t="str">
        <f>IF(B146="","",INDEX(NXetHKI!$B$3:$CL$57,MATCH(InNXKI!B146,NXetHKI!$B$3:$B$57,0),INDEX($J$12:$K$25,MATCH($B129,$I$12:$I$25,0),K$11)))</f>
        <v>Em học giỏi, chăm ngoan, tính tự giác cao, rất tốt.</v>
      </c>
      <c r="E129" s="1162"/>
      <c r="F129" s="805"/>
      <c r="H129" s="64"/>
      <c r="I129" s="64"/>
    </row>
    <row r="130" spans="1:9" ht="32.25" customHeight="1">
      <c r="A130" s="803" t="s">
        <v>193</v>
      </c>
      <c r="B130" s="804" t="s">
        <v>28</v>
      </c>
      <c r="C130" s="805">
        <f>IF(B146="","",INDEX(NXetHKI!$B$3:$CL$57,MATCH(InNXKI!B146,NXetHKI!$B$3:$B$57,0),INDEX($J$12:$K$25,MATCH($B130,$I$12:$I$25,0),J$11)))</f>
        <v>9.3000000000000007</v>
      </c>
      <c r="D130" s="1161" t="str">
        <f>IF(B146="","",INDEX(NXetHKI!$B$3:$CL$57,MATCH(InNXKI!B146,NXetHKI!$B$3:$B$57,0),INDEX($J$12:$K$25,MATCH($B130,$I$12:$I$25,0),K$11)))</f>
        <v>Kiến thức vững, tự học tốt, ngoan.</v>
      </c>
      <c r="E130" s="1162"/>
      <c r="F130" s="805"/>
      <c r="H130" s="64"/>
      <c r="I130" s="64"/>
    </row>
    <row r="131" spans="1:9" ht="32.25" customHeight="1">
      <c r="A131" s="803" t="s">
        <v>194</v>
      </c>
      <c r="B131" s="804" t="s">
        <v>29</v>
      </c>
      <c r="C131" s="805">
        <f>IF(B146="","",INDEX(NXetHKI!$B$3:$CL$57,MATCH(InNXKI!B146,NXetHKI!$B$3:$B$57,0),INDEX($J$12:$K$25,MATCH($B131,$I$12:$I$25,0),J$11)))</f>
        <v>9</v>
      </c>
      <c r="D131" s="1161" t="str">
        <f>IF(B146="","",INDEX(NXetHKI!$B$3:$CL$57,MATCH(InNXKI!B146,NXetHKI!$B$3:$B$57,0),INDEX($J$12:$K$25,MATCH($B131,$I$12:$I$25,0),K$11)))</f>
        <v>Có khả năng tự học và tự chủ bản thân, tích cực trong học tập.</v>
      </c>
      <c r="E131" s="1162"/>
      <c r="F131" s="805"/>
      <c r="H131" s="64"/>
      <c r="I131" s="64"/>
    </row>
    <row r="132" spans="1:9" ht="32.25" customHeight="1">
      <c r="A132" s="803" t="s">
        <v>195</v>
      </c>
      <c r="B132" s="804" t="s">
        <v>120</v>
      </c>
      <c r="C132" s="805">
        <f>IF(B146="","",INDEX(NXetHKI!$B$3:$CL$57,MATCH(InNXKI!B146,NXetHKI!$B$3:$B$57,0),INDEX($J$12:$K$25,MATCH($B132,$I$12:$I$25,0),J$11)))</f>
        <v>9.6</v>
      </c>
      <c r="D132" s="1161" t="str">
        <f>IF(B146="","",INDEX(NXetHKI!$B$3:$CL$57,MATCH(InNXKI!B146,NXetHKI!$B$3:$B$57,0),INDEX($J$12:$K$25,MATCH($B132,$I$12:$I$25,0),K$11)))</f>
        <v>Ngoan, chăm chỉ, tư duy tốt.</v>
      </c>
      <c r="E132" s="1162"/>
      <c r="F132" s="805"/>
      <c r="H132" s="64"/>
      <c r="I132" s="64"/>
    </row>
    <row r="133" spans="1:9" ht="32.25" customHeight="1">
      <c r="A133" s="803" t="s">
        <v>196</v>
      </c>
      <c r="B133" s="804" t="s">
        <v>30</v>
      </c>
      <c r="C133" s="805">
        <f>IF(B146="","",INDEX(NXetHKI!$B$3:$CL$57,MATCH(InNXKI!B146,NXetHKI!$B$3:$B$57,0),INDEX($J$12:$K$25,MATCH($B133,$I$12:$I$25,0),J$11)))</f>
        <v>7.2</v>
      </c>
      <c r="D133" s="1161" t="str">
        <f>IF(B146="","",INDEX(NXetHKI!$B$3:$CL$57,MATCH(InNXKI!B146,NXetHKI!$B$3:$B$57,0),INDEX($J$12:$K$25,MATCH($B133,$I$12:$I$25,0),K$11)))</f>
        <v>Có ý thức học tập tốt, cần nỗ lực rèn luyện thêm các kỹ năng.</v>
      </c>
      <c r="E133" s="1162"/>
      <c r="F133" s="805"/>
      <c r="H133" s="64"/>
      <c r="I133" s="64"/>
    </row>
    <row r="134" spans="1:9" ht="32.25" customHeight="1">
      <c r="A134" s="803" t="s">
        <v>197</v>
      </c>
      <c r="B134" s="804" t="s">
        <v>31</v>
      </c>
      <c r="C134" s="805">
        <f>IF(B146="","",INDEX(NXetHKI!$B$3:$CL$57,MATCH(InNXKI!B146,NXetHKI!$B$3:$B$57,0),INDEX($J$12:$K$25,MATCH($B134,$I$12:$I$25,0),J$11)))</f>
        <v>9.6</v>
      </c>
      <c r="D134" s="1161" t="str">
        <f>IF(B146="","",INDEX(NXetHKI!$B$3:$CL$57,MATCH(InNXKI!B146,NXetHKI!$B$3:$B$57,0),INDEX($J$12:$K$25,MATCH($B134,$I$12:$I$25,0),K$11)))</f>
        <v>Tiếp thu bài tốt, ghi nhớ nhanh các sự kiện lịch sử.</v>
      </c>
      <c r="E134" s="1162"/>
      <c r="F134" s="805"/>
      <c r="H134" s="64"/>
      <c r="I134" s="64"/>
    </row>
    <row r="135" spans="1:9" ht="32.25" customHeight="1">
      <c r="A135" s="803" t="s">
        <v>198</v>
      </c>
      <c r="B135" s="804" t="s">
        <v>32</v>
      </c>
      <c r="C135" s="805">
        <f>IF(B146="","",INDEX(NXetHKI!$B$3:$CL$57,MATCH(InNXKI!B146,NXetHKI!$B$3:$B$57,0),INDEX($J$12:$K$25,MATCH($B135,$I$12:$I$25,0),J$11)))</f>
        <v>9.9</v>
      </c>
      <c r="D135" s="1161" t="str">
        <f>IF(B146="","",INDEX(NXetHKI!$B$3:$CL$57,MATCH(InNXKI!B146,NXetHKI!$B$3:$B$57,0),INDEX($J$12:$K$25,MATCH($B135,$I$12:$I$25,0),K$11)))</f>
        <v>Em có tư duy tốt, rất tích cực, giải quyết vấn đề tốt.</v>
      </c>
      <c r="E135" s="1162"/>
      <c r="F135" s="805"/>
      <c r="H135" s="64"/>
      <c r="I135" s="64"/>
    </row>
    <row r="136" spans="1:9" ht="32.25" customHeight="1">
      <c r="A136" s="803" t="s">
        <v>199</v>
      </c>
      <c r="B136" s="804" t="s">
        <v>33</v>
      </c>
      <c r="C136" s="805">
        <f>IF(B146="","",INDEX(NXetHKI!$B$3:$CL$57,MATCH(InNXKI!B146,NXetHKI!$B$3:$B$57,0),INDEX($J$12:$K$25,MATCH($B136,$I$12:$I$25,0),J$11)))</f>
        <v>8.8000000000000007</v>
      </c>
      <c r="D136" s="1161" t="str">
        <f>IF(B146="","",INDEX(NXetHKI!$B$3:$CL$57,MATCH(InNXKI!B146,NXetHKI!$B$3:$B$57,0),INDEX($J$12:$K$25,MATCH($B136,$I$12:$I$25,0),K$11)))</f>
        <v>Có khả năng nghe, nói và ngữ pháp vững.</v>
      </c>
      <c r="E136" s="1162"/>
      <c r="F136" s="805"/>
      <c r="H136" s="64"/>
      <c r="I136" s="64"/>
    </row>
    <row r="137" spans="1:9" ht="32.25" customHeight="1">
      <c r="A137" s="803" t="s">
        <v>200</v>
      </c>
      <c r="B137" s="804" t="s">
        <v>60</v>
      </c>
      <c r="C137" s="805">
        <f>IF(B146="","",INDEX(NXetHKI!$B$3:$CL$57,MATCH(InNXKI!B146,NXetHKI!$B$3:$B$57,0),INDEX($J$12:$K$25,MATCH($B137,$I$12:$I$25,0),J$11)))</f>
        <v>9.4</v>
      </c>
      <c r="D137" s="1161" t="str">
        <f>IF(B146="","",INDEX(NXetHKI!$B$3:$CL$57,MATCH(InNXKI!B146,NXetHKI!$B$3:$B$57,0),INDEX($J$12:$K$25,MATCH($B137,$I$12:$I$25,0),K$11)))</f>
        <v>Chăm chỉ, học giỏi.</v>
      </c>
      <c r="E137" s="1162"/>
      <c r="F137" s="805"/>
      <c r="H137" s="64"/>
      <c r="I137" s="64"/>
    </row>
    <row r="138" spans="1:9" ht="32.25" customHeight="1">
      <c r="A138" s="803" t="s">
        <v>201</v>
      </c>
      <c r="B138" s="804" t="s">
        <v>34</v>
      </c>
      <c r="C138" s="805">
        <f>IF(B146="","",INDEX(NXetHKI!$B$3:$CL$57,MATCH(InNXKI!B146,NXetHKI!$B$3:$B$57,0),INDEX($J$12:$K$25,MATCH($B138,$I$12:$I$25,0),J$11)))</f>
        <v>9.9</v>
      </c>
      <c r="D138" s="1161" t="str">
        <f>IF(B146="","",INDEX(NXetHKI!$B$3:$CL$57,MATCH(InNXKI!B146,NXetHKI!$B$3:$B$57,0),INDEX($J$12:$K$25,MATCH($B138,$I$12:$I$25,0),K$11)))</f>
        <v>Năng động, sáng tạo trong học tập.</v>
      </c>
      <c r="E138" s="1162"/>
      <c r="F138" s="805"/>
      <c r="H138" s="64"/>
      <c r="I138" s="64"/>
    </row>
    <row r="139" spans="1:9" ht="32.25" customHeight="1">
      <c r="A139" s="803" t="s">
        <v>202</v>
      </c>
      <c r="B139" s="804" t="s">
        <v>35</v>
      </c>
      <c r="C139" s="805" t="str">
        <f>IF(B146="","",INDEX(NXetHKI!$B$3:$CL$57,MATCH(InNXKI!B146,NXetHKI!$B$3:$B$57,0),INDEX($J$12:$K$25,MATCH($B139,$I$12:$I$25,0),J$11)))</f>
        <v>Đ</v>
      </c>
      <c r="D139" s="1161" t="str">
        <f>IF(B146="","",INDEX(NXetHKI!$B$3:$CL$57,MATCH(InNXKI!B146,NXetHKI!$B$3:$B$57,0),INDEX($J$12:$K$25,MATCH($B139,$I$12:$I$25,0),K$11)))</f>
        <v>Giỏi, có nhiều tiến bộ trong học tập.</v>
      </c>
      <c r="E139" s="1162"/>
      <c r="F139" s="805"/>
      <c r="H139" s="64"/>
      <c r="I139" s="64"/>
    </row>
    <row r="140" spans="1:9" ht="32.25" customHeight="1">
      <c r="A140" s="803" t="s">
        <v>203</v>
      </c>
      <c r="B140" s="804" t="s">
        <v>121</v>
      </c>
      <c r="C140" s="805">
        <f>IF(B146="","",INDEX(NXetHKI!$B$3:$CL$57,MATCH(InNXKI!B146,NXetHKI!$B$3:$B$57,0),INDEX($J$12:$K$25,MATCH($B140,$I$12:$I$25,0),J$11)))</f>
        <v>9.9</v>
      </c>
      <c r="D140" s="1161" t="str">
        <f>IF(B146="","",INDEX(NXetHKI!$B$3:$CL$57,MATCH(InNXKI!B146,NXetHKI!$B$3:$B$57,0),INDEX($J$12:$K$25,MATCH($B140,$I$12:$I$25,0),K$11)))</f>
        <v>Tích cực, năng động, nắm bài tốt, học giỏi.</v>
      </c>
      <c r="E140" s="1162"/>
      <c r="F140" s="805"/>
      <c r="H140" s="64"/>
      <c r="I140" s="64"/>
    </row>
    <row r="141" spans="1:9" ht="32.25" customHeight="1">
      <c r="A141" s="803">
        <v>14</v>
      </c>
      <c r="B141" s="804" t="s">
        <v>122</v>
      </c>
      <c r="C141" s="805" t="str">
        <f>IF(B146="","",INDEX(NXetHKI!$B$3:$CL$57,MATCH(InNXKI!B146,NXetHKI!$B$3:$B$57,0),INDEX($J$12:$K$25,MATCH($B141,$I$12:$I$25,0),J$11)))</f>
        <v/>
      </c>
      <c r="D141" s="1161" t="str">
        <f>IF(B146="","",INDEX(NXetHKI!$B$3:$CL$57,MATCH(InNXKI!B146,NXetHKI!$B$3:$B$57,0),INDEX($J$12:$K$25,MATCH($B141,$I$12:$I$25,0),K$11)))</f>
        <v/>
      </c>
      <c r="E141" s="1162"/>
      <c r="F141" s="805"/>
      <c r="H141" s="64"/>
    </row>
    <row r="142" spans="1:9" ht="12" customHeight="1"/>
    <row r="143" spans="1:9" ht="21.75" customHeight="1">
      <c r="D143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43" s="1163"/>
      <c r="F143" s="1163"/>
    </row>
    <row r="144" spans="1:9">
      <c r="D144" s="992" t="s">
        <v>377</v>
      </c>
      <c r="E144" s="992"/>
      <c r="F144" s="992"/>
    </row>
    <row r="145" spans="1:9" ht="81" customHeight="1">
      <c r="D145" s="923" t="str">
        <f>IF('Huong dan'!$E$5="","",'Huong dan'!$E$5)</f>
        <v/>
      </c>
      <c r="E145" s="923"/>
      <c r="F145" s="923"/>
    </row>
    <row r="146" spans="1:9">
      <c r="A146" s="811"/>
      <c r="B146" s="711">
        <f>IF(B117="","",IF(B117&lt;MAX(NXetHKI!$B$3:$B$57),B117+1,""))</f>
        <v>5</v>
      </c>
      <c r="C146" s="811"/>
      <c r="D146" s="1157"/>
      <c r="E146" s="1157"/>
      <c r="F146" s="1157"/>
    </row>
    <row r="147" spans="1:9" s="60" customFormat="1" ht="24.75" customHeight="1">
      <c r="A147" s="1128" t="str">
        <f>IF('Huong dan'!$E$3&lt;&gt;"","SỞ GIÁO DỤC VÀ ĐÀO TẠO "&amp;UPPER('Huong dan'!$E$3),"")</f>
        <v>SỞ GIÁO DỤC VÀ ĐÀO TẠO TP. HỒ CHÍ MINH</v>
      </c>
      <c r="B147" s="1128"/>
      <c r="C147" s="1128"/>
      <c r="D147" s="1128"/>
      <c r="E147" s="1129" t="s">
        <v>19</v>
      </c>
      <c r="F147" s="1129"/>
    </row>
    <row r="148" spans="1:9" ht="17.25" customHeight="1">
      <c r="A148" s="992" t="str">
        <f>IF('Huong dan'!$E$4&lt;&gt;"","TRƯỜNG "&amp;UPPER('Huong dan'!$E$4),"")</f>
        <v>TRƯỜNG THCS VÀ THPT NGUYỄN KHUYẾN</v>
      </c>
      <c r="B148" s="992"/>
      <c r="C148" s="992"/>
      <c r="D148" s="992"/>
      <c r="E148" s="1130" t="s">
        <v>179</v>
      </c>
      <c r="F148" s="1130"/>
    </row>
    <row r="149" spans="1:9" ht="20.25" customHeight="1">
      <c r="A149" s="69"/>
      <c r="B149" s="69"/>
      <c r="C149" s="30"/>
      <c r="D149" s="30"/>
    </row>
    <row r="150" spans="1:9" ht="28.5" customHeight="1">
      <c r="A150" s="1164" t="s">
        <v>567</v>
      </c>
      <c r="B150" s="1164"/>
      <c r="C150" s="1164"/>
      <c r="D150" s="1164"/>
      <c r="E150" s="1164"/>
      <c r="F150" s="1164"/>
    </row>
    <row r="151" spans="1:9" ht="24.75" customHeight="1">
      <c r="A151" s="1164" t="str">
        <f>"HỌC KỲ I NĂM HỌC "&amp;'Huong dan'!$C$5</f>
        <v>HỌC KỲ I NĂM HỌC 2021 - 2022</v>
      </c>
      <c r="B151" s="1164"/>
      <c r="C151" s="1164"/>
      <c r="D151" s="1164"/>
      <c r="E151" s="1164"/>
      <c r="F151" s="1164"/>
    </row>
    <row r="152" spans="1:9" ht="14.25" customHeight="1">
      <c r="A152" s="70"/>
      <c r="B152" s="66"/>
      <c r="C152" s="66"/>
      <c r="D152" s="66"/>
      <c r="E152" s="66"/>
      <c r="F152" s="66"/>
    </row>
    <row r="153" spans="1:9" ht="18.75" customHeight="1">
      <c r="A153" s="1158" t="s">
        <v>212</v>
      </c>
      <c r="B153" s="1158"/>
      <c r="C153" s="1158"/>
      <c r="D153" s="77" t="str">
        <f>IF(B175="","",INDEX(NXetHKI!$B$3:$CL$57,MATCH(InNXKI!B175,NXetHKI!$B$3:$B$57,0),3)&amp;" "&amp;INDEX(NXetHKI!$B$3:$CL$57,MATCH(InNXKI!B175,NXetHKI!$B$3:$B$57,0),4))</f>
        <v>Phan Gia Bảo</v>
      </c>
      <c r="E153" s="77"/>
      <c r="F153" s="77" t="str">
        <f>IF('Huong dan'!$C$3="","","Lớp: "&amp;'Huong dan'!$C$3)</f>
        <v>Lớp: 12A1</v>
      </c>
    </row>
    <row r="154" spans="1:9" ht="18.75" customHeight="1">
      <c r="A154" s="1158" t="s">
        <v>213</v>
      </c>
      <c r="B154" s="1158"/>
      <c r="C154" s="1158"/>
      <c r="D154" s="77" t="str">
        <f>INDEX(NXetHKI!$B$3:$CL$57,MATCH(InNXKI!B175,NXetHKI!$B$3:$B$57,0),5)</f>
        <v>27/10/2004</v>
      </c>
      <c r="E154" s="77"/>
      <c r="F154" s="841" t="str">
        <f>IF(B175="","","Nơi sinh: "&amp;INDEX(DiemHKI!$G$4:$G$58,MATCH(InNXKI!B175,DiemHKI!$B$4:$B$58,0),1))</f>
        <v>Nơi sinh: TP. Hồ Chí Minh</v>
      </c>
    </row>
    <row r="155" spans="1:9" ht="9.75" customHeight="1">
      <c r="A155" s="62"/>
      <c r="B155" s="62"/>
      <c r="C155" s="62"/>
      <c r="D155" s="62"/>
      <c r="E155" s="62"/>
      <c r="F155" s="62"/>
    </row>
    <row r="156" spans="1:9" ht="34.5" customHeight="1">
      <c r="A156" s="801" t="s">
        <v>0</v>
      </c>
      <c r="B156" s="801" t="s">
        <v>59</v>
      </c>
      <c r="C156" s="806" t="s">
        <v>360</v>
      </c>
      <c r="D156" s="1159" t="s">
        <v>568</v>
      </c>
      <c r="E156" s="1160"/>
      <c r="F156" s="802" t="s">
        <v>569</v>
      </c>
    </row>
    <row r="157" spans="1:9" ht="32.25" customHeight="1">
      <c r="A157" s="803" t="s">
        <v>191</v>
      </c>
      <c r="B157" s="804" t="s">
        <v>26</v>
      </c>
      <c r="C157" s="805">
        <f>IF(B175="","",INDEX(NXetHKI!$B$3:$CL$57,MATCH(InNXKI!B175,NXetHKI!$B$3:$B$57,0),INDEX($J$12:$K$25,MATCH($B157,$I$12:$I$25,0),J$11)))</f>
        <v>9.5</v>
      </c>
      <c r="D157" s="1161" t="str">
        <f>IF(B175="","",INDEX(NXetHKI!$B$3:$CL$57,MATCH(InNXKI!B175,NXetHKI!$B$3:$B$57,0),INDEX($J$12:$K$25,MATCH($B157,$I$12:$I$25,0),K$11)))</f>
        <v>Em ngoan, tích cực, năng động, rất đáng khen.</v>
      </c>
      <c r="E157" s="1162"/>
      <c r="F157" s="805"/>
      <c r="H157" s="64"/>
      <c r="I157" s="64"/>
    </row>
    <row r="158" spans="1:9" ht="32.25" customHeight="1">
      <c r="A158" s="803" t="s">
        <v>192</v>
      </c>
      <c r="B158" s="804" t="s">
        <v>27</v>
      </c>
      <c r="C158" s="805">
        <f>IF(B175="","",INDEX(NXetHKI!$B$3:$CL$57,MATCH(InNXKI!B175,NXetHKI!$B$3:$B$57,0),INDEX($J$12:$K$25,MATCH($B158,$I$12:$I$25,0),J$11)))</f>
        <v>9.4</v>
      </c>
      <c r="D158" s="1161" t="str">
        <f>IF(B175="","",INDEX(NXetHKI!$B$3:$CL$57,MATCH(InNXKI!B175,NXetHKI!$B$3:$B$57,0),INDEX($J$12:$K$25,MATCH($B158,$I$12:$I$25,0),K$11)))</f>
        <v>Em ngoan, tích cực, năng động, rất đáng khen.</v>
      </c>
      <c r="E158" s="1162"/>
      <c r="F158" s="805"/>
      <c r="H158" s="64"/>
      <c r="I158" s="64"/>
    </row>
    <row r="159" spans="1:9" ht="32.25" customHeight="1">
      <c r="A159" s="803" t="s">
        <v>193</v>
      </c>
      <c r="B159" s="804" t="s">
        <v>28</v>
      </c>
      <c r="C159" s="805">
        <f>IF(B175="","",INDEX(NXetHKI!$B$3:$CL$57,MATCH(InNXKI!B175,NXetHKI!$B$3:$B$57,0),INDEX($J$12:$K$25,MATCH($B159,$I$12:$I$25,0),J$11)))</f>
        <v>9</v>
      </c>
      <c r="D159" s="1161" t="str">
        <f>IF(B175="","",INDEX(NXetHKI!$B$3:$CL$57,MATCH(InNXKI!B175,NXetHKI!$B$3:$B$57,0),INDEX($J$12:$K$25,MATCH($B159,$I$12:$I$25,0),K$11)))</f>
        <v>Kiến thức vững, sáng tạo, tự học tốt.</v>
      </c>
      <c r="E159" s="1162"/>
      <c r="F159" s="805"/>
      <c r="H159" s="64"/>
      <c r="I159" s="64"/>
    </row>
    <row r="160" spans="1:9" ht="32.25" customHeight="1">
      <c r="A160" s="803" t="s">
        <v>194</v>
      </c>
      <c r="B160" s="804" t="s">
        <v>29</v>
      </c>
      <c r="C160" s="805">
        <f>IF(B175="","",INDEX(NXetHKI!$B$3:$CL$57,MATCH(InNXKI!B175,NXetHKI!$B$3:$B$57,0),INDEX($J$12:$K$25,MATCH($B160,$I$12:$I$25,0),J$11)))</f>
        <v>8.8000000000000007</v>
      </c>
      <c r="D160" s="1161" t="str">
        <f>IF(B175="","",INDEX(NXetHKI!$B$3:$CL$57,MATCH(InNXKI!B175,NXetHKI!$B$3:$B$57,0),INDEX($J$12:$K$25,MATCH($B160,$I$12:$I$25,0),K$11)))</f>
        <v>Ngoan, khả năng tư duy tốt, có trách nhiệm, trình bày tốt.</v>
      </c>
      <c r="E160" s="1162"/>
      <c r="F160" s="805"/>
      <c r="H160" s="64"/>
      <c r="I160" s="64"/>
    </row>
    <row r="161" spans="1:9" ht="32.25" customHeight="1">
      <c r="A161" s="803" t="s">
        <v>195</v>
      </c>
      <c r="B161" s="804" t="s">
        <v>120</v>
      </c>
      <c r="C161" s="805">
        <f>IF(B175="","",INDEX(NXetHKI!$B$3:$CL$57,MATCH(InNXKI!B175,NXetHKI!$B$3:$B$57,0),INDEX($J$12:$K$25,MATCH($B161,$I$12:$I$25,0),J$11)))</f>
        <v>9.6</v>
      </c>
      <c r="D161" s="1161" t="str">
        <f>IF(B175="","",INDEX(NXetHKI!$B$3:$CL$57,MATCH(InNXKI!B175,NXetHKI!$B$3:$B$57,0),INDEX($J$12:$K$25,MATCH($B161,$I$12:$I$25,0),K$11)))</f>
        <v>Học giỏi, năng động và sáng tạo trong học tập.</v>
      </c>
      <c r="E161" s="1162"/>
      <c r="F161" s="805"/>
      <c r="H161" s="64"/>
      <c r="I161" s="64"/>
    </row>
    <row r="162" spans="1:9" ht="32.25" customHeight="1">
      <c r="A162" s="803" t="s">
        <v>196</v>
      </c>
      <c r="B162" s="804" t="s">
        <v>30</v>
      </c>
      <c r="C162" s="805">
        <f>IF(B175="","",INDEX(NXetHKI!$B$3:$CL$57,MATCH(InNXKI!B175,NXetHKI!$B$3:$B$57,0),INDEX($J$12:$K$25,MATCH($B162,$I$12:$I$25,0),J$11)))</f>
        <v>7.2</v>
      </c>
      <c r="D162" s="1161" t="str">
        <f>IF(B175="","",INDEX(NXetHKI!$B$3:$CL$57,MATCH(InNXKI!B175,NXetHKI!$B$3:$B$57,0),INDEX($J$12:$K$25,MATCH($B162,$I$12:$I$25,0),K$11)))</f>
        <v>Cần tích cực rèn thêm kỹ năng đọc, viết.</v>
      </c>
      <c r="E162" s="1162"/>
      <c r="F162" s="805"/>
      <c r="H162" s="64"/>
      <c r="I162" s="64"/>
    </row>
    <row r="163" spans="1:9" ht="32.25" customHeight="1">
      <c r="A163" s="803" t="s">
        <v>197</v>
      </c>
      <c r="B163" s="804" t="s">
        <v>31</v>
      </c>
      <c r="C163" s="805">
        <f>IF(B175="","",INDEX(NXetHKI!$B$3:$CL$57,MATCH(InNXKI!B175,NXetHKI!$B$3:$B$57,0),INDEX($J$12:$K$25,MATCH($B163,$I$12:$I$25,0),J$11)))</f>
        <v>9.8000000000000007</v>
      </c>
      <c r="D163" s="1161" t="str">
        <f>IF(B175="","",INDEX(NXetHKI!$B$3:$CL$57,MATCH(InNXKI!B175,NXetHKI!$B$3:$B$57,0),INDEX($J$12:$K$25,MATCH($B163,$I$12:$I$25,0),K$11)))</f>
        <v>Chăm học, tích cực phát biểu xây dựng bài.</v>
      </c>
      <c r="E163" s="1162"/>
      <c r="F163" s="805"/>
      <c r="H163" s="64"/>
      <c r="I163" s="64"/>
    </row>
    <row r="164" spans="1:9" ht="32.25" customHeight="1">
      <c r="A164" s="803" t="s">
        <v>198</v>
      </c>
      <c r="B164" s="804" t="s">
        <v>32</v>
      </c>
      <c r="C164" s="805">
        <f>IF(B175="","",INDEX(NXetHKI!$B$3:$CL$57,MATCH(InNXKI!B175,NXetHKI!$B$3:$B$57,0),INDEX($J$12:$K$25,MATCH($B164,$I$12:$I$25,0),J$11)))</f>
        <v>9.9</v>
      </c>
      <c r="D164" s="1161" t="str">
        <f>IF(B175="","",INDEX(NXetHKI!$B$3:$CL$57,MATCH(InNXKI!B175,NXetHKI!$B$3:$B$57,0),INDEX($J$12:$K$25,MATCH($B164,$I$12:$I$25,0),K$11)))</f>
        <v>Em có tư duy tốt, tích cực, vận dụng thực tế tốt.</v>
      </c>
      <c r="E164" s="1162"/>
      <c r="F164" s="805"/>
      <c r="H164" s="64"/>
      <c r="I164" s="64"/>
    </row>
    <row r="165" spans="1:9" ht="32.25" customHeight="1">
      <c r="A165" s="803" t="s">
        <v>199</v>
      </c>
      <c r="B165" s="804" t="s">
        <v>33</v>
      </c>
      <c r="C165" s="805">
        <f>IF(B175="","",INDEX(NXetHKI!$B$3:$CL$57,MATCH(InNXKI!B175,NXetHKI!$B$3:$B$57,0),INDEX($J$12:$K$25,MATCH($B165,$I$12:$I$25,0),J$11)))</f>
        <v>9.6999999999999993</v>
      </c>
      <c r="D165" s="1161" t="str">
        <f>IF(B175="","",INDEX(NXetHKI!$B$3:$CL$57,MATCH(InNXKI!B175,NXetHKI!$B$3:$B$57,0),INDEX($J$12:$K$25,MATCH($B165,$I$12:$I$25,0),K$11)))</f>
        <v>Tích cực phát biểu trong giờ học, tương tác tốt với giáo viên và bạn bè.</v>
      </c>
      <c r="E165" s="1162"/>
      <c r="F165" s="805"/>
      <c r="H165" s="64"/>
      <c r="I165" s="64"/>
    </row>
    <row r="166" spans="1:9" ht="32.25" customHeight="1">
      <c r="A166" s="803" t="s">
        <v>200</v>
      </c>
      <c r="B166" s="804" t="s">
        <v>60</v>
      </c>
      <c r="C166" s="805">
        <f>IF(B175="","",INDEX(NXetHKI!$B$3:$CL$57,MATCH(InNXKI!B175,NXetHKI!$B$3:$B$57,0),INDEX($J$12:$K$25,MATCH($B166,$I$12:$I$25,0),J$11)))</f>
        <v>9.8000000000000007</v>
      </c>
      <c r="D166" s="1161" t="str">
        <f>IF(B175="","",INDEX(NXetHKI!$B$3:$CL$57,MATCH(InNXKI!B175,NXetHKI!$B$3:$B$57,0),INDEX($J$12:$K$25,MATCH($B166,$I$12:$I$25,0),K$11)))</f>
        <v>Hứng thú, tích cực, học giỏi.</v>
      </c>
      <c r="E166" s="1162"/>
      <c r="F166" s="805"/>
      <c r="H166" s="64"/>
      <c r="I166" s="64"/>
    </row>
    <row r="167" spans="1:9" ht="32.25" customHeight="1">
      <c r="A167" s="803" t="s">
        <v>201</v>
      </c>
      <c r="B167" s="804" t="s">
        <v>34</v>
      </c>
      <c r="C167" s="805">
        <f>IF(B175="","",INDEX(NXetHKI!$B$3:$CL$57,MATCH(InNXKI!B175,NXetHKI!$B$3:$B$57,0),INDEX($J$12:$K$25,MATCH($B167,$I$12:$I$25,0),J$11)))</f>
        <v>9.9</v>
      </c>
      <c r="D167" s="1161" t="str">
        <f>IF(B175="","",INDEX(NXetHKI!$B$3:$CL$57,MATCH(InNXKI!B175,NXetHKI!$B$3:$B$57,0),INDEX($J$12:$K$25,MATCH($B167,$I$12:$I$25,0),K$11)))</f>
        <v>Học giỏi, tiếp thu nhanh, chăm ngoan.</v>
      </c>
      <c r="E167" s="1162"/>
      <c r="F167" s="805"/>
      <c r="H167" s="64"/>
      <c r="I167" s="64"/>
    </row>
    <row r="168" spans="1:9" ht="32.25" customHeight="1">
      <c r="A168" s="803" t="s">
        <v>202</v>
      </c>
      <c r="B168" s="804" t="s">
        <v>35</v>
      </c>
      <c r="C168" s="805" t="str">
        <f>IF(B175="","",INDEX(NXetHKI!$B$3:$CL$57,MATCH(InNXKI!B175,NXetHKI!$B$3:$B$57,0),INDEX($J$12:$K$25,MATCH($B168,$I$12:$I$25,0),J$11)))</f>
        <v>Đ</v>
      </c>
      <c r="D168" s="1161" t="str">
        <f>IF(B175="","",INDEX(NXetHKI!$B$3:$CL$57,MATCH(InNXKI!B175,NXetHKI!$B$3:$B$57,0),INDEX($J$12:$K$25,MATCH($B168,$I$12:$I$25,0),K$11)))</f>
        <v>Rất ngoan, học có hiệu quả tốt.</v>
      </c>
      <c r="E168" s="1162"/>
      <c r="F168" s="805"/>
      <c r="H168" s="64"/>
      <c r="I168" s="64"/>
    </row>
    <row r="169" spans="1:9" ht="32.25" customHeight="1">
      <c r="A169" s="803" t="s">
        <v>203</v>
      </c>
      <c r="B169" s="804" t="s">
        <v>121</v>
      </c>
      <c r="C169" s="805">
        <f>IF(B175="","",INDEX(NXetHKI!$B$3:$CL$57,MATCH(InNXKI!B175,NXetHKI!$B$3:$B$57,0),INDEX($J$12:$K$25,MATCH($B169,$I$12:$I$25,0),J$11)))</f>
        <v>9.9</v>
      </c>
      <c r="D169" s="1161" t="str">
        <f>IF(B175="","",INDEX(NXetHKI!$B$3:$CL$57,MATCH(InNXKI!B175,NXetHKI!$B$3:$B$57,0),INDEX($J$12:$K$25,MATCH($B169,$I$12:$I$25,0),K$11)))</f>
        <v>Ngoan, tích cực xây dựng bài, nắm chắc thực hành, học giỏi.</v>
      </c>
      <c r="E169" s="1162"/>
      <c r="F169" s="805"/>
      <c r="H169" s="64"/>
      <c r="I169" s="64"/>
    </row>
    <row r="170" spans="1:9" ht="32.25" customHeight="1">
      <c r="A170" s="803">
        <v>14</v>
      </c>
      <c r="B170" s="804" t="s">
        <v>122</v>
      </c>
      <c r="C170" s="805" t="str">
        <f>IF(B175="","",INDEX(NXetHKI!$B$3:$CL$57,MATCH(InNXKI!B175,NXetHKI!$B$3:$B$57,0),INDEX($J$12:$K$25,MATCH($B170,$I$12:$I$25,0),J$11)))</f>
        <v/>
      </c>
      <c r="D170" s="1161" t="str">
        <f>IF(B175="","",INDEX(NXetHKI!$B$3:$CL$57,MATCH(InNXKI!B175,NXetHKI!$B$3:$B$57,0),INDEX($J$12:$K$25,MATCH($B170,$I$12:$I$25,0),K$11)))</f>
        <v/>
      </c>
      <c r="E170" s="1162"/>
      <c r="F170" s="805"/>
      <c r="H170" s="64"/>
    </row>
    <row r="171" spans="1:9" ht="12" customHeight="1"/>
    <row r="172" spans="1:9" ht="21.75" customHeight="1">
      <c r="D172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72" s="1163"/>
      <c r="F172" s="1163"/>
    </row>
    <row r="173" spans="1:9">
      <c r="D173" s="992" t="s">
        <v>377</v>
      </c>
      <c r="E173" s="992"/>
      <c r="F173" s="992"/>
    </row>
    <row r="174" spans="1:9" ht="81" customHeight="1">
      <c r="D174" s="923" t="str">
        <f>IF('Huong dan'!$E$5="","",'Huong dan'!$E$5)</f>
        <v/>
      </c>
      <c r="E174" s="923"/>
      <c r="F174" s="923"/>
    </row>
    <row r="175" spans="1:9">
      <c r="A175" s="811"/>
      <c r="B175" s="711">
        <f>IF(B146="","",IF(B146&lt;MAX(NXetHKI!$B$3:$B$57),B146+1,""))</f>
        <v>6</v>
      </c>
      <c r="C175" s="811"/>
      <c r="D175" s="1157"/>
      <c r="E175" s="1157"/>
      <c r="F175" s="1157"/>
    </row>
    <row r="176" spans="1:9" s="60" customFormat="1" ht="24.75" customHeight="1">
      <c r="A176" s="1128" t="str">
        <f>IF('Huong dan'!$E$3&lt;&gt;"","SỞ GIÁO DỤC VÀ ĐÀO TẠO "&amp;UPPER('Huong dan'!$E$3),"")</f>
        <v>SỞ GIÁO DỤC VÀ ĐÀO TẠO TP. HỒ CHÍ MINH</v>
      </c>
      <c r="B176" s="1128"/>
      <c r="C176" s="1128"/>
      <c r="D176" s="1128"/>
      <c r="E176" s="1129" t="s">
        <v>19</v>
      </c>
      <c r="F176" s="1129"/>
    </row>
    <row r="177" spans="1:9" ht="17.25" customHeight="1">
      <c r="A177" s="992" t="str">
        <f>IF('Huong dan'!$E$4&lt;&gt;"","TRƯỜNG "&amp;UPPER('Huong dan'!$E$4),"")</f>
        <v>TRƯỜNG THCS VÀ THPT NGUYỄN KHUYẾN</v>
      </c>
      <c r="B177" s="992"/>
      <c r="C177" s="992"/>
      <c r="D177" s="992"/>
      <c r="E177" s="1130" t="s">
        <v>179</v>
      </c>
      <c r="F177" s="1130"/>
    </row>
    <row r="178" spans="1:9" ht="20.25" customHeight="1">
      <c r="A178" s="69"/>
      <c r="B178" s="69"/>
      <c r="C178" s="30"/>
      <c r="D178" s="30"/>
    </row>
    <row r="179" spans="1:9" ht="28.5" customHeight="1">
      <c r="A179" s="1164" t="s">
        <v>567</v>
      </c>
      <c r="B179" s="1164"/>
      <c r="C179" s="1164"/>
      <c r="D179" s="1164"/>
      <c r="E179" s="1164"/>
      <c r="F179" s="1164"/>
    </row>
    <row r="180" spans="1:9" ht="24.75" customHeight="1">
      <c r="A180" s="1164" t="str">
        <f>"HỌC KỲ I NĂM HỌC "&amp;'Huong dan'!$C$5</f>
        <v>HỌC KỲ I NĂM HỌC 2021 - 2022</v>
      </c>
      <c r="B180" s="1164"/>
      <c r="C180" s="1164"/>
      <c r="D180" s="1164"/>
      <c r="E180" s="1164"/>
      <c r="F180" s="1164"/>
    </row>
    <row r="181" spans="1:9" ht="14.25" customHeight="1">
      <c r="A181" s="70"/>
      <c r="B181" s="66"/>
      <c r="C181" s="66"/>
      <c r="D181" s="66"/>
      <c r="E181" s="66"/>
      <c r="F181" s="66"/>
    </row>
    <row r="182" spans="1:9" ht="18.75" customHeight="1">
      <c r="A182" s="1158" t="s">
        <v>212</v>
      </c>
      <c r="B182" s="1158"/>
      <c r="C182" s="1158"/>
      <c r="D182" s="77" t="str">
        <f>IF(B204="","",INDEX(NXetHKI!$B$3:$CL$57,MATCH(InNXKI!B204,NXetHKI!$B$3:$B$57,0),3)&amp;" "&amp;INDEX(NXetHKI!$B$3:$CL$57,MATCH(InNXKI!B204,NXetHKI!$B$3:$B$57,0),4))</f>
        <v>Nguyễn Phúc Bình</v>
      </c>
      <c r="E182" s="77"/>
      <c r="F182" s="77" t="str">
        <f>IF('Huong dan'!$C$3="","","Lớp: "&amp;'Huong dan'!$C$3)</f>
        <v>Lớp: 12A1</v>
      </c>
    </row>
    <row r="183" spans="1:9" ht="18.75" customHeight="1">
      <c r="A183" s="1158" t="s">
        <v>213</v>
      </c>
      <c r="B183" s="1158"/>
      <c r="C183" s="1158"/>
      <c r="D183" s="77" t="str">
        <f>INDEX(NXetHKI!$B$3:$CL$57,MATCH(InNXKI!B204,NXetHKI!$B$3:$B$57,0),5)</f>
        <v>20/06/2004</v>
      </c>
      <c r="E183" s="77"/>
      <c r="F183" s="841" t="str">
        <f>IF(B204="","","Nơi sinh: "&amp;INDEX(DiemHKI!$G$4:$G$58,MATCH(InNXKI!B204,DiemHKI!$B$4:$B$58,0),1))</f>
        <v>Nơi sinh: Tiền Giang</v>
      </c>
    </row>
    <row r="184" spans="1:9" ht="9.75" customHeight="1">
      <c r="A184" s="62"/>
      <c r="B184" s="62"/>
      <c r="C184" s="62"/>
      <c r="D184" s="62"/>
      <c r="E184" s="62"/>
      <c r="F184" s="62"/>
    </row>
    <row r="185" spans="1:9" ht="34.5" customHeight="1">
      <c r="A185" s="801" t="s">
        <v>0</v>
      </c>
      <c r="B185" s="801" t="s">
        <v>59</v>
      </c>
      <c r="C185" s="806" t="s">
        <v>360</v>
      </c>
      <c r="D185" s="1159" t="s">
        <v>568</v>
      </c>
      <c r="E185" s="1160"/>
      <c r="F185" s="802" t="s">
        <v>569</v>
      </c>
    </row>
    <row r="186" spans="1:9" ht="32.25" customHeight="1">
      <c r="A186" s="803" t="s">
        <v>191</v>
      </c>
      <c r="B186" s="804" t="s">
        <v>26</v>
      </c>
      <c r="C186" s="805">
        <f>IF(B204="","",INDEX(NXetHKI!$B$3:$CL$57,MATCH(InNXKI!B204,NXetHKI!$B$3:$B$57,0),INDEX($J$12:$K$25,MATCH($B186,$I$12:$I$25,0),J$11)))</f>
        <v>9.8000000000000007</v>
      </c>
      <c r="D186" s="1161" t="str">
        <f>IF(B204="","",INDEX(NXetHKI!$B$3:$CL$57,MATCH(InNXKI!B204,NXetHKI!$B$3:$B$57,0),INDEX($J$12:$K$25,MATCH($B186,$I$12:$I$25,0),K$11)))</f>
        <v>Em chăm chỉ, chuyên cần, rất tích cực, rất đáng khen.</v>
      </c>
      <c r="E186" s="1162"/>
      <c r="F186" s="805"/>
      <c r="H186" s="64"/>
      <c r="I186" s="64"/>
    </row>
    <row r="187" spans="1:9" ht="32.25" customHeight="1">
      <c r="A187" s="803" t="s">
        <v>192</v>
      </c>
      <c r="B187" s="804" t="s">
        <v>27</v>
      </c>
      <c r="C187" s="805">
        <f>IF(B204="","",INDEX(NXetHKI!$B$3:$CL$57,MATCH(InNXKI!B204,NXetHKI!$B$3:$B$57,0),INDEX($J$12:$K$25,MATCH($B187,$I$12:$I$25,0),J$11)))</f>
        <v>9.9</v>
      </c>
      <c r="D187" s="1161" t="str">
        <f>IF(B204="","",INDEX(NXetHKI!$B$3:$CL$57,MATCH(InNXKI!B204,NXetHKI!$B$3:$B$57,0),INDEX($J$12:$K$25,MATCH($B187,$I$12:$I$25,0),K$11)))</f>
        <v>Em chăm chỉ, chuyên cần, rất tích cực, rất đáng khen.</v>
      </c>
      <c r="E187" s="1162"/>
      <c r="F187" s="805"/>
      <c r="H187" s="64"/>
      <c r="I187" s="64"/>
    </row>
    <row r="188" spans="1:9" ht="32.25" customHeight="1">
      <c r="A188" s="803" t="s">
        <v>193</v>
      </c>
      <c r="B188" s="804" t="s">
        <v>28</v>
      </c>
      <c r="C188" s="805">
        <f>IF(B204="","",INDEX(NXetHKI!$B$3:$CL$57,MATCH(InNXKI!B204,NXetHKI!$B$3:$B$57,0),INDEX($J$12:$K$25,MATCH($B188,$I$12:$I$25,0),J$11)))</f>
        <v>9.6</v>
      </c>
      <c r="D188" s="1161" t="str">
        <f>IF(B204="","",INDEX(NXetHKI!$B$3:$CL$57,MATCH(InNXKI!B204,NXetHKI!$B$3:$B$57,0),INDEX($J$12:$K$25,MATCH($B188,$I$12:$I$25,0),K$11)))</f>
        <v>Học giỏi, thông minh, cần phát huy.</v>
      </c>
      <c r="E188" s="1162"/>
      <c r="F188" s="805"/>
      <c r="H188" s="64"/>
      <c r="I188" s="64"/>
    </row>
    <row r="189" spans="1:9" ht="32.25" customHeight="1">
      <c r="A189" s="803" t="s">
        <v>194</v>
      </c>
      <c r="B189" s="804" t="s">
        <v>29</v>
      </c>
      <c r="C189" s="805">
        <f>IF(B204="","",INDEX(NXetHKI!$B$3:$CL$57,MATCH(InNXKI!B204,NXetHKI!$B$3:$B$57,0),INDEX($J$12:$K$25,MATCH($B189,$I$12:$I$25,0),J$11)))</f>
        <v>9.6</v>
      </c>
      <c r="D189" s="1161" t="str">
        <f>IF(B204="","",INDEX(NXetHKI!$B$3:$CL$57,MATCH(InNXKI!B204,NXetHKI!$B$3:$B$57,0),INDEX($J$12:$K$25,MATCH($B189,$I$12:$I$25,0),K$11)))</f>
        <v>Sáng tạo, hoạt động nhóm rất tốt, biết chia sẻ kết quả học tập với bạn.</v>
      </c>
      <c r="E189" s="1162"/>
      <c r="F189" s="805"/>
      <c r="H189" s="64"/>
      <c r="I189" s="64"/>
    </row>
    <row r="190" spans="1:9" ht="32.25" customHeight="1">
      <c r="A190" s="803" t="s">
        <v>195</v>
      </c>
      <c r="B190" s="804" t="s">
        <v>120</v>
      </c>
      <c r="C190" s="805">
        <f>IF(B204="","",INDEX(NXetHKI!$B$3:$CL$57,MATCH(InNXKI!B204,NXetHKI!$B$3:$B$57,0),INDEX($J$12:$K$25,MATCH($B190,$I$12:$I$25,0),J$11)))</f>
        <v>9.8000000000000007</v>
      </c>
      <c r="D190" s="1161" t="str">
        <f>IF(B204="","",INDEX(NXetHKI!$B$3:$CL$57,MATCH(InNXKI!B204,NXetHKI!$B$3:$B$57,0),INDEX($J$12:$K$25,MATCH($B190,$I$12:$I$25,0),K$11)))</f>
        <v>Rất ngoan, cố gắng có hiệu quả.</v>
      </c>
      <c r="E190" s="1162"/>
      <c r="F190" s="805"/>
      <c r="H190" s="64"/>
      <c r="I190" s="64"/>
    </row>
    <row r="191" spans="1:9" ht="32.25" customHeight="1">
      <c r="A191" s="803" t="s">
        <v>196</v>
      </c>
      <c r="B191" s="804" t="s">
        <v>30</v>
      </c>
      <c r="C191" s="805">
        <f>IF(B204="","",INDEX(NXetHKI!$B$3:$CL$57,MATCH(InNXKI!B204,NXetHKI!$B$3:$B$57,0),INDEX($J$12:$K$25,MATCH($B191,$I$12:$I$25,0),J$11)))</f>
        <v>8</v>
      </c>
      <c r="D191" s="1161" t="str">
        <f>IF(B204="","",INDEX(NXetHKI!$B$3:$CL$57,MATCH(InNXKI!B204,NXetHKI!$B$3:$B$57,0),INDEX($J$12:$K$25,MATCH($B191,$I$12:$I$25,0),K$11)))</f>
        <v>Học giỏi, chăm chỉ, cảm nhận tốt văn bản.</v>
      </c>
      <c r="E191" s="1162"/>
      <c r="F191" s="805"/>
      <c r="H191" s="64"/>
      <c r="I191" s="64"/>
    </row>
    <row r="192" spans="1:9" ht="32.25" customHeight="1">
      <c r="A192" s="803" t="s">
        <v>197</v>
      </c>
      <c r="B192" s="804" t="s">
        <v>31</v>
      </c>
      <c r="C192" s="805">
        <f>IF(B204="","",INDEX(NXetHKI!$B$3:$CL$57,MATCH(InNXKI!B204,NXetHKI!$B$3:$B$57,0),INDEX($J$12:$K$25,MATCH($B192,$I$12:$I$25,0),J$11)))</f>
        <v>9.6999999999999993</v>
      </c>
      <c r="D192" s="1161" t="str">
        <f>IF(B204="","",INDEX(NXetHKI!$B$3:$CL$57,MATCH(InNXKI!B204,NXetHKI!$B$3:$B$57,0),INDEX($J$12:$K$25,MATCH($B192,$I$12:$I$25,0),K$11)))</f>
        <v>Chăm ngoan, tích cực, chủ động tiếp thu bài học.</v>
      </c>
      <c r="E192" s="1162"/>
      <c r="F192" s="805"/>
      <c r="H192" s="64"/>
      <c r="I192" s="64"/>
    </row>
    <row r="193" spans="1:9" ht="32.25" customHeight="1">
      <c r="A193" s="803" t="s">
        <v>198</v>
      </c>
      <c r="B193" s="804" t="s">
        <v>32</v>
      </c>
      <c r="C193" s="805">
        <f>IF(B204="","",INDEX(NXetHKI!$B$3:$CL$57,MATCH(InNXKI!B204,NXetHKI!$B$3:$B$57,0),INDEX($J$12:$K$25,MATCH($B193,$I$12:$I$25,0),J$11)))</f>
        <v>9.6</v>
      </c>
      <c r="D193" s="1161" t="str">
        <f>IF(B204="","",INDEX(NXetHKI!$B$3:$CL$57,MATCH(InNXKI!B204,NXetHKI!$B$3:$B$57,0),INDEX($J$12:$K$25,MATCH($B193,$I$12:$I$25,0),K$11)))</f>
        <v>Em rất ngoan, cố gắng có hiệu quả.</v>
      </c>
      <c r="E193" s="1162"/>
      <c r="F193" s="805"/>
      <c r="H193" s="64"/>
      <c r="I193" s="64"/>
    </row>
    <row r="194" spans="1:9" ht="32.25" customHeight="1">
      <c r="A194" s="803" t="s">
        <v>199</v>
      </c>
      <c r="B194" s="804" t="s">
        <v>33</v>
      </c>
      <c r="C194" s="805">
        <f>IF(B204="","",INDEX(NXetHKI!$B$3:$CL$57,MATCH(InNXKI!B204,NXetHKI!$B$3:$B$57,0),INDEX($J$12:$K$25,MATCH($B194,$I$12:$I$25,0),J$11)))</f>
        <v>9.6</v>
      </c>
      <c r="D194" s="1161" t="str">
        <f>IF(B204="","",INDEX(NXetHKI!$B$3:$CL$57,MATCH(InNXKI!B204,NXetHKI!$B$3:$B$57,0),INDEX($J$12:$K$25,MATCH($B194,$I$12:$I$25,0),K$11)))</f>
        <v>Có năng khiếu, tự tin, giao tiếp tốt và có khả năng làm việc nhóm.</v>
      </c>
      <c r="E194" s="1162"/>
      <c r="F194" s="805"/>
      <c r="H194" s="64"/>
      <c r="I194" s="64"/>
    </row>
    <row r="195" spans="1:9" ht="32.25" customHeight="1">
      <c r="A195" s="803" t="s">
        <v>200</v>
      </c>
      <c r="B195" s="804" t="s">
        <v>60</v>
      </c>
      <c r="C195" s="805">
        <f>IF(B204="","",INDEX(NXetHKI!$B$3:$CL$57,MATCH(InNXKI!B204,NXetHKI!$B$3:$B$57,0),INDEX($J$12:$K$25,MATCH($B195,$I$12:$I$25,0),J$11)))</f>
        <v>9.4</v>
      </c>
      <c r="D195" s="1161" t="str">
        <f>IF(B204="","",INDEX(NXetHKI!$B$3:$CL$57,MATCH(InNXKI!B204,NXetHKI!$B$3:$B$57,0),INDEX($J$12:$K$25,MATCH($B195,$I$12:$I$25,0),K$11)))</f>
        <v>Hứng thú, có trách nhiệm học tập tốt.</v>
      </c>
      <c r="E195" s="1162"/>
      <c r="F195" s="805"/>
      <c r="H195" s="64"/>
      <c r="I195" s="64"/>
    </row>
    <row r="196" spans="1:9" ht="32.25" customHeight="1">
      <c r="A196" s="803" t="s">
        <v>201</v>
      </c>
      <c r="B196" s="804" t="s">
        <v>34</v>
      </c>
      <c r="C196" s="805">
        <f>IF(B204="","",INDEX(NXetHKI!$B$3:$CL$57,MATCH(InNXKI!B204,NXetHKI!$B$3:$B$57,0),INDEX($J$12:$K$25,MATCH($B196,$I$12:$I$25,0),J$11)))</f>
        <v>9.5</v>
      </c>
      <c r="D196" s="1161" t="str">
        <f>IF(B204="","",INDEX(NXetHKI!$B$3:$CL$57,MATCH(InNXKI!B204,NXetHKI!$B$3:$B$57,0),INDEX($J$12:$K$25,MATCH($B196,$I$12:$I$25,0),K$11)))</f>
        <v>Học giỏi, năng động, chăm ngoan.</v>
      </c>
      <c r="E196" s="1162"/>
      <c r="F196" s="805"/>
      <c r="H196" s="64"/>
      <c r="I196" s="64"/>
    </row>
    <row r="197" spans="1:9" ht="32.25" customHeight="1">
      <c r="A197" s="803" t="s">
        <v>202</v>
      </c>
      <c r="B197" s="804" t="s">
        <v>35</v>
      </c>
      <c r="C197" s="805" t="str">
        <f>IF(B204="","",INDEX(NXetHKI!$B$3:$CL$57,MATCH(InNXKI!B204,NXetHKI!$B$3:$B$57,0),INDEX($J$12:$K$25,MATCH($B197,$I$12:$I$25,0),J$11)))</f>
        <v>Đ</v>
      </c>
      <c r="D197" s="1161" t="str">
        <f>IF(B204="","",INDEX(NXetHKI!$B$3:$CL$57,MATCH(InNXKI!B204,NXetHKI!$B$3:$B$57,0),INDEX($J$12:$K$25,MATCH($B197,$I$12:$I$25,0),K$11)))</f>
        <v>Chăm chỉ, cố gắng, rất ngoan.</v>
      </c>
      <c r="E197" s="1162"/>
      <c r="F197" s="805"/>
      <c r="H197" s="64"/>
      <c r="I197" s="64"/>
    </row>
    <row r="198" spans="1:9" ht="32.25" customHeight="1">
      <c r="A198" s="803" t="s">
        <v>203</v>
      </c>
      <c r="B198" s="804" t="s">
        <v>121</v>
      </c>
      <c r="C198" s="805">
        <f>IF(B204="","",INDEX(NXetHKI!$B$3:$CL$57,MATCH(InNXKI!B204,NXetHKI!$B$3:$B$57,0),INDEX($J$12:$K$25,MATCH($B198,$I$12:$I$25,0),J$11)))</f>
        <v>9.9</v>
      </c>
      <c r="D198" s="1161" t="str">
        <f>IF(B204="","",INDEX(NXetHKI!$B$3:$CL$57,MATCH(InNXKI!B204,NXetHKI!$B$3:$B$57,0),INDEX($J$12:$K$25,MATCH($B198,$I$12:$I$25,0),K$11)))</f>
        <v>Siêng năng, lễ phép, thành thạo thực hành, học giỏi.</v>
      </c>
      <c r="E198" s="1162"/>
      <c r="F198" s="805"/>
      <c r="H198" s="64"/>
      <c r="I198" s="64"/>
    </row>
    <row r="199" spans="1:9" ht="32.25" customHeight="1">
      <c r="A199" s="803">
        <v>14</v>
      </c>
      <c r="B199" s="804" t="s">
        <v>122</v>
      </c>
      <c r="C199" s="805" t="str">
        <f>IF(B204="","",INDEX(NXetHKI!$B$3:$CL$57,MATCH(InNXKI!B204,NXetHKI!$B$3:$B$57,0),INDEX($J$12:$K$25,MATCH($B199,$I$12:$I$25,0),J$11)))</f>
        <v/>
      </c>
      <c r="D199" s="1161" t="str">
        <f>IF(B204="","",INDEX(NXetHKI!$B$3:$CL$57,MATCH(InNXKI!B204,NXetHKI!$B$3:$B$57,0),INDEX($J$12:$K$25,MATCH($B199,$I$12:$I$25,0),K$11)))</f>
        <v/>
      </c>
      <c r="E199" s="1162"/>
      <c r="F199" s="805"/>
      <c r="H199" s="64"/>
    </row>
    <row r="200" spans="1:9" ht="12" customHeight="1"/>
    <row r="201" spans="1:9" ht="21.75" customHeight="1">
      <c r="D201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201" s="1163"/>
      <c r="F201" s="1163"/>
    </row>
    <row r="202" spans="1:9">
      <c r="D202" s="992" t="s">
        <v>377</v>
      </c>
      <c r="E202" s="992"/>
      <c r="F202" s="992"/>
    </row>
    <row r="203" spans="1:9" ht="81" customHeight="1">
      <c r="D203" s="923" t="str">
        <f>IF('Huong dan'!$E$5="","",'Huong dan'!$E$5)</f>
        <v/>
      </c>
      <c r="E203" s="923"/>
      <c r="F203" s="923"/>
    </row>
    <row r="204" spans="1:9">
      <c r="A204" s="811"/>
      <c r="B204" s="711">
        <f>IF(B175="","",IF(B175&lt;MAX(NXetHKI!$B$3:$B$57),B175+1,""))</f>
        <v>7</v>
      </c>
      <c r="C204" s="811"/>
      <c r="D204" s="1157"/>
      <c r="E204" s="1157"/>
      <c r="F204" s="1157"/>
    </row>
    <row r="205" spans="1:9" s="60" customFormat="1" ht="24.75" customHeight="1">
      <c r="A205" s="1128" t="str">
        <f>IF('Huong dan'!$E$3&lt;&gt;"","SỞ GIÁO DỤC VÀ ĐÀO TẠO "&amp;UPPER('Huong dan'!$E$3),"")</f>
        <v>SỞ GIÁO DỤC VÀ ĐÀO TẠO TP. HỒ CHÍ MINH</v>
      </c>
      <c r="B205" s="1128"/>
      <c r="C205" s="1128"/>
      <c r="D205" s="1128"/>
      <c r="E205" s="1129" t="s">
        <v>19</v>
      </c>
      <c r="F205" s="1129"/>
    </row>
    <row r="206" spans="1:9" ht="17.25" customHeight="1">
      <c r="A206" s="992" t="str">
        <f>IF('Huong dan'!$E$4&lt;&gt;"","TRƯỜNG "&amp;UPPER('Huong dan'!$E$4),"")</f>
        <v>TRƯỜNG THCS VÀ THPT NGUYỄN KHUYẾN</v>
      </c>
      <c r="B206" s="992"/>
      <c r="C206" s="992"/>
      <c r="D206" s="992"/>
      <c r="E206" s="1130" t="s">
        <v>179</v>
      </c>
      <c r="F206" s="1130"/>
    </row>
    <row r="207" spans="1:9" ht="20.25" customHeight="1">
      <c r="A207" s="69"/>
      <c r="B207" s="69"/>
      <c r="C207" s="30"/>
      <c r="D207" s="30"/>
    </row>
    <row r="208" spans="1:9" ht="28.5" customHeight="1">
      <c r="A208" s="1164" t="s">
        <v>567</v>
      </c>
      <c r="B208" s="1164"/>
      <c r="C208" s="1164"/>
      <c r="D208" s="1164"/>
      <c r="E208" s="1164"/>
      <c r="F208" s="1164"/>
    </row>
    <row r="209" spans="1:9" ht="24.75" customHeight="1">
      <c r="A209" s="1164" t="str">
        <f>"HỌC KỲ I NĂM HỌC "&amp;'Huong dan'!$C$5</f>
        <v>HỌC KỲ I NĂM HỌC 2021 - 2022</v>
      </c>
      <c r="B209" s="1164"/>
      <c r="C209" s="1164"/>
      <c r="D209" s="1164"/>
      <c r="E209" s="1164"/>
      <c r="F209" s="1164"/>
    </row>
    <row r="210" spans="1:9" ht="14.25" customHeight="1">
      <c r="A210" s="70"/>
      <c r="B210" s="66"/>
      <c r="C210" s="66"/>
      <c r="D210" s="66"/>
      <c r="E210" s="66"/>
      <c r="F210" s="66"/>
    </row>
    <row r="211" spans="1:9" ht="18.75" customHeight="1">
      <c r="A211" s="1158" t="s">
        <v>212</v>
      </c>
      <c r="B211" s="1158"/>
      <c r="C211" s="1158"/>
      <c r="D211" s="77" t="str">
        <f>IF(B233="","",INDEX(NXetHKI!$B$3:$CL$57,MATCH(InNXKI!B233,NXetHKI!$B$3:$B$57,0),3)&amp;" "&amp;INDEX(NXetHKI!$B$3:$CL$57,MATCH(InNXKI!B233,NXetHKI!$B$3:$B$57,0),4))</f>
        <v>Trần Lê Cường</v>
      </c>
      <c r="E211" s="77"/>
      <c r="F211" s="77" t="str">
        <f>IF('Huong dan'!$C$3="","","Lớp: "&amp;'Huong dan'!$C$3)</f>
        <v>Lớp: 12A1</v>
      </c>
    </row>
    <row r="212" spans="1:9" ht="18.75" customHeight="1">
      <c r="A212" s="1158" t="s">
        <v>213</v>
      </c>
      <c r="B212" s="1158"/>
      <c r="C212" s="1158"/>
      <c r="D212" s="77" t="str">
        <f>INDEX(NXetHKI!$B$3:$CL$57,MATCH(InNXKI!B233,NXetHKI!$B$3:$B$57,0),5)</f>
        <v>08/04/2004</v>
      </c>
      <c r="E212" s="77"/>
      <c r="F212" s="841" t="str">
        <f>IF(B233="","","Nơi sinh: "&amp;INDEX(DiemHKI!$G$4:$G$58,MATCH(InNXKI!B233,DiemHKI!$B$4:$B$58,0),1))</f>
        <v>Nơi sinh: Đồng Nai</v>
      </c>
    </row>
    <row r="213" spans="1:9" ht="9.75" customHeight="1">
      <c r="A213" s="62"/>
      <c r="B213" s="62"/>
      <c r="C213" s="62"/>
      <c r="D213" s="62"/>
      <c r="E213" s="62"/>
      <c r="F213" s="62"/>
    </row>
    <row r="214" spans="1:9" ht="34.5" customHeight="1">
      <c r="A214" s="801" t="s">
        <v>0</v>
      </c>
      <c r="B214" s="801" t="s">
        <v>59</v>
      </c>
      <c r="C214" s="806" t="s">
        <v>360</v>
      </c>
      <c r="D214" s="1159" t="s">
        <v>568</v>
      </c>
      <c r="E214" s="1160"/>
      <c r="F214" s="802" t="s">
        <v>569</v>
      </c>
    </row>
    <row r="215" spans="1:9" ht="32.25" customHeight="1">
      <c r="A215" s="803" t="s">
        <v>191</v>
      </c>
      <c r="B215" s="804" t="s">
        <v>26</v>
      </c>
      <c r="C215" s="805">
        <f>IF(B233="","",INDEX(NXetHKI!$B$3:$CL$57,MATCH(InNXKI!B233,NXetHKI!$B$3:$B$57,0),INDEX($J$12:$K$25,MATCH($B215,$I$12:$I$25,0),J$11)))</f>
        <v>9.6</v>
      </c>
      <c r="D215" s="1161" t="str">
        <f>IF(B233="","",INDEX(NXetHKI!$B$3:$CL$57,MATCH(InNXKI!B233,NXetHKI!$B$3:$B$57,0),INDEX($J$12:$K$25,MATCH($B215,$I$12:$I$25,0),K$11)))</f>
        <v>Em học giỏi, chăm ngoan, tính tự giác cao, rất tốt.</v>
      </c>
      <c r="E215" s="1162"/>
      <c r="F215" s="805"/>
      <c r="H215" s="64"/>
      <c r="I215" s="64"/>
    </row>
    <row r="216" spans="1:9" ht="32.25" customHeight="1">
      <c r="A216" s="803" t="s">
        <v>192</v>
      </c>
      <c r="B216" s="804" t="s">
        <v>27</v>
      </c>
      <c r="C216" s="805">
        <f>IF(B233="","",INDEX(NXetHKI!$B$3:$CL$57,MATCH(InNXKI!B233,NXetHKI!$B$3:$B$57,0),INDEX($J$12:$K$25,MATCH($B216,$I$12:$I$25,0),J$11)))</f>
        <v>9.6</v>
      </c>
      <c r="D216" s="1161" t="str">
        <f>IF(B233="","",INDEX(NXetHKI!$B$3:$CL$57,MATCH(InNXKI!B233,NXetHKI!$B$3:$B$57,0),INDEX($J$12:$K$25,MATCH($B216,$I$12:$I$25,0),K$11)))</f>
        <v>Em học giỏi, chăm ngoan, tính tự giác cao, rất tốt.</v>
      </c>
      <c r="E216" s="1162"/>
      <c r="F216" s="805"/>
      <c r="H216" s="64"/>
      <c r="I216" s="64"/>
    </row>
    <row r="217" spans="1:9" ht="32.25" customHeight="1">
      <c r="A217" s="803" t="s">
        <v>193</v>
      </c>
      <c r="B217" s="804" t="s">
        <v>28</v>
      </c>
      <c r="C217" s="805">
        <f>IF(B233="","",INDEX(NXetHKI!$B$3:$CL$57,MATCH(InNXKI!B233,NXetHKI!$B$3:$B$57,0),INDEX($J$12:$K$25,MATCH($B217,$I$12:$I$25,0),J$11)))</f>
        <v>9.1999999999999993</v>
      </c>
      <c r="D217" s="1161" t="str">
        <f>IF(B233="","",INDEX(NXetHKI!$B$3:$CL$57,MATCH(InNXKI!B233,NXetHKI!$B$3:$B$57,0),INDEX($J$12:$K$25,MATCH($B217,$I$12:$I$25,0),K$11)))</f>
        <v>Kiến thức vững, tự học tốt, ngoan.</v>
      </c>
      <c r="E217" s="1162"/>
      <c r="F217" s="805"/>
      <c r="H217" s="64"/>
      <c r="I217" s="64"/>
    </row>
    <row r="218" spans="1:9" ht="32.25" customHeight="1">
      <c r="A218" s="803" t="s">
        <v>194</v>
      </c>
      <c r="B218" s="804" t="s">
        <v>29</v>
      </c>
      <c r="C218" s="805">
        <f>IF(B233="","",INDEX(NXetHKI!$B$3:$CL$57,MATCH(InNXKI!B233,NXetHKI!$B$3:$B$57,0),INDEX($J$12:$K$25,MATCH($B218,$I$12:$I$25,0),J$11)))</f>
        <v>8.6</v>
      </c>
      <c r="D218" s="1161" t="str">
        <f>IF(B233="","",INDEX(NXetHKI!$B$3:$CL$57,MATCH(InNXKI!B233,NXetHKI!$B$3:$B$57,0),INDEX($J$12:$K$25,MATCH($B218,$I$12:$I$25,0),K$11)))</f>
        <v>Ngoan, khă năng tiếp nhận kiến thức tốt, vận dụng tốt.</v>
      </c>
      <c r="E218" s="1162"/>
      <c r="F218" s="805"/>
      <c r="H218" s="64"/>
      <c r="I218" s="64"/>
    </row>
    <row r="219" spans="1:9" ht="32.25" customHeight="1">
      <c r="A219" s="803" t="s">
        <v>195</v>
      </c>
      <c r="B219" s="804" t="s">
        <v>120</v>
      </c>
      <c r="C219" s="805">
        <f>IF(B233="","",INDEX(NXetHKI!$B$3:$CL$57,MATCH(InNXKI!B233,NXetHKI!$B$3:$B$57,0),INDEX($J$12:$K$25,MATCH($B219,$I$12:$I$25,0),J$11)))</f>
        <v>9.6</v>
      </c>
      <c r="D219" s="1161" t="str">
        <f>IF(B233="","",INDEX(NXetHKI!$B$3:$CL$57,MATCH(InNXKI!B233,NXetHKI!$B$3:$B$57,0),INDEX($J$12:$K$25,MATCH($B219,$I$12:$I$25,0),K$11)))</f>
        <v>Ngoan, chăm chỉ, tư duy tốt.</v>
      </c>
      <c r="E219" s="1162"/>
      <c r="F219" s="805"/>
      <c r="H219" s="64"/>
      <c r="I219" s="64"/>
    </row>
    <row r="220" spans="1:9" ht="32.25" customHeight="1">
      <c r="A220" s="803" t="s">
        <v>196</v>
      </c>
      <c r="B220" s="804" t="s">
        <v>30</v>
      </c>
      <c r="C220" s="805">
        <f>IF(B233="","",INDEX(NXetHKI!$B$3:$CL$57,MATCH(InNXKI!B233,NXetHKI!$B$3:$B$57,0),INDEX($J$12:$K$25,MATCH($B220,$I$12:$I$25,0),J$11)))</f>
        <v>7.3</v>
      </c>
      <c r="D220" s="1161" t="str">
        <f>IF(B233="","",INDEX(NXetHKI!$B$3:$CL$57,MATCH(InNXKI!B233,NXetHKI!$B$3:$B$57,0),INDEX($J$12:$K$25,MATCH($B220,$I$12:$I$25,0),K$11)))</f>
        <v>Có ý thức học tập tốt, cần nỗ lực rèn luyện thêm các kỹ năng.</v>
      </c>
      <c r="E220" s="1162"/>
      <c r="F220" s="805"/>
      <c r="H220" s="64"/>
      <c r="I220" s="64"/>
    </row>
    <row r="221" spans="1:9" ht="32.25" customHeight="1">
      <c r="A221" s="803" t="s">
        <v>197</v>
      </c>
      <c r="B221" s="804" t="s">
        <v>31</v>
      </c>
      <c r="C221" s="805">
        <f>IF(B233="","",INDEX(NXetHKI!$B$3:$CL$57,MATCH(InNXKI!B233,NXetHKI!$B$3:$B$57,0),INDEX($J$12:$K$25,MATCH($B221,$I$12:$I$25,0),J$11)))</f>
        <v>9.6</v>
      </c>
      <c r="D221" s="1161" t="str">
        <f>IF(B233="","",INDEX(NXetHKI!$B$3:$CL$57,MATCH(InNXKI!B233,NXetHKI!$B$3:$B$57,0),INDEX($J$12:$K$25,MATCH($B221,$I$12:$I$25,0),K$11)))</f>
        <v>Tiếp thu bài tốt, ghi nhớ nhanh các sự kiện lịch sử.</v>
      </c>
      <c r="E221" s="1162"/>
      <c r="F221" s="805"/>
      <c r="H221" s="64"/>
      <c r="I221" s="64"/>
    </row>
    <row r="222" spans="1:9" ht="32.25" customHeight="1">
      <c r="A222" s="803" t="s">
        <v>198</v>
      </c>
      <c r="B222" s="804" t="s">
        <v>32</v>
      </c>
      <c r="C222" s="805">
        <f>IF(B233="","",INDEX(NXetHKI!$B$3:$CL$57,MATCH(InNXKI!B233,NXetHKI!$B$3:$B$57,0),INDEX($J$12:$K$25,MATCH($B222,$I$12:$I$25,0),J$11)))</f>
        <v>9.8000000000000007</v>
      </c>
      <c r="D222" s="1161" t="str">
        <f>IF(B233="","",INDEX(NXetHKI!$B$3:$CL$57,MATCH(InNXKI!B233,NXetHKI!$B$3:$B$57,0),INDEX($J$12:$K$25,MATCH($B222,$I$12:$I$25,0),K$11)))</f>
        <v>Em có tư duy tốt, rất tích cực, giải quyết vấn đề tốt.</v>
      </c>
      <c r="E222" s="1162"/>
      <c r="F222" s="805"/>
      <c r="H222" s="64"/>
      <c r="I222" s="64"/>
    </row>
    <row r="223" spans="1:9" ht="32.25" customHeight="1">
      <c r="A223" s="803" t="s">
        <v>199</v>
      </c>
      <c r="B223" s="804" t="s">
        <v>33</v>
      </c>
      <c r="C223" s="805">
        <f>IF(B233="","",INDEX(NXetHKI!$B$3:$CL$57,MATCH(InNXKI!B233,NXetHKI!$B$3:$B$57,0),INDEX($J$12:$K$25,MATCH($B223,$I$12:$I$25,0),J$11)))</f>
        <v>9.4</v>
      </c>
      <c r="D223" s="1161" t="str">
        <f>IF(B233="","",INDEX(NXetHKI!$B$3:$CL$57,MATCH(InNXKI!B233,NXetHKI!$B$3:$B$57,0),INDEX($J$12:$K$25,MATCH($B223,$I$12:$I$25,0),K$11)))</f>
        <v>Chăm chỉ, chuyên cần, rất tích cực và năng động.</v>
      </c>
      <c r="E223" s="1162"/>
      <c r="F223" s="805"/>
      <c r="H223" s="64"/>
      <c r="I223" s="64"/>
    </row>
    <row r="224" spans="1:9" ht="32.25" customHeight="1">
      <c r="A224" s="803" t="s">
        <v>200</v>
      </c>
      <c r="B224" s="804" t="s">
        <v>60</v>
      </c>
      <c r="C224" s="805">
        <f>IF(B233="","",INDEX(NXetHKI!$B$3:$CL$57,MATCH(InNXKI!B233,NXetHKI!$B$3:$B$57,0),INDEX($J$12:$K$25,MATCH($B224,$I$12:$I$25,0),J$11)))</f>
        <v>9.1</v>
      </c>
      <c r="D224" s="1161" t="str">
        <f>IF(B233="","",INDEX(NXetHKI!$B$3:$CL$57,MATCH(InNXKI!B233,NXetHKI!$B$3:$B$57,0),INDEX($J$12:$K$25,MATCH($B224,$I$12:$I$25,0),K$11)))</f>
        <v>Chăm chỉ, học giỏi.</v>
      </c>
      <c r="E224" s="1162"/>
      <c r="F224" s="805"/>
      <c r="H224" s="64"/>
      <c r="I224" s="64"/>
    </row>
    <row r="225" spans="1:9" ht="32.25" customHeight="1">
      <c r="A225" s="803" t="s">
        <v>201</v>
      </c>
      <c r="B225" s="804" t="s">
        <v>34</v>
      </c>
      <c r="C225" s="805">
        <f>IF(B233="","",INDEX(NXetHKI!$B$3:$CL$57,MATCH(InNXKI!B233,NXetHKI!$B$3:$B$57,0),INDEX($J$12:$K$25,MATCH($B225,$I$12:$I$25,0),J$11)))</f>
        <v>9.9</v>
      </c>
      <c r="D225" s="1161" t="str">
        <f>IF(B233="","",INDEX(NXetHKI!$B$3:$CL$57,MATCH(InNXKI!B233,NXetHKI!$B$3:$B$57,0),INDEX($J$12:$K$25,MATCH($B225,$I$12:$I$25,0),K$11)))</f>
        <v>Năng động, sáng tạo trong học tập.</v>
      </c>
      <c r="E225" s="1162"/>
      <c r="F225" s="805"/>
      <c r="H225" s="64"/>
      <c r="I225" s="64"/>
    </row>
    <row r="226" spans="1:9" ht="32.25" customHeight="1">
      <c r="A226" s="803" t="s">
        <v>202</v>
      </c>
      <c r="B226" s="804" t="s">
        <v>35</v>
      </c>
      <c r="C226" s="805" t="str">
        <f>IF(B233="","",INDEX(NXetHKI!$B$3:$CL$57,MATCH(InNXKI!B233,NXetHKI!$B$3:$B$57,0),INDEX($J$12:$K$25,MATCH($B226,$I$12:$I$25,0),J$11)))</f>
        <v>Đ</v>
      </c>
      <c r="D226" s="1161" t="str">
        <f>IF(B233="","",INDEX(NXetHKI!$B$3:$CL$57,MATCH(InNXKI!B233,NXetHKI!$B$3:$B$57,0),INDEX($J$12:$K$25,MATCH($B226,$I$12:$I$25,0),K$11)))</f>
        <v>Giỏi, có nhiều tiến bộ trong học tập.</v>
      </c>
      <c r="E226" s="1162"/>
      <c r="F226" s="805"/>
      <c r="H226" s="64"/>
      <c r="I226" s="64"/>
    </row>
    <row r="227" spans="1:9" ht="32.25" customHeight="1">
      <c r="A227" s="803" t="s">
        <v>203</v>
      </c>
      <c r="B227" s="804" t="s">
        <v>121</v>
      </c>
      <c r="C227" s="805">
        <f>IF(B233="","",INDEX(NXetHKI!$B$3:$CL$57,MATCH(InNXKI!B233,NXetHKI!$B$3:$B$57,0),INDEX($J$12:$K$25,MATCH($B227,$I$12:$I$25,0),J$11)))</f>
        <v>9.9</v>
      </c>
      <c r="D227" s="1161" t="str">
        <f>IF(B233="","",INDEX(NXetHKI!$B$3:$CL$57,MATCH(InNXKI!B233,NXetHKI!$B$3:$B$57,0),INDEX($J$12:$K$25,MATCH($B227,$I$12:$I$25,0),K$11)))</f>
        <v>Tích cực, năng động, nắm bài tốt, học giỏi.</v>
      </c>
      <c r="E227" s="1162"/>
      <c r="F227" s="805"/>
      <c r="H227" s="64"/>
      <c r="I227" s="64"/>
    </row>
    <row r="228" spans="1:9" ht="32.25" customHeight="1">
      <c r="A228" s="803">
        <v>14</v>
      </c>
      <c r="B228" s="804" t="s">
        <v>122</v>
      </c>
      <c r="C228" s="805" t="str">
        <f>IF(B233="","",INDEX(NXetHKI!$B$3:$CL$57,MATCH(InNXKI!B233,NXetHKI!$B$3:$B$57,0),INDEX($J$12:$K$25,MATCH($B228,$I$12:$I$25,0),J$11)))</f>
        <v/>
      </c>
      <c r="D228" s="1161" t="str">
        <f>IF(B233="","",INDEX(NXetHKI!$B$3:$CL$57,MATCH(InNXKI!B233,NXetHKI!$B$3:$B$57,0),INDEX($J$12:$K$25,MATCH($B228,$I$12:$I$25,0),K$11)))</f>
        <v/>
      </c>
      <c r="E228" s="1162"/>
      <c r="F228" s="805"/>
      <c r="H228" s="64"/>
    </row>
    <row r="229" spans="1:9" ht="12" customHeight="1"/>
    <row r="230" spans="1:9" ht="21.75" customHeight="1">
      <c r="D230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230" s="1163"/>
      <c r="F230" s="1163"/>
    </row>
    <row r="231" spans="1:9">
      <c r="D231" s="992" t="s">
        <v>377</v>
      </c>
      <c r="E231" s="992"/>
      <c r="F231" s="992"/>
    </row>
    <row r="232" spans="1:9" ht="81" customHeight="1">
      <c r="D232" s="923" t="str">
        <f>IF('Huong dan'!$E$5="","",'Huong dan'!$E$5)</f>
        <v/>
      </c>
      <c r="E232" s="923"/>
      <c r="F232" s="923"/>
    </row>
    <row r="233" spans="1:9">
      <c r="A233" s="811"/>
      <c r="B233" s="711">
        <f>IF(B204="","",IF(B204&lt;MAX(NXetHKI!$B$3:$B$57),B204+1,""))</f>
        <v>8</v>
      </c>
      <c r="C233" s="811"/>
      <c r="D233" s="1157"/>
      <c r="E233" s="1157"/>
      <c r="F233" s="1157"/>
    </row>
    <row r="234" spans="1:9" s="60" customFormat="1" ht="24.75" customHeight="1">
      <c r="A234" s="1128" t="str">
        <f>IF('Huong dan'!$E$3&lt;&gt;"","SỞ GIÁO DỤC VÀ ĐÀO TẠO "&amp;UPPER('Huong dan'!$E$3),"")</f>
        <v>SỞ GIÁO DỤC VÀ ĐÀO TẠO TP. HỒ CHÍ MINH</v>
      </c>
      <c r="B234" s="1128"/>
      <c r="C234" s="1128"/>
      <c r="D234" s="1128"/>
      <c r="E234" s="1129" t="s">
        <v>19</v>
      </c>
      <c r="F234" s="1129"/>
    </row>
    <row r="235" spans="1:9" ht="17.25" customHeight="1">
      <c r="A235" s="992" t="str">
        <f>IF('Huong dan'!$E$4&lt;&gt;"","TRƯỜNG "&amp;UPPER('Huong dan'!$E$4),"")</f>
        <v>TRƯỜNG THCS VÀ THPT NGUYỄN KHUYẾN</v>
      </c>
      <c r="B235" s="992"/>
      <c r="C235" s="992"/>
      <c r="D235" s="992"/>
      <c r="E235" s="1130" t="s">
        <v>179</v>
      </c>
      <c r="F235" s="1130"/>
    </row>
    <row r="236" spans="1:9" ht="20.25" customHeight="1">
      <c r="A236" s="69"/>
      <c r="B236" s="69"/>
      <c r="C236" s="30"/>
      <c r="D236" s="30"/>
    </row>
    <row r="237" spans="1:9" ht="28.5" customHeight="1">
      <c r="A237" s="1164" t="s">
        <v>567</v>
      </c>
      <c r="B237" s="1164"/>
      <c r="C237" s="1164"/>
      <c r="D237" s="1164"/>
      <c r="E237" s="1164"/>
      <c r="F237" s="1164"/>
    </row>
    <row r="238" spans="1:9" ht="24.75" customHeight="1">
      <c r="A238" s="1164" t="str">
        <f>"HỌC KỲ I NĂM HỌC "&amp;'Huong dan'!$C$5</f>
        <v>HỌC KỲ I NĂM HỌC 2021 - 2022</v>
      </c>
      <c r="B238" s="1164"/>
      <c r="C238" s="1164"/>
      <c r="D238" s="1164"/>
      <c r="E238" s="1164"/>
      <c r="F238" s="1164"/>
    </row>
    <row r="239" spans="1:9" ht="14.25" customHeight="1">
      <c r="A239" s="70"/>
      <c r="B239" s="66"/>
      <c r="C239" s="66"/>
      <c r="D239" s="66"/>
      <c r="E239" s="66"/>
      <c r="F239" s="66"/>
    </row>
    <row r="240" spans="1:9" ht="18.75" customHeight="1">
      <c r="A240" s="1158" t="s">
        <v>212</v>
      </c>
      <c r="B240" s="1158"/>
      <c r="C240" s="1158"/>
      <c r="D240" s="77" t="str">
        <f>IF(B262="","",INDEX(NXetHKI!$B$3:$CL$57,MATCH(InNXKI!B262,NXetHKI!$B$3:$B$57,0),3)&amp;" "&amp;INDEX(NXetHKI!$B$3:$CL$57,MATCH(InNXKI!B262,NXetHKI!$B$3:$B$57,0),4))</f>
        <v>Nguyễn Thanh Duyên</v>
      </c>
      <c r="E240" s="77"/>
      <c r="F240" s="77" t="str">
        <f>IF('Huong dan'!$C$3="","","Lớp: "&amp;'Huong dan'!$C$3)</f>
        <v>Lớp: 12A1</v>
      </c>
    </row>
    <row r="241" spans="1:9" ht="18.75" customHeight="1">
      <c r="A241" s="1158" t="s">
        <v>213</v>
      </c>
      <c r="B241" s="1158"/>
      <c r="C241" s="1158"/>
      <c r="D241" s="77" t="str">
        <f>INDEX(NXetHKI!$B$3:$CL$57,MATCH(InNXKI!B262,NXetHKI!$B$3:$B$57,0),5)</f>
        <v>16/11/2004</v>
      </c>
      <c r="E241" s="77"/>
      <c r="F241" s="841" t="str">
        <f>IF(B262="","","Nơi sinh: "&amp;INDEX(DiemHKI!$G$4:$G$58,MATCH(InNXKI!B262,DiemHKI!$B$4:$B$58,0),1))</f>
        <v>Nơi sinh: TP. Hồ Chí Minh</v>
      </c>
    </row>
    <row r="242" spans="1:9" ht="9.75" customHeight="1">
      <c r="A242" s="62"/>
      <c r="B242" s="62"/>
      <c r="C242" s="62"/>
      <c r="D242" s="62"/>
      <c r="E242" s="62"/>
      <c r="F242" s="62"/>
    </row>
    <row r="243" spans="1:9" ht="34.5" customHeight="1">
      <c r="A243" s="801" t="s">
        <v>0</v>
      </c>
      <c r="B243" s="801" t="s">
        <v>59</v>
      </c>
      <c r="C243" s="806" t="s">
        <v>360</v>
      </c>
      <c r="D243" s="1159" t="s">
        <v>568</v>
      </c>
      <c r="E243" s="1160"/>
      <c r="F243" s="802" t="s">
        <v>569</v>
      </c>
    </row>
    <row r="244" spans="1:9" ht="32.25" customHeight="1">
      <c r="A244" s="803" t="s">
        <v>191</v>
      </c>
      <c r="B244" s="804" t="s">
        <v>26</v>
      </c>
      <c r="C244" s="805">
        <f>IF(B262="","",INDEX(NXetHKI!$B$3:$CL$57,MATCH(InNXKI!B262,NXetHKI!$B$3:$B$57,0),INDEX($J$12:$K$25,MATCH($B244,$I$12:$I$25,0),J$11)))</f>
        <v>9.4</v>
      </c>
      <c r="D244" s="1161" t="str">
        <f>IF(B262="","",INDEX(NXetHKI!$B$3:$CL$57,MATCH(InNXKI!B262,NXetHKI!$B$3:$B$57,0),INDEX($J$12:$K$25,MATCH($B244,$I$12:$I$25,0),K$11)))</f>
        <v>Em ngoan, tích cực, năng động, rất đáng khen.</v>
      </c>
      <c r="E244" s="1162"/>
      <c r="F244" s="805"/>
      <c r="H244" s="64"/>
      <c r="I244" s="64"/>
    </row>
    <row r="245" spans="1:9" ht="32.25" customHeight="1">
      <c r="A245" s="803" t="s">
        <v>192</v>
      </c>
      <c r="B245" s="804" t="s">
        <v>27</v>
      </c>
      <c r="C245" s="805">
        <f>IF(B262="","",INDEX(NXetHKI!$B$3:$CL$57,MATCH(InNXKI!B262,NXetHKI!$B$3:$B$57,0),INDEX($J$12:$K$25,MATCH($B245,$I$12:$I$25,0),J$11)))</f>
        <v>9.8000000000000007</v>
      </c>
      <c r="D245" s="1161" t="str">
        <f>IF(B262="","",INDEX(NXetHKI!$B$3:$CL$57,MATCH(InNXKI!B262,NXetHKI!$B$3:$B$57,0),INDEX($J$12:$K$25,MATCH($B245,$I$12:$I$25,0),K$11)))</f>
        <v>Em ngoan, tích cực, năng động, rất đáng khen.</v>
      </c>
      <c r="E245" s="1162"/>
      <c r="F245" s="805"/>
      <c r="H245" s="64"/>
      <c r="I245" s="64"/>
    </row>
    <row r="246" spans="1:9" ht="32.25" customHeight="1">
      <c r="A246" s="803" t="s">
        <v>193</v>
      </c>
      <c r="B246" s="804" t="s">
        <v>28</v>
      </c>
      <c r="C246" s="805">
        <f>IF(B262="","",INDEX(NXetHKI!$B$3:$CL$57,MATCH(InNXKI!B262,NXetHKI!$B$3:$B$57,0),INDEX($J$12:$K$25,MATCH($B246,$I$12:$I$25,0),J$11)))</f>
        <v>9.5</v>
      </c>
      <c r="D246" s="1161" t="str">
        <f>IF(B262="","",INDEX(NXetHKI!$B$3:$CL$57,MATCH(InNXKI!B262,NXetHKI!$B$3:$B$57,0),INDEX($J$12:$K$25,MATCH($B246,$I$12:$I$25,0),K$11)))</f>
        <v>Kiến thức vững, sáng tạo, tự học tốt.</v>
      </c>
      <c r="E246" s="1162"/>
      <c r="F246" s="805"/>
      <c r="H246" s="64"/>
      <c r="I246" s="64"/>
    </row>
    <row r="247" spans="1:9" ht="32.25" customHeight="1">
      <c r="A247" s="803" t="s">
        <v>194</v>
      </c>
      <c r="B247" s="804" t="s">
        <v>29</v>
      </c>
      <c r="C247" s="805">
        <f>IF(B262="","",INDEX(NXetHKI!$B$3:$CL$57,MATCH(InNXKI!B262,NXetHKI!$B$3:$B$57,0),INDEX($J$12:$K$25,MATCH($B247,$I$12:$I$25,0),J$11)))</f>
        <v>9.5</v>
      </c>
      <c r="D247" s="1161" t="str">
        <f>IF(B262="","",INDEX(NXetHKI!$B$3:$CL$57,MATCH(InNXKI!B262,NXetHKI!$B$3:$B$57,0),INDEX($J$12:$K$25,MATCH($B247,$I$12:$I$25,0),K$11)))</f>
        <v>Ý thức học tập tốt, vận dụng tốt kiến thức học tập</v>
      </c>
      <c r="E247" s="1162"/>
      <c r="F247" s="805"/>
      <c r="H247" s="64"/>
      <c r="I247" s="64"/>
    </row>
    <row r="248" spans="1:9" ht="32.25" customHeight="1">
      <c r="A248" s="803" t="s">
        <v>195</v>
      </c>
      <c r="B248" s="804" t="s">
        <v>120</v>
      </c>
      <c r="C248" s="805">
        <f>IF(B262="","",INDEX(NXetHKI!$B$3:$CL$57,MATCH(InNXKI!B262,NXetHKI!$B$3:$B$57,0),INDEX($J$12:$K$25,MATCH($B248,$I$12:$I$25,0),J$11)))</f>
        <v>9.8000000000000007</v>
      </c>
      <c r="D248" s="1161" t="str">
        <f>IF(B262="","",INDEX(NXetHKI!$B$3:$CL$57,MATCH(InNXKI!B262,NXetHKI!$B$3:$B$57,0),INDEX($J$12:$K$25,MATCH($B248,$I$12:$I$25,0),K$11)))</f>
        <v>Học giỏi, năng động và sáng tạo trong học tập.</v>
      </c>
      <c r="E248" s="1162"/>
      <c r="F248" s="805"/>
      <c r="H248" s="64"/>
      <c r="I248" s="64"/>
    </row>
    <row r="249" spans="1:9" ht="32.25" customHeight="1">
      <c r="A249" s="803" t="s">
        <v>196</v>
      </c>
      <c r="B249" s="804" t="s">
        <v>30</v>
      </c>
      <c r="C249" s="805">
        <f>IF(B262="","",INDEX(NXetHKI!$B$3:$CL$57,MATCH(InNXKI!B262,NXetHKI!$B$3:$B$57,0),INDEX($J$12:$K$25,MATCH($B249,$I$12:$I$25,0),J$11)))</f>
        <v>7.6</v>
      </c>
      <c r="D249" s="1161" t="str">
        <f>IF(B262="","",INDEX(NXetHKI!$B$3:$CL$57,MATCH(InNXKI!B262,NXetHKI!$B$3:$B$57,0),INDEX($J$12:$K$25,MATCH($B249,$I$12:$I$25,0),K$11)))</f>
        <v>Cần chủ động hơn trong giờ học, rèn thêm kỹ năng viết.</v>
      </c>
      <c r="E249" s="1162"/>
      <c r="F249" s="805"/>
      <c r="H249" s="64"/>
      <c r="I249" s="64"/>
    </row>
    <row r="250" spans="1:9" ht="32.25" customHeight="1">
      <c r="A250" s="803" t="s">
        <v>197</v>
      </c>
      <c r="B250" s="804" t="s">
        <v>31</v>
      </c>
      <c r="C250" s="805">
        <f>IF(B262="","",INDEX(NXetHKI!$B$3:$CL$57,MATCH(InNXKI!B262,NXetHKI!$B$3:$B$57,0),INDEX($J$12:$K$25,MATCH($B250,$I$12:$I$25,0),J$11)))</f>
        <v>9.6</v>
      </c>
      <c r="D250" s="1161" t="str">
        <f>IF(B262="","",INDEX(NXetHKI!$B$3:$CL$57,MATCH(InNXKI!B262,NXetHKI!$B$3:$B$57,0),INDEX($J$12:$K$25,MATCH($B250,$I$12:$I$25,0),K$11)))</f>
        <v>Chăm học, tích cực phát biểu xây dựng bài.</v>
      </c>
      <c r="E250" s="1162"/>
      <c r="F250" s="805"/>
      <c r="H250" s="64"/>
      <c r="I250" s="64"/>
    </row>
    <row r="251" spans="1:9" ht="32.25" customHeight="1">
      <c r="A251" s="803" t="s">
        <v>198</v>
      </c>
      <c r="B251" s="804" t="s">
        <v>32</v>
      </c>
      <c r="C251" s="805">
        <f>IF(B262="","",INDEX(NXetHKI!$B$3:$CL$57,MATCH(InNXKI!B262,NXetHKI!$B$3:$B$57,0),INDEX($J$12:$K$25,MATCH($B251,$I$12:$I$25,0),J$11)))</f>
        <v>9.6</v>
      </c>
      <c r="D251" s="1161" t="str">
        <f>IF(B262="","",INDEX(NXetHKI!$B$3:$CL$57,MATCH(InNXKI!B262,NXetHKI!$B$3:$B$57,0),INDEX($J$12:$K$25,MATCH($B251,$I$12:$I$25,0),K$11)))</f>
        <v>Em có tư duy tốt, tích cực, vận dụng thực tế tốt.</v>
      </c>
      <c r="E251" s="1162"/>
      <c r="F251" s="805"/>
      <c r="H251" s="64"/>
      <c r="I251" s="64"/>
    </row>
    <row r="252" spans="1:9" ht="32.25" customHeight="1">
      <c r="A252" s="803" t="s">
        <v>199</v>
      </c>
      <c r="B252" s="804" t="s">
        <v>33</v>
      </c>
      <c r="C252" s="805">
        <f>IF(B262="","",INDEX(NXetHKI!$B$3:$CL$57,MATCH(InNXKI!B262,NXetHKI!$B$3:$B$57,0),INDEX($J$12:$K$25,MATCH($B252,$I$12:$I$25,0),J$11)))</f>
        <v>9.8000000000000007</v>
      </c>
      <c r="D252" s="1161" t="str">
        <f>IF(B262="","",INDEX(NXetHKI!$B$3:$CL$57,MATCH(InNXKI!B262,NXetHKI!$B$3:$B$57,0),INDEX($J$12:$K$25,MATCH($B252,$I$12:$I$25,0),K$11)))</f>
        <v>Tích cực phát biểu trong giờ học, tương tác tốt với giáo viên và bạn bè.</v>
      </c>
      <c r="E252" s="1162"/>
      <c r="F252" s="805"/>
      <c r="H252" s="64"/>
      <c r="I252" s="64"/>
    </row>
    <row r="253" spans="1:9" ht="32.25" customHeight="1">
      <c r="A253" s="803" t="s">
        <v>200</v>
      </c>
      <c r="B253" s="804" t="s">
        <v>60</v>
      </c>
      <c r="C253" s="805">
        <f>IF(B262="","",INDEX(NXetHKI!$B$3:$CL$57,MATCH(InNXKI!B262,NXetHKI!$B$3:$B$57,0),INDEX($J$12:$K$25,MATCH($B253,$I$12:$I$25,0),J$11)))</f>
        <v>9.1</v>
      </c>
      <c r="D253" s="1161" t="str">
        <f>IF(B262="","",INDEX(NXetHKI!$B$3:$CL$57,MATCH(InNXKI!B262,NXetHKI!$B$3:$B$57,0),INDEX($J$12:$K$25,MATCH($B253,$I$12:$I$25,0),K$11)))</f>
        <v>Hứng thú, tích cực, học giỏi.</v>
      </c>
      <c r="E253" s="1162"/>
      <c r="F253" s="805"/>
      <c r="H253" s="64"/>
      <c r="I253" s="64"/>
    </row>
    <row r="254" spans="1:9" ht="32.25" customHeight="1">
      <c r="A254" s="803" t="s">
        <v>201</v>
      </c>
      <c r="B254" s="804" t="s">
        <v>34</v>
      </c>
      <c r="C254" s="805">
        <f>IF(B262="","",INDEX(NXetHKI!$B$3:$CL$57,MATCH(InNXKI!B262,NXetHKI!$B$3:$B$57,0),INDEX($J$12:$K$25,MATCH($B254,$I$12:$I$25,0),J$11)))</f>
        <v>9.9</v>
      </c>
      <c r="D254" s="1161" t="str">
        <f>IF(B262="","",INDEX(NXetHKI!$B$3:$CL$57,MATCH(InNXKI!B262,NXetHKI!$B$3:$B$57,0),INDEX($J$12:$K$25,MATCH($B254,$I$12:$I$25,0),K$11)))</f>
        <v>Học giỏi, tiếp thu nhanh, chăm ngoan.</v>
      </c>
      <c r="E254" s="1162"/>
      <c r="F254" s="805"/>
      <c r="H254" s="64"/>
      <c r="I254" s="64"/>
    </row>
    <row r="255" spans="1:9" ht="32.25" customHeight="1">
      <c r="A255" s="803" t="s">
        <v>202</v>
      </c>
      <c r="B255" s="804" t="s">
        <v>35</v>
      </c>
      <c r="C255" s="805" t="str">
        <f>IF(B262="","",INDEX(NXetHKI!$B$3:$CL$57,MATCH(InNXKI!B262,NXetHKI!$B$3:$B$57,0),INDEX($J$12:$K$25,MATCH($B255,$I$12:$I$25,0),J$11)))</f>
        <v>Đ</v>
      </c>
      <c r="D255" s="1161" t="str">
        <f>IF(B262="","",INDEX(NXetHKI!$B$3:$CL$57,MATCH(InNXKI!B262,NXetHKI!$B$3:$B$57,0),INDEX($J$12:$K$25,MATCH($B255,$I$12:$I$25,0),K$11)))</f>
        <v>Rất ngoan, học có hiệu quả tốt.</v>
      </c>
      <c r="E255" s="1162"/>
      <c r="F255" s="805"/>
      <c r="H255" s="64"/>
      <c r="I255" s="64"/>
    </row>
    <row r="256" spans="1:9" ht="32.25" customHeight="1">
      <c r="A256" s="803" t="s">
        <v>203</v>
      </c>
      <c r="B256" s="804" t="s">
        <v>121</v>
      </c>
      <c r="C256" s="805">
        <f>IF(B262="","",INDEX(NXetHKI!$B$3:$CL$57,MATCH(InNXKI!B262,NXetHKI!$B$3:$B$57,0),INDEX($J$12:$K$25,MATCH($B256,$I$12:$I$25,0),J$11)))</f>
        <v>9.9</v>
      </c>
      <c r="D256" s="1161" t="str">
        <f>IF(B262="","",INDEX(NXetHKI!$B$3:$CL$57,MATCH(InNXKI!B262,NXetHKI!$B$3:$B$57,0),INDEX($J$12:$K$25,MATCH($B256,$I$12:$I$25,0),K$11)))</f>
        <v>Ngoan, tích cực xây dựng bài, nắm chắc thực hành, học giỏi.</v>
      </c>
      <c r="E256" s="1162"/>
      <c r="F256" s="805"/>
      <c r="H256" s="64"/>
      <c r="I256" s="64"/>
    </row>
    <row r="257" spans="1:8" ht="32.25" customHeight="1">
      <c r="A257" s="803">
        <v>14</v>
      </c>
      <c r="B257" s="804" t="s">
        <v>122</v>
      </c>
      <c r="C257" s="805" t="str">
        <f>IF(B262="","",INDEX(NXetHKI!$B$3:$CL$57,MATCH(InNXKI!B262,NXetHKI!$B$3:$B$57,0),INDEX($J$12:$K$25,MATCH($B257,$I$12:$I$25,0),J$11)))</f>
        <v/>
      </c>
      <c r="D257" s="1161" t="str">
        <f>IF(B262="","",INDEX(NXetHKI!$B$3:$CL$57,MATCH(InNXKI!B262,NXetHKI!$B$3:$B$57,0),INDEX($J$12:$K$25,MATCH($B257,$I$12:$I$25,0),K$11)))</f>
        <v/>
      </c>
      <c r="E257" s="1162"/>
      <c r="F257" s="805"/>
      <c r="H257" s="64"/>
    </row>
    <row r="258" spans="1:8" ht="12" customHeight="1"/>
    <row r="259" spans="1:8" ht="21.75" customHeight="1">
      <c r="D259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259" s="1163"/>
      <c r="F259" s="1163"/>
    </row>
    <row r="260" spans="1:8">
      <c r="D260" s="992" t="s">
        <v>377</v>
      </c>
      <c r="E260" s="992"/>
      <c r="F260" s="992"/>
    </row>
    <row r="261" spans="1:8" ht="81" customHeight="1">
      <c r="D261" s="923" t="str">
        <f>IF('Huong dan'!$E$5="","",'Huong dan'!$E$5)</f>
        <v/>
      </c>
      <c r="E261" s="923"/>
      <c r="F261" s="923"/>
    </row>
    <row r="262" spans="1:8">
      <c r="A262" s="811"/>
      <c r="B262" s="711">
        <f>IF(B233="","",IF(B233&lt;MAX(NXetHKI!$B$3:$B$57),B233+1,""))</f>
        <v>9</v>
      </c>
      <c r="C262" s="811"/>
      <c r="D262" s="1157"/>
      <c r="E262" s="1157"/>
      <c r="F262" s="1157"/>
    </row>
    <row r="263" spans="1:8" s="60" customFormat="1" ht="24.75" customHeight="1">
      <c r="A263" s="1128" t="str">
        <f>IF('Huong dan'!$E$3&lt;&gt;"","SỞ GIÁO DỤC VÀ ĐÀO TẠO "&amp;UPPER('Huong dan'!$E$3),"")</f>
        <v>SỞ GIÁO DỤC VÀ ĐÀO TẠO TP. HỒ CHÍ MINH</v>
      </c>
      <c r="B263" s="1128"/>
      <c r="C263" s="1128"/>
      <c r="D263" s="1128"/>
      <c r="E263" s="1129" t="s">
        <v>19</v>
      </c>
      <c r="F263" s="1129"/>
    </row>
    <row r="264" spans="1:8" ht="17.25" customHeight="1">
      <c r="A264" s="992" t="str">
        <f>IF('Huong dan'!$E$4&lt;&gt;"","TRƯỜNG "&amp;UPPER('Huong dan'!$E$4),"")</f>
        <v>TRƯỜNG THCS VÀ THPT NGUYỄN KHUYẾN</v>
      </c>
      <c r="B264" s="992"/>
      <c r="C264" s="992"/>
      <c r="D264" s="992"/>
      <c r="E264" s="1130" t="s">
        <v>179</v>
      </c>
      <c r="F264" s="1130"/>
    </row>
    <row r="265" spans="1:8" ht="20.25" customHeight="1">
      <c r="A265" s="69"/>
      <c r="B265" s="69"/>
      <c r="C265" s="30"/>
      <c r="D265" s="30"/>
    </row>
    <row r="266" spans="1:8" ht="28.5" customHeight="1">
      <c r="A266" s="1164" t="s">
        <v>567</v>
      </c>
      <c r="B266" s="1164"/>
      <c r="C266" s="1164"/>
      <c r="D266" s="1164"/>
      <c r="E266" s="1164"/>
      <c r="F266" s="1164"/>
    </row>
    <row r="267" spans="1:8" ht="24.75" customHeight="1">
      <c r="A267" s="1164" t="str">
        <f>"HỌC KỲ I NĂM HỌC "&amp;'Huong dan'!$C$5</f>
        <v>HỌC KỲ I NĂM HỌC 2021 - 2022</v>
      </c>
      <c r="B267" s="1164"/>
      <c r="C267" s="1164"/>
      <c r="D267" s="1164"/>
      <c r="E267" s="1164"/>
      <c r="F267" s="1164"/>
    </row>
    <row r="268" spans="1:8" ht="14.25" customHeight="1">
      <c r="A268" s="70"/>
      <c r="B268" s="66"/>
      <c r="C268" s="66"/>
      <c r="D268" s="66"/>
      <c r="E268" s="66"/>
      <c r="F268" s="66"/>
    </row>
    <row r="269" spans="1:8" ht="18.75" customHeight="1">
      <c r="A269" s="1158" t="s">
        <v>212</v>
      </c>
      <c r="B269" s="1158"/>
      <c r="C269" s="1158"/>
      <c r="D269" s="77" t="str">
        <f>IF(B291="","",INDEX(NXetHKI!$B$3:$CL$57,MATCH(InNXKI!B291,NXetHKI!$B$3:$B$57,0),3)&amp;" "&amp;INDEX(NXetHKI!$B$3:$CL$57,MATCH(InNXKI!B291,NXetHKI!$B$3:$B$57,0),4))</f>
        <v>Trương Đắc Điền</v>
      </c>
      <c r="E269" s="77"/>
      <c r="F269" s="77" t="str">
        <f>IF('Huong dan'!$C$3="","","Lớp: "&amp;'Huong dan'!$C$3)</f>
        <v>Lớp: 12A1</v>
      </c>
    </row>
    <row r="270" spans="1:8" ht="18.75" customHeight="1">
      <c r="A270" s="1158" t="s">
        <v>213</v>
      </c>
      <c r="B270" s="1158"/>
      <c r="C270" s="1158"/>
      <c r="D270" s="77" t="str">
        <f>INDEX(NXetHKI!$B$3:$CL$57,MATCH(InNXKI!B291,NXetHKI!$B$3:$B$57,0),5)</f>
        <v>08/05/2004</v>
      </c>
      <c r="E270" s="77"/>
      <c r="F270" s="841" t="str">
        <f>IF(B291="","","Nơi sinh: "&amp;INDEX(DiemHKI!$G$4:$G$58,MATCH(InNXKI!B291,DiemHKI!$B$4:$B$58,0),1))</f>
        <v>Nơi sinh: Đồng Nai</v>
      </c>
    </row>
    <row r="271" spans="1:8" ht="9.75" customHeight="1">
      <c r="A271" s="62"/>
      <c r="B271" s="62"/>
      <c r="C271" s="62"/>
      <c r="D271" s="62"/>
      <c r="E271" s="62"/>
      <c r="F271" s="62"/>
    </row>
    <row r="272" spans="1:8" ht="34.5" customHeight="1">
      <c r="A272" s="801" t="s">
        <v>0</v>
      </c>
      <c r="B272" s="801" t="s">
        <v>59</v>
      </c>
      <c r="C272" s="806" t="s">
        <v>360</v>
      </c>
      <c r="D272" s="1159" t="s">
        <v>568</v>
      </c>
      <c r="E272" s="1160"/>
      <c r="F272" s="802" t="s">
        <v>569</v>
      </c>
    </row>
    <row r="273" spans="1:9" ht="32.25" customHeight="1">
      <c r="A273" s="803" t="s">
        <v>191</v>
      </c>
      <c r="B273" s="804" t="s">
        <v>26</v>
      </c>
      <c r="C273" s="805">
        <f>IF(B291="","",INDEX(NXetHKI!$B$3:$CL$57,MATCH(InNXKI!B291,NXetHKI!$B$3:$B$57,0),INDEX($J$12:$K$25,MATCH($B273,$I$12:$I$25,0),J$11)))</f>
        <v>9.4</v>
      </c>
      <c r="D273" s="1161" t="str">
        <f>IF(B291="","",INDEX(NXetHKI!$B$3:$CL$57,MATCH(InNXKI!B291,NXetHKI!$B$3:$B$57,0),INDEX($J$12:$K$25,MATCH($B273,$I$12:$I$25,0),K$11)))</f>
        <v>Em chăm chỉ, chuyên cần, rất tích cực, rất đáng khen.</v>
      </c>
      <c r="E273" s="1162"/>
      <c r="F273" s="805"/>
      <c r="H273" s="64"/>
      <c r="I273" s="64"/>
    </row>
    <row r="274" spans="1:9" ht="32.25" customHeight="1">
      <c r="A274" s="803" t="s">
        <v>192</v>
      </c>
      <c r="B274" s="804" t="s">
        <v>27</v>
      </c>
      <c r="C274" s="805">
        <f>IF(B291="","",INDEX(NXetHKI!$B$3:$CL$57,MATCH(InNXKI!B291,NXetHKI!$B$3:$B$57,0),INDEX($J$12:$K$25,MATCH($B274,$I$12:$I$25,0),J$11)))</f>
        <v>9.5</v>
      </c>
      <c r="D274" s="1161" t="str">
        <f>IF(B291="","",INDEX(NXetHKI!$B$3:$CL$57,MATCH(InNXKI!B291,NXetHKI!$B$3:$B$57,0),INDEX($J$12:$K$25,MATCH($B274,$I$12:$I$25,0),K$11)))</f>
        <v>Em chăm chỉ, chuyên cần, rất tích cực, rất đáng khen.</v>
      </c>
      <c r="E274" s="1162"/>
      <c r="F274" s="805"/>
      <c r="H274" s="64"/>
      <c r="I274" s="64"/>
    </row>
    <row r="275" spans="1:9" ht="32.25" customHeight="1">
      <c r="A275" s="803" t="s">
        <v>193</v>
      </c>
      <c r="B275" s="804" t="s">
        <v>28</v>
      </c>
      <c r="C275" s="805">
        <f>IF(B291="","",INDEX(NXetHKI!$B$3:$CL$57,MATCH(InNXKI!B291,NXetHKI!$B$3:$B$57,0),INDEX($J$12:$K$25,MATCH($B275,$I$12:$I$25,0),J$11)))</f>
        <v>9.6</v>
      </c>
      <c r="D275" s="1161" t="str">
        <f>IF(B291="","",INDEX(NXetHKI!$B$3:$CL$57,MATCH(InNXKI!B291,NXetHKI!$B$3:$B$57,0),INDEX($J$12:$K$25,MATCH($B275,$I$12:$I$25,0),K$11)))</f>
        <v>Học giỏi, thông minh, cần phát huy.</v>
      </c>
      <c r="E275" s="1162"/>
      <c r="F275" s="805"/>
      <c r="H275" s="64"/>
      <c r="I275" s="64"/>
    </row>
    <row r="276" spans="1:9" ht="32.25" customHeight="1">
      <c r="A276" s="803" t="s">
        <v>194</v>
      </c>
      <c r="B276" s="804" t="s">
        <v>29</v>
      </c>
      <c r="C276" s="805">
        <f>IF(B291="","",INDEX(NXetHKI!$B$3:$CL$57,MATCH(InNXKI!B291,NXetHKI!$B$3:$B$57,0),INDEX($J$12:$K$25,MATCH($B276,$I$12:$I$25,0),J$11)))</f>
        <v>9.1</v>
      </c>
      <c r="D276" s="1161" t="str">
        <f>IF(B291="","",INDEX(NXetHKI!$B$3:$CL$57,MATCH(InNXKI!B291,NXetHKI!$B$3:$B$57,0),INDEX($J$12:$K$25,MATCH($B276,$I$12:$I$25,0),K$11)))</f>
        <v>Sáng tạo, hoạt động nhóm rất tốt, biết chia sẻ kết quả học tập với bạn.</v>
      </c>
      <c r="E276" s="1162"/>
      <c r="F276" s="805"/>
      <c r="H276" s="64"/>
      <c r="I276" s="64"/>
    </row>
    <row r="277" spans="1:9" ht="32.25" customHeight="1">
      <c r="A277" s="803" t="s">
        <v>195</v>
      </c>
      <c r="B277" s="804" t="s">
        <v>120</v>
      </c>
      <c r="C277" s="805">
        <f>IF(B291="","",INDEX(NXetHKI!$B$3:$CL$57,MATCH(InNXKI!B291,NXetHKI!$B$3:$B$57,0),INDEX($J$12:$K$25,MATCH($B277,$I$12:$I$25,0),J$11)))</f>
        <v>9.6</v>
      </c>
      <c r="D277" s="1161" t="str">
        <f>IF(B291="","",INDEX(NXetHKI!$B$3:$CL$57,MATCH(InNXKI!B291,NXetHKI!$B$3:$B$57,0),INDEX($J$12:$K$25,MATCH($B277,$I$12:$I$25,0),K$11)))</f>
        <v>Rất ngoan, cố gắng có hiệu quả.</v>
      </c>
      <c r="E277" s="1162"/>
      <c r="F277" s="805"/>
      <c r="H277" s="64"/>
      <c r="I277" s="64"/>
    </row>
    <row r="278" spans="1:9" ht="32.25" customHeight="1">
      <c r="A278" s="803" t="s">
        <v>196</v>
      </c>
      <c r="B278" s="804" t="s">
        <v>30</v>
      </c>
      <c r="C278" s="805">
        <f>IF(B291="","",INDEX(NXetHKI!$B$3:$CL$57,MATCH(InNXKI!B291,NXetHKI!$B$3:$B$57,0),INDEX($J$12:$K$25,MATCH($B278,$I$12:$I$25,0),J$11)))</f>
        <v>7.8</v>
      </c>
      <c r="D278" s="1161" t="str">
        <f>IF(B291="","",INDEX(NXetHKI!$B$3:$CL$57,MATCH(InNXKI!B291,NXetHKI!$B$3:$B$57,0),INDEX($J$12:$K$25,MATCH($B278,$I$12:$I$25,0),K$11)))</f>
        <v>Có năng khiếu, tự giác, cảm nhận được văn bản.</v>
      </c>
      <c r="E278" s="1162"/>
      <c r="F278" s="805"/>
      <c r="H278" s="64"/>
      <c r="I278" s="64"/>
    </row>
    <row r="279" spans="1:9" ht="32.25" customHeight="1">
      <c r="A279" s="803" t="s">
        <v>197</v>
      </c>
      <c r="B279" s="804" t="s">
        <v>31</v>
      </c>
      <c r="C279" s="805">
        <f>IF(B291="","",INDEX(NXetHKI!$B$3:$CL$57,MATCH(InNXKI!B291,NXetHKI!$B$3:$B$57,0),INDEX($J$12:$K$25,MATCH($B279,$I$12:$I$25,0),J$11)))</f>
        <v>9.8000000000000007</v>
      </c>
      <c r="D279" s="1161" t="str">
        <f>IF(B291="","",INDEX(NXetHKI!$B$3:$CL$57,MATCH(InNXKI!B291,NXetHKI!$B$3:$B$57,0),INDEX($J$12:$K$25,MATCH($B279,$I$12:$I$25,0),K$11)))</f>
        <v>Chăm ngoan, tích cực, chủ động tiếp thu bài học.</v>
      </c>
      <c r="E279" s="1162"/>
      <c r="F279" s="805"/>
      <c r="H279" s="64"/>
      <c r="I279" s="64"/>
    </row>
    <row r="280" spans="1:9" ht="32.25" customHeight="1">
      <c r="A280" s="803" t="s">
        <v>198</v>
      </c>
      <c r="B280" s="804" t="s">
        <v>32</v>
      </c>
      <c r="C280" s="805">
        <f>IF(B291="","",INDEX(NXetHKI!$B$3:$CL$57,MATCH(InNXKI!B291,NXetHKI!$B$3:$B$57,0),INDEX($J$12:$K$25,MATCH($B280,$I$12:$I$25,0),J$11)))</f>
        <v>9.9</v>
      </c>
      <c r="D280" s="1161" t="str">
        <f>IF(B291="","",INDEX(NXetHKI!$B$3:$CL$57,MATCH(InNXKI!B291,NXetHKI!$B$3:$B$57,0),INDEX($J$12:$K$25,MATCH($B280,$I$12:$I$25,0),K$11)))</f>
        <v>Em rất ngoan, cố gắng có hiệu quả.</v>
      </c>
      <c r="E280" s="1162"/>
      <c r="F280" s="805"/>
      <c r="H280" s="64"/>
      <c r="I280" s="64"/>
    </row>
    <row r="281" spans="1:9" ht="32.25" customHeight="1">
      <c r="A281" s="803" t="s">
        <v>199</v>
      </c>
      <c r="B281" s="804" t="s">
        <v>33</v>
      </c>
      <c r="C281" s="805">
        <f>IF(B291="","",INDEX(NXetHKI!$B$3:$CL$57,MATCH(InNXKI!B291,NXetHKI!$B$3:$B$57,0),INDEX($J$12:$K$25,MATCH($B281,$I$12:$I$25,0),J$11)))</f>
        <v>9.3000000000000007</v>
      </c>
      <c r="D281" s="1161" t="str">
        <f>IF(B291="","",INDEX(NXetHKI!$B$3:$CL$57,MATCH(InNXKI!B291,NXetHKI!$B$3:$B$57,0),INDEX($J$12:$K$25,MATCH($B281,$I$12:$I$25,0),K$11)))</f>
        <v>Có năng khiếu, tự tin, giao tiếp tốt và có khả năng làm việc nhóm.</v>
      </c>
      <c r="E281" s="1162"/>
      <c r="F281" s="805"/>
      <c r="H281" s="64"/>
      <c r="I281" s="64"/>
    </row>
    <row r="282" spans="1:9" ht="32.25" customHeight="1">
      <c r="A282" s="803" t="s">
        <v>200</v>
      </c>
      <c r="B282" s="804" t="s">
        <v>60</v>
      </c>
      <c r="C282" s="805">
        <f>IF(B291="","",INDEX(NXetHKI!$B$3:$CL$57,MATCH(InNXKI!B291,NXetHKI!$B$3:$B$57,0),INDEX($J$12:$K$25,MATCH($B282,$I$12:$I$25,0),J$11)))</f>
        <v>9.5</v>
      </c>
      <c r="D282" s="1161" t="str">
        <f>IF(B291="","",INDEX(NXetHKI!$B$3:$CL$57,MATCH(InNXKI!B291,NXetHKI!$B$3:$B$57,0),INDEX($J$12:$K$25,MATCH($B282,$I$12:$I$25,0),K$11)))</f>
        <v>Hứng thú, có trách nhiệm học tập tốt.</v>
      </c>
      <c r="E282" s="1162"/>
      <c r="F282" s="805"/>
      <c r="H282" s="64"/>
      <c r="I282" s="64"/>
    </row>
    <row r="283" spans="1:9" ht="32.25" customHeight="1">
      <c r="A283" s="803" t="s">
        <v>201</v>
      </c>
      <c r="B283" s="804" t="s">
        <v>34</v>
      </c>
      <c r="C283" s="805">
        <f>IF(B291="","",INDEX(NXetHKI!$B$3:$CL$57,MATCH(InNXKI!B291,NXetHKI!$B$3:$B$57,0),INDEX($J$12:$K$25,MATCH($B283,$I$12:$I$25,0),J$11)))</f>
        <v>9.6</v>
      </c>
      <c r="D283" s="1161" t="str">
        <f>IF(B291="","",INDEX(NXetHKI!$B$3:$CL$57,MATCH(InNXKI!B291,NXetHKI!$B$3:$B$57,0),INDEX($J$12:$K$25,MATCH($B283,$I$12:$I$25,0),K$11)))</f>
        <v>Học giỏi, năng động, chăm ngoan.</v>
      </c>
      <c r="E283" s="1162"/>
      <c r="F283" s="805"/>
      <c r="H283" s="64"/>
      <c r="I283" s="64"/>
    </row>
    <row r="284" spans="1:9" ht="32.25" customHeight="1">
      <c r="A284" s="803" t="s">
        <v>202</v>
      </c>
      <c r="B284" s="804" t="s">
        <v>35</v>
      </c>
      <c r="C284" s="805" t="str">
        <f>IF(B291="","",INDEX(NXetHKI!$B$3:$CL$57,MATCH(InNXKI!B291,NXetHKI!$B$3:$B$57,0),INDEX($J$12:$K$25,MATCH($B284,$I$12:$I$25,0),J$11)))</f>
        <v>Đ</v>
      </c>
      <c r="D284" s="1161" t="str">
        <f>IF(B291="","",INDEX(NXetHKI!$B$3:$CL$57,MATCH(InNXKI!B291,NXetHKI!$B$3:$B$57,0),INDEX($J$12:$K$25,MATCH($B284,$I$12:$I$25,0),K$11)))</f>
        <v>Chăm chỉ, cố gắng, rất ngoan.</v>
      </c>
      <c r="E284" s="1162"/>
      <c r="F284" s="805"/>
      <c r="H284" s="64"/>
      <c r="I284" s="64"/>
    </row>
    <row r="285" spans="1:9" ht="32.25" customHeight="1">
      <c r="A285" s="803" t="s">
        <v>203</v>
      </c>
      <c r="B285" s="804" t="s">
        <v>121</v>
      </c>
      <c r="C285" s="805">
        <f>IF(B291="","",INDEX(NXetHKI!$B$3:$CL$57,MATCH(InNXKI!B291,NXetHKI!$B$3:$B$57,0),INDEX($J$12:$K$25,MATCH($B285,$I$12:$I$25,0),J$11)))</f>
        <v>9.9</v>
      </c>
      <c r="D285" s="1161" t="str">
        <f>IF(B291="","",INDEX(NXetHKI!$B$3:$CL$57,MATCH(InNXKI!B291,NXetHKI!$B$3:$B$57,0),INDEX($J$12:$K$25,MATCH($B285,$I$12:$I$25,0),K$11)))</f>
        <v>Siêng năng, lễ phép, thành thạo thực hành, học giỏi.</v>
      </c>
      <c r="E285" s="1162"/>
      <c r="F285" s="805"/>
      <c r="H285" s="64"/>
      <c r="I285" s="64"/>
    </row>
    <row r="286" spans="1:9" ht="32.25" customHeight="1">
      <c r="A286" s="803">
        <v>14</v>
      </c>
      <c r="B286" s="804" t="s">
        <v>122</v>
      </c>
      <c r="C286" s="805" t="str">
        <f>IF(B291="","",INDEX(NXetHKI!$B$3:$CL$57,MATCH(InNXKI!B291,NXetHKI!$B$3:$B$57,0),INDEX($J$12:$K$25,MATCH($B286,$I$12:$I$25,0),J$11)))</f>
        <v/>
      </c>
      <c r="D286" s="1161" t="str">
        <f>IF(B291="","",INDEX(NXetHKI!$B$3:$CL$57,MATCH(InNXKI!B291,NXetHKI!$B$3:$B$57,0),INDEX($J$12:$K$25,MATCH($B286,$I$12:$I$25,0),K$11)))</f>
        <v/>
      </c>
      <c r="E286" s="1162"/>
      <c r="F286" s="805"/>
      <c r="H286" s="64"/>
    </row>
    <row r="287" spans="1:9" ht="12" customHeight="1"/>
    <row r="288" spans="1:9" ht="21.75" customHeight="1">
      <c r="D288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288" s="1163"/>
      <c r="F288" s="1163"/>
    </row>
    <row r="289" spans="1:9">
      <c r="D289" s="992" t="s">
        <v>377</v>
      </c>
      <c r="E289" s="992"/>
      <c r="F289" s="992"/>
    </row>
    <row r="290" spans="1:9" ht="81" customHeight="1">
      <c r="D290" s="923" t="str">
        <f>IF('Huong dan'!$E$5="","",'Huong dan'!$E$5)</f>
        <v/>
      </c>
      <c r="E290" s="923"/>
      <c r="F290" s="923"/>
    </row>
    <row r="291" spans="1:9">
      <c r="A291" s="811"/>
      <c r="B291" s="711">
        <f>IF(B262="","",IF(B262&lt;MAX(NXetHKI!$B$3:$B$57),B262+1,""))</f>
        <v>10</v>
      </c>
      <c r="C291" s="811"/>
      <c r="D291" s="1157"/>
      <c r="E291" s="1157"/>
      <c r="F291" s="1157"/>
    </row>
    <row r="292" spans="1:9" s="60" customFormat="1" ht="24.75" customHeight="1">
      <c r="A292" s="1128" t="str">
        <f>IF('Huong dan'!$E$3&lt;&gt;"","SỞ GIÁO DỤC VÀ ĐÀO TẠO "&amp;UPPER('Huong dan'!$E$3),"")</f>
        <v>SỞ GIÁO DỤC VÀ ĐÀO TẠO TP. HỒ CHÍ MINH</v>
      </c>
      <c r="B292" s="1128"/>
      <c r="C292" s="1128"/>
      <c r="D292" s="1128"/>
      <c r="E292" s="1129" t="s">
        <v>19</v>
      </c>
      <c r="F292" s="1129"/>
    </row>
    <row r="293" spans="1:9" ht="17.25" customHeight="1">
      <c r="A293" s="992" t="str">
        <f>IF('Huong dan'!$E$4&lt;&gt;"","TRƯỜNG "&amp;UPPER('Huong dan'!$E$4),"")</f>
        <v>TRƯỜNG THCS VÀ THPT NGUYỄN KHUYẾN</v>
      </c>
      <c r="B293" s="992"/>
      <c r="C293" s="992"/>
      <c r="D293" s="992"/>
      <c r="E293" s="1130" t="s">
        <v>179</v>
      </c>
      <c r="F293" s="1130"/>
    </row>
    <row r="294" spans="1:9" ht="20.25" customHeight="1">
      <c r="A294" s="69"/>
      <c r="B294" s="69"/>
      <c r="C294" s="30"/>
      <c r="D294" s="30"/>
    </row>
    <row r="295" spans="1:9" ht="28.5" customHeight="1">
      <c r="A295" s="1164" t="s">
        <v>567</v>
      </c>
      <c r="B295" s="1164"/>
      <c r="C295" s="1164"/>
      <c r="D295" s="1164"/>
      <c r="E295" s="1164"/>
      <c r="F295" s="1164"/>
    </row>
    <row r="296" spans="1:9" ht="24.75" customHeight="1">
      <c r="A296" s="1164" t="str">
        <f>"HỌC KỲ I NĂM HỌC "&amp;'Huong dan'!$C$5</f>
        <v>HỌC KỲ I NĂM HỌC 2021 - 2022</v>
      </c>
      <c r="B296" s="1164"/>
      <c r="C296" s="1164"/>
      <c r="D296" s="1164"/>
      <c r="E296" s="1164"/>
      <c r="F296" s="1164"/>
    </row>
    <row r="297" spans="1:9" ht="14.25" customHeight="1">
      <c r="A297" s="70"/>
      <c r="B297" s="66"/>
      <c r="C297" s="66"/>
      <c r="D297" s="66"/>
      <c r="E297" s="66"/>
      <c r="F297" s="66"/>
    </row>
    <row r="298" spans="1:9" ht="18.75" customHeight="1">
      <c r="A298" s="1158" t="s">
        <v>212</v>
      </c>
      <c r="B298" s="1158"/>
      <c r="C298" s="1158"/>
      <c r="D298" s="77" t="str">
        <f>IF(B320="","",INDEX(NXetHKI!$B$3:$CL$57,MATCH(InNXKI!B320,NXetHKI!$B$3:$B$57,0),3)&amp;" "&amp;INDEX(NXetHKI!$B$3:$CL$57,MATCH(InNXKI!B320,NXetHKI!$B$3:$B$57,0),4))</f>
        <v>Hồ Ngọc Hải</v>
      </c>
      <c r="E298" s="77"/>
      <c r="F298" s="77" t="str">
        <f>IF('Huong dan'!$C$3="","","Lớp: "&amp;'Huong dan'!$C$3)</f>
        <v>Lớp: 12A1</v>
      </c>
    </row>
    <row r="299" spans="1:9" ht="18.75" customHeight="1">
      <c r="A299" s="1158" t="s">
        <v>213</v>
      </c>
      <c r="B299" s="1158"/>
      <c r="C299" s="1158"/>
      <c r="D299" s="77" t="str">
        <f>INDEX(NXetHKI!$B$3:$CL$57,MATCH(InNXKI!B320,NXetHKI!$B$3:$B$57,0),5)</f>
        <v>25/10/2004</v>
      </c>
      <c r="E299" s="77"/>
      <c r="F299" s="841" t="str">
        <f>IF(B320="","","Nơi sinh: "&amp;INDEX(DiemHKI!$G$4:$G$58,MATCH(InNXKI!B320,DiemHKI!$B$4:$B$58,0),1))</f>
        <v>Nơi sinh: Quảng Ngãi</v>
      </c>
    </row>
    <row r="300" spans="1:9" ht="9.75" customHeight="1">
      <c r="A300" s="62"/>
      <c r="B300" s="62"/>
      <c r="C300" s="62"/>
      <c r="D300" s="62"/>
      <c r="E300" s="62"/>
      <c r="F300" s="62"/>
    </row>
    <row r="301" spans="1:9" ht="34.5" customHeight="1">
      <c r="A301" s="801" t="s">
        <v>0</v>
      </c>
      <c r="B301" s="801" t="s">
        <v>59</v>
      </c>
      <c r="C301" s="806" t="s">
        <v>360</v>
      </c>
      <c r="D301" s="1159" t="s">
        <v>568</v>
      </c>
      <c r="E301" s="1160"/>
      <c r="F301" s="802" t="s">
        <v>569</v>
      </c>
    </row>
    <row r="302" spans="1:9" ht="32.25" customHeight="1">
      <c r="A302" s="803" t="s">
        <v>191</v>
      </c>
      <c r="B302" s="804" t="s">
        <v>26</v>
      </c>
      <c r="C302" s="805">
        <f>IF(B320="","",INDEX(NXetHKI!$B$3:$CL$57,MATCH(InNXKI!B320,NXetHKI!$B$3:$B$57,0),INDEX($J$12:$K$25,MATCH($B302,$I$12:$I$25,0),J$11)))</f>
        <v>9.6</v>
      </c>
      <c r="D302" s="1161" t="str">
        <f>IF(B320="","",INDEX(NXetHKI!$B$3:$CL$57,MATCH(InNXKI!B320,NXetHKI!$B$3:$B$57,0),INDEX($J$12:$K$25,MATCH($B302,$I$12:$I$25,0),K$11)))</f>
        <v>Em học giỏi, chăm ngoan, tính tự giác cao, rất tốt.</v>
      </c>
      <c r="E302" s="1162"/>
      <c r="F302" s="805"/>
      <c r="H302" s="64"/>
      <c r="I302" s="64"/>
    </row>
    <row r="303" spans="1:9" ht="32.25" customHeight="1">
      <c r="A303" s="803" t="s">
        <v>192</v>
      </c>
      <c r="B303" s="804" t="s">
        <v>27</v>
      </c>
      <c r="C303" s="805">
        <f>IF(B320="","",INDEX(NXetHKI!$B$3:$CL$57,MATCH(InNXKI!B320,NXetHKI!$B$3:$B$57,0),INDEX($J$12:$K$25,MATCH($B303,$I$12:$I$25,0),J$11)))</f>
        <v>9.3000000000000007</v>
      </c>
      <c r="D303" s="1161" t="str">
        <f>IF(B320="","",INDEX(NXetHKI!$B$3:$CL$57,MATCH(InNXKI!B320,NXetHKI!$B$3:$B$57,0),INDEX($J$12:$K$25,MATCH($B303,$I$12:$I$25,0),K$11)))</f>
        <v>Em học giỏi, chăm ngoan, tính tự giác cao, rất tốt.</v>
      </c>
      <c r="E303" s="1162"/>
      <c r="F303" s="805"/>
      <c r="H303" s="64"/>
      <c r="I303" s="64"/>
    </row>
    <row r="304" spans="1:9" ht="32.25" customHeight="1">
      <c r="A304" s="803" t="s">
        <v>193</v>
      </c>
      <c r="B304" s="804" t="s">
        <v>28</v>
      </c>
      <c r="C304" s="805">
        <f>IF(B320="","",INDEX(NXetHKI!$B$3:$CL$57,MATCH(InNXKI!B320,NXetHKI!$B$3:$B$57,0),INDEX($J$12:$K$25,MATCH($B304,$I$12:$I$25,0),J$11)))</f>
        <v>8.9</v>
      </c>
      <c r="D304" s="1161" t="str">
        <f>IF(B320="","",INDEX(NXetHKI!$B$3:$CL$57,MATCH(InNXKI!B320,NXetHKI!$B$3:$B$57,0),INDEX($J$12:$K$25,MATCH($B304,$I$12:$I$25,0),K$11)))</f>
        <v>Kiến thức vững, ngoan, tự học tốt.</v>
      </c>
      <c r="E304" s="1162"/>
      <c r="F304" s="805"/>
      <c r="H304" s="64"/>
      <c r="I304" s="64"/>
    </row>
    <row r="305" spans="1:9" ht="32.25" customHeight="1">
      <c r="A305" s="803" t="s">
        <v>194</v>
      </c>
      <c r="B305" s="804" t="s">
        <v>29</v>
      </c>
      <c r="C305" s="805">
        <f>IF(B320="","",INDEX(NXetHKI!$B$3:$CL$57,MATCH(InNXKI!B320,NXetHKI!$B$3:$B$57,0),INDEX($J$12:$K$25,MATCH($B305,$I$12:$I$25,0),J$11)))</f>
        <v>9.4</v>
      </c>
      <c r="D305" s="1161" t="str">
        <f>IF(B320="","",INDEX(NXetHKI!$B$3:$CL$57,MATCH(InNXKI!B320,NXetHKI!$B$3:$B$57,0),INDEX($J$12:$K$25,MATCH($B305,$I$12:$I$25,0),K$11)))</f>
        <v>Có khả năng tự học và tự chủ bản thân, tích cực trong học tập.</v>
      </c>
      <c r="E305" s="1162"/>
      <c r="F305" s="805"/>
      <c r="H305" s="64"/>
      <c r="I305" s="64"/>
    </row>
    <row r="306" spans="1:9" ht="32.25" customHeight="1">
      <c r="A306" s="803" t="s">
        <v>195</v>
      </c>
      <c r="B306" s="804" t="s">
        <v>120</v>
      </c>
      <c r="C306" s="805">
        <f>IF(B320="","",INDEX(NXetHKI!$B$3:$CL$57,MATCH(InNXKI!B320,NXetHKI!$B$3:$B$57,0),INDEX($J$12:$K$25,MATCH($B306,$I$12:$I$25,0),J$11)))</f>
        <v>9.6</v>
      </c>
      <c r="D306" s="1161" t="str">
        <f>IF(B320="","",INDEX(NXetHKI!$B$3:$CL$57,MATCH(InNXKI!B320,NXetHKI!$B$3:$B$57,0),INDEX($J$12:$K$25,MATCH($B306,$I$12:$I$25,0),K$11)))</f>
        <v>Ngoan, chăm chỉ, tư duy tốt.</v>
      </c>
      <c r="E306" s="1162"/>
      <c r="F306" s="805"/>
      <c r="H306" s="64"/>
      <c r="I306" s="64"/>
    </row>
    <row r="307" spans="1:9" ht="32.25" customHeight="1">
      <c r="A307" s="803" t="s">
        <v>196</v>
      </c>
      <c r="B307" s="804" t="s">
        <v>30</v>
      </c>
      <c r="C307" s="805">
        <f>IF(B320="","",INDEX(NXetHKI!$B$3:$CL$57,MATCH(InNXKI!B320,NXetHKI!$B$3:$B$57,0),INDEX($J$12:$K$25,MATCH($B307,$I$12:$I$25,0),J$11)))</f>
        <v>7.1</v>
      </c>
      <c r="D307" s="1161" t="str">
        <f>IF(B320="","",INDEX(NXetHKI!$B$3:$CL$57,MATCH(InNXKI!B320,NXetHKI!$B$3:$B$57,0),INDEX($J$12:$K$25,MATCH($B307,$I$12:$I$25,0),K$11)))</f>
        <v>Có ý thức học tập tốt, cần nỗ lực rèn luyện thêm các kỹ năng.</v>
      </c>
      <c r="E307" s="1162"/>
      <c r="F307" s="805"/>
      <c r="H307" s="64"/>
      <c r="I307" s="64"/>
    </row>
    <row r="308" spans="1:9" ht="32.25" customHeight="1">
      <c r="A308" s="803" t="s">
        <v>197</v>
      </c>
      <c r="B308" s="804" t="s">
        <v>31</v>
      </c>
      <c r="C308" s="805">
        <f>IF(B320="","",INDEX(NXetHKI!$B$3:$CL$57,MATCH(InNXKI!B320,NXetHKI!$B$3:$B$57,0),INDEX($J$12:$K$25,MATCH($B308,$I$12:$I$25,0),J$11)))</f>
        <v>9.6</v>
      </c>
      <c r="D308" s="1161" t="str">
        <f>IF(B320="","",INDEX(NXetHKI!$B$3:$CL$57,MATCH(InNXKI!B320,NXetHKI!$B$3:$B$57,0),INDEX($J$12:$K$25,MATCH($B308,$I$12:$I$25,0),K$11)))</f>
        <v>Tiếp thu bài tốt, ghi nhớ nhanh các sự kiện lịch sử.</v>
      </c>
      <c r="E308" s="1162"/>
      <c r="F308" s="805"/>
      <c r="H308" s="64"/>
      <c r="I308" s="64"/>
    </row>
    <row r="309" spans="1:9" ht="32.25" customHeight="1">
      <c r="A309" s="803" t="s">
        <v>198</v>
      </c>
      <c r="B309" s="804" t="s">
        <v>32</v>
      </c>
      <c r="C309" s="805">
        <f>IF(B320="","",INDEX(NXetHKI!$B$3:$CL$57,MATCH(InNXKI!B320,NXetHKI!$B$3:$B$57,0),INDEX($J$12:$K$25,MATCH($B309,$I$12:$I$25,0),J$11)))</f>
        <v>9.3000000000000007</v>
      </c>
      <c r="D309" s="1161" t="str">
        <f>IF(B320="","",INDEX(NXetHKI!$B$3:$CL$57,MATCH(InNXKI!B320,NXetHKI!$B$3:$B$57,0),INDEX($J$12:$K$25,MATCH($B309,$I$12:$I$25,0),K$11)))</f>
        <v>Em có tư duy tốt, rất tích cực, giải quyết vấn đề tốt.</v>
      </c>
      <c r="E309" s="1162"/>
      <c r="F309" s="805"/>
      <c r="H309" s="64"/>
      <c r="I309" s="64"/>
    </row>
    <row r="310" spans="1:9" ht="32.25" customHeight="1">
      <c r="A310" s="803" t="s">
        <v>199</v>
      </c>
      <c r="B310" s="804" t="s">
        <v>33</v>
      </c>
      <c r="C310" s="805">
        <f>IF(B320="","",INDEX(NXetHKI!$B$3:$CL$57,MATCH(InNXKI!B320,NXetHKI!$B$3:$B$57,0),INDEX($J$12:$K$25,MATCH($B310,$I$12:$I$25,0),J$11)))</f>
        <v>9.3000000000000007</v>
      </c>
      <c r="D310" s="1161" t="str">
        <f>IF(B320="","",INDEX(NXetHKI!$B$3:$CL$57,MATCH(InNXKI!B320,NXetHKI!$B$3:$B$57,0),INDEX($J$12:$K$25,MATCH($B310,$I$12:$I$25,0),K$11)))</f>
        <v>Chăm chỉ, chuyên cần, rất tích cực và năng động.</v>
      </c>
      <c r="E310" s="1162"/>
      <c r="F310" s="805"/>
      <c r="H310" s="64"/>
      <c r="I310" s="64"/>
    </row>
    <row r="311" spans="1:9" ht="32.25" customHeight="1">
      <c r="A311" s="803" t="s">
        <v>200</v>
      </c>
      <c r="B311" s="804" t="s">
        <v>60</v>
      </c>
      <c r="C311" s="805">
        <f>IF(B320="","",INDEX(NXetHKI!$B$3:$CL$57,MATCH(InNXKI!B320,NXetHKI!$B$3:$B$57,0),INDEX($J$12:$K$25,MATCH($B311,$I$12:$I$25,0),J$11)))</f>
        <v>9.1</v>
      </c>
      <c r="D311" s="1161" t="str">
        <f>IF(B320="","",INDEX(NXetHKI!$B$3:$CL$57,MATCH(InNXKI!B320,NXetHKI!$B$3:$B$57,0),INDEX($J$12:$K$25,MATCH($B311,$I$12:$I$25,0),K$11)))</f>
        <v>Chăm chỉ, học giỏi.</v>
      </c>
      <c r="E311" s="1162"/>
      <c r="F311" s="805"/>
      <c r="H311" s="64"/>
      <c r="I311" s="64"/>
    </row>
    <row r="312" spans="1:9" ht="32.25" customHeight="1">
      <c r="A312" s="803" t="s">
        <v>201</v>
      </c>
      <c r="B312" s="804" t="s">
        <v>34</v>
      </c>
      <c r="C312" s="805">
        <f>IF(B320="","",INDEX(NXetHKI!$B$3:$CL$57,MATCH(InNXKI!B320,NXetHKI!$B$3:$B$57,0),INDEX($J$12:$K$25,MATCH($B312,$I$12:$I$25,0),J$11)))</f>
        <v>9.9</v>
      </c>
      <c r="D312" s="1161" t="str">
        <f>IF(B320="","",INDEX(NXetHKI!$B$3:$CL$57,MATCH(InNXKI!B320,NXetHKI!$B$3:$B$57,0),INDEX($J$12:$K$25,MATCH($B312,$I$12:$I$25,0),K$11)))</f>
        <v>Năng động, sáng tạo trong học tập.</v>
      </c>
      <c r="E312" s="1162"/>
      <c r="F312" s="805"/>
      <c r="H312" s="64"/>
      <c r="I312" s="64"/>
    </row>
    <row r="313" spans="1:9" ht="32.25" customHeight="1">
      <c r="A313" s="803" t="s">
        <v>202</v>
      </c>
      <c r="B313" s="804" t="s">
        <v>35</v>
      </c>
      <c r="C313" s="805" t="str">
        <f>IF(B320="","",INDEX(NXetHKI!$B$3:$CL$57,MATCH(InNXKI!B320,NXetHKI!$B$3:$B$57,0),INDEX($J$12:$K$25,MATCH($B313,$I$12:$I$25,0),J$11)))</f>
        <v>Đ</v>
      </c>
      <c r="D313" s="1161" t="str">
        <f>IF(B320="","",INDEX(NXetHKI!$B$3:$CL$57,MATCH(InNXKI!B320,NXetHKI!$B$3:$B$57,0),INDEX($J$12:$K$25,MATCH($B313,$I$12:$I$25,0),K$11)))</f>
        <v>Giỏi, có nhiều tiến bộ trong học tập.</v>
      </c>
      <c r="E313" s="1162"/>
      <c r="F313" s="805"/>
      <c r="H313" s="64"/>
      <c r="I313" s="64"/>
    </row>
    <row r="314" spans="1:9" ht="32.25" customHeight="1">
      <c r="A314" s="803" t="s">
        <v>203</v>
      </c>
      <c r="B314" s="804" t="s">
        <v>121</v>
      </c>
      <c r="C314" s="805">
        <f>IF(B320="","",INDEX(NXetHKI!$B$3:$CL$57,MATCH(InNXKI!B320,NXetHKI!$B$3:$B$57,0),INDEX($J$12:$K$25,MATCH($B314,$I$12:$I$25,0),J$11)))</f>
        <v>9.4</v>
      </c>
      <c r="D314" s="1161" t="str">
        <f>IF(B320="","",INDEX(NXetHKI!$B$3:$CL$57,MATCH(InNXKI!B320,NXetHKI!$B$3:$B$57,0),INDEX($J$12:$K$25,MATCH($B314,$I$12:$I$25,0),K$11)))</f>
        <v>Tích cực, năng động, nắm bài tốt, học giỏi.</v>
      </c>
      <c r="E314" s="1162"/>
      <c r="F314" s="805"/>
      <c r="H314" s="64"/>
      <c r="I314" s="64"/>
    </row>
    <row r="315" spans="1:9" ht="32.25" customHeight="1">
      <c r="A315" s="803">
        <v>14</v>
      </c>
      <c r="B315" s="804" t="s">
        <v>122</v>
      </c>
      <c r="C315" s="805" t="str">
        <f>IF(B320="","",INDEX(NXetHKI!$B$3:$CL$57,MATCH(InNXKI!B320,NXetHKI!$B$3:$B$57,0),INDEX($J$12:$K$25,MATCH($B315,$I$12:$I$25,0),J$11)))</f>
        <v/>
      </c>
      <c r="D315" s="1161" t="str">
        <f>IF(B320="","",INDEX(NXetHKI!$B$3:$CL$57,MATCH(InNXKI!B320,NXetHKI!$B$3:$B$57,0),INDEX($J$12:$K$25,MATCH($B315,$I$12:$I$25,0),K$11)))</f>
        <v/>
      </c>
      <c r="E315" s="1162"/>
      <c r="F315" s="805"/>
      <c r="H315" s="64"/>
    </row>
    <row r="316" spans="1:9" ht="12" customHeight="1"/>
    <row r="317" spans="1:9" ht="21.75" customHeight="1">
      <c r="D317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317" s="1163"/>
      <c r="F317" s="1163"/>
    </row>
    <row r="318" spans="1:9">
      <c r="D318" s="992" t="s">
        <v>377</v>
      </c>
      <c r="E318" s="992"/>
      <c r="F318" s="992"/>
    </row>
    <row r="319" spans="1:9" ht="81" customHeight="1">
      <c r="D319" s="923" t="str">
        <f>IF('Huong dan'!$E$5="","",'Huong dan'!$E$5)</f>
        <v/>
      </c>
      <c r="E319" s="923"/>
      <c r="F319" s="923"/>
    </row>
    <row r="320" spans="1:9">
      <c r="A320" s="811"/>
      <c r="B320" s="711">
        <f>IF(B291="","",IF(B291&lt;MAX(NXetHKI!$B$3:$B$57),B291+1,""))</f>
        <v>11</v>
      </c>
      <c r="C320" s="811"/>
      <c r="D320" s="1157"/>
      <c r="E320" s="1157"/>
      <c r="F320" s="1157"/>
    </row>
    <row r="321" spans="1:9" s="60" customFormat="1" ht="24.75" customHeight="1">
      <c r="A321" s="1128" t="str">
        <f>IF('Huong dan'!$E$3&lt;&gt;"","SỞ GIÁO DỤC VÀ ĐÀO TẠO "&amp;UPPER('Huong dan'!$E$3),"")</f>
        <v>SỞ GIÁO DỤC VÀ ĐÀO TẠO TP. HỒ CHÍ MINH</v>
      </c>
      <c r="B321" s="1128"/>
      <c r="C321" s="1128"/>
      <c r="D321" s="1128"/>
      <c r="E321" s="1129" t="s">
        <v>19</v>
      </c>
      <c r="F321" s="1129"/>
    </row>
    <row r="322" spans="1:9" ht="17.25" customHeight="1">
      <c r="A322" s="992" t="str">
        <f>IF('Huong dan'!$E$4&lt;&gt;"","TRƯỜNG "&amp;UPPER('Huong dan'!$E$4),"")</f>
        <v>TRƯỜNG THCS VÀ THPT NGUYỄN KHUYẾN</v>
      </c>
      <c r="B322" s="992"/>
      <c r="C322" s="992"/>
      <c r="D322" s="992"/>
      <c r="E322" s="1130" t="s">
        <v>179</v>
      </c>
      <c r="F322" s="1130"/>
    </row>
    <row r="323" spans="1:9" ht="20.25" customHeight="1">
      <c r="A323" s="69"/>
      <c r="B323" s="69"/>
      <c r="C323" s="30"/>
      <c r="D323" s="30"/>
    </row>
    <row r="324" spans="1:9" ht="28.5" customHeight="1">
      <c r="A324" s="1164" t="s">
        <v>567</v>
      </c>
      <c r="B324" s="1164"/>
      <c r="C324" s="1164"/>
      <c r="D324" s="1164"/>
      <c r="E324" s="1164"/>
      <c r="F324" s="1164"/>
    </row>
    <row r="325" spans="1:9" ht="24.75" customHeight="1">
      <c r="A325" s="1164" t="str">
        <f>"HỌC KỲ I NĂM HỌC "&amp;'Huong dan'!$C$5</f>
        <v>HỌC KỲ I NĂM HỌC 2021 - 2022</v>
      </c>
      <c r="B325" s="1164"/>
      <c r="C325" s="1164"/>
      <c r="D325" s="1164"/>
      <c r="E325" s="1164"/>
      <c r="F325" s="1164"/>
    </row>
    <row r="326" spans="1:9" ht="14.25" customHeight="1">
      <c r="A326" s="70"/>
      <c r="B326" s="66"/>
      <c r="C326" s="66"/>
      <c r="D326" s="66"/>
      <c r="E326" s="66"/>
      <c r="F326" s="66"/>
    </row>
    <row r="327" spans="1:9" ht="18.75" customHeight="1">
      <c r="A327" s="1158" t="s">
        <v>212</v>
      </c>
      <c r="B327" s="1158"/>
      <c r="C327" s="1158"/>
      <c r="D327" s="77" t="str">
        <f>IF(B349="","",INDEX(NXetHKI!$B$3:$CL$57,MATCH(InNXKI!B349,NXetHKI!$B$3:$B$57,0),3)&amp;" "&amp;INDEX(NXetHKI!$B$3:$CL$57,MATCH(InNXKI!B349,NXetHKI!$B$3:$B$57,0),4))</f>
        <v>Hồ Sơn Hậu</v>
      </c>
      <c r="E327" s="77"/>
      <c r="F327" s="77" t="str">
        <f>IF('Huong dan'!$C$3="","","Lớp: "&amp;'Huong dan'!$C$3)</f>
        <v>Lớp: 12A1</v>
      </c>
    </row>
    <row r="328" spans="1:9" ht="18.75" customHeight="1">
      <c r="A328" s="1158" t="s">
        <v>213</v>
      </c>
      <c r="B328" s="1158"/>
      <c r="C328" s="1158"/>
      <c r="D328" s="77" t="str">
        <f>INDEX(NXetHKI!$B$3:$CL$57,MATCH(InNXKI!B349,NXetHKI!$B$3:$B$57,0),5)</f>
        <v>08/01/2004</v>
      </c>
      <c r="E328" s="77"/>
      <c r="F328" s="841" t="str">
        <f>IF(B349="","","Nơi sinh: "&amp;INDEX(DiemHKI!$G$4:$G$58,MATCH(InNXKI!B349,DiemHKI!$B$4:$B$58,0),1))</f>
        <v>Nơi sinh: Bến Tre</v>
      </c>
    </row>
    <row r="329" spans="1:9" ht="9.75" customHeight="1">
      <c r="A329" s="62"/>
      <c r="B329" s="62"/>
      <c r="C329" s="62"/>
      <c r="D329" s="62"/>
      <c r="E329" s="62"/>
      <c r="F329" s="62"/>
    </row>
    <row r="330" spans="1:9" ht="34.5" customHeight="1">
      <c r="A330" s="801" t="s">
        <v>0</v>
      </c>
      <c r="B330" s="801" t="s">
        <v>59</v>
      </c>
      <c r="C330" s="806" t="s">
        <v>360</v>
      </c>
      <c r="D330" s="1159" t="s">
        <v>568</v>
      </c>
      <c r="E330" s="1160"/>
      <c r="F330" s="802" t="s">
        <v>569</v>
      </c>
    </row>
    <row r="331" spans="1:9" ht="32.25" customHeight="1">
      <c r="A331" s="803" t="s">
        <v>191</v>
      </c>
      <c r="B331" s="804" t="s">
        <v>26</v>
      </c>
      <c r="C331" s="805">
        <f>IF(B349="","",INDEX(NXetHKI!$B$3:$CL$57,MATCH(InNXKI!B349,NXetHKI!$B$3:$B$57,0),INDEX($J$12:$K$25,MATCH($B331,$I$12:$I$25,0),J$11)))</f>
        <v>9.4</v>
      </c>
      <c r="D331" s="1161" t="str">
        <f>IF(B349="","",INDEX(NXetHKI!$B$3:$CL$57,MATCH(InNXKI!B349,NXetHKI!$B$3:$B$57,0),INDEX($J$12:$K$25,MATCH($B331,$I$12:$I$25,0),K$11)))</f>
        <v>Em ngoan, tích cực, năng động, rất đáng khen.</v>
      </c>
      <c r="E331" s="1162"/>
      <c r="F331" s="805"/>
      <c r="H331" s="64"/>
      <c r="I331" s="64"/>
    </row>
    <row r="332" spans="1:9" ht="32.25" customHeight="1">
      <c r="A332" s="803" t="s">
        <v>192</v>
      </c>
      <c r="B332" s="804" t="s">
        <v>27</v>
      </c>
      <c r="C332" s="805">
        <f>IF(B349="","",INDEX(NXetHKI!$B$3:$CL$57,MATCH(InNXKI!B349,NXetHKI!$B$3:$B$57,0),INDEX($J$12:$K$25,MATCH($B332,$I$12:$I$25,0),J$11)))</f>
        <v>9.6</v>
      </c>
      <c r="D332" s="1161" t="str">
        <f>IF(B349="","",INDEX(NXetHKI!$B$3:$CL$57,MATCH(InNXKI!B349,NXetHKI!$B$3:$B$57,0),INDEX($J$12:$K$25,MATCH($B332,$I$12:$I$25,0),K$11)))</f>
        <v>Em ngoan, tích cực, năng động, rất đáng khen.</v>
      </c>
      <c r="E332" s="1162"/>
      <c r="F332" s="805"/>
      <c r="H332" s="64"/>
      <c r="I332" s="64"/>
    </row>
    <row r="333" spans="1:9" ht="32.25" customHeight="1">
      <c r="A333" s="803" t="s">
        <v>193</v>
      </c>
      <c r="B333" s="804" t="s">
        <v>28</v>
      </c>
      <c r="C333" s="805">
        <f>IF(B349="","",INDEX(NXetHKI!$B$3:$CL$57,MATCH(InNXKI!B349,NXetHKI!$B$3:$B$57,0),INDEX($J$12:$K$25,MATCH($B333,$I$12:$I$25,0),J$11)))</f>
        <v>9.1</v>
      </c>
      <c r="D333" s="1161" t="str">
        <f>IF(B349="","",INDEX(NXetHKI!$B$3:$CL$57,MATCH(InNXKI!B349,NXetHKI!$B$3:$B$57,0),INDEX($J$12:$K$25,MATCH($B333,$I$12:$I$25,0),K$11)))</f>
        <v>Kiến thức vững, sáng tạo, tự học tốt.</v>
      </c>
      <c r="E333" s="1162"/>
      <c r="F333" s="805"/>
      <c r="H333" s="64"/>
      <c r="I333" s="64"/>
    </row>
    <row r="334" spans="1:9" ht="32.25" customHeight="1">
      <c r="A334" s="803" t="s">
        <v>194</v>
      </c>
      <c r="B334" s="804" t="s">
        <v>29</v>
      </c>
      <c r="C334" s="805">
        <f>IF(B349="","",INDEX(NXetHKI!$B$3:$CL$57,MATCH(InNXKI!B349,NXetHKI!$B$3:$B$57,0),INDEX($J$12:$K$25,MATCH($B334,$I$12:$I$25,0),J$11)))</f>
        <v>9.1</v>
      </c>
      <c r="D334" s="1161" t="str">
        <f>IF(B349="","",INDEX(NXetHKI!$B$3:$CL$57,MATCH(InNXKI!B349,NXetHKI!$B$3:$B$57,0),INDEX($J$12:$K$25,MATCH($B334,$I$12:$I$25,0),K$11)))</f>
        <v>Ý thức học tập tốt, vận dụng tốt kiến thức học tập</v>
      </c>
      <c r="E334" s="1162"/>
      <c r="F334" s="805"/>
      <c r="H334" s="64"/>
      <c r="I334" s="64"/>
    </row>
    <row r="335" spans="1:9" ht="32.25" customHeight="1">
      <c r="A335" s="803" t="s">
        <v>195</v>
      </c>
      <c r="B335" s="804" t="s">
        <v>120</v>
      </c>
      <c r="C335" s="805">
        <f>IF(B349="","",INDEX(NXetHKI!$B$3:$CL$57,MATCH(InNXKI!B349,NXetHKI!$B$3:$B$57,0),INDEX($J$12:$K$25,MATCH($B335,$I$12:$I$25,0),J$11)))</f>
        <v>9.6</v>
      </c>
      <c r="D335" s="1161" t="str">
        <f>IF(B349="","",INDEX(NXetHKI!$B$3:$CL$57,MATCH(InNXKI!B349,NXetHKI!$B$3:$B$57,0),INDEX($J$12:$K$25,MATCH($B335,$I$12:$I$25,0),K$11)))</f>
        <v>Học giỏi, năng động và sáng tạo trong học tập.</v>
      </c>
      <c r="E335" s="1162"/>
      <c r="F335" s="805"/>
      <c r="H335" s="64"/>
      <c r="I335" s="64"/>
    </row>
    <row r="336" spans="1:9" ht="32.25" customHeight="1">
      <c r="A336" s="803" t="s">
        <v>196</v>
      </c>
      <c r="B336" s="804" t="s">
        <v>30</v>
      </c>
      <c r="C336" s="805">
        <f>IF(B349="","",INDEX(NXetHKI!$B$3:$CL$57,MATCH(InNXKI!B349,NXetHKI!$B$3:$B$57,0),INDEX($J$12:$K$25,MATCH($B336,$I$12:$I$25,0),J$11)))</f>
        <v>7.4</v>
      </c>
      <c r="D336" s="1161" t="str">
        <f>IF(B349="","",INDEX(NXetHKI!$B$3:$CL$57,MATCH(InNXKI!B349,NXetHKI!$B$3:$B$57,0),INDEX($J$12:$K$25,MATCH($B336,$I$12:$I$25,0),K$11)))</f>
        <v>Cần tích cực rèn thêm kỹ năng đọc, viết.</v>
      </c>
      <c r="E336" s="1162"/>
      <c r="F336" s="805"/>
      <c r="H336" s="64"/>
      <c r="I336" s="64"/>
    </row>
    <row r="337" spans="1:9" ht="32.25" customHeight="1">
      <c r="A337" s="803" t="s">
        <v>197</v>
      </c>
      <c r="B337" s="804" t="s">
        <v>31</v>
      </c>
      <c r="C337" s="805">
        <f>IF(B349="","",INDEX(NXetHKI!$B$3:$CL$57,MATCH(InNXKI!B349,NXetHKI!$B$3:$B$57,0),INDEX($J$12:$K$25,MATCH($B337,$I$12:$I$25,0),J$11)))</f>
        <v>9.8000000000000007</v>
      </c>
      <c r="D337" s="1161" t="str">
        <f>IF(B349="","",INDEX(NXetHKI!$B$3:$CL$57,MATCH(InNXKI!B349,NXetHKI!$B$3:$B$57,0),INDEX($J$12:$K$25,MATCH($B337,$I$12:$I$25,0),K$11)))</f>
        <v>Chăm học, tích cực phát biểu xây dựng bài.</v>
      </c>
      <c r="E337" s="1162"/>
      <c r="F337" s="805"/>
      <c r="H337" s="64"/>
      <c r="I337" s="64"/>
    </row>
    <row r="338" spans="1:9" ht="32.25" customHeight="1">
      <c r="A338" s="803" t="s">
        <v>198</v>
      </c>
      <c r="B338" s="804" t="s">
        <v>32</v>
      </c>
      <c r="C338" s="805">
        <f>IF(B349="","",INDEX(NXetHKI!$B$3:$CL$57,MATCH(InNXKI!B349,NXetHKI!$B$3:$B$57,0),INDEX($J$12:$K$25,MATCH($B338,$I$12:$I$25,0),J$11)))</f>
        <v>9.9</v>
      </c>
      <c r="D338" s="1161" t="str">
        <f>IF(B349="","",INDEX(NXetHKI!$B$3:$CL$57,MATCH(InNXKI!B349,NXetHKI!$B$3:$B$57,0),INDEX($J$12:$K$25,MATCH($B338,$I$12:$I$25,0),K$11)))</f>
        <v>Em có tư duy tốt, tích cực, vận dụng thực tế tốt.</v>
      </c>
      <c r="E338" s="1162"/>
      <c r="F338" s="805"/>
      <c r="H338" s="64"/>
      <c r="I338" s="64"/>
    </row>
    <row r="339" spans="1:9" ht="32.25" customHeight="1">
      <c r="A339" s="803" t="s">
        <v>199</v>
      </c>
      <c r="B339" s="804" t="s">
        <v>33</v>
      </c>
      <c r="C339" s="805">
        <f>IF(B349="","",INDEX(NXetHKI!$B$3:$CL$57,MATCH(InNXKI!B349,NXetHKI!$B$3:$B$57,0),INDEX($J$12:$K$25,MATCH($B339,$I$12:$I$25,0),J$11)))</f>
        <v>7.6</v>
      </c>
      <c r="D339" s="1161" t="str">
        <f>IF(B349="","",INDEX(NXetHKI!$B$3:$CL$57,MATCH(InNXKI!B349,NXetHKI!$B$3:$B$57,0),INDEX($J$12:$K$25,MATCH($B339,$I$12:$I$25,0),K$11)))</f>
        <v>Biết sử dụng vốn từ phong phú để viết thành câu, đoạn văn ngắn.</v>
      </c>
      <c r="E339" s="1162"/>
      <c r="F339" s="805"/>
      <c r="H339" s="64"/>
      <c r="I339" s="64"/>
    </row>
    <row r="340" spans="1:9" ht="32.25" customHeight="1">
      <c r="A340" s="803" t="s">
        <v>200</v>
      </c>
      <c r="B340" s="804" t="s">
        <v>60</v>
      </c>
      <c r="C340" s="805">
        <f>IF(B349="","",INDEX(NXetHKI!$B$3:$CL$57,MATCH(InNXKI!B349,NXetHKI!$B$3:$B$57,0),INDEX($J$12:$K$25,MATCH($B340,$I$12:$I$25,0),J$11)))</f>
        <v>9.1</v>
      </c>
      <c r="D340" s="1161" t="str">
        <f>IF(B349="","",INDEX(NXetHKI!$B$3:$CL$57,MATCH(InNXKI!B349,NXetHKI!$B$3:$B$57,0),INDEX($J$12:$K$25,MATCH($B340,$I$12:$I$25,0),K$11)))</f>
        <v>Hứng thú, tích cực, học giỏi.</v>
      </c>
      <c r="E340" s="1162"/>
      <c r="F340" s="805"/>
      <c r="H340" s="64"/>
      <c r="I340" s="64"/>
    </row>
    <row r="341" spans="1:9" ht="32.25" customHeight="1">
      <c r="A341" s="803" t="s">
        <v>201</v>
      </c>
      <c r="B341" s="804" t="s">
        <v>34</v>
      </c>
      <c r="C341" s="805">
        <f>IF(B349="","",INDEX(NXetHKI!$B$3:$CL$57,MATCH(InNXKI!B349,NXetHKI!$B$3:$B$57,0),INDEX($J$12:$K$25,MATCH($B341,$I$12:$I$25,0),J$11)))</f>
        <v>9.9</v>
      </c>
      <c r="D341" s="1161" t="str">
        <f>IF(B349="","",INDEX(NXetHKI!$B$3:$CL$57,MATCH(InNXKI!B349,NXetHKI!$B$3:$B$57,0),INDEX($J$12:$K$25,MATCH($B341,$I$12:$I$25,0),K$11)))</f>
        <v>Học giỏi, tiếp thu nhanh, chăm ngoan.</v>
      </c>
      <c r="E341" s="1162"/>
      <c r="F341" s="805"/>
      <c r="H341" s="64"/>
      <c r="I341" s="64"/>
    </row>
    <row r="342" spans="1:9" ht="32.25" customHeight="1">
      <c r="A342" s="803" t="s">
        <v>202</v>
      </c>
      <c r="B342" s="804" t="s">
        <v>35</v>
      </c>
      <c r="C342" s="805" t="str">
        <f>IF(B349="","",INDEX(NXetHKI!$B$3:$CL$57,MATCH(InNXKI!B349,NXetHKI!$B$3:$B$57,0),INDEX($J$12:$K$25,MATCH($B342,$I$12:$I$25,0),J$11)))</f>
        <v>Đ</v>
      </c>
      <c r="D342" s="1161" t="str">
        <f>IF(B349="","",INDEX(NXetHKI!$B$3:$CL$57,MATCH(InNXKI!B349,NXetHKI!$B$3:$B$57,0),INDEX($J$12:$K$25,MATCH($B342,$I$12:$I$25,0),K$11)))</f>
        <v>Rất ngoan, học có hiệu quả tốt.</v>
      </c>
      <c r="E342" s="1162"/>
      <c r="F342" s="805"/>
      <c r="H342" s="64"/>
      <c r="I342" s="64"/>
    </row>
    <row r="343" spans="1:9" ht="32.25" customHeight="1">
      <c r="A343" s="803" t="s">
        <v>203</v>
      </c>
      <c r="B343" s="804" t="s">
        <v>121</v>
      </c>
      <c r="C343" s="805">
        <f>IF(B349="","",INDEX(NXetHKI!$B$3:$CL$57,MATCH(InNXKI!B349,NXetHKI!$B$3:$B$57,0),INDEX($J$12:$K$25,MATCH($B343,$I$12:$I$25,0),J$11)))</f>
        <v>9.9</v>
      </c>
      <c r="D343" s="1161" t="str">
        <f>IF(B349="","",INDEX(NXetHKI!$B$3:$CL$57,MATCH(InNXKI!B349,NXetHKI!$B$3:$B$57,0),INDEX($J$12:$K$25,MATCH($B343,$I$12:$I$25,0),K$11)))</f>
        <v>Ngoan, tích cực xây dựng bài, nắm chắc thực hành, học giỏi.</v>
      </c>
      <c r="E343" s="1162"/>
      <c r="F343" s="805"/>
      <c r="H343" s="64"/>
      <c r="I343" s="64"/>
    </row>
    <row r="344" spans="1:9" ht="32.25" customHeight="1">
      <c r="A344" s="803">
        <v>14</v>
      </c>
      <c r="B344" s="804" t="s">
        <v>122</v>
      </c>
      <c r="C344" s="805" t="str">
        <f>IF(B349="","",INDEX(NXetHKI!$B$3:$CL$57,MATCH(InNXKI!B349,NXetHKI!$B$3:$B$57,0),INDEX($J$12:$K$25,MATCH($B344,$I$12:$I$25,0),J$11)))</f>
        <v/>
      </c>
      <c r="D344" s="1161" t="str">
        <f>IF(B349="","",INDEX(NXetHKI!$B$3:$CL$57,MATCH(InNXKI!B349,NXetHKI!$B$3:$B$57,0),INDEX($J$12:$K$25,MATCH($B344,$I$12:$I$25,0),K$11)))</f>
        <v/>
      </c>
      <c r="E344" s="1162"/>
      <c r="F344" s="805"/>
      <c r="H344" s="64"/>
    </row>
    <row r="345" spans="1:9" ht="12" customHeight="1"/>
    <row r="346" spans="1:9" ht="21.75" customHeight="1">
      <c r="D346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346" s="1163"/>
      <c r="F346" s="1163"/>
    </row>
    <row r="347" spans="1:9">
      <c r="D347" s="992" t="s">
        <v>377</v>
      </c>
      <c r="E347" s="992"/>
      <c r="F347" s="992"/>
    </row>
    <row r="348" spans="1:9" ht="81" customHeight="1">
      <c r="D348" s="923" t="str">
        <f>IF('Huong dan'!$E$5="","",'Huong dan'!$E$5)</f>
        <v/>
      </c>
      <c r="E348" s="923"/>
      <c r="F348" s="923"/>
    </row>
    <row r="349" spans="1:9">
      <c r="A349" s="811"/>
      <c r="B349" s="711">
        <f>IF(B320="","",IF(B320&lt;MAX(NXetHKI!$B$3:$B$57),B320+1,""))</f>
        <v>12</v>
      </c>
      <c r="C349" s="811"/>
      <c r="D349" s="1157"/>
      <c r="E349" s="1157"/>
      <c r="F349" s="1157"/>
    </row>
    <row r="350" spans="1:9" s="60" customFormat="1" ht="24.75" customHeight="1">
      <c r="A350" s="1128" t="str">
        <f>IF('Huong dan'!$E$3&lt;&gt;"","SỞ GIÁO DỤC VÀ ĐÀO TẠO "&amp;UPPER('Huong dan'!$E$3),"")</f>
        <v>SỞ GIÁO DỤC VÀ ĐÀO TẠO TP. HỒ CHÍ MINH</v>
      </c>
      <c r="B350" s="1128"/>
      <c r="C350" s="1128"/>
      <c r="D350" s="1128"/>
      <c r="E350" s="1129" t="s">
        <v>19</v>
      </c>
      <c r="F350" s="1129"/>
    </row>
    <row r="351" spans="1:9" ht="17.25" customHeight="1">
      <c r="A351" s="992" t="str">
        <f>IF('Huong dan'!$E$4&lt;&gt;"","TRƯỜNG "&amp;UPPER('Huong dan'!$E$4),"")</f>
        <v>TRƯỜNG THCS VÀ THPT NGUYỄN KHUYẾN</v>
      </c>
      <c r="B351" s="992"/>
      <c r="C351" s="992"/>
      <c r="D351" s="992"/>
      <c r="E351" s="1130" t="s">
        <v>179</v>
      </c>
      <c r="F351" s="1130"/>
    </row>
    <row r="352" spans="1:9" ht="20.25" customHeight="1">
      <c r="A352" s="69"/>
      <c r="B352" s="69"/>
      <c r="C352" s="30"/>
      <c r="D352" s="30"/>
    </row>
    <row r="353" spans="1:9" ht="28.5" customHeight="1">
      <c r="A353" s="1164" t="s">
        <v>567</v>
      </c>
      <c r="B353" s="1164"/>
      <c r="C353" s="1164"/>
      <c r="D353" s="1164"/>
      <c r="E353" s="1164"/>
      <c r="F353" s="1164"/>
    </row>
    <row r="354" spans="1:9" ht="24.75" customHeight="1">
      <c r="A354" s="1164" t="str">
        <f>"HỌC KỲ I NĂM HỌC "&amp;'Huong dan'!$C$5</f>
        <v>HỌC KỲ I NĂM HỌC 2021 - 2022</v>
      </c>
      <c r="B354" s="1164"/>
      <c r="C354" s="1164"/>
      <c r="D354" s="1164"/>
      <c r="E354" s="1164"/>
      <c r="F354" s="1164"/>
    </row>
    <row r="355" spans="1:9" ht="14.25" customHeight="1">
      <c r="A355" s="70"/>
      <c r="B355" s="66"/>
      <c r="C355" s="66"/>
      <c r="D355" s="66"/>
      <c r="E355" s="66"/>
      <c r="F355" s="66"/>
    </row>
    <row r="356" spans="1:9" ht="18.75" customHeight="1">
      <c r="A356" s="1158" t="s">
        <v>212</v>
      </c>
      <c r="B356" s="1158"/>
      <c r="C356" s="1158"/>
      <c r="D356" s="77" t="str">
        <f>IF(B378="","",INDEX(NXetHKI!$B$3:$CL$57,MATCH(InNXKI!B378,NXetHKI!$B$3:$B$57,0),3)&amp;" "&amp;INDEX(NXetHKI!$B$3:$CL$57,MATCH(InNXKI!B378,NXetHKI!$B$3:$B$57,0),4))</f>
        <v>Nguyễn Thị Thu  Hiền</v>
      </c>
      <c r="E356" s="77"/>
      <c r="F356" s="77" t="str">
        <f>IF('Huong dan'!$C$3="","","Lớp: "&amp;'Huong dan'!$C$3)</f>
        <v>Lớp: 12A1</v>
      </c>
    </row>
    <row r="357" spans="1:9" ht="18.75" customHeight="1">
      <c r="A357" s="1158" t="s">
        <v>213</v>
      </c>
      <c r="B357" s="1158"/>
      <c r="C357" s="1158"/>
      <c r="D357" s="77" t="str">
        <f>INDEX(NXetHKI!$B$3:$CL$57,MATCH(InNXKI!B378,NXetHKI!$B$3:$B$57,0),5)</f>
        <v>20/05/2004</v>
      </c>
      <c r="E357" s="77"/>
      <c r="F357" s="841" t="str">
        <f>IF(B378="","","Nơi sinh: "&amp;INDEX(DiemHKI!$G$4:$G$58,MATCH(InNXKI!B378,DiemHKI!$B$4:$B$58,0),1))</f>
        <v>Nơi sinh: Thái Bình</v>
      </c>
    </row>
    <row r="358" spans="1:9" ht="9.75" customHeight="1">
      <c r="A358" s="62"/>
      <c r="B358" s="62"/>
      <c r="C358" s="62"/>
      <c r="D358" s="62"/>
      <c r="E358" s="62"/>
      <c r="F358" s="62"/>
    </row>
    <row r="359" spans="1:9" ht="34.5" customHeight="1">
      <c r="A359" s="801" t="s">
        <v>0</v>
      </c>
      <c r="B359" s="801" t="s">
        <v>59</v>
      </c>
      <c r="C359" s="806" t="s">
        <v>360</v>
      </c>
      <c r="D359" s="1159" t="s">
        <v>568</v>
      </c>
      <c r="E359" s="1160"/>
      <c r="F359" s="802" t="s">
        <v>569</v>
      </c>
    </row>
    <row r="360" spans="1:9" ht="32.25" customHeight="1">
      <c r="A360" s="803" t="s">
        <v>191</v>
      </c>
      <c r="B360" s="804" t="s">
        <v>26</v>
      </c>
      <c r="C360" s="805">
        <f>IF(B378="","",INDEX(NXetHKI!$B$3:$CL$57,MATCH(InNXKI!B378,NXetHKI!$B$3:$B$57,0),INDEX($J$12:$K$25,MATCH($B360,$I$12:$I$25,0),J$11)))</f>
        <v>9.8000000000000007</v>
      </c>
      <c r="D360" s="1161" t="str">
        <f>IF(B378="","",INDEX(NXetHKI!$B$3:$CL$57,MATCH(InNXKI!B378,NXetHKI!$B$3:$B$57,0),INDEX($J$12:$K$25,MATCH($B360,$I$12:$I$25,0),K$11)))</f>
        <v>Em chăm chỉ, chuyên cần, rất tích cực, rất đáng khen.</v>
      </c>
      <c r="E360" s="1162"/>
      <c r="F360" s="805"/>
      <c r="H360" s="64"/>
      <c r="I360" s="64"/>
    </row>
    <row r="361" spans="1:9" ht="32.25" customHeight="1">
      <c r="A361" s="803" t="s">
        <v>192</v>
      </c>
      <c r="B361" s="804" t="s">
        <v>27</v>
      </c>
      <c r="C361" s="805">
        <f>IF(B378="","",INDEX(NXetHKI!$B$3:$CL$57,MATCH(InNXKI!B378,NXetHKI!$B$3:$B$57,0),INDEX($J$12:$K$25,MATCH($B361,$I$12:$I$25,0),J$11)))</f>
        <v>9.9</v>
      </c>
      <c r="D361" s="1161" t="str">
        <f>IF(B378="","",INDEX(NXetHKI!$B$3:$CL$57,MATCH(InNXKI!B378,NXetHKI!$B$3:$B$57,0),INDEX($J$12:$K$25,MATCH($B361,$I$12:$I$25,0),K$11)))</f>
        <v>Em chăm chỉ, chuyên cần, rất tích cực, rất đáng khen.</v>
      </c>
      <c r="E361" s="1162"/>
      <c r="F361" s="805"/>
      <c r="H361" s="64"/>
      <c r="I361" s="64"/>
    </row>
    <row r="362" spans="1:9" ht="32.25" customHeight="1">
      <c r="A362" s="803" t="s">
        <v>193</v>
      </c>
      <c r="B362" s="804" t="s">
        <v>28</v>
      </c>
      <c r="C362" s="805">
        <f>IF(B378="","",INDEX(NXetHKI!$B$3:$CL$57,MATCH(InNXKI!B378,NXetHKI!$B$3:$B$57,0),INDEX($J$12:$K$25,MATCH($B362,$I$12:$I$25,0),J$11)))</f>
        <v>9.6</v>
      </c>
      <c r="D362" s="1161" t="str">
        <f>IF(B378="","",INDEX(NXetHKI!$B$3:$CL$57,MATCH(InNXKI!B378,NXetHKI!$B$3:$B$57,0),INDEX($J$12:$K$25,MATCH($B362,$I$12:$I$25,0),K$11)))</f>
        <v>Học giỏi, thông minh, cần phát huy.</v>
      </c>
      <c r="E362" s="1162"/>
      <c r="F362" s="805"/>
      <c r="H362" s="64"/>
      <c r="I362" s="64"/>
    </row>
    <row r="363" spans="1:9" ht="32.25" customHeight="1">
      <c r="A363" s="803" t="s">
        <v>194</v>
      </c>
      <c r="B363" s="804" t="s">
        <v>29</v>
      </c>
      <c r="C363" s="805">
        <f>IF(B378="","",INDEX(NXetHKI!$B$3:$CL$57,MATCH(InNXKI!B378,NXetHKI!$B$3:$B$57,0),INDEX($J$12:$K$25,MATCH($B363,$I$12:$I$25,0),J$11)))</f>
        <v>9.3000000000000007</v>
      </c>
      <c r="D363" s="1161" t="str">
        <f>IF(B378="","",INDEX(NXetHKI!$B$3:$CL$57,MATCH(InNXKI!B378,NXetHKI!$B$3:$B$57,0),INDEX($J$12:$K$25,MATCH($B363,$I$12:$I$25,0),K$11)))</f>
        <v>Sáng tạo, hoạt động nhóm rất tốt, biết chia sẻ kết quả học tập với bạn.</v>
      </c>
      <c r="E363" s="1162"/>
      <c r="F363" s="805"/>
      <c r="H363" s="64"/>
      <c r="I363" s="64"/>
    </row>
    <row r="364" spans="1:9" ht="32.25" customHeight="1">
      <c r="A364" s="803" t="s">
        <v>195</v>
      </c>
      <c r="B364" s="804" t="s">
        <v>120</v>
      </c>
      <c r="C364" s="805">
        <f>IF(B378="","",INDEX(NXetHKI!$B$3:$CL$57,MATCH(InNXKI!B378,NXetHKI!$B$3:$B$57,0),INDEX($J$12:$K$25,MATCH($B364,$I$12:$I$25,0),J$11)))</f>
        <v>9.6</v>
      </c>
      <c r="D364" s="1161" t="str">
        <f>IF(B378="","",INDEX(NXetHKI!$B$3:$CL$57,MATCH(InNXKI!B378,NXetHKI!$B$3:$B$57,0),INDEX($J$12:$K$25,MATCH($B364,$I$12:$I$25,0),K$11)))</f>
        <v>Rất ngoan, cố gắng có hiệu quả.</v>
      </c>
      <c r="E364" s="1162"/>
      <c r="F364" s="805"/>
      <c r="H364" s="64"/>
      <c r="I364" s="64"/>
    </row>
    <row r="365" spans="1:9" ht="32.25" customHeight="1">
      <c r="A365" s="803" t="s">
        <v>196</v>
      </c>
      <c r="B365" s="804" t="s">
        <v>30</v>
      </c>
      <c r="C365" s="805">
        <f>IF(B378="","",INDEX(NXetHKI!$B$3:$CL$57,MATCH(InNXKI!B378,NXetHKI!$B$3:$B$57,0),INDEX($J$12:$K$25,MATCH($B365,$I$12:$I$25,0),J$11)))</f>
        <v>8.3000000000000007</v>
      </c>
      <c r="D365" s="1161" t="str">
        <f>IF(B378="","",INDEX(NXetHKI!$B$3:$CL$57,MATCH(InNXKI!B378,NXetHKI!$B$3:$B$57,0),INDEX($J$12:$K$25,MATCH($B365,$I$12:$I$25,0),K$11)))</f>
        <v>Học giỏi, chăm chỉ, cảm nhận tốt văn bản.</v>
      </c>
      <c r="E365" s="1162"/>
      <c r="F365" s="805"/>
      <c r="H365" s="64"/>
      <c r="I365" s="64"/>
    </row>
    <row r="366" spans="1:9" ht="32.25" customHeight="1">
      <c r="A366" s="803" t="s">
        <v>197</v>
      </c>
      <c r="B366" s="804" t="s">
        <v>31</v>
      </c>
      <c r="C366" s="805">
        <f>IF(B378="","",INDEX(NXetHKI!$B$3:$CL$57,MATCH(InNXKI!B378,NXetHKI!$B$3:$B$57,0),INDEX($J$12:$K$25,MATCH($B366,$I$12:$I$25,0),J$11)))</f>
        <v>9.9</v>
      </c>
      <c r="D366" s="1161" t="str">
        <f>IF(B378="","",INDEX(NXetHKI!$B$3:$CL$57,MATCH(InNXKI!B378,NXetHKI!$B$3:$B$57,0),INDEX($J$12:$K$25,MATCH($B366,$I$12:$I$25,0),K$11)))</f>
        <v>Chăm ngoan, tích cực, chủ động tiếp thu bài học.</v>
      </c>
      <c r="E366" s="1162"/>
      <c r="F366" s="805"/>
      <c r="H366" s="64"/>
      <c r="I366" s="64"/>
    </row>
    <row r="367" spans="1:9" ht="32.25" customHeight="1">
      <c r="A367" s="803" t="s">
        <v>198</v>
      </c>
      <c r="B367" s="804" t="s">
        <v>32</v>
      </c>
      <c r="C367" s="805">
        <f>IF(B378="","",INDEX(NXetHKI!$B$3:$CL$57,MATCH(InNXKI!B378,NXetHKI!$B$3:$B$57,0),INDEX($J$12:$K$25,MATCH($B367,$I$12:$I$25,0),J$11)))</f>
        <v>9.9</v>
      </c>
      <c r="D367" s="1161" t="str">
        <f>IF(B378="","",INDEX(NXetHKI!$B$3:$CL$57,MATCH(InNXKI!B378,NXetHKI!$B$3:$B$57,0),INDEX($J$12:$K$25,MATCH($B367,$I$12:$I$25,0),K$11)))</f>
        <v>Em rất ngoan, cố gắng có hiệu quả.</v>
      </c>
      <c r="E367" s="1162"/>
      <c r="F367" s="805"/>
      <c r="H367" s="64"/>
      <c r="I367" s="64"/>
    </row>
    <row r="368" spans="1:9" ht="32.25" customHeight="1">
      <c r="A368" s="803" t="s">
        <v>199</v>
      </c>
      <c r="B368" s="804" t="s">
        <v>33</v>
      </c>
      <c r="C368" s="805">
        <f>IF(B378="","",INDEX(NXetHKI!$B$3:$CL$57,MATCH(InNXKI!B378,NXetHKI!$B$3:$B$57,0),INDEX($J$12:$K$25,MATCH($B368,$I$12:$I$25,0),J$11)))</f>
        <v>9.4</v>
      </c>
      <c r="D368" s="1161" t="str">
        <f>IF(B378="","",INDEX(NXetHKI!$B$3:$CL$57,MATCH(InNXKI!B378,NXetHKI!$B$3:$B$57,0),INDEX($J$12:$K$25,MATCH($B368,$I$12:$I$25,0),K$11)))</f>
        <v>Có năng khiếu, tự tin, giao tiếp tốt và có khả năng làm việc nhóm.</v>
      </c>
      <c r="E368" s="1162"/>
      <c r="F368" s="805"/>
      <c r="H368" s="64"/>
      <c r="I368" s="64"/>
    </row>
    <row r="369" spans="1:9" ht="32.25" customHeight="1">
      <c r="A369" s="803" t="s">
        <v>200</v>
      </c>
      <c r="B369" s="804" t="s">
        <v>60</v>
      </c>
      <c r="C369" s="805">
        <f>IF(B378="","",INDEX(NXetHKI!$B$3:$CL$57,MATCH(InNXKI!B378,NXetHKI!$B$3:$B$57,0),INDEX($J$12:$K$25,MATCH($B369,$I$12:$I$25,0),J$11)))</f>
        <v>9.4</v>
      </c>
      <c r="D369" s="1161" t="str">
        <f>IF(B378="","",INDEX(NXetHKI!$B$3:$CL$57,MATCH(InNXKI!B378,NXetHKI!$B$3:$B$57,0),INDEX($J$12:$K$25,MATCH($B369,$I$12:$I$25,0),K$11)))</f>
        <v>Hứng thú, có trách nhiệm học tập tốt.</v>
      </c>
      <c r="E369" s="1162"/>
      <c r="F369" s="805"/>
      <c r="H369" s="64"/>
      <c r="I369" s="64"/>
    </row>
    <row r="370" spans="1:9" ht="32.25" customHeight="1">
      <c r="A370" s="803" t="s">
        <v>201</v>
      </c>
      <c r="B370" s="804" t="s">
        <v>34</v>
      </c>
      <c r="C370" s="805">
        <f>IF(B378="","",INDEX(NXetHKI!$B$3:$CL$57,MATCH(InNXKI!B378,NXetHKI!$B$3:$B$57,0),INDEX($J$12:$K$25,MATCH($B370,$I$12:$I$25,0),J$11)))</f>
        <v>9.9</v>
      </c>
      <c r="D370" s="1161" t="str">
        <f>IF(B378="","",INDEX(NXetHKI!$B$3:$CL$57,MATCH(InNXKI!B378,NXetHKI!$B$3:$B$57,0),INDEX($J$12:$K$25,MATCH($B370,$I$12:$I$25,0),K$11)))</f>
        <v>Học giỏi, năng động, chăm ngoan.</v>
      </c>
      <c r="E370" s="1162"/>
      <c r="F370" s="805"/>
      <c r="H370" s="64"/>
      <c r="I370" s="64"/>
    </row>
    <row r="371" spans="1:9" ht="32.25" customHeight="1">
      <c r="A371" s="803" t="s">
        <v>202</v>
      </c>
      <c r="B371" s="804" t="s">
        <v>35</v>
      </c>
      <c r="C371" s="805" t="str">
        <f>IF(B378="","",INDEX(NXetHKI!$B$3:$CL$57,MATCH(InNXKI!B378,NXetHKI!$B$3:$B$57,0),INDEX($J$12:$K$25,MATCH($B371,$I$12:$I$25,0),J$11)))</f>
        <v>Đ</v>
      </c>
      <c r="D371" s="1161" t="str">
        <f>IF(B378="","",INDEX(NXetHKI!$B$3:$CL$57,MATCH(InNXKI!B378,NXetHKI!$B$3:$B$57,0),INDEX($J$12:$K$25,MATCH($B371,$I$12:$I$25,0),K$11)))</f>
        <v>Chăm chỉ, cố gắng, rất ngoan.</v>
      </c>
      <c r="E371" s="1162"/>
      <c r="F371" s="805"/>
      <c r="H371" s="64"/>
      <c r="I371" s="64"/>
    </row>
    <row r="372" spans="1:9" ht="32.25" customHeight="1">
      <c r="A372" s="803" t="s">
        <v>203</v>
      </c>
      <c r="B372" s="804" t="s">
        <v>121</v>
      </c>
      <c r="C372" s="805">
        <f>IF(B378="","",INDEX(NXetHKI!$B$3:$CL$57,MATCH(InNXKI!B378,NXetHKI!$B$3:$B$57,0),INDEX($J$12:$K$25,MATCH($B372,$I$12:$I$25,0),J$11)))</f>
        <v>9.4</v>
      </c>
      <c r="D372" s="1161" t="str">
        <f>IF(B378="","",INDEX(NXetHKI!$B$3:$CL$57,MATCH(InNXKI!B378,NXetHKI!$B$3:$B$57,0),INDEX($J$12:$K$25,MATCH($B372,$I$12:$I$25,0),K$11)))</f>
        <v>Siêng năng, lễ phép, thành thạo thực hành, học giỏi.</v>
      </c>
      <c r="E372" s="1162"/>
      <c r="F372" s="805"/>
      <c r="H372" s="64"/>
      <c r="I372" s="64"/>
    </row>
    <row r="373" spans="1:9" ht="32.25" customHeight="1">
      <c r="A373" s="803">
        <v>14</v>
      </c>
      <c r="B373" s="804" t="s">
        <v>122</v>
      </c>
      <c r="C373" s="805" t="str">
        <f>IF(B378="","",INDEX(NXetHKI!$B$3:$CL$57,MATCH(InNXKI!B378,NXetHKI!$B$3:$B$57,0),INDEX($J$12:$K$25,MATCH($B373,$I$12:$I$25,0),J$11)))</f>
        <v/>
      </c>
      <c r="D373" s="1161" t="str">
        <f>IF(B378="","",INDEX(NXetHKI!$B$3:$CL$57,MATCH(InNXKI!B378,NXetHKI!$B$3:$B$57,0),INDEX($J$12:$K$25,MATCH($B373,$I$12:$I$25,0),K$11)))</f>
        <v/>
      </c>
      <c r="E373" s="1162"/>
      <c r="F373" s="805"/>
      <c r="H373" s="64"/>
    </row>
    <row r="374" spans="1:9" ht="12" customHeight="1"/>
    <row r="375" spans="1:9" ht="21.75" customHeight="1">
      <c r="D375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375" s="1163"/>
      <c r="F375" s="1163"/>
    </row>
    <row r="376" spans="1:9">
      <c r="D376" s="992" t="s">
        <v>377</v>
      </c>
      <c r="E376" s="992"/>
      <c r="F376" s="992"/>
    </row>
    <row r="377" spans="1:9" ht="81" customHeight="1">
      <c r="D377" s="923" t="str">
        <f>IF('Huong dan'!$E$5="","",'Huong dan'!$E$5)</f>
        <v/>
      </c>
      <c r="E377" s="923"/>
      <c r="F377" s="923"/>
    </row>
    <row r="378" spans="1:9">
      <c r="A378" s="811"/>
      <c r="B378" s="711">
        <f>IF(B349="","",IF(B349&lt;MAX(NXetHKI!$B$3:$B$57),B349+1,""))</f>
        <v>13</v>
      </c>
      <c r="C378" s="811"/>
      <c r="D378" s="1157"/>
      <c r="E378" s="1157"/>
      <c r="F378" s="1157"/>
    </row>
    <row r="379" spans="1:9" s="60" customFormat="1" ht="24.75" customHeight="1">
      <c r="A379" s="1128" t="str">
        <f>IF('Huong dan'!$E$3&lt;&gt;"","SỞ GIÁO DỤC VÀ ĐÀO TẠO "&amp;UPPER('Huong dan'!$E$3),"")</f>
        <v>SỞ GIÁO DỤC VÀ ĐÀO TẠO TP. HỒ CHÍ MINH</v>
      </c>
      <c r="B379" s="1128"/>
      <c r="C379" s="1128"/>
      <c r="D379" s="1128"/>
      <c r="E379" s="1129" t="s">
        <v>19</v>
      </c>
      <c r="F379" s="1129"/>
    </row>
    <row r="380" spans="1:9" ht="17.25" customHeight="1">
      <c r="A380" s="992" t="str">
        <f>IF('Huong dan'!$E$4&lt;&gt;"","TRƯỜNG "&amp;UPPER('Huong dan'!$E$4),"")</f>
        <v>TRƯỜNG THCS VÀ THPT NGUYỄN KHUYẾN</v>
      </c>
      <c r="B380" s="992"/>
      <c r="C380" s="992"/>
      <c r="D380" s="992"/>
      <c r="E380" s="1130" t="s">
        <v>179</v>
      </c>
      <c r="F380" s="1130"/>
    </row>
    <row r="381" spans="1:9" ht="20.25" customHeight="1">
      <c r="A381" s="69"/>
      <c r="B381" s="69"/>
      <c r="C381" s="30"/>
      <c r="D381" s="30"/>
    </row>
    <row r="382" spans="1:9" ht="28.5" customHeight="1">
      <c r="A382" s="1164" t="s">
        <v>567</v>
      </c>
      <c r="B382" s="1164"/>
      <c r="C382" s="1164"/>
      <c r="D382" s="1164"/>
      <c r="E382" s="1164"/>
      <c r="F382" s="1164"/>
    </row>
    <row r="383" spans="1:9" ht="24.75" customHeight="1">
      <c r="A383" s="1164" t="str">
        <f>"HỌC KỲ I NĂM HỌC "&amp;'Huong dan'!$C$5</f>
        <v>HỌC KỲ I NĂM HỌC 2021 - 2022</v>
      </c>
      <c r="B383" s="1164"/>
      <c r="C383" s="1164"/>
      <c r="D383" s="1164"/>
      <c r="E383" s="1164"/>
      <c r="F383" s="1164"/>
    </row>
    <row r="384" spans="1:9" ht="14.25" customHeight="1">
      <c r="A384" s="70"/>
      <c r="B384" s="66"/>
      <c r="C384" s="66"/>
      <c r="D384" s="66"/>
      <c r="E384" s="66"/>
      <c r="F384" s="66"/>
    </row>
    <row r="385" spans="1:9" ht="18.75" customHeight="1">
      <c r="A385" s="1158" t="s">
        <v>212</v>
      </c>
      <c r="B385" s="1158"/>
      <c r="C385" s="1158"/>
      <c r="D385" s="77" t="str">
        <f>IF(B407="","",INDEX(NXetHKI!$B$3:$CL$57,MATCH(InNXKI!B407,NXetHKI!$B$3:$B$57,0),3)&amp;" "&amp;INDEX(NXetHKI!$B$3:$CL$57,MATCH(InNXKI!B407,NXetHKI!$B$3:$B$57,0),4))</f>
        <v>Lê Phan Ngọc Hiếu</v>
      </c>
      <c r="E385" s="77"/>
      <c r="F385" s="77" t="str">
        <f>IF('Huong dan'!$C$3="","","Lớp: "&amp;'Huong dan'!$C$3)</f>
        <v>Lớp: 12A1</v>
      </c>
    </row>
    <row r="386" spans="1:9" ht="18.75" customHeight="1">
      <c r="A386" s="1158" t="s">
        <v>213</v>
      </c>
      <c r="B386" s="1158"/>
      <c r="C386" s="1158"/>
      <c r="D386" s="77" t="str">
        <f>INDEX(NXetHKI!$B$3:$CL$57,MATCH(InNXKI!B407,NXetHKI!$B$3:$B$57,0),5)</f>
        <v>01/02/2004</v>
      </c>
      <c r="E386" s="77"/>
      <c r="F386" s="841" t="str">
        <f>IF(B407="","","Nơi sinh: "&amp;INDEX(DiemHKI!$G$4:$G$58,MATCH(InNXKI!B407,DiemHKI!$B$4:$B$58,0),1))</f>
        <v>Nơi sinh: TP. Hồ Chí Minh</v>
      </c>
    </row>
    <row r="387" spans="1:9" ht="9.75" customHeight="1">
      <c r="A387" s="62"/>
      <c r="B387" s="62"/>
      <c r="C387" s="62"/>
      <c r="D387" s="62"/>
      <c r="E387" s="62"/>
      <c r="F387" s="62"/>
    </row>
    <row r="388" spans="1:9" ht="34.5" customHeight="1">
      <c r="A388" s="801" t="s">
        <v>0</v>
      </c>
      <c r="B388" s="801" t="s">
        <v>59</v>
      </c>
      <c r="C388" s="806" t="s">
        <v>360</v>
      </c>
      <c r="D388" s="1159" t="s">
        <v>568</v>
      </c>
      <c r="E388" s="1160"/>
      <c r="F388" s="802" t="s">
        <v>569</v>
      </c>
    </row>
    <row r="389" spans="1:9" ht="32.25" customHeight="1">
      <c r="A389" s="803" t="s">
        <v>191</v>
      </c>
      <c r="B389" s="804" t="s">
        <v>26</v>
      </c>
      <c r="C389" s="805">
        <f>IF(B407="","",INDEX(NXetHKI!$B$3:$CL$57,MATCH(InNXKI!B407,NXetHKI!$B$3:$B$57,0),INDEX($J$12:$K$25,MATCH($B389,$I$12:$I$25,0),J$11)))</f>
        <v>9.9</v>
      </c>
      <c r="D389" s="1161" t="str">
        <f>IF(B407="","",INDEX(NXetHKI!$B$3:$CL$57,MATCH(InNXKI!B407,NXetHKI!$B$3:$B$57,0),INDEX($J$12:$K$25,MATCH($B389,$I$12:$I$25,0),K$11)))</f>
        <v>Em học giỏi, chăm ngoan, tính tự giác cao, rất tốt.</v>
      </c>
      <c r="E389" s="1162"/>
      <c r="F389" s="805"/>
      <c r="H389" s="64"/>
      <c r="I389" s="64"/>
    </row>
    <row r="390" spans="1:9" ht="32.25" customHeight="1">
      <c r="A390" s="803" t="s">
        <v>192</v>
      </c>
      <c r="B390" s="804" t="s">
        <v>27</v>
      </c>
      <c r="C390" s="805">
        <f>IF(B407="","",INDEX(NXetHKI!$B$3:$CL$57,MATCH(InNXKI!B407,NXetHKI!$B$3:$B$57,0),INDEX($J$12:$K$25,MATCH($B390,$I$12:$I$25,0),J$11)))</f>
        <v>9.9</v>
      </c>
      <c r="D390" s="1161" t="str">
        <f>IF(B407="","",INDEX(NXetHKI!$B$3:$CL$57,MATCH(InNXKI!B407,NXetHKI!$B$3:$B$57,0),INDEX($J$12:$K$25,MATCH($B390,$I$12:$I$25,0),K$11)))</f>
        <v>Em học giỏi, chăm ngoan, tính tự giác cao, rất tốt.</v>
      </c>
      <c r="E390" s="1162"/>
      <c r="F390" s="805"/>
      <c r="H390" s="64"/>
      <c r="I390" s="64"/>
    </row>
    <row r="391" spans="1:9" ht="32.25" customHeight="1">
      <c r="A391" s="803" t="s">
        <v>193</v>
      </c>
      <c r="B391" s="804" t="s">
        <v>28</v>
      </c>
      <c r="C391" s="805">
        <f>IF(B407="","",INDEX(NXetHKI!$B$3:$CL$57,MATCH(InNXKI!B407,NXetHKI!$B$3:$B$57,0),INDEX($J$12:$K$25,MATCH($B391,$I$12:$I$25,0),J$11)))</f>
        <v>9.1999999999999993</v>
      </c>
      <c r="D391" s="1161" t="str">
        <f>IF(B407="","",INDEX(NXetHKI!$B$3:$CL$57,MATCH(InNXKI!B407,NXetHKI!$B$3:$B$57,0),INDEX($J$12:$K$25,MATCH($B391,$I$12:$I$25,0),K$11)))</f>
        <v>Kiến thức vững, tự học tốt, ngoan.</v>
      </c>
      <c r="E391" s="1162"/>
      <c r="F391" s="805"/>
      <c r="H391" s="64"/>
      <c r="I391" s="64"/>
    </row>
    <row r="392" spans="1:9" ht="32.25" customHeight="1">
      <c r="A392" s="803" t="s">
        <v>194</v>
      </c>
      <c r="B392" s="804" t="s">
        <v>29</v>
      </c>
      <c r="C392" s="805">
        <f>IF(B407="","",INDEX(NXetHKI!$B$3:$CL$57,MATCH(InNXKI!B407,NXetHKI!$B$3:$B$57,0),INDEX($J$12:$K$25,MATCH($B392,$I$12:$I$25,0),J$11)))</f>
        <v>9</v>
      </c>
      <c r="D392" s="1161" t="str">
        <f>IF(B407="","",INDEX(NXetHKI!$B$3:$CL$57,MATCH(InNXKI!B407,NXetHKI!$B$3:$B$57,0),INDEX($J$12:$K$25,MATCH($B392,$I$12:$I$25,0),K$11)))</f>
        <v>Có khả năng tự học và tự chủ bản thân, tích cực trong học tập.</v>
      </c>
      <c r="E392" s="1162"/>
      <c r="F392" s="805"/>
      <c r="H392" s="64"/>
      <c r="I392" s="64"/>
    </row>
    <row r="393" spans="1:9" ht="32.25" customHeight="1">
      <c r="A393" s="803" t="s">
        <v>195</v>
      </c>
      <c r="B393" s="804" t="s">
        <v>120</v>
      </c>
      <c r="C393" s="805">
        <f>IF(B407="","",INDEX(NXetHKI!$B$3:$CL$57,MATCH(InNXKI!B407,NXetHKI!$B$3:$B$57,0),INDEX($J$12:$K$25,MATCH($B393,$I$12:$I$25,0),J$11)))</f>
        <v>9.6</v>
      </c>
      <c r="D393" s="1161" t="str">
        <f>IF(B407="","",INDEX(NXetHKI!$B$3:$CL$57,MATCH(InNXKI!B407,NXetHKI!$B$3:$B$57,0),INDEX($J$12:$K$25,MATCH($B393,$I$12:$I$25,0),K$11)))</f>
        <v>Ngoan, chăm chỉ, tư duy tốt.</v>
      </c>
      <c r="E393" s="1162"/>
      <c r="F393" s="805"/>
      <c r="H393" s="64"/>
      <c r="I393" s="64"/>
    </row>
    <row r="394" spans="1:9" ht="32.25" customHeight="1">
      <c r="A394" s="803" t="s">
        <v>196</v>
      </c>
      <c r="B394" s="804" t="s">
        <v>30</v>
      </c>
      <c r="C394" s="805">
        <f>IF(B407="","",INDEX(NXetHKI!$B$3:$CL$57,MATCH(InNXKI!B407,NXetHKI!$B$3:$B$57,0),INDEX($J$12:$K$25,MATCH($B394,$I$12:$I$25,0),J$11)))</f>
        <v>7.2</v>
      </c>
      <c r="D394" s="1161" t="str">
        <f>IF(B407="","",INDEX(NXetHKI!$B$3:$CL$57,MATCH(InNXKI!B407,NXetHKI!$B$3:$B$57,0),INDEX($J$12:$K$25,MATCH($B394,$I$12:$I$25,0),K$11)))</f>
        <v>Có ý thức học tập tốt, cần nỗ lực rèn luyện thêm các kỹ năng.</v>
      </c>
      <c r="E394" s="1162"/>
      <c r="F394" s="805"/>
      <c r="H394" s="64"/>
      <c r="I394" s="64"/>
    </row>
    <row r="395" spans="1:9" ht="32.25" customHeight="1">
      <c r="A395" s="803" t="s">
        <v>197</v>
      </c>
      <c r="B395" s="804" t="s">
        <v>31</v>
      </c>
      <c r="C395" s="805">
        <f>IF(B407="","",INDEX(NXetHKI!$B$3:$CL$57,MATCH(InNXKI!B407,NXetHKI!$B$3:$B$57,0),INDEX($J$12:$K$25,MATCH($B395,$I$12:$I$25,0),J$11)))</f>
        <v>9.4</v>
      </c>
      <c r="D395" s="1161" t="str">
        <f>IF(B407="","",INDEX(NXetHKI!$B$3:$CL$57,MATCH(InNXKI!B407,NXetHKI!$B$3:$B$57,0),INDEX($J$12:$K$25,MATCH($B395,$I$12:$I$25,0),K$11)))</f>
        <v>Tiếp thu bài tốt, ghi nhớ nhanh các sự kiện lịch sử.</v>
      </c>
      <c r="E395" s="1162"/>
      <c r="F395" s="805"/>
      <c r="H395" s="64"/>
      <c r="I395" s="64"/>
    </row>
    <row r="396" spans="1:9" ht="32.25" customHeight="1">
      <c r="A396" s="803" t="s">
        <v>198</v>
      </c>
      <c r="B396" s="804" t="s">
        <v>32</v>
      </c>
      <c r="C396" s="805">
        <f>IF(B407="","",INDEX(NXetHKI!$B$3:$CL$57,MATCH(InNXKI!B407,NXetHKI!$B$3:$B$57,0),INDEX($J$12:$K$25,MATCH($B396,$I$12:$I$25,0),J$11)))</f>
        <v>9.3000000000000007</v>
      </c>
      <c r="D396" s="1161" t="str">
        <f>IF(B407="","",INDEX(NXetHKI!$B$3:$CL$57,MATCH(InNXKI!B407,NXetHKI!$B$3:$B$57,0),INDEX($J$12:$K$25,MATCH($B396,$I$12:$I$25,0),K$11)))</f>
        <v>Em có tư duy tốt, rất tích cực, giải quyết vấn đề tốt.</v>
      </c>
      <c r="E396" s="1162"/>
      <c r="F396" s="805"/>
      <c r="H396" s="64"/>
      <c r="I396" s="64"/>
    </row>
    <row r="397" spans="1:9" ht="32.25" customHeight="1">
      <c r="A397" s="803" t="s">
        <v>199</v>
      </c>
      <c r="B397" s="804" t="s">
        <v>33</v>
      </c>
      <c r="C397" s="805">
        <f>IF(B407="","",INDEX(NXetHKI!$B$3:$CL$57,MATCH(InNXKI!B407,NXetHKI!$B$3:$B$57,0),INDEX($J$12:$K$25,MATCH($B397,$I$12:$I$25,0),J$11)))</f>
        <v>8.1999999999999993</v>
      </c>
      <c r="D397" s="1161" t="str">
        <f>IF(B407="","",INDEX(NXetHKI!$B$3:$CL$57,MATCH(InNXKI!B407,NXetHKI!$B$3:$B$57,0),INDEX($J$12:$K$25,MATCH($B397,$I$12:$I$25,0),K$11)))</f>
        <v>Chăm chỉ và tích cực trong hoạt động thảo luận nhóm.</v>
      </c>
      <c r="E397" s="1162"/>
      <c r="F397" s="805"/>
      <c r="H397" s="64"/>
      <c r="I397" s="64"/>
    </row>
    <row r="398" spans="1:9" ht="32.25" customHeight="1">
      <c r="A398" s="803" t="s">
        <v>200</v>
      </c>
      <c r="B398" s="804" t="s">
        <v>60</v>
      </c>
      <c r="C398" s="805">
        <f>IF(B407="","",INDEX(NXetHKI!$B$3:$CL$57,MATCH(InNXKI!B407,NXetHKI!$B$3:$B$57,0),INDEX($J$12:$K$25,MATCH($B398,$I$12:$I$25,0),J$11)))</f>
        <v>9.4</v>
      </c>
      <c r="D398" s="1161" t="str">
        <f>IF(B407="","",INDEX(NXetHKI!$B$3:$CL$57,MATCH(InNXKI!B407,NXetHKI!$B$3:$B$57,0),INDEX($J$12:$K$25,MATCH($B398,$I$12:$I$25,0),K$11)))</f>
        <v>Chăm chỉ, học giỏi.</v>
      </c>
      <c r="E398" s="1162"/>
      <c r="F398" s="805"/>
      <c r="H398" s="64"/>
      <c r="I398" s="64"/>
    </row>
    <row r="399" spans="1:9" ht="32.25" customHeight="1">
      <c r="A399" s="803" t="s">
        <v>201</v>
      </c>
      <c r="B399" s="804" t="s">
        <v>34</v>
      </c>
      <c r="C399" s="805">
        <f>IF(B407="","",INDEX(NXetHKI!$B$3:$CL$57,MATCH(InNXKI!B407,NXetHKI!$B$3:$B$57,0),INDEX($J$12:$K$25,MATCH($B399,$I$12:$I$25,0),J$11)))</f>
        <v>9.9</v>
      </c>
      <c r="D399" s="1161" t="str">
        <f>IF(B407="","",INDEX(NXetHKI!$B$3:$CL$57,MATCH(InNXKI!B407,NXetHKI!$B$3:$B$57,0),INDEX($J$12:$K$25,MATCH($B399,$I$12:$I$25,0),K$11)))</f>
        <v>Năng động, sáng tạo trong học tập.</v>
      </c>
      <c r="E399" s="1162"/>
      <c r="F399" s="805"/>
      <c r="H399" s="64"/>
      <c r="I399" s="64"/>
    </row>
    <row r="400" spans="1:9" ht="32.25" customHeight="1">
      <c r="A400" s="803" t="s">
        <v>202</v>
      </c>
      <c r="B400" s="804" t="s">
        <v>35</v>
      </c>
      <c r="C400" s="805" t="str">
        <f>IF(B407="","",INDEX(NXetHKI!$B$3:$CL$57,MATCH(InNXKI!B407,NXetHKI!$B$3:$B$57,0),INDEX($J$12:$K$25,MATCH($B400,$I$12:$I$25,0),J$11)))</f>
        <v>Đ</v>
      </c>
      <c r="D400" s="1161" t="str">
        <f>IF(B407="","",INDEX(NXetHKI!$B$3:$CL$57,MATCH(InNXKI!B407,NXetHKI!$B$3:$B$57,0),INDEX($J$12:$K$25,MATCH($B400,$I$12:$I$25,0),K$11)))</f>
        <v>Giỏi, có nhiều tiến bộ trong học tập.</v>
      </c>
      <c r="E400" s="1162"/>
      <c r="F400" s="805"/>
      <c r="H400" s="64"/>
      <c r="I400" s="64"/>
    </row>
    <row r="401" spans="1:9" ht="32.25" customHeight="1">
      <c r="A401" s="803" t="s">
        <v>203</v>
      </c>
      <c r="B401" s="804" t="s">
        <v>121</v>
      </c>
      <c r="C401" s="805">
        <f>IF(B407="","",INDEX(NXetHKI!$B$3:$CL$57,MATCH(InNXKI!B407,NXetHKI!$B$3:$B$57,0),INDEX($J$12:$K$25,MATCH($B401,$I$12:$I$25,0),J$11)))</f>
        <v>9.9</v>
      </c>
      <c r="D401" s="1161" t="str">
        <f>IF(B407="","",INDEX(NXetHKI!$B$3:$CL$57,MATCH(InNXKI!B407,NXetHKI!$B$3:$B$57,0),INDEX($J$12:$K$25,MATCH($B401,$I$12:$I$25,0),K$11)))</f>
        <v>Tích cực, năng động, nắm bài tốt, học giỏi.</v>
      </c>
      <c r="E401" s="1162"/>
      <c r="F401" s="805"/>
      <c r="H401" s="64"/>
      <c r="I401" s="64"/>
    </row>
    <row r="402" spans="1:9" ht="32.25" customHeight="1">
      <c r="A402" s="803">
        <v>14</v>
      </c>
      <c r="B402" s="804" t="s">
        <v>122</v>
      </c>
      <c r="C402" s="805" t="str">
        <f>IF(B407="","",INDEX(NXetHKI!$B$3:$CL$57,MATCH(InNXKI!B407,NXetHKI!$B$3:$B$57,0),INDEX($J$12:$K$25,MATCH($B402,$I$12:$I$25,0),J$11)))</f>
        <v/>
      </c>
      <c r="D402" s="1161" t="str">
        <f>IF(B407="","",INDEX(NXetHKI!$B$3:$CL$57,MATCH(InNXKI!B407,NXetHKI!$B$3:$B$57,0),INDEX($J$12:$K$25,MATCH($B402,$I$12:$I$25,0),K$11)))</f>
        <v/>
      </c>
      <c r="E402" s="1162"/>
      <c r="F402" s="805"/>
      <c r="H402" s="64"/>
    </row>
    <row r="403" spans="1:9" ht="12" customHeight="1"/>
    <row r="404" spans="1:9" ht="21.75" customHeight="1">
      <c r="D404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404" s="1163"/>
      <c r="F404" s="1163"/>
    </row>
    <row r="405" spans="1:9">
      <c r="D405" s="992" t="s">
        <v>377</v>
      </c>
      <c r="E405" s="992"/>
      <c r="F405" s="992"/>
    </row>
    <row r="406" spans="1:9" ht="81" customHeight="1">
      <c r="D406" s="923" t="str">
        <f>IF('Huong dan'!$E$5="","",'Huong dan'!$E$5)</f>
        <v/>
      </c>
      <c r="E406" s="923"/>
      <c r="F406" s="923"/>
    </row>
    <row r="407" spans="1:9">
      <c r="A407" s="811"/>
      <c r="B407" s="711">
        <f>IF(B378="","",IF(B378&lt;MAX(NXetHKI!$B$3:$B$57),B378+1,""))</f>
        <v>14</v>
      </c>
      <c r="C407" s="811"/>
      <c r="D407" s="1157"/>
      <c r="E407" s="1157"/>
      <c r="F407" s="1157"/>
    </row>
    <row r="408" spans="1:9" s="60" customFormat="1" ht="24.75" customHeight="1">
      <c r="A408" s="1128" t="str">
        <f>IF('Huong dan'!$E$3&lt;&gt;"","SỞ GIÁO DỤC VÀ ĐÀO TẠO "&amp;UPPER('Huong dan'!$E$3),"")</f>
        <v>SỞ GIÁO DỤC VÀ ĐÀO TẠO TP. HỒ CHÍ MINH</v>
      </c>
      <c r="B408" s="1128"/>
      <c r="C408" s="1128"/>
      <c r="D408" s="1128"/>
      <c r="E408" s="1129" t="s">
        <v>19</v>
      </c>
      <c r="F408" s="1129"/>
    </row>
    <row r="409" spans="1:9" ht="17.25" customHeight="1">
      <c r="A409" s="992" t="str">
        <f>IF('Huong dan'!$E$4&lt;&gt;"","TRƯỜNG "&amp;UPPER('Huong dan'!$E$4),"")</f>
        <v>TRƯỜNG THCS VÀ THPT NGUYỄN KHUYẾN</v>
      </c>
      <c r="B409" s="992"/>
      <c r="C409" s="992"/>
      <c r="D409" s="992"/>
      <c r="E409" s="1130" t="s">
        <v>179</v>
      </c>
      <c r="F409" s="1130"/>
    </row>
    <row r="410" spans="1:9" ht="20.25" customHeight="1">
      <c r="A410" s="69"/>
      <c r="B410" s="69"/>
      <c r="C410" s="30"/>
      <c r="D410" s="30"/>
    </row>
    <row r="411" spans="1:9" ht="28.5" customHeight="1">
      <c r="A411" s="1164" t="s">
        <v>567</v>
      </c>
      <c r="B411" s="1164"/>
      <c r="C411" s="1164"/>
      <c r="D411" s="1164"/>
      <c r="E411" s="1164"/>
      <c r="F411" s="1164"/>
    </row>
    <row r="412" spans="1:9" ht="24.75" customHeight="1">
      <c r="A412" s="1164" t="str">
        <f>"HỌC KỲ I NĂM HỌC "&amp;'Huong dan'!$C$5</f>
        <v>HỌC KỲ I NĂM HỌC 2021 - 2022</v>
      </c>
      <c r="B412" s="1164"/>
      <c r="C412" s="1164"/>
      <c r="D412" s="1164"/>
      <c r="E412" s="1164"/>
      <c r="F412" s="1164"/>
    </row>
    <row r="413" spans="1:9" ht="14.25" customHeight="1">
      <c r="A413" s="70"/>
      <c r="B413" s="66"/>
      <c r="C413" s="66"/>
      <c r="D413" s="66"/>
      <c r="E413" s="66"/>
      <c r="F413" s="66"/>
    </row>
    <row r="414" spans="1:9" ht="18.75" customHeight="1">
      <c r="A414" s="1158" t="s">
        <v>212</v>
      </c>
      <c r="B414" s="1158"/>
      <c r="C414" s="1158"/>
      <c r="D414" s="77" t="str">
        <f>IF(B436="","",INDEX(NXetHKI!$B$3:$CL$57,MATCH(InNXKI!B436,NXetHKI!$B$3:$B$57,0),3)&amp;" "&amp;INDEX(NXetHKI!$B$3:$CL$57,MATCH(InNXKI!B436,NXetHKI!$B$3:$B$57,0),4))</f>
        <v>Trần Hoàng Hưng</v>
      </c>
      <c r="E414" s="77"/>
      <c r="F414" s="77" t="str">
        <f>IF('Huong dan'!$C$3="","","Lớp: "&amp;'Huong dan'!$C$3)</f>
        <v>Lớp: 12A1</v>
      </c>
    </row>
    <row r="415" spans="1:9" ht="18.75" customHeight="1">
      <c r="A415" s="1158" t="s">
        <v>213</v>
      </c>
      <c r="B415" s="1158"/>
      <c r="C415" s="1158"/>
      <c r="D415" s="77" t="str">
        <f>INDEX(NXetHKI!$B$3:$CL$57,MATCH(InNXKI!B436,NXetHKI!$B$3:$B$57,0),5)</f>
        <v>11/06/2004</v>
      </c>
      <c r="E415" s="77"/>
      <c r="F415" s="841" t="str">
        <f>IF(B436="","","Nơi sinh: "&amp;INDEX(DiemHKI!$G$4:$G$58,MATCH(InNXKI!B436,DiemHKI!$B$4:$B$58,0),1))</f>
        <v>Nơi sinh: Bình Dương</v>
      </c>
    </row>
    <row r="416" spans="1:9" ht="9.75" customHeight="1">
      <c r="A416" s="62"/>
      <c r="B416" s="62"/>
      <c r="C416" s="62"/>
      <c r="D416" s="62"/>
      <c r="E416" s="62"/>
      <c r="F416" s="62"/>
    </row>
    <row r="417" spans="1:9" ht="34.5" customHeight="1">
      <c r="A417" s="801" t="s">
        <v>0</v>
      </c>
      <c r="B417" s="801" t="s">
        <v>59</v>
      </c>
      <c r="C417" s="806" t="s">
        <v>360</v>
      </c>
      <c r="D417" s="1159" t="s">
        <v>568</v>
      </c>
      <c r="E417" s="1160"/>
      <c r="F417" s="802" t="s">
        <v>569</v>
      </c>
    </row>
    <row r="418" spans="1:9" ht="32.25" customHeight="1">
      <c r="A418" s="803" t="s">
        <v>191</v>
      </c>
      <c r="B418" s="804" t="s">
        <v>26</v>
      </c>
      <c r="C418" s="805">
        <f>IF(B436="","",INDEX(NXetHKI!$B$3:$CL$57,MATCH(InNXKI!B436,NXetHKI!$B$3:$B$57,0),INDEX($J$12:$K$25,MATCH($B418,$I$12:$I$25,0),J$11)))</f>
        <v>9.6999999999999993</v>
      </c>
      <c r="D418" s="1161" t="str">
        <f>IF(B436="","",INDEX(NXetHKI!$B$3:$CL$57,MATCH(InNXKI!B436,NXetHKI!$B$3:$B$57,0),INDEX($J$12:$K$25,MATCH($B418,$I$12:$I$25,0),K$11)))</f>
        <v>Em ngoan, tích cực, năng động, rất đáng khen.</v>
      </c>
      <c r="E418" s="1162"/>
      <c r="F418" s="805"/>
      <c r="H418" s="64"/>
      <c r="I418" s="64"/>
    </row>
    <row r="419" spans="1:9" ht="32.25" customHeight="1">
      <c r="A419" s="803" t="s">
        <v>192</v>
      </c>
      <c r="B419" s="804" t="s">
        <v>27</v>
      </c>
      <c r="C419" s="805">
        <f>IF(B436="","",INDEX(NXetHKI!$B$3:$CL$57,MATCH(InNXKI!B436,NXetHKI!$B$3:$B$57,0),INDEX($J$12:$K$25,MATCH($B419,$I$12:$I$25,0),J$11)))</f>
        <v>9.8000000000000007</v>
      </c>
      <c r="D419" s="1161" t="str">
        <f>IF(B436="","",INDEX(NXetHKI!$B$3:$CL$57,MATCH(InNXKI!B436,NXetHKI!$B$3:$B$57,0),INDEX($J$12:$K$25,MATCH($B419,$I$12:$I$25,0),K$11)))</f>
        <v>Em ngoan, tích cực, năng động, rất đáng khen.</v>
      </c>
      <c r="E419" s="1162"/>
      <c r="F419" s="805"/>
      <c r="H419" s="64"/>
      <c r="I419" s="64"/>
    </row>
    <row r="420" spans="1:9" ht="32.25" customHeight="1">
      <c r="A420" s="803" t="s">
        <v>193</v>
      </c>
      <c r="B420" s="804" t="s">
        <v>28</v>
      </c>
      <c r="C420" s="805">
        <f>IF(B436="","",INDEX(NXetHKI!$B$3:$CL$57,MATCH(InNXKI!B436,NXetHKI!$B$3:$B$57,0),INDEX($J$12:$K$25,MATCH($B420,$I$12:$I$25,0),J$11)))</f>
        <v>9</v>
      </c>
      <c r="D420" s="1161" t="str">
        <f>IF(B436="","",INDEX(NXetHKI!$B$3:$CL$57,MATCH(InNXKI!B436,NXetHKI!$B$3:$B$57,0),INDEX($J$12:$K$25,MATCH($B420,$I$12:$I$25,0),K$11)))</f>
        <v>Kiến thức vững, sáng tạo, tự học tốt.</v>
      </c>
      <c r="E420" s="1162"/>
      <c r="F420" s="805"/>
      <c r="H420" s="64"/>
      <c r="I420" s="64"/>
    </row>
    <row r="421" spans="1:9" ht="32.25" customHeight="1">
      <c r="A421" s="803" t="s">
        <v>194</v>
      </c>
      <c r="B421" s="804" t="s">
        <v>29</v>
      </c>
      <c r="C421" s="805">
        <f>IF(B436="","",INDEX(NXetHKI!$B$3:$CL$57,MATCH(InNXKI!B436,NXetHKI!$B$3:$B$57,0),INDEX($J$12:$K$25,MATCH($B421,$I$12:$I$25,0),J$11)))</f>
        <v>8.8000000000000007</v>
      </c>
      <c r="D421" s="1161" t="str">
        <f>IF(B436="","",INDEX(NXetHKI!$B$3:$CL$57,MATCH(InNXKI!B436,NXetHKI!$B$3:$B$57,0),INDEX($J$12:$K$25,MATCH($B421,$I$12:$I$25,0),K$11)))</f>
        <v>Ngoan, khả năng tư duy tốt, có trách nhiệm, trình bày tốt.</v>
      </c>
      <c r="E421" s="1162"/>
      <c r="F421" s="805"/>
      <c r="H421" s="64"/>
      <c r="I421" s="64"/>
    </row>
    <row r="422" spans="1:9" ht="32.25" customHeight="1">
      <c r="A422" s="803" t="s">
        <v>195</v>
      </c>
      <c r="B422" s="804" t="s">
        <v>120</v>
      </c>
      <c r="C422" s="805">
        <f>IF(B436="","",INDEX(NXetHKI!$B$3:$CL$57,MATCH(InNXKI!B436,NXetHKI!$B$3:$B$57,0),INDEX($J$12:$K$25,MATCH($B422,$I$12:$I$25,0),J$11)))</f>
        <v>9.8000000000000007</v>
      </c>
      <c r="D422" s="1161" t="str">
        <f>IF(B436="","",INDEX(NXetHKI!$B$3:$CL$57,MATCH(InNXKI!B436,NXetHKI!$B$3:$B$57,0),INDEX($J$12:$K$25,MATCH($B422,$I$12:$I$25,0),K$11)))</f>
        <v>Học giỏi, năng động và sáng tạo trong học tập.</v>
      </c>
      <c r="E422" s="1162"/>
      <c r="F422" s="805"/>
      <c r="H422" s="64"/>
      <c r="I422" s="64"/>
    </row>
    <row r="423" spans="1:9" ht="32.25" customHeight="1">
      <c r="A423" s="803" t="s">
        <v>196</v>
      </c>
      <c r="B423" s="804" t="s">
        <v>30</v>
      </c>
      <c r="C423" s="805">
        <f>IF(B436="","",INDEX(NXetHKI!$B$3:$CL$57,MATCH(InNXKI!B436,NXetHKI!$B$3:$B$57,0),INDEX($J$12:$K$25,MATCH($B423,$I$12:$I$25,0),J$11)))</f>
        <v>7.5</v>
      </c>
      <c r="D423" s="1161" t="str">
        <f>IF(B436="","",INDEX(NXetHKI!$B$3:$CL$57,MATCH(InNXKI!B436,NXetHKI!$B$3:$B$57,0),INDEX($J$12:$K$25,MATCH($B423,$I$12:$I$25,0),K$11)))</f>
        <v>Cần chủ động hơn trong giờ học, rèn thêm kỹ năng viết.</v>
      </c>
      <c r="E423" s="1162"/>
      <c r="F423" s="805"/>
      <c r="H423" s="64"/>
      <c r="I423" s="64"/>
    </row>
    <row r="424" spans="1:9" ht="32.25" customHeight="1">
      <c r="A424" s="803" t="s">
        <v>197</v>
      </c>
      <c r="B424" s="804" t="s">
        <v>31</v>
      </c>
      <c r="C424" s="805">
        <f>IF(B436="","",INDEX(NXetHKI!$B$3:$CL$57,MATCH(InNXKI!B436,NXetHKI!$B$3:$B$57,0),INDEX($J$12:$K$25,MATCH($B424,$I$12:$I$25,0),J$11)))</f>
        <v>9.8000000000000007</v>
      </c>
      <c r="D424" s="1161" t="str">
        <f>IF(B436="","",INDEX(NXetHKI!$B$3:$CL$57,MATCH(InNXKI!B436,NXetHKI!$B$3:$B$57,0),INDEX($J$12:$K$25,MATCH($B424,$I$12:$I$25,0),K$11)))</f>
        <v>Chăm học, tích cực phát biểu xây dựng bài.</v>
      </c>
      <c r="E424" s="1162"/>
      <c r="F424" s="805"/>
      <c r="H424" s="64"/>
      <c r="I424" s="64"/>
    </row>
    <row r="425" spans="1:9" ht="32.25" customHeight="1">
      <c r="A425" s="803" t="s">
        <v>198</v>
      </c>
      <c r="B425" s="804" t="s">
        <v>32</v>
      </c>
      <c r="C425" s="805">
        <f>IF(B436="","",INDEX(NXetHKI!$B$3:$CL$57,MATCH(InNXKI!B436,NXetHKI!$B$3:$B$57,0),INDEX($J$12:$K$25,MATCH($B425,$I$12:$I$25,0),J$11)))</f>
        <v>9.1</v>
      </c>
      <c r="D425" s="1161" t="str">
        <f>IF(B436="","",INDEX(NXetHKI!$B$3:$CL$57,MATCH(InNXKI!B436,NXetHKI!$B$3:$B$57,0),INDEX($J$12:$K$25,MATCH($B425,$I$12:$I$25,0),K$11)))</f>
        <v>Em có tư duy tốt, tích cực, vận dụng thực tế tốt.</v>
      </c>
      <c r="E425" s="1162"/>
      <c r="F425" s="805"/>
      <c r="H425" s="64"/>
      <c r="I425" s="64"/>
    </row>
    <row r="426" spans="1:9" ht="32.25" customHeight="1">
      <c r="A426" s="803" t="s">
        <v>199</v>
      </c>
      <c r="B426" s="804" t="s">
        <v>33</v>
      </c>
      <c r="C426" s="805">
        <f>IF(B436="","",INDEX(NXetHKI!$B$3:$CL$57,MATCH(InNXKI!B436,NXetHKI!$B$3:$B$57,0),INDEX($J$12:$K$25,MATCH($B426,$I$12:$I$25,0),J$11)))</f>
        <v>9.5</v>
      </c>
      <c r="D426" s="1161" t="str">
        <f>IF(B436="","",INDEX(NXetHKI!$B$3:$CL$57,MATCH(InNXKI!B436,NXetHKI!$B$3:$B$57,0),INDEX($J$12:$K$25,MATCH($B426,$I$12:$I$25,0),K$11)))</f>
        <v>Tích cực phát biểu trong giờ học, tương tác tốt với giáo viên và bạn bè.</v>
      </c>
      <c r="E426" s="1162"/>
      <c r="F426" s="805"/>
      <c r="H426" s="64"/>
      <c r="I426" s="64"/>
    </row>
    <row r="427" spans="1:9" ht="32.25" customHeight="1">
      <c r="A427" s="803" t="s">
        <v>200</v>
      </c>
      <c r="B427" s="804" t="s">
        <v>60</v>
      </c>
      <c r="C427" s="805">
        <f>IF(B436="","",INDEX(NXetHKI!$B$3:$CL$57,MATCH(InNXKI!B436,NXetHKI!$B$3:$B$57,0),INDEX($J$12:$K$25,MATCH($B427,$I$12:$I$25,0),J$11)))</f>
        <v>9.1</v>
      </c>
      <c r="D427" s="1161" t="str">
        <f>IF(B436="","",INDEX(NXetHKI!$B$3:$CL$57,MATCH(InNXKI!B436,NXetHKI!$B$3:$B$57,0),INDEX($J$12:$K$25,MATCH($B427,$I$12:$I$25,0),K$11)))</f>
        <v>Hứng thú, tích cực, học giỏi.</v>
      </c>
      <c r="E427" s="1162"/>
      <c r="F427" s="805"/>
      <c r="H427" s="64"/>
      <c r="I427" s="64"/>
    </row>
    <row r="428" spans="1:9" ht="32.25" customHeight="1">
      <c r="A428" s="803" t="s">
        <v>201</v>
      </c>
      <c r="B428" s="804" t="s">
        <v>34</v>
      </c>
      <c r="C428" s="805">
        <f>IF(B436="","",INDEX(NXetHKI!$B$3:$CL$57,MATCH(InNXKI!B436,NXetHKI!$B$3:$B$57,0),INDEX($J$12:$K$25,MATCH($B428,$I$12:$I$25,0),J$11)))</f>
        <v>9.9</v>
      </c>
      <c r="D428" s="1161" t="str">
        <f>IF(B436="","",INDEX(NXetHKI!$B$3:$CL$57,MATCH(InNXKI!B436,NXetHKI!$B$3:$B$57,0),INDEX($J$12:$K$25,MATCH($B428,$I$12:$I$25,0),K$11)))</f>
        <v>Học giỏi, tiếp thu nhanh, chăm ngoan.</v>
      </c>
      <c r="E428" s="1162"/>
      <c r="F428" s="805"/>
      <c r="H428" s="64"/>
      <c r="I428" s="64"/>
    </row>
    <row r="429" spans="1:9" ht="32.25" customHeight="1">
      <c r="A429" s="803" t="s">
        <v>202</v>
      </c>
      <c r="B429" s="804" t="s">
        <v>35</v>
      </c>
      <c r="C429" s="805" t="str">
        <f>IF(B436="","",INDEX(NXetHKI!$B$3:$CL$57,MATCH(InNXKI!B436,NXetHKI!$B$3:$B$57,0),INDEX($J$12:$K$25,MATCH($B429,$I$12:$I$25,0),J$11)))</f>
        <v>Đ</v>
      </c>
      <c r="D429" s="1161" t="str">
        <f>IF(B436="","",INDEX(NXetHKI!$B$3:$CL$57,MATCH(InNXKI!B436,NXetHKI!$B$3:$B$57,0),INDEX($J$12:$K$25,MATCH($B429,$I$12:$I$25,0),K$11)))</f>
        <v>Rất ngoan, học có hiệu quả tốt.</v>
      </c>
      <c r="E429" s="1162"/>
      <c r="F429" s="805"/>
      <c r="H429" s="64"/>
      <c r="I429" s="64"/>
    </row>
    <row r="430" spans="1:9" ht="32.25" customHeight="1">
      <c r="A430" s="803" t="s">
        <v>203</v>
      </c>
      <c r="B430" s="804" t="s">
        <v>121</v>
      </c>
      <c r="C430" s="805">
        <f>IF(B436="","",INDEX(NXetHKI!$B$3:$CL$57,MATCH(InNXKI!B436,NXetHKI!$B$3:$B$57,0),INDEX($J$12:$K$25,MATCH($B430,$I$12:$I$25,0),J$11)))</f>
        <v>9.9</v>
      </c>
      <c r="D430" s="1161" t="str">
        <f>IF(B436="","",INDEX(NXetHKI!$B$3:$CL$57,MATCH(InNXKI!B436,NXetHKI!$B$3:$B$57,0),INDEX($J$12:$K$25,MATCH($B430,$I$12:$I$25,0),K$11)))</f>
        <v>Ngoan, tích cực xây dựng bài, nắm chắc thực hành, học giỏi.</v>
      </c>
      <c r="E430" s="1162"/>
      <c r="F430" s="805"/>
      <c r="H430" s="64"/>
      <c r="I430" s="64"/>
    </row>
    <row r="431" spans="1:9" ht="32.25" customHeight="1">
      <c r="A431" s="803">
        <v>14</v>
      </c>
      <c r="B431" s="804" t="s">
        <v>122</v>
      </c>
      <c r="C431" s="805" t="str">
        <f>IF(B436="","",INDEX(NXetHKI!$B$3:$CL$57,MATCH(InNXKI!B436,NXetHKI!$B$3:$B$57,0),INDEX($J$12:$K$25,MATCH($B431,$I$12:$I$25,0),J$11)))</f>
        <v/>
      </c>
      <c r="D431" s="1161" t="str">
        <f>IF(B436="","",INDEX(NXetHKI!$B$3:$CL$57,MATCH(InNXKI!B436,NXetHKI!$B$3:$B$57,0),INDEX($J$12:$K$25,MATCH($B431,$I$12:$I$25,0),K$11)))</f>
        <v/>
      </c>
      <c r="E431" s="1162"/>
      <c r="F431" s="805"/>
      <c r="H431" s="64"/>
    </row>
    <row r="432" spans="1:9" ht="12" customHeight="1"/>
    <row r="433" spans="1:9" ht="21.75" customHeight="1">
      <c r="D433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433" s="1163"/>
      <c r="F433" s="1163"/>
    </row>
    <row r="434" spans="1:9">
      <c r="D434" s="992" t="s">
        <v>377</v>
      </c>
      <c r="E434" s="992"/>
      <c r="F434" s="992"/>
    </row>
    <row r="435" spans="1:9" ht="81" customHeight="1">
      <c r="D435" s="923" t="str">
        <f>IF('Huong dan'!$E$5="","",'Huong dan'!$E$5)</f>
        <v/>
      </c>
      <c r="E435" s="923"/>
      <c r="F435" s="923"/>
    </row>
    <row r="436" spans="1:9">
      <c r="A436" s="811"/>
      <c r="B436" s="711">
        <f>IF(B407="","",IF(B407&lt;MAX(NXetHKI!$B$3:$B$57),B407+1,""))</f>
        <v>15</v>
      </c>
      <c r="C436" s="811"/>
      <c r="D436" s="1157"/>
      <c r="E436" s="1157"/>
      <c r="F436" s="1157"/>
    </row>
    <row r="437" spans="1:9" s="60" customFormat="1" ht="24.75" customHeight="1">
      <c r="A437" s="1128" t="str">
        <f>IF('Huong dan'!$E$3&lt;&gt;"","SỞ GIÁO DỤC VÀ ĐÀO TẠO "&amp;UPPER('Huong dan'!$E$3),"")</f>
        <v>SỞ GIÁO DỤC VÀ ĐÀO TẠO TP. HỒ CHÍ MINH</v>
      </c>
      <c r="B437" s="1128"/>
      <c r="C437" s="1128"/>
      <c r="D437" s="1128"/>
      <c r="E437" s="1129" t="s">
        <v>19</v>
      </c>
      <c r="F437" s="1129"/>
    </row>
    <row r="438" spans="1:9" ht="17.25" customHeight="1">
      <c r="A438" s="992" t="str">
        <f>IF('Huong dan'!$E$4&lt;&gt;"","TRƯỜNG "&amp;UPPER('Huong dan'!$E$4),"")</f>
        <v>TRƯỜNG THCS VÀ THPT NGUYỄN KHUYẾN</v>
      </c>
      <c r="B438" s="992"/>
      <c r="C438" s="992"/>
      <c r="D438" s="992"/>
      <c r="E438" s="1130" t="s">
        <v>179</v>
      </c>
      <c r="F438" s="1130"/>
    </row>
    <row r="439" spans="1:9" ht="20.25" customHeight="1">
      <c r="A439" s="69"/>
      <c r="B439" s="69"/>
      <c r="C439" s="30"/>
      <c r="D439" s="30"/>
    </row>
    <row r="440" spans="1:9" ht="28.5" customHeight="1">
      <c r="A440" s="1164" t="s">
        <v>567</v>
      </c>
      <c r="B440" s="1164"/>
      <c r="C440" s="1164"/>
      <c r="D440" s="1164"/>
      <c r="E440" s="1164"/>
      <c r="F440" s="1164"/>
    </row>
    <row r="441" spans="1:9" ht="24.75" customHeight="1">
      <c r="A441" s="1164" t="str">
        <f>"HỌC KỲ I NĂM HỌC "&amp;'Huong dan'!$C$5</f>
        <v>HỌC KỲ I NĂM HỌC 2021 - 2022</v>
      </c>
      <c r="B441" s="1164"/>
      <c r="C441" s="1164"/>
      <c r="D441" s="1164"/>
      <c r="E441" s="1164"/>
      <c r="F441" s="1164"/>
    </row>
    <row r="442" spans="1:9" ht="14.25" customHeight="1">
      <c r="A442" s="70"/>
      <c r="B442" s="66"/>
      <c r="C442" s="66"/>
      <c r="D442" s="66"/>
      <c r="E442" s="66"/>
      <c r="F442" s="66"/>
    </row>
    <row r="443" spans="1:9" ht="18.75" customHeight="1">
      <c r="A443" s="1158" t="s">
        <v>212</v>
      </c>
      <c r="B443" s="1158"/>
      <c r="C443" s="1158"/>
      <c r="D443" s="77" t="str">
        <f>IF(B465="","",INDEX(NXetHKI!$B$3:$CL$57,MATCH(InNXKI!B465,NXetHKI!$B$3:$B$57,0),3)&amp;" "&amp;INDEX(NXetHKI!$B$3:$CL$57,MATCH(InNXKI!B465,NXetHKI!$B$3:$B$57,0),4))</f>
        <v>Trần Đăng Khải</v>
      </c>
      <c r="E443" s="77"/>
      <c r="F443" s="77" t="str">
        <f>IF('Huong dan'!$C$3="","","Lớp: "&amp;'Huong dan'!$C$3)</f>
        <v>Lớp: 12A1</v>
      </c>
    </row>
    <row r="444" spans="1:9" ht="18.75" customHeight="1">
      <c r="A444" s="1158" t="s">
        <v>213</v>
      </c>
      <c r="B444" s="1158"/>
      <c r="C444" s="1158"/>
      <c r="D444" s="77" t="str">
        <f>INDEX(NXetHKI!$B$3:$CL$57,MATCH(InNXKI!B465,NXetHKI!$B$3:$B$57,0),5)</f>
        <v>22/04/2004</v>
      </c>
      <c r="E444" s="77"/>
      <c r="F444" s="841" t="str">
        <f>IF(B465="","","Nơi sinh: "&amp;INDEX(DiemHKI!$G$4:$G$58,MATCH(InNXKI!B465,DiemHKI!$B$4:$B$58,0),1))</f>
        <v>Nơi sinh: Đồng Nai</v>
      </c>
    </row>
    <row r="445" spans="1:9" ht="9.75" customHeight="1">
      <c r="A445" s="62"/>
      <c r="B445" s="62"/>
      <c r="C445" s="62"/>
      <c r="D445" s="62"/>
      <c r="E445" s="62"/>
      <c r="F445" s="62"/>
    </row>
    <row r="446" spans="1:9" ht="34.5" customHeight="1">
      <c r="A446" s="801" t="s">
        <v>0</v>
      </c>
      <c r="B446" s="801" t="s">
        <v>59</v>
      </c>
      <c r="C446" s="806" t="s">
        <v>360</v>
      </c>
      <c r="D446" s="1159" t="s">
        <v>568</v>
      </c>
      <c r="E446" s="1160"/>
      <c r="F446" s="802" t="s">
        <v>569</v>
      </c>
    </row>
    <row r="447" spans="1:9" ht="32.25" customHeight="1">
      <c r="A447" s="803" t="s">
        <v>191</v>
      </c>
      <c r="B447" s="804" t="s">
        <v>26</v>
      </c>
      <c r="C447" s="805">
        <f>IF(B465="","",INDEX(NXetHKI!$B$3:$CL$57,MATCH(InNXKI!B465,NXetHKI!$B$3:$B$57,0),INDEX($J$12:$K$25,MATCH($B447,$I$12:$I$25,0),J$11)))</f>
        <v>9.6</v>
      </c>
      <c r="D447" s="1161" t="str">
        <f>IF(B465="","",INDEX(NXetHKI!$B$3:$CL$57,MATCH(InNXKI!B465,NXetHKI!$B$3:$B$57,0),INDEX($J$12:$K$25,MATCH($B447,$I$12:$I$25,0),K$11)))</f>
        <v>Em chăm chỉ, chuyên cần, rất tích cực, rất đáng khen.</v>
      </c>
      <c r="E447" s="1162"/>
      <c r="F447" s="805"/>
      <c r="H447" s="64"/>
      <c r="I447" s="64"/>
    </row>
    <row r="448" spans="1:9" ht="32.25" customHeight="1">
      <c r="A448" s="803" t="s">
        <v>192</v>
      </c>
      <c r="B448" s="804" t="s">
        <v>27</v>
      </c>
      <c r="C448" s="805">
        <f>IF(B465="","",INDEX(NXetHKI!$B$3:$CL$57,MATCH(InNXKI!B465,NXetHKI!$B$3:$B$57,0),INDEX($J$12:$K$25,MATCH($B448,$I$12:$I$25,0),J$11)))</f>
        <v>9.4</v>
      </c>
      <c r="D448" s="1161" t="str">
        <f>IF(B465="","",INDEX(NXetHKI!$B$3:$CL$57,MATCH(InNXKI!B465,NXetHKI!$B$3:$B$57,0),INDEX($J$12:$K$25,MATCH($B448,$I$12:$I$25,0),K$11)))</f>
        <v>Em chăm chỉ, chuyên cần, rất tích cực, rất đáng khen.</v>
      </c>
      <c r="E448" s="1162"/>
      <c r="F448" s="805"/>
      <c r="H448" s="64"/>
      <c r="I448" s="64"/>
    </row>
    <row r="449" spans="1:9" ht="32.25" customHeight="1">
      <c r="A449" s="803" t="s">
        <v>193</v>
      </c>
      <c r="B449" s="804" t="s">
        <v>28</v>
      </c>
      <c r="C449" s="805">
        <f>IF(B465="","",INDEX(NXetHKI!$B$3:$CL$57,MATCH(InNXKI!B465,NXetHKI!$B$3:$B$57,0),INDEX($J$12:$K$25,MATCH($B449,$I$12:$I$25,0),J$11)))</f>
        <v>9.6</v>
      </c>
      <c r="D449" s="1161" t="str">
        <f>IF(B465="","",INDEX(NXetHKI!$B$3:$CL$57,MATCH(InNXKI!B465,NXetHKI!$B$3:$B$57,0),INDEX($J$12:$K$25,MATCH($B449,$I$12:$I$25,0),K$11)))</f>
        <v>Học giỏi, thông minh, cần phát huy.</v>
      </c>
      <c r="E449" s="1162"/>
      <c r="F449" s="805"/>
      <c r="H449" s="64"/>
      <c r="I449" s="64"/>
    </row>
    <row r="450" spans="1:9" ht="32.25" customHeight="1">
      <c r="A450" s="803" t="s">
        <v>194</v>
      </c>
      <c r="B450" s="804" t="s">
        <v>29</v>
      </c>
      <c r="C450" s="805">
        <f>IF(B465="","",INDEX(NXetHKI!$B$3:$CL$57,MATCH(InNXKI!B465,NXetHKI!$B$3:$B$57,0),INDEX($J$12:$K$25,MATCH($B450,$I$12:$I$25,0),J$11)))</f>
        <v>9</v>
      </c>
      <c r="D450" s="1161" t="str">
        <f>IF(B465="","",INDEX(NXetHKI!$B$3:$CL$57,MATCH(InNXKI!B465,NXetHKI!$B$3:$B$57,0),INDEX($J$12:$K$25,MATCH($B450,$I$12:$I$25,0),K$11)))</f>
        <v>Sáng tạo, hoạt động nhóm rất tốt, biết chia sẻ kết quả học tập với bạn.</v>
      </c>
      <c r="E450" s="1162"/>
      <c r="F450" s="805"/>
      <c r="H450" s="64"/>
      <c r="I450" s="64"/>
    </row>
    <row r="451" spans="1:9" ht="32.25" customHeight="1">
      <c r="A451" s="803" t="s">
        <v>195</v>
      </c>
      <c r="B451" s="804" t="s">
        <v>120</v>
      </c>
      <c r="C451" s="805">
        <f>IF(B465="","",INDEX(NXetHKI!$B$3:$CL$57,MATCH(InNXKI!B465,NXetHKI!$B$3:$B$57,0),INDEX($J$12:$K$25,MATCH($B451,$I$12:$I$25,0),J$11)))</f>
        <v>9.8000000000000007</v>
      </c>
      <c r="D451" s="1161" t="str">
        <f>IF(B465="","",INDEX(NXetHKI!$B$3:$CL$57,MATCH(InNXKI!B465,NXetHKI!$B$3:$B$57,0),INDEX($J$12:$K$25,MATCH($B451,$I$12:$I$25,0),K$11)))</f>
        <v>Rất ngoan, cố gắng có hiệu quả.</v>
      </c>
      <c r="E451" s="1162"/>
      <c r="F451" s="805"/>
      <c r="H451" s="64"/>
      <c r="I451" s="64"/>
    </row>
    <row r="452" spans="1:9" ht="32.25" customHeight="1">
      <c r="A452" s="803" t="s">
        <v>196</v>
      </c>
      <c r="B452" s="804" t="s">
        <v>30</v>
      </c>
      <c r="C452" s="805">
        <f>IF(B465="","",INDEX(NXetHKI!$B$3:$CL$57,MATCH(InNXKI!B465,NXetHKI!$B$3:$B$57,0),INDEX($J$12:$K$25,MATCH($B452,$I$12:$I$25,0),J$11)))</f>
        <v>7.3</v>
      </c>
      <c r="D452" s="1161" t="str">
        <f>IF(B465="","",INDEX(NXetHKI!$B$3:$CL$57,MATCH(InNXKI!B465,NXetHKI!$B$3:$B$57,0),INDEX($J$12:$K$25,MATCH($B452,$I$12:$I$25,0),K$11)))</f>
        <v>Học khá, cần chủ động rèn thêm kỹ năng diễn đạt.</v>
      </c>
      <c r="E452" s="1162"/>
      <c r="F452" s="805"/>
      <c r="H452" s="64"/>
      <c r="I452" s="64"/>
    </row>
    <row r="453" spans="1:9" ht="32.25" customHeight="1">
      <c r="A453" s="803" t="s">
        <v>197</v>
      </c>
      <c r="B453" s="804" t="s">
        <v>31</v>
      </c>
      <c r="C453" s="805">
        <f>IF(B465="","",INDEX(NXetHKI!$B$3:$CL$57,MATCH(InNXKI!B465,NXetHKI!$B$3:$B$57,0),INDEX($J$12:$K$25,MATCH($B453,$I$12:$I$25,0),J$11)))</f>
        <v>9.9</v>
      </c>
      <c r="D453" s="1161" t="str">
        <f>IF(B465="","",INDEX(NXetHKI!$B$3:$CL$57,MATCH(InNXKI!B465,NXetHKI!$B$3:$B$57,0),INDEX($J$12:$K$25,MATCH($B453,$I$12:$I$25,0),K$11)))</f>
        <v>Chăm ngoan, tích cực, chủ động tiếp thu bài học.</v>
      </c>
      <c r="E453" s="1162"/>
      <c r="F453" s="805"/>
      <c r="H453" s="64"/>
      <c r="I453" s="64"/>
    </row>
    <row r="454" spans="1:9" ht="32.25" customHeight="1">
      <c r="A454" s="803" t="s">
        <v>198</v>
      </c>
      <c r="B454" s="804" t="s">
        <v>32</v>
      </c>
      <c r="C454" s="805">
        <f>IF(B465="","",INDEX(NXetHKI!$B$3:$CL$57,MATCH(InNXKI!B465,NXetHKI!$B$3:$B$57,0),INDEX($J$12:$K$25,MATCH($B454,$I$12:$I$25,0),J$11)))</f>
        <v>9.9</v>
      </c>
      <c r="D454" s="1161" t="str">
        <f>IF(B465="","",INDEX(NXetHKI!$B$3:$CL$57,MATCH(InNXKI!B465,NXetHKI!$B$3:$B$57,0),INDEX($J$12:$K$25,MATCH($B454,$I$12:$I$25,0),K$11)))</f>
        <v>Em rất ngoan, cố gắng có hiệu quả.</v>
      </c>
      <c r="E454" s="1162"/>
      <c r="F454" s="805"/>
      <c r="H454" s="64"/>
      <c r="I454" s="64"/>
    </row>
    <row r="455" spans="1:9" ht="32.25" customHeight="1">
      <c r="A455" s="803" t="s">
        <v>199</v>
      </c>
      <c r="B455" s="804" t="s">
        <v>33</v>
      </c>
      <c r="C455" s="805">
        <f>IF(B465="","",INDEX(NXetHKI!$B$3:$CL$57,MATCH(InNXKI!B465,NXetHKI!$B$3:$B$57,0),INDEX($J$12:$K$25,MATCH($B455,$I$12:$I$25,0),J$11)))</f>
        <v>9.6999999999999993</v>
      </c>
      <c r="D455" s="1161" t="str">
        <f>IF(B465="","",INDEX(NXetHKI!$B$3:$CL$57,MATCH(InNXKI!B465,NXetHKI!$B$3:$B$57,0),INDEX($J$12:$K$25,MATCH($B455,$I$12:$I$25,0),K$11)))</f>
        <v>Có năng khiếu, tự tin, giao tiếp tốt và có khả năng làm việc nhóm.</v>
      </c>
      <c r="E455" s="1162"/>
      <c r="F455" s="805"/>
      <c r="H455" s="64"/>
      <c r="I455" s="64"/>
    </row>
    <row r="456" spans="1:9" ht="32.25" customHeight="1">
      <c r="A456" s="803" t="s">
        <v>200</v>
      </c>
      <c r="B456" s="804" t="s">
        <v>60</v>
      </c>
      <c r="C456" s="805">
        <f>IF(B465="","",INDEX(NXetHKI!$B$3:$CL$57,MATCH(InNXKI!B465,NXetHKI!$B$3:$B$57,0),INDEX($J$12:$K$25,MATCH($B456,$I$12:$I$25,0),J$11)))</f>
        <v>9.1</v>
      </c>
      <c r="D456" s="1161" t="str">
        <f>IF(B465="","",INDEX(NXetHKI!$B$3:$CL$57,MATCH(InNXKI!B465,NXetHKI!$B$3:$B$57,0),INDEX($J$12:$K$25,MATCH($B456,$I$12:$I$25,0),K$11)))</f>
        <v>Hứng thú, có trách nhiệm học tập tốt.</v>
      </c>
      <c r="E456" s="1162"/>
      <c r="F456" s="805"/>
      <c r="H456" s="64"/>
      <c r="I456" s="64"/>
    </row>
    <row r="457" spans="1:9" ht="32.25" customHeight="1">
      <c r="A457" s="803" t="s">
        <v>201</v>
      </c>
      <c r="B457" s="804" t="s">
        <v>34</v>
      </c>
      <c r="C457" s="805">
        <f>IF(B465="","",INDEX(NXetHKI!$B$3:$CL$57,MATCH(InNXKI!B465,NXetHKI!$B$3:$B$57,0),INDEX($J$12:$K$25,MATCH($B457,$I$12:$I$25,0),J$11)))</f>
        <v>9.9</v>
      </c>
      <c r="D457" s="1161" t="str">
        <f>IF(B465="","",INDEX(NXetHKI!$B$3:$CL$57,MATCH(InNXKI!B465,NXetHKI!$B$3:$B$57,0),INDEX($J$12:$K$25,MATCH($B457,$I$12:$I$25,0),K$11)))</f>
        <v>Học giỏi, năng động, chăm ngoan.</v>
      </c>
      <c r="E457" s="1162"/>
      <c r="F457" s="805"/>
      <c r="H457" s="64"/>
      <c r="I457" s="64"/>
    </row>
    <row r="458" spans="1:9" ht="32.25" customHeight="1">
      <c r="A458" s="803" t="s">
        <v>202</v>
      </c>
      <c r="B458" s="804" t="s">
        <v>35</v>
      </c>
      <c r="C458" s="805" t="str">
        <f>IF(B465="","",INDEX(NXetHKI!$B$3:$CL$57,MATCH(InNXKI!B465,NXetHKI!$B$3:$B$57,0),INDEX($J$12:$K$25,MATCH($B458,$I$12:$I$25,0),J$11)))</f>
        <v>Đ</v>
      </c>
      <c r="D458" s="1161" t="str">
        <f>IF(B465="","",INDEX(NXetHKI!$B$3:$CL$57,MATCH(InNXKI!B465,NXetHKI!$B$3:$B$57,0),INDEX($J$12:$K$25,MATCH($B458,$I$12:$I$25,0),K$11)))</f>
        <v>Chăm chỉ, cố gắng, rất ngoan.</v>
      </c>
      <c r="E458" s="1162"/>
      <c r="F458" s="805"/>
      <c r="H458" s="64"/>
      <c r="I458" s="64"/>
    </row>
    <row r="459" spans="1:9" ht="32.25" customHeight="1">
      <c r="A459" s="803" t="s">
        <v>203</v>
      </c>
      <c r="B459" s="804" t="s">
        <v>121</v>
      </c>
      <c r="C459" s="805">
        <f>IF(B465="","",INDEX(NXetHKI!$B$3:$CL$57,MATCH(InNXKI!B465,NXetHKI!$B$3:$B$57,0),INDEX($J$12:$K$25,MATCH($B459,$I$12:$I$25,0),J$11)))</f>
        <v>9.9</v>
      </c>
      <c r="D459" s="1161" t="str">
        <f>IF(B465="","",INDEX(NXetHKI!$B$3:$CL$57,MATCH(InNXKI!B465,NXetHKI!$B$3:$B$57,0),INDEX($J$12:$K$25,MATCH($B459,$I$12:$I$25,0),K$11)))</f>
        <v>Siêng năng, lễ phép, thành thạo thực hành, học giỏi.</v>
      </c>
      <c r="E459" s="1162"/>
      <c r="F459" s="805"/>
      <c r="H459" s="64"/>
      <c r="I459" s="64"/>
    </row>
    <row r="460" spans="1:9" ht="32.25" customHeight="1">
      <c r="A460" s="803">
        <v>14</v>
      </c>
      <c r="B460" s="804" t="s">
        <v>122</v>
      </c>
      <c r="C460" s="805" t="str">
        <f>IF(B465="","",INDEX(NXetHKI!$B$3:$CL$57,MATCH(InNXKI!B465,NXetHKI!$B$3:$B$57,0),INDEX($J$12:$K$25,MATCH($B460,$I$12:$I$25,0),J$11)))</f>
        <v/>
      </c>
      <c r="D460" s="1161" t="str">
        <f>IF(B465="","",INDEX(NXetHKI!$B$3:$CL$57,MATCH(InNXKI!B465,NXetHKI!$B$3:$B$57,0),INDEX($J$12:$K$25,MATCH($B460,$I$12:$I$25,0),K$11)))</f>
        <v/>
      </c>
      <c r="E460" s="1162"/>
      <c r="F460" s="805"/>
      <c r="H460" s="64"/>
    </row>
    <row r="461" spans="1:9" ht="12" customHeight="1"/>
    <row r="462" spans="1:9" ht="21.75" customHeight="1">
      <c r="D462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462" s="1163"/>
      <c r="F462" s="1163"/>
    </row>
    <row r="463" spans="1:9">
      <c r="D463" s="992" t="s">
        <v>377</v>
      </c>
      <c r="E463" s="992"/>
      <c r="F463" s="992"/>
    </row>
    <row r="464" spans="1:9" ht="81" customHeight="1">
      <c r="D464" s="923" t="str">
        <f>IF('Huong dan'!$E$5="","",'Huong dan'!$E$5)</f>
        <v/>
      </c>
      <c r="E464" s="923"/>
      <c r="F464" s="923"/>
    </row>
    <row r="465" spans="1:9">
      <c r="A465" s="811"/>
      <c r="B465" s="711">
        <f>IF(B436="","",IF(B436&lt;MAX(NXetHKI!$B$3:$B$57),B436+1,""))</f>
        <v>16</v>
      </c>
      <c r="C465" s="811"/>
      <c r="D465" s="1157"/>
      <c r="E465" s="1157"/>
      <c r="F465" s="1157"/>
    </row>
    <row r="466" spans="1:9" s="60" customFormat="1" ht="24.75" customHeight="1">
      <c r="A466" s="1128" t="str">
        <f>IF('Huong dan'!$E$3&lt;&gt;"","SỞ GIÁO DỤC VÀ ĐÀO TẠO "&amp;UPPER('Huong dan'!$E$3),"")</f>
        <v>SỞ GIÁO DỤC VÀ ĐÀO TẠO TP. HỒ CHÍ MINH</v>
      </c>
      <c r="B466" s="1128"/>
      <c r="C466" s="1128"/>
      <c r="D466" s="1128"/>
      <c r="E466" s="1129" t="s">
        <v>19</v>
      </c>
      <c r="F466" s="1129"/>
    </row>
    <row r="467" spans="1:9" ht="17.25" customHeight="1">
      <c r="A467" s="992" t="str">
        <f>IF('Huong dan'!$E$4&lt;&gt;"","TRƯỜNG "&amp;UPPER('Huong dan'!$E$4),"")</f>
        <v>TRƯỜNG THCS VÀ THPT NGUYỄN KHUYẾN</v>
      </c>
      <c r="B467" s="992"/>
      <c r="C467" s="992"/>
      <c r="D467" s="992"/>
      <c r="E467" s="1130" t="s">
        <v>179</v>
      </c>
      <c r="F467" s="1130"/>
    </row>
    <row r="468" spans="1:9" ht="20.25" customHeight="1">
      <c r="A468" s="69"/>
      <c r="B468" s="69"/>
      <c r="C468" s="30"/>
      <c r="D468" s="30"/>
    </row>
    <row r="469" spans="1:9" ht="28.5" customHeight="1">
      <c r="A469" s="1164" t="s">
        <v>567</v>
      </c>
      <c r="B469" s="1164"/>
      <c r="C469" s="1164"/>
      <c r="D469" s="1164"/>
      <c r="E469" s="1164"/>
      <c r="F469" s="1164"/>
    </row>
    <row r="470" spans="1:9" ht="24.75" customHeight="1">
      <c r="A470" s="1164" t="str">
        <f>"HỌC KỲ I NĂM HỌC "&amp;'Huong dan'!$C$5</f>
        <v>HỌC KỲ I NĂM HỌC 2021 - 2022</v>
      </c>
      <c r="B470" s="1164"/>
      <c r="C470" s="1164"/>
      <c r="D470" s="1164"/>
      <c r="E470" s="1164"/>
      <c r="F470" s="1164"/>
    </row>
    <row r="471" spans="1:9" ht="14.25" customHeight="1">
      <c r="A471" s="70"/>
      <c r="B471" s="66"/>
      <c r="C471" s="66"/>
      <c r="D471" s="66"/>
      <c r="E471" s="66"/>
      <c r="F471" s="66"/>
    </row>
    <row r="472" spans="1:9" ht="18.75" customHeight="1">
      <c r="A472" s="1158" t="s">
        <v>212</v>
      </c>
      <c r="B472" s="1158"/>
      <c r="C472" s="1158"/>
      <c r="D472" s="77" t="str">
        <f>IF(B494="","",INDEX(NXetHKI!$B$3:$CL$57,MATCH(InNXKI!B494,NXetHKI!$B$3:$B$57,0),3)&amp;" "&amp;INDEX(NXetHKI!$B$3:$CL$57,MATCH(InNXKI!B494,NXetHKI!$B$3:$B$57,0),4))</f>
        <v>Nguyễn Huỳnh Phúc Khang</v>
      </c>
      <c r="E472" s="77"/>
      <c r="F472" s="77" t="str">
        <f>IF('Huong dan'!$C$3="","","Lớp: "&amp;'Huong dan'!$C$3)</f>
        <v>Lớp: 12A1</v>
      </c>
    </row>
    <row r="473" spans="1:9" ht="18.75" customHeight="1">
      <c r="A473" s="1158" t="s">
        <v>213</v>
      </c>
      <c r="B473" s="1158"/>
      <c r="C473" s="1158"/>
      <c r="D473" s="77" t="str">
        <f>INDEX(NXetHKI!$B$3:$CL$57,MATCH(InNXKI!B494,NXetHKI!$B$3:$B$57,0),5)</f>
        <v>14/12/2004</v>
      </c>
      <c r="E473" s="77"/>
      <c r="F473" s="841" t="str">
        <f>IF(B494="","","Nơi sinh: "&amp;INDEX(DiemHKI!$G$4:$G$58,MATCH(InNXKI!B494,DiemHKI!$B$4:$B$58,0),1))</f>
        <v>Nơi sinh: TP. Hồ Chí Minh</v>
      </c>
    </row>
    <row r="474" spans="1:9" ht="9.75" customHeight="1">
      <c r="A474" s="62"/>
      <c r="B474" s="62"/>
      <c r="C474" s="62"/>
      <c r="D474" s="62"/>
      <c r="E474" s="62"/>
      <c r="F474" s="62"/>
    </row>
    <row r="475" spans="1:9" ht="34.5" customHeight="1">
      <c r="A475" s="801" t="s">
        <v>0</v>
      </c>
      <c r="B475" s="801" t="s">
        <v>59</v>
      </c>
      <c r="C475" s="806" t="s">
        <v>360</v>
      </c>
      <c r="D475" s="1159" t="s">
        <v>568</v>
      </c>
      <c r="E475" s="1160"/>
      <c r="F475" s="802" t="s">
        <v>569</v>
      </c>
    </row>
    <row r="476" spans="1:9" ht="32.25" customHeight="1">
      <c r="A476" s="803" t="s">
        <v>191</v>
      </c>
      <c r="B476" s="804" t="s">
        <v>26</v>
      </c>
      <c r="C476" s="805">
        <f>IF(B494="","",INDEX(NXetHKI!$B$3:$CL$57,MATCH(InNXKI!B494,NXetHKI!$B$3:$B$57,0),INDEX($J$12:$K$25,MATCH($B476,$I$12:$I$25,0),J$11)))</f>
        <v>9</v>
      </c>
      <c r="D476" s="1161" t="str">
        <f>IF(B494="","",INDEX(NXetHKI!$B$3:$CL$57,MATCH(InNXKI!B494,NXetHKI!$B$3:$B$57,0),INDEX($J$12:$K$25,MATCH($B476,$I$12:$I$25,0),K$11)))</f>
        <v>Em học giỏi, chăm ngoan, tính tự giác cao, rất tốt.</v>
      </c>
      <c r="E476" s="1162"/>
      <c r="F476" s="805"/>
      <c r="H476" s="64"/>
      <c r="I476" s="64"/>
    </row>
    <row r="477" spans="1:9" ht="32.25" customHeight="1">
      <c r="A477" s="803" t="s">
        <v>192</v>
      </c>
      <c r="B477" s="804" t="s">
        <v>27</v>
      </c>
      <c r="C477" s="805">
        <f>IF(B494="","",INDEX(NXetHKI!$B$3:$CL$57,MATCH(InNXKI!B494,NXetHKI!$B$3:$B$57,0),INDEX($J$12:$K$25,MATCH($B477,$I$12:$I$25,0),J$11)))</f>
        <v>9.3000000000000007</v>
      </c>
      <c r="D477" s="1161" t="str">
        <f>IF(B494="","",INDEX(NXetHKI!$B$3:$CL$57,MATCH(InNXKI!B494,NXetHKI!$B$3:$B$57,0),INDEX($J$12:$K$25,MATCH($B477,$I$12:$I$25,0),K$11)))</f>
        <v>Em học giỏi, chăm ngoan, tính tự giác cao, rất tốt.</v>
      </c>
      <c r="E477" s="1162"/>
      <c r="F477" s="805"/>
      <c r="H477" s="64"/>
      <c r="I477" s="64"/>
    </row>
    <row r="478" spans="1:9" ht="32.25" customHeight="1">
      <c r="A478" s="803" t="s">
        <v>193</v>
      </c>
      <c r="B478" s="804" t="s">
        <v>28</v>
      </c>
      <c r="C478" s="805">
        <f>IF(B494="","",INDEX(NXetHKI!$B$3:$CL$57,MATCH(InNXKI!B494,NXetHKI!$B$3:$B$57,0),INDEX($J$12:$K$25,MATCH($B478,$I$12:$I$25,0),J$11)))</f>
        <v>8.3000000000000007</v>
      </c>
      <c r="D478" s="1161" t="str">
        <f>IF(B494="","",INDEX(NXetHKI!$B$3:$CL$57,MATCH(InNXKI!B494,NXetHKI!$B$3:$B$57,0),INDEX($J$12:$K$25,MATCH($B478,$I$12:$I$25,0),K$11)))</f>
        <v>Học giỏi, cầu tiến.</v>
      </c>
      <c r="E478" s="1162"/>
      <c r="F478" s="805"/>
      <c r="H478" s="64"/>
      <c r="I478" s="64"/>
    </row>
    <row r="479" spans="1:9" ht="32.25" customHeight="1">
      <c r="A479" s="803" t="s">
        <v>194</v>
      </c>
      <c r="B479" s="804" t="s">
        <v>29</v>
      </c>
      <c r="C479" s="805">
        <f>IF(B494="","",INDEX(NXetHKI!$B$3:$CL$57,MATCH(InNXKI!B494,NXetHKI!$B$3:$B$57,0),INDEX($J$12:$K$25,MATCH($B479,$I$12:$I$25,0),J$11)))</f>
        <v>9.1999999999999993</v>
      </c>
      <c r="D479" s="1161" t="str">
        <f>IF(B494="","",INDEX(NXetHKI!$B$3:$CL$57,MATCH(InNXKI!B494,NXetHKI!$B$3:$B$57,0),INDEX($J$12:$K$25,MATCH($B479,$I$12:$I$25,0),K$11)))</f>
        <v>Có khả năng tự học và tự chủ bản thân, tích cực trong học tập.</v>
      </c>
      <c r="E479" s="1162"/>
      <c r="F479" s="805"/>
      <c r="H479" s="64"/>
      <c r="I479" s="64"/>
    </row>
    <row r="480" spans="1:9" ht="32.25" customHeight="1">
      <c r="A480" s="803" t="s">
        <v>195</v>
      </c>
      <c r="B480" s="804" t="s">
        <v>120</v>
      </c>
      <c r="C480" s="805">
        <f>IF(B494="","",INDEX(NXetHKI!$B$3:$CL$57,MATCH(InNXKI!B494,NXetHKI!$B$3:$B$57,0),INDEX($J$12:$K$25,MATCH($B480,$I$12:$I$25,0),J$11)))</f>
        <v>9.6</v>
      </c>
      <c r="D480" s="1161" t="str">
        <f>IF(B494="","",INDEX(NXetHKI!$B$3:$CL$57,MATCH(InNXKI!B494,NXetHKI!$B$3:$B$57,0),INDEX($J$12:$K$25,MATCH($B480,$I$12:$I$25,0),K$11)))</f>
        <v>Ngoan, chăm chỉ, tư duy tốt.</v>
      </c>
      <c r="E480" s="1162"/>
      <c r="F480" s="805"/>
      <c r="H480" s="64"/>
      <c r="I480" s="64"/>
    </row>
    <row r="481" spans="1:9" ht="32.25" customHeight="1">
      <c r="A481" s="803" t="s">
        <v>196</v>
      </c>
      <c r="B481" s="804" t="s">
        <v>30</v>
      </c>
      <c r="C481" s="805">
        <f>IF(B494="","",INDEX(NXetHKI!$B$3:$CL$57,MATCH(InNXKI!B494,NXetHKI!$B$3:$B$57,0),INDEX($J$12:$K$25,MATCH($B481,$I$12:$I$25,0),J$11)))</f>
        <v>7.9</v>
      </c>
      <c r="D481" s="1161" t="str">
        <f>IF(B494="","",INDEX(NXetHKI!$B$3:$CL$57,MATCH(InNXKI!B494,NXetHKI!$B$3:$B$57,0),INDEX($J$12:$K$25,MATCH($B481,$I$12:$I$25,0),K$11)))</f>
        <v>Có tinh thần học tập tốt, cần cố gắng rèn luyện thêm các kỹ năng.</v>
      </c>
      <c r="E481" s="1162"/>
      <c r="F481" s="805"/>
      <c r="H481" s="64"/>
      <c r="I481" s="64"/>
    </row>
    <row r="482" spans="1:9" ht="32.25" customHeight="1">
      <c r="A482" s="803" t="s">
        <v>197</v>
      </c>
      <c r="B482" s="804" t="s">
        <v>31</v>
      </c>
      <c r="C482" s="805">
        <f>IF(B494="","",INDEX(NXetHKI!$B$3:$CL$57,MATCH(InNXKI!B494,NXetHKI!$B$3:$B$57,0),INDEX($J$12:$K$25,MATCH($B482,$I$12:$I$25,0),J$11)))</f>
        <v>9.6</v>
      </c>
      <c r="D482" s="1161" t="str">
        <f>IF(B494="","",INDEX(NXetHKI!$B$3:$CL$57,MATCH(InNXKI!B494,NXetHKI!$B$3:$B$57,0),INDEX($J$12:$K$25,MATCH($B482,$I$12:$I$25,0),K$11)))</f>
        <v>Tiếp thu bài tốt, ghi nhớ nhanh các sự kiện lịch sử.</v>
      </c>
      <c r="E482" s="1162"/>
      <c r="F482" s="805"/>
      <c r="H482" s="64"/>
      <c r="I482" s="64"/>
    </row>
    <row r="483" spans="1:9" ht="32.25" customHeight="1">
      <c r="A483" s="803" t="s">
        <v>198</v>
      </c>
      <c r="B483" s="804" t="s">
        <v>32</v>
      </c>
      <c r="C483" s="805">
        <f>IF(B494="","",INDEX(NXetHKI!$B$3:$CL$57,MATCH(InNXKI!B494,NXetHKI!$B$3:$B$57,0),INDEX($J$12:$K$25,MATCH($B483,$I$12:$I$25,0),J$11)))</f>
        <v>9.9</v>
      </c>
      <c r="D483" s="1161" t="str">
        <f>IF(B494="","",INDEX(NXetHKI!$B$3:$CL$57,MATCH(InNXKI!B494,NXetHKI!$B$3:$B$57,0),INDEX($J$12:$K$25,MATCH($B483,$I$12:$I$25,0),K$11)))</f>
        <v>Em có tư duy tốt, rất tích cực, giải quyết vấn đề tốt.</v>
      </c>
      <c r="E483" s="1162"/>
      <c r="F483" s="805"/>
      <c r="H483" s="64"/>
      <c r="I483" s="64"/>
    </row>
    <row r="484" spans="1:9" ht="32.25" customHeight="1">
      <c r="A484" s="803" t="s">
        <v>199</v>
      </c>
      <c r="B484" s="804" t="s">
        <v>33</v>
      </c>
      <c r="C484" s="805">
        <f>IF(B494="","",INDEX(NXetHKI!$B$3:$CL$57,MATCH(InNXKI!B494,NXetHKI!$B$3:$B$57,0),INDEX($J$12:$K$25,MATCH($B484,$I$12:$I$25,0),J$11)))</f>
        <v>9.1999999999999993</v>
      </c>
      <c r="D484" s="1161" t="str">
        <f>IF(B494="","",INDEX(NXetHKI!$B$3:$CL$57,MATCH(InNXKI!B494,NXetHKI!$B$3:$B$57,0),INDEX($J$12:$K$25,MATCH($B484,$I$12:$I$25,0),K$11)))</f>
        <v>Chăm chỉ, chuyên cần, rất tích cực và năng động.</v>
      </c>
      <c r="E484" s="1162"/>
      <c r="F484" s="805"/>
      <c r="H484" s="64"/>
      <c r="I484" s="64"/>
    </row>
    <row r="485" spans="1:9" ht="32.25" customHeight="1">
      <c r="A485" s="803" t="s">
        <v>200</v>
      </c>
      <c r="B485" s="804" t="s">
        <v>60</v>
      </c>
      <c r="C485" s="805">
        <f>IF(B494="","",INDEX(NXetHKI!$B$3:$CL$57,MATCH(InNXKI!B494,NXetHKI!$B$3:$B$57,0),INDEX($J$12:$K$25,MATCH($B485,$I$12:$I$25,0),J$11)))</f>
        <v>9.5</v>
      </c>
      <c r="D485" s="1161" t="str">
        <f>IF(B494="","",INDEX(NXetHKI!$B$3:$CL$57,MATCH(InNXKI!B494,NXetHKI!$B$3:$B$57,0),INDEX($J$12:$K$25,MATCH($B485,$I$12:$I$25,0),K$11)))</f>
        <v>Chăm chỉ, học giỏi.</v>
      </c>
      <c r="E485" s="1162"/>
      <c r="F485" s="805"/>
      <c r="H485" s="64"/>
      <c r="I485" s="64"/>
    </row>
    <row r="486" spans="1:9" ht="32.25" customHeight="1">
      <c r="A486" s="803" t="s">
        <v>201</v>
      </c>
      <c r="B486" s="804" t="s">
        <v>34</v>
      </c>
      <c r="C486" s="805">
        <f>IF(B494="","",INDEX(NXetHKI!$B$3:$CL$57,MATCH(InNXKI!B494,NXetHKI!$B$3:$B$57,0),INDEX($J$12:$K$25,MATCH($B486,$I$12:$I$25,0),J$11)))</f>
        <v>9.8000000000000007</v>
      </c>
      <c r="D486" s="1161" t="str">
        <f>IF(B494="","",INDEX(NXetHKI!$B$3:$CL$57,MATCH(InNXKI!B494,NXetHKI!$B$3:$B$57,0),INDEX($J$12:$K$25,MATCH($B486,$I$12:$I$25,0),K$11)))</f>
        <v>Năng động, sáng tạo trong học tập.</v>
      </c>
      <c r="E486" s="1162"/>
      <c r="F486" s="805"/>
      <c r="H486" s="64"/>
      <c r="I486" s="64"/>
    </row>
    <row r="487" spans="1:9" ht="32.25" customHeight="1">
      <c r="A487" s="803" t="s">
        <v>202</v>
      </c>
      <c r="B487" s="804" t="s">
        <v>35</v>
      </c>
      <c r="C487" s="805" t="str">
        <f>IF(B494="","",INDEX(NXetHKI!$B$3:$CL$57,MATCH(InNXKI!B494,NXetHKI!$B$3:$B$57,0),INDEX($J$12:$K$25,MATCH($B487,$I$12:$I$25,0),J$11)))</f>
        <v>Đ</v>
      </c>
      <c r="D487" s="1161" t="str">
        <f>IF(B494="","",INDEX(NXetHKI!$B$3:$CL$57,MATCH(InNXKI!B494,NXetHKI!$B$3:$B$57,0),INDEX($J$12:$K$25,MATCH($B487,$I$12:$I$25,0),K$11)))</f>
        <v>Giỏi, có nhiều tiến bộ trong học tập.</v>
      </c>
      <c r="E487" s="1162"/>
      <c r="F487" s="805"/>
      <c r="H487" s="64"/>
      <c r="I487" s="64"/>
    </row>
    <row r="488" spans="1:9" ht="32.25" customHeight="1">
      <c r="A488" s="803" t="s">
        <v>203</v>
      </c>
      <c r="B488" s="804" t="s">
        <v>121</v>
      </c>
      <c r="C488" s="805">
        <f>IF(B494="","",INDEX(NXetHKI!$B$3:$CL$57,MATCH(InNXKI!B494,NXetHKI!$B$3:$B$57,0),INDEX($J$12:$K$25,MATCH($B488,$I$12:$I$25,0),J$11)))</f>
        <v>9.9</v>
      </c>
      <c r="D488" s="1161" t="str">
        <f>IF(B494="","",INDEX(NXetHKI!$B$3:$CL$57,MATCH(InNXKI!B494,NXetHKI!$B$3:$B$57,0),INDEX($J$12:$K$25,MATCH($B488,$I$12:$I$25,0),K$11)))</f>
        <v>Tích cực, năng động, nắm bài tốt, học giỏi.</v>
      </c>
      <c r="E488" s="1162"/>
      <c r="F488" s="805"/>
      <c r="H488" s="64"/>
      <c r="I488" s="64"/>
    </row>
    <row r="489" spans="1:9" ht="32.25" customHeight="1">
      <c r="A489" s="803">
        <v>14</v>
      </c>
      <c r="B489" s="804" t="s">
        <v>122</v>
      </c>
      <c r="C489" s="805" t="str">
        <f>IF(B494="","",INDEX(NXetHKI!$B$3:$CL$57,MATCH(InNXKI!B494,NXetHKI!$B$3:$B$57,0),INDEX($J$12:$K$25,MATCH($B489,$I$12:$I$25,0),J$11)))</f>
        <v/>
      </c>
      <c r="D489" s="1161" t="str">
        <f>IF(B494="","",INDEX(NXetHKI!$B$3:$CL$57,MATCH(InNXKI!B494,NXetHKI!$B$3:$B$57,0),INDEX($J$12:$K$25,MATCH($B489,$I$12:$I$25,0),K$11)))</f>
        <v/>
      </c>
      <c r="E489" s="1162"/>
      <c r="F489" s="805"/>
      <c r="H489" s="64"/>
    </row>
    <row r="490" spans="1:9" ht="12" customHeight="1"/>
    <row r="491" spans="1:9" ht="21.75" customHeight="1">
      <c r="D491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491" s="1163"/>
      <c r="F491" s="1163"/>
    </row>
    <row r="492" spans="1:9">
      <c r="D492" s="992" t="s">
        <v>377</v>
      </c>
      <c r="E492" s="992"/>
      <c r="F492" s="992"/>
    </row>
    <row r="493" spans="1:9" ht="81" customHeight="1">
      <c r="D493" s="923" t="str">
        <f>IF('Huong dan'!$E$5="","",'Huong dan'!$E$5)</f>
        <v/>
      </c>
      <c r="E493" s="923"/>
      <c r="F493" s="923"/>
    </row>
    <row r="494" spans="1:9">
      <c r="A494" s="811"/>
      <c r="B494" s="711">
        <f>IF(B465="","",IF(B465&lt;MAX(NXetHKI!$B$3:$B$57),B465+1,""))</f>
        <v>17</v>
      </c>
      <c r="C494" s="811"/>
      <c r="D494" s="1157"/>
      <c r="E494" s="1157"/>
      <c r="F494" s="1157"/>
    </row>
    <row r="495" spans="1:9" s="60" customFormat="1" ht="24.75" customHeight="1">
      <c r="A495" s="1128" t="str">
        <f>IF('Huong dan'!$E$3&lt;&gt;"","SỞ GIÁO DỤC VÀ ĐÀO TẠO "&amp;UPPER('Huong dan'!$E$3),"")</f>
        <v>SỞ GIÁO DỤC VÀ ĐÀO TẠO TP. HỒ CHÍ MINH</v>
      </c>
      <c r="B495" s="1128"/>
      <c r="C495" s="1128"/>
      <c r="D495" s="1128"/>
      <c r="E495" s="1129" t="s">
        <v>19</v>
      </c>
      <c r="F495" s="1129"/>
    </row>
    <row r="496" spans="1:9" ht="17.25" customHeight="1">
      <c r="A496" s="992" t="str">
        <f>IF('Huong dan'!$E$4&lt;&gt;"","TRƯỜNG "&amp;UPPER('Huong dan'!$E$4),"")</f>
        <v>TRƯỜNG THCS VÀ THPT NGUYỄN KHUYẾN</v>
      </c>
      <c r="B496" s="992"/>
      <c r="C496" s="992"/>
      <c r="D496" s="992"/>
      <c r="E496" s="1130" t="s">
        <v>179</v>
      </c>
      <c r="F496" s="1130"/>
    </row>
    <row r="497" spans="1:9" ht="20.25" customHeight="1">
      <c r="A497" s="69"/>
      <c r="B497" s="69"/>
      <c r="C497" s="30"/>
      <c r="D497" s="30"/>
    </row>
    <row r="498" spans="1:9" ht="28.5" customHeight="1">
      <c r="A498" s="1164" t="s">
        <v>567</v>
      </c>
      <c r="B498" s="1164"/>
      <c r="C498" s="1164"/>
      <c r="D498" s="1164"/>
      <c r="E498" s="1164"/>
      <c r="F498" s="1164"/>
    </row>
    <row r="499" spans="1:9" ht="24.75" customHeight="1">
      <c r="A499" s="1164" t="str">
        <f>"HỌC KỲ I NĂM HỌC "&amp;'Huong dan'!$C$5</f>
        <v>HỌC KỲ I NĂM HỌC 2021 - 2022</v>
      </c>
      <c r="B499" s="1164"/>
      <c r="C499" s="1164"/>
      <c r="D499" s="1164"/>
      <c r="E499" s="1164"/>
      <c r="F499" s="1164"/>
    </row>
    <row r="500" spans="1:9" ht="14.25" customHeight="1">
      <c r="A500" s="70"/>
      <c r="B500" s="66"/>
      <c r="C500" s="66"/>
      <c r="D500" s="66"/>
      <c r="E500" s="66"/>
      <c r="F500" s="66"/>
    </row>
    <row r="501" spans="1:9" ht="18.75" customHeight="1">
      <c r="A501" s="1158" t="s">
        <v>212</v>
      </c>
      <c r="B501" s="1158"/>
      <c r="C501" s="1158"/>
      <c r="D501" s="77" t="str">
        <f>IF(B523="","",INDEX(NXetHKI!$B$3:$CL$57,MATCH(InNXKI!B523,NXetHKI!$B$3:$B$57,0),3)&amp;" "&amp;INDEX(NXetHKI!$B$3:$CL$57,MATCH(InNXKI!B523,NXetHKI!$B$3:$B$57,0),4))</f>
        <v>Nguyễn Đăng Khoa</v>
      </c>
      <c r="E501" s="77"/>
      <c r="F501" s="77" t="str">
        <f>IF('Huong dan'!$C$3="","","Lớp: "&amp;'Huong dan'!$C$3)</f>
        <v>Lớp: 12A1</v>
      </c>
    </row>
    <row r="502" spans="1:9" ht="18.75" customHeight="1">
      <c r="A502" s="1158" t="s">
        <v>213</v>
      </c>
      <c r="B502" s="1158"/>
      <c r="C502" s="1158"/>
      <c r="D502" s="77" t="str">
        <f>INDEX(NXetHKI!$B$3:$CL$57,MATCH(InNXKI!B523,NXetHKI!$B$3:$B$57,0),5)</f>
        <v>07/11/2004</v>
      </c>
      <c r="E502" s="77"/>
      <c r="F502" s="841" t="str">
        <f>IF(B523="","","Nơi sinh: "&amp;INDEX(DiemHKI!$G$4:$G$58,MATCH(InNXKI!B523,DiemHKI!$B$4:$B$58,0),1))</f>
        <v>Nơi sinh: TP. Hồ Chí Minh</v>
      </c>
    </row>
    <row r="503" spans="1:9" ht="9.75" customHeight="1">
      <c r="A503" s="62"/>
      <c r="B503" s="62"/>
      <c r="C503" s="62"/>
      <c r="D503" s="62"/>
      <c r="E503" s="62"/>
      <c r="F503" s="62"/>
    </row>
    <row r="504" spans="1:9" ht="34.5" customHeight="1">
      <c r="A504" s="801" t="s">
        <v>0</v>
      </c>
      <c r="B504" s="801" t="s">
        <v>59</v>
      </c>
      <c r="C504" s="806" t="s">
        <v>360</v>
      </c>
      <c r="D504" s="1159" t="s">
        <v>568</v>
      </c>
      <c r="E504" s="1160"/>
      <c r="F504" s="802" t="s">
        <v>569</v>
      </c>
    </row>
    <row r="505" spans="1:9" ht="32.25" customHeight="1">
      <c r="A505" s="803" t="s">
        <v>191</v>
      </c>
      <c r="B505" s="804" t="s">
        <v>26</v>
      </c>
      <c r="C505" s="805">
        <f>IF(B523="","",INDEX(NXetHKI!$B$3:$CL$57,MATCH(InNXKI!B523,NXetHKI!$B$3:$B$57,0),INDEX($J$12:$K$25,MATCH($B505,$I$12:$I$25,0),J$11)))</f>
        <v>9.9</v>
      </c>
      <c r="D505" s="1161" t="str">
        <f>IF(B523="","",INDEX(NXetHKI!$B$3:$CL$57,MATCH(InNXKI!B523,NXetHKI!$B$3:$B$57,0),INDEX($J$12:$K$25,MATCH($B505,$I$12:$I$25,0),K$11)))</f>
        <v>Em ngoan, tích cực, năng động, rất đáng khen.</v>
      </c>
      <c r="E505" s="1162"/>
      <c r="F505" s="805"/>
      <c r="H505" s="64"/>
      <c r="I505" s="64"/>
    </row>
    <row r="506" spans="1:9" ht="32.25" customHeight="1">
      <c r="A506" s="803" t="s">
        <v>192</v>
      </c>
      <c r="B506" s="804" t="s">
        <v>27</v>
      </c>
      <c r="C506" s="805">
        <f>IF(B523="","",INDEX(NXetHKI!$B$3:$CL$57,MATCH(InNXKI!B523,NXetHKI!$B$3:$B$57,0),INDEX($J$12:$K$25,MATCH($B506,$I$12:$I$25,0),J$11)))</f>
        <v>10</v>
      </c>
      <c r="D506" s="1161" t="str">
        <f>IF(B523="","",INDEX(NXetHKI!$B$3:$CL$57,MATCH(InNXKI!B523,NXetHKI!$B$3:$B$57,0),INDEX($J$12:$K$25,MATCH($B506,$I$12:$I$25,0),K$11)))</f>
        <v>Em ngoan, tích cực, năng động, rất đáng khen.</v>
      </c>
      <c r="E506" s="1162"/>
      <c r="F506" s="805"/>
      <c r="H506" s="64"/>
      <c r="I506" s="64"/>
    </row>
    <row r="507" spans="1:9" ht="32.25" customHeight="1">
      <c r="A507" s="803" t="s">
        <v>193</v>
      </c>
      <c r="B507" s="804" t="s">
        <v>28</v>
      </c>
      <c r="C507" s="805">
        <f>IF(B523="","",INDEX(NXetHKI!$B$3:$CL$57,MATCH(InNXKI!B523,NXetHKI!$B$3:$B$57,0),INDEX($J$12:$K$25,MATCH($B507,$I$12:$I$25,0),J$11)))</f>
        <v>9.9</v>
      </c>
      <c r="D507" s="1161" t="str">
        <f>IF(B523="","",INDEX(NXetHKI!$B$3:$CL$57,MATCH(InNXKI!B523,NXetHKI!$B$3:$B$57,0),INDEX($J$12:$K$25,MATCH($B507,$I$12:$I$25,0),K$11)))</f>
        <v>Kiến thức vững, sáng tạo, tự học tốt.</v>
      </c>
      <c r="E507" s="1162"/>
      <c r="F507" s="805"/>
      <c r="H507" s="64"/>
      <c r="I507" s="64"/>
    </row>
    <row r="508" spans="1:9" ht="32.25" customHeight="1">
      <c r="A508" s="803" t="s">
        <v>194</v>
      </c>
      <c r="B508" s="804" t="s">
        <v>29</v>
      </c>
      <c r="C508" s="805">
        <f>IF(B523="","",INDEX(NXetHKI!$B$3:$CL$57,MATCH(InNXKI!B523,NXetHKI!$B$3:$B$57,0),INDEX($J$12:$K$25,MATCH($B508,$I$12:$I$25,0),J$11)))</f>
        <v>9.5</v>
      </c>
      <c r="D508" s="1161" t="str">
        <f>IF(B523="","",INDEX(NXetHKI!$B$3:$CL$57,MATCH(InNXKI!B523,NXetHKI!$B$3:$B$57,0),INDEX($J$12:$K$25,MATCH($B508,$I$12:$I$25,0),K$11)))</f>
        <v>Ý thức học tập tốt, vận dụng tốt kiến thức học tập</v>
      </c>
      <c r="E508" s="1162"/>
      <c r="F508" s="805"/>
      <c r="H508" s="64"/>
      <c r="I508" s="64"/>
    </row>
    <row r="509" spans="1:9" ht="32.25" customHeight="1">
      <c r="A509" s="803" t="s">
        <v>195</v>
      </c>
      <c r="B509" s="804" t="s">
        <v>120</v>
      </c>
      <c r="C509" s="805">
        <f>IF(B523="","",INDEX(NXetHKI!$B$3:$CL$57,MATCH(InNXKI!B523,NXetHKI!$B$3:$B$57,0),INDEX($J$12:$K$25,MATCH($B509,$I$12:$I$25,0),J$11)))</f>
        <v>9.8000000000000007</v>
      </c>
      <c r="D509" s="1161" t="str">
        <f>IF(B523="","",INDEX(NXetHKI!$B$3:$CL$57,MATCH(InNXKI!B523,NXetHKI!$B$3:$B$57,0),INDEX($J$12:$K$25,MATCH($B509,$I$12:$I$25,0),K$11)))</f>
        <v>Học giỏi, năng động và sáng tạo trong học tập.</v>
      </c>
      <c r="E509" s="1162"/>
      <c r="F509" s="805"/>
      <c r="H509" s="64"/>
      <c r="I509" s="64"/>
    </row>
    <row r="510" spans="1:9" ht="32.25" customHeight="1">
      <c r="A510" s="803" t="s">
        <v>196</v>
      </c>
      <c r="B510" s="804" t="s">
        <v>30</v>
      </c>
      <c r="C510" s="805">
        <f>IF(B523="","",INDEX(NXetHKI!$B$3:$CL$57,MATCH(InNXKI!B523,NXetHKI!$B$3:$B$57,0),INDEX($J$12:$K$25,MATCH($B510,$I$12:$I$25,0),J$11)))</f>
        <v>8.1</v>
      </c>
      <c r="D510" s="1161" t="str">
        <f>IF(B523="","",INDEX(NXetHKI!$B$3:$CL$57,MATCH(InNXKI!B523,NXetHKI!$B$3:$B$57,0),INDEX($J$12:$K$25,MATCH($B510,$I$12:$I$25,0),K$11)))</f>
        <v>Chủ động, có năng khiếu cảm nhận văn bản, viết văn.</v>
      </c>
      <c r="E510" s="1162"/>
      <c r="F510" s="805"/>
      <c r="H510" s="64"/>
      <c r="I510" s="64"/>
    </row>
    <row r="511" spans="1:9" ht="32.25" customHeight="1">
      <c r="A511" s="803" t="s">
        <v>197</v>
      </c>
      <c r="B511" s="804" t="s">
        <v>31</v>
      </c>
      <c r="C511" s="805">
        <f>IF(B523="","",INDEX(NXetHKI!$B$3:$CL$57,MATCH(InNXKI!B523,NXetHKI!$B$3:$B$57,0),INDEX($J$12:$K$25,MATCH($B511,$I$12:$I$25,0),J$11)))</f>
        <v>9.8000000000000007</v>
      </c>
      <c r="D511" s="1161" t="str">
        <f>IF(B523="","",INDEX(NXetHKI!$B$3:$CL$57,MATCH(InNXKI!B523,NXetHKI!$B$3:$B$57,0),INDEX($J$12:$K$25,MATCH($B511,$I$12:$I$25,0),K$11)))</f>
        <v>Chăm học, tích cực phát biểu xây dựng bài.</v>
      </c>
      <c r="E511" s="1162"/>
      <c r="F511" s="805"/>
      <c r="H511" s="64"/>
      <c r="I511" s="64"/>
    </row>
    <row r="512" spans="1:9" ht="32.25" customHeight="1">
      <c r="A512" s="803" t="s">
        <v>198</v>
      </c>
      <c r="B512" s="804" t="s">
        <v>32</v>
      </c>
      <c r="C512" s="805">
        <f>IF(B523="","",INDEX(NXetHKI!$B$3:$CL$57,MATCH(InNXKI!B523,NXetHKI!$B$3:$B$57,0),INDEX($J$12:$K$25,MATCH($B512,$I$12:$I$25,0),J$11)))</f>
        <v>9.9</v>
      </c>
      <c r="D512" s="1161" t="str">
        <f>IF(B523="","",INDEX(NXetHKI!$B$3:$CL$57,MATCH(InNXKI!B523,NXetHKI!$B$3:$B$57,0),INDEX($J$12:$K$25,MATCH($B512,$I$12:$I$25,0),K$11)))</f>
        <v>Em có tư duy tốt, tích cực, vận dụng thực tế tốt.</v>
      </c>
      <c r="E512" s="1162"/>
      <c r="F512" s="805"/>
      <c r="H512" s="64"/>
      <c r="I512" s="64"/>
    </row>
    <row r="513" spans="1:9" ht="32.25" customHeight="1">
      <c r="A513" s="803" t="s">
        <v>199</v>
      </c>
      <c r="B513" s="804" t="s">
        <v>33</v>
      </c>
      <c r="C513" s="805">
        <f>IF(B523="","",INDEX(NXetHKI!$B$3:$CL$57,MATCH(InNXKI!B523,NXetHKI!$B$3:$B$57,0),INDEX($J$12:$K$25,MATCH($B513,$I$12:$I$25,0),J$11)))</f>
        <v>9.3000000000000007</v>
      </c>
      <c r="D513" s="1161" t="str">
        <f>IF(B523="","",INDEX(NXetHKI!$B$3:$CL$57,MATCH(InNXKI!B523,NXetHKI!$B$3:$B$57,0),INDEX($J$12:$K$25,MATCH($B513,$I$12:$I$25,0),K$11)))</f>
        <v>Tích cực phát biểu trong giờ học, tương tác tốt với giáo viên và bạn bè.</v>
      </c>
      <c r="E513" s="1162"/>
      <c r="F513" s="805"/>
      <c r="H513" s="64"/>
      <c r="I513" s="64"/>
    </row>
    <row r="514" spans="1:9" ht="32.25" customHeight="1">
      <c r="A514" s="803" t="s">
        <v>200</v>
      </c>
      <c r="B514" s="804" t="s">
        <v>60</v>
      </c>
      <c r="C514" s="805">
        <f>IF(B523="","",INDEX(NXetHKI!$B$3:$CL$57,MATCH(InNXKI!B523,NXetHKI!$B$3:$B$57,0),INDEX($J$12:$K$25,MATCH($B514,$I$12:$I$25,0),J$11)))</f>
        <v>9.3000000000000007</v>
      </c>
      <c r="D514" s="1161" t="str">
        <f>IF(B523="","",INDEX(NXetHKI!$B$3:$CL$57,MATCH(InNXKI!B523,NXetHKI!$B$3:$B$57,0),INDEX($J$12:$K$25,MATCH($B514,$I$12:$I$25,0),K$11)))</f>
        <v>Hứng thú, tích cực, học giỏi.</v>
      </c>
      <c r="E514" s="1162"/>
      <c r="F514" s="805"/>
      <c r="H514" s="64"/>
      <c r="I514" s="64"/>
    </row>
    <row r="515" spans="1:9" ht="32.25" customHeight="1">
      <c r="A515" s="803" t="s">
        <v>201</v>
      </c>
      <c r="B515" s="804" t="s">
        <v>34</v>
      </c>
      <c r="C515" s="805">
        <f>IF(B523="","",INDEX(NXetHKI!$B$3:$CL$57,MATCH(InNXKI!B523,NXetHKI!$B$3:$B$57,0),INDEX($J$12:$K$25,MATCH($B515,$I$12:$I$25,0),J$11)))</f>
        <v>9.8000000000000007</v>
      </c>
      <c r="D515" s="1161" t="str">
        <f>IF(B523="","",INDEX(NXetHKI!$B$3:$CL$57,MATCH(InNXKI!B523,NXetHKI!$B$3:$B$57,0),INDEX($J$12:$K$25,MATCH($B515,$I$12:$I$25,0),K$11)))</f>
        <v>Học giỏi, tiếp thu nhanh, chăm ngoan.</v>
      </c>
      <c r="E515" s="1162"/>
      <c r="F515" s="805"/>
      <c r="H515" s="64"/>
      <c r="I515" s="64"/>
    </row>
    <row r="516" spans="1:9" ht="32.25" customHeight="1">
      <c r="A516" s="803" t="s">
        <v>202</v>
      </c>
      <c r="B516" s="804" t="s">
        <v>35</v>
      </c>
      <c r="C516" s="805" t="str">
        <f>IF(B523="","",INDEX(NXetHKI!$B$3:$CL$57,MATCH(InNXKI!B523,NXetHKI!$B$3:$B$57,0),INDEX($J$12:$K$25,MATCH($B516,$I$12:$I$25,0),J$11)))</f>
        <v>Đ</v>
      </c>
      <c r="D516" s="1161" t="str">
        <f>IF(B523="","",INDEX(NXetHKI!$B$3:$CL$57,MATCH(InNXKI!B523,NXetHKI!$B$3:$B$57,0),INDEX($J$12:$K$25,MATCH($B516,$I$12:$I$25,0),K$11)))</f>
        <v>Rất ngoan, học có hiệu quả tốt.</v>
      </c>
      <c r="E516" s="1162"/>
      <c r="F516" s="805"/>
      <c r="H516" s="64"/>
      <c r="I516" s="64"/>
    </row>
    <row r="517" spans="1:9" ht="32.25" customHeight="1">
      <c r="A517" s="803" t="s">
        <v>203</v>
      </c>
      <c r="B517" s="804" t="s">
        <v>121</v>
      </c>
      <c r="C517" s="805">
        <f>IF(B523="","",INDEX(NXetHKI!$B$3:$CL$57,MATCH(InNXKI!B523,NXetHKI!$B$3:$B$57,0),INDEX($J$12:$K$25,MATCH($B517,$I$12:$I$25,0),J$11)))</f>
        <v>9.9</v>
      </c>
      <c r="D517" s="1161" t="str">
        <f>IF(B523="","",INDEX(NXetHKI!$B$3:$CL$57,MATCH(InNXKI!B523,NXetHKI!$B$3:$B$57,0),INDEX($J$12:$K$25,MATCH($B517,$I$12:$I$25,0),K$11)))</f>
        <v>Ngoan, tích cực xây dựng bài, nắm chắc thực hành, học giỏi.</v>
      </c>
      <c r="E517" s="1162"/>
      <c r="F517" s="805"/>
      <c r="H517" s="64"/>
      <c r="I517" s="64"/>
    </row>
    <row r="518" spans="1:9" ht="32.25" customHeight="1">
      <c r="A518" s="803">
        <v>14</v>
      </c>
      <c r="B518" s="804" t="s">
        <v>122</v>
      </c>
      <c r="C518" s="805" t="str">
        <f>IF(B523="","",INDEX(NXetHKI!$B$3:$CL$57,MATCH(InNXKI!B523,NXetHKI!$B$3:$B$57,0),INDEX($J$12:$K$25,MATCH($B518,$I$12:$I$25,0),J$11)))</f>
        <v/>
      </c>
      <c r="D518" s="1161" t="str">
        <f>IF(B523="","",INDEX(NXetHKI!$B$3:$CL$57,MATCH(InNXKI!B523,NXetHKI!$B$3:$B$57,0),INDEX($J$12:$K$25,MATCH($B518,$I$12:$I$25,0),K$11)))</f>
        <v/>
      </c>
      <c r="E518" s="1162"/>
      <c r="F518" s="805"/>
      <c r="H518" s="64"/>
    </row>
    <row r="519" spans="1:9" ht="12" customHeight="1"/>
    <row r="520" spans="1:9" ht="21.75" customHeight="1">
      <c r="D520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520" s="1163"/>
      <c r="F520" s="1163"/>
    </row>
    <row r="521" spans="1:9">
      <c r="D521" s="992" t="s">
        <v>377</v>
      </c>
      <c r="E521" s="992"/>
      <c r="F521" s="992"/>
    </row>
    <row r="522" spans="1:9" ht="81" customHeight="1">
      <c r="D522" s="923" t="str">
        <f>IF('Huong dan'!$E$5="","",'Huong dan'!$E$5)</f>
        <v/>
      </c>
      <c r="E522" s="923"/>
      <c r="F522" s="923"/>
    </row>
    <row r="523" spans="1:9">
      <c r="A523" s="811"/>
      <c r="B523" s="711">
        <f>IF(B494="","",IF(B494&lt;MAX(NXetHKI!$B$3:$B$57),B494+1,""))</f>
        <v>18</v>
      </c>
      <c r="C523" s="811"/>
      <c r="D523" s="1157"/>
      <c r="E523" s="1157"/>
      <c r="F523" s="1157"/>
    </row>
    <row r="524" spans="1:9" s="60" customFormat="1" ht="24.75" customHeight="1">
      <c r="A524" s="1128" t="str">
        <f>IF('Huong dan'!$E$3&lt;&gt;"","SỞ GIÁO DỤC VÀ ĐÀO TẠO "&amp;UPPER('Huong dan'!$E$3),"")</f>
        <v>SỞ GIÁO DỤC VÀ ĐÀO TẠO TP. HỒ CHÍ MINH</v>
      </c>
      <c r="B524" s="1128"/>
      <c r="C524" s="1128"/>
      <c r="D524" s="1128"/>
      <c r="E524" s="1129" t="s">
        <v>19</v>
      </c>
      <c r="F524" s="1129"/>
    </row>
    <row r="525" spans="1:9" ht="17.25" customHeight="1">
      <c r="A525" s="992" t="str">
        <f>IF('Huong dan'!$E$4&lt;&gt;"","TRƯỜNG "&amp;UPPER('Huong dan'!$E$4),"")</f>
        <v>TRƯỜNG THCS VÀ THPT NGUYỄN KHUYẾN</v>
      </c>
      <c r="B525" s="992"/>
      <c r="C525" s="992"/>
      <c r="D525" s="992"/>
      <c r="E525" s="1130" t="s">
        <v>179</v>
      </c>
      <c r="F525" s="1130"/>
    </row>
    <row r="526" spans="1:9" ht="20.25" customHeight="1">
      <c r="A526" s="69"/>
      <c r="B526" s="69"/>
      <c r="C526" s="30"/>
      <c r="D526" s="30"/>
    </row>
    <row r="527" spans="1:9" ht="28.5" customHeight="1">
      <c r="A527" s="1164" t="s">
        <v>567</v>
      </c>
      <c r="B527" s="1164"/>
      <c r="C527" s="1164"/>
      <c r="D527" s="1164"/>
      <c r="E527" s="1164"/>
      <c r="F527" s="1164"/>
    </row>
    <row r="528" spans="1:9" ht="24.75" customHeight="1">
      <c r="A528" s="1164" t="str">
        <f>"HỌC KỲ I NĂM HỌC "&amp;'Huong dan'!$C$5</f>
        <v>HỌC KỲ I NĂM HỌC 2021 - 2022</v>
      </c>
      <c r="B528" s="1164"/>
      <c r="C528" s="1164"/>
      <c r="D528" s="1164"/>
      <c r="E528" s="1164"/>
      <c r="F528" s="1164"/>
    </row>
    <row r="529" spans="1:9" ht="14.25" customHeight="1">
      <c r="A529" s="70"/>
      <c r="B529" s="66"/>
      <c r="C529" s="66"/>
      <c r="D529" s="66"/>
      <c r="E529" s="66"/>
      <c r="F529" s="66"/>
    </row>
    <row r="530" spans="1:9" ht="18.75" customHeight="1">
      <c r="A530" s="1158" t="s">
        <v>212</v>
      </c>
      <c r="B530" s="1158"/>
      <c r="C530" s="1158"/>
      <c r="D530" s="77" t="str">
        <f>IF(B552="","",INDEX(NXetHKI!$B$3:$CL$57,MATCH(InNXKI!B552,NXetHKI!$B$3:$B$57,0),3)&amp;" "&amp;INDEX(NXetHKI!$B$3:$CL$57,MATCH(InNXKI!B552,NXetHKI!$B$3:$B$57,0),4))</f>
        <v>Lê Tiến Khôi</v>
      </c>
      <c r="E530" s="77"/>
      <c r="F530" s="77" t="str">
        <f>IF('Huong dan'!$C$3="","","Lớp: "&amp;'Huong dan'!$C$3)</f>
        <v>Lớp: 12A1</v>
      </c>
    </row>
    <row r="531" spans="1:9" ht="18.75" customHeight="1">
      <c r="A531" s="1158" t="s">
        <v>213</v>
      </c>
      <c r="B531" s="1158"/>
      <c r="C531" s="1158"/>
      <c r="D531" s="77" t="str">
        <f>INDEX(NXetHKI!$B$3:$CL$57,MATCH(InNXKI!B552,NXetHKI!$B$3:$B$57,0),5)</f>
        <v>14/10/2004</v>
      </c>
      <c r="E531" s="77"/>
      <c r="F531" s="841" t="str">
        <f>IF(B552="","","Nơi sinh: "&amp;INDEX(DiemHKI!$G$4:$G$58,MATCH(InNXKI!B552,DiemHKI!$B$4:$B$58,0),1))</f>
        <v>Nơi sinh: Thái Bình</v>
      </c>
    </row>
    <row r="532" spans="1:9" ht="9.75" customHeight="1">
      <c r="A532" s="62"/>
      <c r="B532" s="62"/>
      <c r="C532" s="62"/>
      <c r="D532" s="62"/>
      <c r="E532" s="62"/>
      <c r="F532" s="62"/>
    </row>
    <row r="533" spans="1:9" ht="34.5" customHeight="1">
      <c r="A533" s="801" t="s">
        <v>0</v>
      </c>
      <c r="B533" s="801" t="s">
        <v>59</v>
      </c>
      <c r="C533" s="806" t="s">
        <v>360</v>
      </c>
      <c r="D533" s="1159" t="s">
        <v>568</v>
      </c>
      <c r="E533" s="1160"/>
      <c r="F533" s="802" t="s">
        <v>569</v>
      </c>
    </row>
    <row r="534" spans="1:9" ht="32.25" customHeight="1">
      <c r="A534" s="803" t="s">
        <v>191</v>
      </c>
      <c r="B534" s="804" t="s">
        <v>26</v>
      </c>
      <c r="C534" s="805">
        <f>IF(B552="","",INDEX(NXetHKI!$B$3:$CL$57,MATCH(InNXKI!B552,NXetHKI!$B$3:$B$57,0),INDEX($J$12:$K$25,MATCH($B534,$I$12:$I$25,0),J$11)))</f>
        <v>10</v>
      </c>
      <c r="D534" s="1161" t="str">
        <f>IF(B552="","",INDEX(NXetHKI!$B$3:$CL$57,MATCH(InNXKI!B552,NXetHKI!$B$3:$B$57,0),INDEX($J$12:$K$25,MATCH($B534,$I$12:$I$25,0),K$11)))</f>
        <v>Em chăm chỉ, chuyên cần, rất tích cực, rất đáng khen.</v>
      </c>
      <c r="E534" s="1162"/>
      <c r="F534" s="805"/>
      <c r="H534" s="64"/>
      <c r="I534" s="64"/>
    </row>
    <row r="535" spans="1:9" ht="32.25" customHeight="1">
      <c r="A535" s="803" t="s">
        <v>192</v>
      </c>
      <c r="B535" s="804" t="s">
        <v>27</v>
      </c>
      <c r="C535" s="805">
        <f>IF(B552="","",INDEX(NXetHKI!$B$3:$CL$57,MATCH(InNXKI!B552,NXetHKI!$B$3:$B$57,0),INDEX($J$12:$K$25,MATCH($B535,$I$12:$I$25,0),J$11)))</f>
        <v>10</v>
      </c>
      <c r="D535" s="1161" t="str">
        <f>IF(B552="","",INDEX(NXetHKI!$B$3:$CL$57,MATCH(InNXKI!B552,NXetHKI!$B$3:$B$57,0),INDEX($J$12:$K$25,MATCH($B535,$I$12:$I$25,0),K$11)))</f>
        <v>Em chăm chỉ, chuyên cần, rất tích cực, rất đáng khen.</v>
      </c>
      <c r="E535" s="1162"/>
      <c r="F535" s="805"/>
      <c r="H535" s="64"/>
      <c r="I535" s="64"/>
    </row>
    <row r="536" spans="1:9" ht="32.25" customHeight="1">
      <c r="A536" s="803" t="s">
        <v>193</v>
      </c>
      <c r="B536" s="804" t="s">
        <v>28</v>
      </c>
      <c r="C536" s="805">
        <f>IF(B552="","",INDEX(NXetHKI!$B$3:$CL$57,MATCH(InNXKI!B552,NXetHKI!$B$3:$B$57,0),INDEX($J$12:$K$25,MATCH($B536,$I$12:$I$25,0),J$11)))</f>
        <v>9.9</v>
      </c>
      <c r="D536" s="1161" t="str">
        <f>IF(B552="","",INDEX(NXetHKI!$B$3:$CL$57,MATCH(InNXKI!B552,NXetHKI!$B$3:$B$57,0),INDEX($J$12:$K$25,MATCH($B536,$I$12:$I$25,0),K$11)))</f>
        <v>Học giỏi, thông minh, cần phát huy.</v>
      </c>
      <c r="E536" s="1162"/>
      <c r="F536" s="805"/>
      <c r="H536" s="64"/>
      <c r="I536" s="64"/>
    </row>
    <row r="537" spans="1:9" ht="32.25" customHeight="1">
      <c r="A537" s="803" t="s">
        <v>194</v>
      </c>
      <c r="B537" s="804" t="s">
        <v>29</v>
      </c>
      <c r="C537" s="805">
        <f>IF(B552="","",INDEX(NXetHKI!$B$3:$CL$57,MATCH(InNXKI!B552,NXetHKI!$B$3:$B$57,0),INDEX($J$12:$K$25,MATCH($B537,$I$12:$I$25,0),J$11)))</f>
        <v>9.4</v>
      </c>
      <c r="D537" s="1161" t="str">
        <f>IF(B552="","",INDEX(NXetHKI!$B$3:$CL$57,MATCH(InNXKI!B552,NXetHKI!$B$3:$B$57,0),INDEX($J$12:$K$25,MATCH($B537,$I$12:$I$25,0),K$11)))</f>
        <v>Sáng tạo, hoạt động nhóm rất tốt, biết chia sẻ kết quả học tập với bạn.</v>
      </c>
      <c r="E537" s="1162"/>
      <c r="F537" s="805"/>
      <c r="H537" s="64"/>
      <c r="I537" s="64"/>
    </row>
    <row r="538" spans="1:9" ht="32.25" customHeight="1">
      <c r="A538" s="803" t="s">
        <v>195</v>
      </c>
      <c r="B538" s="804" t="s">
        <v>120</v>
      </c>
      <c r="C538" s="805">
        <f>IF(B552="","",INDEX(NXetHKI!$B$3:$CL$57,MATCH(InNXKI!B552,NXetHKI!$B$3:$B$57,0),INDEX($J$12:$K$25,MATCH($B538,$I$12:$I$25,0),J$11)))</f>
        <v>9.8000000000000007</v>
      </c>
      <c r="D538" s="1161" t="str">
        <f>IF(B552="","",INDEX(NXetHKI!$B$3:$CL$57,MATCH(InNXKI!B552,NXetHKI!$B$3:$B$57,0),INDEX($J$12:$K$25,MATCH($B538,$I$12:$I$25,0),K$11)))</f>
        <v>Rất ngoan, cố gắng có hiệu quả.</v>
      </c>
      <c r="E538" s="1162"/>
      <c r="F538" s="805"/>
      <c r="H538" s="64"/>
      <c r="I538" s="64"/>
    </row>
    <row r="539" spans="1:9" ht="32.25" customHeight="1">
      <c r="A539" s="803" t="s">
        <v>196</v>
      </c>
      <c r="B539" s="804" t="s">
        <v>30</v>
      </c>
      <c r="C539" s="805">
        <f>IF(B552="","",INDEX(NXetHKI!$B$3:$CL$57,MATCH(InNXKI!B552,NXetHKI!$B$3:$B$57,0),INDEX($J$12:$K$25,MATCH($B539,$I$12:$I$25,0),J$11)))</f>
        <v>7.5</v>
      </c>
      <c r="D539" s="1161" t="str">
        <f>IF(B552="","",INDEX(NXetHKI!$B$3:$CL$57,MATCH(InNXKI!B552,NXetHKI!$B$3:$B$57,0),INDEX($J$12:$K$25,MATCH($B539,$I$12:$I$25,0),K$11)))</f>
        <v>Có năng khiếu, tự giác, cảm nhận được văn bản.</v>
      </c>
      <c r="E539" s="1162"/>
      <c r="F539" s="805"/>
      <c r="H539" s="64"/>
      <c r="I539" s="64"/>
    </row>
    <row r="540" spans="1:9" ht="32.25" customHeight="1">
      <c r="A540" s="803" t="s">
        <v>197</v>
      </c>
      <c r="B540" s="804" t="s">
        <v>31</v>
      </c>
      <c r="C540" s="805">
        <f>IF(B552="","",INDEX(NXetHKI!$B$3:$CL$57,MATCH(InNXKI!B552,NXetHKI!$B$3:$B$57,0),INDEX($J$12:$K$25,MATCH($B540,$I$12:$I$25,0),J$11)))</f>
        <v>9.4</v>
      </c>
      <c r="D540" s="1161" t="str">
        <f>IF(B552="","",INDEX(NXetHKI!$B$3:$CL$57,MATCH(InNXKI!B552,NXetHKI!$B$3:$B$57,0),INDEX($J$12:$K$25,MATCH($B540,$I$12:$I$25,0),K$11)))</f>
        <v>Chăm ngoan, tích cực, chủ động tiếp thu bài học.</v>
      </c>
      <c r="E540" s="1162"/>
      <c r="F540" s="805"/>
      <c r="H540" s="64"/>
      <c r="I540" s="64"/>
    </row>
    <row r="541" spans="1:9" ht="32.25" customHeight="1">
      <c r="A541" s="803" t="s">
        <v>198</v>
      </c>
      <c r="B541" s="804" t="s">
        <v>32</v>
      </c>
      <c r="C541" s="805">
        <f>IF(B552="","",INDEX(NXetHKI!$B$3:$CL$57,MATCH(InNXKI!B552,NXetHKI!$B$3:$B$57,0),INDEX($J$12:$K$25,MATCH($B541,$I$12:$I$25,0),J$11)))</f>
        <v>9.6</v>
      </c>
      <c r="D541" s="1161" t="str">
        <f>IF(B552="","",INDEX(NXetHKI!$B$3:$CL$57,MATCH(InNXKI!B552,NXetHKI!$B$3:$B$57,0),INDEX($J$12:$K$25,MATCH($B541,$I$12:$I$25,0),K$11)))</f>
        <v>Em rất ngoan, cố gắng có hiệu quả.</v>
      </c>
      <c r="E541" s="1162"/>
      <c r="F541" s="805"/>
      <c r="H541" s="64"/>
      <c r="I541" s="64"/>
    </row>
    <row r="542" spans="1:9" ht="32.25" customHeight="1">
      <c r="A542" s="803" t="s">
        <v>199</v>
      </c>
      <c r="B542" s="804" t="s">
        <v>33</v>
      </c>
      <c r="C542" s="805">
        <f>IF(B552="","",INDEX(NXetHKI!$B$3:$CL$57,MATCH(InNXKI!B552,NXetHKI!$B$3:$B$57,0),INDEX($J$12:$K$25,MATCH($B542,$I$12:$I$25,0),J$11)))</f>
        <v>9.4</v>
      </c>
      <c r="D542" s="1161" t="str">
        <f>IF(B552="","",INDEX(NXetHKI!$B$3:$CL$57,MATCH(InNXKI!B552,NXetHKI!$B$3:$B$57,0),INDEX($J$12:$K$25,MATCH($B542,$I$12:$I$25,0),K$11)))</f>
        <v>Có năng khiếu, tự tin, giao tiếp tốt và có khả năng làm việc nhóm.</v>
      </c>
      <c r="E542" s="1162"/>
      <c r="F542" s="805"/>
      <c r="H542" s="64"/>
      <c r="I542" s="64"/>
    </row>
    <row r="543" spans="1:9" ht="32.25" customHeight="1">
      <c r="A543" s="803" t="s">
        <v>200</v>
      </c>
      <c r="B543" s="804" t="s">
        <v>60</v>
      </c>
      <c r="C543" s="805">
        <f>IF(B552="","",INDEX(NXetHKI!$B$3:$CL$57,MATCH(InNXKI!B552,NXetHKI!$B$3:$B$57,0),INDEX($J$12:$K$25,MATCH($B543,$I$12:$I$25,0),J$11)))</f>
        <v>9.6</v>
      </c>
      <c r="D543" s="1161" t="str">
        <f>IF(B552="","",INDEX(NXetHKI!$B$3:$CL$57,MATCH(InNXKI!B552,NXetHKI!$B$3:$B$57,0),INDEX($J$12:$K$25,MATCH($B543,$I$12:$I$25,0),K$11)))</f>
        <v>Hứng thú, có trách nhiệm học tập tốt.</v>
      </c>
      <c r="E543" s="1162"/>
      <c r="F543" s="805"/>
      <c r="H543" s="64"/>
      <c r="I543" s="64"/>
    </row>
    <row r="544" spans="1:9" ht="32.25" customHeight="1">
      <c r="A544" s="803" t="s">
        <v>201</v>
      </c>
      <c r="B544" s="804" t="s">
        <v>34</v>
      </c>
      <c r="C544" s="805">
        <f>IF(B552="","",INDEX(NXetHKI!$B$3:$CL$57,MATCH(InNXKI!B552,NXetHKI!$B$3:$B$57,0),INDEX($J$12:$K$25,MATCH($B544,$I$12:$I$25,0),J$11)))</f>
        <v>9.8000000000000007</v>
      </c>
      <c r="D544" s="1161" t="str">
        <f>IF(B552="","",INDEX(NXetHKI!$B$3:$CL$57,MATCH(InNXKI!B552,NXetHKI!$B$3:$B$57,0),INDEX($J$12:$K$25,MATCH($B544,$I$12:$I$25,0),K$11)))</f>
        <v>Học giỏi, năng động, chăm ngoan.</v>
      </c>
      <c r="E544" s="1162"/>
      <c r="F544" s="805"/>
      <c r="H544" s="64"/>
      <c r="I544" s="64"/>
    </row>
    <row r="545" spans="1:9" ht="32.25" customHeight="1">
      <c r="A545" s="803" t="s">
        <v>202</v>
      </c>
      <c r="B545" s="804" t="s">
        <v>35</v>
      </c>
      <c r="C545" s="805" t="str">
        <f>IF(B552="","",INDEX(NXetHKI!$B$3:$CL$57,MATCH(InNXKI!B552,NXetHKI!$B$3:$B$57,0),INDEX($J$12:$K$25,MATCH($B545,$I$12:$I$25,0),J$11)))</f>
        <v>Đ</v>
      </c>
      <c r="D545" s="1161" t="str">
        <f>IF(B552="","",INDEX(NXetHKI!$B$3:$CL$57,MATCH(InNXKI!B552,NXetHKI!$B$3:$B$57,0),INDEX($J$12:$K$25,MATCH($B545,$I$12:$I$25,0),K$11)))</f>
        <v>Chăm chỉ, cố gắng, rất ngoan.</v>
      </c>
      <c r="E545" s="1162"/>
      <c r="F545" s="805"/>
      <c r="H545" s="64"/>
      <c r="I545" s="64"/>
    </row>
    <row r="546" spans="1:9" ht="32.25" customHeight="1">
      <c r="A546" s="803" t="s">
        <v>203</v>
      </c>
      <c r="B546" s="804" t="s">
        <v>121</v>
      </c>
      <c r="C546" s="805">
        <f>IF(B552="","",INDEX(NXetHKI!$B$3:$CL$57,MATCH(InNXKI!B552,NXetHKI!$B$3:$B$57,0),INDEX($J$12:$K$25,MATCH($B546,$I$12:$I$25,0),J$11)))</f>
        <v>9.9</v>
      </c>
      <c r="D546" s="1161" t="str">
        <f>IF(B552="","",INDEX(NXetHKI!$B$3:$CL$57,MATCH(InNXKI!B552,NXetHKI!$B$3:$B$57,0),INDEX($J$12:$K$25,MATCH($B546,$I$12:$I$25,0),K$11)))</f>
        <v>Siêng năng, lễ phép, thành thạo thực hành, học giỏi.</v>
      </c>
      <c r="E546" s="1162"/>
      <c r="F546" s="805"/>
      <c r="H546" s="64"/>
      <c r="I546" s="64"/>
    </row>
    <row r="547" spans="1:9" ht="32.25" customHeight="1">
      <c r="A547" s="803">
        <v>14</v>
      </c>
      <c r="B547" s="804" t="s">
        <v>122</v>
      </c>
      <c r="C547" s="805" t="str">
        <f>IF(B552="","",INDEX(NXetHKI!$B$3:$CL$57,MATCH(InNXKI!B552,NXetHKI!$B$3:$B$57,0),INDEX($J$12:$K$25,MATCH($B547,$I$12:$I$25,0),J$11)))</f>
        <v/>
      </c>
      <c r="D547" s="1161" t="str">
        <f>IF(B552="","",INDEX(NXetHKI!$B$3:$CL$57,MATCH(InNXKI!B552,NXetHKI!$B$3:$B$57,0),INDEX($J$12:$K$25,MATCH($B547,$I$12:$I$25,0),K$11)))</f>
        <v/>
      </c>
      <c r="E547" s="1162"/>
      <c r="F547" s="805"/>
      <c r="H547" s="64"/>
    </row>
    <row r="548" spans="1:9" ht="12" customHeight="1"/>
    <row r="549" spans="1:9" ht="21.75" customHeight="1">
      <c r="D549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549" s="1163"/>
      <c r="F549" s="1163"/>
    </row>
    <row r="550" spans="1:9">
      <c r="D550" s="992" t="s">
        <v>377</v>
      </c>
      <c r="E550" s="992"/>
      <c r="F550" s="992"/>
    </row>
    <row r="551" spans="1:9" ht="81" customHeight="1">
      <c r="D551" s="923" t="str">
        <f>IF('Huong dan'!$E$5="","",'Huong dan'!$E$5)</f>
        <v/>
      </c>
      <c r="E551" s="923"/>
      <c r="F551" s="923"/>
    </row>
    <row r="552" spans="1:9">
      <c r="A552" s="811"/>
      <c r="B552" s="711">
        <f>IF(B523="","",IF(B523&lt;MAX(NXetHKI!$B$3:$B$57),B523+1,""))</f>
        <v>19</v>
      </c>
      <c r="C552" s="811"/>
      <c r="D552" s="1157"/>
      <c r="E552" s="1157"/>
      <c r="F552" s="1157"/>
    </row>
    <row r="553" spans="1:9" s="60" customFormat="1" ht="24.75" customHeight="1">
      <c r="A553" s="1128" t="str">
        <f>IF('Huong dan'!$E$3&lt;&gt;"","SỞ GIÁO DỤC VÀ ĐÀO TẠO "&amp;UPPER('Huong dan'!$E$3),"")</f>
        <v>SỞ GIÁO DỤC VÀ ĐÀO TẠO TP. HỒ CHÍ MINH</v>
      </c>
      <c r="B553" s="1128"/>
      <c r="C553" s="1128"/>
      <c r="D553" s="1128"/>
      <c r="E553" s="1129" t="s">
        <v>19</v>
      </c>
      <c r="F553" s="1129"/>
    </row>
    <row r="554" spans="1:9" ht="17.25" customHeight="1">
      <c r="A554" s="992" t="str">
        <f>IF('Huong dan'!$E$4&lt;&gt;"","TRƯỜNG "&amp;UPPER('Huong dan'!$E$4),"")</f>
        <v>TRƯỜNG THCS VÀ THPT NGUYỄN KHUYẾN</v>
      </c>
      <c r="B554" s="992"/>
      <c r="C554" s="992"/>
      <c r="D554" s="992"/>
      <c r="E554" s="1130" t="s">
        <v>179</v>
      </c>
      <c r="F554" s="1130"/>
    </row>
    <row r="555" spans="1:9" ht="20.25" customHeight="1">
      <c r="A555" s="69"/>
      <c r="B555" s="69"/>
      <c r="C555" s="30"/>
      <c r="D555" s="30"/>
    </row>
    <row r="556" spans="1:9" ht="28.5" customHeight="1">
      <c r="A556" s="1164" t="s">
        <v>567</v>
      </c>
      <c r="B556" s="1164"/>
      <c r="C556" s="1164"/>
      <c r="D556" s="1164"/>
      <c r="E556" s="1164"/>
      <c r="F556" s="1164"/>
    </row>
    <row r="557" spans="1:9" ht="24.75" customHeight="1">
      <c r="A557" s="1164" t="str">
        <f>"HỌC KỲ I NĂM HỌC "&amp;'Huong dan'!$C$5</f>
        <v>HỌC KỲ I NĂM HỌC 2021 - 2022</v>
      </c>
      <c r="B557" s="1164"/>
      <c r="C557" s="1164"/>
      <c r="D557" s="1164"/>
      <c r="E557" s="1164"/>
      <c r="F557" s="1164"/>
    </row>
    <row r="558" spans="1:9" ht="14.25" customHeight="1">
      <c r="A558" s="70"/>
      <c r="B558" s="66"/>
      <c r="C558" s="66"/>
      <c r="D558" s="66"/>
      <c r="E558" s="66"/>
      <c r="F558" s="66"/>
    </row>
    <row r="559" spans="1:9" ht="18.75" customHeight="1">
      <c r="A559" s="1158" t="s">
        <v>212</v>
      </c>
      <c r="B559" s="1158"/>
      <c r="C559" s="1158"/>
      <c r="D559" s="77" t="str">
        <f>IF(B581="","",INDEX(NXetHKI!$B$3:$CL$57,MATCH(InNXKI!B581,NXetHKI!$B$3:$B$57,0),3)&amp;" "&amp;INDEX(NXetHKI!$B$3:$CL$57,MATCH(InNXKI!B581,NXetHKI!$B$3:$B$57,0),4))</f>
        <v>Nguyễn Phúc Lâm</v>
      </c>
      <c r="E559" s="77"/>
      <c r="F559" s="77" t="str">
        <f>IF('Huong dan'!$C$3="","","Lớp: "&amp;'Huong dan'!$C$3)</f>
        <v>Lớp: 12A1</v>
      </c>
    </row>
    <row r="560" spans="1:9" ht="18.75" customHeight="1">
      <c r="A560" s="1158" t="s">
        <v>213</v>
      </c>
      <c r="B560" s="1158"/>
      <c r="C560" s="1158"/>
      <c r="D560" s="77" t="str">
        <f>INDEX(NXetHKI!$B$3:$CL$57,MATCH(InNXKI!B581,NXetHKI!$B$3:$B$57,0),5)</f>
        <v>02/04/2004</v>
      </c>
      <c r="E560" s="77"/>
      <c r="F560" s="841" t="str">
        <f>IF(B581="","","Nơi sinh: "&amp;INDEX(DiemHKI!$G$4:$G$58,MATCH(InNXKI!B581,DiemHKI!$B$4:$B$58,0),1))</f>
        <v>Nơi sinh: Bình Thuận</v>
      </c>
    </row>
    <row r="561" spans="1:9" ht="9.75" customHeight="1">
      <c r="A561" s="62"/>
      <c r="B561" s="62"/>
      <c r="C561" s="62"/>
      <c r="D561" s="62"/>
      <c r="E561" s="62"/>
      <c r="F561" s="62"/>
    </row>
    <row r="562" spans="1:9" ht="34.5" customHeight="1">
      <c r="A562" s="801" t="s">
        <v>0</v>
      </c>
      <c r="B562" s="801" t="s">
        <v>59</v>
      </c>
      <c r="C562" s="806" t="s">
        <v>360</v>
      </c>
      <c r="D562" s="1159" t="s">
        <v>568</v>
      </c>
      <c r="E562" s="1160"/>
      <c r="F562" s="802" t="s">
        <v>569</v>
      </c>
    </row>
    <row r="563" spans="1:9" ht="32.25" customHeight="1">
      <c r="A563" s="803" t="s">
        <v>191</v>
      </c>
      <c r="B563" s="804" t="s">
        <v>26</v>
      </c>
      <c r="C563" s="805">
        <f>IF(B581="","",INDEX(NXetHKI!$B$3:$CL$57,MATCH(InNXKI!B581,NXetHKI!$B$3:$B$57,0),INDEX($J$12:$K$25,MATCH($B563,$I$12:$I$25,0),J$11)))</f>
        <v>9.3000000000000007</v>
      </c>
      <c r="D563" s="1161" t="str">
        <f>IF(B581="","",INDEX(NXetHKI!$B$3:$CL$57,MATCH(InNXKI!B581,NXetHKI!$B$3:$B$57,0),INDEX($J$12:$K$25,MATCH($B563,$I$12:$I$25,0),K$11)))</f>
        <v>Em học giỏi, chăm ngoan, tính tự giác cao, rất tốt.</v>
      </c>
      <c r="E563" s="1162"/>
      <c r="F563" s="805"/>
      <c r="H563" s="64"/>
      <c r="I563" s="64"/>
    </row>
    <row r="564" spans="1:9" ht="32.25" customHeight="1">
      <c r="A564" s="803" t="s">
        <v>192</v>
      </c>
      <c r="B564" s="804" t="s">
        <v>27</v>
      </c>
      <c r="C564" s="805">
        <f>IF(B581="","",INDEX(NXetHKI!$B$3:$CL$57,MATCH(InNXKI!B581,NXetHKI!$B$3:$B$57,0),INDEX($J$12:$K$25,MATCH($B564,$I$12:$I$25,0),J$11)))</f>
        <v>8.9</v>
      </c>
      <c r="D564" s="1161" t="str">
        <f>IF(B581="","",INDEX(NXetHKI!$B$3:$CL$57,MATCH(InNXKI!B581,NXetHKI!$B$3:$B$57,0),INDEX($J$12:$K$25,MATCH($B564,$I$12:$I$25,0),K$11)))</f>
        <v>Em học tập tích cực, ngoan, luôn cố gắng, đáng khen.</v>
      </c>
      <c r="E564" s="1162"/>
      <c r="F564" s="805"/>
      <c r="H564" s="64"/>
      <c r="I564" s="64"/>
    </row>
    <row r="565" spans="1:9" ht="32.25" customHeight="1">
      <c r="A565" s="803" t="s">
        <v>193</v>
      </c>
      <c r="B565" s="804" t="s">
        <v>28</v>
      </c>
      <c r="C565" s="805">
        <f>IF(B581="","",INDEX(NXetHKI!$B$3:$CL$57,MATCH(InNXKI!B581,NXetHKI!$B$3:$B$57,0),INDEX($J$12:$K$25,MATCH($B565,$I$12:$I$25,0),J$11)))</f>
        <v>9.3000000000000007</v>
      </c>
      <c r="D565" s="1161" t="str">
        <f>IF(B581="","",INDEX(NXetHKI!$B$3:$CL$57,MATCH(InNXKI!B581,NXetHKI!$B$3:$B$57,0),INDEX($J$12:$K$25,MATCH($B565,$I$12:$I$25,0),K$11)))</f>
        <v>Kiến thức vững, tự học tốt, ngoan.</v>
      </c>
      <c r="E565" s="1162"/>
      <c r="F565" s="805"/>
      <c r="H565" s="64"/>
      <c r="I565" s="64"/>
    </row>
    <row r="566" spans="1:9" ht="32.25" customHeight="1">
      <c r="A566" s="803" t="s">
        <v>194</v>
      </c>
      <c r="B566" s="804" t="s">
        <v>29</v>
      </c>
      <c r="C566" s="805">
        <f>IF(B581="","",INDEX(NXetHKI!$B$3:$CL$57,MATCH(InNXKI!B581,NXetHKI!$B$3:$B$57,0),INDEX($J$12:$K$25,MATCH($B566,$I$12:$I$25,0),J$11)))</f>
        <v>8.6</v>
      </c>
      <c r="D566" s="1161" t="str">
        <f>IF(B581="","",INDEX(NXetHKI!$B$3:$CL$57,MATCH(InNXKI!B581,NXetHKI!$B$3:$B$57,0),INDEX($J$12:$K$25,MATCH($B566,$I$12:$I$25,0),K$11)))</f>
        <v>Ngoan, khă năng tiếp nhận kiến thức tốt, vận dụng tốt.</v>
      </c>
      <c r="E566" s="1162"/>
      <c r="F566" s="805"/>
      <c r="H566" s="64"/>
      <c r="I566" s="64"/>
    </row>
    <row r="567" spans="1:9" ht="32.25" customHeight="1">
      <c r="A567" s="803" t="s">
        <v>195</v>
      </c>
      <c r="B567" s="804" t="s">
        <v>120</v>
      </c>
      <c r="C567" s="805">
        <f>IF(B581="","",INDEX(NXetHKI!$B$3:$CL$57,MATCH(InNXKI!B581,NXetHKI!$B$3:$B$57,0),INDEX($J$12:$K$25,MATCH($B567,$I$12:$I$25,0),J$11)))</f>
        <v>9.8000000000000007</v>
      </c>
      <c r="D567" s="1161" t="str">
        <f>IF(B581="","",INDEX(NXetHKI!$B$3:$CL$57,MATCH(InNXKI!B581,NXetHKI!$B$3:$B$57,0),INDEX($J$12:$K$25,MATCH($B567,$I$12:$I$25,0),K$11)))</f>
        <v>Ngoan, chăm chỉ, tư duy tốt.</v>
      </c>
      <c r="E567" s="1162"/>
      <c r="F567" s="805"/>
      <c r="H567" s="64"/>
      <c r="I567" s="64"/>
    </row>
    <row r="568" spans="1:9" ht="32.25" customHeight="1">
      <c r="A568" s="803" t="s">
        <v>196</v>
      </c>
      <c r="B568" s="804" t="s">
        <v>30</v>
      </c>
      <c r="C568" s="805">
        <f>IF(B581="","",INDEX(NXetHKI!$B$3:$CL$57,MATCH(InNXKI!B581,NXetHKI!$B$3:$B$57,0),INDEX($J$12:$K$25,MATCH($B568,$I$12:$I$25,0),J$11)))</f>
        <v>7.4</v>
      </c>
      <c r="D568" s="1161" t="str">
        <f>IF(B581="","",INDEX(NXetHKI!$B$3:$CL$57,MATCH(InNXKI!B581,NXetHKI!$B$3:$B$57,0),INDEX($J$12:$K$25,MATCH($B568,$I$12:$I$25,0),K$11)))</f>
        <v>Có ý thức học tập tốt, cần nỗ lực rèn luyện thêm các kỹ năng.</v>
      </c>
      <c r="E568" s="1162"/>
      <c r="F568" s="805"/>
      <c r="H568" s="64"/>
      <c r="I568" s="64"/>
    </row>
    <row r="569" spans="1:9" ht="32.25" customHeight="1">
      <c r="A569" s="803" t="s">
        <v>197</v>
      </c>
      <c r="B569" s="804" t="s">
        <v>31</v>
      </c>
      <c r="C569" s="805">
        <f>IF(B581="","",INDEX(NXetHKI!$B$3:$CL$57,MATCH(InNXKI!B581,NXetHKI!$B$3:$B$57,0),INDEX($J$12:$K$25,MATCH($B569,$I$12:$I$25,0),J$11)))</f>
        <v>9.6</v>
      </c>
      <c r="D569" s="1161" t="str">
        <f>IF(B581="","",INDEX(NXetHKI!$B$3:$CL$57,MATCH(InNXKI!B581,NXetHKI!$B$3:$B$57,0),INDEX($J$12:$K$25,MATCH($B569,$I$12:$I$25,0),K$11)))</f>
        <v>Tiếp thu bài tốt, ghi nhớ nhanh các sự kiện lịch sử.</v>
      </c>
      <c r="E569" s="1162"/>
      <c r="F569" s="805"/>
      <c r="H569" s="64"/>
      <c r="I569" s="64"/>
    </row>
    <row r="570" spans="1:9" ht="32.25" customHeight="1">
      <c r="A570" s="803" t="s">
        <v>198</v>
      </c>
      <c r="B570" s="804" t="s">
        <v>32</v>
      </c>
      <c r="C570" s="805">
        <f>IF(B581="","",INDEX(NXetHKI!$B$3:$CL$57,MATCH(InNXKI!B581,NXetHKI!$B$3:$B$57,0),INDEX($J$12:$K$25,MATCH($B570,$I$12:$I$25,0),J$11)))</f>
        <v>9.1</v>
      </c>
      <c r="D570" s="1161" t="str">
        <f>IF(B581="","",INDEX(NXetHKI!$B$3:$CL$57,MATCH(InNXKI!B581,NXetHKI!$B$3:$B$57,0),INDEX($J$12:$K$25,MATCH($B570,$I$12:$I$25,0),K$11)))</f>
        <v>Em có tư duy tốt, rất tích cực, giải quyết vấn đề tốt.</v>
      </c>
      <c r="E570" s="1162"/>
      <c r="F570" s="805"/>
      <c r="H570" s="64"/>
      <c r="I570" s="64"/>
    </row>
    <row r="571" spans="1:9" ht="32.25" customHeight="1">
      <c r="A571" s="803" t="s">
        <v>199</v>
      </c>
      <c r="B571" s="804" t="s">
        <v>33</v>
      </c>
      <c r="C571" s="805">
        <f>IF(B581="","",INDEX(NXetHKI!$B$3:$CL$57,MATCH(InNXKI!B581,NXetHKI!$B$3:$B$57,0),INDEX($J$12:$K$25,MATCH($B571,$I$12:$I$25,0),J$11)))</f>
        <v>7.4</v>
      </c>
      <c r="D571" s="1161" t="str">
        <f>IF(B581="","",INDEX(NXetHKI!$B$3:$CL$57,MATCH(InNXKI!B581,NXetHKI!$B$3:$B$57,0),INDEX($J$12:$K$25,MATCH($B571,$I$12:$I$25,0),K$11)))</f>
        <v>Nắm được nội dung bài học và vận dụng làm bài tập tốt.</v>
      </c>
      <c r="E571" s="1162"/>
      <c r="F571" s="805"/>
      <c r="H571" s="64"/>
      <c r="I571" s="64"/>
    </row>
    <row r="572" spans="1:9" ht="32.25" customHeight="1">
      <c r="A572" s="803" t="s">
        <v>200</v>
      </c>
      <c r="B572" s="804" t="s">
        <v>60</v>
      </c>
      <c r="C572" s="805">
        <f>IF(B581="","",INDEX(NXetHKI!$B$3:$CL$57,MATCH(InNXKI!B581,NXetHKI!$B$3:$B$57,0),INDEX($J$12:$K$25,MATCH($B572,$I$12:$I$25,0),J$11)))</f>
        <v>9.1</v>
      </c>
      <c r="D572" s="1161" t="str">
        <f>IF(B581="","",INDEX(NXetHKI!$B$3:$CL$57,MATCH(InNXKI!B581,NXetHKI!$B$3:$B$57,0),INDEX($J$12:$K$25,MATCH($B572,$I$12:$I$25,0),K$11)))</f>
        <v>Chăm chỉ, học giỏi.</v>
      </c>
      <c r="E572" s="1162"/>
      <c r="F572" s="805"/>
      <c r="H572" s="64"/>
      <c r="I572" s="64"/>
    </row>
    <row r="573" spans="1:9" ht="32.25" customHeight="1">
      <c r="A573" s="803" t="s">
        <v>201</v>
      </c>
      <c r="B573" s="804" t="s">
        <v>34</v>
      </c>
      <c r="C573" s="805">
        <f>IF(B581="","",INDEX(NXetHKI!$B$3:$CL$57,MATCH(InNXKI!B581,NXetHKI!$B$3:$B$57,0),INDEX($J$12:$K$25,MATCH($B573,$I$12:$I$25,0),J$11)))</f>
        <v>9.9</v>
      </c>
      <c r="D573" s="1161" t="str">
        <f>IF(B581="","",INDEX(NXetHKI!$B$3:$CL$57,MATCH(InNXKI!B581,NXetHKI!$B$3:$B$57,0),INDEX($J$12:$K$25,MATCH($B573,$I$12:$I$25,0),K$11)))</f>
        <v>Năng động, sáng tạo trong học tập.</v>
      </c>
      <c r="E573" s="1162"/>
      <c r="F573" s="805"/>
      <c r="H573" s="64"/>
      <c r="I573" s="64"/>
    </row>
    <row r="574" spans="1:9" ht="32.25" customHeight="1">
      <c r="A574" s="803" t="s">
        <v>202</v>
      </c>
      <c r="B574" s="804" t="s">
        <v>35</v>
      </c>
      <c r="C574" s="805" t="str">
        <f>IF(B581="","",INDEX(NXetHKI!$B$3:$CL$57,MATCH(InNXKI!B581,NXetHKI!$B$3:$B$57,0),INDEX($J$12:$K$25,MATCH($B574,$I$12:$I$25,0),J$11)))</f>
        <v>Đ</v>
      </c>
      <c r="D574" s="1161" t="str">
        <f>IF(B581="","",INDEX(NXetHKI!$B$3:$CL$57,MATCH(InNXKI!B581,NXetHKI!$B$3:$B$57,0),INDEX($J$12:$K$25,MATCH($B574,$I$12:$I$25,0),K$11)))</f>
        <v>Giỏi, có nhiều tiến bộ trong học tập.</v>
      </c>
      <c r="E574" s="1162"/>
      <c r="F574" s="805"/>
      <c r="H574" s="64"/>
      <c r="I574" s="64"/>
    </row>
    <row r="575" spans="1:9" ht="32.25" customHeight="1">
      <c r="A575" s="803" t="s">
        <v>203</v>
      </c>
      <c r="B575" s="804" t="s">
        <v>121</v>
      </c>
      <c r="C575" s="805">
        <f>IF(B581="","",INDEX(NXetHKI!$B$3:$CL$57,MATCH(InNXKI!B581,NXetHKI!$B$3:$B$57,0),INDEX($J$12:$K$25,MATCH($B575,$I$12:$I$25,0),J$11)))</f>
        <v>9.9</v>
      </c>
      <c r="D575" s="1161" t="str">
        <f>IF(B581="","",INDEX(NXetHKI!$B$3:$CL$57,MATCH(InNXKI!B581,NXetHKI!$B$3:$B$57,0),INDEX($J$12:$K$25,MATCH($B575,$I$12:$I$25,0),K$11)))</f>
        <v>Tích cực, năng động, nắm bài tốt, học giỏi.</v>
      </c>
      <c r="E575" s="1162"/>
      <c r="F575" s="805"/>
      <c r="H575" s="64"/>
      <c r="I575" s="64"/>
    </row>
    <row r="576" spans="1:9" ht="32.25" customHeight="1">
      <c r="A576" s="803">
        <v>14</v>
      </c>
      <c r="B576" s="804" t="s">
        <v>122</v>
      </c>
      <c r="C576" s="805" t="str">
        <f>IF(B581="","",INDEX(NXetHKI!$B$3:$CL$57,MATCH(InNXKI!B581,NXetHKI!$B$3:$B$57,0),INDEX($J$12:$K$25,MATCH($B576,$I$12:$I$25,0),J$11)))</f>
        <v/>
      </c>
      <c r="D576" s="1161" t="str">
        <f>IF(B581="","",INDEX(NXetHKI!$B$3:$CL$57,MATCH(InNXKI!B581,NXetHKI!$B$3:$B$57,0),INDEX($J$12:$K$25,MATCH($B576,$I$12:$I$25,0),K$11)))</f>
        <v/>
      </c>
      <c r="E576" s="1162"/>
      <c r="F576" s="805"/>
      <c r="H576" s="64"/>
    </row>
    <row r="577" spans="1:9" ht="12" customHeight="1"/>
    <row r="578" spans="1:9" ht="21.75" customHeight="1">
      <c r="D578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578" s="1163"/>
      <c r="F578" s="1163"/>
    </row>
    <row r="579" spans="1:9">
      <c r="D579" s="992" t="s">
        <v>377</v>
      </c>
      <c r="E579" s="992"/>
      <c r="F579" s="992"/>
    </row>
    <row r="580" spans="1:9" ht="81" customHeight="1">
      <c r="D580" s="923" t="str">
        <f>IF('Huong dan'!$E$5="","",'Huong dan'!$E$5)</f>
        <v/>
      </c>
      <c r="E580" s="923"/>
      <c r="F580" s="923"/>
    </row>
    <row r="581" spans="1:9">
      <c r="A581" s="811"/>
      <c r="B581" s="711">
        <f>IF(B552="","",IF(B552&lt;MAX(NXetHKI!$B$3:$B$57),B552+1,""))</f>
        <v>20</v>
      </c>
      <c r="C581" s="811"/>
      <c r="D581" s="1157"/>
      <c r="E581" s="1157"/>
      <c r="F581" s="1157"/>
    </row>
    <row r="582" spans="1:9" s="60" customFormat="1" ht="24.75" customHeight="1">
      <c r="A582" s="1128" t="str">
        <f>IF('Huong dan'!$E$3&lt;&gt;"","SỞ GIÁO DỤC VÀ ĐÀO TẠO "&amp;UPPER('Huong dan'!$E$3),"")</f>
        <v>SỞ GIÁO DỤC VÀ ĐÀO TẠO TP. HỒ CHÍ MINH</v>
      </c>
      <c r="B582" s="1128"/>
      <c r="C582" s="1128"/>
      <c r="D582" s="1128"/>
      <c r="E582" s="1129" t="s">
        <v>19</v>
      </c>
      <c r="F582" s="1129"/>
    </row>
    <row r="583" spans="1:9" ht="17.25" customHeight="1">
      <c r="A583" s="992" t="str">
        <f>IF('Huong dan'!$E$4&lt;&gt;"","TRƯỜNG "&amp;UPPER('Huong dan'!$E$4),"")</f>
        <v>TRƯỜNG THCS VÀ THPT NGUYỄN KHUYẾN</v>
      </c>
      <c r="B583" s="992"/>
      <c r="C583" s="992"/>
      <c r="D583" s="992"/>
      <c r="E583" s="1130" t="s">
        <v>179</v>
      </c>
      <c r="F583" s="1130"/>
    </row>
    <row r="584" spans="1:9" ht="20.25" customHeight="1">
      <c r="A584" s="69"/>
      <c r="B584" s="69"/>
      <c r="C584" s="30"/>
      <c r="D584" s="30"/>
    </row>
    <row r="585" spans="1:9" ht="28.5" customHeight="1">
      <c r="A585" s="1164" t="s">
        <v>567</v>
      </c>
      <c r="B585" s="1164"/>
      <c r="C585" s="1164"/>
      <c r="D585" s="1164"/>
      <c r="E585" s="1164"/>
      <c r="F585" s="1164"/>
    </row>
    <row r="586" spans="1:9" ht="24.75" customHeight="1">
      <c r="A586" s="1164" t="str">
        <f>"HỌC KỲ I NĂM HỌC "&amp;'Huong dan'!$C$5</f>
        <v>HỌC KỲ I NĂM HỌC 2021 - 2022</v>
      </c>
      <c r="B586" s="1164"/>
      <c r="C586" s="1164"/>
      <c r="D586" s="1164"/>
      <c r="E586" s="1164"/>
      <c r="F586" s="1164"/>
    </row>
    <row r="587" spans="1:9" ht="14.25" customHeight="1">
      <c r="A587" s="70"/>
      <c r="B587" s="66"/>
      <c r="C587" s="66"/>
      <c r="D587" s="66"/>
      <c r="E587" s="66"/>
      <c r="F587" s="66"/>
    </row>
    <row r="588" spans="1:9" ht="18.75" customHeight="1">
      <c r="A588" s="1158" t="s">
        <v>212</v>
      </c>
      <c r="B588" s="1158"/>
      <c r="C588" s="1158"/>
      <c r="D588" s="77" t="str">
        <f>IF(B610="","",INDEX(NXetHKI!$B$3:$CL$57,MATCH(InNXKI!B610,NXetHKI!$B$3:$B$57,0),3)&amp;" "&amp;INDEX(NXetHKI!$B$3:$CL$57,MATCH(InNXKI!B610,NXetHKI!$B$3:$B$57,0),4))</f>
        <v>Phạm Tấn Lộc</v>
      </c>
      <c r="E588" s="77"/>
      <c r="F588" s="77" t="str">
        <f>IF('Huong dan'!$C$3="","","Lớp: "&amp;'Huong dan'!$C$3)</f>
        <v>Lớp: 12A1</v>
      </c>
    </row>
    <row r="589" spans="1:9" ht="18.75" customHeight="1">
      <c r="A589" s="1158" t="s">
        <v>213</v>
      </c>
      <c r="B589" s="1158"/>
      <c r="C589" s="1158"/>
      <c r="D589" s="77" t="str">
        <f>INDEX(NXetHKI!$B$3:$CL$57,MATCH(InNXKI!B610,NXetHKI!$B$3:$B$57,0),5)</f>
        <v>05/07/2004</v>
      </c>
      <c r="E589" s="77"/>
      <c r="F589" s="841" t="str">
        <f>IF(B610="","","Nơi sinh: "&amp;INDEX(DiemHKI!$G$4:$G$58,MATCH(InNXKI!B610,DiemHKI!$B$4:$B$58,0),1))</f>
        <v>Nơi sinh: Khánh Hòa</v>
      </c>
    </row>
    <row r="590" spans="1:9" ht="9.75" customHeight="1">
      <c r="A590" s="62"/>
      <c r="B590" s="62"/>
      <c r="C590" s="62"/>
      <c r="D590" s="62"/>
      <c r="E590" s="62"/>
      <c r="F590" s="62"/>
    </row>
    <row r="591" spans="1:9" ht="34.5" customHeight="1">
      <c r="A591" s="801" t="s">
        <v>0</v>
      </c>
      <c r="B591" s="801" t="s">
        <v>59</v>
      </c>
      <c r="C591" s="806" t="s">
        <v>360</v>
      </c>
      <c r="D591" s="1159" t="s">
        <v>568</v>
      </c>
      <c r="E591" s="1160"/>
      <c r="F591" s="802" t="s">
        <v>569</v>
      </c>
    </row>
    <row r="592" spans="1:9" ht="32.25" customHeight="1">
      <c r="A592" s="803" t="s">
        <v>191</v>
      </c>
      <c r="B592" s="804" t="s">
        <v>26</v>
      </c>
      <c r="C592" s="805">
        <f>IF(B610="","",INDEX(NXetHKI!$B$3:$CL$57,MATCH(InNXKI!B610,NXetHKI!$B$3:$B$57,0),INDEX($J$12:$K$25,MATCH($B592,$I$12:$I$25,0),J$11)))</f>
        <v>9.5</v>
      </c>
      <c r="D592" s="1161" t="str">
        <f>IF(B610="","",INDEX(NXetHKI!$B$3:$CL$57,MATCH(InNXKI!B610,NXetHKI!$B$3:$B$57,0),INDEX($J$12:$K$25,MATCH($B592,$I$12:$I$25,0),K$11)))</f>
        <v>Em ngoan, tích cực, năng động, rất đáng khen.</v>
      </c>
      <c r="E592" s="1162"/>
      <c r="F592" s="805"/>
      <c r="H592" s="64"/>
      <c r="I592" s="64"/>
    </row>
    <row r="593" spans="1:9" ht="32.25" customHeight="1">
      <c r="A593" s="803" t="s">
        <v>192</v>
      </c>
      <c r="B593" s="804" t="s">
        <v>27</v>
      </c>
      <c r="C593" s="805">
        <f>IF(B610="","",INDEX(NXetHKI!$B$3:$CL$57,MATCH(InNXKI!B610,NXetHKI!$B$3:$B$57,0),INDEX($J$12:$K$25,MATCH($B593,$I$12:$I$25,0),J$11)))</f>
        <v>9.4</v>
      </c>
      <c r="D593" s="1161" t="str">
        <f>IF(B610="","",INDEX(NXetHKI!$B$3:$CL$57,MATCH(InNXKI!B610,NXetHKI!$B$3:$B$57,0),INDEX($J$12:$K$25,MATCH($B593,$I$12:$I$25,0),K$11)))</f>
        <v>Em ngoan, tích cực, năng động, rất đáng khen.</v>
      </c>
      <c r="E593" s="1162"/>
      <c r="F593" s="805"/>
      <c r="H593" s="64"/>
      <c r="I593" s="64"/>
    </row>
    <row r="594" spans="1:9" ht="32.25" customHeight="1">
      <c r="A594" s="803" t="s">
        <v>193</v>
      </c>
      <c r="B594" s="804" t="s">
        <v>28</v>
      </c>
      <c r="C594" s="805">
        <f>IF(B610="","",INDEX(NXetHKI!$B$3:$CL$57,MATCH(InNXKI!B610,NXetHKI!$B$3:$B$57,0),INDEX($J$12:$K$25,MATCH($B594,$I$12:$I$25,0),J$11)))</f>
        <v>9.1</v>
      </c>
      <c r="D594" s="1161" t="str">
        <f>IF(B610="","",INDEX(NXetHKI!$B$3:$CL$57,MATCH(InNXKI!B610,NXetHKI!$B$3:$B$57,0),INDEX($J$12:$K$25,MATCH($B594,$I$12:$I$25,0),K$11)))</f>
        <v>Kiến thức vững, sáng tạo, tự học tốt.</v>
      </c>
      <c r="E594" s="1162"/>
      <c r="F594" s="805"/>
      <c r="H594" s="64"/>
      <c r="I594" s="64"/>
    </row>
    <row r="595" spans="1:9" ht="32.25" customHeight="1">
      <c r="A595" s="803" t="s">
        <v>194</v>
      </c>
      <c r="B595" s="804" t="s">
        <v>29</v>
      </c>
      <c r="C595" s="805">
        <f>IF(B610="","",INDEX(NXetHKI!$B$3:$CL$57,MATCH(InNXKI!B610,NXetHKI!$B$3:$B$57,0),INDEX($J$12:$K$25,MATCH($B595,$I$12:$I$25,0),J$11)))</f>
        <v>8.8000000000000007</v>
      </c>
      <c r="D595" s="1161" t="str">
        <f>IF(B610="","",INDEX(NXetHKI!$B$3:$CL$57,MATCH(InNXKI!B610,NXetHKI!$B$3:$B$57,0),INDEX($J$12:$K$25,MATCH($B595,$I$12:$I$25,0),K$11)))</f>
        <v>Ngoan, khả năng tư duy tốt, có trách nhiệm, trình bày tốt.</v>
      </c>
      <c r="E595" s="1162"/>
      <c r="F595" s="805"/>
      <c r="H595" s="64"/>
      <c r="I595" s="64"/>
    </row>
    <row r="596" spans="1:9" ht="32.25" customHeight="1">
      <c r="A596" s="803" t="s">
        <v>195</v>
      </c>
      <c r="B596" s="804" t="s">
        <v>120</v>
      </c>
      <c r="C596" s="805">
        <f>IF(B610="","",INDEX(NXetHKI!$B$3:$CL$57,MATCH(InNXKI!B610,NXetHKI!$B$3:$B$57,0),INDEX($J$12:$K$25,MATCH($B596,$I$12:$I$25,0),J$11)))</f>
        <v>9.8000000000000007</v>
      </c>
      <c r="D596" s="1161" t="str">
        <f>IF(B610="","",INDEX(NXetHKI!$B$3:$CL$57,MATCH(InNXKI!B610,NXetHKI!$B$3:$B$57,0),INDEX($J$12:$K$25,MATCH($B596,$I$12:$I$25,0),K$11)))</f>
        <v>Học giỏi, năng động và sáng tạo trong học tập.</v>
      </c>
      <c r="E596" s="1162"/>
      <c r="F596" s="805"/>
      <c r="H596" s="64"/>
      <c r="I596" s="64"/>
    </row>
    <row r="597" spans="1:9" ht="32.25" customHeight="1">
      <c r="A597" s="803" t="s">
        <v>196</v>
      </c>
      <c r="B597" s="804" t="s">
        <v>30</v>
      </c>
      <c r="C597" s="805">
        <f>IF(B610="","",INDEX(NXetHKI!$B$3:$CL$57,MATCH(InNXKI!B610,NXetHKI!$B$3:$B$57,0),INDEX($J$12:$K$25,MATCH($B597,$I$12:$I$25,0),J$11)))</f>
        <v>7.3</v>
      </c>
      <c r="D597" s="1161" t="str">
        <f>IF(B610="","",INDEX(NXetHKI!$B$3:$CL$57,MATCH(InNXKI!B610,NXetHKI!$B$3:$B$57,0),INDEX($J$12:$K$25,MATCH($B597,$I$12:$I$25,0),K$11)))</f>
        <v>Cần tích cực rèn thêm kỹ năng đọc, viết.</v>
      </c>
      <c r="E597" s="1162"/>
      <c r="F597" s="805"/>
      <c r="H597" s="64"/>
      <c r="I597" s="64"/>
    </row>
    <row r="598" spans="1:9" ht="32.25" customHeight="1">
      <c r="A598" s="803" t="s">
        <v>197</v>
      </c>
      <c r="B598" s="804" t="s">
        <v>31</v>
      </c>
      <c r="C598" s="805">
        <f>IF(B610="","",INDEX(NXetHKI!$B$3:$CL$57,MATCH(InNXKI!B610,NXetHKI!$B$3:$B$57,0),INDEX($J$12:$K$25,MATCH($B598,$I$12:$I$25,0),J$11)))</f>
        <v>9.8000000000000007</v>
      </c>
      <c r="D598" s="1161" t="str">
        <f>IF(B610="","",INDEX(NXetHKI!$B$3:$CL$57,MATCH(InNXKI!B610,NXetHKI!$B$3:$B$57,0),INDEX($J$12:$K$25,MATCH($B598,$I$12:$I$25,0),K$11)))</f>
        <v>Chăm học, tích cực phát biểu xây dựng bài.</v>
      </c>
      <c r="E598" s="1162"/>
      <c r="F598" s="805"/>
      <c r="H598" s="64"/>
      <c r="I598" s="64"/>
    </row>
    <row r="599" spans="1:9" ht="32.25" customHeight="1">
      <c r="A599" s="803" t="s">
        <v>198</v>
      </c>
      <c r="B599" s="804" t="s">
        <v>32</v>
      </c>
      <c r="C599" s="805">
        <f>IF(B610="","",INDEX(NXetHKI!$B$3:$CL$57,MATCH(InNXKI!B610,NXetHKI!$B$3:$B$57,0),INDEX($J$12:$K$25,MATCH($B599,$I$12:$I$25,0),J$11)))</f>
        <v>9.9</v>
      </c>
      <c r="D599" s="1161" t="str">
        <f>IF(B610="","",INDEX(NXetHKI!$B$3:$CL$57,MATCH(InNXKI!B610,NXetHKI!$B$3:$B$57,0),INDEX($J$12:$K$25,MATCH($B599,$I$12:$I$25,0),K$11)))</f>
        <v>Em có tư duy tốt, tích cực, vận dụng thực tế tốt.</v>
      </c>
      <c r="E599" s="1162"/>
      <c r="F599" s="805"/>
      <c r="H599" s="64"/>
      <c r="I599" s="64"/>
    </row>
    <row r="600" spans="1:9" ht="32.25" customHeight="1">
      <c r="A600" s="803" t="s">
        <v>199</v>
      </c>
      <c r="B600" s="804" t="s">
        <v>33</v>
      </c>
      <c r="C600" s="805">
        <f>IF(B610="","",INDEX(NXetHKI!$B$3:$CL$57,MATCH(InNXKI!B610,NXetHKI!$B$3:$B$57,0),INDEX($J$12:$K$25,MATCH($B600,$I$12:$I$25,0),J$11)))</f>
        <v>8.8000000000000007</v>
      </c>
      <c r="D600" s="1161" t="str">
        <f>IF(B610="","",INDEX(NXetHKI!$B$3:$CL$57,MATCH(InNXKI!B610,NXetHKI!$B$3:$B$57,0),INDEX($J$12:$K$25,MATCH($B600,$I$12:$I$25,0),K$11)))</f>
        <v>Chăm chỉ, tích cực phát biểu và phát âm tốt.</v>
      </c>
      <c r="E600" s="1162"/>
      <c r="F600" s="805"/>
      <c r="H600" s="64"/>
      <c r="I600" s="64"/>
    </row>
    <row r="601" spans="1:9" ht="32.25" customHeight="1">
      <c r="A601" s="803" t="s">
        <v>200</v>
      </c>
      <c r="B601" s="804" t="s">
        <v>60</v>
      </c>
      <c r="C601" s="805">
        <f>IF(B610="","",INDEX(NXetHKI!$B$3:$CL$57,MATCH(InNXKI!B610,NXetHKI!$B$3:$B$57,0),INDEX($J$12:$K$25,MATCH($B601,$I$12:$I$25,0),J$11)))</f>
        <v>8.8000000000000007</v>
      </c>
      <c r="D601" s="1161" t="str">
        <f>IF(B610="","",INDEX(NXetHKI!$B$3:$CL$57,MATCH(InNXKI!B610,NXetHKI!$B$3:$B$57,0),INDEX($J$12:$K$25,MATCH($B601,$I$12:$I$25,0),K$11)))</f>
        <v>Chủ động, nhân ái, học giỏi.</v>
      </c>
      <c r="E601" s="1162"/>
      <c r="F601" s="805"/>
      <c r="H601" s="64"/>
      <c r="I601" s="64"/>
    </row>
    <row r="602" spans="1:9" ht="32.25" customHeight="1">
      <c r="A602" s="803" t="s">
        <v>201</v>
      </c>
      <c r="B602" s="804" t="s">
        <v>34</v>
      </c>
      <c r="C602" s="805">
        <f>IF(B610="","",INDEX(NXetHKI!$B$3:$CL$57,MATCH(InNXKI!B610,NXetHKI!$B$3:$B$57,0),INDEX($J$12:$K$25,MATCH($B602,$I$12:$I$25,0),J$11)))</f>
        <v>9.8000000000000007</v>
      </c>
      <c r="D602" s="1161" t="str">
        <f>IF(B610="","",INDEX(NXetHKI!$B$3:$CL$57,MATCH(InNXKI!B610,NXetHKI!$B$3:$B$57,0),INDEX($J$12:$K$25,MATCH($B602,$I$12:$I$25,0),K$11)))</f>
        <v>Học giỏi, tiếp thu nhanh, chăm ngoan.</v>
      </c>
      <c r="E602" s="1162"/>
      <c r="F602" s="805"/>
      <c r="H602" s="64"/>
      <c r="I602" s="64"/>
    </row>
    <row r="603" spans="1:9" ht="32.25" customHeight="1">
      <c r="A603" s="803" t="s">
        <v>202</v>
      </c>
      <c r="B603" s="804" t="s">
        <v>35</v>
      </c>
      <c r="C603" s="805" t="str">
        <f>IF(B610="","",INDEX(NXetHKI!$B$3:$CL$57,MATCH(InNXKI!B610,NXetHKI!$B$3:$B$57,0),INDEX($J$12:$K$25,MATCH($B603,$I$12:$I$25,0),J$11)))</f>
        <v>Đ</v>
      </c>
      <c r="D603" s="1161" t="str">
        <f>IF(B610="","",INDEX(NXetHKI!$B$3:$CL$57,MATCH(InNXKI!B610,NXetHKI!$B$3:$B$57,0),INDEX($J$12:$K$25,MATCH($B603,$I$12:$I$25,0),K$11)))</f>
        <v>Rất ngoan, học có hiệu quả tốt.</v>
      </c>
      <c r="E603" s="1162"/>
      <c r="F603" s="805"/>
      <c r="H603" s="64"/>
      <c r="I603" s="64"/>
    </row>
    <row r="604" spans="1:9" ht="32.25" customHeight="1">
      <c r="A604" s="803" t="s">
        <v>203</v>
      </c>
      <c r="B604" s="804" t="s">
        <v>121</v>
      </c>
      <c r="C604" s="805">
        <f>IF(B610="","",INDEX(NXetHKI!$B$3:$CL$57,MATCH(InNXKI!B610,NXetHKI!$B$3:$B$57,0),INDEX($J$12:$K$25,MATCH($B604,$I$12:$I$25,0),J$11)))</f>
        <v>9.9</v>
      </c>
      <c r="D604" s="1161" t="str">
        <f>IF(B610="","",INDEX(NXetHKI!$B$3:$CL$57,MATCH(InNXKI!B610,NXetHKI!$B$3:$B$57,0),INDEX($J$12:$K$25,MATCH($B604,$I$12:$I$25,0),K$11)))</f>
        <v>Ngoan, tích cực xây dựng bài, nắm chắc thực hành, học giỏi.</v>
      </c>
      <c r="E604" s="1162"/>
      <c r="F604" s="805"/>
      <c r="H604" s="64"/>
      <c r="I604" s="64"/>
    </row>
    <row r="605" spans="1:9" ht="32.25" customHeight="1">
      <c r="A605" s="803">
        <v>14</v>
      </c>
      <c r="B605" s="804" t="s">
        <v>122</v>
      </c>
      <c r="C605" s="805" t="str">
        <f>IF(B610="","",INDEX(NXetHKI!$B$3:$CL$57,MATCH(InNXKI!B610,NXetHKI!$B$3:$B$57,0),INDEX($J$12:$K$25,MATCH($B605,$I$12:$I$25,0),J$11)))</f>
        <v/>
      </c>
      <c r="D605" s="1161" t="str">
        <f>IF(B610="","",INDEX(NXetHKI!$B$3:$CL$57,MATCH(InNXKI!B610,NXetHKI!$B$3:$B$57,0),INDEX($J$12:$K$25,MATCH($B605,$I$12:$I$25,0),K$11)))</f>
        <v/>
      </c>
      <c r="E605" s="1162"/>
      <c r="F605" s="805"/>
      <c r="H605" s="64"/>
    </row>
    <row r="606" spans="1:9" ht="12" customHeight="1"/>
    <row r="607" spans="1:9" ht="21.75" customHeight="1">
      <c r="D607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607" s="1163"/>
      <c r="F607" s="1163"/>
    </row>
    <row r="608" spans="1:9">
      <c r="D608" s="992" t="s">
        <v>377</v>
      </c>
      <c r="E608" s="992"/>
      <c r="F608" s="992"/>
    </row>
    <row r="609" spans="1:9" ht="81" customHeight="1">
      <c r="D609" s="923" t="str">
        <f>IF('Huong dan'!$E$5="","",'Huong dan'!$E$5)</f>
        <v/>
      </c>
      <c r="E609" s="923"/>
      <c r="F609" s="923"/>
    </row>
    <row r="610" spans="1:9">
      <c r="A610" s="811"/>
      <c r="B610" s="711">
        <f>IF(B581="","",IF(B581&lt;MAX(NXetHKI!$B$3:$B$57),B581+1,""))</f>
        <v>21</v>
      </c>
      <c r="C610" s="811"/>
      <c r="D610" s="1157"/>
      <c r="E610" s="1157"/>
      <c r="F610" s="1157"/>
    </row>
    <row r="611" spans="1:9" s="60" customFormat="1" ht="24.75" customHeight="1">
      <c r="A611" s="1128" t="str">
        <f>IF('Huong dan'!$E$3&lt;&gt;"","SỞ GIÁO DỤC VÀ ĐÀO TẠO "&amp;UPPER('Huong dan'!$E$3),"")</f>
        <v>SỞ GIÁO DỤC VÀ ĐÀO TẠO TP. HỒ CHÍ MINH</v>
      </c>
      <c r="B611" s="1128"/>
      <c r="C611" s="1128"/>
      <c r="D611" s="1128"/>
      <c r="E611" s="1129" t="s">
        <v>19</v>
      </c>
      <c r="F611" s="1129"/>
    </row>
    <row r="612" spans="1:9" ht="17.25" customHeight="1">
      <c r="A612" s="992" t="str">
        <f>IF('Huong dan'!$E$4&lt;&gt;"","TRƯỜNG "&amp;UPPER('Huong dan'!$E$4),"")</f>
        <v>TRƯỜNG THCS VÀ THPT NGUYỄN KHUYẾN</v>
      </c>
      <c r="B612" s="992"/>
      <c r="C612" s="992"/>
      <c r="D612" s="992"/>
      <c r="E612" s="1130" t="s">
        <v>179</v>
      </c>
      <c r="F612" s="1130"/>
    </row>
    <row r="613" spans="1:9" ht="20.25" customHeight="1">
      <c r="A613" s="69"/>
      <c r="B613" s="69"/>
      <c r="C613" s="30"/>
      <c r="D613" s="30"/>
    </row>
    <row r="614" spans="1:9" ht="28.5" customHeight="1">
      <c r="A614" s="1164" t="s">
        <v>567</v>
      </c>
      <c r="B614" s="1164"/>
      <c r="C614" s="1164"/>
      <c r="D614" s="1164"/>
      <c r="E614" s="1164"/>
      <c r="F614" s="1164"/>
    </row>
    <row r="615" spans="1:9" ht="24.75" customHeight="1">
      <c r="A615" s="1164" t="str">
        <f>"HỌC KỲ I NĂM HỌC "&amp;'Huong dan'!$C$5</f>
        <v>HỌC KỲ I NĂM HỌC 2021 - 2022</v>
      </c>
      <c r="B615" s="1164"/>
      <c r="C615" s="1164"/>
      <c r="D615" s="1164"/>
      <c r="E615" s="1164"/>
      <c r="F615" s="1164"/>
    </row>
    <row r="616" spans="1:9" ht="14.25" customHeight="1">
      <c r="A616" s="70"/>
      <c r="B616" s="66"/>
      <c r="C616" s="66"/>
      <c r="D616" s="66"/>
      <c r="E616" s="66"/>
      <c r="F616" s="66"/>
    </row>
    <row r="617" spans="1:9" ht="18.75" customHeight="1">
      <c r="A617" s="1158" t="s">
        <v>212</v>
      </c>
      <c r="B617" s="1158"/>
      <c r="C617" s="1158"/>
      <c r="D617" s="77" t="str">
        <f>IF(B639="","",INDEX(NXetHKI!$B$3:$CL$57,MATCH(InNXKI!B639,NXetHKI!$B$3:$B$57,0),3)&amp;" "&amp;INDEX(NXetHKI!$B$3:$CL$57,MATCH(InNXKI!B639,NXetHKI!$B$3:$B$57,0),4))</f>
        <v>Phạm Thị Khả  My</v>
      </c>
      <c r="E617" s="77"/>
      <c r="F617" s="77" t="str">
        <f>IF('Huong dan'!$C$3="","","Lớp: "&amp;'Huong dan'!$C$3)</f>
        <v>Lớp: 12A1</v>
      </c>
    </row>
    <row r="618" spans="1:9" ht="18.75" customHeight="1">
      <c r="A618" s="1158" t="s">
        <v>213</v>
      </c>
      <c r="B618" s="1158"/>
      <c r="C618" s="1158"/>
      <c r="D618" s="77" t="str">
        <f>INDEX(NXetHKI!$B$3:$CL$57,MATCH(InNXKI!B639,NXetHKI!$B$3:$B$57,0),5)</f>
        <v>28/02/2004</v>
      </c>
      <c r="E618" s="77"/>
      <c r="F618" s="841" t="str">
        <f>IF(B639="","","Nơi sinh: "&amp;INDEX(DiemHKI!$G$4:$G$58,MATCH(InNXKI!B639,DiemHKI!$B$4:$B$58,0),1))</f>
        <v>Nơi sinh: Lâm Đồng</v>
      </c>
    </row>
    <row r="619" spans="1:9" ht="9.75" customHeight="1">
      <c r="A619" s="62"/>
      <c r="B619" s="62"/>
      <c r="C619" s="62"/>
      <c r="D619" s="62"/>
      <c r="E619" s="62"/>
      <c r="F619" s="62"/>
    </row>
    <row r="620" spans="1:9" ht="34.5" customHeight="1">
      <c r="A620" s="801" t="s">
        <v>0</v>
      </c>
      <c r="B620" s="801" t="s">
        <v>59</v>
      </c>
      <c r="C620" s="806" t="s">
        <v>360</v>
      </c>
      <c r="D620" s="1159" t="s">
        <v>568</v>
      </c>
      <c r="E620" s="1160"/>
      <c r="F620" s="802" t="s">
        <v>569</v>
      </c>
    </row>
    <row r="621" spans="1:9" ht="32.25" customHeight="1">
      <c r="A621" s="803" t="s">
        <v>191</v>
      </c>
      <c r="B621" s="804" t="s">
        <v>26</v>
      </c>
      <c r="C621" s="805">
        <f>IF(B639="","",INDEX(NXetHKI!$B$3:$CL$57,MATCH(InNXKI!B639,NXetHKI!$B$3:$B$57,0),INDEX($J$12:$K$25,MATCH($B621,$I$12:$I$25,0),J$11)))</f>
        <v>9.5</v>
      </c>
      <c r="D621" s="1161" t="str">
        <f>IF(B639="","",INDEX(NXetHKI!$B$3:$CL$57,MATCH(InNXKI!B639,NXetHKI!$B$3:$B$57,0),INDEX($J$12:$K$25,MATCH($B621,$I$12:$I$25,0),K$11)))</f>
        <v>Em chăm chỉ, chuyên cần, rất tích cực, rất đáng khen.</v>
      </c>
      <c r="E621" s="1162"/>
      <c r="F621" s="805"/>
      <c r="H621" s="64"/>
      <c r="I621" s="64"/>
    </row>
    <row r="622" spans="1:9" ht="32.25" customHeight="1">
      <c r="A622" s="803" t="s">
        <v>192</v>
      </c>
      <c r="B622" s="804" t="s">
        <v>27</v>
      </c>
      <c r="C622" s="805">
        <f>IF(B639="","",INDEX(NXetHKI!$B$3:$CL$57,MATCH(InNXKI!B639,NXetHKI!$B$3:$B$57,0),INDEX($J$12:$K$25,MATCH($B622,$I$12:$I$25,0),J$11)))</f>
        <v>9.5</v>
      </c>
      <c r="D622" s="1161" t="str">
        <f>IF(B639="","",INDEX(NXetHKI!$B$3:$CL$57,MATCH(InNXKI!B639,NXetHKI!$B$3:$B$57,0),INDEX($J$12:$K$25,MATCH($B622,$I$12:$I$25,0),K$11)))</f>
        <v>Em chăm chỉ, chuyên cần, rất tích cực, rất đáng khen.</v>
      </c>
      <c r="E622" s="1162"/>
      <c r="F622" s="805"/>
      <c r="H622" s="64"/>
      <c r="I622" s="64"/>
    </row>
    <row r="623" spans="1:9" ht="32.25" customHeight="1">
      <c r="A623" s="803" t="s">
        <v>193</v>
      </c>
      <c r="B623" s="804" t="s">
        <v>28</v>
      </c>
      <c r="C623" s="805">
        <f>IF(B639="","",INDEX(NXetHKI!$B$3:$CL$57,MATCH(InNXKI!B639,NXetHKI!$B$3:$B$57,0),INDEX($J$12:$K$25,MATCH($B623,$I$12:$I$25,0),J$11)))</f>
        <v>9.4</v>
      </c>
      <c r="D623" s="1161" t="str">
        <f>IF(B639="","",INDEX(NXetHKI!$B$3:$CL$57,MATCH(InNXKI!B639,NXetHKI!$B$3:$B$57,0),INDEX($J$12:$K$25,MATCH($B623,$I$12:$I$25,0),K$11)))</f>
        <v>Học giỏi, thông minh, cần phát huy.</v>
      </c>
      <c r="E623" s="1162"/>
      <c r="F623" s="805"/>
      <c r="H623" s="64"/>
      <c r="I623" s="64"/>
    </row>
    <row r="624" spans="1:9" ht="32.25" customHeight="1">
      <c r="A624" s="803" t="s">
        <v>194</v>
      </c>
      <c r="B624" s="804" t="s">
        <v>29</v>
      </c>
      <c r="C624" s="805">
        <f>IF(B639="","",INDEX(NXetHKI!$B$3:$CL$57,MATCH(InNXKI!B639,NXetHKI!$B$3:$B$57,0),INDEX($J$12:$K$25,MATCH($B624,$I$12:$I$25,0),J$11)))</f>
        <v>9.5</v>
      </c>
      <c r="D624" s="1161" t="str">
        <f>IF(B639="","",INDEX(NXetHKI!$B$3:$CL$57,MATCH(InNXKI!B639,NXetHKI!$B$3:$B$57,0),INDEX($J$12:$K$25,MATCH($B624,$I$12:$I$25,0),K$11)))</f>
        <v>Sáng tạo, hoạt động nhóm rất tốt, biết chia sẻ kết quả học tập với bạn.</v>
      </c>
      <c r="E624" s="1162"/>
      <c r="F624" s="805"/>
      <c r="H624" s="64"/>
      <c r="I624" s="64"/>
    </row>
    <row r="625" spans="1:9" ht="32.25" customHeight="1">
      <c r="A625" s="803" t="s">
        <v>195</v>
      </c>
      <c r="B625" s="804" t="s">
        <v>120</v>
      </c>
      <c r="C625" s="805">
        <f>IF(B639="","",INDEX(NXetHKI!$B$3:$CL$57,MATCH(InNXKI!B639,NXetHKI!$B$3:$B$57,0),INDEX($J$12:$K$25,MATCH($B625,$I$12:$I$25,0),J$11)))</f>
        <v>9.8000000000000007</v>
      </c>
      <c r="D625" s="1161" t="str">
        <f>IF(B639="","",INDEX(NXetHKI!$B$3:$CL$57,MATCH(InNXKI!B639,NXetHKI!$B$3:$B$57,0),INDEX($J$12:$K$25,MATCH($B625,$I$12:$I$25,0),K$11)))</f>
        <v>Rất ngoan, cố gắng có hiệu quả.</v>
      </c>
      <c r="E625" s="1162"/>
      <c r="F625" s="805"/>
      <c r="H625" s="64"/>
      <c r="I625" s="64"/>
    </row>
    <row r="626" spans="1:9" ht="32.25" customHeight="1">
      <c r="A626" s="803" t="s">
        <v>196</v>
      </c>
      <c r="B626" s="804" t="s">
        <v>30</v>
      </c>
      <c r="C626" s="805">
        <f>IF(B639="","",INDEX(NXetHKI!$B$3:$CL$57,MATCH(InNXKI!B639,NXetHKI!$B$3:$B$57,0),INDEX($J$12:$K$25,MATCH($B626,$I$12:$I$25,0),J$11)))</f>
        <v>7.4</v>
      </c>
      <c r="D626" s="1161" t="str">
        <f>IF(B639="","",INDEX(NXetHKI!$B$3:$CL$57,MATCH(InNXKI!B639,NXetHKI!$B$3:$B$57,0),INDEX($J$12:$K$25,MATCH($B626,$I$12:$I$25,0),K$11)))</f>
        <v>Học khá, cần chủ động rèn thêm kỹ năng diễn đạt.</v>
      </c>
      <c r="E626" s="1162"/>
      <c r="F626" s="805"/>
      <c r="H626" s="64"/>
      <c r="I626" s="64"/>
    </row>
    <row r="627" spans="1:9" ht="32.25" customHeight="1">
      <c r="A627" s="803" t="s">
        <v>197</v>
      </c>
      <c r="B627" s="804" t="s">
        <v>31</v>
      </c>
      <c r="C627" s="805">
        <f>IF(B639="","",INDEX(NXetHKI!$B$3:$CL$57,MATCH(InNXKI!B639,NXetHKI!$B$3:$B$57,0),INDEX($J$12:$K$25,MATCH($B627,$I$12:$I$25,0),J$11)))</f>
        <v>9.6</v>
      </c>
      <c r="D627" s="1161" t="str">
        <f>IF(B639="","",INDEX(NXetHKI!$B$3:$CL$57,MATCH(InNXKI!B639,NXetHKI!$B$3:$B$57,0),INDEX($J$12:$K$25,MATCH($B627,$I$12:$I$25,0),K$11)))</f>
        <v>Chăm ngoan, tích cực, chủ động tiếp thu bài học.</v>
      </c>
      <c r="E627" s="1162"/>
      <c r="F627" s="805"/>
      <c r="H627" s="64"/>
      <c r="I627" s="64"/>
    </row>
    <row r="628" spans="1:9" ht="32.25" customHeight="1">
      <c r="A628" s="803" t="s">
        <v>198</v>
      </c>
      <c r="B628" s="804" t="s">
        <v>32</v>
      </c>
      <c r="C628" s="805">
        <f>IF(B639="","",INDEX(NXetHKI!$B$3:$CL$57,MATCH(InNXKI!B639,NXetHKI!$B$3:$B$57,0),INDEX($J$12:$K$25,MATCH($B628,$I$12:$I$25,0),J$11)))</f>
        <v>9.8000000000000007</v>
      </c>
      <c r="D628" s="1161" t="str">
        <f>IF(B639="","",INDEX(NXetHKI!$B$3:$CL$57,MATCH(InNXKI!B639,NXetHKI!$B$3:$B$57,0),INDEX($J$12:$K$25,MATCH($B628,$I$12:$I$25,0),K$11)))</f>
        <v>Em rất ngoan, cố gắng có hiệu quả.</v>
      </c>
      <c r="E628" s="1162"/>
      <c r="F628" s="805"/>
      <c r="H628" s="64"/>
      <c r="I628" s="64"/>
    </row>
    <row r="629" spans="1:9" ht="32.25" customHeight="1">
      <c r="A629" s="803" t="s">
        <v>199</v>
      </c>
      <c r="B629" s="804" t="s">
        <v>33</v>
      </c>
      <c r="C629" s="805">
        <f>IF(B639="","",INDEX(NXetHKI!$B$3:$CL$57,MATCH(InNXKI!B639,NXetHKI!$B$3:$B$57,0),INDEX($J$12:$K$25,MATCH($B629,$I$12:$I$25,0),J$11)))</f>
        <v>9.1999999999999993</v>
      </c>
      <c r="D629" s="1161" t="str">
        <f>IF(B639="","",INDEX(NXetHKI!$B$3:$CL$57,MATCH(InNXKI!B639,NXetHKI!$B$3:$B$57,0),INDEX($J$12:$K$25,MATCH($B629,$I$12:$I$25,0),K$11)))</f>
        <v>Có năng khiếu, tự tin, giao tiếp tốt và có khả năng làm việc nhóm.</v>
      </c>
      <c r="E629" s="1162"/>
      <c r="F629" s="805"/>
      <c r="H629" s="64"/>
      <c r="I629" s="64"/>
    </row>
    <row r="630" spans="1:9" ht="32.25" customHeight="1">
      <c r="A630" s="803" t="s">
        <v>200</v>
      </c>
      <c r="B630" s="804" t="s">
        <v>60</v>
      </c>
      <c r="C630" s="805">
        <f>IF(B639="","",INDEX(NXetHKI!$B$3:$CL$57,MATCH(InNXKI!B639,NXetHKI!$B$3:$B$57,0),INDEX($J$12:$K$25,MATCH($B630,$I$12:$I$25,0),J$11)))</f>
        <v>9.8000000000000007</v>
      </c>
      <c r="D630" s="1161" t="str">
        <f>IF(B639="","",INDEX(NXetHKI!$B$3:$CL$57,MATCH(InNXKI!B639,NXetHKI!$B$3:$B$57,0),INDEX($J$12:$K$25,MATCH($B630,$I$12:$I$25,0),K$11)))</f>
        <v>Hứng thú, có trách nhiệm học tập tốt.</v>
      </c>
      <c r="E630" s="1162"/>
      <c r="F630" s="805"/>
      <c r="H630" s="64"/>
      <c r="I630" s="64"/>
    </row>
    <row r="631" spans="1:9" ht="32.25" customHeight="1">
      <c r="A631" s="803" t="s">
        <v>201</v>
      </c>
      <c r="B631" s="804" t="s">
        <v>34</v>
      </c>
      <c r="C631" s="805">
        <f>IF(B639="","",INDEX(NXetHKI!$B$3:$CL$57,MATCH(InNXKI!B639,NXetHKI!$B$3:$B$57,0),INDEX($J$12:$K$25,MATCH($B631,$I$12:$I$25,0),J$11)))</f>
        <v>9.8000000000000007</v>
      </c>
      <c r="D631" s="1161" t="str">
        <f>IF(B639="","",INDEX(NXetHKI!$B$3:$CL$57,MATCH(InNXKI!B639,NXetHKI!$B$3:$B$57,0),INDEX($J$12:$K$25,MATCH($B631,$I$12:$I$25,0),K$11)))</f>
        <v>Học giỏi, năng động, chăm ngoan.</v>
      </c>
      <c r="E631" s="1162"/>
      <c r="F631" s="805"/>
      <c r="H631" s="64"/>
      <c r="I631" s="64"/>
    </row>
    <row r="632" spans="1:9" ht="32.25" customHeight="1">
      <c r="A632" s="803" t="s">
        <v>202</v>
      </c>
      <c r="B632" s="804" t="s">
        <v>35</v>
      </c>
      <c r="C632" s="805" t="str">
        <f>IF(B639="","",INDEX(NXetHKI!$B$3:$CL$57,MATCH(InNXKI!B639,NXetHKI!$B$3:$B$57,0),INDEX($J$12:$K$25,MATCH($B632,$I$12:$I$25,0),J$11)))</f>
        <v>Đ</v>
      </c>
      <c r="D632" s="1161" t="str">
        <f>IF(B639="","",INDEX(NXetHKI!$B$3:$CL$57,MATCH(InNXKI!B639,NXetHKI!$B$3:$B$57,0),INDEX($J$12:$K$25,MATCH($B632,$I$12:$I$25,0),K$11)))</f>
        <v>Chăm chỉ, cố gắng, rất ngoan.</v>
      </c>
      <c r="E632" s="1162"/>
      <c r="F632" s="805"/>
      <c r="H632" s="64"/>
      <c r="I632" s="64"/>
    </row>
    <row r="633" spans="1:9" ht="32.25" customHeight="1">
      <c r="A633" s="803" t="s">
        <v>203</v>
      </c>
      <c r="B633" s="804" t="s">
        <v>121</v>
      </c>
      <c r="C633" s="805">
        <f>IF(B639="","",INDEX(NXetHKI!$B$3:$CL$57,MATCH(InNXKI!B639,NXetHKI!$B$3:$B$57,0),INDEX($J$12:$K$25,MATCH($B633,$I$12:$I$25,0),J$11)))</f>
        <v>9.9</v>
      </c>
      <c r="D633" s="1161" t="str">
        <f>IF(B639="","",INDEX(NXetHKI!$B$3:$CL$57,MATCH(InNXKI!B639,NXetHKI!$B$3:$B$57,0),INDEX($J$12:$K$25,MATCH($B633,$I$12:$I$25,0),K$11)))</f>
        <v>Siêng năng, lễ phép, thành thạo thực hành, học giỏi.</v>
      </c>
      <c r="E633" s="1162"/>
      <c r="F633" s="805"/>
      <c r="H633" s="64"/>
      <c r="I633" s="64"/>
    </row>
    <row r="634" spans="1:9" ht="32.25" customHeight="1">
      <c r="A634" s="803">
        <v>14</v>
      </c>
      <c r="B634" s="804" t="s">
        <v>122</v>
      </c>
      <c r="C634" s="805" t="str">
        <f>IF(B639="","",INDEX(NXetHKI!$B$3:$CL$57,MATCH(InNXKI!B639,NXetHKI!$B$3:$B$57,0),INDEX($J$12:$K$25,MATCH($B634,$I$12:$I$25,0),J$11)))</f>
        <v/>
      </c>
      <c r="D634" s="1161" t="str">
        <f>IF(B639="","",INDEX(NXetHKI!$B$3:$CL$57,MATCH(InNXKI!B639,NXetHKI!$B$3:$B$57,0),INDEX($J$12:$K$25,MATCH($B634,$I$12:$I$25,0),K$11)))</f>
        <v/>
      </c>
      <c r="E634" s="1162"/>
      <c r="F634" s="805"/>
      <c r="H634" s="64"/>
    </row>
    <row r="635" spans="1:9" ht="12" customHeight="1"/>
    <row r="636" spans="1:9" ht="21.75" customHeight="1">
      <c r="D636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636" s="1163"/>
      <c r="F636" s="1163"/>
    </row>
    <row r="637" spans="1:9">
      <c r="D637" s="992" t="s">
        <v>377</v>
      </c>
      <c r="E637" s="992"/>
      <c r="F637" s="992"/>
    </row>
    <row r="638" spans="1:9" ht="81" customHeight="1">
      <c r="D638" s="923" t="str">
        <f>IF('Huong dan'!$E$5="","",'Huong dan'!$E$5)</f>
        <v/>
      </c>
      <c r="E638" s="923"/>
      <c r="F638" s="923"/>
    </row>
    <row r="639" spans="1:9">
      <c r="A639" s="811"/>
      <c r="B639" s="711">
        <f>IF(B610="","",IF(B610&lt;MAX(NXetHKI!$B$3:$B$57),B610+1,""))</f>
        <v>22</v>
      </c>
      <c r="C639" s="811"/>
      <c r="D639" s="1157"/>
      <c r="E639" s="1157"/>
      <c r="F639" s="1157"/>
    </row>
    <row r="640" spans="1:9" s="60" customFormat="1" ht="24.75" customHeight="1">
      <c r="A640" s="1128" t="str">
        <f>IF('Huong dan'!$E$3&lt;&gt;"","SỞ GIÁO DỤC VÀ ĐÀO TẠO "&amp;UPPER('Huong dan'!$E$3),"")</f>
        <v>SỞ GIÁO DỤC VÀ ĐÀO TẠO TP. HỒ CHÍ MINH</v>
      </c>
      <c r="B640" s="1128"/>
      <c r="C640" s="1128"/>
      <c r="D640" s="1128"/>
      <c r="E640" s="1129" t="s">
        <v>19</v>
      </c>
      <c r="F640" s="1129"/>
    </row>
    <row r="641" spans="1:9" ht="17.25" customHeight="1">
      <c r="A641" s="992" t="str">
        <f>IF('Huong dan'!$E$4&lt;&gt;"","TRƯỜNG "&amp;UPPER('Huong dan'!$E$4),"")</f>
        <v>TRƯỜNG THCS VÀ THPT NGUYỄN KHUYẾN</v>
      </c>
      <c r="B641" s="992"/>
      <c r="C641" s="992"/>
      <c r="D641" s="992"/>
      <c r="E641" s="1130" t="s">
        <v>179</v>
      </c>
      <c r="F641" s="1130"/>
    </row>
    <row r="642" spans="1:9" ht="20.25" customHeight="1">
      <c r="A642" s="69"/>
      <c r="B642" s="69"/>
      <c r="C642" s="30"/>
      <c r="D642" s="30"/>
    </row>
    <row r="643" spans="1:9" ht="28.5" customHeight="1">
      <c r="A643" s="1164" t="s">
        <v>567</v>
      </c>
      <c r="B643" s="1164"/>
      <c r="C643" s="1164"/>
      <c r="D643" s="1164"/>
      <c r="E643" s="1164"/>
      <c r="F643" s="1164"/>
    </row>
    <row r="644" spans="1:9" ht="24.75" customHeight="1">
      <c r="A644" s="1164" t="str">
        <f>"HỌC KỲ I NĂM HỌC "&amp;'Huong dan'!$C$5</f>
        <v>HỌC KỲ I NĂM HỌC 2021 - 2022</v>
      </c>
      <c r="B644" s="1164"/>
      <c r="C644" s="1164"/>
      <c r="D644" s="1164"/>
      <c r="E644" s="1164"/>
      <c r="F644" s="1164"/>
    </row>
    <row r="645" spans="1:9" ht="14.25" customHeight="1">
      <c r="A645" s="70"/>
      <c r="B645" s="66"/>
      <c r="C645" s="66"/>
      <c r="D645" s="66"/>
      <c r="E645" s="66"/>
      <c r="F645" s="66"/>
    </row>
    <row r="646" spans="1:9" ht="18.75" customHeight="1">
      <c r="A646" s="1158" t="s">
        <v>212</v>
      </c>
      <c r="B646" s="1158"/>
      <c r="C646" s="1158"/>
      <c r="D646" s="77" t="str">
        <f>IF(B668="","",INDEX(NXetHKI!$B$3:$CL$57,MATCH(InNXKI!B668,NXetHKI!$B$3:$B$57,0),3)&amp;" "&amp;INDEX(NXetHKI!$B$3:$CL$57,MATCH(InNXKI!B668,NXetHKI!$B$3:$B$57,0),4))</f>
        <v>Lê Na</v>
      </c>
      <c r="E646" s="77"/>
      <c r="F646" s="77" t="str">
        <f>IF('Huong dan'!$C$3="","","Lớp: "&amp;'Huong dan'!$C$3)</f>
        <v>Lớp: 12A1</v>
      </c>
    </row>
    <row r="647" spans="1:9" ht="18.75" customHeight="1">
      <c r="A647" s="1158" t="s">
        <v>213</v>
      </c>
      <c r="B647" s="1158"/>
      <c r="C647" s="1158"/>
      <c r="D647" s="77" t="str">
        <f>INDEX(NXetHKI!$B$3:$CL$57,MATCH(InNXKI!B668,NXetHKI!$B$3:$B$57,0),5)</f>
        <v>29/02/2004</v>
      </c>
      <c r="E647" s="77"/>
      <c r="F647" s="841" t="str">
        <f>IF(B668="","","Nơi sinh: "&amp;INDEX(DiemHKI!$G$4:$G$58,MATCH(InNXKI!B668,DiemHKI!$B$4:$B$58,0),1))</f>
        <v>Nơi sinh: Bình Định</v>
      </c>
    </row>
    <row r="648" spans="1:9" ht="9.75" customHeight="1">
      <c r="A648" s="62"/>
      <c r="B648" s="62"/>
      <c r="C648" s="62"/>
      <c r="D648" s="62"/>
      <c r="E648" s="62"/>
      <c r="F648" s="62"/>
    </row>
    <row r="649" spans="1:9" ht="34.5" customHeight="1">
      <c r="A649" s="801" t="s">
        <v>0</v>
      </c>
      <c r="B649" s="801" t="s">
        <v>59</v>
      </c>
      <c r="C649" s="806" t="s">
        <v>360</v>
      </c>
      <c r="D649" s="1159" t="s">
        <v>568</v>
      </c>
      <c r="E649" s="1160"/>
      <c r="F649" s="802" t="s">
        <v>569</v>
      </c>
    </row>
    <row r="650" spans="1:9" ht="32.25" customHeight="1">
      <c r="A650" s="803" t="s">
        <v>191</v>
      </c>
      <c r="B650" s="804" t="s">
        <v>26</v>
      </c>
      <c r="C650" s="805">
        <f>IF(B668="","",INDEX(NXetHKI!$B$3:$CL$57,MATCH(InNXKI!B668,NXetHKI!$B$3:$B$57,0),INDEX($J$12:$K$25,MATCH($B650,$I$12:$I$25,0),J$11)))</f>
        <v>9.4</v>
      </c>
      <c r="D650" s="1161" t="str">
        <f>IF(B668="","",INDEX(NXetHKI!$B$3:$CL$57,MATCH(InNXKI!B668,NXetHKI!$B$3:$B$57,0),INDEX($J$12:$K$25,MATCH($B650,$I$12:$I$25,0),K$11)))</f>
        <v>Em học giỏi, chăm ngoan, tính tự giác cao, rất tốt.</v>
      </c>
      <c r="E650" s="1162"/>
      <c r="F650" s="805"/>
      <c r="H650" s="64"/>
      <c r="I650" s="64"/>
    </row>
    <row r="651" spans="1:9" ht="32.25" customHeight="1">
      <c r="A651" s="803" t="s">
        <v>192</v>
      </c>
      <c r="B651" s="804" t="s">
        <v>27</v>
      </c>
      <c r="C651" s="805">
        <f>IF(B668="","",INDEX(NXetHKI!$B$3:$CL$57,MATCH(InNXKI!B668,NXetHKI!$B$3:$B$57,0),INDEX($J$12:$K$25,MATCH($B651,$I$12:$I$25,0),J$11)))</f>
        <v>9.6999999999999993</v>
      </c>
      <c r="D651" s="1161" t="str">
        <f>IF(B668="","",INDEX(NXetHKI!$B$3:$CL$57,MATCH(InNXKI!B668,NXetHKI!$B$3:$B$57,0),INDEX($J$12:$K$25,MATCH($B651,$I$12:$I$25,0),K$11)))</f>
        <v>Em học giỏi, chăm ngoan, tính tự giác cao, rất tốt.</v>
      </c>
      <c r="E651" s="1162"/>
      <c r="F651" s="805"/>
      <c r="H651" s="64"/>
      <c r="I651" s="64"/>
    </row>
    <row r="652" spans="1:9" ht="32.25" customHeight="1">
      <c r="A652" s="803" t="s">
        <v>193</v>
      </c>
      <c r="B652" s="804" t="s">
        <v>28</v>
      </c>
      <c r="C652" s="805">
        <f>IF(B668="","",INDEX(NXetHKI!$B$3:$CL$57,MATCH(InNXKI!B668,NXetHKI!$B$3:$B$57,0),INDEX($J$12:$K$25,MATCH($B652,$I$12:$I$25,0),J$11)))</f>
        <v>9</v>
      </c>
      <c r="D652" s="1161" t="str">
        <f>IF(B668="","",INDEX(NXetHKI!$B$3:$CL$57,MATCH(InNXKI!B668,NXetHKI!$B$3:$B$57,0),INDEX($J$12:$K$25,MATCH($B652,$I$12:$I$25,0),K$11)))</f>
        <v>Kiến thức vững, tự học tốt, ngoan.</v>
      </c>
      <c r="E652" s="1162"/>
      <c r="F652" s="805"/>
      <c r="H652" s="64"/>
      <c r="I652" s="64"/>
    </row>
    <row r="653" spans="1:9" ht="32.25" customHeight="1">
      <c r="A653" s="803" t="s">
        <v>194</v>
      </c>
      <c r="B653" s="804" t="s">
        <v>29</v>
      </c>
      <c r="C653" s="805">
        <f>IF(B668="","",INDEX(NXetHKI!$B$3:$CL$57,MATCH(InNXKI!B668,NXetHKI!$B$3:$B$57,0),INDEX($J$12:$K$25,MATCH($B653,$I$12:$I$25,0),J$11)))</f>
        <v>9.1</v>
      </c>
      <c r="D653" s="1161" t="str">
        <f>IF(B668="","",INDEX(NXetHKI!$B$3:$CL$57,MATCH(InNXKI!B668,NXetHKI!$B$3:$B$57,0),INDEX($J$12:$K$25,MATCH($B653,$I$12:$I$25,0),K$11)))</f>
        <v>Có khả năng tự học và tự chủ bản thân, tích cực trong học tập.</v>
      </c>
      <c r="E653" s="1162"/>
      <c r="F653" s="805"/>
      <c r="H653" s="64"/>
      <c r="I653" s="64"/>
    </row>
    <row r="654" spans="1:9" ht="32.25" customHeight="1">
      <c r="A654" s="803" t="s">
        <v>195</v>
      </c>
      <c r="B654" s="804" t="s">
        <v>120</v>
      </c>
      <c r="C654" s="805">
        <f>IF(B668="","",INDEX(NXetHKI!$B$3:$CL$57,MATCH(InNXKI!B668,NXetHKI!$B$3:$B$57,0),INDEX($J$12:$K$25,MATCH($B654,$I$12:$I$25,0),J$11)))</f>
        <v>9.6</v>
      </c>
      <c r="D654" s="1161" t="str">
        <f>IF(B668="","",INDEX(NXetHKI!$B$3:$CL$57,MATCH(InNXKI!B668,NXetHKI!$B$3:$B$57,0),INDEX($J$12:$K$25,MATCH($B654,$I$12:$I$25,0),K$11)))</f>
        <v>Ngoan, chăm chỉ, tư duy tốt.</v>
      </c>
      <c r="E654" s="1162"/>
      <c r="F654" s="805"/>
      <c r="H654" s="64"/>
      <c r="I654" s="64"/>
    </row>
    <row r="655" spans="1:9" ht="32.25" customHeight="1">
      <c r="A655" s="803" t="s">
        <v>196</v>
      </c>
      <c r="B655" s="804" t="s">
        <v>30</v>
      </c>
      <c r="C655" s="805">
        <f>IF(B668="","",INDEX(NXetHKI!$B$3:$CL$57,MATCH(InNXKI!B668,NXetHKI!$B$3:$B$57,0),INDEX($J$12:$K$25,MATCH($B655,$I$12:$I$25,0),J$11)))</f>
        <v>7.7</v>
      </c>
      <c r="D655" s="1161" t="str">
        <f>IF(B668="","",INDEX(NXetHKI!$B$3:$CL$57,MATCH(InNXKI!B668,NXetHKI!$B$3:$B$57,0),INDEX($J$12:$K$25,MATCH($B655,$I$12:$I$25,0),K$11)))</f>
        <v>Có tinh thần học tập tốt, cần cố gắng rèn luyện thêm các kỹ năng.</v>
      </c>
      <c r="E655" s="1162"/>
      <c r="F655" s="805"/>
      <c r="H655" s="64"/>
      <c r="I655" s="64"/>
    </row>
    <row r="656" spans="1:9" ht="32.25" customHeight="1">
      <c r="A656" s="803" t="s">
        <v>197</v>
      </c>
      <c r="B656" s="804" t="s">
        <v>31</v>
      </c>
      <c r="C656" s="805">
        <f>IF(B668="","",INDEX(NXetHKI!$B$3:$CL$57,MATCH(InNXKI!B668,NXetHKI!$B$3:$B$57,0),INDEX($J$12:$K$25,MATCH($B656,$I$12:$I$25,0),J$11)))</f>
        <v>9.8000000000000007</v>
      </c>
      <c r="D656" s="1161" t="str">
        <f>IF(B668="","",INDEX(NXetHKI!$B$3:$CL$57,MATCH(InNXKI!B668,NXetHKI!$B$3:$B$57,0),INDEX($J$12:$K$25,MATCH($B656,$I$12:$I$25,0),K$11)))</f>
        <v>Tiếp thu bài tốt, ghi nhớ nhanh các sự kiện lịch sử.</v>
      </c>
      <c r="E656" s="1162"/>
      <c r="F656" s="805"/>
      <c r="H656" s="64"/>
      <c r="I656" s="64"/>
    </row>
    <row r="657" spans="1:9" ht="32.25" customHeight="1">
      <c r="A657" s="803" t="s">
        <v>198</v>
      </c>
      <c r="B657" s="804" t="s">
        <v>32</v>
      </c>
      <c r="C657" s="805">
        <f>IF(B668="","",INDEX(NXetHKI!$B$3:$CL$57,MATCH(InNXKI!B668,NXetHKI!$B$3:$B$57,0),INDEX($J$12:$K$25,MATCH($B657,$I$12:$I$25,0),J$11)))</f>
        <v>9.9</v>
      </c>
      <c r="D657" s="1161" t="str">
        <f>IF(B668="","",INDEX(NXetHKI!$B$3:$CL$57,MATCH(InNXKI!B668,NXetHKI!$B$3:$B$57,0),INDEX($J$12:$K$25,MATCH($B657,$I$12:$I$25,0),K$11)))</f>
        <v>Em có tư duy tốt, rất tích cực, giải quyết vấn đề tốt.</v>
      </c>
      <c r="E657" s="1162"/>
      <c r="F657" s="805"/>
      <c r="H657" s="64"/>
      <c r="I657" s="64"/>
    </row>
    <row r="658" spans="1:9" ht="32.25" customHeight="1">
      <c r="A658" s="803" t="s">
        <v>199</v>
      </c>
      <c r="B658" s="804" t="s">
        <v>33</v>
      </c>
      <c r="C658" s="805">
        <f>IF(B668="","",INDEX(NXetHKI!$B$3:$CL$57,MATCH(InNXKI!B668,NXetHKI!$B$3:$B$57,0),INDEX($J$12:$K$25,MATCH($B658,$I$12:$I$25,0),J$11)))</f>
        <v>8.6</v>
      </c>
      <c r="D658" s="1161" t="str">
        <f>IF(B668="","",INDEX(NXetHKI!$B$3:$CL$57,MATCH(InNXKI!B668,NXetHKI!$B$3:$B$57,0),INDEX($J$12:$K$25,MATCH($B658,$I$12:$I$25,0),K$11)))</f>
        <v>Có khả năng nghe, nói và ngữ pháp vững.</v>
      </c>
      <c r="E658" s="1162"/>
      <c r="F658" s="805"/>
      <c r="H658" s="64"/>
      <c r="I658" s="64"/>
    </row>
    <row r="659" spans="1:9" ht="32.25" customHeight="1">
      <c r="A659" s="803" t="s">
        <v>200</v>
      </c>
      <c r="B659" s="804" t="s">
        <v>60</v>
      </c>
      <c r="C659" s="805">
        <f>IF(B668="","",INDEX(NXetHKI!$B$3:$CL$57,MATCH(InNXKI!B668,NXetHKI!$B$3:$B$57,0),INDEX($J$12:$K$25,MATCH($B659,$I$12:$I$25,0),J$11)))</f>
        <v>9.4</v>
      </c>
      <c r="D659" s="1161" t="str">
        <f>IF(B668="","",INDEX(NXetHKI!$B$3:$CL$57,MATCH(InNXKI!B668,NXetHKI!$B$3:$B$57,0),INDEX($J$12:$K$25,MATCH($B659,$I$12:$I$25,0),K$11)))</f>
        <v>Chăm chỉ, học giỏi.</v>
      </c>
      <c r="E659" s="1162"/>
      <c r="F659" s="805"/>
      <c r="H659" s="64"/>
      <c r="I659" s="64"/>
    </row>
    <row r="660" spans="1:9" ht="32.25" customHeight="1">
      <c r="A660" s="803" t="s">
        <v>201</v>
      </c>
      <c r="B660" s="804" t="s">
        <v>34</v>
      </c>
      <c r="C660" s="805">
        <f>IF(B668="","",INDEX(NXetHKI!$B$3:$CL$57,MATCH(InNXKI!B668,NXetHKI!$B$3:$B$57,0),INDEX($J$12:$K$25,MATCH($B660,$I$12:$I$25,0),J$11)))</f>
        <v>9.9</v>
      </c>
      <c r="D660" s="1161" t="str">
        <f>IF(B668="","",INDEX(NXetHKI!$B$3:$CL$57,MATCH(InNXKI!B668,NXetHKI!$B$3:$B$57,0),INDEX($J$12:$K$25,MATCH($B660,$I$12:$I$25,0),K$11)))</f>
        <v>Năng động, sáng tạo trong học tập.</v>
      </c>
      <c r="E660" s="1162"/>
      <c r="F660" s="805"/>
      <c r="H660" s="64"/>
      <c r="I660" s="64"/>
    </row>
    <row r="661" spans="1:9" ht="32.25" customHeight="1">
      <c r="A661" s="803" t="s">
        <v>202</v>
      </c>
      <c r="B661" s="804" t="s">
        <v>35</v>
      </c>
      <c r="C661" s="805" t="str">
        <f>IF(B668="","",INDEX(NXetHKI!$B$3:$CL$57,MATCH(InNXKI!B668,NXetHKI!$B$3:$B$57,0),INDEX($J$12:$K$25,MATCH($B661,$I$12:$I$25,0),J$11)))</f>
        <v>Đ</v>
      </c>
      <c r="D661" s="1161" t="str">
        <f>IF(B668="","",INDEX(NXetHKI!$B$3:$CL$57,MATCH(InNXKI!B668,NXetHKI!$B$3:$B$57,0),INDEX($J$12:$K$25,MATCH($B661,$I$12:$I$25,0),K$11)))</f>
        <v>Giỏi, có nhiều tiến bộ trong học tập.</v>
      </c>
      <c r="E661" s="1162"/>
      <c r="F661" s="805"/>
      <c r="H661" s="64"/>
      <c r="I661" s="64"/>
    </row>
    <row r="662" spans="1:9" ht="32.25" customHeight="1">
      <c r="A662" s="803" t="s">
        <v>203</v>
      </c>
      <c r="B662" s="804" t="s">
        <v>121</v>
      </c>
      <c r="C662" s="805">
        <f>IF(B668="","",INDEX(NXetHKI!$B$3:$CL$57,MATCH(InNXKI!B668,NXetHKI!$B$3:$B$57,0),INDEX($J$12:$K$25,MATCH($B662,$I$12:$I$25,0),J$11)))</f>
        <v>9.4</v>
      </c>
      <c r="D662" s="1161" t="str">
        <f>IF(B668="","",INDEX(NXetHKI!$B$3:$CL$57,MATCH(InNXKI!B668,NXetHKI!$B$3:$B$57,0),INDEX($J$12:$K$25,MATCH($B662,$I$12:$I$25,0),K$11)))</f>
        <v>Tích cực, năng động, nắm bài tốt, học giỏi.</v>
      </c>
      <c r="E662" s="1162"/>
      <c r="F662" s="805"/>
      <c r="H662" s="64"/>
      <c r="I662" s="64"/>
    </row>
    <row r="663" spans="1:9" ht="32.25" customHeight="1">
      <c r="A663" s="803">
        <v>14</v>
      </c>
      <c r="B663" s="804" t="s">
        <v>122</v>
      </c>
      <c r="C663" s="805" t="str">
        <f>IF(B668="","",INDEX(NXetHKI!$B$3:$CL$57,MATCH(InNXKI!B668,NXetHKI!$B$3:$B$57,0),INDEX($J$12:$K$25,MATCH($B663,$I$12:$I$25,0),J$11)))</f>
        <v/>
      </c>
      <c r="D663" s="1161" t="str">
        <f>IF(B668="","",INDEX(NXetHKI!$B$3:$CL$57,MATCH(InNXKI!B668,NXetHKI!$B$3:$B$57,0),INDEX($J$12:$K$25,MATCH($B663,$I$12:$I$25,0),K$11)))</f>
        <v/>
      </c>
      <c r="E663" s="1162"/>
      <c r="F663" s="805"/>
      <c r="H663" s="64"/>
    </row>
    <row r="664" spans="1:9" ht="12" customHeight="1"/>
    <row r="665" spans="1:9" ht="21.75" customHeight="1">
      <c r="D665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665" s="1163"/>
      <c r="F665" s="1163"/>
    </row>
    <row r="666" spans="1:9">
      <c r="D666" s="992" t="s">
        <v>377</v>
      </c>
      <c r="E666" s="992"/>
      <c r="F666" s="992"/>
    </row>
    <row r="667" spans="1:9" ht="81" customHeight="1">
      <c r="D667" s="923" t="str">
        <f>IF('Huong dan'!$E$5="","",'Huong dan'!$E$5)</f>
        <v/>
      </c>
      <c r="E667" s="923"/>
      <c r="F667" s="923"/>
    </row>
    <row r="668" spans="1:9">
      <c r="A668" s="811"/>
      <c r="B668" s="711">
        <f>IF(B639="","",IF(B639&lt;MAX(NXetHKI!$B$3:$B$57),B639+1,""))</f>
        <v>23</v>
      </c>
      <c r="C668" s="811"/>
      <c r="D668" s="1157"/>
      <c r="E668" s="1157"/>
      <c r="F668" s="1157"/>
    </row>
    <row r="669" spans="1:9" s="60" customFormat="1" ht="24.75" customHeight="1">
      <c r="A669" s="1128" t="str">
        <f>IF('Huong dan'!$E$3&lt;&gt;"","SỞ GIÁO DỤC VÀ ĐÀO TẠO "&amp;UPPER('Huong dan'!$E$3),"")</f>
        <v>SỞ GIÁO DỤC VÀ ĐÀO TẠO TP. HỒ CHÍ MINH</v>
      </c>
      <c r="B669" s="1128"/>
      <c r="C669" s="1128"/>
      <c r="D669" s="1128"/>
      <c r="E669" s="1129" t="s">
        <v>19</v>
      </c>
      <c r="F669" s="1129"/>
    </row>
    <row r="670" spans="1:9" ht="17.25" customHeight="1">
      <c r="A670" s="992" t="str">
        <f>IF('Huong dan'!$E$4&lt;&gt;"","TRƯỜNG "&amp;UPPER('Huong dan'!$E$4),"")</f>
        <v>TRƯỜNG THCS VÀ THPT NGUYỄN KHUYẾN</v>
      </c>
      <c r="B670" s="992"/>
      <c r="C670" s="992"/>
      <c r="D670" s="992"/>
      <c r="E670" s="1130" t="s">
        <v>179</v>
      </c>
      <c r="F670" s="1130"/>
    </row>
    <row r="671" spans="1:9" ht="20.25" customHeight="1">
      <c r="A671" s="69"/>
      <c r="B671" s="69"/>
      <c r="C671" s="30"/>
      <c r="D671" s="30"/>
    </row>
    <row r="672" spans="1:9" ht="28.5" customHeight="1">
      <c r="A672" s="1164" t="s">
        <v>567</v>
      </c>
      <c r="B672" s="1164"/>
      <c r="C672" s="1164"/>
      <c r="D672" s="1164"/>
      <c r="E672" s="1164"/>
      <c r="F672" s="1164"/>
    </row>
    <row r="673" spans="1:9" ht="24.75" customHeight="1">
      <c r="A673" s="1164" t="str">
        <f>"HỌC KỲ I NĂM HỌC "&amp;'Huong dan'!$C$5</f>
        <v>HỌC KỲ I NĂM HỌC 2021 - 2022</v>
      </c>
      <c r="B673" s="1164"/>
      <c r="C673" s="1164"/>
      <c r="D673" s="1164"/>
      <c r="E673" s="1164"/>
      <c r="F673" s="1164"/>
    </row>
    <row r="674" spans="1:9" ht="14.25" customHeight="1">
      <c r="A674" s="70"/>
      <c r="B674" s="66"/>
      <c r="C674" s="66"/>
      <c r="D674" s="66"/>
      <c r="E674" s="66"/>
      <c r="F674" s="66"/>
    </row>
    <row r="675" spans="1:9" ht="18.75" customHeight="1">
      <c r="A675" s="1158" t="s">
        <v>212</v>
      </c>
      <c r="B675" s="1158"/>
      <c r="C675" s="1158"/>
      <c r="D675" s="77" t="str">
        <f>IF(B697="","",INDEX(NXetHKI!$B$3:$CL$57,MATCH(InNXKI!B697,NXetHKI!$B$3:$B$57,0),3)&amp;" "&amp;INDEX(NXetHKI!$B$3:$CL$57,MATCH(InNXKI!B697,NXetHKI!$B$3:$B$57,0),4))</f>
        <v>Quách Tống Minh Nhật</v>
      </c>
      <c r="E675" s="77"/>
      <c r="F675" s="77" t="str">
        <f>IF('Huong dan'!$C$3="","","Lớp: "&amp;'Huong dan'!$C$3)</f>
        <v>Lớp: 12A1</v>
      </c>
    </row>
    <row r="676" spans="1:9" ht="18.75" customHeight="1">
      <c r="A676" s="1158" t="s">
        <v>213</v>
      </c>
      <c r="B676" s="1158"/>
      <c r="C676" s="1158"/>
      <c r="D676" s="77" t="str">
        <f>INDEX(NXetHKI!$B$3:$CL$57,MATCH(InNXKI!B697,NXetHKI!$B$3:$B$57,0),5)</f>
        <v>01/12/2004</v>
      </c>
      <c r="E676" s="77"/>
      <c r="F676" s="841" t="str">
        <f>IF(B697="","","Nơi sinh: "&amp;INDEX(DiemHKI!$G$4:$G$58,MATCH(InNXKI!B697,DiemHKI!$B$4:$B$58,0),1))</f>
        <v>Nơi sinh: Bình Định</v>
      </c>
    </row>
    <row r="677" spans="1:9" ht="9.75" customHeight="1">
      <c r="A677" s="62"/>
      <c r="B677" s="62"/>
      <c r="C677" s="62"/>
      <c r="D677" s="62"/>
      <c r="E677" s="62"/>
      <c r="F677" s="62"/>
    </row>
    <row r="678" spans="1:9" ht="34.5" customHeight="1">
      <c r="A678" s="801" t="s">
        <v>0</v>
      </c>
      <c r="B678" s="801" t="s">
        <v>59</v>
      </c>
      <c r="C678" s="806" t="s">
        <v>360</v>
      </c>
      <c r="D678" s="1159" t="s">
        <v>568</v>
      </c>
      <c r="E678" s="1160"/>
      <c r="F678" s="802" t="s">
        <v>569</v>
      </c>
    </row>
    <row r="679" spans="1:9" ht="32.25" customHeight="1">
      <c r="A679" s="803" t="s">
        <v>191</v>
      </c>
      <c r="B679" s="804" t="s">
        <v>26</v>
      </c>
      <c r="C679" s="805">
        <f>IF(B697="","",INDEX(NXetHKI!$B$3:$CL$57,MATCH(InNXKI!B697,NXetHKI!$B$3:$B$57,0),INDEX($J$12:$K$25,MATCH($B679,$I$12:$I$25,0),J$11)))</f>
        <v>9.3000000000000007</v>
      </c>
      <c r="D679" s="1161" t="str">
        <f>IF(B697="","",INDEX(NXetHKI!$B$3:$CL$57,MATCH(InNXKI!B697,NXetHKI!$B$3:$B$57,0),INDEX($J$12:$K$25,MATCH($B679,$I$12:$I$25,0),K$11)))</f>
        <v>Em ngoan, tích cực, năng động, rất đáng khen.</v>
      </c>
      <c r="E679" s="1162"/>
      <c r="F679" s="805"/>
      <c r="H679" s="64"/>
      <c r="I679" s="64"/>
    </row>
    <row r="680" spans="1:9" ht="32.25" customHeight="1">
      <c r="A680" s="803" t="s">
        <v>192</v>
      </c>
      <c r="B680" s="804" t="s">
        <v>27</v>
      </c>
      <c r="C680" s="805">
        <f>IF(B697="","",INDEX(NXetHKI!$B$3:$CL$57,MATCH(InNXKI!B697,NXetHKI!$B$3:$B$57,0),INDEX($J$12:$K$25,MATCH($B680,$I$12:$I$25,0),J$11)))</f>
        <v>9.1999999999999993</v>
      </c>
      <c r="D680" s="1161" t="str">
        <f>IF(B697="","",INDEX(NXetHKI!$B$3:$CL$57,MATCH(InNXKI!B697,NXetHKI!$B$3:$B$57,0),INDEX($J$12:$K$25,MATCH($B680,$I$12:$I$25,0),K$11)))</f>
        <v>Em ngoan, tích cực, năng động, rất đáng khen.</v>
      </c>
      <c r="E680" s="1162"/>
      <c r="F680" s="805"/>
      <c r="H680" s="64"/>
      <c r="I680" s="64"/>
    </row>
    <row r="681" spans="1:9" ht="32.25" customHeight="1">
      <c r="A681" s="803" t="s">
        <v>193</v>
      </c>
      <c r="B681" s="804" t="s">
        <v>28</v>
      </c>
      <c r="C681" s="805">
        <f>IF(B697="","",INDEX(NXetHKI!$B$3:$CL$57,MATCH(InNXKI!B697,NXetHKI!$B$3:$B$57,0),INDEX($J$12:$K$25,MATCH($B681,$I$12:$I$25,0),J$11)))</f>
        <v>8.9</v>
      </c>
      <c r="D681" s="1161" t="str">
        <f>IF(B697="","",INDEX(NXetHKI!$B$3:$CL$57,MATCH(InNXKI!B697,NXetHKI!$B$3:$B$57,0),INDEX($J$12:$K$25,MATCH($B681,$I$12:$I$25,0),K$11)))</f>
        <v>Kiến thức vững, chăm ngoan.</v>
      </c>
      <c r="E681" s="1162"/>
      <c r="F681" s="805"/>
      <c r="H681" s="64"/>
      <c r="I681" s="64"/>
    </row>
    <row r="682" spans="1:9" ht="32.25" customHeight="1">
      <c r="A682" s="803" t="s">
        <v>194</v>
      </c>
      <c r="B682" s="804" t="s">
        <v>29</v>
      </c>
      <c r="C682" s="805">
        <f>IF(B697="","",INDEX(NXetHKI!$B$3:$CL$57,MATCH(InNXKI!B697,NXetHKI!$B$3:$B$57,0),INDEX($J$12:$K$25,MATCH($B682,$I$12:$I$25,0),J$11)))</f>
        <v>8.4</v>
      </c>
      <c r="D682" s="1161" t="str">
        <f>IF(B697="","",INDEX(NXetHKI!$B$3:$CL$57,MATCH(InNXKI!B697,NXetHKI!$B$3:$B$57,0),INDEX($J$12:$K$25,MATCH($B682,$I$12:$I$25,0),K$11)))</f>
        <v>Tinh thần học tập tốt, năng động, sáng tạo.</v>
      </c>
      <c r="E682" s="1162"/>
      <c r="F682" s="805"/>
      <c r="H682" s="64"/>
      <c r="I682" s="64"/>
    </row>
    <row r="683" spans="1:9" ht="32.25" customHeight="1">
      <c r="A683" s="803" t="s">
        <v>195</v>
      </c>
      <c r="B683" s="804" t="s">
        <v>120</v>
      </c>
      <c r="C683" s="805">
        <f>IF(B697="","",INDEX(NXetHKI!$B$3:$CL$57,MATCH(InNXKI!B697,NXetHKI!$B$3:$B$57,0),INDEX($J$12:$K$25,MATCH($B683,$I$12:$I$25,0),J$11)))</f>
        <v>9.8000000000000007</v>
      </c>
      <c r="D683" s="1161" t="str">
        <f>IF(B697="","",INDEX(NXetHKI!$B$3:$CL$57,MATCH(InNXKI!B697,NXetHKI!$B$3:$B$57,0),INDEX($J$12:$K$25,MATCH($B683,$I$12:$I$25,0),K$11)))</f>
        <v>Học giỏi, năng động và sáng tạo trong học tập.</v>
      </c>
      <c r="E683" s="1162"/>
      <c r="F683" s="805"/>
      <c r="H683" s="64"/>
      <c r="I683" s="64"/>
    </row>
    <row r="684" spans="1:9" ht="32.25" customHeight="1">
      <c r="A684" s="803" t="s">
        <v>196</v>
      </c>
      <c r="B684" s="804" t="s">
        <v>30</v>
      </c>
      <c r="C684" s="805">
        <f>IF(B697="","",INDEX(NXetHKI!$B$3:$CL$57,MATCH(InNXKI!B697,NXetHKI!$B$3:$B$57,0),INDEX($J$12:$K$25,MATCH($B684,$I$12:$I$25,0),J$11)))</f>
        <v>6.9</v>
      </c>
      <c r="D684" s="1161" t="str">
        <f>IF(B697="","",INDEX(NXetHKI!$B$3:$CL$57,MATCH(InNXKI!B697,NXetHKI!$B$3:$B$57,0),INDEX($J$12:$K$25,MATCH($B684,$I$12:$I$25,0),K$11)))</f>
        <v>Cần chủ động hơn trong học tập, rèn thêm.</v>
      </c>
      <c r="E684" s="1162"/>
      <c r="F684" s="805"/>
      <c r="H684" s="64"/>
      <c r="I684" s="64"/>
    </row>
    <row r="685" spans="1:9" ht="32.25" customHeight="1">
      <c r="A685" s="803" t="s">
        <v>197</v>
      </c>
      <c r="B685" s="804" t="s">
        <v>31</v>
      </c>
      <c r="C685" s="805">
        <f>IF(B697="","",INDEX(NXetHKI!$B$3:$CL$57,MATCH(InNXKI!B697,NXetHKI!$B$3:$B$57,0),INDEX($J$12:$K$25,MATCH($B685,$I$12:$I$25,0),J$11)))</f>
        <v>9.8000000000000007</v>
      </c>
      <c r="D685" s="1161" t="str">
        <f>IF(B697="","",INDEX(NXetHKI!$B$3:$CL$57,MATCH(InNXKI!B697,NXetHKI!$B$3:$B$57,0),INDEX($J$12:$K$25,MATCH($B685,$I$12:$I$25,0),K$11)))</f>
        <v>Chăm học, tích cực phát biểu xây dựng bài.</v>
      </c>
      <c r="E685" s="1162"/>
      <c r="F685" s="805"/>
      <c r="H685" s="64"/>
      <c r="I685" s="64"/>
    </row>
    <row r="686" spans="1:9" ht="32.25" customHeight="1">
      <c r="A686" s="803" t="s">
        <v>198</v>
      </c>
      <c r="B686" s="804" t="s">
        <v>32</v>
      </c>
      <c r="C686" s="805">
        <f>IF(B697="","",INDEX(NXetHKI!$B$3:$CL$57,MATCH(InNXKI!B697,NXetHKI!$B$3:$B$57,0),INDEX($J$12:$K$25,MATCH($B686,$I$12:$I$25,0),J$11)))</f>
        <v>9.6</v>
      </c>
      <c r="D686" s="1161" t="str">
        <f>IF(B697="","",INDEX(NXetHKI!$B$3:$CL$57,MATCH(InNXKI!B697,NXetHKI!$B$3:$B$57,0),INDEX($J$12:$K$25,MATCH($B686,$I$12:$I$25,0),K$11)))</f>
        <v>Em có tư duy tốt, tích cực, vận dụng thực tế tốt.</v>
      </c>
      <c r="E686" s="1162"/>
      <c r="F686" s="805"/>
      <c r="H686" s="64"/>
      <c r="I686" s="64"/>
    </row>
    <row r="687" spans="1:9" ht="32.25" customHeight="1">
      <c r="A687" s="803" t="s">
        <v>199</v>
      </c>
      <c r="B687" s="804" t="s">
        <v>33</v>
      </c>
      <c r="C687" s="805">
        <f>IF(B697="","",INDEX(NXetHKI!$B$3:$CL$57,MATCH(InNXKI!B697,NXetHKI!$B$3:$B$57,0),INDEX($J$12:$K$25,MATCH($B687,$I$12:$I$25,0),J$11)))</f>
        <v>9.4</v>
      </c>
      <c r="D687" s="1161" t="str">
        <f>IF(B697="","",INDEX(NXetHKI!$B$3:$CL$57,MATCH(InNXKI!B697,NXetHKI!$B$3:$B$57,0),INDEX($J$12:$K$25,MATCH($B687,$I$12:$I$25,0),K$11)))</f>
        <v>Tích cực phát biểu trong giờ học, tương tác tốt với giáo viên và bạn bè.</v>
      </c>
      <c r="E687" s="1162"/>
      <c r="F687" s="805"/>
      <c r="H687" s="64"/>
      <c r="I687" s="64"/>
    </row>
    <row r="688" spans="1:9" ht="32.25" customHeight="1">
      <c r="A688" s="803" t="s">
        <v>200</v>
      </c>
      <c r="B688" s="804" t="s">
        <v>60</v>
      </c>
      <c r="C688" s="805">
        <f>IF(B697="","",INDEX(NXetHKI!$B$3:$CL$57,MATCH(InNXKI!B697,NXetHKI!$B$3:$B$57,0),INDEX($J$12:$K$25,MATCH($B688,$I$12:$I$25,0),J$11)))</f>
        <v>9.4</v>
      </c>
      <c r="D688" s="1161" t="str">
        <f>IF(B697="","",INDEX(NXetHKI!$B$3:$CL$57,MATCH(InNXKI!B697,NXetHKI!$B$3:$B$57,0),INDEX($J$12:$K$25,MATCH($B688,$I$12:$I$25,0),K$11)))</f>
        <v>Hứng thú, tích cực, học giỏi.</v>
      </c>
      <c r="E688" s="1162"/>
      <c r="F688" s="805"/>
      <c r="H688" s="64"/>
      <c r="I688" s="64"/>
    </row>
    <row r="689" spans="1:9" ht="32.25" customHeight="1">
      <c r="A689" s="803" t="s">
        <v>201</v>
      </c>
      <c r="B689" s="804" t="s">
        <v>34</v>
      </c>
      <c r="C689" s="805">
        <f>IF(B697="","",INDEX(NXetHKI!$B$3:$CL$57,MATCH(InNXKI!B697,NXetHKI!$B$3:$B$57,0),INDEX($J$12:$K$25,MATCH($B689,$I$12:$I$25,0),J$11)))</f>
        <v>9.8000000000000007</v>
      </c>
      <c r="D689" s="1161" t="str">
        <f>IF(B697="","",INDEX(NXetHKI!$B$3:$CL$57,MATCH(InNXKI!B697,NXetHKI!$B$3:$B$57,0),INDEX($J$12:$K$25,MATCH($B689,$I$12:$I$25,0),K$11)))</f>
        <v>Học giỏi, tiếp thu nhanh, chăm ngoan.</v>
      </c>
      <c r="E689" s="1162"/>
      <c r="F689" s="805"/>
      <c r="H689" s="64"/>
      <c r="I689" s="64"/>
    </row>
    <row r="690" spans="1:9" ht="32.25" customHeight="1">
      <c r="A690" s="803" t="s">
        <v>202</v>
      </c>
      <c r="B690" s="804" t="s">
        <v>35</v>
      </c>
      <c r="C690" s="805" t="str">
        <f>IF(B697="","",INDEX(NXetHKI!$B$3:$CL$57,MATCH(InNXKI!B697,NXetHKI!$B$3:$B$57,0),INDEX($J$12:$K$25,MATCH($B690,$I$12:$I$25,0),J$11)))</f>
        <v>Đ</v>
      </c>
      <c r="D690" s="1161" t="str">
        <f>IF(B697="","",INDEX(NXetHKI!$B$3:$CL$57,MATCH(InNXKI!B697,NXetHKI!$B$3:$B$57,0),INDEX($J$12:$K$25,MATCH($B690,$I$12:$I$25,0),K$11)))</f>
        <v>Rất ngoan, học có hiệu quả tốt.</v>
      </c>
      <c r="E690" s="1162"/>
      <c r="F690" s="805"/>
      <c r="H690" s="64"/>
      <c r="I690" s="64"/>
    </row>
    <row r="691" spans="1:9" ht="32.25" customHeight="1">
      <c r="A691" s="803" t="s">
        <v>203</v>
      </c>
      <c r="B691" s="804" t="s">
        <v>121</v>
      </c>
      <c r="C691" s="805">
        <f>IF(B697="","",INDEX(NXetHKI!$B$3:$CL$57,MATCH(InNXKI!B697,NXetHKI!$B$3:$B$57,0),INDEX($J$12:$K$25,MATCH($B691,$I$12:$I$25,0),J$11)))</f>
        <v>9.9</v>
      </c>
      <c r="D691" s="1161" t="str">
        <f>IF(B697="","",INDEX(NXetHKI!$B$3:$CL$57,MATCH(InNXKI!B697,NXetHKI!$B$3:$B$57,0),INDEX($J$12:$K$25,MATCH($B691,$I$12:$I$25,0),K$11)))</f>
        <v>Ngoan, tích cực xây dựng bài, nắm chắc thực hành, học giỏi.</v>
      </c>
      <c r="E691" s="1162"/>
      <c r="F691" s="805"/>
      <c r="H691" s="64"/>
      <c r="I691" s="64"/>
    </row>
    <row r="692" spans="1:9" ht="32.25" customHeight="1">
      <c r="A692" s="803">
        <v>14</v>
      </c>
      <c r="B692" s="804" t="s">
        <v>122</v>
      </c>
      <c r="C692" s="805" t="str">
        <f>IF(B697="","",INDEX(NXetHKI!$B$3:$CL$57,MATCH(InNXKI!B697,NXetHKI!$B$3:$B$57,0),INDEX($J$12:$K$25,MATCH($B692,$I$12:$I$25,0),J$11)))</f>
        <v/>
      </c>
      <c r="D692" s="1161" t="str">
        <f>IF(B697="","",INDEX(NXetHKI!$B$3:$CL$57,MATCH(InNXKI!B697,NXetHKI!$B$3:$B$57,0),INDEX($J$12:$K$25,MATCH($B692,$I$12:$I$25,0),K$11)))</f>
        <v/>
      </c>
      <c r="E692" s="1162"/>
      <c r="F692" s="805"/>
      <c r="H692" s="64"/>
    </row>
    <row r="693" spans="1:9" ht="12" customHeight="1"/>
    <row r="694" spans="1:9" ht="21.75" customHeight="1">
      <c r="D694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694" s="1163"/>
      <c r="F694" s="1163"/>
    </row>
    <row r="695" spans="1:9">
      <c r="D695" s="992" t="s">
        <v>377</v>
      </c>
      <c r="E695" s="992"/>
      <c r="F695" s="992"/>
    </row>
    <row r="696" spans="1:9" ht="81" customHeight="1">
      <c r="D696" s="923" t="str">
        <f>IF('Huong dan'!$E$5="","",'Huong dan'!$E$5)</f>
        <v/>
      </c>
      <c r="E696" s="923"/>
      <c r="F696" s="923"/>
    </row>
    <row r="697" spans="1:9">
      <c r="A697" s="811"/>
      <c r="B697" s="711">
        <f>IF(B668="","",IF(B668&lt;MAX(NXetHKI!$B$3:$B$57),B668+1,""))</f>
        <v>24</v>
      </c>
      <c r="C697" s="811"/>
      <c r="D697" s="1157"/>
      <c r="E697" s="1157"/>
      <c r="F697" s="1157"/>
    </row>
    <row r="698" spans="1:9" s="60" customFormat="1" ht="24.75" customHeight="1">
      <c r="A698" s="1128" t="str">
        <f>IF('Huong dan'!$E$3&lt;&gt;"","SỞ GIÁO DỤC VÀ ĐÀO TẠO "&amp;UPPER('Huong dan'!$E$3),"")</f>
        <v>SỞ GIÁO DỤC VÀ ĐÀO TẠO TP. HỒ CHÍ MINH</v>
      </c>
      <c r="B698" s="1128"/>
      <c r="C698" s="1128"/>
      <c r="D698" s="1128"/>
      <c r="E698" s="1129" t="s">
        <v>19</v>
      </c>
      <c r="F698" s="1129"/>
    </row>
    <row r="699" spans="1:9" ht="17.25" customHeight="1">
      <c r="A699" s="992" t="str">
        <f>IF('Huong dan'!$E$4&lt;&gt;"","TRƯỜNG "&amp;UPPER('Huong dan'!$E$4),"")</f>
        <v>TRƯỜNG THCS VÀ THPT NGUYỄN KHUYẾN</v>
      </c>
      <c r="B699" s="992"/>
      <c r="C699" s="992"/>
      <c r="D699" s="992"/>
      <c r="E699" s="1130" t="s">
        <v>179</v>
      </c>
      <c r="F699" s="1130"/>
    </row>
    <row r="700" spans="1:9" ht="20.25" customHeight="1">
      <c r="A700" s="69"/>
      <c r="B700" s="69"/>
      <c r="C700" s="30"/>
      <c r="D700" s="30"/>
    </row>
    <row r="701" spans="1:9" ht="28.5" customHeight="1">
      <c r="A701" s="1164" t="s">
        <v>567</v>
      </c>
      <c r="B701" s="1164"/>
      <c r="C701" s="1164"/>
      <c r="D701" s="1164"/>
      <c r="E701" s="1164"/>
      <c r="F701" s="1164"/>
    </row>
    <row r="702" spans="1:9" ht="24.75" customHeight="1">
      <c r="A702" s="1164" t="str">
        <f>"HỌC KỲ I NĂM HỌC "&amp;'Huong dan'!$C$5</f>
        <v>HỌC KỲ I NĂM HỌC 2021 - 2022</v>
      </c>
      <c r="B702" s="1164"/>
      <c r="C702" s="1164"/>
      <c r="D702" s="1164"/>
      <c r="E702" s="1164"/>
      <c r="F702" s="1164"/>
    </row>
    <row r="703" spans="1:9" ht="14.25" customHeight="1">
      <c r="A703" s="70"/>
      <c r="B703" s="66"/>
      <c r="C703" s="66"/>
      <c r="D703" s="66"/>
      <c r="E703" s="66"/>
      <c r="F703" s="66"/>
    </row>
    <row r="704" spans="1:9" ht="18.75" customHeight="1">
      <c r="A704" s="1158" t="s">
        <v>212</v>
      </c>
      <c r="B704" s="1158"/>
      <c r="C704" s="1158"/>
      <c r="D704" s="77" t="str">
        <f>IF(B726="","",INDEX(NXetHKI!$B$3:$CL$57,MATCH(InNXKI!B726,NXetHKI!$B$3:$B$57,0),3)&amp;" "&amp;INDEX(NXetHKI!$B$3:$CL$57,MATCH(InNXKI!B726,NXetHKI!$B$3:$B$57,0),4))</f>
        <v>Nguyễn Thục Nhi</v>
      </c>
      <c r="E704" s="77"/>
      <c r="F704" s="77" t="str">
        <f>IF('Huong dan'!$C$3="","","Lớp: "&amp;'Huong dan'!$C$3)</f>
        <v>Lớp: 12A1</v>
      </c>
    </row>
    <row r="705" spans="1:9" ht="18.75" customHeight="1">
      <c r="A705" s="1158" t="s">
        <v>213</v>
      </c>
      <c r="B705" s="1158"/>
      <c r="C705" s="1158"/>
      <c r="D705" s="77" t="str">
        <f>INDEX(NXetHKI!$B$3:$CL$57,MATCH(InNXKI!B726,NXetHKI!$B$3:$B$57,0),5)</f>
        <v>04/10/2004</v>
      </c>
      <c r="E705" s="77"/>
      <c r="F705" s="841" t="str">
        <f>IF(B726="","","Nơi sinh: "&amp;INDEX(DiemHKI!$G$4:$G$58,MATCH(InNXKI!B726,DiemHKI!$B$4:$B$58,0),1))</f>
        <v>Nơi sinh: TP. Hồ Chí Minh</v>
      </c>
    </row>
    <row r="706" spans="1:9" ht="9.75" customHeight="1">
      <c r="A706" s="62"/>
      <c r="B706" s="62"/>
      <c r="C706" s="62"/>
      <c r="D706" s="62"/>
      <c r="E706" s="62"/>
      <c r="F706" s="62"/>
    </row>
    <row r="707" spans="1:9" ht="34.5" customHeight="1">
      <c r="A707" s="801" t="s">
        <v>0</v>
      </c>
      <c r="B707" s="801" t="s">
        <v>59</v>
      </c>
      <c r="C707" s="806" t="s">
        <v>360</v>
      </c>
      <c r="D707" s="1159" t="s">
        <v>568</v>
      </c>
      <c r="E707" s="1160"/>
      <c r="F707" s="802" t="s">
        <v>569</v>
      </c>
    </row>
    <row r="708" spans="1:9" ht="32.25" customHeight="1">
      <c r="A708" s="803" t="s">
        <v>191</v>
      </c>
      <c r="B708" s="804" t="s">
        <v>26</v>
      </c>
      <c r="C708" s="805">
        <f>IF(B726="","",INDEX(NXetHKI!$B$3:$CL$57,MATCH(InNXKI!B726,NXetHKI!$B$3:$B$57,0),INDEX($J$12:$K$25,MATCH($B708,$I$12:$I$25,0),J$11)))</f>
        <v>9.8000000000000007</v>
      </c>
      <c r="D708" s="1161" t="str">
        <f>IF(B726="","",INDEX(NXetHKI!$B$3:$CL$57,MATCH(InNXKI!B726,NXetHKI!$B$3:$B$57,0),INDEX($J$12:$K$25,MATCH($B708,$I$12:$I$25,0),K$11)))</f>
        <v>Em chăm chỉ, chuyên cần, rất tích cực, rất đáng khen.</v>
      </c>
      <c r="E708" s="1162"/>
      <c r="F708" s="805"/>
      <c r="H708" s="64"/>
      <c r="I708" s="64"/>
    </row>
    <row r="709" spans="1:9" ht="32.25" customHeight="1">
      <c r="A709" s="803" t="s">
        <v>192</v>
      </c>
      <c r="B709" s="804" t="s">
        <v>27</v>
      </c>
      <c r="C709" s="805">
        <f>IF(B726="","",INDEX(NXetHKI!$B$3:$CL$57,MATCH(InNXKI!B726,NXetHKI!$B$3:$B$57,0),INDEX($J$12:$K$25,MATCH($B709,$I$12:$I$25,0),J$11)))</f>
        <v>9.6999999999999993</v>
      </c>
      <c r="D709" s="1161" t="str">
        <f>IF(B726="","",INDEX(NXetHKI!$B$3:$CL$57,MATCH(InNXKI!B726,NXetHKI!$B$3:$B$57,0),INDEX($J$12:$K$25,MATCH($B709,$I$12:$I$25,0),K$11)))</f>
        <v>Em chăm chỉ, chuyên cần, rất tích cực, rất đáng khen.</v>
      </c>
      <c r="E709" s="1162"/>
      <c r="F709" s="805"/>
      <c r="H709" s="64"/>
      <c r="I709" s="64"/>
    </row>
    <row r="710" spans="1:9" ht="32.25" customHeight="1">
      <c r="A710" s="803" t="s">
        <v>193</v>
      </c>
      <c r="B710" s="804" t="s">
        <v>28</v>
      </c>
      <c r="C710" s="805">
        <f>IF(B726="","",INDEX(NXetHKI!$B$3:$CL$57,MATCH(InNXKI!B726,NXetHKI!$B$3:$B$57,0),INDEX($J$12:$K$25,MATCH($B710,$I$12:$I$25,0),J$11)))</f>
        <v>9.8000000000000007</v>
      </c>
      <c r="D710" s="1161" t="str">
        <f>IF(B726="","",INDEX(NXetHKI!$B$3:$CL$57,MATCH(InNXKI!B726,NXetHKI!$B$3:$B$57,0),INDEX($J$12:$K$25,MATCH($B710,$I$12:$I$25,0),K$11)))</f>
        <v>Học giỏi, thông minh, cần phát huy.</v>
      </c>
      <c r="E710" s="1162"/>
      <c r="F710" s="805"/>
      <c r="H710" s="64"/>
      <c r="I710" s="64"/>
    </row>
    <row r="711" spans="1:9" ht="32.25" customHeight="1">
      <c r="A711" s="803" t="s">
        <v>194</v>
      </c>
      <c r="B711" s="804" t="s">
        <v>29</v>
      </c>
      <c r="C711" s="805">
        <f>IF(B726="","",INDEX(NXetHKI!$B$3:$CL$57,MATCH(InNXKI!B726,NXetHKI!$B$3:$B$57,0),INDEX($J$12:$K$25,MATCH($B711,$I$12:$I$25,0),J$11)))</f>
        <v>8.9</v>
      </c>
      <c r="D711" s="1161" t="str">
        <f>IF(B726="","",INDEX(NXetHKI!$B$3:$CL$57,MATCH(InNXKI!B726,NXetHKI!$B$3:$B$57,0),INDEX($J$12:$K$25,MATCH($B711,$I$12:$I$25,0),K$11)))</f>
        <v>Chăm chỉ, năng động và có hiệu quả, có năng khiếu về bộ môn Sinh học.</v>
      </c>
      <c r="E711" s="1162"/>
      <c r="F711" s="805"/>
      <c r="H711" s="64"/>
      <c r="I711" s="64"/>
    </row>
    <row r="712" spans="1:9" ht="32.25" customHeight="1">
      <c r="A712" s="803" t="s">
        <v>195</v>
      </c>
      <c r="B712" s="804" t="s">
        <v>120</v>
      </c>
      <c r="C712" s="805">
        <f>IF(B726="","",INDEX(NXetHKI!$B$3:$CL$57,MATCH(InNXKI!B726,NXetHKI!$B$3:$B$57,0),INDEX($J$12:$K$25,MATCH($B712,$I$12:$I$25,0),J$11)))</f>
        <v>9.8000000000000007</v>
      </c>
      <c r="D712" s="1161" t="str">
        <f>IF(B726="","",INDEX(NXetHKI!$B$3:$CL$57,MATCH(InNXKI!B726,NXetHKI!$B$3:$B$57,0),INDEX($J$12:$K$25,MATCH($B712,$I$12:$I$25,0),K$11)))</f>
        <v>Rất ngoan, cố gắng có hiệu quả.</v>
      </c>
      <c r="E712" s="1162"/>
      <c r="F712" s="805"/>
      <c r="H712" s="64"/>
      <c r="I712" s="64"/>
    </row>
    <row r="713" spans="1:9" ht="32.25" customHeight="1">
      <c r="A713" s="803" t="s">
        <v>196</v>
      </c>
      <c r="B713" s="804" t="s">
        <v>30</v>
      </c>
      <c r="C713" s="805">
        <f>IF(B726="","",INDEX(NXetHKI!$B$3:$CL$57,MATCH(InNXKI!B726,NXetHKI!$B$3:$B$57,0),INDEX($J$12:$K$25,MATCH($B713,$I$12:$I$25,0),J$11)))</f>
        <v>7.9</v>
      </c>
      <c r="D713" s="1161" t="str">
        <f>IF(B726="","",INDEX(NXetHKI!$B$3:$CL$57,MATCH(InNXKI!B726,NXetHKI!$B$3:$B$57,0),INDEX($J$12:$K$25,MATCH($B713,$I$12:$I$25,0),K$11)))</f>
        <v>Có năng khiếu, tự giác, cảm nhận được văn bản.</v>
      </c>
      <c r="E713" s="1162"/>
      <c r="F713" s="805"/>
      <c r="H713" s="64"/>
      <c r="I713" s="64"/>
    </row>
    <row r="714" spans="1:9" ht="32.25" customHeight="1">
      <c r="A714" s="803" t="s">
        <v>197</v>
      </c>
      <c r="B714" s="804" t="s">
        <v>31</v>
      </c>
      <c r="C714" s="805">
        <f>IF(B726="","",INDEX(NXetHKI!$B$3:$CL$57,MATCH(InNXKI!B726,NXetHKI!$B$3:$B$57,0),INDEX($J$12:$K$25,MATCH($B714,$I$12:$I$25,0),J$11)))</f>
        <v>9.8000000000000007</v>
      </c>
      <c r="D714" s="1161" t="str">
        <f>IF(B726="","",INDEX(NXetHKI!$B$3:$CL$57,MATCH(InNXKI!B726,NXetHKI!$B$3:$B$57,0),INDEX($J$12:$K$25,MATCH($B714,$I$12:$I$25,0),K$11)))</f>
        <v>Chăm ngoan, tích cực, chủ động tiếp thu bài học.</v>
      </c>
      <c r="E714" s="1162"/>
      <c r="F714" s="805"/>
      <c r="H714" s="64"/>
      <c r="I714" s="64"/>
    </row>
    <row r="715" spans="1:9" ht="32.25" customHeight="1">
      <c r="A715" s="803" t="s">
        <v>198</v>
      </c>
      <c r="B715" s="804" t="s">
        <v>32</v>
      </c>
      <c r="C715" s="805">
        <f>IF(B726="","",INDEX(NXetHKI!$B$3:$CL$57,MATCH(InNXKI!B726,NXetHKI!$B$3:$B$57,0),INDEX($J$12:$K$25,MATCH($B715,$I$12:$I$25,0),J$11)))</f>
        <v>9.8000000000000007</v>
      </c>
      <c r="D715" s="1161" t="str">
        <f>IF(B726="","",INDEX(NXetHKI!$B$3:$CL$57,MATCH(InNXKI!B726,NXetHKI!$B$3:$B$57,0),INDEX($J$12:$K$25,MATCH($B715,$I$12:$I$25,0),K$11)))</f>
        <v>Em rất ngoan, cố gắng có hiệu quả.</v>
      </c>
      <c r="E715" s="1162"/>
      <c r="F715" s="805"/>
      <c r="H715" s="64"/>
      <c r="I715" s="64"/>
    </row>
    <row r="716" spans="1:9" ht="32.25" customHeight="1">
      <c r="A716" s="803" t="s">
        <v>199</v>
      </c>
      <c r="B716" s="804" t="s">
        <v>33</v>
      </c>
      <c r="C716" s="805">
        <f>IF(B726="","",INDEX(NXetHKI!$B$3:$CL$57,MATCH(InNXKI!B726,NXetHKI!$B$3:$B$57,0),INDEX($J$12:$K$25,MATCH($B716,$I$12:$I$25,0),J$11)))</f>
        <v>9.6</v>
      </c>
      <c r="D716" s="1161" t="str">
        <f>IF(B726="","",INDEX(NXetHKI!$B$3:$CL$57,MATCH(InNXKI!B726,NXetHKI!$B$3:$B$57,0),INDEX($J$12:$K$25,MATCH($B716,$I$12:$I$25,0),K$11)))</f>
        <v>Có năng khiếu, tự tin, giao tiếp tốt và có khả năng làm việc nhóm.</v>
      </c>
      <c r="E716" s="1162"/>
      <c r="F716" s="805"/>
      <c r="H716" s="64"/>
      <c r="I716" s="64"/>
    </row>
    <row r="717" spans="1:9" ht="32.25" customHeight="1">
      <c r="A717" s="803" t="s">
        <v>200</v>
      </c>
      <c r="B717" s="804" t="s">
        <v>60</v>
      </c>
      <c r="C717" s="805">
        <f>IF(B726="","",INDEX(NXetHKI!$B$3:$CL$57,MATCH(InNXKI!B726,NXetHKI!$B$3:$B$57,0),INDEX($J$12:$K$25,MATCH($B717,$I$12:$I$25,0),J$11)))</f>
        <v>9.1</v>
      </c>
      <c r="D717" s="1161" t="str">
        <f>IF(B726="","",INDEX(NXetHKI!$B$3:$CL$57,MATCH(InNXKI!B726,NXetHKI!$B$3:$B$57,0),INDEX($J$12:$K$25,MATCH($B717,$I$12:$I$25,0),K$11)))</f>
        <v>Hứng thú, có trách nhiệm học tập tốt.</v>
      </c>
      <c r="E717" s="1162"/>
      <c r="F717" s="805"/>
      <c r="H717" s="64"/>
      <c r="I717" s="64"/>
    </row>
    <row r="718" spans="1:9" ht="32.25" customHeight="1">
      <c r="A718" s="803" t="s">
        <v>201</v>
      </c>
      <c r="B718" s="804" t="s">
        <v>34</v>
      </c>
      <c r="C718" s="805">
        <f>IF(B726="","",INDEX(NXetHKI!$B$3:$CL$57,MATCH(InNXKI!B726,NXetHKI!$B$3:$B$57,0),INDEX($J$12:$K$25,MATCH($B718,$I$12:$I$25,0),J$11)))</f>
        <v>9.5</v>
      </c>
      <c r="D718" s="1161" t="str">
        <f>IF(B726="","",INDEX(NXetHKI!$B$3:$CL$57,MATCH(InNXKI!B726,NXetHKI!$B$3:$B$57,0),INDEX($J$12:$K$25,MATCH($B718,$I$12:$I$25,0),K$11)))</f>
        <v>Học giỏi, năng động, chăm ngoan.</v>
      </c>
      <c r="E718" s="1162"/>
      <c r="F718" s="805"/>
      <c r="H718" s="64"/>
      <c r="I718" s="64"/>
    </row>
    <row r="719" spans="1:9" ht="32.25" customHeight="1">
      <c r="A719" s="803" t="s">
        <v>202</v>
      </c>
      <c r="B719" s="804" t="s">
        <v>35</v>
      </c>
      <c r="C719" s="805" t="str">
        <f>IF(B726="","",INDEX(NXetHKI!$B$3:$CL$57,MATCH(InNXKI!B726,NXetHKI!$B$3:$B$57,0),INDEX($J$12:$K$25,MATCH($B719,$I$12:$I$25,0),J$11)))</f>
        <v>Đ</v>
      </c>
      <c r="D719" s="1161" t="str">
        <f>IF(B726="","",INDEX(NXetHKI!$B$3:$CL$57,MATCH(InNXKI!B726,NXetHKI!$B$3:$B$57,0),INDEX($J$12:$K$25,MATCH($B719,$I$12:$I$25,0),K$11)))</f>
        <v>Chăm chỉ, cố gắng, rất ngoan.</v>
      </c>
      <c r="E719" s="1162"/>
      <c r="F719" s="805"/>
      <c r="H719" s="64"/>
      <c r="I719" s="64"/>
    </row>
    <row r="720" spans="1:9" ht="32.25" customHeight="1">
      <c r="A720" s="803" t="s">
        <v>203</v>
      </c>
      <c r="B720" s="804" t="s">
        <v>121</v>
      </c>
      <c r="C720" s="805">
        <f>IF(B726="","",INDEX(NXetHKI!$B$3:$CL$57,MATCH(InNXKI!B726,NXetHKI!$B$3:$B$57,0),INDEX($J$12:$K$25,MATCH($B720,$I$12:$I$25,0),J$11)))</f>
        <v>9.9</v>
      </c>
      <c r="D720" s="1161" t="str">
        <f>IF(B726="","",INDEX(NXetHKI!$B$3:$CL$57,MATCH(InNXKI!B726,NXetHKI!$B$3:$B$57,0),INDEX($J$12:$K$25,MATCH($B720,$I$12:$I$25,0),K$11)))</f>
        <v>Siêng năng, lễ phép, thành thạo thực hành, học giỏi.</v>
      </c>
      <c r="E720" s="1162"/>
      <c r="F720" s="805"/>
      <c r="H720" s="64"/>
      <c r="I720" s="64"/>
    </row>
    <row r="721" spans="1:8" ht="32.25" customHeight="1">
      <c r="A721" s="803">
        <v>14</v>
      </c>
      <c r="B721" s="804" t="s">
        <v>122</v>
      </c>
      <c r="C721" s="805" t="str">
        <f>IF(B726="","",INDEX(NXetHKI!$B$3:$CL$57,MATCH(InNXKI!B726,NXetHKI!$B$3:$B$57,0),INDEX($J$12:$K$25,MATCH($B721,$I$12:$I$25,0),J$11)))</f>
        <v/>
      </c>
      <c r="D721" s="1161" t="str">
        <f>IF(B726="","",INDEX(NXetHKI!$B$3:$CL$57,MATCH(InNXKI!B726,NXetHKI!$B$3:$B$57,0),INDEX($J$12:$K$25,MATCH($B721,$I$12:$I$25,0),K$11)))</f>
        <v/>
      </c>
      <c r="E721" s="1162"/>
      <c r="F721" s="805"/>
      <c r="H721" s="64"/>
    </row>
    <row r="722" spans="1:8" ht="12" customHeight="1"/>
    <row r="723" spans="1:8" ht="21.75" customHeight="1">
      <c r="D723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723" s="1163"/>
      <c r="F723" s="1163"/>
    </row>
    <row r="724" spans="1:8">
      <c r="D724" s="992" t="s">
        <v>377</v>
      </c>
      <c r="E724" s="992"/>
      <c r="F724" s="992"/>
    </row>
    <row r="725" spans="1:8" ht="81" customHeight="1">
      <c r="D725" s="923" t="str">
        <f>IF('Huong dan'!$E$5="","",'Huong dan'!$E$5)</f>
        <v/>
      </c>
      <c r="E725" s="923"/>
      <c r="F725" s="923"/>
    </row>
    <row r="726" spans="1:8">
      <c r="A726" s="811"/>
      <c r="B726" s="711">
        <f>IF(B697="","",IF(B697&lt;MAX(NXetHKI!$B$3:$B$57),B697+1,""))</f>
        <v>25</v>
      </c>
      <c r="C726" s="811"/>
      <c r="D726" s="1157"/>
      <c r="E726" s="1157"/>
      <c r="F726" s="1157"/>
    </row>
    <row r="727" spans="1:8" s="60" customFormat="1" ht="24.75" customHeight="1">
      <c r="A727" s="1128" t="str">
        <f>IF('Huong dan'!$E$3&lt;&gt;"","SỞ GIÁO DỤC VÀ ĐÀO TẠO "&amp;UPPER('Huong dan'!$E$3),"")</f>
        <v>SỞ GIÁO DỤC VÀ ĐÀO TẠO TP. HỒ CHÍ MINH</v>
      </c>
      <c r="B727" s="1128"/>
      <c r="C727" s="1128"/>
      <c r="D727" s="1128"/>
      <c r="E727" s="1129" t="s">
        <v>19</v>
      </c>
      <c r="F727" s="1129"/>
    </row>
    <row r="728" spans="1:8" ht="17.25" customHeight="1">
      <c r="A728" s="992" t="str">
        <f>IF('Huong dan'!$E$4&lt;&gt;"","TRƯỜNG "&amp;UPPER('Huong dan'!$E$4),"")</f>
        <v>TRƯỜNG THCS VÀ THPT NGUYỄN KHUYẾN</v>
      </c>
      <c r="B728" s="992"/>
      <c r="C728" s="992"/>
      <c r="D728" s="992"/>
      <c r="E728" s="1130" t="s">
        <v>179</v>
      </c>
      <c r="F728" s="1130"/>
    </row>
    <row r="729" spans="1:8" ht="20.25" customHeight="1">
      <c r="A729" s="69"/>
      <c r="B729" s="69"/>
      <c r="C729" s="30"/>
      <c r="D729" s="30"/>
    </row>
    <row r="730" spans="1:8" ht="28.5" customHeight="1">
      <c r="A730" s="1164" t="s">
        <v>567</v>
      </c>
      <c r="B730" s="1164"/>
      <c r="C730" s="1164"/>
      <c r="D730" s="1164"/>
      <c r="E730" s="1164"/>
      <c r="F730" s="1164"/>
    </row>
    <row r="731" spans="1:8" ht="24.75" customHeight="1">
      <c r="A731" s="1164" t="str">
        <f>"HỌC KỲ I NĂM HỌC "&amp;'Huong dan'!$C$5</f>
        <v>HỌC KỲ I NĂM HỌC 2021 - 2022</v>
      </c>
      <c r="B731" s="1164"/>
      <c r="C731" s="1164"/>
      <c r="D731" s="1164"/>
      <c r="E731" s="1164"/>
      <c r="F731" s="1164"/>
    </row>
    <row r="732" spans="1:8" ht="14.25" customHeight="1">
      <c r="A732" s="70"/>
      <c r="B732" s="66"/>
      <c r="C732" s="66"/>
      <c r="D732" s="66"/>
      <c r="E732" s="66"/>
      <c r="F732" s="66"/>
    </row>
    <row r="733" spans="1:8" ht="18.75" customHeight="1">
      <c r="A733" s="1158" t="s">
        <v>212</v>
      </c>
      <c r="B733" s="1158"/>
      <c r="C733" s="1158"/>
      <c r="D733" s="77" t="str">
        <f>IF(B755="","",INDEX(NXetHKI!$B$3:$CL$57,MATCH(InNXKI!B755,NXetHKI!$B$3:$B$57,0),3)&amp;" "&amp;INDEX(NXetHKI!$B$3:$CL$57,MATCH(InNXKI!B755,NXetHKI!$B$3:$B$57,0),4))</f>
        <v>Trần Thị Hải Như</v>
      </c>
      <c r="E733" s="77"/>
      <c r="F733" s="77" t="str">
        <f>IF('Huong dan'!$C$3="","","Lớp: "&amp;'Huong dan'!$C$3)</f>
        <v>Lớp: 12A1</v>
      </c>
    </row>
    <row r="734" spans="1:8" ht="18.75" customHeight="1">
      <c r="A734" s="1158" t="s">
        <v>213</v>
      </c>
      <c r="B734" s="1158"/>
      <c r="C734" s="1158"/>
      <c r="D734" s="77" t="str">
        <f>INDEX(NXetHKI!$B$3:$CL$57,MATCH(InNXKI!B755,NXetHKI!$B$3:$B$57,0),5)</f>
        <v>17/08/2004</v>
      </c>
      <c r="E734" s="77"/>
      <c r="F734" s="841" t="str">
        <f>IF(B755="","","Nơi sinh: "&amp;INDEX(DiemHKI!$G$4:$G$58,MATCH(InNXKI!B755,DiemHKI!$B$4:$B$58,0),1))</f>
        <v>Nơi sinh: TP. Hồ Chí Minh</v>
      </c>
    </row>
    <row r="735" spans="1:8" ht="9.75" customHeight="1">
      <c r="A735" s="62"/>
      <c r="B735" s="62"/>
      <c r="C735" s="62"/>
      <c r="D735" s="62"/>
      <c r="E735" s="62"/>
      <c r="F735" s="62"/>
    </row>
    <row r="736" spans="1:8" ht="34.5" customHeight="1">
      <c r="A736" s="801" t="s">
        <v>0</v>
      </c>
      <c r="B736" s="801" t="s">
        <v>59</v>
      </c>
      <c r="C736" s="806" t="s">
        <v>360</v>
      </c>
      <c r="D736" s="1159" t="s">
        <v>568</v>
      </c>
      <c r="E736" s="1160"/>
      <c r="F736" s="802" t="s">
        <v>569</v>
      </c>
    </row>
    <row r="737" spans="1:9" ht="32.25" customHeight="1">
      <c r="A737" s="803" t="s">
        <v>191</v>
      </c>
      <c r="B737" s="804" t="s">
        <v>26</v>
      </c>
      <c r="C737" s="805">
        <f>IF(B755="","",INDEX(NXetHKI!$B$3:$CL$57,MATCH(InNXKI!B755,NXetHKI!$B$3:$B$57,0),INDEX($J$12:$K$25,MATCH($B737,$I$12:$I$25,0),J$11)))</f>
        <v>9.3000000000000007</v>
      </c>
      <c r="D737" s="1161" t="str">
        <f>IF(B755="","",INDEX(NXetHKI!$B$3:$CL$57,MATCH(InNXKI!B755,NXetHKI!$B$3:$B$57,0),INDEX($J$12:$K$25,MATCH($B737,$I$12:$I$25,0),K$11)))</f>
        <v>Em học giỏi, chăm ngoan, tính tự giác cao, rất tốt.</v>
      </c>
      <c r="E737" s="1162"/>
      <c r="F737" s="805"/>
      <c r="H737" s="64"/>
      <c r="I737" s="64"/>
    </row>
    <row r="738" spans="1:9" ht="32.25" customHeight="1">
      <c r="A738" s="803" t="s">
        <v>192</v>
      </c>
      <c r="B738" s="804" t="s">
        <v>27</v>
      </c>
      <c r="C738" s="805">
        <f>IF(B755="","",INDEX(NXetHKI!$B$3:$CL$57,MATCH(InNXKI!B755,NXetHKI!$B$3:$B$57,0),INDEX($J$12:$K$25,MATCH($B738,$I$12:$I$25,0),J$11)))</f>
        <v>9.6999999999999993</v>
      </c>
      <c r="D738" s="1161" t="str">
        <f>IF(B755="","",INDEX(NXetHKI!$B$3:$CL$57,MATCH(InNXKI!B755,NXetHKI!$B$3:$B$57,0),INDEX($J$12:$K$25,MATCH($B738,$I$12:$I$25,0),K$11)))</f>
        <v>Em học giỏi, chăm ngoan, tính tự giác cao, rất tốt.</v>
      </c>
      <c r="E738" s="1162"/>
      <c r="F738" s="805"/>
      <c r="H738" s="64"/>
      <c r="I738" s="64"/>
    </row>
    <row r="739" spans="1:9" ht="32.25" customHeight="1">
      <c r="A739" s="803" t="s">
        <v>193</v>
      </c>
      <c r="B739" s="804" t="s">
        <v>28</v>
      </c>
      <c r="C739" s="805">
        <f>IF(B755="","",INDEX(NXetHKI!$B$3:$CL$57,MATCH(InNXKI!B755,NXetHKI!$B$3:$B$57,0),INDEX($J$12:$K$25,MATCH($B739,$I$12:$I$25,0),J$11)))</f>
        <v>9.5</v>
      </c>
      <c r="D739" s="1161" t="str">
        <f>IF(B755="","",INDEX(NXetHKI!$B$3:$CL$57,MATCH(InNXKI!B755,NXetHKI!$B$3:$B$57,0),INDEX($J$12:$K$25,MATCH($B739,$I$12:$I$25,0),K$11)))</f>
        <v>Kiến thức vững, tự học tốt, ngoan.</v>
      </c>
      <c r="E739" s="1162"/>
      <c r="F739" s="805"/>
      <c r="H739" s="64"/>
      <c r="I739" s="64"/>
    </row>
    <row r="740" spans="1:9" ht="32.25" customHeight="1">
      <c r="A740" s="803" t="s">
        <v>194</v>
      </c>
      <c r="B740" s="804" t="s">
        <v>29</v>
      </c>
      <c r="C740" s="805">
        <f>IF(B755="","",INDEX(NXetHKI!$B$3:$CL$57,MATCH(InNXKI!B755,NXetHKI!$B$3:$B$57,0),INDEX($J$12:$K$25,MATCH($B740,$I$12:$I$25,0),J$11)))</f>
        <v>9</v>
      </c>
      <c r="D740" s="1161" t="str">
        <f>IF(B755="","",INDEX(NXetHKI!$B$3:$CL$57,MATCH(InNXKI!B755,NXetHKI!$B$3:$B$57,0),INDEX($J$12:$K$25,MATCH($B740,$I$12:$I$25,0),K$11)))</f>
        <v>Có khả năng tự học và tự chủ bản thân, tích cực trong học tập.</v>
      </c>
      <c r="E740" s="1162"/>
      <c r="F740" s="805"/>
      <c r="H740" s="64"/>
      <c r="I740" s="64"/>
    </row>
    <row r="741" spans="1:9" ht="32.25" customHeight="1">
      <c r="A741" s="803" t="s">
        <v>195</v>
      </c>
      <c r="B741" s="804" t="s">
        <v>120</v>
      </c>
      <c r="C741" s="805">
        <f>IF(B755="","",INDEX(NXetHKI!$B$3:$CL$57,MATCH(InNXKI!B755,NXetHKI!$B$3:$B$57,0),INDEX($J$12:$K$25,MATCH($B741,$I$12:$I$25,0),J$11)))</f>
        <v>9.6</v>
      </c>
      <c r="D741" s="1161" t="str">
        <f>IF(B755="","",INDEX(NXetHKI!$B$3:$CL$57,MATCH(InNXKI!B755,NXetHKI!$B$3:$B$57,0),INDEX($J$12:$K$25,MATCH($B741,$I$12:$I$25,0),K$11)))</f>
        <v>Ngoan, chăm chỉ, tư duy tốt.</v>
      </c>
      <c r="E741" s="1162"/>
      <c r="F741" s="805"/>
      <c r="H741" s="64"/>
      <c r="I741" s="64"/>
    </row>
    <row r="742" spans="1:9" ht="32.25" customHeight="1">
      <c r="A742" s="803" t="s">
        <v>196</v>
      </c>
      <c r="B742" s="804" t="s">
        <v>30</v>
      </c>
      <c r="C742" s="805">
        <f>IF(B755="","",INDEX(NXetHKI!$B$3:$CL$57,MATCH(InNXKI!B755,NXetHKI!$B$3:$B$57,0),INDEX($J$12:$K$25,MATCH($B742,$I$12:$I$25,0),J$11)))</f>
        <v>7.3</v>
      </c>
      <c r="D742" s="1161" t="str">
        <f>IF(B755="","",INDEX(NXetHKI!$B$3:$CL$57,MATCH(InNXKI!B755,NXetHKI!$B$3:$B$57,0),INDEX($J$12:$K$25,MATCH($B742,$I$12:$I$25,0),K$11)))</f>
        <v>Có ý thức học tập tốt, cần nỗ lực rèn luyện thêm các kỹ năng.</v>
      </c>
      <c r="E742" s="1162"/>
      <c r="F742" s="805"/>
      <c r="H742" s="64"/>
      <c r="I742" s="64"/>
    </row>
    <row r="743" spans="1:9" ht="32.25" customHeight="1">
      <c r="A743" s="803" t="s">
        <v>197</v>
      </c>
      <c r="B743" s="804" t="s">
        <v>31</v>
      </c>
      <c r="C743" s="805">
        <f>IF(B755="","",INDEX(NXetHKI!$B$3:$CL$57,MATCH(InNXKI!B755,NXetHKI!$B$3:$B$57,0),INDEX($J$12:$K$25,MATCH($B743,$I$12:$I$25,0),J$11)))</f>
        <v>9.4</v>
      </c>
      <c r="D743" s="1161" t="str">
        <f>IF(B755="","",INDEX(NXetHKI!$B$3:$CL$57,MATCH(InNXKI!B755,NXetHKI!$B$3:$B$57,0),INDEX($J$12:$K$25,MATCH($B743,$I$12:$I$25,0),K$11)))</f>
        <v>Tiếp thu bài tốt, ghi nhớ nhanh các sự kiện lịch sử.</v>
      </c>
      <c r="E743" s="1162"/>
      <c r="F743" s="805"/>
      <c r="H743" s="64"/>
      <c r="I743" s="64"/>
    </row>
    <row r="744" spans="1:9" ht="32.25" customHeight="1">
      <c r="A744" s="803" t="s">
        <v>198</v>
      </c>
      <c r="B744" s="804" t="s">
        <v>32</v>
      </c>
      <c r="C744" s="805">
        <f>IF(B755="","",INDEX(NXetHKI!$B$3:$CL$57,MATCH(InNXKI!B755,NXetHKI!$B$3:$B$57,0),INDEX($J$12:$K$25,MATCH($B744,$I$12:$I$25,0),J$11)))</f>
        <v>9.8000000000000007</v>
      </c>
      <c r="D744" s="1161" t="str">
        <f>IF(B755="","",INDEX(NXetHKI!$B$3:$CL$57,MATCH(InNXKI!B755,NXetHKI!$B$3:$B$57,0),INDEX($J$12:$K$25,MATCH($B744,$I$12:$I$25,0),K$11)))</f>
        <v>Em có tư duy tốt, rất tích cực, giải quyết vấn đề tốt.</v>
      </c>
      <c r="E744" s="1162"/>
      <c r="F744" s="805"/>
      <c r="H744" s="64"/>
      <c r="I744" s="64"/>
    </row>
    <row r="745" spans="1:9" ht="32.25" customHeight="1">
      <c r="A745" s="803" t="s">
        <v>199</v>
      </c>
      <c r="B745" s="804" t="s">
        <v>33</v>
      </c>
      <c r="C745" s="805">
        <f>IF(B755="","",INDEX(NXetHKI!$B$3:$CL$57,MATCH(InNXKI!B755,NXetHKI!$B$3:$B$57,0),INDEX($J$12:$K$25,MATCH($B745,$I$12:$I$25,0),J$11)))</f>
        <v>9.3000000000000007</v>
      </c>
      <c r="D745" s="1161" t="str">
        <f>IF(B755="","",INDEX(NXetHKI!$B$3:$CL$57,MATCH(InNXKI!B755,NXetHKI!$B$3:$B$57,0),INDEX($J$12:$K$25,MATCH($B745,$I$12:$I$25,0),K$11)))</f>
        <v>Chăm chỉ, chuyên cần, rất tích cực và năng động.</v>
      </c>
      <c r="E745" s="1162"/>
      <c r="F745" s="805"/>
      <c r="H745" s="64"/>
      <c r="I745" s="64"/>
    </row>
    <row r="746" spans="1:9" ht="32.25" customHeight="1">
      <c r="A746" s="803" t="s">
        <v>200</v>
      </c>
      <c r="B746" s="804" t="s">
        <v>60</v>
      </c>
      <c r="C746" s="805">
        <f>IF(B755="","",INDEX(NXetHKI!$B$3:$CL$57,MATCH(InNXKI!B755,NXetHKI!$B$3:$B$57,0),INDEX($J$12:$K$25,MATCH($B746,$I$12:$I$25,0),J$11)))</f>
        <v>8.8000000000000007</v>
      </c>
      <c r="D746" s="1161" t="str">
        <f>IF(B755="","",INDEX(NXetHKI!$B$3:$CL$57,MATCH(InNXKI!B755,NXetHKI!$B$3:$B$57,0),INDEX($J$12:$K$25,MATCH($B746,$I$12:$I$25,0),K$11)))</f>
        <v>Tích cực, trách nhiệm học tốt.</v>
      </c>
      <c r="E746" s="1162"/>
      <c r="F746" s="805"/>
      <c r="H746" s="64"/>
      <c r="I746" s="64"/>
    </row>
    <row r="747" spans="1:9" ht="32.25" customHeight="1">
      <c r="A747" s="803" t="s">
        <v>201</v>
      </c>
      <c r="B747" s="804" t="s">
        <v>34</v>
      </c>
      <c r="C747" s="805">
        <f>IF(B755="","",INDEX(NXetHKI!$B$3:$CL$57,MATCH(InNXKI!B755,NXetHKI!$B$3:$B$57,0),INDEX($J$12:$K$25,MATCH($B747,$I$12:$I$25,0),J$11)))</f>
        <v>9.4</v>
      </c>
      <c r="D747" s="1161" t="str">
        <f>IF(B755="","",INDEX(NXetHKI!$B$3:$CL$57,MATCH(InNXKI!B755,NXetHKI!$B$3:$B$57,0),INDEX($J$12:$K$25,MATCH($B747,$I$12:$I$25,0),K$11)))</f>
        <v>Năng động, sáng tạo trong học tập.</v>
      </c>
      <c r="E747" s="1162"/>
      <c r="F747" s="805"/>
      <c r="H747" s="64"/>
      <c r="I747" s="64"/>
    </row>
    <row r="748" spans="1:9" ht="32.25" customHeight="1">
      <c r="A748" s="803" t="s">
        <v>202</v>
      </c>
      <c r="B748" s="804" t="s">
        <v>35</v>
      </c>
      <c r="C748" s="805" t="str">
        <f>IF(B755="","",INDEX(NXetHKI!$B$3:$CL$57,MATCH(InNXKI!B755,NXetHKI!$B$3:$B$57,0),INDEX($J$12:$K$25,MATCH($B748,$I$12:$I$25,0),J$11)))</f>
        <v>Đ</v>
      </c>
      <c r="D748" s="1161" t="str">
        <f>IF(B755="","",INDEX(NXetHKI!$B$3:$CL$57,MATCH(InNXKI!B755,NXetHKI!$B$3:$B$57,0),INDEX($J$12:$K$25,MATCH($B748,$I$12:$I$25,0),K$11)))</f>
        <v>Giỏi, có nhiều tiến bộ trong học tập.</v>
      </c>
      <c r="E748" s="1162"/>
      <c r="F748" s="805"/>
      <c r="H748" s="64"/>
      <c r="I748" s="64"/>
    </row>
    <row r="749" spans="1:9" ht="32.25" customHeight="1">
      <c r="A749" s="803" t="s">
        <v>203</v>
      </c>
      <c r="B749" s="804" t="s">
        <v>121</v>
      </c>
      <c r="C749" s="805">
        <f>IF(B755="","",INDEX(NXetHKI!$B$3:$CL$57,MATCH(InNXKI!B755,NXetHKI!$B$3:$B$57,0),INDEX($J$12:$K$25,MATCH($B749,$I$12:$I$25,0),J$11)))</f>
        <v>9.9</v>
      </c>
      <c r="D749" s="1161" t="str">
        <f>IF(B755="","",INDEX(NXetHKI!$B$3:$CL$57,MATCH(InNXKI!B755,NXetHKI!$B$3:$B$57,0),INDEX($J$12:$K$25,MATCH($B749,$I$12:$I$25,0),K$11)))</f>
        <v>Tích cực, năng động, nắm bài tốt, học giỏi.</v>
      </c>
      <c r="E749" s="1162"/>
      <c r="F749" s="805"/>
      <c r="H749" s="64"/>
      <c r="I749" s="64"/>
    </row>
    <row r="750" spans="1:9" ht="32.25" customHeight="1">
      <c r="A750" s="803">
        <v>14</v>
      </c>
      <c r="B750" s="804" t="s">
        <v>122</v>
      </c>
      <c r="C750" s="805" t="str">
        <f>IF(B755="","",INDEX(NXetHKI!$B$3:$CL$57,MATCH(InNXKI!B755,NXetHKI!$B$3:$B$57,0),INDEX($J$12:$K$25,MATCH($B750,$I$12:$I$25,0),J$11)))</f>
        <v/>
      </c>
      <c r="D750" s="1161" t="str">
        <f>IF(B755="","",INDEX(NXetHKI!$B$3:$CL$57,MATCH(InNXKI!B755,NXetHKI!$B$3:$B$57,0),INDEX($J$12:$K$25,MATCH($B750,$I$12:$I$25,0),K$11)))</f>
        <v/>
      </c>
      <c r="E750" s="1162"/>
      <c r="F750" s="805"/>
      <c r="H750" s="64"/>
    </row>
    <row r="751" spans="1:9" ht="12" customHeight="1"/>
    <row r="752" spans="1:9" ht="21.75" customHeight="1">
      <c r="D752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752" s="1163"/>
      <c r="F752" s="1163"/>
    </row>
    <row r="753" spans="1:9">
      <c r="D753" s="992" t="s">
        <v>377</v>
      </c>
      <c r="E753" s="992"/>
      <c r="F753" s="992"/>
    </row>
    <row r="754" spans="1:9" ht="81" customHeight="1">
      <c r="D754" s="923" t="str">
        <f>IF('Huong dan'!$E$5="","",'Huong dan'!$E$5)</f>
        <v/>
      </c>
      <c r="E754" s="923"/>
      <c r="F754" s="923"/>
    </row>
    <row r="755" spans="1:9">
      <c r="A755" s="811"/>
      <c r="B755" s="711">
        <f>IF(B726="","",IF(B726&lt;MAX(NXetHKI!$B$3:$B$57),B726+1,""))</f>
        <v>26</v>
      </c>
      <c r="C755" s="811"/>
      <c r="D755" s="1157"/>
      <c r="E755" s="1157"/>
      <c r="F755" s="1157"/>
    </row>
    <row r="756" spans="1:9" s="60" customFormat="1" ht="24.75" customHeight="1">
      <c r="A756" s="1128" t="str">
        <f>IF('Huong dan'!$E$3&lt;&gt;"","SỞ GIÁO DỤC VÀ ĐÀO TẠO "&amp;UPPER('Huong dan'!$E$3),"")</f>
        <v>SỞ GIÁO DỤC VÀ ĐÀO TẠO TP. HỒ CHÍ MINH</v>
      </c>
      <c r="B756" s="1128"/>
      <c r="C756" s="1128"/>
      <c r="D756" s="1128"/>
      <c r="E756" s="1129" t="s">
        <v>19</v>
      </c>
      <c r="F756" s="1129"/>
    </row>
    <row r="757" spans="1:9" ht="17.25" customHeight="1">
      <c r="A757" s="992" t="str">
        <f>IF('Huong dan'!$E$4&lt;&gt;"","TRƯỜNG "&amp;UPPER('Huong dan'!$E$4),"")</f>
        <v>TRƯỜNG THCS VÀ THPT NGUYỄN KHUYẾN</v>
      </c>
      <c r="B757" s="992"/>
      <c r="C757" s="992"/>
      <c r="D757" s="992"/>
      <c r="E757" s="1130" t="s">
        <v>179</v>
      </c>
      <c r="F757" s="1130"/>
    </row>
    <row r="758" spans="1:9" ht="20.25" customHeight="1">
      <c r="A758" s="69"/>
      <c r="B758" s="69"/>
      <c r="C758" s="30"/>
      <c r="D758" s="30"/>
    </row>
    <row r="759" spans="1:9" ht="28.5" customHeight="1">
      <c r="A759" s="1164" t="s">
        <v>567</v>
      </c>
      <c r="B759" s="1164"/>
      <c r="C759" s="1164"/>
      <c r="D759" s="1164"/>
      <c r="E759" s="1164"/>
      <c r="F759" s="1164"/>
    </row>
    <row r="760" spans="1:9" ht="24.75" customHeight="1">
      <c r="A760" s="1164" t="str">
        <f>"HỌC KỲ I NĂM HỌC "&amp;'Huong dan'!$C$5</f>
        <v>HỌC KỲ I NĂM HỌC 2021 - 2022</v>
      </c>
      <c r="B760" s="1164"/>
      <c r="C760" s="1164"/>
      <c r="D760" s="1164"/>
      <c r="E760" s="1164"/>
      <c r="F760" s="1164"/>
    </row>
    <row r="761" spans="1:9" ht="14.25" customHeight="1">
      <c r="A761" s="70"/>
      <c r="B761" s="66"/>
      <c r="C761" s="66"/>
      <c r="D761" s="66"/>
      <c r="E761" s="66"/>
      <c r="F761" s="66"/>
    </row>
    <row r="762" spans="1:9" ht="18.75" customHeight="1">
      <c r="A762" s="1158" t="s">
        <v>212</v>
      </c>
      <c r="B762" s="1158"/>
      <c r="C762" s="1158"/>
      <c r="D762" s="77" t="str">
        <f>IF(B784="","",INDEX(NXetHKI!$B$3:$CL$57,MATCH(InNXKI!B784,NXetHKI!$B$3:$B$57,0),3)&amp;" "&amp;INDEX(NXetHKI!$B$3:$CL$57,MATCH(InNXKI!B784,NXetHKI!$B$3:$B$57,0),4))</f>
        <v>Nguyễn Bá Nhật Quang</v>
      </c>
      <c r="E762" s="77"/>
      <c r="F762" s="77" t="str">
        <f>IF('Huong dan'!$C$3="","","Lớp: "&amp;'Huong dan'!$C$3)</f>
        <v>Lớp: 12A1</v>
      </c>
    </row>
    <row r="763" spans="1:9" ht="18.75" customHeight="1">
      <c r="A763" s="1158" t="s">
        <v>213</v>
      </c>
      <c r="B763" s="1158"/>
      <c r="C763" s="1158"/>
      <c r="D763" s="77" t="str">
        <f>INDEX(NXetHKI!$B$3:$CL$57,MATCH(InNXKI!B784,NXetHKI!$B$3:$B$57,0),5)</f>
        <v>18/07/2004</v>
      </c>
      <c r="E763" s="77"/>
      <c r="F763" s="841" t="str">
        <f>IF(B784="","","Nơi sinh: "&amp;INDEX(DiemHKI!$G$4:$G$58,MATCH(InNXKI!B784,DiemHKI!$B$4:$B$58,0),1))</f>
        <v>Nơi sinh: TP. Hồ Chí Minh</v>
      </c>
    </row>
    <row r="764" spans="1:9" ht="9.75" customHeight="1">
      <c r="A764" s="62"/>
      <c r="B764" s="62"/>
      <c r="C764" s="62"/>
      <c r="D764" s="62"/>
      <c r="E764" s="62"/>
      <c r="F764" s="62"/>
    </row>
    <row r="765" spans="1:9" ht="34.5" customHeight="1">
      <c r="A765" s="801" t="s">
        <v>0</v>
      </c>
      <c r="B765" s="801" t="s">
        <v>59</v>
      </c>
      <c r="C765" s="806" t="s">
        <v>360</v>
      </c>
      <c r="D765" s="1159" t="s">
        <v>568</v>
      </c>
      <c r="E765" s="1160"/>
      <c r="F765" s="802" t="s">
        <v>569</v>
      </c>
    </row>
    <row r="766" spans="1:9" ht="32.25" customHeight="1">
      <c r="A766" s="803" t="s">
        <v>191</v>
      </c>
      <c r="B766" s="804" t="s">
        <v>26</v>
      </c>
      <c r="C766" s="805">
        <f>IF(B784="","",INDEX(NXetHKI!$B$3:$CL$57,MATCH(InNXKI!B784,NXetHKI!$B$3:$B$57,0),INDEX($J$12:$K$25,MATCH($B766,$I$12:$I$25,0),J$11)))</f>
        <v>9.6</v>
      </c>
      <c r="D766" s="1161" t="str">
        <f>IF(B784="","",INDEX(NXetHKI!$B$3:$CL$57,MATCH(InNXKI!B784,NXetHKI!$B$3:$B$57,0),INDEX($J$12:$K$25,MATCH($B766,$I$12:$I$25,0),K$11)))</f>
        <v>Em ngoan, tích cực, năng động, rất đáng khen.</v>
      </c>
      <c r="E766" s="1162"/>
      <c r="F766" s="805"/>
      <c r="H766" s="64"/>
      <c r="I766" s="64"/>
    </row>
    <row r="767" spans="1:9" ht="32.25" customHeight="1">
      <c r="A767" s="803" t="s">
        <v>192</v>
      </c>
      <c r="B767" s="804" t="s">
        <v>27</v>
      </c>
      <c r="C767" s="805">
        <f>IF(B784="","",INDEX(NXetHKI!$B$3:$CL$57,MATCH(InNXKI!B784,NXetHKI!$B$3:$B$57,0),INDEX($J$12:$K$25,MATCH($B767,$I$12:$I$25,0),J$11)))</f>
        <v>9.9</v>
      </c>
      <c r="D767" s="1161" t="str">
        <f>IF(B784="","",INDEX(NXetHKI!$B$3:$CL$57,MATCH(InNXKI!B784,NXetHKI!$B$3:$B$57,0),INDEX($J$12:$K$25,MATCH($B767,$I$12:$I$25,0),K$11)))</f>
        <v>Em ngoan, tích cực, năng động, rất đáng khen.</v>
      </c>
      <c r="E767" s="1162"/>
      <c r="F767" s="805"/>
      <c r="H767" s="64"/>
      <c r="I767" s="64"/>
    </row>
    <row r="768" spans="1:9" ht="32.25" customHeight="1">
      <c r="A768" s="803" t="s">
        <v>193</v>
      </c>
      <c r="B768" s="804" t="s">
        <v>28</v>
      </c>
      <c r="C768" s="805">
        <f>IF(B784="","",INDEX(NXetHKI!$B$3:$CL$57,MATCH(InNXKI!B784,NXetHKI!$B$3:$B$57,0),INDEX($J$12:$K$25,MATCH($B768,$I$12:$I$25,0),J$11)))</f>
        <v>9.4</v>
      </c>
      <c r="D768" s="1161" t="str">
        <f>IF(B784="","",INDEX(NXetHKI!$B$3:$CL$57,MATCH(InNXKI!B784,NXetHKI!$B$3:$B$57,0),INDEX($J$12:$K$25,MATCH($B768,$I$12:$I$25,0),K$11)))</f>
        <v>Kiến thức vững, sáng tạo, tự học tốt.</v>
      </c>
      <c r="E768" s="1162"/>
      <c r="F768" s="805"/>
      <c r="H768" s="64"/>
      <c r="I768" s="64"/>
    </row>
    <row r="769" spans="1:9" ht="32.25" customHeight="1">
      <c r="A769" s="803" t="s">
        <v>194</v>
      </c>
      <c r="B769" s="804" t="s">
        <v>29</v>
      </c>
      <c r="C769" s="805">
        <f>IF(B784="","",INDEX(NXetHKI!$B$3:$CL$57,MATCH(InNXKI!B784,NXetHKI!$B$3:$B$57,0),INDEX($J$12:$K$25,MATCH($B769,$I$12:$I$25,0),J$11)))</f>
        <v>8.9</v>
      </c>
      <c r="D769" s="1161" t="str">
        <f>IF(B784="","",INDEX(NXetHKI!$B$3:$CL$57,MATCH(InNXKI!B784,NXetHKI!$B$3:$B$57,0),INDEX($J$12:$K$25,MATCH($B769,$I$12:$I$25,0),K$11)))</f>
        <v>Ngoan, khả năng tư duy tốt, có trách nhiệm, trình bày tốt.</v>
      </c>
      <c r="E769" s="1162"/>
      <c r="F769" s="805"/>
      <c r="H769" s="64"/>
      <c r="I769" s="64"/>
    </row>
    <row r="770" spans="1:9" ht="32.25" customHeight="1">
      <c r="A770" s="803" t="s">
        <v>195</v>
      </c>
      <c r="B770" s="804" t="s">
        <v>120</v>
      </c>
      <c r="C770" s="805">
        <f>IF(B784="","",INDEX(NXetHKI!$B$3:$CL$57,MATCH(InNXKI!B784,NXetHKI!$B$3:$B$57,0),INDEX($J$12:$K$25,MATCH($B770,$I$12:$I$25,0),J$11)))</f>
        <v>9.8000000000000007</v>
      </c>
      <c r="D770" s="1161" t="str">
        <f>IF(B784="","",INDEX(NXetHKI!$B$3:$CL$57,MATCH(InNXKI!B784,NXetHKI!$B$3:$B$57,0),INDEX($J$12:$K$25,MATCH($B770,$I$12:$I$25,0),K$11)))</f>
        <v>Học giỏi, năng động và sáng tạo trong học tập.</v>
      </c>
      <c r="E770" s="1162"/>
      <c r="F770" s="805"/>
      <c r="H770" s="64"/>
      <c r="I770" s="64"/>
    </row>
    <row r="771" spans="1:9" ht="32.25" customHeight="1">
      <c r="A771" s="803" t="s">
        <v>196</v>
      </c>
      <c r="B771" s="804" t="s">
        <v>30</v>
      </c>
      <c r="C771" s="805">
        <f>IF(B784="","",INDEX(NXetHKI!$B$3:$CL$57,MATCH(InNXKI!B784,NXetHKI!$B$3:$B$57,0),INDEX($J$12:$K$25,MATCH($B771,$I$12:$I$25,0),J$11)))</f>
        <v>7.6</v>
      </c>
      <c r="D771" s="1161" t="str">
        <f>IF(B784="","",INDEX(NXetHKI!$B$3:$CL$57,MATCH(InNXKI!B784,NXetHKI!$B$3:$B$57,0),INDEX($J$12:$K$25,MATCH($B771,$I$12:$I$25,0),K$11)))</f>
        <v>Cần chủ động hơn trong giờ học, rèn thêm kỹ năng viết.</v>
      </c>
      <c r="E771" s="1162"/>
      <c r="F771" s="805"/>
      <c r="H771" s="64"/>
      <c r="I771" s="64"/>
    </row>
    <row r="772" spans="1:9" ht="32.25" customHeight="1">
      <c r="A772" s="803" t="s">
        <v>197</v>
      </c>
      <c r="B772" s="804" t="s">
        <v>31</v>
      </c>
      <c r="C772" s="805">
        <f>IF(B784="","",INDEX(NXetHKI!$B$3:$CL$57,MATCH(InNXKI!B784,NXetHKI!$B$3:$B$57,0),INDEX($J$12:$K$25,MATCH($B772,$I$12:$I$25,0),J$11)))</f>
        <v>9.9</v>
      </c>
      <c r="D772" s="1161" t="str">
        <f>IF(B784="","",INDEX(NXetHKI!$B$3:$CL$57,MATCH(InNXKI!B784,NXetHKI!$B$3:$B$57,0),INDEX($J$12:$K$25,MATCH($B772,$I$12:$I$25,0),K$11)))</f>
        <v>Chăm học, tích cực phát biểu xây dựng bài.</v>
      </c>
      <c r="E772" s="1162"/>
      <c r="F772" s="805"/>
      <c r="H772" s="64"/>
      <c r="I772" s="64"/>
    </row>
    <row r="773" spans="1:9" ht="32.25" customHeight="1">
      <c r="A773" s="803" t="s">
        <v>198</v>
      </c>
      <c r="B773" s="804" t="s">
        <v>32</v>
      </c>
      <c r="C773" s="805">
        <f>IF(B784="","",INDEX(NXetHKI!$B$3:$CL$57,MATCH(InNXKI!B784,NXetHKI!$B$3:$B$57,0),INDEX($J$12:$K$25,MATCH($B773,$I$12:$I$25,0),J$11)))</f>
        <v>9.9</v>
      </c>
      <c r="D773" s="1161" t="str">
        <f>IF(B784="","",INDEX(NXetHKI!$B$3:$CL$57,MATCH(InNXKI!B784,NXetHKI!$B$3:$B$57,0),INDEX($J$12:$K$25,MATCH($B773,$I$12:$I$25,0),K$11)))</f>
        <v>Em có tư duy tốt, tích cực, vận dụng thực tế tốt.</v>
      </c>
      <c r="E773" s="1162"/>
      <c r="F773" s="805"/>
      <c r="H773" s="64"/>
      <c r="I773" s="64"/>
    </row>
    <row r="774" spans="1:9" ht="32.25" customHeight="1">
      <c r="A774" s="803" t="s">
        <v>199</v>
      </c>
      <c r="B774" s="804" t="s">
        <v>33</v>
      </c>
      <c r="C774" s="805">
        <f>IF(B784="","",INDEX(NXetHKI!$B$3:$CL$57,MATCH(InNXKI!B784,NXetHKI!$B$3:$B$57,0),INDEX($J$12:$K$25,MATCH($B774,$I$12:$I$25,0),J$11)))</f>
        <v>9.1999999999999993</v>
      </c>
      <c r="D774" s="1161" t="str">
        <f>IF(B784="","",INDEX(NXetHKI!$B$3:$CL$57,MATCH(InNXKI!B784,NXetHKI!$B$3:$B$57,0),INDEX($J$12:$K$25,MATCH($B774,$I$12:$I$25,0),K$11)))</f>
        <v>Tích cực phát biểu trong giờ học, tương tác tốt với giáo viên và bạn bè.</v>
      </c>
      <c r="E774" s="1162"/>
      <c r="F774" s="805"/>
      <c r="H774" s="64"/>
      <c r="I774" s="64"/>
    </row>
    <row r="775" spans="1:9" ht="32.25" customHeight="1">
      <c r="A775" s="803" t="s">
        <v>200</v>
      </c>
      <c r="B775" s="804" t="s">
        <v>60</v>
      </c>
      <c r="C775" s="805">
        <f>IF(B784="","",INDEX(NXetHKI!$B$3:$CL$57,MATCH(InNXKI!B784,NXetHKI!$B$3:$B$57,0),INDEX($J$12:$K$25,MATCH($B775,$I$12:$I$25,0),J$11)))</f>
        <v>9.5</v>
      </c>
      <c r="D775" s="1161" t="str">
        <f>IF(B784="","",INDEX(NXetHKI!$B$3:$CL$57,MATCH(InNXKI!B784,NXetHKI!$B$3:$B$57,0),INDEX($J$12:$K$25,MATCH($B775,$I$12:$I$25,0),K$11)))</f>
        <v>Hứng thú, tích cực, học giỏi.</v>
      </c>
      <c r="E775" s="1162"/>
      <c r="F775" s="805"/>
      <c r="H775" s="64"/>
      <c r="I775" s="64"/>
    </row>
    <row r="776" spans="1:9" ht="32.25" customHeight="1">
      <c r="A776" s="803" t="s">
        <v>201</v>
      </c>
      <c r="B776" s="804" t="s">
        <v>34</v>
      </c>
      <c r="C776" s="805">
        <f>IF(B784="","",INDEX(NXetHKI!$B$3:$CL$57,MATCH(InNXKI!B784,NXetHKI!$B$3:$B$57,0),INDEX($J$12:$K$25,MATCH($B776,$I$12:$I$25,0),J$11)))</f>
        <v>9.9</v>
      </c>
      <c r="D776" s="1161" t="str">
        <f>IF(B784="","",INDEX(NXetHKI!$B$3:$CL$57,MATCH(InNXKI!B784,NXetHKI!$B$3:$B$57,0),INDEX($J$12:$K$25,MATCH($B776,$I$12:$I$25,0),K$11)))</f>
        <v>Học giỏi, tiếp thu nhanh, chăm ngoan.</v>
      </c>
      <c r="E776" s="1162"/>
      <c r="F776" s="805"/>
      <c r="H776" s="64"/>
      <c r="I776" s="64"/>
    </row>
    <row r="777" spans="1:9" ht="32.25" customHeight="1">
      <c r="A777" s="803" t="s">
        <v>202</v>
      </c>
      <c r="B777" s="804" t="s">
        <v>35</v>
      </c>
      <c r="C777" s="805" t="str">
        <f>IF(B784="","",INDEX(NXetHKI!$B$3:$CL$57,MATCH(InNXKI!B784,NXetHKI!$B$3:$B$57,0),INDEX($J$12:$K$25,MATCH($B777,$I$12:$I$25,0),J$11)))</f>
        <v>Đ</v>
      </c>
      <c r="D777" s="1161" t="str">
        <f>IF(B784="","",INDEX(NXetHKI!$B$3:$CL$57,MATCH(InNXKI!B784,NXetHKI!$B$3:$B$57,0),INDEX($J$12:$K$25,MATCH($B777,$I$12:$I$25,0),K$11)))</f>
        <v>Rất ngoan, học có hiệu quả tốt.</v>
      </c>
      <c r="E777" s="1162"/>
      <c r="F777" s="805"/>
      <c r="H777" s="64"/>
      <c r="I777" s="64"/>
    </row>
    <row r="778" spans="1:9" ht="32.25" customHeight="1">
      <c r="A778" s="803" t="s">
        <v>203</v>
      </c>
      <c r="B778" s="804" t="s">
        <v>121</v>
      </c>
      <c r="C778" s="805">
        <f>IF(B784="","",INDEX(NXetHKI!$B$3:$CL$57,MATCH(InNXKI!B784,NXetHKI!$B$3:$B$57,0),INDEX($J$12:$K$25,MATCH($B778,$I$12:$I$25,0),J$11)))</f>
        <v>9.9</v>
      </c>
      <c r="D778" s="1161" t="str">
        <f>IF(B784="","",INDEX(NXetHKI!$B$3:$CL$57,MATCH(InNXKI!B784,NXetHKI!$B$3:$B$57,0),INDEX($J$12:$K$25,MATCH($B778,$I$12:$I$25,0),K$11)))</f>
        <v>Ngoan, tích cực xây dựng bài, nắm chắc thực hành, học giỏi.</v>
      </c>
      <c r="E778" s="1162"/>
      <c r="F778" s="805"/>
      <c r="H778" s="64"/>
      <c r="I778" s="64"/>
    </row>
    <row r="779" spans="1:9" ht="32.25" customHeight="1">
      <c r="A779" s="803">
        <v>14</v>
      </c>
      <c r="B779" s="804" t="s">
        <v>122</v>
      </c>
      <c r="C779" s="805" t="str">
        <f>IF(B784="","",INDEX(NXetHKI!$B$3:$CL$57,MATCH(InNXKI!B784,NXetHKI!$B$3:$B$57,0),INDEX($J$12:$K$25,MATCH($B779,$I$12:$I$25,0),J$11)))</f>
        <v/>
      </c>
      <c r="D779" s="1161" t="str">
        <f>IF(B784="","",INDEX(NXetHKI!$B$3:$CL$57,MATCH(InNXKI!B784,NXetHKI!$B$3:$B$57,0),INDEX($J$12:$K$25,MATCH($B779,$I$12:$I$25,0),K$11)))</f>
        <v/>
      </c>
      <c r="E779" s="1162"/>
      <c r="F779" s="805"/>
      <c r="H779" s="64"/>
    </row>
    <row r="780" spans="1:9" ht="12" customHeight="1"/>
    <row r="781" spans="1:9" ht="21.75" customHeight="1">
      <c r="D781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781" s="1163"/>
      <c r="F781" s="1163"/>
    </row>
    <row r="782" spans="1:9">
      <c r="D782" s="992" t="s">
        <v>377</v>
      </c>
      <c r="E782" s="992"/>
      <c r="F782" s="992"/>
    </row>
    <row r="783" spans="1:9" ht="81" customHeight="1">
      <c r="D783" s="923" t="str">
        <f>IF('Huong dan'!$E$5="","",'Huong dan'!$E$5)</f>
        <v/>
      </c>
      <c r="E783" s="923"/>
      <c r="F783" s="923"/>
    </row>
    <row r="784" spans="1:9">
      <c r="A784" s="811"/>
      <c r="B784" s="711">
        <f>IF(B755="","",IF(B755&lt;MAX(NXetHKI!$B$3:$B$57),B755+1,""))</f>
        <v>27</v>
      </c>
      <c r="C784" s="811"/>
      <c r="D784" s="1157"/>
      <c r="E784" s="1157"/>
      <c r="F784" s="1157"/>
    </row>
    <row r="785" spans="1:9" s="60" customFormat="1" ht="24.75" customHeight="1">
      <c r="A785" s="1128" t="str">
        <f>IF('Huong dan'!$E$3&lt;&gt;"","SỞ GIÁO DỤC VÀ ĐÀO TẠO "&amp;UPPER('Huong dan'!$E$3),"")</f>
        <v>SỞ GIÁO DỤC VÀ ĐÀO TẠO TP. HỒ CHÍ MINH</v>
      </c>
      <c r="B785" s="1128"/>
      <c r="C785" s="1128"/>
      <c r="D785" s="1128"/>
      <c r="E785" s="1129" t="s">
        <v>19</v>
      </c>
      <c r="F785" s="1129"/>
    </row>
    <row r="786" spans="1:9" ht="17.25" customHeight="1">
      <c r="A786" s="992" t="str">
        <f>IF('Huong dan'!$E$4&lt;&gt;"","TRƯỜNG "&amp;UPPER('Huong dan'!$E$4),"")</f>
        <v>TRƯỜNG THCS VÀ THPT NGUYỄN KHUYẾN</v>
      </c>
      <c r="B786" s="992"/>
      <c r="C786" s="992"/>
      <c r="D786" s="992"/>
      <c r="E786" s="1130" t="s">
        <v>179</v>
      </c>
      <c r="F786" s="1130"/>
    </row>
    <row r="787" spans="1:9" ht="20.25" customHeight="1">
      <c r="A787" s="69"/>
      <c r="B787" s="69"/>
      <c r="C787" s="30"/>
      <c r="D787" s="30"/>
    </row>
    <row r="788" spans="1:9" ht="28.5" customHeight="1">
      <c r="A788" s="1164" t="s">
        <v>567</v>
      </c>
      <c r="B788" s="1164"/>
      <c r="C788" s="1164"/>
      <c r="D788" s="1164"/>
      <c r="E788" s="1164"/>
      <c r="F788" s="1164"/>
    </row>
    <row r="789" spans="1:9" ht="24.75" customHeight="1">
      <c r="A789" s="1164" t="str">
        <f>"HỌC KỲ I NĂM HỌC "&amp;'Huong dan'!$C$5</f>
        <v>HỌC KỲ I NĂM HỌC 2021 - 2022</v>
      </c>
      <c r="B789" s="1164"/>
      <c r="C789" s="1164"/>
      <c r="D789" s="1164"/>
      <c r="E789" s="1164"/>
      <c r="F789" s="1164"/>
    </row>
    <row r="790" spans="1:9" ht="14.25" customHeight="1">
      <c r="A790" s="70"/>
      <c r="B790" s="66"/>
      <c r="C790" s="66"/>
      <c r="D790" s="66"/>
      <c r="E790" s="66"/>
      <c r="F790" s="66"/>
    </row>
    <row r="791" spans="1:9" ht="18.75" customHeight="1">
      <c r="A791" s="1158" t="s">
        <v>212</v>
      </c>
      <c r="B791" s="1158"/>
      <c r="C791" s="1158"/>
      <c r="D791" s="77" t="str">
        <f>IF(B813="","",INDEX(NXetHKI!$B$3:$CL$57,MATCH(InNXKI!B813,NXetHKI!$B$3:$B$57,0),3)&amp;" "&amp;INDEX(NXetHKI!$B$3:$CL$57,MATCH(InNXKI!B813,NXetHKI!$B$3:$B$57,0),4))</f>
        <v>Phan Trương Kiến Quốc</v>
      </c>
      <c r="E791" s="77"/>
      <c r="F791" s="77" t="str">
        <f>IF('Huong dan'!$C$3="","","Lớp: "&amp;'Huong dan'!$C$3)</f>
        <v>Lớp: 12A1</v>
      </c>
    </row>
    <row r="792" spans="1:9" ht="18.75" customHeight="1">
      <c r="A792" s="1158" t="s">
        <v>213</v>
      </c>
      <c r="B792" s="1158"/>
      <c r="C792" s="1158"/>
      <c r="D792" s="77" t="str">
        <f>INDEX(NXetHKI!$B$3:$CL$57,MATCH(InNXKI!B813,NXetHKI!$B$3:$B$57,0),5)</f>
        <v>03/12/2004</v>
      </c>
      <c r="E792" s="77"/>
      <c r="F792" s="841" t="str">
        <f>IF(B813="","","Nơi sinh: "&amp;INDEX(DiemHKI!$G$4:$G$58,MATCH(InNXKI!B813,DiemHKI!$B$4:$B$58,0),1))</f>
        <v>Nơi sinh: Đồng Nai</v>
      </c>
    </row>
    <row r="793" spans="1:9" ht="9.75" customHeight="1">
      <c r="A793" s="62"/>
      <c r="B793" s="62"/>
      <c r="C793" s="62"/>
      <c r="D793" s="62"/>
      <c r="E793" s="62"/>
      <c r="F793" s="62"/>
    </row>
    <row r="794" spans="1:9" ht="34.5" customHeight="1">
      <c r="A794" s="801" t="s">
        <v>0</v>
      </c>
      <c r="B794" s="801" t="s">
        <v>59</v>
      </c>
      <c r="C794" s="806" t="s">
        <v>360</v>
      </c>
      <c r="D794" s="1159" t="s">
        <v>568</v>
      </c>
      <c r="E794" s="1160"/>
      <c r="F794" s="802" t="s">
        <v>569</v>
      </c>
    </row>
    <row r="795" spans="1:9" ht="32.25" customHeight="1">
      <c r="A795" s="803" t="s">
        <v>191</v>
      </c>
      <c r="B795" s="804" t="s">
        <v>26</v>
      </c>
      <c r="C795" s="805">
        <f>IF(B813="","",INDEX(NXetHKI!$B$3:$CL$57,MATCH(InNXKI!B813,NXetHKI!$B$3:$B$57,0),INDEX($J$12:$K$25,MATCH($B795,$I$12:$I$25,0),J$11)))</f>
        <v>9.5</v>
      </c>
      <c r="D795" s="1161" t="str">
        <f>IF(B813="","",INDEX(NXetHKI!$B$3:$CL$57,MATCH(InNXKI!B813,NXetHKI!$B$3:$B$57,0),INDEX($J$12:$K$25,MATCH($B795,$I$12:$I$25,0),K$11)))</f>
        <v>Em chăm chỉ, chuyên cần, rất tích cực, rất đáng khen.</v>
      </c>
      <c r="E795" s="1162"/>
      <c r="F795" s="805"/>
      <c r="H795" s="64"/>
      <c r="I795" s="64"/>
    </row>
    <row r="796" spans="1:9" ht="32.25" customHeight="1">
      <c r="A796" s="803" t="s">
        <v>192</v>
      </c>
      <c r="B796" s="804" t="s">
        <v>27</v>
      </c>
      <c r="C796" s="805">
        <f>IF(B813="","",INDEX(NXetHKI!$B$3:$CL$57,MATCH(InNXKI!B813,NXetHKI!$B$3:$B$57,0),INDEX($J$12:$K$25,MATCH($B796,$I$12:$I$25,0),J$11)))</f>
        <v>9.1999999999999993</v>
      </c>
      <c r="D796" s="1161" t="str">
        <f>IF(B813="","",INDEX(NXetHKI!$B$3:$CL$57,MATCH(InNXKI!B813,NXetHKI!$B$3:$B$57,0),INDEX($J$12:$K$25,MATCH($B796,$I$12:$I$25,0),K$11)))</f>
        <v>Em chăm chỉ, chuyên cần, rất tích cực, rất đáng khen.</v>
      </c>
      <c r="E796" s="1162"/>
      <c r="F796" s="805"/>
      <c r="H796" s="64"/>
      <c r="I796" s="64"/>
    </row>
    <row r="797" spans="1:9" ht="32.25" customHeight="1">
      <c r="A797" s="803" t="s">
        <v>193</v>
      </c>
      <c r="B797" s="804" t="s">
        <v>28</v>
      </c>
      <c r="C797" s="805">
        <f>IF(B813="","",INDEX(NXetHKI!$B$3:$CL$57,MATCH(InNXKI!B813,NXetHKI!$B$3:$B$57,0),INDEX($J$12:$K$25,MATCH($B797,$I$12:$I$25,0),J$11)))</f>
        <v>8.9</v>
      </c>
      <c r="D797" s="1161" t="str">
        <f>IF(B813="","",INDEX(NXetHKI!$B$3:$CL$57,MATCH(InNXKI!B813,NXetHKI!$B$3:$B$57,0),INDEX($J$12:$K$25,MATCH($B797,$I$12:$I$25,0),K$11)))</f>
        <v>Học giỏi, ngoan, chuyên cần.</v>
      </c>
      <c r="E797" s="1162"/>
      <c r="F797" s="805"/>
      <c r="H797" s="64"/>
      <c r="I797" s="64"/>
    </row>
    <row r="798" spans="1:9" ht="32.25" customHeight="1">
      <c r="A798" s="803" t="s">
        <v>194</v>
      </c>
      <c r="B798" s="804" t="s">
        <v>29</v>
      </c>
      <c r="C798" s="805">
        <f>IF(B813="","",INDEX(NXetHKI!$B$3:$CL$57,MATCH(InNXKI!B813,NXetHKI!$B$3:$B$57,0),INDEX($J$12:$K$25,MATCH($B798,$I$12:$I$25,0),J$11)))</f>
        <v>9.5</v>
      </c>
      <c r="D798" s="1161" t="str">
        <f>IF(B813="","",INDEX(NXetHKI!$B$3:$CL$57,MATCH(InNXKI!B813,NXetHKI!$B$3:$B$57,0),INDEX($J$12:$K$25,MATCH($B798,$I$12:$I$25,0),K$11)))</f>
        <v>Sáng tạo, hoạt động nhóm rất tốt, biết chia sẻ kết quả học tập với bạn.</v>
      </c>
      <c r="E798" s="1162"/>
      <c r="F798" s="805"/>
      <c r="H798" s="64"/>
      <c r="I798" s="64"/>
    </row>
    <row r="799" spans="1:9" ht="32.25" customHeight="1">
      <c r="A799" s="803" t="s">
        <v>195</v>
      </c>
      <c r="B799" s="804" t="s">
        <v>120</v>
      </c>
      <c r="C799" s="805">
        <f>IF(B813="","",INDEX(NXetHKI!$B$3:$CL$57,MATCH(InNXKI!B813,NXetHKI!$B$3:$B$57,0),INDEX($J$12:$K$25,MATCH($B799,$I$12:$I$25,0),J$11)))</f>
        <v>9.8000000000000007</v>
      </c>
      <c r="D799" s="1161" t="str">
        <f>IF(B813="","",INDEX(NXetHKI!$B$3:$CL$57,MATCH(InNXKI!B813,NXetHKI!$B$3:$B$57,0),INDEX($J$12:$K$25,MATCH($B799,$I$12:$I$25,0),K$11)))</f>
        <v>Rất ngoan, cố gắng có hiệu quả.</v>
      </c>
      <c r="E799" s="1162"/>
      <c r="F799" s="805"/>
      <c r="H799" s="64"/>
      <c r="I799" s="64"/>
    </row>
    <row r="800" spans="1:9" ht="32.25" customHeight="1">
      <c r="A800" s="803" t="s">
        <v>196</v>
      </c>
      <c r="B800" s="804" t="s">
        <v>30</v>
      </c>
      <c r="C800" s="805">
        <f>IF(B813="","",INDEX(NXetHKI!$B$3:$CL$57,MATCH(InNXKI!B813,NXetHKI!$B$3:$B$57,0),INDEX($J$12:$K$25,MATCH($B800,$I$12:$I$25,0),J$11)))</f>
        <v>7.7</v>
      </c>
      <c r="D800" s="1161" t="str">
        <f>IF(B813="","",INDEX(NXetHKI!$B$3:$CL$57,MATCH(InNXKI!B813,NXetHKI!$B$3:$B$57,0),INDEX($J$12:$K$25,MATCH($B800,$I$12:$I$25,0),K$11)))</f>
        <v>Có năng khiếu, tự giác, cảm nhận được văn bản.</v>
      </c>
      <c r="E800" s="1162"/>
      <c r="F800" s="805"/>
      <c r="H800" s="64"/>
      <c r="I800" s="64"/>
    </row>
    <row r="801" spans="1:9" ht="32.25" customHeight="1">
      <c r="A801" s="803" t="s">
        <v>197</v>
      </c>
      <c r="B801" s="804" t="s">
        <v>31</v>
      </c>
      <c r="C801" s="805">
        <f>IF(B813="","",INDEX(NXetHKI!$B$3:$CL$57,MATCH(InNXKI!B813,NXetHKI!$B$3:$B$57,0),INDEX($J$12:$K$25,MATCH($B801,$I$12:$I$25,0),J$11)))</f>
        <v>9.6</v>
      </c>
      <c r="D801" s="1161" t="str">
        <f>IF(B813="","",INDEX(NXetHKI!$B$3:$CL$57,MATCH(InNXKI!B813,NXetHKI!$B$3:$B$57,0),INDEX($J$12:$K$25,MATCH($B801,$I$12:$I$25,0),K$11)))</f>
        <v>Chăm ngoan, tích cực, chủ động tiếp thu bài học.</v>
      </c>
      <c r="E801" s="1162"/>
      <c r="F801" s="805"/>
      <c r="H801" s="64"/>
      <c r="I801" s="64"/>
    </row>
    <row r="802" spans="1:9" ht="32.25" customHeight="1">
      <c r="A802" s="803" t="s">
        <v>198</v>
      </c>
      <c r="B802" s="804" t="s">
        <v>32</v>
      </c>
      <c r="C802" s="805">
        <f>IF(B813="","",INDEX(NXetHKI!$B$3:$CL$57,MATCH(InNXKI!B813,NXetHKI!$B$3:$B$57,0),INDEX($J$12:$K$25,MATCH($B802,$I$12:$I$25,0),J$11)))</f>
        <v>9.9</v>
      </c>
      <c r="D802" s="1161" t="str">
        <f>IF(B813="","",INDEX(NXetHKI!$B$3:$CL$57,MATCH(InNXKI!B813,NXetHKI!$B$3:$B$57,0),INDEX($J$12:$K$25,MATCH($B802,$I$12:$I$25,0),K$11)))</f>
        <v>Em rất ngoan, cố gắng có hiệu quả.</v>
      </c>
      <c r="E802" s="1162"/>
      <c r="F802" s="805"/>
      <c r="H802" s="64"/>
      <c r="I802" s="64"/>
    </row>
    <row r="803" spans="1:9" ht="32.25" customHeight="1">
      <c r="A803" s="803" t="s">
        <v>199</v>
      </c>
      <c r="B803" s="804" t="s">
        <v>33</v>
      </c>
      <c r="C803" s="805">
        <f>IF(B813="","",INDEX(NXetHKI!$B$3:$CL$57,MATCH(InNXKI!B813,NXetHKI!$B$3:$B$57,0),INDEX($J$12:$K$25,MATCH($B803,$I$12:$I$25,0),J$11)))</f>
        <v>7.5</v>
      </c>
      <c r="D803" s="1161" t="str">
        <f>IF(B813="","",INDEX(NXetHKI!$B$3:$CL$57,MATCH(InNXKI!B813,NXetHKI!$B$3:$B$57,0),INDEX($J$12:$K$25,MATCH($B803,$I$12:$I$25,0),K$11)))</f>
        <v>Nắm vững kiến thức căn bản, cần phát huy khả năng tự học để trau dồi thêm kiến thức.</v>
      </c>
      <c r="E803" s="1162"/>
      <c r="F803" s="805"/>
      <c r="H803" s="64"/>
      <c r="I803" s="64"/>
    </row>
    <row r="804" spans="1:9" ht="32.25" customHeight="1">
      <c r="A804" s="803" t="s">
        <v>200</v>
      </c>
      <c r="B804" s="804" t="s">
        <v>60</v>
      </c>
      <c r="C804" s="805">
        <f>IF(B813="","",INDEX(NXetHKI!$B$3:$CL$57,MATCH(InNXKI!B813,NXetHKI!$B$3:$B$57,0),INDEX($J$12:$K$25,MATCH($B804,$I$12:$I$25,0),J$11)))</f>
        <v>9.1</v>
      </c>
      <c r="D804" s="1161" t="str">
        <f>IF(B813="","",INDEX(NXetHKI!$B$3:$CL$57,MATCH(InNXKI!B813,NXetHKI!$B$3:$B$57,0),INDEX($J$12:$K$25,MATCH($B804,$I$12:$I$25,0),K$11)))</f>
        <v>Hứng thú, có trách nhiệm học tập tốt.</v>
      </c>
      <c r="E804" s="1162"/>
      <c r="F804" s="805"/>
      <c r="H804" s="64"/>
      <c r="I804" s="64"/>
    </row>
    <row r="805" spans="1:9" ht="32.25" customHeight="1">
      <c r="A805" s="803" t="s">
        <v>201</v>
      </c>
      <c r="B805" s="804" t="s">
        <v>34</v>
      </c>
      <c r="C805" s="805">
        <f>IF(B813="","",INDEX(NXetHKI!$B$3:$CL$57,MATCH(InNXKI!B813,NXetHKI!$B$3:$B$57,0),INDEX($J$12:$K$25,MATCH($B805,$I$12:$I$25,0),J$11)))</f>
        <v>9.8000000000000007</v>
      </c>
      <c r="D805" s="1161" t="str">
        <f>IF(B813="","",INDEX(NXetHKI!$B$3:$CL$57,MATCH(InNXKI!B813,NXetHKI!$B$3:$B$57,0),INDEX($J$12:$K$25,MATCH($B805,$I$12:$I$25,0),K$11)))</f>
        <v>Học giỏi, năng động, chăm ngoan.</v>
      </c>
      <c r="E805" s="1162"/>
      <c r="F805" s="805"/>
      <c r="H805" s="64"/>
      <c r="I805" s="64"/>
    </row>
    <row r="806" spans="1:9" ht="32.25" customHeight="1">
      <c r="A806" s="803" t="s">
        <v>202</v>
      </c>
      <c r="B806" s="804" t="s">
        <v>35</v>
      </c>
      <c r="C806" s="805" t="str">
        <f>IF(B813="","",INDEX(NXetHKI!$B$3:$CL$57,MATCH(InNXKI!B813,NXetHKI!$B$3:$B$57,0),INDEX($J$12:$K$25,MATCH($B806,$I$12:$I$25,0),J$11)))</f>
        <v>Đ</v>
      </c>
      <c r="D806" s="1161" t="str">
        <f>IF(B813="","",INDEX(NXetHKI!$B$3:$CL$57,MATCH(InNXKI!B813,NXetHKI!$B$3:$B$57,0),INDEX($J$12:$K$25,MATCH($B806,$I$12:$I$25,0),K$11)))</f>
        <v>Chăm chỉ, cố gắng, rất ngoan.</v>
      </c>
      <c r="E806" s="1162"/>
      <c r="F806" s="805"/>
      <c r="H806" s="64"/>
      <c r="I806" s="64"/>
    </row>
    <row r="807" spans="1:9" ht="32.25" customHeight="1">
      <c r="A807" s="803" t="s">
        <v>203</v>
      </c>
      <c r="B807" s="804" t="s">
        <v>121</v>
      </c>
      <c r="C807" s="805">
        <f>IF(B813="","",INDEX(NXetHKI!$B$3:$CL$57,MATCH(InNXKI!B813,NXetHKI!$B$3:$B$57,0),INDEX($J$12:$K$25,MATCH($B807,$I$12:$I$25,0),J$11)))</f>
        <v>9.9</v>
      </c>
      <c r="D807" s="1161" t="str">
        <f>IF(B813="","",INDEX(NXetHKI!$B$3:$CL$57,MATCH(InNXKI!B813,NXetHKI!$B$3:$B$57,0),INDEX($J$12:$K$25,MATCH($B807,$I$12:$I$25,0),K$11)))</f>
        <v>Siêng năng, lễ phép, thành thạo thực hành, học giỏi.</v>
      </c>
      <c r="E807" s="1162"/>
      <c r="F807" s="805"/>
      <c r="H807" s="64"/>
      <c r="I807" s="64"/>
    </row>
    <row r="808" spans="1:9" ht="32.25" customHeight="1">
      <c r="A808" s="803">
        <v>14</v>
      </c>
      <c r="B808" s="804" t="s">
        <v>122</v>
      </c>
      <c r="C808" s="805" t="str">
        <f>IF(B813="","",INDEX(NXetHKI!$B$3:$CL$57,MATCH(InNXKI!B813,NXetHKI!$B$3:$B$57,0),INDEX($J$12:$K$25,MATCH($B808,$I$12:$I$25,0),J$11)))</f>
        <v/>
      </c>
      <c r="D808" s="1161" t="str">
        <f>IF(B813="","",INDEX(NXetHKI!$B$3:$CL$57,MATCH(InNXKI!B813,NXetHKI!$B$3:$B$57,0),INDEX($J$12:$K$25,MATCH($B808,$I$12:$I$25,0),K$11)))</f>
        <v/>
      </c>
      <c r="E808" s="1162"/>
      <c r="F808" s="805"/>
      <c r="H808" s="64"/>
    </row>
    <row r="809" spans="1:9" ht="12" customHeight="1"/>
    <row r="810" spans="1:9" ht="21.75" customHeight="1">
      <c r="D810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810" s="1163"/>
      <c r="F810" s="1163"/>
    </row>
    <row r="811" spans="1:9">
      <c r="D811" s="992" t="s">
        <v>377</v>
      </c>
      <c r="E811" s="992"/>
      <c r="F811" s="992"/>
    </row>
    <row r="812" spans="1:9" ht="81" customHeight="1">
      <c r="D812" s="923" t="str">
        <f>IF('Huong dan'!$E$5="","",'Huong dan'!$E$5)</f>
        <v/>
      </c>
      <c r="E812" s="923"/>
      <c r="F812" s="923"/>
    </row>
    <row r="813" spans="1:9">
      <c r="A813" s="811"/>
      <c r="B813" s="711">
        <f>IF(B784="","",IF(B784&lt;MAX(NXetHKI!$B$3:$B$57),B784+1,""))</f>
        <v>28</v>
      </c>
      <c r="C813" s="811"/>
      <c r="D813" s="1157"/>
      <c r="E813" s="1157"/>
      <c r="F813" s="1157"/>
    </row>
    <row r="814" spans="1:9" s="60" customFormat="1" ht="24.75" customHeight="1">
      <c r="A814" s="1128" t="str">
        <f>IF('Huong dan'!$E$3&lt;&gt;"","SỞ GIÁO DỤC VÀ ĐÀO TẠO "&amp;UPPER('Huong dan'!$E$3),"")</f>
        <v>SỞ GIÁO DỤC VÀ ĐÀO TẠO TP. HỒ CHÍ MINH</v>
      </c>
      <c r="B814" s="1128"/>
      <c r="C814" s="1128"/>
      <c r="D814" s="1128"/>
      <c r="E814" s="1129" t="s">
        <v>19</v>
      </c>
      <c r="F814" s="1129"/>
    </row>
    <row r="815" spans="1:9" ht="17.25" customHeight="1">
      <c r="A815" s="992" t="str">
        <f>IF('Huong dan'!$E$4&lt;&gt;"","TRƯỜNG "&amp;UPPER('Huong dan'!$E$4),"")</f>
        <v>TRƯỜNG THCS VÀ THPT NGUYỄN KHUYẾN</v>
      </c>
      <c r="B815" s="992"/>
      <c r="C815" s="992"/>
      <c r="D815" s="992"/>
      <c r="E815" s="1130" t="s">
        <v>179</v>
      </c>
      <c r="F815" s="1130"/>
    </row>
    <row r="816" spans="1:9" ht="20.25" customHeight="1">
      <c r="A816" s="69"/>
      <c r="B816" s="69"/>
      <c r="C816" s="30"/>
      <c r="D816" s="30"/>
    </row>
    <row r="817" spans="1:9" ht="28.5" customHeight="1">
      <c r="A817" s="1164" t="s">
        <v>567</v>
      </c>
      <c r="B817" s="1164"/>
      <c r="C817" s="1164"/>
      <c r="D817" s="1164"/>
      <c r="E817" s="1164"/>
      <c r="F817" s="1164"/>
    </row>
    <row r="818" spans="1:9" ht="24.75" customHeight="1">
      <c r="A818" s="1164" t="str">
        <f>"HỌC KỲ I NĂM HỌC "&amp;'Huong dan'!$C$5</f>
        <v>HỌC KỲ I NĂM HỌC 2021 - 2022</v>
      </c>
      <c r="B818" s="1164"/>
      <c r="C818" s="1164"/>
      <c r="D818" s="1164"/>
      <c r="E818" s="1164"/>
      <c r="F818" s="1164"/>
    </row>
    <row r="819" spans="1:9" ht="14.25" customHeight="1">
      <c r="A819" s="70"/>
      <c r="B819" s="66"/>
      <c r="C819" s="66"/>
      <c r="D819" s="66"/>
      <c r="E819" s="66"/>
      <c r="F819" s="66"/>
    </row>
    <row r="820" spans="1:9" ht="18.75" customHeight="1">
      <c r="A820" s="1158" t="s">
        <v>212</v>
      </c>
      <c r="B820" s="1158"/>
      <c r="C820" s="1158"/>
      <c r="D820" s="77" t="str">
        <f>IF(B842="","",INDEX(NXetHKI!$B$3:$CL$57,MATCH(InNXKI!B842,NXetHKI!$B$3:$B$57,0),3)&amp;" "&amp;INDEX(NXetHKI!$B$3:$CL$57,MATCH(InNXKI!B842,NXetHKI!$B$3:$B$57,0),4))</f>
        <v>Trần Thị Như Quỳnh</v>
      </c>
      <c r="E820" s="77"/>
      <c r="F820" s="77" t="str">
        <f>IF('Huong dan'!$C$3="","","Lớp: "&amp;'Huong dan'!$C$3)</f>
        <v>Lớp: 12A1</v>
      </c>
    </row>
    <row r="821" spans="1:9" ht="18.75" customHeight="1">
      <c r="A821" s="1158" t="s">
        <v>213</v>
      </c>
      <c r="B821" s="1158"/>
      <c r="C821" s="1158"/>
      <c r="D821" s="77" t="str">
        <f>INDEX(NXetHKI!$B$3:$CL$57,MATCH(InNXKI!B842,NXetHKI!$B$3:$B$57,0),5)</f>
        <v>28/01/2004</v>
      </c>
      <c r="E821" s="77"/>
      <c r="F821" s="841" t="str">
        <f>IF(B842="","","Nơi sinh: "&amp;INDEX(DiemHKI!$G$4:$G$58,MATCH(InNXKI!B842,DiemHKI!$B$4:$B$58,0),1))</f>
        <v>Nơi sinh: Bình Thuận</v>
      </c>
    </row>
    <row r="822" spans="1:9" ht="9.75" customHeight="1">
      <c r="A822" s="62"/>
      <c r="B822" s="62"/>
      <c r="C822" s="62"/>
      <c r="D822" s="62"/>
      <c r="E822" s="62"/>
      <c r="F822" s="62"/>
    </row>
    <row r="823" spans="1:9" ht="34.5" customHeight="1">
      <c r="A823" s="801" t="s">
        <v>0</v>
      </c>
      <c r="B823" s="801" t="s">
        <v>59</v>
      </c>
      <c r="C823" s="806" t="s">
        <v>360</v>
      </c>
      <c r="D823" s="1159" t="s">
        <v>568</v>
      </c>
      <c r="E823" s="1160"/>
      <c r="F823" s="802" t="s">
        <v>569</v>
      </c>
    </row>
    <row r="824" spans="1:9" ht="32.25" customHeight="1">
      <c r="A824" s="803" t="s">
        <v>191</v>
      </c>
      <c r="B824" s="804" t="s">
        <v>26</v>
      </c>
      <c r="C824" s="805">
        <f>IF(B842="","",INDEX(NXetHKI!$B$3:$CL$57,MATCH(InNXKI!B842,NXetHKI!$B$3:$B$57,0),INDEX($J$12:$K$25,MATCH($B824,$I$12:$I$25,0),J$11)))</f>
        <v>9.8000000000000007</v>
      </c>
      <c r="D824" s="1161" t="str">
        <f>IF(B842="","",INDEX(NXetHKI!$B$3:$CL$57,MATCH(InNXKI!B842,NXetHKI!$B$3:$B$57,0),INDEX($J$12:$K$25,MATCH($B824,$I$12:$I$25,0),K$11)))</f>
        <v>Em học giỏi, chăm ngoan, tính tự giác cao, rất tốt.</v>
      </c>
      <c r="E824" s="1162"/>
      <c r="F824" s="805"/>
      <c r="H824" s="64"/>
      <c r="I824" s="64"/>
    </row>
    <row r="825" spans="1:9" ht="32.25" customHeight="1">
      <c r="A825" s="803" t="s">
        <v>192</v>
      </c>
      <c r="B825" s="804" t="s">
        <v>27</v>
      </c>
      <c r="C825" s="805">
        <f>IF(B842="","",INDEX(NXetHKI!$B$3:$CL$57,MATCH(InNXKI!B842,NXetHKI!$B$3:$B$57,0),INDEX($J$12:$K$25,MATCH($B825,$I$12:$I$25,0),J$11)))</f>
        <v>9.9</v>
      </c>
      <c r="D825" s="1161" t="str">
        <f>IF(B842="","",INDEX(NXetHKI!$B$3:$CL$57,MATCH(InNXKI!B842,NXetHKI!$B$3:$B$57,0),INDEX($J$12:$K$25,MATCH($B825,$I$12:$I$25,0),K$11)))</f>
        <v>Em học giỏi, chăm ngoan, tính tự giác cao, rất tốt.</v>
      </c>
      <c r="E825" s="1162"/>
      <c r="F825" s="805"/>
      <c r="H825" s="64"/>
      <c r="I825" s="64"/>
    </row>
    <row r="826" spans="1:9" ht="32.25" customHeight="1">
      <c r="A826" s="803" t="s">
        <v>193</v>
      </c>
      <c r="B826" s="804" t="s">
        <v>28</v>
      </c>
      <c r="C826" s="805">
        <f>IF(B842="","",INDEX(NXetHKI!$B$3:$CL$57,MATCH(InNXKI!B842,NXetHKI!$B$3:$B$57,0),INDEX($J$12:$K$25,MATCH($B826,$I$12:$I$25,0),J$11)))</f>
        <v>9.4</v>
      </c>
      <c r="D826" s="1161" t="str">
        <f>IF(B842="","",INDEX(NXetHKI!$B$3:$CL$57,MATCH(InNXKI!B842,NXetHKI!$B$3:$B$57,0),INDEX($J$12:$K$25,MATCH($B826,$I$12:$I$25,0),K$11)))</f>
        <v>Kiến thức vững, tự học tốt, ngoan.</v>
      </c>
      <c r="E826" s="1162"/>
      <c r="F826" s="805"/>
      <c r="H826" s="64"/>
      <c r="I826" s="64"/>
    </row>
    <row r="827" spans="1:9" ht="32.25" customHeight="1">
      <c r="A827" s="803" t="s">
        <v>194</v>
      </c>
      <c r="B827" s="804" t="s">
        <v>29</v>
      </c>
      <c r="C827" s="805">
        <f>IF(B842="","",INDEX(NXetHKI!$B$3:$CL$57,MATCH(InNXKI!B842,NXetHKI!$B$3:$B$57,0),INDEX($J$12:$K$25,MATCH($B827,$I$12:$I$25,0),J$11)))</f>
        <v>9.3000000000000007</v>
      </c>
      <c r="D827" s="1161" t="str">
        <f>IF(B842="","",INDEX(NXetHKI!$B$3:$CL$57,MATCH(InNXKI!B842,NXetHKI!$B$3:$B$57,0),INDEX($J$12:$K$25,MATCH($B827,$I$12:$I$25,0),K$11)))</f>
        <v>Có khả năng tự học và tự chủ bản thân, tích cực trong học tập.</v>
      </c>
      <c r="E827" s="1162"/>
      <c r="F827" s="805"/>
      <c r="H827" s="64"/>
      <c r="I827" s="64"/>
    </row>
    <row r="828" spans="1:9" ht="32.25" customHeight="1">
      <c r="A828" s="803" t="s">
        <v>195</v>
      </c>
      <c r="B828" s="804" t="s">
        <v>120</v>
      </c>
      <c r="C828" s="805">
        <f>IF(B842="","",INDEX(NXetHKI!$B$3:$CL$57,MATCH(InNXKI!B842,NXetHKI!$B$3:$B$57,0),INDEX($J$12:$K$25,MATCH($B828,$I$12:$I$25,0),J$11)))</f>
        <v>9.9</v>
      </c>
      <c r="D828" s="1161" t="str">
        <f>IF(B842="","",INDEX(NXetHKI!$B$3:$CL$57,MATCH(InNXKI!B842,NXetHKI!$B$3:$B$57,0),INDEX($J$12:$K$25,MATCH($B828,$I$12:$I$25,0),K$11)))</f>
        <v>Ngoan, chăm chỉ, tư duy tốt.</v>
      </c>
      <c r="E828" s="1162"/>
      <c r="F828" s="805"/>
      <c r="H828" s="64"/>
      <c r="I828" s="64"/>
    </row>
    <row r="829" spans="1:9" ht="32.25" customHeight="1">
      <c r="A829" s="803" t="s">
        <v>196</v>
      </c>
      <c r="B829" s="804" t="s">
        <v>30</v>
      </c>
      <c r="C829" s="805">
        <f>IF(B842="","",INDEX(NXetHKI!$B$3:$CL$57,MATCH(InNXKI!B842,NXetHKI!$B$3:$B$57,0),INDEX($J$12:$K$25,MATCH($B829,$I$12:$I$25,0),J$11)))</f>
        <v>7.8</v>
      </c>
      <c r="D829" s="1161" t="str">
        <f>IF(B842="","",INDEX(NXetHKI!$B$3:$CL$57,MATCH(InNXKI!B842,NXetHKI!$B$3:$B$57,0),INDEX($J$12:$K$25,MATCH($B829,$I$12:$I$25,0),K$11)))</f>
        <v>Có tinh thần học tập tốt, cần cố gắng rèn luyện thêm các kỹ năng.</v>
      </c>
      <c r="E829" s="1162"/>
      <c r="F829" s="805"/>
      <c r="H829" s="64"/>
      <c r="I829" s="64"/>
    </row>
    <row r="830" spans="1:9" ht="32.25" customHeight="1">
      <c r="A830" s="803" t="s">
        <v>197</v>
      </c>
      <c r="B830" s="804" t="s">
        <v>31</v>
      </c>
      <c r="C830" s="805">
        <f>IF(B842="","",INDEX(NXetHKI!$B$3:$CL$57,MATCH(InNXKI!B842,NXetHKI!$B$3:$B$57,0),INDEX($J$12:$K$25,MATCH($B830,$I$12:$I$25,0),J$11)))</f>
        <v>9.6</v>
      </c>
      <c r="D830" s="1161" t="str">
        <f>IF(B842="","",INDEX(NXetHKI!$B$3:$CL$57,MATCH(InNXKI!B842,NXetHKI!$B$3:$B$57,0),INDEX($J$12:$K$25,MATCH($B830,$I$12:$I$25,0),K$11)))</f>
        <v>Tiếp thu bài tốt, ghi nhớ nhanh các sự kiện lịch sử.</v>
      </c>
      <c r="E830" s="1162"/>
      <c r="F830" s="805"/>
      <c r="H830" s="64"/>
      <c r="I830" s="64"/>
    </row>
    <row r="831" spans="1:9" ht="32.25" customHeight="1">
      <c r="A831" s="803" t="s">
        <v>198</v>
      </c>
      <c r="B831" s="804" t="s">
        <v>32</v>
      </c>
      <c r="C831" s="805">
        <f>IF(B842="","",INDEX(NXetHKI!$B$3:$CL$57,MATCH(InNXKI!B842,NXetHKI!$B$3:$B$57,0),INDEX($J$12:$K$25,MATCH($B831,$I$12:$I$25,0),J$11)))</f>
        <v>9.6</v>
      </c>
      <c r="D831" s="1161" t="str">
        <f>IF(B842="","",INDEX(NXetHKI!$B$3:$CL$57,MATCH(InNXKI!B842,NXetHKI!$B$3:$B$57,0),INDEX($J$12:$K$25,MATCH($B831,$I$12:$I$25,0),K$11)))</f>
        <v>Em có tư duy tốt, rất tích cực, giải quyết vấn đề tốt.</v>
      </c>
      <c r="E831" s="1162"/>
      <c r="F831" s="805"/>
      <c r="H831" s="64"/>
      <c r="I831" s="64"/>
    </row>
    <row r="832" spans="1:9" ht="32.25" customHeight="1">
      <c r="A832" s="803" t="s">
        <v>199</v>
      </c>
      <c r="B832" s="804" t="s">
        <v>33</v>
      </c>
      <c r="C832" s="805">
        <f>IF(B842="","",INDEX(NXetHKI!$B$3:$CL$57,MATCH(InNXKI!B842,NXetHKI!$B$3:$B$57,0),INDEX($J$12:$K$25,MATCH($B832,$I$12:$I$25,0),J$11)))</f>
        <v>8.6999999999999993</v>
      </c>
      <c r="D832" s="1161" t="str">
        <f>IF(B842="","",INDEX(NXetHKI!$B$3:$CL$57,MATCH(InNXKI!B842,NXetHKI!$B$3:$B$57,0),INDEX($J$12:$K$25,MATCH($B832,$I$12:$I$25,0),K$11)))</f>
        <v>Có khả năng nghe, nói và ngữ pháp vững.</v>
      </c>
      <c r="E832" s="1162"/>
      <c r="F832" s="805"/>
      <c r="H832" s="64"/>
      <c r="I832" s="64"/>
    </row>
    <row r="833" spans="1:9" ht="32.25" customHeight="1">
      <c r="A833" s="803" t="s">
        <v>200</v>
      </c>
      <c r="B833" s="804" t="s">
        <v>60</v>
      </c>
      <c r="C833" s="805">
        <f>IF(B842="","",INDEX(NXetHKI!$B$3:$CL$57,MATCH(InNXKI!B842,NXetHKI!$B$3:$B$57,0),INDEX($J$12:$K$25,MATCH($B833,$I$12:$I$25,0),J$11)))</f>
        <v>9.5</v>
      </c>
      <c r="D833" s="1161" t="str">
        <f>IF(B842="","",INDEX(NXetHKI!$B$3:$CL$57,MATCH(InNXKI!B842,NXetHKI!$B$3:$B$57,0),INDEX($J$12:$K$25,MATCH($B833,$I$12:$I$25,0),K$11)))</f>
        <v>Chăm chỉ, học giỏi.</v>
      </c>
      <c r="E833" s="1162"/>
      <c r="F833" s="805"/>
      <c r="H833" s="64"/>
      <c r="I833" s="64"/>
    </row>
    <row r="834" spans="1:9" ht="32.25" customHeight="1">
      <c r="A834" s="803" t="s">
        <v>201</v>
      </c>
      <c r="B834" s="804" t="s">
        <v>34</v>
      </c>
      <c r="C834" s="805">
        <f>IF(B842="","",INDEX(NXetHKI!$B$3:$CL$57,MATCH(InNXKI!B842,NXetHKI!$B$3:$B$57,0),INDEX($J$12:$K$25,MATCH($B834,$I$12:$I$25,0),J$11)))</f>
        <v>9.8000000000000007</v>
      </c>
      <c r="D834" s="1161" t="str">
        <f>IF(B842="","",INDEX(NXetHKI!$B$3:$CL$57,MATCH(InNXKI!B842,NXetHKI!$B$3:$B$57,0),INDEX($J$12:$K$25,MATCH($B834,$I$12:$I$25,0),K$11)))</f>
        <v>Năng động, sáng tạo trong học tập.</v>
      </c>
      <c r="E834" s="1162"/>
      <c r="F834" s="805"/>
      <c r="H834" s="64"/>
      <c r="I834" s="64"/>
    </row>
    <row r="835" spans="1:9" ht="32.25" customHeight="1">
      <c r="A835" s="803" t="s">
        <v>202</v>
      </c>
      <c r="B835" s="804" t="s">
        <v>35</v>
      </c>
      <c r="C835" s="805" t="str">
        <f>IF(B842="","",INDEX(NXetHKI!$B$3:$CL$57,MATCH(InNXKI!B842,NXetHKI!$B$3:$B$57,0),INDEX($J$12:$K$25,MATCH($B835,$I$12:$I$25,0),J$11)))</f>
        <v>Đ</v>
      </c>
      <c r="D835" s="1161" t="str">
        <f>IF(B842="","",INDEX(NXetHKI!$B$3:$CL$57,MATCH(InNXKI!B842,NXetHKI!$B$3:$B$57,0),INDEX($J$12:$K$25,MATCH($B835,$I$12:$I$25,0),K$11)))</f>
        <v>Giỏi, có nhiều tiến bộ trong học tập.</v>
      </c>
      <c r="E835" s="1162"/>
      <c r="F835" s="805"/>
      <c r="H835" s="64"/>
      <c r="I835" s="64"/>
    </row>
    <row r="836" spans="1:9" ht="32.25" customHeight="1">
      <c r="A836" s="803" t="s">
        <v>203</v>
      </c>
      <c r="B836" s="804" t="s">
        <v>121</v>
      </c>
      <c r="C836" s="805">
        <f>IF(B842="","",INDEX(NXetHKI!$B$3:$CL$57,MATCH(InNXKI!B842,NXetHKI!$B$3:$B$57,0),INDEX($J$12:$K$25,MATCH($B836,$I$12:$I$25,0),J$11)))</f>
        <v>9.9</v>
      </c>
      <c r="D836" s="1161" t="str">
        <f>IF(B842="","",INDEX(NXetHKI!$B$3:$CL$57,MATCH(InNXKI!B842,NXetHKI!$B$3:$B$57,0),INDEX($J$12:$K$25,MATCH($B836,$I$12:$I$25,0),K$11)))</f>
        <v>Tích cực, năng động, nắm bài tốt, học giỏi.</v>
      </c>
      <c r="E836" s="1162"/>
      <c r="F836" s="805"/>
      <c r="H836" s="64"/>
      <c r="I836" s="64"/>
    </row>
    <row r="837" spans="1:9" ht="32.25" customHeight="1">
      <c r="A837" s="803">
        <v>14</v>
      </c>
      <c r="B837" s="804" t="s">
        <v>122</v>
      </c>
      <c r="C837" s="805" t="str">
        <f>IF(B842="","",INDEX(NXetHKI!$B$3:$CL$57,MATCH(InNXKI!B842,NXetHKI!$B$3:$B$57,0),INDEX($J$12:$K$25,MATCH($B837,$I$12:$I$25,0),J$11)))</f>
        <v/>
      </c>
      <c r="D837" s="1161" t="str">
        <f>IF(B842="","",INDEX(NXetHKI!$B$3:$CL$57,MATCH(InNXKI!B842,NXetHKI!$B$3:$B$57,0),INDEX($J$12:$K$25,MATCH($B837,$I$12:$I$25,0),K$11)))</f>
        <v/>
      </c>
      <c r="E837" s="1162"/>
      <c r="F837" s="805"/>
      <c r="H837" s="64"/>
    </row>
    <row r="838" spans="1:9" ht="12" customHeight="1"/>
    <row r="839" spans="1:9" ht="21.75" customHeight="1">
      <c r="D839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839" s="1163"/>
      <c r="F839" s="1163"/>
    </row>
    <row r="840" spans="1:9">
      <c r="D840" s="992" t="s">
        <v>377</v>
      </c>
      <c r="E840" s="992"/>
      <c r="F840" s="992"/>
    </row>
    <row r="841" spans="1:9" ht="81" customHeight="1">
      <c r="D841" s="923" t="str">
        <f>IF('Huong dan'!$E$5="","",'Huong dan'!$E$5)</f>
        <v/>
      </c>
      <c r="E841" s="923"/>
      <c r="F841" s="923"/>
    </row>
    <row r="842" spans="1:9">
      <c r="A842" s="811"/>
      <c r="B842" s="711">
        <f>IF(B813="","",IF(B813&lt;MAX(NXetHKI!$B$3:$B$57),B813+1,""))</f>
        <v>29</v>
      </c>
      <c r="C842" s="811"/>
      <c r="D842" s="1157"/>
      <c r="E842" s="1157"/>
      <c r="F842" s="1157"/>
    </row>
    <row r="843" spans="1:9" s="60" customFormat="1" ht="24.75" customHeight="1">
      <c r="A843" s="1128" t="str">
        <f>IF('Huong dan'!$E$3&lt;&gt;"","SỞ GIÁO DỤC VÀ ĐÀO TẠO "&amp;UPPER('Huong dan'!$E$3),"")</f>
        <v>SỞ GIÁO DỤC VÀ ĐÀO TẠO TP. HỒ CHÍ MINH</v>
      </c>
      <c r="B843" s="1128"/>
      <c r="C843" s="1128"/>
      <c r="D843" s="1128"/>
      <c r="E843" s="1129" t="s">
        <v>19</v>
      </c>
      <c r="F843" s="1129"/>
    </row>
    <row r="844" spans="1:9" ht="17.25" customHeight="1">
      <c r="A844" s="992" t="str">
        <f>IF('Huong dan'!$E$4&lt;&gt;"","TRƯỜNG "&amp;UPPER('Huong dan'!$E$4),"")</f>
        <v>TRƯỜNG THCS VÀ THPT NGUYỄN KHUYẾN</v>
      </c>
      <c r="B844" s="992"/>
      <c r="C844" s="992"/>
      <c r="D844" s="992"/>
      <c r="E844" s="1130" t="s">
        <v>179</v>
      </c>
      <c r="F844" s="1130"/>
    </row>
    <row r="845" spans="1:9" ht="20.25" customHeight="1">
      <c r="A845" s="69"/>
      <c r="B845" s="69"/>
      <c r="C845" s="30"/>
      <c r="D845" s="30"/>
    </row>
    <row r="846" spans="1:9" ht="28.5" customHeight="1">
      <c r="A846" s="1164" t="s">
        <v>567</v>
      </c>
      <c r="B846" s="1164"/>
      <c r="C846" s="1164"/>
      <c r="D846" s="1164"/>
      <c r="E846" s="1164"/>
      <c r="F846" s="1164"/>
    </row>
    <row r="847" spans="1:9" ht="24.75" customHeight="1">
      <c r="A847" s="1164" t="str">
        <f>"HỌC KỲ I NĂM HỌC "&amp;'Huong dan'!$C$5</f>
        <v>HỌC KỲ I NĂM HỌC 2021 - 2022</v>
      </c>
      <c r="B847" s="1164"/>
      <c r="C847" s="1164"/>
      <c r="D847" s="1164"/>
      <c r="E847" s="1164"/>
      <c r="F847" s="1164"/>
    </row>
    <row r="848" spans="1:9" ht="14.25" customHeight="1">
      <c r="A848" s="70"/>
      <c r="B848" s="66"/>
      <c r="C848" s="66"/>
      <c r="D848" s="66"/>
      <c r="E848" s="66"/>
      <c r="F848" s="66"/>
    </row>
    <row r="849" spans="1:9" ht="18.75" customHeight="1">
      <c r="A849" s="1158" t="s">
        <v>212</v>
      </c>
      <c r="B849" s="1158"/>
      <c r="C849" s="1158"/>
      <c r="D849" s="77" t="str">
        <f>IF(B871="","",INDEX(NXetHKI!$B$3:$CL$57,MATCH(InNXKI!B871,NXetHKI!$B$3:$B$57,0),3)&amp;" "&amp;INDEX(NXetHKI!$B$3:$CL$57,MATCH(InNXKI!B871,NXetHKI!$B$3:$B$57,0),4))</f>
        <v>Nguyễn Thái Sơn</v>
      </c>
      <c r="E849" s="77"/>
      <c r="F849" s="77" t="str">
        <f>IF('Huong dan'!$C$3="","","Lớp: "&amp;'Huong dan'!$C$3)</f>
        <v>Lớp: 12A1</v>
      </c>
    </row>
    <row r="850" spans="1:9" ht="18.75" customHeight="1">
      <c r="A850" s="1158" t="s">
        <v>213</v>
      </c>
      <c r="B850" s="1158"/>
      <c r="C850" s="1158"/>
      <c r="D850" s="77" t="str">
        <f>INDEX(NXetHKI!$B$3:$CL$57,MATCH(InNXKI!B871,NXetHKI!$B$3:$B$57,0),5)</f>
        <v>14/04/2004</v>
      </c>
      <c r="E850" s="77"/>
      <c r="F850" s="841" t="str">
        <f>IF(B871="","","Nơi sinh: "&amp;INDEX(DiemHKI!$G$4:$G$58,MATCH(InNXKI!B871,DiemHKI!$B$4:$B$58,0),1))</f>
        <v>Nơi sinh: TP.Cần Thơ</v>
      </c>
    </row>
    <row r="851" spans="1:9" ht="9.75" customHeight="1">
      <c r="A851" s="62"/>
      <c r="B851" s="62"/>
      <c r="C851" s="62"/>
      <c r="D851" s="62"/>
      <c r="E851" s="62"/>
      <c r="F851" s="62"/>
    </row>
    <row r="852" spans="1:9" ht="34.5" customHeight="1">
      <c r="A852" s="801" t="s">
        <v>0</v>
      </c>
      <c r="B852" s="801" t="s">
        <v>59</v>
      </c>
      <c r="C852" s="806" t="s">
        <v>360</v>
      </c>
      <c r="D852" s="1159" t="s">
        <v>568</v>
      </c>
      <c r="E852" s="1160"/>
      <c r="F852" s="802" t="s">
        <v>569</v>
      </c>
    </row>
    <row r="853" spans="1:9" ht="32.25" customHeight="1">
      <c r="A853" s="803" t="s">
        <v>191</v>
      </c>
      <c r="B853" s="804" t="s">
        <v>26</v>
      </c>
      <c r="C853" s="805">
        <f>IF(B871="","",INDEX(NXetHKI!$B$3:$CL$57,MATCH(InNXKI!B871,NXetHKI!$B$3:$B$57,0),INDEX($J$12:$K$25,MATCH($B853,$I$12:$I$25,0),J$11)))</f>
        <v>9.8000000000000007</v>
      </c>
      <c r="D853" s="1161" t="str">
        <f>IF(B871="","",INDEX(NXetHKI!$B$3:$CL$57,MATCH(InNXKI!B871,NXetHKI!$B$3:$B$57,0),INDEX($J$12:$K$25,MATCH($B853,$I$12:$I$25,0),K$11)))</f>
        <v>Em ngoan, tích cực, năng động, rất đáng khen.</v>
      </c>
      <c r="E853" s="1162"/>
      <c r="F853" s="805"/>
      <c r="H853" s="64"/>
      <c r="I853" s="64"/>
    </row>
    <row r="854" spans="1:9" ht="32.25" customHeight="1">
      <c r="A854" s="803" t="s">
        <v>192</v>
      </c>
      <c r="B854" s="804" t="s">
        <v>27</v>
      </c>
      <c r="C854" s="805">
        <f>IF(B871="","",INDEX(NXetHKI!$B$3:$CL$57,MATCH(InNXKI!B871,NXetHKI!$B$3:$B$57,0),INDEX($J$12:$K$25,MATCH($B854,$I$12:$I$25,0),J$11)))</f>
        <v>9.6</v>
      </c>
      <c r="D854" s="1161" t="str">
        <f>IF(B871="","",INDEX(NXetHKI!$B$3:$CL$57,MATCH(InNXKI!B871,NXetHKI!$B$3:$B$57,0),INDEX($J$12:$K$25,MATCH($B854,$I$12:$I$25,0),K$11)))</f>
        <v>Em ngoan, tích cực, năng động, rất đáng khen.</v>
      </c>
      <c r="E854" s="1162"/>
      <c r="F854" s="805"/>
      <c r="H854" s="64"/>
      <c r="I854" s="64"/>
    </row>
    <row r="855" spans="1:9" ht="32.25" customHeight="1">
      <c r="A855" s="803" t="s">
        <v>193</v>
      </c>
      <c r="B855" s="804" t="s">
        <v>28</v>
      </c>
      <c r="C855" s="805">
        <f>IF(B871="","",INDEX(NXetHKI!$B$3:$CL$57,MATCH(InNXKI!B871,NXetHKI!$B$3:$B$57,0),INDEX($J$12:$K$25,MATCH($B855,$I$12:$I$25,0),J$11)))</f>
        <v>9</v>
      </c>
      <c r="D855" s="1161" t="str">
        <f>IF(B871="","",INDEX(NXetHKI!$B$3:$CL$57,MATCH(InNXKI!B871,NXetHKI!$B$3:$B$57,0),INDEX($J$12:$K$25,MATCH($B855,$I$12:$I$25,0),K$11)))</f>
        <v>Kiến thức vững, sáng tạo, tự học tốt.</v>
      </c>
      <c r="E855" s="1162"/>
      <c r="F855" s="805"/>
      <c r="H855" s="64"/>
      <c r="I855" s="64"/>
    </row>
    <row r="856" spans="1:9" ht="32.25" customHeight="1">
      <c r="A856" s="803" t="s">
        <v>194</v>
      </c>
      <c r="B856" s="804" t="s">
        <v>29</v>
      </c>
      <c r="C856" s="805">
        <f>IF(B871="","",INDEX(NXetHKI!$B$3:$CL$57,MATCH(InNXKI!B871,NXetHKI!$B$3:$B$57,0),INDEX($J$12:$K$25,MATCH($B856,$I$12:$I$25,0),J$11)))</f>
        <v>8.5</v>
      </c>
      <c r="D856" s="1161" t="str">
        <f>IF(B871="","",INDEX(NXetHKI!$B$3:$CL$57,MATCH(InNXKI!B871,NXetHKI!$B$3:$B$57,0),INDEX($J$12:$K$25,MATCH($B856,$I$12:$I$25,0),K$11)))</f>
        <v>Ngoan, khả năng tư duy tốt, có trách nhiệm, trình bày tốt.</v>
      </c>
      <c r="E856" s="1162"/>
      <c r="F856" s="805"/>
      <c r="H856" s="64"/>
      <c r="I856" s="64"/>
    </row>
    <row r="857" spans="1:9" ht="32.25" customHeight="1">
      <c r="A857" s="803" t="s">
        <v>195</v>
      </c>
      <c r="B857" s="804" t="s">
        <v>120</v>
      </c>
      <c r="C857" s="805">
        <f>IF(B871="","",INDEX(NXetHKI!$B$3:$CL$57,MATCH(InNXKI!B871,NXetHKI!$B$3:$B$57,0),INDEX($J$12:$K$25,MATCH($B857,$I$12:$I$25,0),J$11)))</f>
        <v>9.8000000000000007</v>
      </c>
      <c r="D857" s="1161" t="str">
        <f>IF(B871="","",INDEX(NXetHKI!$B$3:$CL$57,MATCH(InNXKI!B871,NXetHKI!$B$3:$B$57,0),INDEX($J$12:$K$25,MATCH($B857,$I$12:$I$25,0),K$11)))</f>
        <v>Học giỏi, năng động và sáng tạo trong học tập.</v>
      </c>
      <c r="E857" s="1162"/>
      <c r="F857" s="805"/>
      <c r="H857" s="64"/>
      <c r="I857" s="64"/>
    </row>
    <row r="858" spans="1:9" ht="32.25" customHeight="1">
      <c r="A858" s="803" t="s">
        <v>196</v>
      </c>
      <c r="B858" s="804" t="s">
        <v>30</v>
      </c>
      <c r="C858" s="805">
        <f>IF(B871="","",INDEX(NXetHKI!$B$3:$CL$57,MATCH(InNXKI!B871,NXetHKI!$B$3:$B$57,0),INDEX($J$12:$K$25,MATCH($B858,$I$12:$I$25,0),J$11)))</f>
        <v>6.7</v>
      </c>
      <c r="D858" s="1161" t="str">
        <f>IF(B871="","",INDEX(NXetHKI!$B$3:$CL$57,MATCH(InNXKI!B871,NXetHKI!$B$3:$B$57,0),INDEX($J$12:$K$25,MATCH($B858,$I$12:$I$25,0),K$11)))</f>
        <v>Cần chủ động hơn trong học tập, rèn thêm.</v>
      </c>
      <c r="E858" s="1162"/>
      <c r="F858" s="805"/>
      <c r="H858" s="64"/>
      <c r="I858" s="64"/>
    </row>
    <row r="859" spans="1:9" ht="32.25" customHeight="1">
      <c r="A859" s="803" t="s">
        <v>197</v>
      </c>
      <c r="B859" s="804" t="s">
        <v>31</v>
      </c>
      <c r="C859" s="805">
        <f>IF(B871="","",INDEX(NXetHKI!$B$3:$CL$57,MATCH(InNXKI!B871,NXetHKI!$B$3:$B$57,0),INDEX($J$12:$K$25,MATCH($B859,$I$12:$I$25,0),J$11)))</f>
        <v>9.4</v>
      </c>
      <c r="D859" s="1161" t="str">
        <f>IF(B871="","",INDEX(NXetHKI!$B$3:$CL$57,MATCH(InNXKI!B871,NXetHKI!$B$3:$B$57,0),INDEX($J$12:$K$25,MATCH($B859,$I$12:$I$25,0),K$11)))</f>
        <v>Chăm học, tích cực phát biểu xây dựng bài.</v>
      </c>
      <c r="E859" s="1162"/>
      <c r="F859" s="805"/>
      <c r="H859" s="64"/>
      <c r="I859" s="64"/>
    </row>
    <row r="860" spans="1:9" ht="32.25" customHeight="1">
      <c r="A860" s="803" t="s">
        <v>198</v>
      </c>
      <c r="B860" s="804" t="s">
        <v>32</v>
      </c>
      <c r="C860" s="805">
        <f>IF(B871="","",INDEX(NXetHKI!$B$3:$CL$57,MATCH(InNXKI!B871,NXetHKI!$B$3:$B$57,0),INDEX($J$12:$K$25,MATCH($B860,$I$12:$I$25,0),J$11)))</f>
        <v>9.8000000000000007</v>
      </c>
      <c r="D860" s="1161" t="str">
        <f>IF(B871="","",INDEX(NXetHKI!$B$3:$CL$57,MATCH(InNXKI!B871,NXetHKI!$B$3:$B$57,0),INDEX($J$12:$K$25,MATCH($B860,$I$12:$I$25,0),K$11)))</f>
        <v>Em có tư duy tốt, tích cực, vận dụng thực tế tốt.</v>
      </c>
      <c r="E860" s="1162"/>
      <c r="F860" s="805"/>
      <c r="H860" s="64"/>
      <c r="I860" s="64"/>
    </row>
    <row r="861" spans="1:9" ht="32.25" customHeight="1">
      <c r="A861" s="803" t="s">
        <v>199</v>
      </c>
      <c r="B861" s="804" t="s">
        <v>33</v>
      </c>
      <c r="C861" s="805">
        <f>IF(B871="","",INDEX(NXetHKI!$B$3:$CL$57,MATCH(InNXKI!B871,NXetHKI!$B$3:$B$57,0),INDEX($J$12:$K$25,MATCH($B861,$I$12:$I$25,0),J$11)))</f>
        <v>8.6</v>
      </c>
      <c r="D861" s="1161" t="str">
        <f>IF(B871="","",INDEX(NXetHKI!$B$3:$CL$57,MATCH(InNXKI!B871,NXetHKI!$B$3:$B$57,0),INDEX($J$12:$K$25,MATCH($B861,$I$12:$I$25,0),K$11)))</f>
        <v>Chăm chỉ, tích cực phát biểu và phát âm tốt.</v>
      </c>
      <c r="E861" s="1162"/>
      <c r="F861" s="805"/>
      <c r="H861" s="64"/>
      <c r="I861" s="64"/>
    </row>
    <row r="862" spans="1:9" ht="32.25" customHeight="1">
      <c r="A862" s="803" t="s">
        <v>200</v>
      </c>
      <c r="B862" s="804" t="s">
        <v>60</v>
      </c>
      <c r="C862" s="805">
        <f>IF(B871="","",INDEX(NXetHKI!$B$3:$CL$57,MATCH(InNXKI!B871,NXetHKI!$B$3:$B$57,0),INDEX($J$12:$K$25,MATCH($B862,$I$12:$I$25,0),J$11)))</f>
        <v>9.1</v>
      </c>
      <c r="D862" s="1161" t="str">
        <f>IF(B871="","",INDEX(NXetHKI!$B$3:$CL$57,MATCH(InNXKI!B871,NXetHKI!$B$3:$B$57,0),INDEX($J$12:$K$25,MATCH($B862,$I$12:$I$25,0),K$11)))</f>
        <v>Hứng thú, tích cực, học giỏi.</v>
      </c>
      <c r="E862" s="1162"/>
      <c r="F862" s="805"/>
      <c r="H862" s="64"/>
      <c r="I862" s="64"/>
    </row>
    <row r="863" spans="1:9" ht="32.25" customHeight="1">
      <c r="A863" s="803" t="s">
        <v>201</v>
      </c>
      <c r="B863" s="804" t="s">
        <v>34</v>
      </c>
      <c r="C863" s="805">
        <f>IF(B871="","",INDEX(NXetHKI!$B$3:$CL$57,MATCH(InNXKI!B871,NXetHKI!$B$3:$B$57,0),INDEX($J$12:$K$25,MATCH($B863,$I$12:$I$25,0),J$11)))</f>
        <v>9.8000000000000007</v>
      </c>
      <c r="D863" s="1161" t="str">
        <f>IF(B871="","",INDEX(NXetHKI!$B$3:$CL$57,MATCH(InNXKI!B871,NXetHKI!$B$3:$B$57,0),INDEX($J$12:$K$25,MATCH($B863,$I$12:$I$25,0),K$11)))</f>
        <v>Học giỏi, tiếp thu nhanh, chăm ngoan.</v>
      </c>
      <c r="E863" s="1162"/>
      <c r="F863" s="805"/>
      <c r="H863" s="64"/>
      <c r="I863" s="64"/>
    </row>
    <row r="864" spans="1:9" ht="32.25" customHeight="1">
      <c r="A864" s="803" t="s">
        <v>202</v>
      </c>
      <c r="B864" s="804" t="s">
        <v>35</v>
      </c>
      <c r="C864" s="805" t="str">
        <f>IF(B871="","",INDEX(NXetHKI!$B$3:$CL$57,MATCH(InNXKI!B871,NXetHKI!$B$3:$B$57,0),INDEX($J$12:$K$25,MATCH($B864,$I$12:$I$25,0),J$11)))</f>
        <v>Đ</v>
      </c>
      <c r="D864" s="1161" t="str">
        <f>IF(B871="","",INDEX(NXetHKI!$B$3:$CL$57,MATCH(InNXKI!B871,NXetHKI!$B$3:$B$57,0),INDEX($J$12:$K$25,MATCH($B864,$I$12:$I$25,0),K$11)))</f>
        <v>Rất ngoan, học có hiệu quả tốt.</v>
      </c>
      <c r="E864" s="1162"/>
      <c r="F864" s="805"/>
      <c r="H864" s="64"/>
      <c r="I864" s="64"/>
    </row>
    <row r="865" spans="1:9" ht="32.25" customHeight="1">
      <c r="A865" s="803" t="s">
        <v>203</v>
      </c>
      <c r="B865" s="804" t="s">
        <v>121</v>
      </c>
      <c r="C865" s="805">
        <f>IF(B871="","",INDEX(NXetHKI!$B$3:$CL$57,MATCH(InNXKI!B871,NXetHKI!$B$3:$B$57,0),INDEX($J$12:$K$25,MATCH($B865,$I$12:$I$25,0),J$11)))</f>
        <v>9.9</v>
      </c>
      <c r="D865" s="1161" t="str">
        <f>IF(B871="","",INDEX(NXetHKI!$B$3:$CL$57,MATCH(InNXKI!B871,NXetHKI!$B$3:$B$57,0),INDEX($J$12:$K$25,MATCH($B865,$I$12:$I$25,0),K$11)))</f>
        <v>Ngoan, tích cực xây dựng bài, nắm chắc thực hành, học giỏi.</v>
      </c>
      <c r="E865" s="1162"/>
      <c r="F865" s="805"/>
      <c r="H865" s="64"/>
      <c r="I865" s="64"/>
    </row>
    <row r="866" spans="1:9" ht="32.25" customHeight="1">
      <c r="A866" s="803">
        <v>14</v>
      </c>
      <c r="B866" s="804" t="s">
        <v>122</v>
      </c>
      <c r="C866" s="805" t="str">
        <f>IF(B871="","",INDEX(NXetHKI!$B$3:$CL$57,MATCH(InNXKI!B871,NXetHKI!$B$3:$B$57,0),INDEX($J$12:$K$25,MATCH($B866,$I$12:$I$25,0),J$11)))</f>
        <v/>
      </c>
      <c r="D866" s="1161" t="str">
        <f>IF(B871="","",INDEX(NXetHKI!$B$3:$CL$57,MATCH(InNXKI!B871,NXetHKI!$B$3:$B$57,0),INDEX($J$12:$K$25,MATCH($B866,$I$12:$I$25,0),K$11)))</f>
        <v/>
      </c>
      <c r="E866" s="1162"/>
      <c r="F866" s="805"/>
      <c r="H866" s="64"/>
    </row>
    <row r="867" spans="1:9" ht="12" customHeight="1"/>
    <row r="868" spans="1:9" ht="21.75" customHeight="1">
      <c r="D868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868" s="1163"/>
      <c r="F868" s="1163"/>
    </row>
    <row r="869" spans="1:9">
      <c r="D869" s="992" t="s">
        <v>377</v>
      </c>
      <c r="E869" s="992"/>
      <c r="F869" s="992"/>
    </row>
    <row r="870" spans="1:9" ht="81" customHeight="1">
      <c r="D870" s="923" t="str">
        <f>IF('Huong dan'!$E$5="","",'Huong dan'!$E$5)</f>
        <v/>
      </c>
      <c r="E870" s="923"/>
      <c r="F870" s="923"/>
    </row>
    <row r="871" spans="1:9">
      <c r="A871" s="811"/>
      <c r="B871" s="711">
        <f>IF(B842="","",IF(B842&lt;MAX(NXetHKI!$B$3:$B$57),B842+1,""))</f>
        <v>30</v>
      </c>
      <c r="C871" s="811"/>
      <c r="D871" s="1157"/>
      <c r="E871" s="1157"/>
      <c r="F871" s="1157"/>
    </row>
    <row r="872" spans="1:9" s="60" customFormat="1" ht="24.75" customHeight="1">
      <c r="A872" s="1128" t="str">
        <f>IF('Huong dan'!$E$3&lt;&gt;"","SỞ GIÁO DỤC VÀ ĐÀO TẠO "&amp;UPPER('Huong dan'!$E$3),"")</f>
        <v>SỞ GIÁO DỤC VÀ ĐÀO TẠO TP. HỒ CHÍ MINH</v>
      </c>
      <c r="B872" s="1128"/>
      <c r="C872" s="1128"/>
      <c r="D872" s="1128"/>
      <c r="E872" s="1129" t="s">
        <v>19</v>
      </c>
      <c r="F872" s="1129"/>
    </row>
    <row r="873" spans="1:9" ht="17.25" customHeight="1">
      <c r="A873" s="992" t="str">
        <f>IF('Huong dan'!$E$4&lt;&gt;"","TRƯỜNG "&amp;UPPER('Huong dan'!$E$4),"")</f>
        <v>TRƯỜNG THCS VÀ THPT NGUYỄN KHUYẾN</v>
      </c>
      <c r="B873" s="992"/>
      <c r="C873" s="992"/>
      <c r="D873" s="992"/>
      <c r="E873" s="1130" t="s">
        <v>179</v>
      </c>
      <c r="F873" s="1130"/>
    </row>
    <row r="874" spans="1:9" ht="20.25" customHeight="1">
      <c r="A874" s="69"/>
      <c r="B874" s="69"/>
      <c r="C874" s="30"/>
      <c r="D874" s="30"/>
    </row>
    <row r="875" spans="1:9" ht="28.5" customHeight="1">
      <c r="A875" s="1164" t="s">
        <v>567</v>
      </c>
      <c r="B875" s="1164"/>
      <c r="C875" s="1164"/>
      <c r="D875" s="1164"/>
      <c r="E875" s="1164"/>
      <c r="F875" s="1164"/>
    </row>
    <row r="876" spans="1:9" ht="24.75" customHeight="1">
      <c r="A876" s="1164" t="str">
        <f>"HỌC KỲ I NĂM HỌC "&amp;'Huong dan'!$C$5</f>
        <v>HỌC KỲ I NĂM HỌC 2021 - 2022</v>
      </c>
      <c r="B876" s="1164"/>
      <c r="C876" s="1164"/>
      <c r="D876" s="1164"/>
      <c r="E876" s="1164"/>
      <c r="F876" s="1164"/>
    </row>
    <row r="877" spans="1:9" ht="14.25" customHeight="1">
      <c r="A877" s="70"/>
      <c r="B877" s="66"/>
      <c r="C877" s="66"/>
      <c r="D877" s="66"/>
      <c r="E877" s="66"/>
      <c r="F877" s="66"/>
    </row>
    <row r="878" spans="1:9" ht="18.75" customHeight="1">
      <c r="A878" s="1158" t="s">
        <v>212</v>
      </c>
      <c r="B878" s="1158"/>
      <c r="C878" s="1158"/>
      <c r="D878" s="77" t="str">
        <f>IF(B900="","",INDEX(NXetHKI!$B$3:$CL$57,MATCH(InNXKI!B900,NXetHKI!$B$3:$B$57,0),3)&amp;" "&amp;INDEX(NXetHKI!$B$3:$CL$57,MATCH(InNXKI!B900,NXetHKI!$B$3:$B$57,0),4))</f>
        <v>Đặng Hoàng Tân</v>
      </c>
      <c r="E878" s="77"/>
      <c r="F878" s="77" t="str">
        <f>IF('Huong dan'!$C$3="","","Lớp: "&amp;'Huong dan'!$C$3)</f>
        <v>Lớp: 12A1</v>
      </c>
    </row>
    <row r="879" spans="1:9" ht="18.75" customHeight="1">
      <c r="A879" s="1158" t="s">
        <v>213</v>
      </c>
      <c r="B879" s="1158"/>
      <c r="C879" s="1158"/>
      <c r="D879" s="77" t="str">
        <f>INDEX(NXetHKI!$B$3:$CL$57,MATCH(InNXKI!B900,NXetHKI!$B$3:$B$57,0),5)</f>
        <v>26/09/2004</v>
      </c>
      <c r="E879" s="77"/>
      <c r="F879" s="841" t="str">
        <f>IF(B900="","","Nơi sinh: "&amp;INDEX(DiemHKI!$G$4:$G$58,MATCH(InNXKI!B900,DiemHKI!$B$4:$B$58,0),1))</f>
        <v>Nơi sinh: Quảng Ninh</v>
      </c>
    </row>
    <row r="880" spans="1:9" ht="9.75" customHeight="1">
      <c r="A880" s="62"/>
      <c r="B880" s="62"/>
      <c r="C880" s="62"/>
      <c r="D880" s="62"/>
      <c r="E880" s="62"/>
      <c r="F880" s="62"/>
    </row>
    <row r="881" spans="1:9" ht="34.5" customHeight="1">
      <c r="A881" s="801" t="s">
        <v>0</v>
      </c>
      <c r="B881" s="801" t="s">
        <v>59</v>
      </c>
      <c r="C881" s="806" t="s">
        <v>360</v>
      </c>
      <c r="D881" s="1159" t="s">
        <v>568</v>
      </c>
      <c r="E881" s="1160"/>
      <c r="F881" s="802" t="s">
        <v>569</v>
      </c>
    </row>
    <row r="882" spans="1:9" ht="32.25" customHeight="1">
      <c r="A882" s="803" t="s">
        <v>191</v>
      </c>
      <c r="B882" s="804" t="s">
        <v>26</v>
      </c>
      <c r="C882" s="805">
        <f>IF(B900="","",INDEX(NXetHKI!$B$3:$CL$57,MATCH(InNXKI!B900,NXetHKI!$B$3:$B$57,0),INDEX($J$12:$K$25,MATCH($B882,$I$12:$I$25,0),J$11)))</f>
        <v>9.4</v>
      </c>
      <c r="D882" s="1161" t="str">
        <f>IF(B900="","",INDEX(NXetHKI!$B$3:$CL$57,MATCH(InNXKI!B900,NXetHKI!$B$3:$B$57,0),INDEX($J$12:$K$25,MATCH($B882,$I$12:$I$25,0),K$11)))</f>
        <v>Em chăm chỉ, chuyên cần, rất tích cực, rất đáng khen.</v>
      </c>
      <c r="E882" s="1162"/>
      <c r="F882" s="805"/>
      <c r="H882" s="64"/>
      <c r="I882" s="64"/>
    </row>
    <row r="883" spans="1:9" ht="32.25" customHeight="1">
      <c r="A883" s="803" t="s">
        <v>192</v>
      </c>
      <c r="B883" s="804" t="s">
        <v>27</v>
      </c>
      <c r="C883" s="805">
        <f>IF(B900="","",INDEX(NXetHKI!$B$3:$CL$57,MATCH(InNXKI!B900,NXetHKI!$B$3:$B$57,0),INDEX($J$12:$K$25,MATCH($B883,$I$12:$I$25,0),J$11)))</f>
        <v>9.6999999999999993</v>
      </c>
      <c r="D883" s="1161" t="str">
        <f>IF(B900="","",INDEX(NXetHKI!$B$3:$CL$57,MATCH(InNXKI!B900,NXetHKI!$B$3:$B$57,0),INDEX($J$12:$K$25,MATCH($B883,$I$12:$I$25,0),K$11)))</f>
        <v>Em chăm chỉ, chuyên cần, rất tích cực, rất đáng khen.</v>
      </c>
      <c r="E883" s="1162"/>
      <c r="F883" s="805"/>
      <c r="H883" s="64"/>
      <c r="I883" s="64"/>
    </row>
    <row r="884" spans="1:9" ht="32.25" customHeight="1">
      <c r="A884" s="803" t="s">
        <v>193</v>
      </c>
      <c r="B884" s="804" t="s">
        <v>28</v>
      </c>
      <c r="C884" s="805">
        <f>IF(B900="","",INDEX(NXetHKI!$B$3:$CL$57,MATCH(InNXKI!B900,NXetHKI!$B$3:$B$57,0),INDEX($J$12:$K$25,MATCH($B884,$I$12:$I$25,0),J$11)))</f>
        <v>9.3000000000000007</v>
      </c>
      <c r="D884" s="1161" t="str">
        <f>IF(B900="","",INDEX(NXetHKI!$B$3:$CL$57,MATCH(InNXKI!B900,NXetHKI!$B$3:$B$57,0),INDEX($J$12:$K$25,MATCH($B884,$I$12:$I$25,0),K$11)))</f>
        <v>Học giỏi, thông minh, cần phát huy.</v>
      </c>
      <c r="E884" s="1162"/>
      <c r="F884" s="805"/>
      <c r="H884" s="64"/>
      <c r="I884" s="64"/>
    </row>
    <row r="885" spans="1:9" ht="32.25" customHeight="1">
      <c r="A885" s="803" t="s">
        <v>194</v>
      </c>
      <c r="B885" s="804" t="s">
        <v>29</v>
      </c>
      <c r="C885" s="805">
        <f>IF(B900="","",INDEX(NXetHKI!$B$3:$CL$57,MATCH(InNXKI!B900,NXetHKI!$B$3:$B$57,0),INDEX($J$12:$K$25,MATCH($B885,$I$12:$I$25,0),J$11)))</f>
        <v>8.1</v>
      </c>
      <c r="D885" s="1161" t="str">
        <f>IF(B900="","",INDEX(NXetHKI!$B$3:$CL$57,MATCH(InNXKI!B900,NXetHKI!$B$3:$B$57,0),INDEX($J$12:$K$25,MATCH($B885,$I$12:$I$25,0),K$11)))</f>
        <v>Ngoan, có khả năng quan sát và giải quyết tốt vấn đề.</v>
      </c>
      <c r="E885" s="1162"/>
      <c r="F885" s="805"/>
      <c r="H885" s="64"/>
      <c r="I885" s="64"/>
    </row>
    <row r="886" spans="1:9" ht="32.25" customHeight="1">
      <c r="A886" s="803" t="s">
        <v>195</v>
      </c>
      <c r="B886" s="804" t="s">
        <v>120</v>
      </c>
      <c r="C886" s="805">
        <f>IF(B900="","",INDEX(NXetHKI!$B$3:$CL$57,MATCH(InNXKI!B900,NXetHKI!$B$3:$B$57,0),INDEX($J$12:$K$25,MATCH($B886,$I$12:$I$25,0),J$11)))</f>
        <v>9.8000000000000007</v>
      </c>
      <c r="D886" s="1161" t="str">
        <f>IF(B900="","",INDEX(NXetHKI!$B$3:$CL$57,MATCH(InNXKI!B900,NXetHKI!$B$3:$B$57,0),INDEX($J$12:$K$25,MATCH($B886,$I$12:$I$25,0),K$11)))</f>
        <v>Rất ngoan, cố gắng có hiệu quả.</v>
      </c>
      <c r="E886" s="1162"/>
      <c r="F886" s="805"/>
      <c r="H886" s="64"/>
      <c r="I886" s="64"/>
    </row>
    <row r="887" spans="1:9" ht="32.25" customHeight="1">
      <c r="A887" s="803" t="s">
        <v>196</v>
      </c>
      <c r="B887" s="804" t="s">
        <v>30</v>
      </c>
      <c r="C887" s="805">
        <f>IF(B900="","",INDEX(NXetHKI!$B$3:$CL$57,MATCH(InNXKI!B900,NXetHKI!$B$3:$B$57,0),INDEX($J$12:$K$25,MATCH($B887,$I$12:$I$25,0),J$11)))</f>
        <v>7.3</v>
      </c>
      <c r="D887" s="1161" t="str">
        <f>IF(B900="","",INDEX(NXetHKI!$B$3:$CL$57,MATCH(InNXKI!B900,NXetHKI!$B$3:$B$57,0),INDEX($J$12:$K$25,MATCH($B887,$I$12:$I$25,0),K$11)))</f>
        <v>Học khá, cần chủ động rèn thêm kỹ năng diễn đạt.</v>
      </c>
      <c r="E887" s="1162"/>
      <c r="F887" s="805"/>
      <c r="H887" s="64"/>
      <c r="I887" s="64"/>
    </row>
    <row r="888" spans="1:9" ht="32.25" customHeight="1">
      <c r="A888" s="803" t="s">
        <v>197</v>
      </c>
      <c r="B888" s="804" t="s">
        <v>31</v>
      </c>
      <c r="C888" s="805">
        <f>IF(B900="","",INDEX(NXetHKI!$B$3:$CL$57,MATCH(InNXKI!B900,NXetHKI!$B$3:$B$57,0),INDEX($J$12:$K$25,MATCH($B888,$I$12:$I$25,0),J$11)))</f>
        <v>9.6</v>
      </c>
      <c r="D888" s="1161" t="str">
        <f>IF(B900="","",INDEX(NXetHKI!$B$3:$CL$57,MATCH(InNXKI!B900,NXetHKI!$B$3:$B$57,0),INDEX($J$12:$K$25,MATCH($B888,$I$12:$I$25,0),K$11)))</f>
        <v>Chăm ngoan, tích cực, chủ động tiếp thu bài học.</v>
      </c>
      <c r="E888" s="1162"/>
      <c r="F888" s="805"/>
      <c r="H888" s="64"/>
      <c r="I888" s="64"/>
    </row>
    <row r="889" spans="1:9" ht="32.25" customHeight="1">
      <c r="A889" s="803" t="s">
        <v>198</v>
      </c>
      <c r="B889" s="804" t="s">
        <v>32</v>
      </c>
      <c r="C889" s="805">
        <f>IF(B900="","",INDEX(NXetHKI!$B$3:$CL$57,MATCH(InNXKI!B900,NXetHKI!$B$3:$B$57,0),INDEX($J$12:$K$25,MATCH($B889,$I$12:$I$25,0),J$11)))</f>
        <v>9.8000000000000007</v>
      </c>
      <c r="D889" s="1161" t="str">
        <f>IF(B900="","",INDEX(NXetHKI!$B$3:$CL$57,MATCH(InNXKI!B900,NXetHKI!$B$3:$B$57,0),INDEX($J$12:$K$25,MATCH($B889,$I$12:$I$25,0),K$11)))</f>
        <v>Em rất ngoan, cố gắng có hiệu quả.</v>
      </c>
      <c r="E889" s="1162"/>
      <c r="F889" s="805"/>
      <c r="H889" s="64"/>
      <c r="I889" s="64"/>
    </row>
    <row r="890" spans="1:9" ht="32.25" customHeight="1">
      <c r="A890" s="803" t="s">
        <v>199</v>
      </c>
      <c r="B890" s="804" t="s">
        <v>33</v>
      </c>
      <c r="C890" s="805">
        <f>IF(B900="","",INDEX(NXetHKI!$B$3:$CL$57,MATCH(InNXKI!B900,NXetHKI!$B$3:$B$57,0),INDEX($J$12:$K$25,MATCH($B890,$I$12:$I$25,0),J$11)))</f>
        <v>9.1</v>
      </c>
      <c r="D890" s="1161" t="str">
        <f>IF(B900="","",INDEX(NXetHKI!$B$3:$CL$57,MATCH(InNXKI!B900,NXetHKI!$B$3:$B$57,0),INDEX($J$12:$K$25,MATCH($B890,$I$12:$I$25,0),K$11)))</f>
        <v>Có năng khiếu, tự tin, giao tiếp tốt và có khả năng làm việc nhóm.</v>
      </c>
      <c r="E890" s="1162"/>
      <c r="F890" s="805"/>
      <c r="H890" s="64"/>
      <c r="I890" s="64"/>
    </row>
    <row r="891" spans="1:9" ht="32.25" customHeight="1">
      <c r="A891" s="803" t="s">
        <v>200</v>
      </c>
      <c r="B891" s="804" t="s">
        <v>60</v>
      </c>
      <c r="C891" s="805">
        <f>IF(B900="","",INDEX(NXetHKI!$B$3:$CL$57,MATCH(InNXKI!B900,NXetHKI!$B$3:$B$57,0),INDEX($J$12:$K$25,MATCH($B891,$I$12:$I$25,0),J$11)))</f>
        <v>8.8000000000000007</v>
      </c>
      <c r="D891" s="1161" t="str">
        <f>IF(B900="","",INDEX(NXetHKI!$B$3:$CL$57,MATCH(InNXKI!B900,NXetHKI!$B$3:$B$57,0),INDEX($J$12:$K$25,MATCH($B891,$I$12:$I$25,0),K$11)))</f>
        <v>Tích cực, chăm chỉ, học tốt.</v>
      </c>
      <c r="E891" s="1162"/>
      <c r="F891" s="805"/>
      <c r="H891" s="64"/>
      <c r="I891" s="64"/>
    </row>
    <row r="892" spans="1:9" ht="32.25" customHeight="1">
      <c r="A892" s="803" t="s">
        <v>201</v>
      </c>
      <c r="B892" s="804" t="s">
        <v>34</v>
      </c>
      <c r="C892" s="805">
        <f>IF(B900="","",INDEX(NXetHKI!$B$3:$CL$57,MATCH(InNXKI!B900,NXetHKI!$B$3:$B$57,0),INDEX($J$12:$K$25,MATCH($B892,$I$12:$I$25,0),J$11)))</f>
        <v>9.9</v>
      </c>
      <c r="D892" s="1161" t="str">
        <f>IF(B900="","",INDEX(NXetHKI!$B$3:$CL$57,MATCH(InNXKI!B900,NXetHKI!$B$3:$B$57,0),INDEX($J$12:$K$25,MATCH($B892,$I$12:$I$25,0),K$11)))</f>
        <v>Học giỏi, năng động, chăm ngoan.</v>
      </c>
      <c r="E892" s="1162"/>
      <c r="F892" s="805"/>
      <c r="H892" s="64"/>
      <c r="I892" s="64"/>
    </row>
    <row r="893" spans="1:9" ht="32.25" customHeight="1">
      <c r="A893" s="803" t="s">
        <v>202</v>
      </c>
      <c r="B893" s="804" t="s">
        <v>35</v>
      </c>
      <c r="C893" s="805" t="str">
        <f>IF(B900="","",INDEX(NXetHKI!$B$3:$CL$57,MATCH(InNXKI!B900,NXetHKI!$B$3:$B$57,0),INDEX($J$12:$K$25,MATCH($B893,$I$12:$I$25,0),J$11)))</f>
        <v>Đ</v>
      </c>
      <c r="D893" s="1161" t="str">
        <f>IF(B900="","",INDEX(NXetHKI!$B$3:$CL$57,MATCH(InNXKI!B900,NXetHKI!$B$3:$B$57,0),INDEX($J$12:$K$25,MATCH($B893,$I$12:$I$25,0),K$11)))</f>
        <v>Chăm chỉ, cố gắng, rất ngoan.</v>
      </c>
      <c r="E893" s="1162"/>
      <c r="F893" s="805"/>
      <c r="H893" s="64"/>
      <c r="I893" s="64"/>
    </row>
    <row r="894" spans="1:9" ht="32.25" customHeight="1">
      <c r="A894" s="803" t="s">
        <v>203</v>
      </c>
      <c r="B894" s="804" t="s">
        <v>121</v>
      </c>
      <c r="C894" s="805">
        <f>IF(B900="","",INDEX(NXetHKI!$B$3:$CL$57,MATCH(InNXKI!B900,NXetHKI!$B$3:$B$57,0),INDEX($J$12:$K$25,MATCH($B894,$I$12:$I$25,0),J$11)))</f>
        <v>9.9</v>
      </c>
      <c r="D894" s="1161" t="str">
        <f>IF(B900="","",INDEX(NXetHKI!$B$3:$CL$57,MATCH(InNXKI!B900,NXetHKI!$B$3:$B$57,0),INDEX($J$12:$K$25,MATCH($B894,$I$12:$I$25,0),K$11)))</f>
        <v>Siêng năng, lễ phép, thành thạo thực hành, học giỏi.</v>
      </c>
      <c r="E894" s="1162"/>
      <c r="F894" s="805"/>
      <c r="H894" s="64"/>
      <c r="I894" s="64"/>
    </row>
    <row r="895" spans="1:9" ht="32.25" customHeight="1">
      <c r="A895" s="803">
        <v>14</v>
      </c>
      <c r="B895" s="804" t="s">
        <v>122</v>
      </c>
      <c r="C895" s="805" t="str">
        <f>IF(B900="","",INDEX(NXetHKI!$B$3:$CL$57,MATCH(InNXKI!B900,NXetHKI!$B$3:$B$57,0),INDEX($J$12:$K$25,MATCH($B895,$I$12:$I$25,0),J$11)))</f>
        <v/>
      </c>
      <c r="D895" s="1161" t="str">
        <f>IF(B900="","",INDEX(NXetHKI!$B$3:$CL$57,MATCH(InNXKI!B900,NXetHKI!$B$3:$B$57,0),INDEX($J$12:$K$25,MATCH($B895,$I$12:$I$25,0),K$11)))</f>
        <v/>
      </c>
      <c r="E895" s="1162"/>
      <c r="F895" s="805"/>
      <c r="H895" s="64"/>
    </row>
    <row r="896" spans="1:9" ht="12" customHeight="1"/>
    <row r="897" spans="1:9" ht="21.75" customHeight="1">
      <c r="D897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897" s="1163"/>
      <c r="F897" s="1163"/>
    </row>
    <row r="898" spans="1:9">
      <c r="D898" s="992" t="s">
        <v>377</v>
      </c>
      <c r="E898" s="992"/>
      <c r="F898" s="992"/>
    </row>
    <row r="899" spans="1:9" ht="81" customHeight="1">
      <c r="D899" s="923" t="str">
        <f>IF('Huong dan'!$E$5="","",'Huong dan'!$E$5)</f>
        <v/>
      </c>
      <c r="E899" s="923"/>
      <c r="F899" s="923"/>
    </row>
    <row r="900" spans="1:9">
      <c r="A900" s="811"/>
      <c r="B900" s="711">
        <f>IF(B871="","",IF(B871&lt;MAX(NXetHKI!$B$3:$B$57),B871+1,""))</f>
        <v>31</v>
      </c>
      <c r="C900" s="811"/>
      <c r="D900" s="1157"/>
      <c r="E900" s="1157"/>
      <c r="F900" s="1157"/>
    </row>
    <row r="901" spans="1:9" s="60" customFormat="1" ht="24.75" customHeight="1">
      <c r="A901" s="1128" t="str">
        <f>IF('Huong dan'!$E$3&lt;&gt;"","SỞ GIÁO DỤC VÀ ĐÀO TẠO "&amp;UPPER('Huong dan'!$E$3),"")</f>
        <v>SỞ GIÁO DỤC VÀ ĐÀO TẠO TP. HỒ CHÍ MINH</v>
      </c>
      <c r="B901" s="1128"/>
      <c r="C901" s="1128"/>
      <c r="D901" s="1128"/>
      <c r="E901" s="1129" t="s">
        <v>19</v>
      </c>
      <c r="F901" s="1129"/>
    </row>
    <row r="902" spans="1:9" ht="17.25" customHeight="1">
      <c r="A902" s="992" t="str">
        <f>IF('Huong dan'!$E$4&lt;&gt;"","TRƯỜNG "&amp;UPPER('Huong dan'!$E$4),"")</f>
        <v>TRƯỜNG THCS VÀ THPT NGUYỄN KHUYẾN</v>
      </c>
      <c r="B902" s="992"/>
      <c r="C902" s="992"/>
      <c r="D902" s="992"/>
      <c r="E902" s="1130" t="s">
        <v>179</v>
      </c>
      <c r="F902" s="1130"/>
    </row>
    <row r="903" spans="1:9" ht="20.25" customHeight="1">
      <c r="A903" s="69"/>
      <c r="B903" s="69"/>
      <c r="C903" s="30"/>
      <c r="D903" s="30"/>
    </row>
    <row r="904" spans="1:9" ht="28.5" customHeight="1">
      <c r="A904" s="1164" t="s">
        <v>567</v>
      </c>
      <c r="B904" s="1164"/>
      <c r="C904" s="1164"/>
      <c r="D904" s="1164"/>
      <c r="E904" s="1164"/>
      <c r="F904" s="1164"/>
    </row>
    <row r="905" spans="1:9" ht="24.75" customHeight="1">
      <c r="A905" s="1164" t="str">
        <f>"HỌC KỲ I NĂM HỌC "&amp;'Huong dan'!$C$5</f>
        <v>HỌC KỲ I NĂM HỌC 2021 - 2022</v>
      </c>
      <c r="B905" s="1164"/>
      <c r="C905" s="1164"/>
      <c r="D905" s="1164"/>
      <c r="E905" s="1164"/>
      <c r="F905" s="1164"/>
    </row>
    <row r="906" spans="1:9" ht="14.25" customHeight="1">
      <c r="A906" s="70"/>
      <c r="B906" s="66"/>
      <c r="C906" s="66"/>
      <c r="D906" s="66"/>
      <c r="E906" s="66"/>
      <c r="F906" s="66"/>
    </row>
    <row r="907" spans="1:9" ht="18.75" customHeight="1">
      <c r="A907" s="1158" t="s">
        <v>212</v>
      </c>
      <c r="B907" s="1158"/>
      <c r="C907" s="1158"/>
      <c r="D907" s="77" t="str">
        <f>IF(B929="","",INDEX(NXetHKI!$B$3:$CL$57,MATCH(InNXKI!B929,NXetHKI!$B$3:$B$57,0),3)&amp;" "&amp;INDEX(NXetHKI!$B$3:$CL$57,MATCH(InNXKI!B929,NXetHKI!$B$3:$B$57,0),4))</f>
        <v>Hồ Quang Thành</v>
      </c>
      <c r="E907" s="77"/>
      <c r="F907" s="77" t="str">
        <f>IF('Huong dan'!$C$3="","","Lớp: "&amp;'Huong dan'!$C$3)</f>
        <v>Lớp: 12A1</v>
      </c>
    </row>
    <row r="908" spans="1:9" ht="18.75" customHeight="1">
      <c r="A908" s="1158" t="s">
        <v>213</v>
      </c>
      <c r="B908" s="1158"/>
      <c r="C908" s="1158"/>
      <c r="D908" s="77" t="str">
        <f>INDEX(NXetHKI!$B$3:$CL$57,MATCH(InNXKI!B929,NXetHKI!$B$3:$B$57,0),5)</f>
        <v>28/02/2004</v>
      </c>
      <c r="E908" s="77"/>
      <c r="F908" s="841" t="str">
        <f>IF(B929="","","Nơi sinh: "&amp;INDEX(DiemHKI!$G$4:$G$58,MATCH(InNXKI!B929,DiemHKI!$B$4:$B$58,0),1))</f>
        <v>Nơi sinh: Gia Lai</v>
      </c>
    </row>
    <row r="909" spans="1:9" ht="9.75" customHeight="1">
      <c r="A909" s="62"/>
      <c r="B909" s="62"/>
      <c r="C909" s="62"/>
      <c r="D909" s="62"/>
      <c r="E909" s="62"/>
      <c r="F909" s="62"/>
    </row>
    <row r="910" spans="1:9" ht="34.5" customHeight="1">
      <c r="A910" s="801" t="s">
        <v>0</v>
      </c>
      <c r="B910" s="801" t="s">
        <v>59</v>
      </c>
      <c r="C910" s="806" t="s">
        <v>360</v>
      </c>
      <c r="D910" s="1159" t="s">
        <v>568</v>
      </c>
      <c r="E910" s="1160"/>
      <c r="F910" s="802" t="s">
        <v>569</v>
      </c>
    </row>
    <row r="911" spans="1:9" ht="32.25" customHeight="1">
      <c r="A911" s="803" t="s">
        <v>191</v>
      </c>
      <c r="B911" s="804" t="s">
        <v>26</v>
      </c>
      <c r="C911" s="805">
        <f>IF(B929="","",INDEX(NXetHKI!$B$3:$CL$57,MATCH(InNXKI!B929,NXetHKI!$B$3:$B$57,0),INDEX($J$12:$K$25,MATCH($B911,$I$12:$I$25,0),J$11)))</f>
        <v>9.5</v>
      </c>
      <c r="D911" s="1161" t="str">
        <f>IF(B929="","",INDEX(NXetHKI!$B$3:$CL$57,MATCH(InNXKI!B929,NXetHKI!$B$3:$B$57,0),INDEX($J$12:$K$25,MATCH($B911,$I$12:$I$25,0),K$11)))</f>
        <v>Em học giỏi, chăm ngoan, tính tự giác cao, rất tốt.</v>
      </c>
      <c r="E911" s="1162"/>
      <c r="F911" s="805"/>
      <c r="H911" s="64"/>
      <c r="I911" s="64"/>
    </row>
    <row r="912" spans="1:9" ht="32.25" customHeight="1">
      <c r="A912" s="803" t="s">
        <v>192</v>
      </c>
      <c r="B912" s="804" t="s">
        <v>27</v>
      </c>
      <c r="C912" s="805">
        <f>IF(B929="","",INDEX(NXetHKI!$B$3:$CL$57,MATCH(InNXKI!B929,NXetHKI!$B$3:$B$57,0),INDEX($J$12:$K$25,MATCH($B912,$I$12:$I$25,0),J$11)))</f>
        <v>9.5</v>
      </c>
      <c r="D912" s="1161" t="str">
        <f>IF(B929="","",INDEX(NXetHKI!$B$3:$CL$57,MATCH(InNXKI!B929,NXetHKI!$B$3:$B$57,0),INDEX($J$12:$K$25,MATCH($B912,$I$12:$I$25,0),K$11)))</f>
        <v>Em học giỏi, chăm ngoan, tính tự giác cao, rất tốt.</v>
      </c>
      <c r="E912" s="1162"/>
      <c r="F912" s="805"/>
      <c r="H912" s="64"/>
      <c r="I912" s="64"/>
    </row>
    <row r="913" spans="1:9" ht="32.25" customHeight="1">
      <c r="A913" s="803" t="s">
        <v>193</v>
      </c>
      <c r="B913" s="804" t="s">
        <v>28</v>
      </c>
      <c r="C913" s="805">
        <f>IF(B929="","",INDEX(NXetHKI!$B$3:$CL$57,MATCH(InNXKI!B929,NXetHKI!$B$3:$B$57,0),INDEX($J$12:$K$25,MATCH($B913,$I$12:$I$25,0),J$11)))</f>
        <v>8.8000000000000007</v>
      </c>
      <c r="D913" s="1161" t="str">
        <f>IF(B929="","",INDEX(NXetHKI!$B$3:$CL$57,MATCH(InNXKI!B929,NXetHKI!$B$3:$B$57,0),INDEX($J$12:$K$25,MATCH($B913,$I$12:$I$25,0),K$11)))</f>
        <v>Kiến thức vững, ngoan, tự học tốt.</v>
      </c>
      <c r="E913" s="1162"/>
      <c r="F913" s="805"/>
      <c r="H913" s="64"/>
      <c r="I913" s="64"/>
    </row>
    <row r="914" spans="1:9" ht="32.25" customHeight="1">
      <c r="A914" s="803" t="s">
        <v>194</v>
      </c>
      <c r="B914" s="804" t="s">
        <v>29</v>
      </c>
      <c r="C914" s="805">
        <f>IF(B929="","",INDEX(NXetHKI!$B$3:$CL$57,MATCH(InNXKI!B929,NXetHKI!$B$3:$B$57,0),INDEX($J$12:$K$25,MATCH($B914,$I$12:$I$25,0),J$11)))</f>
        <v>9.8000000000000007</v>
      </c>
      <c r="D914" s="1161" t="str">
        <f>IF(B929="","",INDEX(NXetHKI!$B$3:$CL$57,MATCH(InNXKI!B929,NXetHKI!$B$3:$B$57,0),INDEX($J$12:$K$25,MATCH($B914,$I$12:$I$25,0),K$11)))</f>
        <v>Có khả năng tự học và tự chủ bản thân, tích cực trong học tập.</v>
      </c>
      <c r="E914" s="1162"/>
      <c r="F914" s="805"/>
      <c r="H914" s="64"/>
      <c r="I914" s="64"/>
    </row>
    <row r="915" spans="1:9" ht="32.25" customHeight="1">
      <c r="A915" s="803" t="s">
        <v>195</v>
      </c>
      <c r="B915" s="804" t="s">
        <v>120</v>
      </c>
      <c r="C915" s="805">
        <f>IF(B929="","",INDEX(NXetHKI!$B$3:$CL$57,MATCH(InNXKI!B929,NXetHKI!$B$3:$B$57,0),INDEX($J$12:$K$25,MATCH($B915,$I$12:$I$25,0),J$11)))</f>
        <v>9.8000000000000007</v>
      </c>
      <c r="D915" s="1161" t="str">
        <f>IF(B929="","",INDEX(NXetHKI!$B$3:$CL$57,MATCH(InNXKI!B929,NXetHKI!$B$3:$B$57,0),INDEX($J$12:$K$25,MATCH($B915,$I$12:$I$25,0),K$11)))</f>
        <v>Ngoan, chăm chỉ, tư duy tốt.</v>
      </c>
      <c r="E915" s="1162"/>
      <c r="F915" s="805"/>
      <c r="H915" s="64"/>
      <c r="I915" s="64"/>
    </row>
    <row r="916" spans="1:9" ht="32.25" customHeight="1">
      <c r="A916" s="803" t="s">
        <v>196</v>
      </c>
      <c r="B916" s="804" t="s">
        <v>30</v>
      </c>
      <c r="C916" s="805">
        <f>IF(B929="","",INDEX(NXetHKI!$B$3:$CL$57,MATCH(InNXKI!B929,NXetHKI!$B$3:$B$57,0),INDEX($J$12:$K$25,MATCH($B916,$I$12:$I$25,0),J$11)))</f>
        <v>7.9</v>
      </c>
      <c r="D916" s="1161" t="str">
        <f>IF(B929="","",INDEX(NXetHKI!$B$3:$CL$57,MATCH(InNXKI!B929,NXetHKI!$B$3:$B$57,0),INDEX($J$12:$K$25,MATCH($B916,$I$12:$I$25,0),K$11)))</f>
        <v>Có tinh thần học tập tốt, cần cố gắng rèn luyện thêm các kỹ năng.</v>
      </c>
      <c r="E916" s="1162"/>
      <c r="F916" s="805"/>
      <c r="H916" s="64"/>
      <c r="I916" s="64"/>
    </row>
    <row r="917" spans="1:9" ht="32.25" customHeight="1">
      <c r="A917" s="803" t="s">
        <v>197</v>
      </c>
      <c r="B917" s="804" t="s">
        <v>31</v>
      </c>
      <c r="C917" s="805">
        <f>IF(B929="","",INDEX(NXetHKI!$B$3:$CL$57,MATCH(InNXKI!B929,NXetHKI!$B$3:$B$57,0),INDEX($J$12:$K$25,MATCH($B917,$I$12:$I$25,0),J$11)))</f>
        <v>9.6</v>
      </c>
      <c r="D917" s="1161" t="str">
        <f>IF(B929="","",INDEX(NXetHKI!$B$3:$CL$57,MATCH(InNXKI!B929,NXetHKI!$B$3:$B$57,0),INDEX($J$12:$K$25,MATCH($B917,$I$12:$I$25,0),K$11)))</f>
        <v>Tiếp thu bài tốt, ghi nhớ nhanh các sự kiện lịch sử.</v>
      </c>
      <c r="E917" s="1162"/>
      <c r="F917" s="805"/>
      <c r="H917" s="64"/>
      <c r="I917" s="64"/>
    </row>
    <row r="918" spans="1:9" ht="32.25" customHeight="1">
      <c r="A918" s="803" t="s">
        <v>198</v>
      </c>
      <c r="B918" s="804" t="s">
        <v>32</v>
      </c>
      <c r="C918" s="805">
        <f>IF(B929="","",INDEX(NXetHKI!$B$3:$CL$57,MATCH(InNXKI!B929,NXetHKI!$B$3:$B$57,0),INDEX($J$12:$K$25,MATCH($B918,$I$12:$I$25,0),J$11)))</f>
        <v>9.8000000000000007</v>
      </c>
      <c r="D918" s="1161" t="str">
        <f>IF(B929="","",INDEX(NXetHKI!$B$3:$CL$57,MATCH(InNXKI!B929,NXetHKI!$B$3:$B$57,0),INDEX($J$12:$K$25,MATCH($B918,$I$12:$I$25,0),K$11)))</f>
        <v>Em có tư duy tốt, rất tích cực, giải quyết vấn đề tốt.</v>
      </c>
      <c r="E918" s="1162"/>
      <c r="F918" s="805"/>
      <c r="H918" s="64"/>
      <c r="I918" s="64"/>
    </row>
    <row r="919" spans="1:9" ht="32.25" customHeight="1">
      <c r="A919" s="803" t="s">
        <v>199</v>
      </c>
      <c r="B919" s="804" t="s">
        <v>33</v>
      </c>
      <c r="C919" s="805">
        <f>IF(B929="","",INDEX(NXetHKI!$B$3:$CL$57,MATCH(InNXKI!B929,NXetHKI!$B$3:$B$57,0),INDEX($J$12:$K$25,MATCH($B919,$I$12:$I$25,0),J$11)))</f>
        <v>9</v>
      </c>
      <c r="D919" s="1161" t="str">
        <f>IF(B929="","",INDEX(NXetHKI!$B$3:$CL$57,MATCH(InNXKI!B929,NXetHKI!$B$3:$B$57,0),INDEX($J$12:$K$25,MATCH($B919,$I$12:$I$25,0),K$11)))</f>
        <v>Chăm chỉ, chuyên cần, rất tích cực và năng động.</v>
      </c>
      <c r="E919" s="1162"/>
      <c r="F919" s="805"/>
      <c r="H919" s="64"/>
      <c r="I919" s="64"/>
    </row>
    <row r="920" spans="1:9" ht="32.25" customHeight="1">
      <c r="A920" s="803" t="s">
        <v>200</v>
      </c>
      <c r="B920" s="804" t="s">
        <v>60</v>
      </c>
      <c r="C920" s="805">
        <f>IF(B929="","",INDEX(NXetHKI!$B$3:$CL$57,MATCH(InNXKI!B929,NXetHKI!$B$3:$B$57,0),INDEX($J$12:$K$25,MATCH($B920,$I$12:$I$25,0),J$11)))</f>
        <v>9.8000000000000007</v>
      </c>
      <c r="D920" s="1161" t="str">
        <f>IF(B929="","",INDEX(NXetHKI!$B$3:$CL$57,MATCH(InNXKI!B929,NXetHKI!$B$3:$B$57,0),INDEX($J$12:$K$25,MATCH($B920,$I$12:$I$25,0),K$11)))</f>
        <v>Chăm chỉ, học giỏi.</v>
      </c>
      <c r="E920" s="1162"/>
      <c r="F920" s="805"/>
      <c r="H920" s="64"/>
      <c r="I920" s="64"/>
    </row>
    <row r="921" spans="1:9" ht="32.25" customHeight="1">
      <c r="A921" s="803" t="s">
        <v>201</v>
      </c>
      <c r="B921" s="804" t="s">
        <v>34</v>
      </c>
      <c r="C921" s="805">
        <f>IF(B929="","",INDEX(NXetHKI!$B$3:$CL$57,MATCH(InNXKI!B929,NXetHKI!$B$3:$B$57,0),INDEX($J$12:$K$25,MATCH($B921,$I$12:$I$25,0),J$11)))</f>
        <v>9.4</v>
      </c>
      <c r="D921" s="1161" t="str">
        <f>IF(B929="","",INDEX(NXetHKI!$B$3:$CL$57,MATCH(InNXKI!B929,NXetHKI!$B$3:$B$57,0),INDEX($J$12:$K$25,MATCH($B921,$I$12:$I$25,0),K$11)))</f>
        <v>Năng động, sáng tạo trong học tập.</v>
      </c>
      <c r="E921" s="1162"/>
      <c r="F921" s="805"/>
      <c r="H921" s="64"/>
      <c r="I921" s="64"/>
    </row>
    <row r="922" spans="1:9" ht="32.25" customHeight="1">
      <c r="A922" s="803" t="s">
        <v>202</v>
      </c>
      <c r="B922" s="804" t="s">
        <v>35</v>
      </c>
      <c r="C922" s="805" t="str">
        <f>IF(B929="","",INDEX(NXetHKI!$B$3:$CL$57,MATCH(InNXKI!B929,NXetHKI!$B$3:$B$57,0),INDEX($J$12:$K$25,MATCH($B922,$I$12:$I$25,0),J$11)))</f>
        <v>Đ</v>
      </c>
      <c r="D922" s="1161" t="str">
        <f>IF(B929="","",INDEX(NXetHKI!$B$3:$CL$57,MATCH(InNXKI!B929,NXetHKI!$B$3:$B$57,0),INDEX($J$12:$K$25,MATCH($B922,$I$12:$I$25,0),K$11)))</f>
        <v>Giỏi, có nhiều tiến bộ trong học tập.</v>
      </c>
      <c r="E922" s="1162"/>
      <c r="F922" s="805"/>
      <c r="H922" s="64"/>
      <c r="I922" s="64"/>
    </row>
    <row r="923" spans="1:9" ht="32.25" customHeight="1">
      <c r="A923" s="803" t="s">
        <v>203</v>
      </c>
      <c r="B923" s="804" t="s">
        <v>121</v>
      </c>
      <c r="C923" s="805">
        <f>IF(B929="","",INDEX(NXetHKI!$B$3:$CL$57,MATCH(InNXKI!B929,NXetHKI!$B$3:$B$57,0),INDEX($J$12:$K$25,MATCH($B923,$I$12:$I$25,0),J$11)))</f>
        <v>9.9</v>
      </c>
      <c r="D923" s="1161" t="str">
        <f>IF(B929="","",INDEX(NXetHKI!$B$3:$CL$57,MATCH(InNXKI!B929,NXetHKI!$B$3:$B$57,0),INDEX($J$12:$K$25,MATCH($B923,$I$12:$I$25,0),K$11)))</f>
        <v>Tích cực, năng động, nắm bài tốt, học giỏi.</v>
      </c>
      <c r="E923" s="1162"/>
      <c r="F923" s="805"/>
      <c r="H923" s="64"/>
      <c r="I923" s="64"/>
    </row>
    <row r="924" spans="1:9" ht="32.25" customHeight="1">
      <c r="A924" s="803">
        <v>14</v>
      </c>
      <c r="B924" s="804" t="s">
        <v>122</v>
      </c>
      <c r="C924" s="805" t="str">
        <f>IF(B929="","",INDEX(NXetHKI!$B$3:$CL$57,MATCH(InNXKI!B929,NXetHKI!$B$3:$B$57,0),INDEX($J$12:$K$25,MATCH($B924,$I$12:$I$25,0),J$11)))</f>
        <v/>
      </c>
      <c r="D924" s="1161" t="str">
        <f>IF(B929="","",INDEX(NXetHKI!$B$3:$CL$57,MATCH(InNXKI!B929,NXetHKI!$B$3:$B$57,0),INDEX($J$12:$K$25,MATCH($B924,$I$12:$I$25,0),K$11)))</f>
        <v/>
      </c>
      <c r="E924" s="1162"/>
      <c r="F924" s="805"/>
      <c r="H924" s="64"/>
    </row>
    <row r="925" spans="1:9" ht="12" customHeight="1"/>
    <row r="926" spans="1:9" ht="21.75" customHeight="1">
      <c r="D926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926" s="1163"/>
      <c r="F926" s="1163"/>
    </row>
    <row r="927" spans="1:9">
      <c r="D927" s="992" t="s">
        <v>377</v>
      </c>
      <c r="E927" s="992"/>
      <c r="F927" s="992"/>
    </row>
    <row r="928" spans="1:9" ht="81" customHeight="1">
      <c r="D928" s="923" t="str">
        <f>IF('Huong dan'!$E$5="","",'Huong dan'!$E$5)</f>
        <v/>
      </c>
      <c r="E928" s="923"/>
      <c r="F928" s="923"/>
    </row>
    <row r="929" spans="1:9">
      <c r="A929" s="811"/>
      <c r="B929" s="711">
        <f>IF(B900="","",IF(B900&lt;MAX(NXetHKI!$B$3:$B$57),B900+1,""))</f>
        <v>32</v>
      </c>
      <c r="C929" s="811"/>
      <c r="D929" s="1157"/>
      <c r="E929" s="1157"/>
      <c r="F929" s="1157"/>
    </row>
    <row r="930" spans="1:9" s="60" customFormat="1" ht="24.75" customHeight="1">
      <c r="A930" s="1128" t="str">
        <f>IF('Huong dan'!$E$3&lt;&gt;"","SỞ GIÁO DỤC VÀ ĐÀO TẠO "&amp;UPPER('Huong dan'!$E$3),"")</f>
        <v>SỞ GIÁO DỤC VÀ ĐÀO TẠO TP. HỒ CHÍ MINH</v>
      </c>
      <c r="B930" s="1128"/>
      <c r="C930" s="1128"/>
      <c r="D930" s="1128"/>
      <c r="E930" s="1129" t="s">
        <v>19</v>
      </c>
      <c r="F930" s="1129"/>
    </row>
    <row r="931" spans="1:9" ht="17.25" customHeight="1">
      <c r="A931" s="992" t="str">
        <f>IF('Huong dan'!$E$4&lt;&gt;"","TRƯỜNG "&amp;UPPER('Huong dan'!$E$4),"")</f>
        <v>TRƯỜNG THCS VÀ THPT NGUYỄN KHUYẾN</v>
      </c>
      <c r="B931" s="992"/>
      <c r="C931" s="992"/>
      <c r="D931" s="992"/>
      <c r="E931" s="1130" t="s">
        <v>179</v>
      </c>
      <c r="F931" s="1130"/>
    </row>
    <row r="932" spans="1:9" ht="20.25" customHeight="1">
      <c r="A932" s="69"/>
      <c r="B932" s="69"/>
      <c r="C932" s="30"/>
      <c r="D932" s="30"/>
    </row>
    <row r="933" spans="1:9" ht="28.5" customHeight="1">
      <c r="A933" s="1164" t="s">
        <v>567</v>
      </c>
      <c r="B933" s="1164"/>
      <c r="C933" s="1164"/>
      <c r="D933" s="1164"/>
      <c r="E933" s="1164"/>
      <c r="F933" s="1164"/>
    </row>
    <row r="934" spans="1:9" ht="24.75" customHeight="1">
      <c r="A934" s="1164" t="str">
        <f>"HỌC KỲ I NĂM HỌC "&amp;'Huong dan'!$C$5</f>
        <v>HỌC KỲ I NĂM HỌC 2021 - 2022</v>
      </c>
      <c r="B934" s="1164"/>
      <c r="C934" s="1164"/>
      <c r="D934" s="1164"/>
      <c r="E934" s="1164"/>
      <c r="F934" s="1164"/>
    </row>
    <row r="935" spans="1:9" ht="14.25" customHeight="1">
      <c r="A935" s="70"/>
      <c r="B935" s="66"/>
      <c r="C935" s="66"/>
      <c r="D935" s="66"/>
      <c r="E935" s="66"/>
      <c r="F935" s="66"/>
    </row>
    <row r="936" spans="1:9" ht="18.75" customHeight="1">
      <c r="A936" s="1158" t="s">
        <v>212</v>
      </c>
      <c r="B936" s="1158"/>
      <c r="C936" s="1158"/>
      <c r="D936" s="77" t="str">
        <f>IF(B958="","",INDEX(NXetHKI!$B$3:$CL$57,MATCH(InNXKI!B958,NXetHKI!$B$3:$B$57,0),3)&amp;" "&amp;INDEX(NXetHKI!$B$3:$CL$57,MATCH(InNXKI!B958,NXetHKI!$B$3:$B$57,0),4))</f>
        <v>Trần Thịnh Thịnh</v>
      </c>
      <c r="E936" s="77"/>
      <c r="F936" s="77" t="str">
        <f>IF('Huong dan'!$C$3="","","Lớp: "&amp;'Huong dan'!$C$3)</f>
        <v>Lớp: 12A1</v>
      </c>
    </row>
    <row r="937" spans="1:9" ht="18.75" customHeight="1">
      <c r="A937" s="1158" t="s">
        <v>213</v>
      </c>
      <c r="B937" s="1158"/>
      <c r="C937" s="1158"/>
      <c r="D937" s="77" t="str">
        <f>INDEX(NXetHKI!$B$3:$CL$57,MATCH(InNXKI!B958,NXetHKI!$B$3:$B$57,0),5)</f>
        <v>18/08/2004</v>
      </c>
      <c r="E937" s="77"/>
      <c r="F937" s="841" t="str">
        <f>IF(B958="","","Nơi sinh: "&amp;INDEX(DiemHKI!$G$4:$G$58,MATCH(InNXKI!B958,DiemHKI!$B$4:$B$58,0),1))</f>
        <v>Nơi sinh: Bạc Liêu</v>
      </c>
    </row>
    <row r="938" spans="1:9" ht="9.75" customHeight="1">
      <c r="A938" s="62"/>
      <c r="B938" s="62"/>
      <c r="C938" s="62"/>
      <c r="D938" s="62"/>
      <c r="E938" s="62"/>
      <c r="F938" s="62"/>
    </row>
    <row r="939" spans="1:9" ht="34.5" customHeight="1">
      <c r="A939" s="801" t="s">
        <v>0</v>
      </c>
      <c r="B939" s="801" t="s">
        <v>59</v>
      </c>
      <c r="C939" s="806" t="s">
        <v>360</v>
      </c>
      <c r="D939" s="1159" t="s">
        <v>568</v>
      </c>
      <c r="E939" s="1160"/>
      <c r="F939" s="802" t="s">
        <v>569</v>
      </c>
    </row>
    <row r="940" spans="1:9" ht="32.25" customHeight="1">
      <c r="A940" s="803" t="s">
        <v>191</v>
      </c>
      <c r="B940" s="804" t="s">
        <v>26</v>
      </c>
      <c r="C940" s="805">
        <f>IF(B958="","",INDEX(NXetHKI!$B$3:$CL$57,MATCH(InNXKI!B958,NXetHKI!$B$3:$B$57,0),INDEX($J$12:$K$25,MATCH($B940,$I$12:$I$25,0),J$11)))</f>
        <v>9.8000000000000007</v>
      </c>
      <c r="D940" s="1161" t="str">
        <f>IF(B958="","",INDEX(NXetHKI!$B$3:$CL$57,MATCH(InNXKI!B958,NXetHKI!$B$3:$B$57,0),INDEX($J$12:$K$25,MATCH($B940,$I$12:$I$25,0),K$11)))</f>
        <v>Em ngoan, tích cực, năng động, rất đáng khen.</v>
      </c>
      <c r="E940" s="1162"/>
      <c r="F940" s="805"/>
      <c r="H940" s="64"/>
      <c r="I940" s="64"/>
    </row>
    <row r="941" spans="1:9" ht="32.25" customHeight="1">
      <c r="A941" s="803" t="s">
        <v>192</v>
      </c>
      <c r="B941" s="804" t="s">
        <v>27</v>
      </c>
      <c r="C941" s="805">
        <f>IF(B958="","",INDEX(NXetHKI!$B$3:$CL$57,MATCH(InNXKI!B958,NXetHKI!$B$3:$B$57,0),INDEX($J$12:$K$25,MATCH($B941,$I$12:$I$25,0),J$11)))</f>
        <v>9.6</v>
      </c>
      <c r="D941" s="1161" t="str">
        <f>IF(B958="","",INDEX(NXetHKI!$B$3:$CL$57,MATCH(InNXKI!B958,NXetHKI!$B$3:$B$57,0),INDEX($J$12:$K$25,MATCH($B941,$I$12:$I$25,0),K$11)))</f>
        <v>Em ngoan, tích cực, năng động, rất đáng khen.</v>
      </c>
      <c r="E941" s="1162"/>
      <c r="F941" s="805"/>
      <c r="H941" s="64"/>
      <c r="I941" s="64"/>
    </row>
    <row r="942" spans="1:9" ht="32.25" customHeight="1">
      <c r="A942" s="803" t="s">
        <v>193</v>
      </c>
      <c r="B942" s="804" t="s">
        <v>28</v>
      </c>
      <c r="C942" s="805">
        <f>IF(B958="","",INDEX(NXetHKI!$B$3:$CL$57,MATCH(InNXKI!B958,NXetHKI!$B$3:$B$57,0),INDEX($J$12:$K$25,MATCH($B942,$I$12:$I$25,0),J$11)))</f>
        <v>9.5</v>
      </c>
      <c r="D942" s="1161" t="str">
        <f>IF(B958="","",INDEX(NXetHKI!$B$3:$CL$57,MATCH(InNXKI!B958,NXetHKI!$B$3:$B$57,0),INDEX($J$12:$K$25,MATCH($B942,$I$12:$I$25,0),K$11)))</f>
        <v>Kiến thức vững, sáng tạo, tự học tốt.</v>
      </c>
      <c r="E942" s="1162"/>
      <c r="F942" s="805"/>
      <c r="H942" s="64"/>
      <c r="I942" s="64"/>
    </row>
    <row r="943" spans="1:9" ht="32.25" customHeight="1">
      <c r="A943" s="803" t="s">
        <v>194</v>
      </c>
      <c r="B943" s="804" t="s">
        <v>29</v>
      </c>
      <c r="C943" s="805">
        <f>IF(B958="","",INDEX(NXetHKI!$B$3:$CL$57,MATCH(InNXKI!B958,NXetHKI!$B$3:$B$57,0),INDEX($J$12:$K$25,MATCH($B943,$I$12:$I$25,0),J$11)))</f>
        <v>9.3000000000000007</v>
      </c>
      <c r="D943" s="1161" t="str">
        <f>IF(B958="","",INDEX(NXetHKI!$B$3:$CL$57,MATCH(InNXKI!B958,NXetHKI!$B$3:$B$57,0),INDEX($J$12:$K$25,MATCH($B943,$I$12:$I$25,0),K$11)))</f>
        <v>Ý thức học tập tốt, vận dụng tốt kiến thức học tập</v>
      </c>
      <c r="E943" s="1162"/>
      <c r="F943" s="805"/>
      <c r="H943" s="64"/>
      <c r="I943" s="64"/>
    </row>
    <row r="944" spans="1:9" ht="32.25" customHeight="1">
      <c r="A944" s="803" t="s">
        <v>195</v>
      </c>
      <c r="B944" s="804" t="s">
        <v>120</v>
      </c>
      <c r="C944" s="805">
        <f>IF(B958="","",INDEX(NXetHKI!$B$3:$CL$57,MATCH(InNXKI!B958,NXetHKI!$B$3:$B$57,0),INDEX($J$12:$K$25,MATCH($B944,$I$12:$I$25,0),J$11)))</f>
        <v>9.6</v>
      </c>
      <c r="D944" s="1161" t="str">
        <f>IF(B958="","",INDEX(NXetHKI!$B$3:$CL$57,MATCH(InNXKI!B958,NXetHKI!$B$3:$B$57,0),INDEX($J$12:$K$25,MATCH($B944,$I$12:$I$25,0),K$11)))</f>
        <v>Học giỏi, năng động và sáng tạo trong học tập.</v>
      </c>
      <c r="E944" s="1162"/>
      <c r="F944" s="805"/>
      <c r="H944" s="64"/>
      <c r="I944" s="64"/>
    </row>
    <row r="945" spans="1:9" ht="32.25" customHeight="1">
      <c r="A945" s="803" t="s">
        <v>196</v>
      </c>
      <c r="B945" s="804" t="s">
        <v>30</v>
      </c>
      <c r="C945" s="805">
        <f>IF(B958="","",INDEX(NXetHKI!$B$3:$CL$57,MATCH(InNXKI!B958,NXetHKI!$B$3:$B$57,0),INDEX($J$12:$K$25,MATCH($B945,$I$12:$I$25,0),J$11)))</f>
        <v>7.3</v>
      </c>
      <c r="D945" s="1161" t="str">
        <f>IF(B958="","",INDEX(NXetHKI!$B$3:$CL$57,MATCH(InNXKI!B958,NXetHKI!$B$3:$B$57,0),INDEX($J$12:$K$25,MATCH($B945,$I$12:$I$25,0),K$11)))</f>
        <v>Cần tích cực rèn thêm kỹ năng đọc, viết.</v>
      </c>
      <c r="E945" s="1162"/>
      <c r="F945" s="805"/>
      <c r="H945" s="64"/>
      <c r="I945" s="64"/>
    </row>
    <row r="946" spans="1:9" ht="32.25" customHeight="1">
      <c r="A946" s="803" t="s">
        <v>197</v>
      </c>
      <c r="B946" s="804" t="s">
        <v>31</v>
      </c>
      <c r="C946" s="805">
        <f>IF(B958="","",INDEX(NXetHKI!$B$3:$CL$57,MATCH(InNXKI!B958,NXetHKI!$B$3:$B$57,0),INDEX($J$12:$K$25,MATCH($B946,$I$12:$I$25,0),J$11)))</f>
        <v>9.1</v>
      </c>
      <c r="D946" s="1161" t="str">
        <f>IF(B958="","",INDEX(NXetHKI!$B$3:$CL$57,MATCH(InNXKI!B958,NXetHKI!$B$3:$B$57,0),INDEX($J$12:$K$25,MATCH($B946,$I$12:$I$25,0),K$11)))</f>
        <v>Chăm học, tích cực phát biểu xây dựng bài.</v>
      </c>
      <c r="E946" s="1162"/>
      <c r="F946" s="805"/>
      <c r="H946" s="64"/>
      <c r="I946" s="64"/>
    </row>
    <row r="947" spans="1:9" ht="32.25" customHeight="1">
      <c r="A947" s="803" t="s">
        <v>198</v>
      </c>
      <c r="B947" s="804" t="s">
        <v>32</v>
      </c>
      <c r="C947" s="805">
        <f>IF(B958="","",INDEX(NXetHKI!$B$3:$CL$57,MATCH(InNXKI!B958,NXetHKI!$B$3:$B$57,0),INDEX($J$12:$K$25,MATCH($B947,$I$12:$I$25,0),J$11)))</f>
        <v>9.1</v>
      </c>
      <c r="D947" s="1161" t="str">
        <f>IF(B958="","",INDEX(NXetHKI!$B$3:$CL$57,MATCH(InNXKI!B958,NXetHKI!$B$3:$B$57,0),INDEX($J$12:$K$25,MATCH($B947,$I$12:$I$25,0),K$11)))</f>
        <v>Em có tư duy tốt, tích cực, vận dụng thực tế tốt.</v>
      </c>
      <c r="E947" s="1162"/>
      <c r="F947" s="805"/>
      <c r="H947" s="64"/>
      <c r="I947" s="64"/>
    </row>
    <row r="948" spans="1:9" ht="32.25" customHeight="1">
      <c r="A948" s="803" t="s">
        <v>199</v>
      </c>
      <c r="B948" s="804" t="s">
        <v>33</v>
      </c>
      <c r="C948" s="805">
        <f>IF(B958="","",INDEX(NXetHKI!$B$3:$CL$57,MATCH(InNXKI!B958,NXetHKI!$B$3:$B$57,0),INDEX($J$12:$K$25,MATCH($B948,$I$12:$I$25,0),J$11)))</f>
        <v>8.9</v>
      </c>
      <c r="D948" s="1161" t="str">
        <f>IF(B958="","",INDEX(NXetHKI!$B$3:$CL$57,MATCH(InNXKI!B958,NXetHKI!$B$3:$B$57,0),INDEX($J$12:$K$25,MATCH($B948,$I$12:$I$25,0),K$11)))</f>
        <v>Chăm chỉ, tích cực phát biểu và phát âm tốt.</v>
      </c>
      <c r="E948" s="1162"/>
      <c r="F948" s="805"/>
      <c r="H948" s="64"/>
      <c r="I948" s="64"/>
    </row>
    <row r="949" spans="1:9" ht="32.25" customHeight="1">
      <c r="A949" s="803" t="s">
        <v>200</v>
      </c>
      <c r="B949" s="804" t="s">
        <v>60</v>
      </c>
      <c r="C949" s="805">
        <f>IF(B958="","",INDEX(NXetHKI!$B$3:$CL$57,MATCH(InNXKI!B958,NXetHKI!$B$3:$B$57,0),INDEX($J$12:$K$25,MATCH($B949,$I$12:$I$25,0),J$11)))</f>
        <v>9.1</v>
      </c>
      <c r="D949" s="1161" t="str">
        <f>IF(B958="","",INDEX(NXetHKI!$B$3:$CL$57,MATCH(InNXKI!B958,NXetHKI!$B$3:$B$57,0),INDEX($J$12:$K$25,MATCH($B949,$I$12:$I$25,0),K$11)))</f>
        <v>Hứng thú, tích cực, học giỏi.</v>
      </c>
      <c r="E949" s="1162"/>
      <c r="F949" s="805"/>
      <c r="H949" s="64"/>
      <c r="I949" s="64"/>
    </row>
    <row r="950" spans="1:9" ht="32.25" customHeight="1">
      <c r="A950" s="803" t="s">
        <v>201</v>
      </c>
      <c r="B950" s="804" t="s">
        <v>34</v>
      </c>
      <c r="C950" s="805">
        <f>IF(B958="","",INDEX(NXetHKI!$B$3:$CL$57,MATCH(InNXKI!B958,NXetHKI!$B$3:$B$57,0),INDEX($J$12:$K$25,MATCH($B950,$I$12:$I$25,0),J$11)))</f>
        <v>9.8000000000000007</v>
      </c>
      <c r="D950" s="1161" t="str">
        <f>IF(B958="","",INDEX(NXetHKI!$B$3:$CL$57,MATCH(InNXKI!B958,NXetHKI!$B$3:$B$57,0),INDEX($J$12:$K$25,MATCH($B950,$I$12:$I$25,0),K$11)))</f>
        <v>Học giỏi, tiếp thu nhanh, chăm ngoan.</v>
      </c>
      <c r="E950" s="1162"/>
      <c r="F950" s="805"/>
      <c r="H950" s="64"/>
      <c r="I950" s="64"/>
    </row>
    <row r="951" spans="1:9" ht="32.25" customHeight="1">
      <c r="A951" s="803" t="s">
        <v>202</v>
      </c>
      <c r="B951" s="804" t="s">
        <v>35</v>
      </c>
      <c r="C951" s="805" t="str">
        <f>IF(B958="","",INDEX(NXetHKI!$B$3:$CL$57,MATCH(InNXKI!B958,NXetHKI!$B$3:$B$57,0),INDEX($J$12:$K$25,MATCH($B951,$I$12:$I$25,0),J$11)))</f>
        <v>Đ</v>
      </c>
      <c r="D951" s="1161" t="str">
        <f>IF(B958="","",INDEX(NXetHKI!$B$3:$CL$57,MATCH(InNXKI!B958,NXetHKI!$B$3:$B$57,0),INDEX($J$12:$K$25,MATCH($B951,$I$12:$I$25,0),K$11)))</f>
        <v>Rất ngoan, học có hiệu quả tốt.</v>
      </c>
      <c r="E951" s="1162"/>
      <c r="F951" s="805"/>
      <c r="H951" s="64"/>
      <c r="I951" s="64"/>
    </row>
    <row r="952" spans="1:9" ht="32.25" customHeight="1">
      <c r="A952" s="803" t="s">
        <v>203</v>
      </c>
      <c r="B952" s="804" t="s">
        <v>121</v>
      </c>
      <c r="C952" s="805">
        <f>IF(B958="","",INDEX(NXetHKI!$B$3:$CL$57,MATCH(InNXKI!B958,NXetHKI!$B$3:$B$57,0),INDEX($J$12:$K$25,MATCH($B952,$I$12:$I$25,0),J$11)))</f>
        <v>9.9</v>
      </c>
      <c r="D952" s="1161" t="str">
        <f>IF(B958="","",INDEX(NXetHKI!$B$3:$CL$57,MATCH(InNXKI!B958,NXetHKI!$B$3:$B$57,0),INDEX($J$12:$K$25,MATCH($B952,$I$12:$I$25,0),K$11)))</f>
        <v>Ngoan, tích cực xây dựng bài, nắm chắc thực hành, học giỏi.</v>
      </c>
      <c r="E952" s="1162"/>
      <c r="F952" s="805"/>
      <c r="H952" s="64"/>
      <c r="I952" s="64"/>
    </row>
    <row r="953" spans="1:9" ht="32.25" customHeight="1">
      <c r="A953" s="803">
        <v>14</v>
      </c>
      <c r="B953" s="804" t="s">
        <v>122</v>
      </c>
      <c r="C953" s="805" t="str">
        <f>IF(B958="","",INDEX(NXetHKI!$B$3:$CL$57,MATCH(InNXKI!B958,NXetHKI!$B$3:$B$57,0),INDEX($J$12:$K$25,MATCH($B953,$I$12:$I$25,0),J$11)))</f>
        <v/>
      </c>
      <c r="D953" s="1161" t="str">
        <f>IF(B958="","",INDEX(NXetHKI!$B$3:$CL$57,MATCH(InNXKI!B958,NXetHKI!$B$3:$B$57,0),INDEX($J$12:$K$25,MATCH($B953,$I$12:$I$25,0),K$11)))</f>
        <v/>
      </c>
      <c r="E953" s="1162"/>
      <c r="F953" s="805"/>
      <c r="H953" s="64"/>
    </row>
    <row r="954" spans="1:9" ht="12" customHeight="1"/>
    <row r="955" spans="1:9" ht="21.75" customHeight="1">
      <c r="D955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955" s="1163"/>
      <c r="F955" s="1163"/>
    </row>
    <row r="956" spans="1:9">
      <c r="D956" s="992" t="s">
        <v>377</v>
      </c>
      <c r="E956" s="992"/>
      <c r="F956" s="992"/>
    </row>
    <row r="957" spans="1:9" ht="81" customHeight="1">
      <c r="D957" s="923" t="str">
        <f>IF('Huong dan'!$E$5="","",'Huong dan'!$E$5)</f>
        <v/>
      </c>
      <c r="E957" s="923"/>
      <c r="F957" s="923"/>
    </row>
    <row r="958" spans="1:9">
      <c r="A958" s="811"/>
      <c r="B958" s="711">
        <f>IF(B929="","",IF(B929&lt;MAX(NXetHKI!$B$3:$B$57),B929+1,""))</f>
        <v>33</v>
      </c>
      <c r="C958" s="811"/>
      <c r="D958" s="1157"/>
      <c r="E958" s="1157"/>
      <c r="F958" s="1157"/>
    </row>
    <row r="959" spans="1:9" s="60" customFormat="1" ht="24.75" customHeight="1">
      <c r="A959" s="1128" t="str">
        <f>IF('Huong dan'!$E$3&lt;&gt;"","SỞ GIÁO DỤC VÀ ĐÀO TẠO "&amp;UPPER('Huong dan'!$E$3),"")</f>
        <v>SỞ GIÁO DỤC VÀ ĐÀO TẠO TP. HỒ CHÍ MINH</v>
      </c>
      <c r="B959" s="1128"/>
      <c r="C959" s="1128"/>
      <c r="D959" s="1128"/>
      <c r="E959" s="1129" t="s">
        <v>19</v>
      </c>
      <c r="F959" s="1129"/>
    </row>
    <row r="960" spans="1:9" ht="17.25" customHeight="1">
      <c r="A960" s="992" t="str">
        <f>IF('Huong dan'!$E$4&lt;&gt;"","TRƯỜNG "&amp;UPPER('Huong dan'!$E$4),"")</f>
        <v>TRƯỜNG THCS VÀ THPT NGUYỄN KHUYẾN</v>
      </c>
      <c r="B960" s="992"/>
      <c r="C960" s="992"/>
      <c r="D960" s="992"/>
      <c r="E960" s="1130" t="s">
        <v>179</v>
      </c>
      <c r="F960" s="1130"/>
    </row>
    <row r="961" spans="1:9" ht="20.25" customHeight="1">
      <c r="A961" s="69"/>
      <c r="B961" s="69"/>
      <c r="C961" s="30"/>
      <c r="D961" s="30"/>
    </row>
    <row r="962" spans="1:9" ht="28.5" customHeight="1">
      <c r="A962" s="1164" t="s">
        <v>567</v>
      </c>
      <c r="B962" s="1164"/>
      <c r="C962" s="1164"/>
      <c r="D962" s="1164"/>
      <c r="E962" s="1164"/>
      <c r="F962" s="1164"/>
    </row>
    <row r="963" spans="1:9" ht="24.75" customHeight="1">
      <c r="A963" s="1164" t="str">
        <f>"HỌC KỲ I NĂM HỌC "&amp;'Huong dan'!$C$5</f>
        <v>HỌC KỲ I NĂM HỌC 2021 - 2022</v>
      </c>
      <c r="B963" s="1164"/>
      <c r="C963" s="1164"/>
      <c r="D963" s="1164"/>
      <c r="E963" s="1164"/>
      <c r="F963" s="1164"/>
    </row>
    <row r="964" spans="1:9" ht="14.25" customHeight="1">
      <c r="A964" s="70"/>
      <c r="B964" s="66"/>
      <c r="C964" s="66"/>
      <c r="D964" s="66"/>
      <c r="E964" s="66"/>
      <c r="F964" s="66"/>
    </row>
    <row r="965" spans="1:9" ht="18.75" customHeight="1">
      <c r="A965" s="1158" t="s">
        <v>212</v>
      </c>
      <c r="B965" s="1158"/>
      <c r="C965" s="1158"/>
      <c r="D965" s="77" t="str">
        <f>IF(B987="","",INDEX(NXetHKI!$B$3:$CL$57,MATCH(InNXKI!B987,NXetHKI!$B$3:$B$57,0),3)&amp;" "&amp;INDEX(NXetHKI!$B$3:$CL$57,MATCH(InNXKI!B987,NXetHKI!$B$3:$B$57,0),4))</f>
        <v>Trần Kim Bảo Trân</v>
      </c>
      <c r="E965" s="77"/>
      <c r="F965" s="77" t="str">
        <f>IF('Huong dan'!$C$3="","","Lớp: "&amp;'Huong dan'!$C$3)</f>
        <v>Lớp: 12A1</v>
      </c>
    </row>
    <row r="966" spans="1:9" ht="18.75" customHeight="1">
      <c r="A966" s="1158" t="s">
        <v>213</v>
      </c>
      <c r="B966" s="1158"/>
      <c r="C966" s="1158"/>
      <c r="D966" s="77" t="str">
        <f>INDEX(NXetHKI!$B$3:$CL$57,MATCH(InNXKI!B987,NXetHKI!$B$3:$B$57,0),5)</f>
        <v>05/06/2004</v>
      </c>
      <c r="E966" s="77"/>
      <c r="F966" s="841" t="str">
        <f>IF(B987="","","Nơi sinh: "&amp;INDEX(DiemHKI!$G$4:$G$58,MATCH(InNXKI!B987,DiemHKI!$B$4:$B$58,0),1))</f>
        <v>Nơi sinh: Bình Thuận</v>
      </c>
    </row>
    <row r="967" spans="1:9" ht="9.75" customHeight="1">
      <c r="A967" s="62"/>
      <c r="B967" s="62"/>
      <c r="C967" s="62"/>
      <c r="D967" s="62"/>
      <c r="E967" s="62"/>
      <c r="F967" s="62"/>
    </row>
    <row r="968" spans="1:9" ht="34.5" customHeight="1">
      <c r="A968" s="801" t="s">
        <v>0</v>
      </c>
      <c r="B968" s="801" t="s">
        <v>59</v>
      </c>
      <c r="C968" s="806" t="s">
        <v>360</v>
      </c>
      <c r="D968" s="1159" t="s">
        <v>568</v>
      </c>
      <c r="E968" s="1160"/>
      <c r="F968" s="802" t="s">
        <v>569</v>
      </c>
    </row>
    <row r="969" spans="1:9" ht="32.25" customHeight="1">
      <c r="A969" s="803" t="s">
        <v>191</v>
      </c>
      <c r="B969" s="804" t="s">
        <v>26</v>
      </c>
      <c r="C969" s="805">
        <f>IF(B987="","",INDEX(NXetHKI!$B$3:$CL$57,MATCH(InNXKI!B987,NXetHKI!$B$3:$B$57,0),INDEX($J$12:$K$25,MATCH($B969,$I$12:$I$25,0),J$11)))</f>
        <v>9.1999999999999993</v>
      </c>
      <c r="D969" s="1161" t="str">
        <f>IF(B987="","",INDEX(NXetHKI!$B$3:$CL$57,MATCH(InNXKI!B987,NXetHKI!$B$3:$B$57,0),INDEX($J$12:$K$25,MATCH($B969,$I$12:$I$25,0),K$11)))</f>
        <v>Em chăm chỉ, chuyên cần, rất tích cực, rất đáng khen.</v>
      </c>
      <c r="E969" s="1162"/>
      <c r="F969" s="805"/>
      <c r="H969" s="64"/>
      <c r="I969" s="64"/>
    </row>
    <row r="970" spans="1:9" ht="32.25" customHeight="1">
      <c r="A970" s="803" t="s">
        <v>192</v>
      </c>
      <c r="B970" s="804" t="s">
        <v>27</v>
      </c>
      <c r="C970" s="805">
        <f>IF(B987="","",INDEX(NXetHKI!$B$3:$CL$57,MATCH(InNXKI!B987,NXetHKI!$B$3:$B$57,0),INDEX($J$12:$K$25,MATCH($B970,$I$12:$I$25,0),J$11)))</f>
        <v>8.6999999999999993</v>
      </c>
      <c r="D970" s="1161" t="str">
        <f>IF(B987="","",INDEX(NXetHKI!$B$3:$CL$57,MATCH(InNXKI!B987,NXetHKI!$B$3:$B$57,0),INDEX($J$12:$K$25,MATCH($B970,$I$12:$I$25,0),K$11)))</f>
        <v>Em siêng năng, chủ động trong học tập, kết quả tốt.</v>
      </c>
      <c r="E970" s="1162"/>
      <c r="F970" s="805"/>
      <c r="H970" s="64"/>
      <c r="I970" s="64"/>
    </row>
    <row r="971" spans="1:9" ht="32.25" customHeight="1">
      <c r="A971" s="803" t="s">
        <v>193</v>
      </c>
      <c r="B971" s="804" t="s">
        <v>28</v>
      </c>
      <c r="C971" s="805">
        <f>IF(B987="","",INDEX(NXetHKI!$B$3:$CL$57,MATCH(InNXKI!B987,NXetHKI!$B$3:$B$57,0),INDEX($J$12:$K$25,MATCH($B971,$I$12:$I$25,0),J$11)))</f>
        <v>9.1999999999999993</v>
      </c>
      <c r="D971" s="1161" t="str">
        <f>IF(B987="","",INDEX(NXetHKI!$B$3:$CL$57,MATCH(InNXKI!B987,NXetHKI!$B$3:$B$57,0),INDEX($J$12:$K$25,MATCH($B971,$I$12:$I$25,0),K$11)))</f>
        <v>Học giỏi, thông minh, cần phát huy.</v>
      </c>
      <c r="E971" s="1162"/>
      <c r="F971" s="805"/>
      <c r="H971" s="64"/>
      <c r="I971" s="64"/>
    </row>
    <row r="972" spans="1:9" ht="32.25" customHeight="1">
      <c r="A972" s="803" t="s">
        <v>194</v>
      </c>
      <c r="B972" s="804" t="s">
        <v>29</v>
      </c>
      <c r="C972" s="805">
        <f>IF(B987="","",INDEX(NXetHKI!$B$3:$CL$57,MATCH(InNXKI!B987,NXetHKI!$B$3:$B$57,0),INDEX($J$12:$K$25,MATCH($B972,$I$12:$I$25,0),J$11)))</f>
        <v>8.8000000000000007</v>
      </c>
      <c r="D972" s="1161" t="str">
        <f>IF(B987="","",INDEX(NXetHKI!$B$3:$CL$57,MATCH(InNXKI!B987,NXetHKI!$B$3:$B$57,0),INDEX($J$12:$K$25,MATCH($B972,$I$12:$I$25,0),K$11)))</f>
        <v>Chăm chỉ, năng động và có hiệu quả, có năng khiếu về bộ môn Sinh học.</v>
      </c>
      <c r="E972" s="1162"/>
      <c r="F972" s="805"/>
      <c r="H972" s="64"/>
      <c r="I972" s="64"/>
    </row>
    <row r="973" spans="1:9" ht="32.25" customHeight="1">
      <c r="A973" s="803" t="s">
        <v>195</v>
      </c>
      <c r="B973" s="804" t="s">
        <v>120</v>
      </c>
      <c r="C973" s="805">
        <f>IF(B987="","",INDEX(NXetHKI!$B$3:$CL$57,MATCH(InNXKI!B987,NXetHKI!$B$3:$B$57,0),INDEX($J$12:$K$25,MATCH($B973,$I$12:$I$25,0),J$11)))</f>
        <v>9.6</v>
      </c>
      <c r="D973" s="1161" t="str">
        <f>IF(B987="","",INDEX(NXetHKI!$B$3:$CL$57,MATCH(InNXKI!B987,NXetHKI!$B$3:$B$57,0),INDEX($J$12:$K$25,MATCH($B973,$I$12:$I$25,0),K$11)))</f>
        <v>Rất ngoan, cố gắng có hiệu quả.</v>
      </c>
      <c r="E973" s="1162"/>
      <c r="F973" s="805"/>
      <c r="H973" s="64"/>
      <c r="I973" s="64"/>
    </row>
    <row r="974" spans="1:9" ht="32.25" customHeight="1">
      <c r="A974" s="803" t="s">
        <v>196</v>
      </c>
      <c r="B974" s="804" t="s">
        <v>30</v>
      </c>
      <c r="C974" s="805">
        <f>IF(B987="","",INDEX(NXetHKI!$B$3:$CL$57,MATCH(InNXKI!B987,NXetHKI!$B$3:$B$57,0),INDEX($J$12:$K$25,MATCH($B974,$I$12:$I$25,0),J$11)))</f>
        <v>8</v>
      </c>
      <c r="D974" s="1161" t="str">
        <f>IF(B987="","",INDEX(NXetHKI!$B$3:$CL$57,MATCH(InNXKI!B987,NXetHKI!$B$3:$B$57,0),INDEX($J$12:$K$25,MATCH($B974,$I$12:$I$25,0),K$11)))</f>
        <v>Học giỏi, chăm chỉ, cảm nhận tốt văn bản.</v>
      </c>
      <c r="E974" s="1162"/>
      <c r="F974" s="805"/>
      <c r="H974" s="64"/>
      <c r="I974" s="64"/>
    </row>
    <row r="975" spans="1:9" ht="32.25" customHeight="1">
      <c r="A975" s="803" t="s">
        <v>197</v>
      </c>
      <c r="B975" s="804" t="s">
        <v>31</v>
      </c>
      <c r="C975" s="805">
        <f>IF(B987="","",INDEX(NXetHKI!$B$3:$CL$57,MATCH(InNXKI!B987,NXetHKI!$B$3:$B$57,0),INDEX($J$12:$K$25,MATCH($B975,$I$12:$I$25,0),J$11)))</f>
        <v>9.8000000000000007</v>
      </c>
      <c r="D975" s="1161" t="str">
        <f>IF(B987="","",INDEX(NXetHKI!$B$3:$CL$57,MATCH(InNXKI!B987,NXetHKI!$B$3:$B$57,0),INDEX($J$12:$K$25,MATCH($B975,$I$12:$I$25,0),K$11)))</f>
        <v>Chăm ngoan, tích cực, chủ động tiếp thu bài học.</v>
      </c>
      <c r="E975" s="1162"/>
      <c r="F975" s="805"/>
      <c r="H975" s="64"/>
      <c r="I975" s="64"/>
    </row>
    <row r="976" spans="1:9" ht="32.25" customHeight="1">
      <c r="A976" s="803" t="s">
        <v>198</v>
      </c>
      <c r="B976" s="804" t="s">
        <v>32</v>
      </c>
      <c r="C976" s="805">
        <f>IF(B987="","",INDEX(NXetHKI!$B$3:$CL$57,MATCH(InNXKI!B987,NXetHKI!$B$3:$B$57,0),INDEX($J$12:$K$25,MATCH($B976,$I$12:$I$25,0),J$11)))</f>
        <v>9.9</v>
      </c>
      <c r="D976" s="1161" t="str">
        <f>IF(B987="","",INDEX(NXetHKI!$B$3:$CL$57,MATCH(InNXKI!B987,NXetHKI!$B$3:$B$57,0),INDEX($J$12:$K$25,MATCH($B976,$I$12:$I$25,0),K$11)))</f>
        <v>Em rất ngoan, cố gắng có hiệu quả.</v>
      </c>
      <c r="E976" s="1162"/>
      <c r="F976" s="805"/>
      <c r="H976" s="64"/>
      <c r="I976" s="64"/>
    </row>
    <row r="977" spans="1:9" ht="32.25" customHeight="1">
      <c r="A977" s="803" t="s">
        <v>199</v>
      </c>
      <c r="B977" s="804" t="s">
        <v>33</v>
      </c>
      <c r="C977" s="805">
        <f>IF(B987="","",INDEX(NXetHKI!$B$3:$CL$57,MATCH(InNXKI!B987,NXetHKI!$B$3:$B$57,0),INDEX($J$12:$K$25,MATCH($B977,$I$12:$I$25,0),J$11)))</f>
        <v>8.8000000000000007</v>
      </c>
      <c r="D977" s="1161" t="str">
        <f>IF(B987="","",INDEX(NXetHKI!$B$3:$CL$57,MATCH(InNXKI!B987,NXetHKI!$B$3:$B$57,0),INDEX($J$12:$K$25,MATCH($B977,$I$12:$I$25,0),K$11)))</f>
        <v>Tích cực trong hoạt động thảo luận nhóm, có kỹ năng nghe và giao tiếp tốt.</v>
      </c>
      <c r="E977" s="1162"/>
      <c r="F977" s="805"/>
      <c r="H977" s="64"/>
      <c r="I977" s="64"/>
    </row>
    <row r="978" spans="1:9" ht="32.25" customHeight="1">
      <c r="A978" s="803" t="s">
        <v>200</v>
      </c>
      <c r="B978" s="804" t="s">
        <v>60</v>
      </c>
      <c r="C978" s="805">
        <f>IF(B987="","",INDEX(NXetHKI!$B$3:$CL$57,MATCH(InNXKI!B987,NXetHKI!$B$3:$B$57,0),INDEX($J$12:$K$25,MATCH($B978,$I$12:$I$25,0),J$11)))</f>
        <v>9.4</v>
      </c>
      <c r="D978" s="1161" t="str">
        <f>IF(B987="","",INDEX(NXetHKI!$B$3:$CL$57,MATCH(InNXKI!B987,NXetHKI!$B$3:$B$57,0),INDEX($J$12:$K$25,MATCH($B978,$I$12:$I$25,0),K$11)))</f>
        <v>Hứng thú, có trách nhiệm học tập tốt.</v>
      </c>
      <c r="E978" s="1162"/>
      <c r="F978" s="805"/>
      <c r="H978" s="64"/>
      <c r="I978" s="64"/>
    </row>
    <row r="979" spans="1:9" ht="32.25" customHeight="1">
      <c r="A979" s="803" t="s">
        <v>201</v>
      </c>
      <c r="B979" s="804" t="s">
        <v>34</v>
      </c>
      <c r="C979" s="805">
        <f>IF(B987="","",INDEX(NXetHKI!$B$3:$CL$57,MATCH(InNXKI!B987,NXetHKI!$B$3:$B$57,0),INDEX($J$12:$K$25,MATCH($B979,$I$12:$I$25,0),J$11)))</f>
        <v>9.9</v>
      </c>
      <c r="D979" s="1161" t="str">
        <f>IF(B987="","",INDEX(NXetHKI!$B$3:$CL$57,MATCH(InNXKI!B987,NXetHKI!$B$3:$B$57,0),INDEX($J$12:$K$25,MATCH($B979,$I$12:$I$25,0),K$11)))</f>
        <v>Học giỏi, năng động, chăm ngoan.</v>
      </c>
      <c r="E979" s="1162"/>
      <c r="F979" s="805"/>
      <c r="H979" s="64"/>
      <c r="I979" s="64"/>
    </row>
    <row r="980" spans="1:9" ht="32.25" customHeight="1">
      <c r="A980" s="803" t="s">
        <v>202</v>
      </c>
      <c r="B980" s="804" t="s">
        <v>35</v>
      </c>
      <c r="C980" s="805" t="str">
        <f>IF(B987="","",INDEX(NXetHKI!$B$3:$CL$57,MATCH(InNXKI!B987,NXetHKI!$B$3:$B$57,0),INDEX($J$12:$K$25,MATCH($B980,$I$12:$I$25,0),J$11)))</f>
        <v>Đ</v>
      </c>
      <c r="D980" s="1161" t="str">
        <f>IF(B987="","",INDEX(NXetHKI!$B$3:$CL$57,MATCH(InNXKI!B987,NXetHKI!$B$3:$B$57,0),INDEX($J$12:$K$25,MATCH($B980,$I$12:$I$25,0),K$11)))</f>
        <v>Chăm chỉ, cố gắng, rất ngoan.</v>
      </c>
      <c r="E980" s="1162"/>
      <c r="F980" s="805"/>
      <c r="H980" s="64"/>
      <c r="I980" s="64"/>
    </row>
    <row r="981" spans="1:9" ht="32.25" customHeight="1">
      <c r="A981" s="803" t="s">
        <v>203</v>
      </c>
      <c r="B981" s="804" t="s">
        <v>121</v>
      </c>
      <c r="C981" s="805">
        <f>IF(B987="","",INDEX(NXetHKI!$B$3:$CL$57,MATCH(InNXKI!B987,NXetHKI!$B$3:$B$57,0),INDEX($J$12:$K$25,MATCH($B981,$I$12:$I$25,0),J$11)))</f>
        <v>9.9</v>
      </c>
      <c r="D981" s="1161" t="str">
        <f>IF(B987="","",INDEX(NXetHKI!$B$3:$CL$57,MATCH(InNXKI!B987,NXetHKI!$B$3:$B$57,0),INDEX($J$12:$K$25,MATCH($B981,$I$12:$I$25,0),K$11)))</f>
        <v>Siêng năng, lễ phép, thành thạo thực hành, học giỏi.</v>
      </c>
      <c r="E981" s="1162"/>
      <c r="F981" s="805"/>
      <c r="H981" s="64"/>
      <c r="I981" s="64"/>
    </row>
    <row r="982" spans="1:9" ht="32.25" customHeight="1">
      <c r="A982" s="803">
        <v>14</v>
      </c>
      <c r="B982" s="804" t="s">
        <v>122</v>
      </c>
      <c r="C982" s="805" t="str">
        <f>IF(B987="","",INDEX(NXetHKI!$B$3:$CL$57,MATCH(InNXKI!B987,NXetHKI!$B$3:$B$57,0),INDEX($J$12:$K$25,MATCH($B982,$I$12:$I$25,0),J$11)))</f>
        <v/>
      </c>
      <c r="D982" s="1161" t="str">
        <f>IF(B987="","",INDEX(NXetHKI!$B$3:$CL$57,MATCH(InNXKI!B987,NXetHKI!$B$3:$B$57,0),INDEX($J$12:$K$25,MATCH($B982,$I$12:$I$25,0),K$11)))</f>
        <v/>
      </c>
      <c r="E982" s="1162"/>
      <c r="F982" s="805"/>
      <c r="H982" s="64"/>
    </row>
    <row r="983" spans="1:9" ht="12" customHeight="1"/>
    <row r="984" spans="1:9" ht="21.75" customHeight="1">
      <c r="D984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984" s="1163"/>
      <c r="F984" s="1163"/>
    </row>
    <row r="985" spans="1:9">
      <c r="D985" s="992" t="s">
        <v>377</v>
      </c>
      <c r="E985" s="992"/>
      <c r="F985" s="992"/>
    </row>
    <row r="986" spans="1:9" ht="81" customHeight="1">
      <c r="D986" s="923" t="str">
        <f>IF('Huong dan'!$E$5="","",'Huong dan'!$E$5)</f>
        <v/>
      </c>
      <c r="E986" s="923"/>
      <c r="F986" s="923"/>
    </row>
    <row r="987" spans="1:9">
      <c r="A987" s="811"/>
      <c r="B987" s="711">
        <f>IF(B958="","",IF(B958&lt;MAX(NXetHKI!$B$3:$B$57),B958+1,""))</f>
        <v>34</v>
      </c>
      <c r="C987" s="811"/>
      <c r="D987" s="1157"/>
      <c r="E987" s="1157"/>
      <c r="F987" s="1157"/>
    </row>
    <row r="988" spans="1:9" s="60" customFormat="1" ht="24.75" customHeight="1">
      <c r="A988" s="1128" t="str">
        <f>IF('Huong dan'!$E$3&lt;&gt;"","SỞ GIÁO DỤC VÀ ĐÀO TẠO "&amp;UPPER('Huong dan'!$E$3),"")</f>
        <v>SỞ GIÁO DỤC VÀ ĐÀO TẠO TP. HỒ CHÍ MINH</v>
      </c>
      <c r="B988" s="1128"/>
      <c r="C988" s="1128"/>
      <c r="D988" s="1128"/>
      <c r="E988" s="1129" t="s">
        <v>19</v>
      </c>
      <c r="F988" s="1129"/>
    </row>
    <row r="989" spans="1:9" ht="17.25" customHeight="1">
      <c r="A989" s="992" t="str">
        <f>IF('Huong dan'!$E$4&lt;&gt;"","TRƯỜNG "&amp;UPPER('Huong dan'!$E$4),"")</f>
        <v>TRƯỜNG THCS VÀ THPT NGUYỄN KHUYẾN</v>
      </c>
      <c r="B989" s="992"/>
      <c r="C989" s="992"/>
      <c r="D989" s="992"/>
      <c r="E989" s="1130" t="s">
        <v>179</v>
      </c>
      <c r="F989" s="1130"/>
    </row>
    <row r="990" spans="1:9" ht="20.25" customHeight="1">
      <c r="A990" s="69"/>
      <c r="B990" s="69"/>
      <c r="C990" s="30"/>
      <c r="D990" s="30"/>
    </row>
    <row r="991" spans="1:9" ht="28.5" customHeight="1">
      <c r="A991" s="1164" t="s">
        <v>567</v>
      </c>
      <c r="B991" s="1164"/>
      <c r="C991" s="1164"/>
      <c r="D991" s="1164"/>
      <c r="E991" s="1164"/>
      <c r="F991" s="1164"/>
    </row>
    <row r="992" spans="1:9" ht="24.75" customHeight="1">
      <c r="A992" s="1164" t="str">
        <f>"HỌC KỲ I NĂM HỌC "&amp;'Huong dan'!$C$5</f>
        <v>HỌC KỲ I NĂM HỌC 2021 - 2022</v>
      </c>
      <c r="B992" s="1164"/>
      <c r="C992" s="1164"/>
      <c r="D992" s="1164"/>
      <c r="E992" s="1164"/>
      <c r="F992" s="1164"/>
    </row>
    <row r="993" spans="1:9" ht="14.25" customHeight="1">
      <c r="A993" s="70"/>
      <c r="B993" s="66"/>
      <c r="C993" s="66"/>
      <c r="D993" s="66"/>
      <c r="E993" s="66"/>
      <c r="F993" s="66"/>
    </row>
    <row r="994" spans="1:9" ht="18.75" customHeight="1">
      <c r="A994" s="1158" t="s">
        <v>212</v>
      </c>
      <c r="B994" s="1158"/>
      <c r="C994" s="1158"/>
      <c r="D994" s="77" t="str">
        <f>IF(B1016="","",INDEX(NXetHKI!$B$3:$CL$57,MATCH(InNXKI!B1016,NXetHKI!$B$3:$B$57,0),3)&amp;" "&amp;INDEX(NXetHKI!$B$3:$CL$57,MATCH(InNXKI!B1016,NXetHKI!$B$3:$B$57,0),4))</f>
        <v>Phạm Đức Trung</v>
      </c>
      <c r="E994" s="77"/>
      <c r="F994" s="77" t="str">
        <f>IF('Huong dan'!$C$3="","","Lớp: "&amp;'Huong dan'!$C$3)</f>
        <v>Lớp: 12A1</v>
      </c>
    </row>
    <row r="995" spans="1:9" ht="18.75" customHeight="1">
      <c r="A995" s="1158" t="s">
        <v>213</v>
      </c>
      <c r="B995" s="1158"/>
      <c r="C995" s="1158"/>
      <c r="D995" s="77" t="str">
        <f>INDEX(NXetHKI!$B$3:$CL$57,MATCH(InNXKI!B1016,NXetHKI!$B$3:$B$57,0),5)</f>
        <v>07/10/2004</v>
      </c>
      <c r="E995" s="77"/>
      <c r="F995" s="841" t="str">
        <f>IF(B1016="","","Nơi sinh: "&amp;INDEX(DiemHKI!$G$4:$G$58,MATCH(InNXKI!B1016,DiemHKI!$B$4:$B$58,0),1))</f>
        <v>Nơi sinh: TP. Hồ Chí Minh</v>
      </c>
    </row>
    <row r="996" spans="1:9" ht="9.75" customHeight="1">
      <c r="A996" s="62"/>
      <c r="B996" s="62"/>
      <c r="C996" s="62"/>
      <c r="D996" s="62"/>
      <c r="E996" s="62"/>
      <c r="F996" s="62"/>
    </row>
    <row r="997" spans="1:9" ht="34.5" customHeight="1">
      <c r="A997" s="801" t="s">
        <v>0</v>
      </c>
      <c r="B997" s="801" t="s">
        <v>59</v>
      </c>
      <c r="C997" s="806" t="s">
        <v>360</v>
      </c>
      <c r="D997" s="1159" t="s">
        <v>568</v>
      </c>
      <c r="E997" s="1160"/>
      <c r="F997" s="802" t="s">
        <v>569</v>
      </c>
    </row>
    <row r="998" spans="1:9" ht="32.25" customHeight="1">
      <c r="A998" s="803" t="s">
        <v>191</v>
      </c>
      <c r="B998" s="804" t="s">
        <v>26</v>
      </c>
      <c r="C998" s="805">
        <f>IF(B1016="","",INDEX(NXetHKI!$B$3:$CL$57,MATCH(InNXKI!B1016,NXetHKI!$B$3:$B$57,0),INDEX($J$12:$K$25,MATCH($B998,$I$12:$I$25,0),J$11)))</f>
        <v>9.9</v>
      </c>
      <c r="D998" s="1161" t="str">
        <f>IF(B1016="","",INDEX(NXetHKI!$B$3:$CL$57,MATCH(InNXKI!B1016,NXetHKI!$B$3:$B$57,0),INDEX($J$12:$K$25,MATCH($B998,$I$12:$I$25,0),K$11)))</f>
        <v>Em học giỏi, chăm ngoan, tính tự giác cao, rất tốt.</v>
      </c>
      <c r="E998" s="1162"/>
      <c r="F998" s="805"/>
      <c r="H998" s="64"/>
      <c r="I998" s="64"/>
    </row>
    <row r="999" spans="1:9" ht="32.25" customHeight="1">
      <c r="A999" s="803" t="s">
        <v>192</v>
      </c>
      <c r="B999" s="804" t="s">
        <v>27</v>
      </c>
      <c r="C999" s="805">
        <f>IF(B1016="","",INDEX(NXetHKI!$B$3:$CL$57,MATCH(InNXKI!B1016,NXetHKI!$B$3:$B$57,0),INDEX($J$12:$K$25,MATCH($B999,$I$12:$I$25,0),J$11)))</f>
        <v>9.6</v>
      </c>
      <c r="D999" s="1161" t="str">
        <f>IF(B1016="","",INDEX(NXetHKI!$B$3:$CL$57,MATCH(InNXKI!B1016,NXetHKI!$B$3:$B$57,0),INDEX($J$12:$K$25,MATCH($B999,$I$12:$I$25,0),K$11)))</f>
        <v>Em học giỏi, chăm ngoan, tính tự giác cao, rất tốt.</v>
      </c>
      <c r="E999" s="1162"/>
      <c r="F999" s="805"/>
      <c r="H999" s="64"/>
      <c r="I999" s="64"/>
    </row>
    <row r="1000" spans="1:9" ht="32.25" customHeight="1">
      <c r="A1000" s="803" t="s">
        <v>193</v>
      </c>
      <c r="B1000" s="804" t="s">
        <v>28</v>
      </c>
      <c r="C1000" s="805">
        <f>IF(B1016="","",INDEX(NXetHKI!$B$3:$CL$57,MATCH(InNXKI!B1016,NXetHKI!$B$3:$B$57,0),INDEX($J$12:$K$25,MATCH($B1000,$I$12:$I$25,0),J$11)))</f>
        <v>9.8000000000000007</v>
      </c>
      <c r="D1000" s="1161" t="str">
        <f>IF(B1016="","",INDEX(NXetHKI!$B$3:$CL$57,MATCH(InNXKI!B1016,NXetHKI!$B$3:$B$57,0),INDEX($J$12:$K$25,MATCH($B1000,$I$12:$I$25,0),K$11)))</f>
        <v>Kiến thức vững, tự học tốt, ngoan.</v>
      </c>
      <c r="E1000" s="1162"/>
      <c r="F1000" s="805"/>
      <c r="H1000" s="64"/>
      <c r="I1000" s="64"/>
    </row>
    <row r="1001" spans="1:9" ht="32.25" customHeight="1">
      <c r="A1001" s="803" t="s">
        <v>194</v>
      </c>
      <c r="B1001" s="804" t="s">
        <v>29</v>
      </c>
      <c r="C1001" s="805">
        <f>IF(B1016="","",INDEX(NXetHKI!$B$3:$CL$57,MATCH(InNXKI!B1016,NXetHKI!$B$3:$B$57,0),INDEX($J$12:$K$25,MATCH($B1001,$I$12:$I$25,0),J$11)))</f>
        <v>9.8000000000000007</v>
      </c>
      <c r="D1001" s="1161" t="str">
        <f>IF(B1016="","",INDEX(NXetHKI!$B$3:$CL$57,MATCH(InNXKI!B1016,NXetHKI!$B$3:$B$57,0),INDEX($J$12:$K$25,MATCH($B1001,$I$12:$I$25,0),K$11)))</f>
        <v>Có khả năng tự học và tự chủ bản thân, tích cực trong học tập.</v>
      </c>
      <c r="E1001" s="1162"/>
      <c r="F1001" s="805"/>
      <c r="H1001" s="64"/>
      <c r="I1001" s="64"/>
    </row>
    <row r="1002" spans="1:9" ht="32.25" customHeight="1">
      <c r="A1002" s="803" t="s">
        <v>195</v>
      </c>
      <c r="B1002" s="804" t="s">
        <v>120</v>
      </c>
      <c r="C1002" s="805">
        <f>IF(B1016="","",INDEX(NXetHKI!$B$3:$CL$57,MATCH(InNXKI!B1016,NXetHKI!$B$3:$B$57,0),INDEX($J$12:$K$25,MATCH($B1002,$I$12:$I$25,0),J$11)))</f>
        <v>9.8000000000000007</v>
      </c>
      <c r="D1002" s="1161" t="str">
        <f>IF(B1016="","",INDEX(NXetHKI!$B$3:$CL$57,MATCH(InNXKI!B1016,NXetHKI!$B$3:$B$57,0),INDEX($J$12:$K$25,MATCH($B1002,$I$12:$I$25,0),K$11)))</f>
        <v>Ngoan, chăm chỉ, tư duy tốt.</v>
      </c>
      <c r="E1002" s="1162"/>
      <c r="F1002" s="805"/>
      <c r="H1002" s="64"/>
      <c r="I1002" s="64"/>
    </row>
    <row r="1003" spans="1:9" ht="32.25" customHeight="1">
      <c r="A1003" s="803" t="s">
        <v>196</v>
      </c>
      <c r="B1003" s="804" t="s">
        <v>30</v>
      </c>
      <c r="C1003" s="805">
        <f>IF(B1016="","",INDEX(NXetHKI!$B$3:$CL$57,MATCH(InNXKI!B1016,NXetHKI!$B$3:$B$57,0),INDEX($J$12:$K$25,MATCH($B1003,$I$12:$I$25,0),J$11)))</f>
        <v>7.5</v>
      </c>
      <c r="D1003" s="1161" t="str">
        <f>IF(B1016="","",INDEX(NXetHKI!$B$3:$CL$57,MATCH(InNXKI!B1016,NXetHKI!$B$3:$B$57,0),INDEX($J$12:$K$25,MATCH($B1003,$I$12:$I$25,0),K$11)))</f>
        <v>Có tinh thần học tập tốt, cần cố gắng rèn luyện thêm các kỹ năng.</v>
      </c>
      <c r="E1003" s="1162"/>
      <c r="F1003" s="805"/>
      <c r="H1003" s="64"/>
      <c r="I1003" s="64"/>
    </row>
    <row r="1004" spans="1:9" ht="32.25" customHeight="1">
      <c r="A1004" s="803" t="s">
        <v>197</v>
      </c>
      <c r="B1004" s="804" t="s">
        <v>31</v>
      </c>
      <c r="C1004" s="805">
        <f>IF(B1016="","",INDEX(NXetHKI!$B$3:$CL$57,MATCH(InNXKI!B1016,NXetHKI!$B$3:$B$57,0),INDEX($J$12:$K$25,MATCH($B1004,$I$12:$I$25,0),J$11)))</f>
        <v>9.8000000000000007</v>
      </c>
      <c r="D1004" s="1161" t="str">
        <f>IF(B1016="","",INDEX(NXetHKI!$B$3:$CL$57,MATCH(InNXKI!B1016,NXetHKI!$B$3:$B$57,0),INDEX($J$12:$K$25,MATCH($B1004,$I$12:$I$25,0),K$11)))</f>
        <v>Tiếp thu bài tốt, ghi nhớ nhanh các sự kiện lịch sử.</v>
      </c>
      <c r="E1004" s="1162"/>
      <c r="F1004" s="805"/>
      <c r="H1004" s="64"/>
      <c r="I1004" s="64"/>
    </row>
    <row r="1005" spans="1:9" ht="32.25" customHeight="1">
      <c r="A1005" s="803" t="s">
        <v>198</v>
      </c>
      <c r="B1005" s="804" t="s">
        <v>32</v>
      </c>
      <c r="C1005" s="805">
        <f>IF(B1016="","",INDEX(NXetHKI!$B$3:$CL$57,MATCH(InNXKI!B1016,NXetHKI!$B$3:$B$57,0),INDEX($J$12:$K$25,MATCH($B1005,$I$12:$I$25,0),J$11)))</f>
        <v>9.6</v>
      </c>
      <c r="D1005" s="1161" t="str">
        <f>IF(B1016="","",INDEX(NXetHKI!$B$3:$CL$57,MATCH(InNXKI!B1016,NXetHKI!$B$3:$B$57,0),INDEX($J$12:$K$25,MATCH($B1005,$I$12:$I$25,0),K$11)))</f>
        <v>Em có tư duy tốt, rất tích cực, giải quyết vấn đề tốt.</v>
      </c>
      <c r="E1005" s="1162"/>
      <c r="F1005" s="805"/>
      <c r="H1005" s="64"/>
      <c r="I1005" s="64"/>
    </row>
    <row r="1006" spans="1:9" ht="32.25" customHeight="1">
      <c r="A1006" s="803" t="s">
        <v>199</v>
      </c>
      <c r="B1006" s="804" t="s">
        <v>33</v>
      </c>
      <c r="C1006" s="805">
        <f>IF(B1016="","",INDEX(NXetHKI!$B$3:$CL$57,MATCH(InNXKI!B1016,NXetHKI!$B$3:$B$57,0),INDEX($J$12:$K$25,MATCH($B1006,$I$12:$I$25,0),J$11)))</f>
        <v>8.6</v>
      </c>
      <c r="D1006" s="1161" t="str">
        <f>IF(B1016="","",INDEX(NXetHKI!$B$3:$CL$57,MATCH(InNXKI!B1016,NXetHKI!$B$3:$B$57,0),INDEX($J$12:$K$25,MATCH($B1006,$I$12:$I$25,0),K$11)))</f>
        <v>Có khả năng nghe, nói và ngữ pháp vững.</v>
      </c>
      <c r="E1006" s="1162"/>
      <c r="F1006" s="805"/>
      <c r="H1006" s="64"/>
      <c r="I1006" s="64"/>
    </row>
    <row r="1007" spans="1:9" ht="32.25" customHeight="1">
      <c r="A1007" s="803" t="s">
        <v>200</v>
      </c>
      <c r="B1007" s="804" t="s">
        <v>60</v>
      </c>
      <c r="C1007" s="805">
        <f>IF(B1016="","",INDEX(NXetHKI!$B$3:$CL$57,MATCH(InNXKI!B1016,NXetHKI!$B$3:$B$57,0),INDEX($J$12:$K$25,MATCH($B1007,$I$12:$I$25,0),J$11)))</f>
        <v>9.1</v>
      </c>
      <c r="D1007" s="1161" t="str">
        <f>IF(B1016="","",INDEX(NXetHKI!$B$3:$CL$57,MATCH(InNXKI!B1016,NXetHKI!$B$3:$B$57,0),INDEX($J$12:$K$25,MATCH($B1007,$I$12:$I$25,0),K$11)))</f>
        <v>Chăm chỉ, học giỏi.</v>
      </c>
      <c r="E1007" s="1162"/>
      <c r="F1007" s="805"/>
      <c r="H1007" s="64"/>
      <c r="I1007" s="64"/>
    </row>
    <row r="1008" spans="1:9" ht="32.25" customHeight="1">
      <c r="A1008" s="803" t="s">
        <v>201</v>
      </c>
      <c r="B1008" s="804" t="s">
        <v>34</v>
      </c>
      <c r="C1008" s="805">
        <f>IF(B1016="","",INDEX(NXetHKI!$B$3:$CL$57,MATCH(InNXKI!B1016,NXetHKI!$B$3:$B$57,0),INDEX($J$12:$K$25,MATCH($B1008,$I$12:$I$25,0),J$11)))</f>
        <v>9.9</v>
      </c>
      <c r="D1008" s="1161" t="str">
        <f>IF(B1016="","",INDEX(NXetHKI!$B$3:$CL$57,MATCH(InNXKI!B1016,NXetHKI!$B$3:$B$57,0),INDEX($J$12:$K$25,MATCH($B1008,$I$12:$I$25,0),K$11)))</f>
        <v>Năng động, sáng tạo trong học tập.</v>
      </c>
      <c r="E1008" s="1162"/>
      <c r="F1008" s="805"/>
      <c r="H1008" s="64"/>
      <c r="I1008" s="64"/>
    </row>
    <row r="1009" spans="1:9" ht="32.25" customHeight="1">
      <c r="A1009" s="803" t="s">
        <v>202</v>
      </c>
      <c r="B1009" s="804" t="s">
        <v>35</v>
      </c>
      <c r="C1009" s="805" t="str">
        <f>IF(B1016="","",INDEX(NXetHKI!$B$3:$CL$57,MATCH(InNXKI!B1016,NXetHKI!$B$3:$B$57,0),INDEX($J$12:$K$25,MATCH($B1009,$I$12:$I$25,0),J$11)))</f>
        <v>Đ</v>
      </c>
      <c r="D1009" s="1161" t="str">
        <f>IF(B1016="","",INDEX(NXetHKI!$B$3:$CL$57,MATCH(InNXKI!B1016,NXetHKI!$B$3:$B$57,0),INDEX($J$12:$K$25,MATCH($B1009,$I$12:$I$25,0),K$11)))</f>
        <v>Giỏi, có nhiều tiến bộ trong học tập.</v>
      </c>
      <c r="E1009" s="1162"/>
      <c r="F1009" s="805"/>
      <c r="H1009" s="64"/>
      <c r="I1009" s="64"/>
    </row>
    <row r="1010" spans="1:9" ht="32.25" customHeight="1">
      <c r="A1010" s="803" t="s">
        <v>203</v>
      </c>
      <c r="B1010" s="804" t="s">
        <v>121</v>
      </c>
      <c r="C1010" s="805">
        <f>IF(B1016="","",INDEX(NXetHKI!$B$3:$CL$57,MATCH(InNXKI!B1016,NXetHKI!$B$3:$B$57,0),INDEX($J$12:$K$25,MATCH($B1010,$I$12:$I$25,0),J$11)))</f>
        <v>9.9</v>
      </c>
      <c r="D1010" s="1161" t="str">
        <f>IF(B1016="","",INDEX(NXetHKI!$B$3:$CL$57,MATCH(InNXKI!B1016,NXetHKI!$B$3:$B$57,0),INDEX($J$12:$K$25,MATCH($B1010,$I$12:$I$25,0),K$11)))</f>
        <v>Tích cực, năng động, nắm bài tốt, học giỏi.</v>
      </c>
      <c r="E1010" s="1162"/>
      <c r="F1010" s="805"/>
      <c r="H1010" s="64"/>
      <c r="I1010" s="64"/>
    </row>
    <row r="1011" spans="1:9" ht="32.25" customHeight="1">
      <c r="A1011" s="803">
        <v>14</v>
      </c>
      <c r="B1011" s="804" t="s">
        <v>122</v>
      </c>
      <c r="C1011" s="805" t="str">
        <f>IF(B1016="","",INDEX(NXetHKI!$B$3:$CL$57,MATCH(InNXKI!B1016,NXetHKI!$B$3:$B$57,0),INDEX($J$12:$K$25,MATCH($B1011,$I$12:$I$25,0),J$11)))</f>
        <v/>
      </c>
      <c r="D1011" s="1161" t="str">
        <f>IF(B1016="","",INDEX(NXetHKI!$B$3:$CL$57,MATCH(InNXKI!B1016,NXetHKI!$B$3:$B$57,0),INDEX($J$12:$K$25,MATCH($B1011,$I$12:$I$25,0),K$11)))</f>
        <v/>
      </c>
      <c r="E1011" s="1162"/>
      <c r="F1011" s="805"/>
      <c r="H1011" s="64"/>
    </row>
    <row r="1012" spans="1:9" ht="12" customHeight="1"/>
    <row r="1013" spans="1:9" ht="21.75" customHeight="1">
      <c r="D1013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013" s="1163"/>
      <c r="F1013" s="1163"/>
    </row>
    <row r="1014" spans="1:9">
      <c r="D1014" s="992" t="s">
        <v>377</v>
      </c>
      <c r="E1014" s="992"/>
      <c r="F1014" s="992"/>
    </row>
    <row r="1015" spans="1:9" ht="81" customHeight="1">
      <c r="D1015" s="923" t="str">
        <f>IF('Huong dan'!$E$5="","",'Huong dan'!$E$5)</f>
        <v/>
      </c>
      <c r="E1015" s="923"/>
      <c r="F1015" s="923"/>
    </row>
    <row r="1016" spans="1:9">
      <c r="A1016" s="811"/>
      <c r="B1016" s="711">
        <f>IF(B987="","",IF(B987&lt;MAX(NXetHKI!$B$3:$B$57),B987+1,""))</f>
        <v>35</v>
      </c>
      <c r="C1016" s="811"/>
      <c r="D1016" s="1157"/>
      <c r="E1016" s="1157"/>
      <c r="F1016" s="1157"/>
    </row>
    <row r="1017" spans="1:9" s="60" customFormat="1" ht="24.75" customHeight="1">
      <c r="A1017" s="1128" t="str">
        <f>IF('Huong dan'!$E$3&lt;&gt;"","SỞ GIÁO DỤC VÀ ĐÀO TẠO "&amp;UPPER('Huong dan'!$E$3),"")</f>
        <v>SỞ GIÁO DỤC VÀ ĐÀO TẠO TP. HỒ CHÍ MINH</v>
      </c>
      <c r="B1017" s="1128"/>
      <c r="C1017" s="1128"/>
      <c r="D1017" s="1128"/>
      <c r="E1017" s="1129" t="s">
        <v>19</v>
      </c>
      <c r="F1017" s="1129"/>
    </row>
    <row r="1018" spans="1:9" ht="17.25" customHeight="1">
      <c r="A1018" s="992" t="str">
        <f>IF('Huong dan'!$E$4&lt;&gt;"","TRƯỜNG "&amp;UPPER('Huong dan'!$E$4),"")</f>
        <v>TRƯỜNG THCS VÀ THPT NGUYỄN KHUYẾN</v>
      </c>
      <c r="B1018" s="992"/>
      <c r="C1018" s="992"/>
      <c r="D1018" s="992"/>
      <c r="E1018" s="1130" t="s">
        <v>179</v>
      </c>
      <c r="F1018" s="1130"/>
    </row>
    <row r="1019" spans="1:9" ht="20.25" customHeight="1">
      <c r="A1019" s="69"/>
      <c r="B1019" s="69"/>
      <c r="C1019" s="30"/>
      <c r="D1019" s="30"/>
    </row>
    <row r="1020" spans="1:9" ht="28.5" customHeight="1">
      <c r="A1020" s="1164" t="s">
        <v>567</v>
      </c>
      <c r="B1020" s="1164"/>
      <c r="C1020" s="1164"/>
      <c r="D1020" s="1164"/>
      <c r="E1020" s="1164"/>
      <c r="F1020" s="1164"/>
    </row>
    <row r="1021" spans="1:9" ht="24.75" customHeight="1">
      <c r="A1021" s="1164" t="str">
        <f>"HỌC KỲ I NĂM HỌC "&amp;'Huong dan'!$C$5</f>
        <v>HỌC KỲ I NĂM HỌC 2021 - 2022</v>
      </c>
      <c r="B1021" s="1164"/>
      <c r="C1021" s="1164"/>
      <c r="D1021" s="1164"/>
      <c r="E1021" s="1164"/>
      <c r="F1021" s="1164"/>
    </row>
    <row r="1022" spans="1:9" ht="14.25" customHeight="1">
      <c r="A1022" s="70"/>
      <c r="B1022" s="66"/>
      <c r="C1022" s="66"/>
      <c r="D1022" s="66"/>
      <c r="E1022" s="66"/>
      <c r="F1022" s="66"/>
    </row>
    <row r="1023" spans="1:9" ht="18.75" customHeight="1">
      <c r="A1023" s="1158" t="s">
        <v>212</v>
      </c>
      <c r="B1023" s="1158"/>
      <c r="C1023" s="1158"/>
      <c r="D1023" s="77" t="str">
        <f>IF(B1045="","",INDEX(NXetHKI!$B$3:$CL$57,MATCH(InNXKI!B1045,NXetHKI!$B$3:$B$57,0),3)&amp;" "&amp;INDEX(NXetHKI!$B$3:$CL$57,MATCH(InNXKI!B1045,NXetHKI!$B$3:$B$57,0),4))</f>
        <v>Võ Thủy Vân</v>
      </c>
      <c r="E1023" s="77"/>
      <c r="F1023" s="77" t="str">
        <f>IF('Huong dan'!$C$3="","","Lớp: "&amp;'Huong dan'!$C$3)</f>
        <v>Lớp: 12A1</v>
      </c>
    </row>
    <row r="1024" spans="1:9" ht="18.75" customHeight="1">
      <c r="A1024" s="1158" t="s">
        <v>213</v>
      </c>
      <c r="B1024" s="1158"/>
      <c r="C1024" s="1158"/>
      <c r="D1024" s="77" t="str">
        <f>INDEX(NXetHKI!$B$3:$CL$57,MATCH(InNXKI!B1045,NXetHKI!$B$3:$B$57,0),5)</f>
        <v>30/10/2004</v>
      </c>
      <c r="E1024" s="77"/>
      <c r="F1024" s="841" t="str">
        <f>IF(B1045="","","Nơi sinh: "&amp;INDEX(DiemHKI!$G$4:$G$58,MATCH(InNXKI!B1045,DiemHKI!$B$4:$B$58,0),1))</f>
        <v>Nơi sinh: TP. Hồ Chí Minh</v>
      </c>
    </row>
    <row r="1025" spans="1:9" ht="9.75" customHeight="1">
      <c r="A1025" s="62"/>
      <c r="B1025" s="62"/>
      <c r="C1025" s="62"/>
      <c r="D1025" s="62"/>
      <c r="E1025" s="62"/>
      <c r="F1025" s="62"/>
    </row>
    <row r="1026" spans="1:9" ht="34.5" customHeight="1">
      <c r="A1026" s="801" t="s">
        <v>0</v>
      </c>
      <c r="B1026" s="801" t="s">
        <v>59</v>
      </c>
      <c r="C1026" s="806" t="s">
        <v>360</v>
      </c>
      <c r="D1026" s="1159" t="s">
        <v>568</v>
      </c>
      <c r="E1026" s="1160"/>
      <c r="F1026" s="802" t="s">
        <v>569</v>
      </c>
    </row>
    <row r="1027" spans="1:9" ht="32.25" customHeight="1">
      <c r="A1027" s="803" t="s">
        <v>191</v>
      </c>
      <c r="B1027" s="804" t="s">
        <v>26</v>
      </c>
      <c r="C1027" s="805">
        <f>IF(B1045="","",INDEX(NXetHKI!$B$3:$CL$57,MATCH(InNXKI!B1045,NXetHKI!$B$3:$B$57,0),INDEX($J$12:$K$25,MATCH($B1027,$I$12:$I$25,0),J$11)))</f>
        <v>9.6999999999999993</v>
      </c>
      <c r="D1027" s="1161" t="str">
        <f>IF(B1045="","",INDEX(NXetHKI!$B$3:$CL$57,MATCH(InNXKI!B1045,NXetHKI!$B$3:$B$57,0),INDEX($J$12:$K$25,MATCH($B1027,$I$12:$I$25,0),K$11)))</f>
        <v>Em ngoan, tích cực, năng động, rất đáng khen.</v>
      </c>
      <c r="E1027" s="1162"/>
      <c r="F1027" s="805"/>
      <c r="H1027" s="64"/>
      <c r="I1027" s="64"/>
    </row>
    <row r="1028" spans="1:9" ht="32.25" customHeight="1">
      <c r="A1028" s="803" t="s">
        <v>192</v>
      </c>
      <c r="B1028" s="804" t="s">
        <v>27</v>
      </c>
      <c r="C1028" s="805">
        <f>IF(B1045="","",INDEX(NXetHKI!$B$3:$CL$57,MATCH(InNXKI!B1045,NXetHKI!$B$3:$B$57,0),INDEX($J$12:$K$25,MATCH($B1028,$I$12:$I$25,0),J$11)))</f>
        <v>9.9</v>
      </c>
      <c r="D1028" s="1161" t="str">
        <f>IF(B1045="","",INDEX(NXetHKI!$B$3:$CL$57,MATCH(InNXKI!B1045,NXetHKI!$B$3:$B$57,0),INDEX($J$12:$K$25,MATCH($B1028,$I$12:$I$25,0),K$11)))</f>
        <v>Em ngoan, tích cực, năng động, rất đáng khen.</v>
      </c>
      <c r="E1028" s="1162"/>
      <c r="F1028" s="805"/>
      <c r="H1028" s="64"/>
      <c r="I1028" s="64"/>
    </row>
    <row r="1029" spans="1:9" ht="32.25" customHeight="1">
      <c r="A1029" s="803" t="s">
        <v>193</v>
      </c>
      <c r="B1029" s="804" t="s">
        <v>28</v>
      </c>
      <c r="C1029" s="805">
        <f>IF(B1045="","",INDEX(NXetHKI!$B$3:$CL$57,MATCH(InNXKI!B1045,NXetHKI!$B$3:$B$57,0),INDEX($J$12:$K$25,MATCH($B1029,$I$12:$I$25,0),J$11)))</f>
        <v>9.6999999999999993</v>
      </c>
      <c r="D1029" s="1161" t="str">
        <f>IF(B1045="","",INDEX(NXetHKI!$B$3:$CL$57,MATCH(InNXKI!B1045,NXetHKI!$B$3:$B$57,0),INDEX($J$12:$K$25,MATCH($B1029,$I$12:$I$25,0),K$11)))</f>
        <v>Kiến thức vững, sáng tạo, tự học tốt.</v>
      </c>
      <c r="E1029" s="1162"/>
      <c r="F1029" s="805"/>
      <c r="H1029" s="64"/>
      <c r="I1029" s="64"/>
    </row>
    <row r="1030" spans="1:9" ht="32.25" customHeight="1">
      <c r="A1030" s="803" t="s">
        <v>194</v>
      </c>
      <c r="B1030" s="804" t="s">
        <v>29</v>
      </c>
      <c r="C1030" s="805">
        <f>IF(B1045="","",INDEX(NXetHKI!$B$3:$CL$57,MATCH(InNXKI!B1045,NXetHKI!$B$3:$B$57,0),INDEX($J$12:$K$25,MATCH($B1030,$I$12:$I$25,0),J$11)))</f>
        <v>9.4</v>
      </c>
      <c r="D1030" s="1161" t="str">
        <f>IF(B1045="","",INDEX(NXetHKI!$B$3:$CL$57,MATCH(InNXKI!B1045,NXetHKI!$B$3:$B$57,0),INDEX($J$12:$K$25,MATCH($B1030,$I$12:$I$25,0),K$11)))</f>
        <v>Ý thức học tập tốt, vận dụng tốt kiến thức học tập</v>
      </c>
      <c r="E1030" s="1162"/>
      <c r="F1030" s="805"/>
      <c r="H1030" s="64"/>
      <c r="I1030" s="64"/>
    </row>
    <row r="1031" spans="1:9" ht="32.25" customHeight="1">
      <c r="A1031" s="803" t="s">
        <v>195</v>
      </c>
      <c r="B1031" s="804" t="s">
        <v>120</v>
      </c>
      <c r="C1031" s="805">
        <f>IF(B1045="","",INDEX(NXetHKI!$B$3:$CL$57,MATCH(InNXKI!B1045,NXetHKI!$B$3:$B$57,0),INDEX($J$12:$K$25,MATCH($B1031,$I$12:$I$25,0),J$11)))</f>
        <v>9.8000000000000007</v>
      </c>
      <c r="D1031" s="1161" t="str">
        <f>IF(B1045="","",INDEX(NXetHKI!$B$3:$CL$57,MATCH(InNXKI!B1045,NXetHKI!$B$3:$B$57,0),INDEX($J$12:$K$25,MATCH($B1031,$I$12:$I$25,0),K$11)))</f>
        <v>Học giỏi, năng động và sáng tạo trong học tập.</v>
      </c>
      <c r="E1031" s="1162"/>
      <c r="F1031" s="805"/>
      <c r="H1031" s="64"/>
      <c r="I1031" s="64"/>
    </row>
    <row r="1032" spans="1:9" ht="32.25" customHeight="1">
      <c r="A1032" s="803" t="s">
        <v>196</v>
      </c>
      <c r="B1032" s="804" t="s">
        <v>30</v>
      </c>
      <c r="C1032" s="805">
        <f>IF(B1045="","",INDEX(NXetHKI!$B$3:$CL$57,MATCH(InNXKI!B1045,NXetHKI!$B$3:$B$57,0),INDEX($J$12:$K$25,MATCH($B1032,$I$12:$I$25,0),J$11)))</f>
        <v>7.8</v>
      </c>
      <c r="D1032" s="1161" t="str">
        <f>IF(B1045="","",INDEX(NXetHKI!$B$3:$CL$57,MATCH(InNXKI!B1045,NXetHKI!$B$3:$B$57,0),INDEX($J$12:$K$25,MATCH($B1032,$I$12:$I$25,0),K$11)))</f>
        <v>Cần chủ động hơn trong giờ học, rèn thêm kỹ năng viết.</v>
      </c>
      <c r="E1032" s="1162"/>
      <c r="F1032" s="805"/>
      <c r="H1032" s="64"/>
      <c r="I1032" s="64"/>
    </row>
    <row r="1033" spans="1:9" ht="32.25" customHeight="1">
      <c r="A1033" s="803" t="s">
        <v>197</v>
      </c>
      <c r="B1033" s="804" t="s">
        <v>31</v>
      </c>
      <c r="C1033" s="805">
        <f>IF(B1045="","",INDEX(NXetHKI!$B$3:$CL$57,MATCH(InNXKI!B1045,NXetHKI!$B$3:$B$57,0),INDEX($J$12:$K$25,MATCH($B1033,$I$12:$I$25,0),J$11)))</f>
        <v>9.8000000000000007</v>
      </c>
      <c r="D1033" s="1161" t="str">
        <f>IF(B1045="","",INDEX(NXetHKI!$B$3:$CL$57,MATCH(InNXKI!B1045,NXetHKI!$B$3:$B$57,0),INDEX($J$12:$K$25,MATCH($B1033,$I$12:$I$25,0),K$11)))</f>
        <v>Chăm học, tích cực phát biểu xây dựng bài.</v>
      </c>
      <c r="E1033" s="1162"/>
      <c r="F1033" s="805"/>
      <c r="H1033" s="64"/>
      <c r="I1033" s="64"/>
    </row>
    <row r="1034" spans="1:9" ht="32.25" customHeight="1">
      <c r="A1034" s="803" t="s">
        <v>198</v>
      </c>
      <c r="B1034" s="804" t="s">
        <v>32</v>
      </c>
      <c r="C1034" s="805">
        <f>IF(B1045="","",INDEX(NXetHKI!$B$3:$CL$57,MATCH(InNXKI!B1045,NXetHKI!$B$3:$B$57,0),INDEX($J$12:$K$25,MATCH($B1034,$I$12:$I$25,0),J$11)))</f>
        <v>9.9</v>
      </c>
      <c r="D1034" s="1161" t="str">
        <f>IF(B1045="","",INDEX(NXetHKI!$B$3:$CL$57,MATCH(InNXKI!B1045,NXetHKI!$B$3:$B$57,0),INDEX($J$12:$K$25,MATCH($B1034,$I$12:$I$25,0),K$11)))</f>
        <v>Em có tư duy tốt, tích cực, vận dụng thực tế tốt.</v>
      </c>
      <c r="E1034" s="1162"/>
      <c r="F1034" s="805"/>
      <c r="H1034" s="64"/>
      <c r="I1034" s="64"/>
    </row>
    <row r="1035" spans="1:9" ht="32.25" customHeight="1">
      <c r="A1035" s="803" t="s">
        <v>199</v>
      </c>
      <c r="B1035" s="804" t="s">
        <v>33</v>
      </c>
      <c r="C1035" s="805">
        <f>IF(B1045="","",INDEX(NXetHKI!$B$3:$CL$57,MATCH(InNXKI!B1045,NXetHKI!$B$3:$B$57,0),INDEX($J$12:$K$25,MATCH($B1035,$I$12:$I$25,0),J$11)))</f>
        <v>9.6</v>
      </c>
      <c r="D1035" s="1161" t="str">
        <f>IF(B1045="","",INDEX(NXetHKI!$B$3:$CL$57,MATCH(InNXKI!B1045,NXetHKI!$B$3:$B$57,0),INDEX($J$12:$K$25,MATCH($B1035,$I$12:$I$25,0),K$11)))</f>
        <v>Tích cực phát biểu trong giờ học, tương tác tốt với giáo viên và bạn bè.</v>
      </c>
      <c r="E1035" s="1162"/>
      <c r="F1035" s="805"/>
      <c r="H1035" s="64"/>
      <c r="I1035" s="64"/>
    </row>
    <row r="1036" spans="1:9" ht="32.25" customHeight="1">
      <c r="A1036" s="803" t="s">
        <v>200</v>
      </c>
      <c r="B1036" s="804" t="s">
        <v>60</v>
      </c>
      <c r="C1036" s="805">
        <f>IF(B1045="","",INDEX(NXetHKI!$B$3:$CL$57,MATCH(InNXKI!B1045,NXetHKI!$B$3:$B$57,0),INDEX($J$12:$K$25,MATCH($B1036,$I$12:$I$25,0),J$11)))</f>
        <v>9.8000000000000007</v>
      </c>
      <c r="D1036" s="1161" t="str">
        <f>IF(B1045="","",INDEX(NXetHKI!$B$3:$CL$57,MATCH(InNXKI!B1045,NXetHKI!$B$3:$B$57,0),INDEX($J$12:$K$25,MATCH($B1036,$I$12:$I$25,0),K$11)))</f>
        <v>Hứng thú, tích cực, học giỏi.</v>
      </c>
      <c r="E1036" s="1162"/>
      <c r="F1036" s="805"/>
      <c r="H1036" s="64"/>
      <c r="I1036" s="64"/>
    </row>
    <row r="1037" spans="1:9" ht="32.25" customHeight="1">
      <c r="A1037" s="803" t="s">
        <v>201</v>
      </c>
      <c r="B1037" s="804" t="s">
        <v>34</v>
      </c>
      <c r="C1037" s="805">
        <f>IF(B1045="","",INDEX(NXetHKI!$B$3:$CL$57,MATCH(InNXKI!B1045,NXetHKI!$B$3:$B$57,0),INDEX($J$12:$K$25,MATCH($B1037,$I$12:$I$25,0),J$11)))</f>
        <v>9.9</v>
      </c>
      <c r="D1037" s="1161" t="str">
        <f>IF(B1045="","",INDEX(NXetHKI!$B$3:$CL$57,MATCH(InNXKI!B1045,NXetHKI!$B$3:$B$57,0),INDEX($J$12:$K$25,MATCH($B1037,$I$12:$I$25,0),K$11)))</f>
        <v>Học giỏi, tiếp thu nhanh, chăm ngoan.</v>
      </c>
      <c r="E1037" s="1162"/>
      <c r="F1037" s="805"/>
      <c r="H1037" s="64"/>
      <c r="I1037" s="64"/>
    </row>
    <row r="1038" spans="1:9" ht="32.25" customHeight="1">
      <c r="A1038" s="803" t="s">
        <v>202</v>
      </c>
      <c r="B1038" s="804" t="s">
        <v>35</v>
      </c>
      <c r="C1038" s="805" t="str">
        <f>IF(B1045="","",INDEX(NXetHKI!$B$3:$CL$57,MATCH(InNXKI!B1045,NXetHKI!$B$3:$B$57,0),INDEX($J$12:$K$25,MATCH($B1038,$I$12:$I$25,0),J$11)))</f>
        <v>Đ</v>
      </c>
      <c r="D1038" s="1161" t="str">
        <f>IF(B1045="","",INDEX(NXetHKI!$B$3:$CL$57,MATCH(InNXKI!B1045,NXetHKI!$B$3:$B$57,0),INDEX($J$12:$K$25,MATCH($B1038,$I$12:$I$25,0),K$11)))</f>
        <v>Rất ngoan, học có hiệu quả tốt.</v>
      </c>
      <c r="E1038" s="1162"/>
      <c r="F1038" s="805"/>
      <c r="H1038" s="64"/>
      <c r="I1038" s="64"/>
    </row>
    <row r="1039" spans="1:9" ht="32.25" customHeight="1">
      <c r="A1039" s="803" t="s">
        <v>203</v>
      </c>
      <c r="B1039" s="804" t="s">
        <v>121</v>
      </c>
      <c r="C1039" s="805">
        <f>IF(B1045="","",INDEX(NXetHKI!$B$3:$CL$57,MATCH(InNXKI!B1045,NXetHKI!$B$3:$B$57,0),INDEX($J$12:$K$25,MATCH($B1039,$I$12:$I$25,0),J$11)))</f>
        <v>9.9</v>
      </c>
      <c r="D1039" s="1161" t="str">
        <f>IF(B1045="","",INDEX(NXetHKI!$B$3:$CL$57,MATCH(InNXKI!B1045,NXetHKI!$B$3:$B$57,0),INDEX($J$12:$K$25,MATCH($B1039,$I$12:$I$25,0),K$11)))</f>
        <v>Ngoan, tích cực xây dựng bài, nắm chắc thực hành, học giỏi.</v>
      </c>
      <c r="E1039" s="1162"/>
      <c r="F1039" s="805"/>
      <c r="H1039" s="64"/>
      <c r="I1039" s="64"/>
    </row>
    <row r="1040" spans="1:9" ht="32.25" customHeight="1">
      <c r="A1040" s="803">
        <v>14</v>
      </c>
      <c r="B1040" s="804" t="s">
        <v>122</v>
      </c>
      <c r="C1040" s="805" t="str">
        <f>IF(B1045="","",INDEX(NXetHKI!$B$3:$CL$57,MATCH(InNXKI!B1045,NXetHKI!$B$3:$B$57,0),INDEX($J$12:$K$25,MATCH($B1040,$I$12:$I$25,0),J$11)))</f>
        <v/>
      </c>
      <c r="D1040" s="1161" t="str">
        <f>IF(B1045="","",INDEX(NXetHKI!$B$3:$CL$57,MATCH(InNXKI!B1045,NXetHKI!$B$3:$B$57,0),INDEX($J$12:$K$25,MATCH($B1040,$I$12:$I$25,0),K$11)))</f>
        <v/>
      </c>
      <c r="E1040" s="1162"/>
      <c r="F1040" s="805"/>
      <c r="H1040" s="64"/>
    </row>
    <row r="1041" spans="1:9" ht="12" customHeight="1"/>
    <row r="1042" spans="1:9" ht="21.75" customHeight="1">
      <c r="D1042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042" s="1163"/>
      <c r="F1042" s="1163"/>
    </row>
    <row r="1043" spans="1:9">
      <c r="D1043" s="992" t="s">
        <v>377</v>
      </c>
      <c r="E1043" s="992"/>
      <c r="F1043" s="992"/>
    </row>
    <row r="1044" spans="1:9" ht="81" customHeight="1">
      <c r="D1044" s="923" t="str">
        <f>IF('Huong dan'!$E$5="","",'Huong dan'!$E$5)</f>
        <v/>
      </c>
      <c r="E1044" s="923"/>
      <c r="F1044" s="923"/>
    </row>
    <row r="1045" spans="1:9">
      <c r="A1045" s="811"/>
      <c r="B1045" s="711">
        <f>IF(B1016="","",IF(B1016&lt;MAX(NXetHKI!$B$3:$B$57),B1016+1,""))</f>
        <v>36</v>
      </c>
      <c r="C1045" s="811"/>
      <c r="D1045" s="1157"/>
      <c r="E1045" s="1157"/>
      <c r="F1045" s="1157"/>
    </row>
    <row r="1046" spans="1:9" s="60" customFormat="1" ht="24.75" customHeight="1">
      <c r="A1046" s="1128" t="str">
        <f>IF('Huong dan'!$E$3&lt;&gt;"","SỞ GIÁO DỤC VÀ ĐÀO TẠO "&amp;UPPER('Huong dan'!$E$3),"")</f>
        <v>SỞ GIÁO DỤC VÀ ĐÀO TẠO TP. HỒ CHÍ MINH</v>
      </c>
      <c r="B1046" s="1128"/>
      <c r="C1046" s="1128"/>
      <c r="D1046" s="1128"/>
      <c r="E1046" s="1129" t="s">
        <v>19</v>
      </c>
      <c r="F1046" s="1129"/>
    </row>
    <row r="1047" spans="1:9" ht="17.25" customHeight="1">
      <c r="A1047" s="992" t="str">
        <f>IF('Huong dan'!$E$4&lt;&gt;"","TRƯỜNG "&amp;UPPER('Huong dan'!$E$4),"")</f>
        <v>TRƯỜNG THCS VÀ THPT NGUYỄN KHUYẾN</v>
      </c>
      <c r="B1047" s="992"/>
      <c r="C1047" s="992"/>
      <c r="D1047" s="992"/>
      <c r="E1047" s="1130" t="s">
        <v>179</v>
      </c>
      <c r="F1047" s="1130"/>
    </row>
    <row r="1048" spans="1:9" ht="20.25" customHeight="1">
      <c r="A1048" s="69"/>
      <c r="B1048" s="69"/>
      <c r="C1048" s="30"/>
      <c r="D1048" s="30"/>
    </row>
    <row r="1049" spans="1:9" ht="28.5" customHeight="1">
      <c r="A1049" s="1164" t="s">
        <v>567</v>
      </c>
      <c r="B1049" s="1164"/>
      <c r="C1049" s="1164"/>
      <c r="D1049" s="1164"/>
      <c r="E1049" s="1164"/>
      <c r="F1049" s="1164"/>
    </row>
    <row r="1050" spans="1:9" ht="24.75" customHeight="1">
      <c r="A1050" s="1164" t="str">
        <f>"HỌC KỲ I NĂM HỌC "&amp;'Huong dan'!$C$5</f>
        <v>HỌC KỲ I NĂM HỌC 2021 - 2022</v>
      </c>
      <c r="B1050" s="1164"/>
      <c r="C1050" s="1164"/>
      <c r="D1050" s="1164"/>
      <c r="E1050" s="1164"/>
      <c r="F1050" s="1164"/>
    </row>
    <row r="1051" spans="1:9" ht="14.25" customHeight="1">
      <c r="A1051" s="70"/>
      <c r="B1051" s="66"/>
      <c r="C1051" s="66"/>
      <c r="D1051" s="66"/>
      <c r="E1051" s="66"/>
      <c r="F1051" s="66"/>
    </row>
    <row r="1052" spans="1:9" ht="18.75" customHeight="1">
      <c r="A1052" s="1158" t="s">
        <v>212</v>
      </c>
      <c r="B1052" s="1158"/>
      <c r="C1052" s="1158"/>
      <c r="D1052" s="77" t="str">
        <f>IF(B1074="","",INDEX(NXetHKI!$B$3:$CL$57,MATCH(InNXKI!B1074,NXetHKI!$B$3:$B$57,0),3)&amp;" "&amp;INDEX(NXetHKI!$B$3:$CL$57,MATCH(InNXKI!B1074,NXetHKI!$B$3:$B$57,0),4))</f>
        <v/>
      </c>
      <c r="E1052" s="77"/>
      <c r="F1052" s="77" t="str">
        <f>IF('Huong dan'!$C$3="","","Lớp: "&amp;'Huong dan'!$C$3)</f>
        <v>Lớp: 12A1</v>
      </c>
    </row>
    <row r="1053" spans="1:9" ht="18.75" customHeight="1">
      <c r="A1053" s="1158" t="s">
        <v>213</v>
      </c>
      <c r="B1053" s="1158"/>
      <c r="C1053" s="1158"/>
      <c r="D1053" s="77" t="str">
        <f>INDEX(NXetHKI!$B$3:$CL$57,MATCH(InNXKI!B1074,NXetHKI!$B$3:$B$57,0),5)</f>
        <v/>
      </c>
      <c r="E1053" s="77"/>
      <c r="F1053" s="841" t="str">
        <f>IF(B1074="","","Nơi sinh: "&amp;INDEX(DiemHKI!$G$4:$G$58,MATCH(InNXKI!B1074,DiemHKI!$B$4:$B$58,0),1))</f>
        <v/>
      </c>
    </row>
    <row r="1054" spans="1:9" ht="9.75" customHeight="1">
      <c r="A1054" s="62"/>
      <c r="B1054" s="62"/>
      <c r="C1054" s="62"/>
      <c r="D1054" s="62"/>
      <c r="E1054" s="62"/>
      <c r="F1054" s="62"/>
    </row>
    <row r="1055" spans="1:9" ht="34.5" customHeight="1">
      <c r="A1055" s="801" t="s">
        <v>0</v>
      </c>
      <c r="B1055" s="801" t="s">
        <v>59</v>
      </c>
      <c r="C1055" s="806" t="s">
        <v>360</v>
      </c>
      <c r="D1055" s="1159" t="s">
        <v>568</v>
      </c>
      <c r="E1055" s="1160"/>
      <c r="F1055" s="802" t="s">
        <v>569</v>
      </c>
    </row>
    <row r="1056" spans="1:9" ht="32.25" customHeight="1">
      <c r="A1056" s="803" t="s">
        <v>191</v>
      </c>
      <c r="B1056" s="804" t="s">
        <v>26</v>
      </c>
      <c r="C1056" s="805" t="str">
        <f>IF(B1074="","",INDEX(NXetHKI!$B$3:$CL$57,MATCH(InNXKI!B1074,NXetHKI!$B$3:$B$57,0),INDEX($J$12:$K$25,MATCH($B1056,$I$12:$I$25,0),J$11)))</f>
        <v/>
      </c>
      <c r="D1056" s="1161" t="str">
        <f>IF(B1074="","",INDEX(NXetHKI!$B$3:$CL$57,MATCH(InNXKI!B1074,NXetHKI!$B$3:$B$57,0),INDEX($J$12:$K$25,MATCH($B1056,$I$12:$I$25,0),K$11)))</f>
        <v/>
      </c>
      <c r="E1056" s="1162"/>
      <c r="F1056" s="805"/>
      <c r="H1056" s="64"/>
      <c r="I1056" s="64"/>
    </row>
    <row r="1057" spans="1:9" ht="32.25" customHeight="1">
      <c r="A1057" s="803" t="s">
        <v>192</v>
      </c>
      <c r="B1057" s="804" t="s">
        <v>27</v>
      </c>
      <c r="C1057" s="805" t="str">
        <f>IF(B1074="","",INDEX(NXetHKI!$B$3:$CL$57,MATCH(InNXKI!B1074,NXetHKI!$B$3:$B$57,0),INDEX($J$12:$K$25,MATCH($B1057,$I$12:$I$25,0),J$11)))</f>
        <v/>
      </c>
      <c r="D1057" s="1161" t="str">
        <f>IF(B1074="","",INDEX(NXetHKI!$B$3:$CL$57,MATCH(InNXKI!B1074,NXetHKI!$B$3:$B$57,0),INDEX($J$12:$K$25,MATCH($B1057,$I$12:$I$25,0),K$11)))</f>
        <v/>
      </c>
      <c r="E1057" s="1162"/>
      <c r="F1057" s="805"/>
      <c r="H1057" s="64"/>
      <c r="I1057" s="64"/>
    </row>
    <row r="1058" spans="1:9" ht="32.25" customHeight="1">
      <c r="A1058" s="803" t="s">
        <v>193</v>
      </c>
      <c r="B1058" s="804" t="s">
        <v>28</v>
      </c>
      <c r="C1058" s="805" t="str">
        <f>IF(B1074="","",INDEX(NXetHKI!$B$3:$CL$57,MATCH(InNXKI!B1074,NXetHKI!$B$3:$B$57,0),INDEX($J$12:$K$25,MATCH($B1058,$I$12:$I$25,0),J$11)))</f>
        <v/>
      </c>
      <c r="D1058" s="1161" t="str">
        <f>IF(B1074="","",INDEX(NXetHKI!$B$3:$CL$57,MATCH(InNXKI!B1074,NXetHKI!$B$3:$B$57,0),INDEX($J$12:$K$25,MATCH($B1058,$I$12:$I$25,0),K$11)))</f>
        <v/>
      </c>
      <c r="E1058" s="1162"/>
      <c r="F1058" s="805"/>
      <c r="H1058" s="64"/>
      <c r="I1058" s="64"/>
    </row>
    <row r="1059" spans="1:9" ht="32.25" customHeight="1">
      <c r="A1059" s="803" t="s">
        <v>194</v>
      </c>
      <c r="B1059" s="804" t="s">
        <v>29</v>
      </c>
      <c r="C1059" s="805" t="str">
        <f>IF(B1074="","",INDEX(NXetHKI!$B$3:$CL$57,MATCH(InNXKI!B1074,NXetHKI!$B$3:$B$57,0),INDEX($J$12:$K$25,MATCH($B1059,$I$12:$I$25,0),J$11)))</f>
        <v/>
      </c>
      <c r="D1059" s="1161" t="str">
        <f>IF(B1074="","",INDEX(NXetHKI!$B$3:$CL$57,MATCH(InNXKI!B1074,NXetHKI!$B$3:$B$57,0),INDEX($J$12:$K$25,MATCH($B1059,$I$12:$I$25,0),K$11)))</f>
        <v/>
      </c>
      <c r="E1059" s="1162"/>
      <c r="F1059" s="805"/>
      <c r="H1059" s="64"/>
      <c r="I1059" s="64"/>
    </row>
    <row r="1060" spans="1:9" ht="32.25" customHeight="1">
      <c r="A1060" s="803" t="s">
        <v>195</v>
      </c>
      <c r="B1060" s="804" t="s">
        <v>120</v>
      </c>
      <c r="C1060" s="805" t="str">
        <f>IF(B1074="","",INDEX(NXetHKI!$B$3:$CL$57,MATCH(InNXKI!B1074,NXetHKI!$B$3:$B$57,0),INDEX($J$12:$K$25,MATCH($B1060,$I$12:$I$25,0),J$11)))</f>
        <v/>
      </c>
      <c r="D1060" s="1161" t="str">
        <f>IF(B1074="","",INDEX(NXetHKI!$B$3:$CL$57,MATCH(InNXKI!B1074,NXetHKI!$B$3:$B$57,0),INDEX($J$12:$K$25,MATCH($B1060,$I$12:$I$25,0),K$11)))</f>
        <v/>
      </c>
      <c r="E1060" s="1162"/>
      <c r="F1060" s="805"/>
      <c r="H1060" s="64"/>
      <c r="I1060" s="64"/>
    </row>
    <row r="1061" spans="1:9" ht="32.25" customHeight="1">
      <c r="A1061" s="803" t="s">
        <v>196</v>
      </c>
      <c r="B1061" s="804" t="s">
        <v>30</v>
      </c>
      <c r="C1061" s="805" t="str">
        <f>IF(B1074="","",INDEX(NXetHKI!$B$3:$CL$57,MATCH(InNXKI!B1074,NXetHKI!$B$3:$B$57,0),INDEX($J$12:$K$25,MATCH($B1061,$I$12:$I$25,0),J$11)))</f>
        <v/>
      </c>
      <c r="D1061" s="1161" t="str">
        <f>IF(B1074="","",INDEX(NXetHKI!$B$3:$CL$57,MATCH(InNXKI!B1074,NXetHKI!$B$3:$B$57,0),INDEX($J$12:$K$25,MATCH($B1061,$I$12:$I$25,0),K$11)))</f>
        <v/>
      </c>
      <c r="E1061" s="1162"/>
      <c r="F1061" s="805"/>
      <c r="H1061" s="64"/>
      <c r="I1061" s="64"/>
    </row>
    <row r="1062" spans="1:9" ht="32.25" customHeight="1">
      <c r="A1062" s="803" t="s">
        <v>197</v>
      </c>
      <c r="B1062" s="804" t="s">
        <v>31</v>
      </c>
      <c r="C1062" s="805" t="str">
        <f>IF(B1074="","",INDEX(NXetHKI!$B$3:$CL$57,MATCH(InNXKI!B1074,NXetHKI!$B$3:$B$57,0),INDEX($J$12:$K$25,MATCH($B1062,$I$12:$I$25,0),J$11)))</f>
        <v/>
      </c>
      <c r="D1062" s="1161" t="str">
        <f>IF(B1074="","",INDEX(NXetHKI!$B$3:$CL$57,MATCH(InNXKI!B1074,NXetHKI!$B$3:$B$57,0),INDEX($J$12:$K$25,MATCH($B1062,$I$12:$I$25,0),K$11)))</f>
        <v/>
      </c>
      <c r="E1062" s="1162"/>
      <c r="F1062" s="805"/>
      <c r="H1062" s="64"/>
      <c r="I1062" s="64"/>
    </row>
    <row r="1063" spans="1:9" ht="32.25" customHeight="1">
      <c r="A1063" s="803" t="s">
        <v>198</v>
      </c>
      <c r="B1063" s="804" t="s">
        <v>32</v>
      </c>
      <c r="C1063" s="805" t="str">
        <f>IF(B1074="","",INDEX(NXetHKI!$B$3:$CL$57,MATCH(InNXKI!B1074,NXetHKI!$B$3:$B$57,0),INDEX($J$12:$K$25,MATCH($B1063,$I$12:$I$25,0),J$11)))</f>
        <v/>
      </c>
      <c r="D1063" s="1161" t="str">
        <f>IF(B1074="","",INDEX(NXetHKI!$B$3:$CL$57,MATCH(InNXKI!B1074,NXetHKI!$B$3:$B$57,0),INDEX($J$12:$K$25,MATCH($B1063,$I$12:$I$25,0),K$11)))</f>
        <v/>
      </c>
      <c r="E1063" s="1162"/>
      <c r="F1063" s="805"/>
      <c r="H1063" s="64"/>
      <c r="I1063" s="64"/>
    </row>
    <row r="1064" spans="1:9" ht="32.25" customHeight="1">
      <c r="A1064" s="803" t="s">
        <v>199</v>
      </c>
      <c r="B1064" s="804" t="s">
        <v>33</v>
      </c>
      <c r="C1064" s="805" t="str">
        <f>IF(B1074="","",INDEX(NXetHKI!$B$3:$CL$57,MATCH(InNXKI!B1074,NXetHKI!$B$3:$B$57,0),INDEX($J$12:$K$25,MATCH($B1064,$I$12:$I$25,0),J$11)))</f>
        <v/>
      </c>
      <c r="D1064" s="1161" t="str">
        <f>IF(B1074="","",INDEX(NXetHKI!$B$3:$CL$57,MATCH(InNXKI!B1074,NXetHKI!$B$3:$B$57,0),INDEX($J$12:$K$25,MATCH($B1064,$I$12:$I$25,0),K$11)))</f>
        <v/>
      </c>
      <c r="E1064" s="1162"/>
      <c r="F1064" s="805"/>
      <c r="H1064" s="64"/>
      <c r="I1064" s="64"/>
    </row>
    <row r="1065" spans="1:9" ht="32.25" customHeight="1">
      <c r="A1065" s="803" t="s">
        <v>200</v>
      </c>
      <c r="B1065" s="804" t="s">
        <v>60</v>
      </c>
      <c r="C1065" s="805" t="str">
        <f>IF(B1074="","",INDEX(NXetHKI!$B$3:$CL$57,MATCH(InNXKI!B1074,NXetHKI!$B$3:$B$57,0),INDEX($J$12:$K$25,MATCH($B1065,$I$12:$I$25,0),J$11)))</f>
        <v/>
      </c>
      <c r="D1065" s="1161" t="str">
        <f>IF(B1074="","",INDEX(NXetHKI!$B$3:$CL$57,MATCH(InNXKI!B1074,NXetHKI!$B$3:$B$57,0),INDEX($J$12:$K$25,MATCH($B1065,$I$12:$I$25,0),K$11)))</f>
        <v/>
      </c>
      <c r="E1065" s="1162"/>
      <c r="F1065" s="805"/>
      <c r="H1065" s="64"/>
      <c r="I1065" s="64"/>
    </row>
    <row r="1066" spans="1:9" ht="32.25" customHeight="1">
      <c r="A1066" s="803" t="s">
        <v>201</v>
      </c>
      <c r="B1066" s="804" t="s">
        <v>34</v>
      </c>
      <c r="C1066" s="805" t="str">
        <f>IF(B1074="","",INDEX(NXetHKI!$B$3:$CL$57,MATCH(InNXKI!B1074,NXetHKI!$B$3:$B$57,0),INDEX($J$12:$K$25,MATCH($B1066,$I$12:$I$25,0),J$11)))</f>
        <v/>
      </c>
      <c r="D1066" s="1161" t="str">
        <f>IF(B1074="","",INDEX(NXetHKI!$B$3:$CL$57,MATCH(InNXKI!B1074,NXetHKI!$B$3:$B$57,0),INDEX($J$12:$K$25,MATCH($B1066,$I$12:$I$25,0),K$11)))</f>
        <v/>
      </c>
      <c r="E1066" s="1162"/>
      <c r="F1066" s="805"/>
      <c r="H1066" s="64"/>
      <c r="I1066" s="64"/>
    </row>
    <row r="1067" spans="1:9" ht="32.25" customHeight="1">
      <c r="A1067" s="803" t="s">
        <v>202</v>
      </c>
      <c r="B1067" s="804" t="s">
        <v>35</v>
      </c>
      <c r="C1067" s="805" t="str">
        <f>IF(B1074="","",INDEX(NXetHKI!$B$3:$CL$57,MATCH(InNXKI!B1074,NXetHKI!$B$3:$B$57,0),INDEX($J$12:$K$25,MATCH($B1067,$I$12:$I$25,0),J$11)))</f>
        <v/>
      </c>
      <c r="D1067" s="1161" t="str">
        <f>IF(B1074="","",INDEX(NXetHKI!$B$3:$CL$57,MATCH(InNXKI!B1074,NXetHKI!$B$3:$B$57,0),INDEX($J$12:$K$25,MATCH($B1067,$I$12:$I$25,0),K$11)))</f>
        <v/>
      </c>
      <c r="E1067" s="1162"/>
      <c r="F1067" s="805"/>
      <c r="H1067" s="64"/>
      <c r="I1067" s="64"/>
    </row>
    <row r="1068" spans="1:9" ht="32.25" customHeight="1">
      <c r="A1068" s="803" t="s">
        <v>203</v>
      </c>
      <c r="B1068" s="804" t="s">
        <v>121</v>
      </c>
      <c r="C1068" s="805" t="str">
        <f>IF(B1074="","",INDEX(NXetHKI!$B$3:$CL$57,MATCH(InNXKI!B1074,NXetHKI!$B$3:$B$57,0),INDEX($J$12:$K$25,MATCH($B1068,$I$12:$I$25,0),J$11)))</f>
        <v/>
      </c>
      <c r="D1068" s="1161" t="str">
        <f>IF(B1074="","",INDEX(NXetHKI!$B$3:$CL$57,MATCH(InNXKI!B1074,NXetHKI!$B$3:$B$57,0),INDEX($J$12:$K$25,MATCH($B1068,$I$12:$I$25,0),K$11)))</f>
        <v/>
      </c>
      <c r="E1068" s="1162"/>
      <c r="F1068" s="805"/>
      <c r="H1068" s="64"/>
      <c r="I1068" s="64"/>
    </row>
    <row r="1069" spans="1:9" ht="32.25" customHeight="1">
      <c r="A1069" s="803">
        <v>14</v>
      </c>
      <c r="B1069" s="804" t="s">
        <v>122</v>
      </c>
      <c r="C1069" s="805" t="str">
        <f>IF(B1074="","",INDEX(NXetHKI!$B$3:$CL$57,MATCH(InNXKI!B1074,NXetHKI!$B$3:$B$57,0),INDEX($J$12:$K$25,MATCH($B1069,$I$12:$I$25,0),J$11)))</f>
        <v/>
      </c>
      <c r="D1069" s="1161" t="str">
        <f>IF(B1074="","",INDEX(NXetHKI!$B$3:$CL$57,MATCH(InNXKI!B1074,NXetHKI!$B$3:$B$57,0),INDEX($J$12:$K$25,MATCH($B1069,$I$12:$I$25,0),K$11)))</f>
        <v/>
      </c>
      <c r="E1069" s="1162"/>
      <c r="F1069" s="805"/>
      <c r="H1069" s="64"/>
    </row>
    <row r="1070" spans="1:9" ht="12" customHeight="1"/>
    <row r="1071" spans="1:9" ht="21.75" customHeight="1">
      <c r="D1071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071" s="1163"/>
      <c r="F1071" s="1163"/>
    </row>
    <row r="1072" spans="1:9">
      <c r="D1072" s="992" t="s">
        <v>377</v>
      </c>
      <c r="E1072" s="992"/>
      <c r="F1072" s="992"/>
    </row>
    <row r="1073" spans="1:9" ht="81" customHeight="1">
      <c r="D1073" s="923" t="str">
        <f>IF('Huong dan'!$E$5="","",'Huong dan'!$E$5)</f>
        <v/>
      </c>
      <c r="E1073" s="923"/>
      <c r="F1073" s="923"/>
    </row>
    <row r="1074" spans="1:9">
      <c r="A1074" s="811"/>
      <c r="B1074" s="711" t="str">
        <f>IF(B1045="","",IF(B1045&lt;MAX(NXetHKI!$B$3:$B$57),B1045+1,""))</f>
        <v/>
      </c>
      <c r="C1074" s="811"/>
      <c r="D1074" s="1157"/>
      <c r="E1074" s="1157"/>
      <c r="F1074" s="1157"/>
    </row>
    <row r="1075" spans="1:9" s="60" customFormat="1" ht="24.75" customHeight="1">
      <c r="A1075" s="1128" t="str">
        <f>IF('Huong dan'!$E$3&lt;&gt;"","SỞ GIÁO DỤC VÀ ĐÀO TẠO "&amp;UPPER('Huong dan'!$E$3),"")</f>
        <v>SỞ GIÁO DỤC VÀ ĐÀO TẠO TP. HỒ CHÍ MINH</v>
      </c>
      <c r="B1075" s="1128"/>
      <c r="C1075" s="1128"/>
      <c r="D1075" s="1128"/>
      <c r="E1075" s="1129" t="s">
        <v>19</v>
      </c>
      <c r="F1075" s="1129"/>
    </row>
    <row r="1076" spans="1:9" ht="17.25" customHeight="1">
      <c r="A1076" s="992" t="str">
        <f>IF('Huong dan'!$E$4&lt;&gt;"","TRƯỜNG "&amp;UPPER('Huong dan'!$E$4),"")</f>
        <v>TRƯỜNG THCS VÀ THPT NGUYỄN KHUYẾN</v>
      </c>
      <c r="B1076" s="992"/>
      <c r="C1076" s="992"/>
      <c r="D1076" s="992"/>
      <c r="E1076" s="1130" t="s">
        <v>179</v>
      </c>
      <c r="F1076" s="1130"/>
    </row>
    <row r="1077" spans="1:9" ht="20.25" customHeight="1">
      <c r="A1077" s="69"/>
      <c r="B1077" s="69"/>
      <c r="C1077" s="30"/>
      <c r="D1077" s="30"/>
    </row>
    <row r="1078" spans="1:9" ht="28.5" customHeight="1">
      <c r="A1078" s="1164" t="s">
        <v>567</v>
      </c>
      <c r="B1078" s="1164"/>
      <c r="C1078" s="1164"/>
      <c r="D1078" s="1164"/>
      <c r="E1078" s="1164"/>
      <c r="F1078" s="1164"/>
    </row>
    <row r="1079" spans="1:9" ht="24.75" customHeight="1">
      <c r="A1079" s="1164" t="str">
        <f>"HỌC KỲ I NĂM HỌC "&amp;'Huong dan'!$C$5</f>
        <v>HỌC KỲ I NĂM HỌC 2021 - 2022</v>
      </c>
      <c r="B1079" s="1164"/>
      <c r="C1079" s="1164"/>
      <c r="D1079" s="1164"/>
      <c r="E1079" s="1164"/>
      <c r="F1079" s="1164"/>
    </row>
    <row r="1080" spans="1:9" ht="14.25" customHeight="1">
      <c r="A1080" s="70"/>
      <c r="B1080" s="66"/>
      <c r="C1080" s="66"/>
      <c r="D1080" s="66"/>
      <c r="E1080" s="66"/>
      <c r="F1080" s="66"/>
    </row>
    <row r="1081" spans="1:9" ht="18.75" customHeight="1">
      <c r="A1081" s="1158" t="s">
        <v>212</v>
      </c>
      <c r="B1081" s="1158"/>
      <c r="C1081" s="1158"/>
      <c r="D1081" s="77" t="str">
        <f>IF(B1103="","",INDEX(NXetHKI!$B$3:$CL$57,MATCH(InNXKI!B1103,NXetHKI!$B$3:$B$57,0),3)&amp;" "&amp;INDEX(NXetHKI!$B$3:$CL$57,MATCH(InNXKI!B1103,NXetHKI!$B$3:$B$57,0),4))</f>
        <v/>
      </c>
      <c r="E1081" s="77"/>
      <c r="F1081" s="77" t="str">
        <f>IF('Huong dan'!$C$3="","","Lớp: "&amp;'Huong dan'!$C$3)</f>
        <v>Lớp: 12A1</v>
      </c>
    </row>
    <row r="1082" spans="1:9" ht="18.75" customHeight="1">
      <c r="A1082" s="1158" t="s">
        <v>213</v>
      </c>
      <c r="B1082" s="1158"/>
      <c r="C1082" s="1158"/>
      <c r="D1082" s="77" t="str">
        <f>INDEX(NXetHKI!$B$3:$CL$57,MATCH(InNXKI!B1103,NXetHKI!$B$3:$B$57,0),5)</f>
        <v/>
      </c>
      <c r="E1082" s="77"/>
      <c r="F1082" s="841" t="str">
        <f>IF(B1103="","","Nơi sinh: "&amp;INDEX(DiemHKI!$G$4:$G$58,MATCH(InNXKI!B1103,DiemHKI!$B$4:$B$58,0),1))</f>
        <v/>
      </c>
    </row>
    <row r="1083" spans="1:9" ht="9.75" customHeight="1">
      <c r="A1083" s="62"/>
      <c r="B1083" s="62"/>
      <c r="C1083" s="62"/>
      <c r="D1083" s="62"/>
      <c r="E1083" s="62"/>
      <c r="F1083" s="62"/>
    </row>
    <row r="1084" spans="1:9" ht="34.5" customHeight="1">
      <c r="A1084" s="801" t="s">
        <v>0</v>
      </c>
      <c r="B1084" s="801" t="s">
        <v>59</v>
      </c>
      <c r="C1084" s="806" t="s">
        <v>360</v>
      </c>
      <c r="D1084" s="1159" t="s">
        <v>568</v>
      </c>
      <c r="E1084" s="1160"/>
      <c r="F1084" s="802" t="s">
        <v>569</v>
      </c>
    </row>
    <row r="1085" spans="1:9" ht="32.25" customHeight="1">
      <c r="A1085" s="803" t="s">
        <v>191</v>
      </c>
      <c r="B1085" s="804" t="s">
        <v>26</v>
      </c>
      <c r="C1085" s="805" t="str">
        <f>IF(B1103="","",INDEX(NXetHKI!$B$3:$CL$57,MATCH(InNXKI!B1103,NXetHKI!$B$3:$B$57,0),INDEX($J$12:$K$25,MATCH($B1085,$I$12:$I$25,0),J$11)))</f>
        <v/>
      </c>
      <c r="D1085" s="1161" t="str">
        <f>IF(B1103="","",INDEX(NXetHKI!$B$3:$CL$57,MATCH(InNXKI!B1103,NXetHKI!$B$3:$B$57,0),INDEX($J$12:$K$25,MATCH($B1085,$I$12:$I$25,0),K$11)))</f>
        <v/>
      </c>
      <c r="E1085" s="1162"/>
      <c r="F1085" s="805"/>
      <c r="H1085" s="64"/>
      <c r="I1085" s="64"/>
    </row>
    <row r="1086" spans="1:9" ht="32.25" customHeight="1">
      <c r="A1086" s="803" t="s">
        <v>192</v>
      </c>
      <c r="B1086" s="804" t="s">
        <v>27</v>
      </c>
      <c r="C1086" s="805" t="str">
        <f>IF(B1103="","",INDEX(NXetHKI!$B$3:$CL$57,MATCH(InNXKI!B1103,NXetHKI!$B$3:$B$57,0),INDEX($J$12:$K$25,MATCH($B1086,$I$12:$I$25,0),J$11)))</f>
        <v/>
      </c>
      <c r="D1086" s="1161" t="str">
        <f>IF(B1103="","",INDEX(NXetHKI!$B$3:$CL$57,MATCH(InNXKI!B1103,NXetHKI!$B$3:$B$57,0),INDEX($J$12:$K$25,MATCH($B1086,$I$12:$I$25,0),K$11)))</f>
        <v/>
      </c>
      <c r="E1086" s="1162"/>
      <c r="F1086" s="805"/>
      <c r="H1086" s="64"/>
      <c r="I1086" s="64"/>
    </row>
    <row r="1087" spans="1:9" ht="32.25" customHeight="1">
      <c r="A1087" s="803" t="s">
        <v>193</v>
      </c>
      <c r="B1087" s="804" t="s">
        <v>28</v>
      </c>
      <c r="C1087" s="805" t="str">
        <f>IF(B1103="","",INDEX(NXetHKI!$B$3:$CL$57,MATCH(InNXKI!B1103,NXetHKI!$B$3:$B$57,0),INDEX($J$12:$K$25,MATCH($B1087,$I$12:$I$25,0),J$11)))</f>
        <v/>
      </c>
      <c r="D1087" s="1161" t="str">
        <f>IF(B1103="","",INDEX(NXetHKI!$B$3:$CL$57,MATCH(InNXKI!B1103,NXetHKI!$B$3:$B$57,0),INDEX($J$12:$K$25,MATCH($B1087,$I$12:$I$25,0),K$11)))</f>
        <v/>
      </c>
      <c r="E1087" s="1162"/>
      <c r="F1087" s="805"/>
      <c r="H1087" s="64"/>
      <c r="I1087" s="64"/>
    </row>
    <row r="1088" spans="1:9" ht="32.25" customHeight="1">
      <c r="A1088" s="803" t="s">
        <v>194</v>
      </c>
      <c r="B1088" s="804" t="s">
        <v>29</v>
      </c>
      <c r="C1088" s="805" t="str">
        <f>IF(B1103="","",INDEX(NXetHKI!$B$3:$CL$57,MATCH(InNXKI!B1103,NXetHKI!$B$3:$B$57,0),INDEX($J$12:$K$25,MATCH($B1088,$I$12:$I$25,0),J$11)))</f>
        <v/>
      </c>
      <c r="D1088" s="1161" t="str">
        <f>IF(B1103="","",INDEX(NXetHKI!$B$3:$CL$57,MATCH(InNXKI!B1103,NXetHKI!$B$3:$B$57,0),INDEX($J$12:$K$25,MATCH($B1088,$I$12:$I$25,0),K$11)))</f>
        <v/>
      </c>
      <c r="E1088" s="1162"/>
      <c r="F1088" s="805"/>
      <c r="H1088" s="64"/>
      <c r="I1088" s="64"/>
    </row>
    <row r="1089" spans="1:9" ht="32.25" customHeight="1">
      <c r="A1089" s="803" t="s">
        <v>195</v>
      </c>
      <c r="B1089" s="804" t="s">
        <v>120</v>
      </c>
      <c r="C1089" s="805" t="str">
        <f>IF(B1103="","",INDEX(NXetHKI!$B$3:$CL$57,MATCH(InNXKI!B1103,NXetHKI!$B$3:$B$57,0),INDEX($J$12:$K$25,MATCH($B1089,$I$12:$I$25,0),J$11)))</f>
        <v/>
      </c>
      <c r="D1089" s="1161" t="str">
        <f>IF(B1103="","",INDEX(NXetHKI!$B$3:$CL$57,MATCH(InNXKI!B1103,NXetHKI!$B$3:$B$57,0),INDEX($J$12:$K$25,MATCH($B1089,$I$12:$I$25,0),K$11)))</f>
        <v/>
      </c>
      <c r="E1089" s="1162"/>
      <c r="F1089" s="805"/>
      <c r="H1089" s="64"/>
      <c r="I1089" s="64"/>
    </row>
    <row r="1090" spans="1:9" ht="32.25" customHeight="1">
      <c r="A1090" s="803" t="s">
        <v>196</v>
      </c>
      <c r="B1090" s="804" t="s">
        <v>30</v>
      </c>
      <c r="C1090" s="805" t="str">
        <f>IF(B1103="","",INDEX(NXetHKI!$B$3:$CL$57,MATCH(InNXKI!B1103,NXetHKI!$B$3:$B$57,0),INDEX($J$12:$K$25,MATCH($B1090,$I$12:$I$25,0),J$11)))</f>
        <v/>
      </c>
      <c r="D1090" s="1161" t="str">
        <f>IF(B1103="","",INDEX(NXetHKI!$B$3:$CL$57,MATCH(InNXKI!B1103,NXetHKI!$B$3:$B$57,0),INDEX($J$12:$K$25,MATCH($B1090,$I$12:$I$25,0),K$11)))</f>
        <v/>
      </c>
      <c r="E1090" s="1162"/>
      <c r="F1090" s="805"/>
      <c r="H1090" s="64"/>
      <c r="I1090" s="64"/>
    </row>
    <row r="1091" spans="1:9" ht="32.25" customHeight="1">
      <c r="A1091" s="803" t="s">
        <v>197</v>
      </c>
      <c r="B1091" s="804" t="s">
        <v>31</v>
      </c>
      <c r="C1091" s="805" t="str">
        <f>IF(B1103="","",INDEX(NXetHKI!$B$3:$CL$57,MATCH(InNXKI!B1103,NXetHKI!$B$3:$B$57,0),INDEX($J$12:$K$25,MATCH($B1091,$I$12:$I$25,0),J$11)))</f>
        <v/>
      </c>
      <c r="D1091" s="1161" t="str">
        <f>IF(B1103="","",INDEX(NXetHKI!$B$3:$CL$57,MATCH(InNXKI!B1103,NXetHKI!$B$3:$B$57,0),INDEX($J$12:$K$25,MATCH($B1091,$I$12:$I$25,0),K$11)))</f>
        <v/>
      </c>
      <c r="E1091" s="1162"/>
      <c r="F1091" s="805"/>
      <c r="H1091" s="64"/>
      <c r="I1091" s="64"/>
    </row>
    <row r="1092" spans="1:9" ht="32.25" customHeight="1">
      <c r="A1092" s="803" t="s">
        <v>198</v>
      </c>
      <c r="B1092" s="804" t="s">
        <v>32</v>
      </c>
      <c r="C1092" s="805" t="str">
        <f>IF(B1103="","",INDEX(NXetHKI!$B$3:$CL$57,MATCH(InNXKI!B1103,NXetHKI!$B$3:$B$57,0),INDEX($J$12:$K$25,MATCH($B1092,$I$12:$I$25,0),J$11)))</f>
        <v/>
      </c>
      <c r="D1092" s="1161" t="str">
        <f>IF(B1103="","",INDEX(NXetHKI!$B$3:$CL$57,MATCH(InNXKI!B1103,NXetHKI!$B$3:$B$57,0),INDEX($J$12:$K$25,MATCH($B1092,$I$12:$I$25,0),K$11)))</f>
        <v/>
      </c>
      <c r="E1092" s="1162"/>
      <c r="F1092" s="805"/>
      <c r="H1092" s="64"/>
      <c r="I1092" s="64"/>
    </row>
    <row r="1093" spans="1:9" ht="32.25" customHeight="1">
      <c r="A1093" s="803" t="s">
        <v>199</v>
      </c>
      <c r="B1093" s="804" t="s">
        <v>33</v>
      </c>
      <c r="C1093" s="805" t="str">
        <f>IF(B1103="","",INDEX(NXetHKI!$B$3:$CL$57,MATCH(InNXKI!B1103,NXetHKI!$B$3:$B$57,0),INDEX($J$12:$K$25,MATCH($B1093,$I$12:$I$25,0),J$11)))</f>
        <v/>
      </c>
      <c r="D1093" s="1161" t="str">
        <f>IF(B1103="","",INDEX(NXetHKI!$B$3:$CL$57,MATCH(InNXKI!B1103,NXetHKI!$B$3:$B$57,0),INDEX($J$12:$K$25,MATCH($B1093,$I$12:$I$25,0),K$11)))</f>
        <v/>
      </c>
      <c r="E1093" s="1162"/>
      <c r="F1093" s="805"/>
      <c r="H1093" s="64"/>
      <c r="I1093" s="64"/>
    </row>
    <row r="1094" spans="1:9" ht="32.25" customHeight="1">
      <c r="A1094" s="803" t="s">
        <v>200</v>
      </c>
      <c r="B1094" s="804" t="s">
        <v>60</v>
      </c>
      <c r="C1094" s="805" t="str">
        <f>IF(B1103="","",INDEX(NXetHKI!$B$3:$CL$57,MATCH(InNXKI!B1103,NXetHKI!$B$3:$B$57,0),INDEX($J$12:$K$25,MATCH($B1094,$I$12:$I$25,0),J$11)))</f>
        <v/>
      </c>
      <c r="D1094" s="1161" t="str">
        <f>IF(B1103="","",INDEX(NXetHKI!$B$3:$CL$57,MATCH(InNXKI!B1103,NXetHKI!$B$3:$B$57,0),INDEX($J$12:$K$25,MATCH($B1094,$I$12:$I$25,0),K$11)))</f>
        <v/>
      </c>
      <c r="E1094" s="1162"/>
      <c r="F1094" s="805"/>
      <c r="H1094" s="64"/>
      <c r="I1094" s="64"/>
    </row>
    <row r="1095" spans="1:9" ht="32.25" customHeight="1">
      <c r="A1095" s="803" t="s">
        <v>201</v>
      </c>
      <c r="B1095" s="804" t="s">
        <v>34</v>
      </c>
      <c r="C1095" s="805" t="str">
        <f>IF(B1103="","",INDEX(NXetHKI!$B$3:$CL$57,MATCH(InNXKI!B1103,NXetHKI!$B$3:$B$57,0),INDEX($J$12:$K$25,MATCH($B1095,$I$12:$I$25,0),J$11)))</f>
        <v/>
      </c>
      <c r="D1095" s="1161" t="str">
        <f>IF(B1103="","",INDEX(NXetHKI!$B$3:$CL$57,MATCH(InNXKI!B1103,NXetHKI!$B$3:$B$57,0),INDEX($J$12:$K$25,MATCH($B1095,$I$12:$I$25,0),K$11)))</f>
        <v/>
      </c>
      <c r="E1095" s="1162"/>
      <c r="F1095" s="805"/>
      <c r="H1095" s="64"/>
      <c r="I1095" s="64"/>
    </row>
    <row r="1096" spans="1:9" ht="32.25" customHeight="1">
      <c r="A1096" s="803" t="s">
        <v>202</v>
      </c>
      <c r="B1096" s="804" t="s">
        <v>35</v>
      </c>
      <c r="C1096" s="805" t="str">
        <f>IF(B1103="","",INDEX(NXetHKI!$B$3:$CL$57,MATCH(InNXKI!B1103,NXetHKI!$B$3:$B$57,0),INDEX($J$12:$K$25,MATCH($B1096,$I$12:$I$25,0),J$11)))</f>
        <v/>
      </c>
      <c r="D1096" s="1161" t="str">
        <f>IF(B1103="","",INDEX(NXetHKI!$B$3:$CL$57,MATCH(InNXKI!B1103,NXetHKI!$B$3:$B$57,0),INDEX($J$12:$K$25,MATCH($B1096,$I$12:$I$25,0),K$11)))</f>
        <v/>
      </c>
      <c r="E1096" s="1162"/>
      <c r="F1096" s="805"/>
      <c r="H1096" s="64"/>
      <c r="I1096" s="64"/>
    </row>
    <row r="1097" spans="1:9" ht="32.25" customHeight="1">
      <c r="A1097" s="803" t="s">
        <v>203</v>
      </c>
      <c r="B1097" s="804" t="s">
        <v>121</v>
      </c>
      <c r="C1097" s="805" t="str">
        <f>IF(B1103="","",INDEX(NXetHKI!$B$3:$CL$57,MATCH(InNXKI!B1103,NXetHKI!$B$3:$B$57,0),INDEX($J$12:$K$25,MATCH($B1097,$I$12:$I$25,0),J$11)))</f>
        <v/>
      </c>
      <c r="D1097" s="1161" t="str">
        <f>IF(B1103="","",INDEX(NXetHKI!$B$3:$CL$57,MATCH(InNXKI!B1103,NXetHKI!$B$3:$B$57,0),INDEX($J$12:$K$25,MATCH($B1097,$I$12:$I$25,0),K$11)))</f>
        <v/>
      </c>
      <c r="E1097" s="1162"/>
      <c r="F1097" s="805"/>
      <c r="H1097" s="64"/>
      <c r="I1097" s="64"/>
    </row>
    <row r="1098" spans="1:9" ht="32.25" customHeight="1">
      <c r="A1098" s="803">
        <v>14</v>
      </c>
      <c r="B1098" s="804" t="s">
        <v>122</v>
      </c>
      <c r="C1098" s="805" t="str">
        <f>IF(B1103="","",INDEX(NXetHKI!$B$3:$CL$57,MATCH(InNXKI!B1103,NXetHKI!$B$3:$B$57,0),INDEX($J$12:$K$25,MATCH($B1098,$I$12:$I$25,0),J$11)))</f>
        <v/>
      </c>
      <c r="D1098" s="1161" t="str">
        <f>IF(B1103="","",INDEX(NXetHKI!$B$3:$CL$57,MATCH(InNXKI!B1103,NXetHKI!$B$3:$B$57,0),INDEX($J$12:$K$25,MATCH($B1098,$I$12:$I$25,0),K$11)))</f>
        <v/>
      </c>
      <c r="E1098" s="1162"/>
      <c r="F1098" s="805"/>
      <c r="H1098" s="64"/>
    </row>
    <row r="1099" spans="1:9" ht="12" customHeight="1"/>
    <row r="1100" spans="1:9" ht="21.75" customHeight="1">
      <c r="D1100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100" s="1163"/>
      <c r="F1100" s="1163"/>
    </row>
    <row r="1101" spans="1:9">
      <c r="D1101" s="992" t="s">
        <v>377</v>
      </c>
      <c r="E1101" s="992"/>
      <c r="F1101" s="992"/>
    </row>
    <row r="1102" spans="1:9" ht="81" customHeight="1">
      <c r="D1102" s="923" t="str">
        <f>IF('Huong dan'!$E$5="","",'Huong dan'!$E$5)</f>
        <v/>
      </c>
      <c r="E1102" s="923"/>
      <c r="F1102" s="923"/>
    </row>
    <row r="1103" spans="1:9">
      <c r="A1103" s="811"/>
      <c r="B1103" s="711" t="str">
        <f>IF(B1074="","",IF(B1074&lt;MAX(NXetHKI!$B$3:$B$57),B1074+1,""))</f>
        <v/>
      </c>
      <c r="C1103" s="811"/>
      <c r="D1103" s="1157"/>
      <c r="E1103" s="1157"/>
      <c r="F1103" s="1157"/>
    </row>
    <row r="1104" spans="1:9" s="60" customFormat="1" ht="24.75" customHeight="1">
      <c r="A1104" s="1128" t="str">
        <f>IF('Huong dan'!$E$3&lt;&gt;"","SỞ GIÁO DỤC VÀ ĐÀO TẠO "&amp;UPPER('Huong dan'!$E$3),"")</f>
        <v>SỞ GIÁO DỤC VÀ ĐÀO TẠO TP. HỒ CHÍ MINH</v>
      </c>
      <c r="B1104" s="1128"/>
      <c r="C1104" s="1128"/>
      <c r="D1104" s="1128"/>
      <c r="E1104" s="1129" t="s">
        <v>19</v>
      </c>
      <c r="F1104" s="1129"/>
    </row>
    <row r="1105" spans="1:9" ht="17.25" customHeight="1">
      <c r="A1105" s="992" t="str">
        <f>IF('Huong dan'!$E$4&lt;&gt;"","TRƯỜNG "&amp;UPPER('Huong dan'!$E$4),"")</f>
        <v>TRƯỜNG THCS VÀ THPT NGUYỄN KHUYẾN</v>
      </c>
      <c r="B1105" s="992"/>
      <c r="C1105" s="992"/>
      <c r="D1105" s="992"/>
      <c r="E1105" s="1130" t="s">
        <v>179</v>
      </c>
      <c r="F1105" s="1130"/>
    </row>
    <row r="1106" spans="1:9" ht="20.25" customHeight="1">
      <c r="A1106" s="69"/>
      <c r="B1106" s="69"/>
      <c r="C1106" s="30"/>
      <c r="D1106" s="30"/>
    </row>
    <row r="1107" spans="1:9" ht="28.5" customHeight="1">
      <c r="A1107" s="1164" t="s">
        <v>567</v>
      </c>
      <c r="B1107" s="1164"/>
      <c r="C1107" s="1164"/>
      <c r="D1107" s="1164"/>
      <c r="E1107" s="1164"/>
      <c r="F1107" s="1164"/>
    </row>
    <row r="1108" spans="1:9" ht="24.75" customHeight="1">
      <c r="A1108" s="1164" t="str">
        <f>"HỌC KỲ I NĂM HỌC "&amp;'Huong dan'!$C$5</f>
        <v>HỌC KỲ I NĂM HỌC 2021 - 2022</v>
      </c>
      <c r="B1108" s="1164"/>
      <c r="C1108" s="1164"/>
      <c r="D1108" s="1164"/>
      <c r="E1108" s="1164"/>
      <c r="F1108" s="1164"/>
    </row>
    <row r="1109" spans="1:9" ht="14.25" customHeight="1">
      <c r="A1109" s="70"/>
      <c r="B1109" s="66"/>
      <c r="C1109" s="66"/>
      <c r="D1109" s="66"/>
      <c r="E1109" s="66"/>
      <c r="F1109" s="66"/>
    </row>
    <row r="1110" spans="1:9" ht="18.75" customHeight="1">
      <c r="A1110" s="1158" t="s">
        <v>212</v>
      </c>
      <c r="B1110" s="1158"/>
      <c r="C1110" s="1158"/>
      <c r="D1110" s="77" t="str">
        <f>IF(B1132="","",INDEX(NXetHKI!$B$3:$CL$57,MATCH(InNXKI!B1132,NXetHKI!$B$3:$B$57,0),3)&amp;" "&amp;INDEX(NXetHKI!$B$3:$CL$57,MATCH(InNXKI!B1132,NXetHKI!$B$3:$B$57,0),4))</f>
        <v/>
      </c>
      <c r="E1110" s="77"/>
      <c r="F1110" s="77" t="str">
        <f>IF('Huong dan'!$C$3="","","Lớp: "&amp;'Huong dan'!$C$3)</f>
        <v>Lớp: 12A1</v>
      </c>
    </row>
    <row r="1111" spans="1:9" ht="18.75" customHeight="1">
      <c r="A1111" s="1158" t="s">
        <v>213</v>
      </c>
      <c r="B1111" s="1158"/>
      <c r="C1111" s="1158"/>
      <c r="D1111" s="77" t="str">
        <f>INDEX(NXetHKI!$B$3:$CL$57,MATCH(InNXKI!B1132,NXetHKI!$B$3:$B$57,0),5)</f>
        <v/>
      </c>
      <c r="E1111" s="77"/>
      <c r="F1111" s="841" t="str">
        <f>IF(B1132="","","Nơi sinh: "&amp;INDEX(DiemHKI!$G$4:$G$58,MATCH(InNXKI!B1132,DiemHKI!$B$4:$B$58,0),1))</f>
        <v/>
      </c>
    </row>
    <row r="1112" spans="1:9" ht="9.75" customHeight="1">
      <c r="A1112" s="62"/>
      <c r="B1112" s="62"/>
      <c r="C1112" s="62"/>
      <c r="D1112" s="62"/>
      <c r="E1112" s="62"/>
      <c r="F1112" s="62"/>
    </row>
    <row r="1113" spans="1:9" ht="34.5" customHeight="1">
      <c r="A1113" s="801" t="s">
        <v>0</v>
      </c>
      <c r="B1113" s="801" t="s">
        <v>59</v>
      </c>
      <c r="C1113" s="806" t="s">
        <v>360</v>
      </c>
      <c r="D1113" s="1159" t="s">
        <v>568</v>
      </c>
      <c r="E1113" s="1160"/>
      <c r="F1113" s="802" t="s">
        <v>569</v>
      </c>
    </row>
    <row r="1114" spans="1:9" ht="32.25" customHeight="1">
      <c r="A1114" s="803" t="s">
        <v>191</v>
      </c>
      <c r="B1114" s="804" t="s">
        <v>26</v>
      </c>
      <c r="C1114" s="805" t="str">
        <f>IF(B1132="","",INDEX(NXetHKI!$B$3:$CL$57,MATCH(InNXKI!B1132,NXetHKI!$B$3:$B$57,0),INDEX($J$12:$K$25,MATCH($B1114,$I$12:$I$25,0),J$11)))</f>
        <v/>
      </c>
      <c r="D1114" s="1161" t="str">
        <f>IF(B1132="","",INDEX(NXetHKI!$B$3:$CL$57,MATCH(InNXKI!B1132,NXetHKI!$B$3:$B$57,0),INDEX($J$12:$K$25,MATCH($B1114,$I$12:$I$25,0),K$11)))</f>
        <v/>
      </c>
      <c r="E1114" s="1162"/>
      <c r="F1114" s="805"/>
      <c r="H1114" s="64"/>
      <c r="I1114" s="64"/>
    </row>
    <row r="1115" spans="1:9" ht="32.25" customHeight="1">
      <c r="A1115" s="803" t="s">
        <v>192</v>
      </c>
      <c r="B1115" s="804" t="s">
        <v>27</v>
      </c>
      <c r="C1115" s="805" t="str">
        <f>IF(B1132="","",INDEX(NXetHKI!$B$3:$CL$57,MATCH(InNXKI!B1132,NXetHKI!$B$3:$B$57,0),INDEX($J$12:$K$25,MATCH($B1115,$I$12:$I$25,0),J$11)))</f>
        <v/>
      </c>
      <c r="D1115" s="1161" t="str">
        <f>IF(B1132="","",INDEX(NXetHKI!$B$3:$CL$57,MATCH(InNXKI!B1132,NXetHKI!$B$3:$B$57,0),INDEX($J$12:$K$25,MATCH($B1115,$I$12:$I$25,0),K$11)))</f>
        <v/>
      </c>
      <c r="E1115" s="1162"/>
      <c r="F1115" s="805"/>
      <c r="H1115" s="64"/>
      <c r="I1115" s="64"/>
    </row>
    <row r="1116" spans="1:9" ht="32.25" customHeight="1">
      <c r="A1116" s="803" t="s">
        <v>193</v>
      </c>
      <c r="B1116" s="804" t="s">
        <v>28</v>
      </c>
      <c r="C1116" s="805" t="str">
        <f>IF(B1132="","",INDEX(NXetHKI!$B$3:$CL$57,MATCH(InNXKI!B1132,NXetHKI!$B$3:$B$57,0),INDEX($J$12:$K$25,MATCH($B1116,$I$12:$I$25,0),J$11)))</f>
        <v/>
      </c>
      <c r="D1116" s="1161" t="str">
        <f>IF(B1132="","",INDEX(NXetHKI!$B$3:$CL$57,MATCH(InNXKI!B1132,NXetHKI!$B$3:$B$57,0),INDEX($J$12:$K$25,MATCH($B1116,$I$12:$I$25,0),K$11)))</f>
        <v/>
      </c>
      <c r="E1116" s="1162"/>
      <c r="F1116" s="805"/>
      <c r="H1116" s="64"/>
      <c r="I1116" s="64"/>
    </row>
    <row r="1117" spans="1:9" ht="32.25" customHeight="1">
      <c r="A1117" s="803" t="s">
        <v>194</v>
      </c>
      <c r="B1117" s="804" t="s">
        <v>29</v>
      </c>
      <c r="C1117" s="805" t="str">
        <f>IF(B1132="","",INDEX(NXetHKI!$B$3:$CL$57,MATCH(InNXKI!B1132,NXetHKI!$B$3:$B$57,0),INDEX($J$12:$K$25,MATCH($B1117,$I$12:$I$25,0),J$11)))</f>
        <v/>
      </c>
      <c r="D1117" s="1161" t="str">
        <f>IF(B1132="","",INDEX(NXetHKI!$B$3:$CL$57,MATCH(InNXKI!B1132,NXetHKI!$B$3:$B$57,0),INDEX($J$12:$K$25,MATCH($B1117,$I$12:$I$25,0),K$11)))</f>
        <v/>
      </c>
      <c r="E1117" s="1162"/>
      <c r="F1117" s="805"/>
      <c r="H1117" s="64"/>
      <c r="I1117" s="64"/>
    </row>
    <row r="1118" spans="1:9" ht="32.25" customHeight="1">
      <c r="A1118" s="803" t="s">
        <v>195</v>
      </c>
      <c r="B1118" s="804" t="s">
        <v>120</v>
      </c>
      <c r="C1118" s="805" t="str">
        <f>IF(B1132="","",INDEX(NXetHKI!$B$3:$CL$57,MATCH(InNXKI!B1132,NXetHKI!$B$3:$B$57,0),INDEX($J$12:$K$25,MATCH($B1118,$I$12:$I$25,0),J$11)))</f>
        <v/>
      </c>
      <c r="D1118" s="1161" t="str">
        <f>IF(B1132="","",INDEX(NXetHKI!$B$3:$CL$57,MATCH(InNXKI!B1132,NXetHKI!$B$3:$B$57,0),INDEX($J$12:$K$25,MATCH($B1118,$I$12:$I$25,0),K$11)))</f>
        <v/>
      </c>
      <c r="E1118" s="1162"/>
      <c r="F1118" s="805"/>
      <c r="H1118" s="64"/>
      <c r="I1118" s="64"/>
    </row>
    <row r="1119" spans="1:9" ht="32.25" customHeight="1">
      <c r="A1119" s="803" t="s">
        <v>196</v>
      </c>
      <c r="B1119" s="804" t="s">
        <v>30</v>
      </c>
      <c r="C1119" s="805" t="str">
        <f>IF(B1132="","",INDEX(NXetHKI!$B$3:$CL$57,MATCH(InNXKI!B1132,NXetHKI!$B$3:$B$57,0),INDEX($J$12:$K$25,MATCH($B1119,$I$12:$I$25,0),J$11)))</f>
        <v/>
      </c>
      <c r="D1119" s="1161" t="str">
        <f>IF(B1132="","",INDEX(NXetHKI!$B$3:$CL$57,MATCH(InNXKI!B1132,NXetHKI!$B$3:$B$57,0),INDEX($J$12:$K$25,MATCH($B1119,$I$12:$I$25,0),K$11)))</f>
        <v/>
      </c>
      <c r="E1119" s="1162"/>
      <c r="F1119" s="805"/>
      <c r="H1119" s="64"/>
      <c r="I1119" s="64"/>
    </row>
    <row r="1120" spans="1:9" ht="32.25" customHeight="1">
      <c r="A1120" s="803" t="s">
        <v>197</v>
      </c>
      <c r="B1120" s="804" t="s">
        <v>31</v>
      </c>
      <c r="C1120" s="805" t="str">
        <f>IF(B1132="","",INDEX(NXetHKI!$B$3:$CL$57,MATCH(InNXKI!B1132,NXetHKI!$B$3:$B$57,0),INDEX($J$12:$K$25,MATCH($B1120,$I$12:$I$25,0),J$11)))</f>
        <v/>
      </c>
      <c r="D1120" s="1161" t="str">
        <f>IF(B1132="","",INDEX(NXetHKI!$B$3:$CL$57,MATCH(InNXKI!B1132,NXetHKI!$B$3:$B$57,0),INDEX($J$12:$K$25,MATCH($B1120,$I$12:$I$25,0),K$11)))</f>
        <v/>
      </c>
      <c r="E1120" s="1162"/>
      <c r="F1120" s="805"/>
      <c r="H1120" s="64"/>
      <c r="I1120" s="64"/>
    </row>
    <row r="1121" spans="1:9" ht="32.25" customHeight="1">
      <c r="A1121" s="803" t="s">
        <v>198</v>
      </c>
      <c r="B1121" s="804" t="s">
        <v>32</v>
      </c>
      <c r="C1121" s="805" t="str">
        <f>IF(B1132="","",INDEX(NXetHKI!$B$3:$CL$57,MATCH(InNXKI!B1132,NXetHKI!$B$3:$B$57,0),INDEX($J$12:$K$25,MATCH($B1121,$I$12:$I$25,0),J$11)))</f>
        <v/>
      </c>
      <c r="D1121" s="1161" t="str">
        <f>IF(B1132="","",INDEX(NXetHKI!$B$3:$CL$57,MATCH(InNXKI!B1132,NXetHKI!$B$3:$B$57,0),INDEX($J$12:$K$25,MATCH($B1121,$I$12:$I$25,0),K$11)))</f>
        <v/>
      </c>
      <c r="E1121" s="1162"/>
      <c r="F1121" s="805"/>
      <c r="H1121" s="64"/>
      <c r="I1121" s="64"/>
    </row>
    <row r="1122" spans="1:9" ht="32.25" customHeight="1">
      <c r="A1122" s="803" t="s">
        <v>199</v>
      </c>
      <c r="B1122" s="804" t="s">
        <v>33</v>
      </c>
      <c r="C1122" s="805" t="str">
        <f>IF(B1132="","",INDEX(NXetHKI!$B$3:$CL$57,MATCH(InNXKI!B1132,NXetHKI!$B$3:$B$57,0),INDEX($J$12:$K$25,MATCH($B1122,$I$12:$I$25,0),J$11)))</f>
        <v/>
      </c>
      <c r="D1122" s="1161" t="str">
        <f>IF(B1132="","",INDEX(NXetHKI!$B$3:$CL$57,MATCH(InNXKI!B1132,NXetHKI!$B$3:$B$57,0),INDEX($J$12:$K$25,MATCH($B1122,$I$12:$I$25,0),K$11)))</f>
        <v/>
      </c>
      <c r="E1122" s="1162"/>
      <c r="F1122" s="805"/>
      <c r="H1122" s="64"/>
      <c r="I1122" s="64"/>
    </row>
    <row r="1123" spans="1:9" ht="32.25" customHeight="1">
      <c r="A1123" s="803" t="s">
        <v>200</v>
      </c>
      <c r="B1123" s="804" t="s">
        <v>60</v>
      </c>
      <c r="C1123" s="805" t="str">
        <f>IF(B1132="","",INDEX(NXetHKI!$B$3:$CL$57,MATCH(InNXKI!B1132,NXetHKI!$B$3:$B$57,0),INDEX($J$12:$K$25,MATCH($B1123,$I$12:$I$25,0),J$11)))</f>
        <v/>
      </c>
      <c r="D1123" s="1161" t="str">
        <f>IF(B1132="","",INDEX(NXetHKI!$B$3:$CL$57,MATCH(InNXKI!B1132,NXetHKI!$B$3:$B$57,0),INDEX($J$12:$K$25,MATCH($B1123,$I$12:$I$25,0),K$11)))</f>
        <v/>
      </c>
      <c r="E1123" s="1162"/>
      <c r="F1123" s="805"/>
      <c r="H1123" s="64"/>
      <c r="I1123" s="64"/>
    </row>
    <row r="1124" spans="1:9" ht="32.25" customHeight="1">
      <c r="A1124" s="803" t="s">
        <v>201</v>
      </c>
      <c r="B1124" s="804" t="s">
        <v>34</v>
      </c>
      <c r="C1124" s="805" t="str">
        <f>IF(B1132="","",INDEX(NXetHKI!$B$3:$CL$57,MATCH(InNXKI!B1132,NXetHKI!$B$3:$B$57,0),INDEX($J$12:$K$25,MATCH($B1124,$I$12:$I$25,0),J$11)))</f>
        <v/>
      </c>
      <c r="D1124" s="1161" t="str">
        <f>IF(B1132="","",INDEX(NXetHKI!$B$3:$CL$57,MATCH(InNXKI!B1132,NXetHKI!$B$3:$B$57,0),INDEX($J$12:$K$25,MATCH($B1124,$I$12:$I$25,0),K$11)))</f>
        <v/>
      </c>
      <c r="E1124" s="1162"/>
      <c r="F1124" s="805"/>
      <c r="H1124" s="64"/>
      <c r="I1124" s="64"/>
    </row>
    <row r="1125" spans="1:9" ht="32.25" customHeight="1">
      <c r="A1125" s="803" t="s">
        <v>202</v>
      </c>
      <c r="B1125" s="804" t="s">
        <v>35</v>
      </c>
      <c r="C1125" s="805" t="str">
        <f>IF(B1132="","",INDEX(NXetHKI!$B$3:$CL$57,MATCH(InNXKI!B1132,NXetHKI!$B$3:$B$57,0),INDEX($J$12:$K$25,MATCH($B1125,$I$12:$I$25,0),J$11)))</f>
        <v/>
      </c>
      <c r="D1125" s="1161" t="str">
        <f>IF(B1132="","",INDEX(NXetHKI!$B$3:$CL$57,MATCH(InNXKI!B1132,NXetHKI!$B$3:$B$57,0),INDEX($J$12:$K$25,MATCH($B1125,$I$12:$I$25,0),K$11)))</f>
        <v/>
      </c>
      <c r="E1125" s="1162"/>
      <c r="F1125" s="805"/>
      <c r="H1125" s="64"/>
      <c r="I1125" s="64"/>
    </row>
    <row r="1126" spans="1:9" ht="32.25" customHeight="1">
      <c r="A1126" s="803" t="s">
        <v>203</v>
      </c>
      <c r="B1126" s="804" t="s">
        <v>121</v>
      </c>
      <c r="C1126" s="805" t="str">
        <f>IF(B1132="","",INDEX(NXetHKI!$B$3:$CL$57,MATCH(InNXKI!B1132,NXetHKI!$B$3:$B$57,0),INDEX($J$12:$K$25,MATCH($B1126,$I$12:$I$25,0),J$11)))</f>
        <v/>
      </c>
      <c r="D1126" s="1161" t="str">
        <f>IF(B1132="","",INDEX(NXetHKI!$B$3:$CL$57,MATCH(InNXKI!B1132,NXetHKI!$B$3:$B$57,0),INDEX($J$12:$K$25,MATCH($B1126,$I$12:$I$25,0),K$11)))</f>
        <v/>
      </c>
      <c r="E1126" s="1162"/>
      <c r="F1126" s="805"/>
      <c r="H1126" s="64"/>
      <c r="I1126" s="64"/>
    </row>
    <row r="1127" spans="1:9" ht="32.25" customHeight="1">
      <c r="A1127" s="803">
        <v>14</v>
      </c>
      <c r="B1127" s="804" t="s">
        <v>122</v>
      </c>
      <c r="C1127" s="805" t="str">
        <f>IF(B1132="","",INDEX(NXetHKI!$B$3:$CL$57,MATCH(InNXKI!B1132,NXetHKI!$B$3:$B$57,0),INDEX($J$12:$K$25,MATCH($B1127,$I$12:$I$25,0),J$11)))</f>
        <v/>
      </c>
      <c r="D1127" s="1161" t="str">
        <f>IF(B1132="","",INDEX(NXetHKI!$B$3:$CL$57,MATCH(InNXKI!B1132,NXetHKI!$B$3:$B$57,0),INDEX($J$12:$K$25,MATCH($B1127,$I$12:$I$25,0),K$11)))</f>
        <v/>
      </c>
      <c r="E1127" s="1162"/>
      <c r="F1127" s="805"/>
      <c r="H1127" s="64"/>
    </row>
    <row r="1128" spans="1:9" ht="12" customHeight="1"/>
    <row r="1129" spans="1:9" ht="21.75" customHeight="1">
      <c r="D1129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129" s="1163"/>
      <c r="F1129" s="1163"/>
    </row>
    <row r="1130" spans="1:9">
      <c r="D1130" s="992" t="s">
        <v>377</v>
      </c>
      <c r="E1130" s="992"/>
      <c r="F1130" s="992"/>
    </row>
    <row r="1131" spans="1:9" ht="81" customHeight="1">
      <c r="D1131" s="923" t="str">
        <f>IF('Huong dan'!$E$5="","",'Huong dan'!$E$5)</f>
        <v/>
      </c>
      <c r="E1131" s="923"/>
      <c r="F1131" s="923"/>
    </row>
    <row r="1132" spans="1:9">
      <c r="A1132" s="811"/>
      <c r="B1132" s="711" t="str">
        <f>IF(B1103="","",IF(B1103&lt;MAX(NXetHKI!$B$3:$B$57),B1103+1,""))</f>
        <v/>
      </c>
      <c r="C1132" s="811"/>
      <c r="D1132" s="1157"/>
      <c r="E1132" s="1157"/>
      <c r="F1132" s="1157"/>
    </row>
    <row r="1133" spans="1:9" s="60" customFormat="1" ht="24.75" customHeight="1">
      <c r="A1133" s="1128" t="str">
        <f>IF('Huong dan'!$E$3&lt;&gt;"","SỞ GIÁO DỤC VÀ ĐÀO TẠO "&amp;UPPER('Huong dan'!$E$3),"")</f>
        <v>SỞ GIÁO DỤC VÀ ĐÀO TẠO TP. HỒ CHÍ MINH</v>
      </c>
      <c r="B1133" s="1128"/>
      <c r="C1133" s="1128"/>
      <c r="D1133" s="1128"/>
      <c r="E1133" s="1129" t="s">
        <v>19</v>
      </c>
      <c r="F1133" s="1129"/>
    </row>
    <row r="1134" spans="1:9" ht="17.25" customHeight="1">
      <c r="A1134" s="992" t="str">
        <f>IF('Huong dan'!$E$4&lt;&gt;"","TRƯỜNG "&amp;UPPER('Huong dan'!$E$4),"")</f>
        <v>TRƯỜNG THCS VÀ THPT NGUYỄN KHUYẾN</v>
      </c>
      <c r="B1134" s="992"/>
      <c r="C1134" s="992"/>
      <c r="D1134" s="992"/>
      <c r="E1134" s="1130" t="s">
        <v>179</v>
      </c>
      <c r="F1134" s="1130"/>
    </row>
    <row r="1135" spans="1:9" ht="20.25" customHeight="1">
      <c r="A1135" s="69"/>
      <c r="B1135" s="69"/>
      <c r="C1135" s="30"/>
      <c r="D1135" s="30"/>
    </row>
    <row r="1136" spans="1:9" ht="28.5" customHeight="1">
      <c r="A1136" s="1164" t="s">
        <v>567</v>
      </c>
      <c r="B1136" s="1164"/>
      <c r="C1136" s="1164"/>
      <c r="D1136" s="1164"/>
      <c r="E1136" s="1164"/>
      <c r="F1136" s="1164"/>
    </row>
    <row r="1137" spans="1:9" ht="24.75" customHeight="1">
      <c r="A1137" s="1164" t="str">
        <f>"HỌC KỲ I NĂM HỌC "&amp;'Huong dan'!$C$5</f>
        <v>HỌC KỲ I NĂM HỌC 2021 - 2022</v>
      </c>
      <c r="B1137" s="1164"/>
      <c r="C1137" s="1164"/>
      <c r="D1137" s="1164"/>
      <c r="E1137" s="1164"/>
      <c r="F1137" s="1164"/>
    </row>
    <row r="1138" spans="1:9" ht="14.25" customHeight="1">
      <c r="A1138" s="70"/>
      <c r="B1138" s="66"/>
      <c r="C1138" s="66"/>
      <c r="D1138" s="66"/>
      <c r="E1138" s="66"/>
      <c r="F1138" s="66"/>
    </row>
    <row r="1139" spans="1:9" ht="18.75" customHeight="1">
      <c r="A1139" s="1158" t="s">
        <v>212</v>
      </c>
      <c r="B1139" s="1158"/>
      <c r="C1139" s="1158"/>
      <c r="D1139" s="77" t="str">
        <f>IF(B1161="","",INDEX(NXetHKI!$B$3:$CL$57,MATCH(InNXKI!B1161,NXetHKI!$B$3:$B$57,0),3)&amp;" "&amp;INDEX(NXetHKI!$B$3:$CL$57,MATCH(InNXKI!B1161,NXetHKI!$B$3:$B$57,0),4))</f>
        <v/>
      </c>
      <c r="E1139" s="77"/>
      <c r="F1139" s="77" t="str">
        <f>IF('Huong dan'!$C$3="","","Lớp: "&amp;'Huong dan'!$C$3)</f>
        <v>Lớp: 12A1</v>
      </c>
    </row>
    <row r="1140" spans="1:9" ht="18.75" customHeight="1">
      <c r="A1140" s="1158" t="s">
        <v>213</v>
      </c>
      <c r="B1140" s="1158"/>
      <c r="C1140" s="1158"/>
      <c r="D1140" s="77" t="str">
        <f>INDEX(NXetHKI!$B$3:$CL$57,MATCH(InNXKI!B1161,NXetHKI!$B$3:$B$57,0),5)</f>
        <v/>
      </c>
      <c r="E1140" s="77"/>
      <c r="F1140" s="841" t="str">
        <f>IF(B1161="","","Nơi sinh: "&amp;INDEX(DiemHKI!$G$4:$G$58,MATCH(InNXKI!B1161,DiemHKI!$B$4:$B$58,0),1))</f>
        <v/>
      </c>
    </row>
    <row r="1141" spans="1:9" ht="9.75" customHeight="1">
      <c r="A1141" s="62"/>
      <c r="B1141" s="62"/>
      <c r="C1141" s="62"/>
      <c r="D1141" s="62"/>
      <c r="E1141" s="62"/>
      <c r="F1141" s="62"/>
    </row>
    <row r="1142" spans="1:9" ht="34.5" customHeight="1">
      <c r="A1142" s="801" t="s">
        <v>0</v>
      </c>
      <c r="B1142" s="801" t="s">
        <v>59</v>
      </c>
      <c r="C1142" s="806" t="s">
        <v>360</v>
      </c>
      <c r="D1142" s="1159" t="s">
        <v>568</v>
      </c>
      <c r="E1142" s="1160"/>
      <c r="F1142" s="802" t="s">
        <v>569</v>
      </c>
    </row>
    <row r="1143" spans="1:9" ht="32.25" customHeight="1">
      <c r="A1143" s="803" t="s">
        <v>191</v>
      </c>
      <c r="B1143" s="804" t="s">
        <v>26</v>
      </c>
      <c r="C1143" s="805" t="str">
        <f>IF(B1161="","",INDEX(NXetHKI!$B$3:$CL$57,MATCH(InNXKI!B1161,NXetHKI!$B$3:$B$57,0),INDEX($J$12:$K$25,MATCH($B1143,$I$12:$I$25,0),J$11)))</f>
        <v/>
      </c>
      <c r="D1143" s="1161" t="str">
        <f>IF(B1161="","",INDEX(NXetHKI!$B$3:$CL$57,MATCH(InNXKI!B1161,NXetHKI!$B$3:$B$57,0),INDEX($J$12:$K$25,MATCH($B1143,$I$12:$I$25,0),K$11)))</f>
        <v/>
      </c>
      <c r="E1143" s="1162"/>
      <c r="F1143" s="805"/>
      <c r="H1143" s="64"/>
      <c r="I1143" s="64"/>
    </row>
    <row r="1144" spans="1:9" ht="32.25" customHeight="1">
      <c r="A1144" s="803" t="s">
        <v>192</v>
      </c>
      <c r="B1144" s="804" t="s">
        <v>27</v>
      </c>
      <c r="C1144" s="805" t="str">
        <f>IF(B1161="","",INDEX(NXetHKI!$B$3:$CL$57,MATCH(InNXKI!B1161,NXetHKI!$B$3:$B$57,0),INDEX($J$12:$K$25,MATCH($B1144,$I$12:$I$25,0),J$11)))</f>
        <v/>
      </c>
      <c r="D1144" s="1161" t="str">
        <f>IF(B1161="","",INDEX(NXetHKI!$B$3:$CL$57,MATCH(InNXKI!B1161,NXetHKI!$B$3:$B$57,0),INDEX($J$12:$K$25,MATCH($B1144,$I$12:$I$25,0),K$11)))</f>
        <v/>
      </c>
      <c r="E1144" s="1162"/>
      <c r="F1144" s="805"/>
      <c r="H1144" s="64"/>
      <c r="I1144" s="64"/>
    </row>
    <row r="1145" spans="1:9" ht="32.25" customHeight="1">
      <c r="A1145" s="803" t="s">
        <v>193</v>
      </c>
      <c r="B1145" s="804" t="s">
        <v>28</v>
      </c>
      <c r="C1145" s="805" t="str">
        <f>IF(B1161="","",INDEX(NXetHKI!$B$3:$CL$57,MATCH(InNXKI!B1161,NXetHKI!$B$3:$B$57,0),INDEX($J$12:$K$25,MATCH($B1145,$I$12:$I$25,0),J$11)))</f>
        <v/>
      </c>
      <c r="D1145" s="1161" t="str">
        <f>IF(B1161="","",INDEX(NXetHKI!$B$3:$CL$57,MATCH(InNXKI!B1161,NXetHKI!$B$3:$B$57,0),INDEX($J$12:$K$25,MATCH($B1145,$I$12:$I$25,0),K$11)))</f>
        <v/>
      </c>
      <c r="E1145" s="1162"/>
      <c r="F1145" s="805"/>
      <c r="H1145" s="64"/>
      <c r="I1145" s="64"/>
    </row>
    <row r="1146" spans="1:9" ht="32.25" customHeight="1">
      <c r="A1146" s="803" t="s">
        <v>194</v>
      </c>
      <c r="B1146" s="804" t="s">
        <v>29</v>
      </c>
      <c r="C1146" s="805" t="str">
        <f>IF(B1161="","",INDEX(NXetHKI!$B$3:$CL$57,MATCH(InNXKI!B1161,NXetHKI!$B$3:$B$57,0),INDEX($J$12:$K$25,MATCH($B1146,$I$12:$I$25,0),J$11)))</f>
        <v/>
      </c>
      <c r="D1146" s="1161" t="str">
        <f>IF(B1161="","",INDEX(NXetHKI!$B$3:$CL$57,MATCH(InNXKI!B1161,NXetHKI!$B$3:$B$57,0),INDEX($J$12:$K$25,MATCH($B1146,$I$12:$I$25,0),K$11)))</f>
        <v/>
      </c>
      <c r="E1146" s="1162"/>
      <c r="F1146" s="805"/>
      <c r="H1146" s="64"/>
      <c r="I1146" s="64"/>
    </row>
    <row r="1147" spans="1:9" ht="32.25" customHeight="1">
      <c r="A1147" s="803" t="s">
        <v>195</v>
      </c>
      <c r="B1147" s="804" t="s">
        <v>120</v>
      </c>
      <c r="C1147" s="805" t="str">
        <f>IF(B1161="","",INDEX(NXetHKI!$B$3:$CL$57,MATCH(InNXKI!B1161,NXetHKI!$B$3:$B$57,0),INDEX($J$12:$K$25,MATCH($B1147,$I$12:$I$25,0),J$11)))</f>
        <v/>
      </c>
      <c r="D1147" s="1161" t="str">
        <f>IF(B1161="","",INDEX(NXetHKI!$B$3:$CL$57,MATCH(InNXKI!B1161,NXetHKI!$B$3:$B$57,0),INDEX($J$12:$K$25,MATCH($B1147,$I$12:$I$25,0),K$11)))</f>
        <v/>
      </c>
      <c r="E1147" s="1162"/>
      <c r="F1147" s="805"/>
      <c r="H1147" s="64"/>
      <c r="I1147" s="64"/>
    </row>
    <row r="1148" spans="1:9" ht="32.25" customHeight="1">
      <c r="A1148" s="803" t="s">
        <v>196</v>
      </c>
      <c r="B1148" s="804" t="s">
        <v>30</v>
      </c>
      <c r="C1148" s="805" t="str">
        <f>IF(B1161="","",INDEX(NXetHKI!$B$3:$CL$57,MATCH(InNXKI!B1161,NXetHKI!$B$3:$B$57,0),INDEX($J$12:$K$25,MATCH($B1148,$I$12:$I$25,0),J$11)))</f>
        <v/>
      </c>
      <c r="D1148" s="1161" t="str">
        <f>IF(B1161="","",INDEX(NXetHKI!$B$3:$CL$57,MATCH(InNXKI!B1161,NXetHKI!$B$3:$B$57,0),INDEX($J$12:$K$25,MATCH($B1148,$I$12:$I$25,0),K$11)))</f>
        <v/>
      </c>
      <c r="E1148" s="1162"/>
      <c r="F1148" s="805"/>
      <c r="H1148" s="64"/>
      <c r="I1148" s="64"/>
    </row>
    <row r="1149" spans="1:9" ht="32.25" customHeight="1">
      <c r="A1149" s="803" t="s">
        <v>197</v>
      </c>
      <c r="B1149" s="804" t="s">
        <v>31</v>
      </c>
      <c r="C1149" s="805" t="str">
        <f>IF(B1161="","",INDEX(NXetHKI!$B$3:$CL$57,MATCH(InNXKI!B1161,NXetHKI!$B$3:$B$57,0),INDEX($J$12:$K$25,MATCH($B1149,$I$12:$I$25,0),J$11)))</f>
        <v/>
      </c>
      <c r="D1149" s="1161" t="str">
        <f>IF(B1161="","",INDEX(NXetHKI!$B$3:$CL$57,MATCH(InNXKI!B1161,NXetHKI!$B$3:$B$57,0),INDEX($J$12:$K$25,MATCH($B1149,$I$12:$I$25,0),K$11)))</f>
        <v/>
      </c>
      <c r="E1149" s="1162"/>
      <c r="F1149" s="805"/>
      <c r="H1149" s="64"/>
      <c r="I1149" s="64"/>
    </row>
    <row r="1150" spans="1:9" ht="32.25" customHeight="1">
      <c r="A1150" s="803" t="s">
        <v>198</v>
      </c>
      <c r="B1150" s="804" t="s">
        <v>32</v>
      </c>
      <c r="C1150" s="805" t="str">
        <f>IF(B1161="","",INDEX(NXetHKI!$B$3:$CL$57,MATCH(InNXKI!B1161,NXetHKI!$B$3:$B$57,0),INDEX($J$12:$K$25,MATCH($B1150,$I$12:$I$25,0),J$11)))</f>
        <v/>
      </c>
      <c r="D1150" s="1161" t="str">
        <f>IF(B1161="","",INDEX(NXetHKI!$B$3:$CL$57,MATCH(InNXKI!B1161,NXetHKI!$B$3:$B$57,0),INDEX($J$12:$K$25,MATCH($B1150,$I$12:$I$25,0),K$11)))</f>
        <v/>
      </c>
      <c r="E1150" s="1162"/>
      <c r="F1150" s="805"/>
      <c r="H1150" s="64"/>
      <c r="I1150" s="64"/>
    </row>
    <row r="1151" spans="1:9" ht="32.25" customHeight="1">
      <c r="A1151" s="803" t="s">
        <v>199</v>
      </c>
      <c r="B1151" s="804" t="s">
        <v>33</v>
      </c>
      <c r="C1151" s="805" t="str">
        <f>IF(B1161="","",INDEX(NXetHKI!$B$3:$CL$57,MATCH(InNXKI!B1161,NXetHKI!$B$3:$B$57,0),INDEX($J$12:$K$25,MATCH($B1151,$I$12:$I$25,0),J$11)))</f>
        <v/>
      </c>
      <c r="D1151" s="1161" t="str">
        <f>IF(B1161="","",INDEX(NXetHKI!$B$3:$CL$57,MATCH(InNXKI!B1161,NXetHKI!$B$3:$B$57,0),INDEX($J$12:$K$25,MATCH($B1151,$I$12:$I$25,0),K$11)))</f>
        <v/>
      </c>
      <c r="E1151" s="1162"/>
      <c r="F1151" s="805"/>
      <c r="H1151" s="64"/>
      <c r="I1151" s="64"/>
    </row>
    <row r="1152" spans="1:9" ht="32.25" customHeight="1">
      <c r="A1152" s="803" t="s">
        <v>200</v>
      </c>
      <c r="B1152" s="804" t="s">
        <v>60</v>
      </c>
      <c r="C1152" s="805" t="str">
        <f>IF(B1161="","",INDEX(NXetHKI!$B$3:$CL$57,MATCH(InNXKI!B1161,NXetHKI!$B$3:$B$57,0),INDEX($J$12:$K$25,MATCH($B1152,$I$12:$I$25,0),J$11)))</f>
        <v/>
      </c>
      <c r="D1152" s="1161" t="str">
        <f>IF(B1161="","",INDEX(NXetHKI!$B$3:$CL$57,MATCH(InNXKI!B1161,NXetHKI!$B$3:$B$57,0),INDEX($J$12:$K$25,MATCH($B1152,$I$12:$I$25,0),K$11)))</f>
        <v/>
      </c>
      <c r="E1152" s="1162"/>
      <c r="F1152" s="805"/>
      <c r="H1152" s="64"/>
      <c r="I1152" s="64"/>
    </row>
    <row r="1153" spans="1:9" ht="32.25" customHeight="1">
      <c r="A1153" s="803" t="s">
        <v>201</v>
      </c>
      <c r="B1153" s="804" t="s">
        <v>34</v>
      </c>
      <c r="C1153" s="805" t="str">
        <f>IF(B1161="","",INDEX(NXetHKI!$B$3:$CL$57,MATCH(InNXKI!B1161,NXetHKI!$B$3:$B$57,0),INDEX($J$12:$K$25,MATCH($B1153,$I$12:$I$25,0),J$11)))</f>
        <v/>
      </c>
      <c r="D1153" s="1161" t="str">
        <f>IF(B1161="","",INDEX(NXetHKI!$B$3:$CL$57,MATCH(InNXKI!B1161,NXetHKI!$B$3:$B$57,0),INDEX($J$12:$K$25,MATCH($B1153,$I$12:$I$25,0),K$11)))</f>
        <v/>
      </c>
      <c r="E1153" s="1162"/>
      <c r="F1153" s="805"/>
      <c r="H1153" s="64"/>
      <c r="I1153" s="64"/>
    </row>
    <row r="1154" spans="1:9" ht="32.25" customHeight="1">
      <c r="A1154" s="803" t="s">
        <v>202</v>
      </c>
      <c r="B1154" s="804" t="s">
        <v>35</v>
      </c>
      <c r="C1154" s="805" t="str">
        <f>IF(B1161="","",INDEX(NXetHKI!$B$3:$CL$57,MATCH(InNXKI!B1161,NXetHKI!$B$3:$B$57,0),INDEX($J$12:$K$25,MATCH($B1154,$I$12:$I$25,0),J$11)))</f>
        <v/>
      </c>
      <c r="D1154" s="1161" t="str">
        <f>IF(B1161="","",INDEX(NXetHKI!$B$3:$CL$57,MATCH(InNXKI!B1161,NXetHKI!$B$3:$B$57,0),INDEX($J$12:$K$25,MATCH($B1154,$I$12:$I$25,0),K$11)))</f>
        <v/>
      </c>
      <c r="E1154" s="1162"/>
      <c r="F1154" s="805"/>
      <c r="H1154" s="64"/>
      <c r="I1154" s="64"/>
    </row>
    <row r="1155" spans="1:9" ht="32.25" customHeight="1">
      <c r="A1155" s="803" t="s">
        <v>203</v>
      </c>
      <c r="B1155" s="804" t="s">
        <v>121</v>
      </c>
      <c r="C1155" s="805" t="str">
        <f>IF(B1161="","",INDEX(NXetHKI!$B$3:$CL$57,MATCH(InNXKI!B1161,NXetHKI!$B$3:$B$57,0),INDEX($J$12:$K$25,MATCH($B1155,$I$12:$I$25,0),J$11)))</f>
        <v/>
      </c>
      <c r="D1155" s="1161" t="str">
        <f>IF(B1161="","",INDEX(NXetHKI!$B$3:$CL$57,MATCH(InNXKI!B1161,NXetHKI!$B$3:$B$57,0),INDEX($J$12:$K$25,MATCH($B1155,$I$12:$I$25,0),K$11)))</f>
        <v/>
      </c>
      <c r="E1155" s="1162"/>
      <c r="F1155" s="805"/>
      <c r="H1155" s="64"/>
      <c r="I1155" s="64"/>
    </row>
    <row r="1156" spans="1:9" ht="32.25" customHeight="1">
      <c r="A1156" s="803">
        <v>14</v>
      </c>
      <c r="B1156" s="804" t="s">
        <v>122</v>
      </c>
      <c r="C1156" s="805" t="str">
        <f>IF(B1161="","",INDEX(NXetHKI!$B$3:$CL$57,MATCH(InNXKI!B1161,NXetHKI!$B$3:$B$57,0),INDEX($J$12:$K$25,MATCH($B1156,$I$12:$I$25,0),J$11)))</f>
        <v/>
      </c>
      <c r="D1156" s="1161" t="str">
        <f>IF(B1161="","",INDEX(NXetHKI!$B$3:$CL$57,MATCH(InNXKI!B1161,NXetHKI!$B$3:$B$57,0),INDEX($J$12:$K$25,MATCH($B1156,$I$12:$I$25,0),K$11)))</f>
        <v/>
      </c>
      <c r="E1156" s="1162"/>
      <c r="F1156" s="805"/>
      <c r="H1156" s="64"/>
    </row>
    <row r="1157" spans="1:9" ht="12" customHeight="1"/>
    <row r="1158" spans="1:9" ht="21.75" customHeight="1">
      <c r="D1158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158" s="1163"/>
      <c r="F1158" s="1163"/>
    </row>
    <row r="1159" spans="1:9">
      <c r="D1159" s="992" t="s">
        <v>377</v>
      </c>
      <c r="E1159" s="992"/>
      <c r="F1159" s="992"/>
    </row>
    <row r="1160" spans="1:9" ht="81" customHeight="1">
      <c r="D1160" s="923" t="str">
        <f>IF('Huong dan'!$E$5="","",'Huong dan'!$E$5)</f>
        <v/>
      </c>
      <c r="E1160" s="923"/>
      <c r="F1160" s="923"/>
    </row>
    <row r="1161" spans="1:9">
      <c r="A1161" s="811"/>
      <c r="B1161" s="711" t="str">
        <f>IF(B1132="","",IF(B1132&lt;MAX(NXetHKI!$B$3:$B$57),B1132+1,""))</f>
        <v/>
      </c>
      <c r="C1161" s="811"/>
      <c r="D1161" s="1157"/>
      <c r="E1161" s="1157"/>
      <c r="F1161" s="1157"/>
    </row>
    <row r="1162" spans="1:9" s="60" customFormat="1" ht="24.75" customHeight="1">
      <c r="A1162" s="1128" t="str">
        <f>IF('Huong dan'!$E$3&lt;&gt;"","SỞ GIÁO DỤC VÀ ĐÀO TẠO "&amp;UPPER('Huong dan'!$E$3),"")</f>
        <v>SỞ GIÁO DỤC VÀ ĐÀO TẠO TP. HỒ CHÍ MINH</v>
      </c>
      <c r="B1162" s="1128"/>
      <c r="C1162" s="1128"/>
      <c r="D1162" s="1128"/>
      <c r="E1162" s="1129" t="s">
        <v>19</v>
      </c>
      <c r="F1162" s="1129"/>
    </row>
    <row r="1163" spans="1:9" ht="17.25" customHeight="1">
      <c r="A1163" s="992" t="str">
        <f>IF('Huong dan'!$E$4&lt;&gt;"","TRƯỜNG "&amp;UPPER('Huong dan'!$E$4),"")</f>
        <v>TRƯỜNG THCS VÀ THPT NGUYỄN KHUYẾN</v>
      </c>
      <c r="B1163" s="992"/>
      <c r="C1163" s="992"/>
      <c r="D1163" s="992"/>
      <c r="E1163" s="1130" t="s">
        <v>179</v>
      </c>
      <c r="F1163" s="1130"/>
    </row>
    <row r="1164" spans="1:9" ht="20.25" customHeight="1">
      <c r="A1164" s="69"/>
      <c r="B1164" s="69"/>
      <c r="C1164" s="30"/>
      <c r="D1164" s="30"/>
    </row>
    <row r="1165" spans="1:9" ht="28.5" customHeight="1">
      <c r="A1165" s="1164" t="s">
        <v>567</v>
      </c>
      <c r="B1165" s="1164"/>
      <c r="C1165" s="1164"/>
      <c r="D1165" s="1164"/>
      <c r="E1165" s="1164"/>
      <c r="F1165" s="1164"/>
    </row>
    <row r="1166" spans="1:9" ht="24.75" customHeight="1">
      <c r="A1166" s="1164" t="str">
        <f>"HỌC KỲ I NĂM HỌC "&amp;'Huong dan'!$C$5</f>
        <v>HỌC KỲ I NĂM HỌC 2021 - 2022</v>
      </c>
      <c r="B1166" s="1164"/>
      <c r="C1166" s="1164"/>
      <c r="D1166" s="1164"/>
      <c r="E1166" s="1164"/>
      <c r="F1166" s="1164"/>
    </row>
    <row r="1167" spans="1:9" ht="14.25" customHeight="1">
      <c r="A1167" s="70"/>
      <c r="B1167" s="66"/>
      <c r="C1167" s="66"/>
      <c r="D1167" s="66"/>
      <c r="E1167" s="66"/>
      <c r="F1167" s="66"/>
    </row>
    <row r="1168" spans="1:9" ht="18.75" customHeight="1">
      <c r="A1168" s="1158" t="s">
        <v>212</v>
      </c>
      <c r="B1168" s="1158"/>
      <c r="C1168" s="1158"/>
      <c r="D1168" s="77" t="str">
        <f>IF(B1190="","",INDEX(NXetHKI!$B$3:$CL$57,MATCH(InNXKI!B1190,NXetHKI!$B$3:$B$57,0),3)&amp;" "&amp;INDEX(NXetHKI!$B$3:$CL$57,MATCH(InNXKI!B1190,NXetHKI!$B$3:$B$57,0),4))</f>
        <v/>
      </c>
      <c r="E1168" s="77"/>
      <c r="F1168" s="77" t="str">
        <f>IF('Huong dan'!$C$3="","","Lớp: "&amp;'Huong dan'!$C$3)</f>
        <v>Lớp: 12A1</v>
      </c>
    </row>
    <row r="1169" spans="1:9" ht="18.75" customHeight="1">
      <c r="A1169" s="1158" t="s">
        <v>213</v>
      </c>
      <c r="B1169" s="1158"/>
      <c r="C1169" s="1158"/>
      <c r="D1169" s="77" t="str">
        <f>INDEX(NXetHKI!$B$3:$CL$57,MATCH(InNXKI!B1190,NXetHKI!$B$3:$B$57,0),5)</f>
        <v/>
      </c>
      <c r="E1169" s="77"/>
      <c r="F1169" s="841" t="str">
        <f>IF(B1190="","","Nơi sinh: "&amp;INDEX(DiemHKI!$G$4:$G$58,MATCH(InNXKI!B1190,DiemHKI!$B$4:$B$58,0),1))</f>
        <v/>
      </c>
    </row>
    <row r="1170" spans="1:9" ht="9.75" customHeight="1">
      <c r="A1170" s="62"/>
      <c r="B1170" s="62"/>
      <c r="C1170" s="62"/>
      <c r="D1170" s="62"/>
      <c r="E1170" s="62"/>
      <c r="F1170" s="62"/>
    </row>
    <row r="1171" spans="1:9" ht="34.5" customHeight="1">
      <c r="A1171" s="801" t="s">
        <v>0</v>
      </c>
      <c r="B1171" s="801" t="s">
        <v>59</v>
      </c>
      <c r="C1171" s="806" t="s">
        <v>360</v>
      </c>
      <c r="D1171" s="1159" t="s">
        <v>568</v>
      </c>
      <c r="E1171" s="1160"/>
      <c r="F1171" s="802" t="s">
        <v>569</v>
      </c>
    </row>
    <row r="1172" spans="1:9" ht="32.25" customHeight="1">
      <c r="A1172" s="803" t="s">
        <v>191</v>
      </c>
      <c r="B1172" s="804" t="s">
        <v>26</v>
      </c>
      <c r="C1172" s="805" t="str">
        <f>IF(B1190="","",INDEX(NXetHKI!$B$3:$CL$57,MATCH(InNXKI!B1190,NXetHKI!$B$3:$B$57,0),INDEX($J$12:$K$25,MATCH($B1172,$I$12:$I$25,0),J$11)))</f>
        <v/>
      </c>
      <c r="D1172" s="1161" t="str">
        <f>IF(B1190="","",INDEX(NXetHKI!$B$3:$CL$57,MATCH(InNXKI!B1190,NXetHKI!$B$3:$B$57,0),INDEX($J$12:$K$25,MATCH($B1172,$I$12:$I$25,0),K$11)))</f>
        <v/>
      </c>
      <c r="E1172" s="1162"/>
      <c r="F1172" s="805"/>
      <c r="H1172" s="64"/>
      <c r="I1172" s="64"/>
    </row>
    <row r="1173" spans="1:9" ht="32.25" customHeight="1">
      <c r="A1173" s="803" t="s">
        <v>192</v>
      </c>
      <c r="B1173" s="804" t="s">
        <v>27</v>
      </c>
      <c r="C1173" s="805" t="str">
        <f>IF(B1190="","",INDEX(NXetHKI!$B$3:$CL$57,MATCH(InNXKI!B1190,NXetHKI!$B$3:$B$57,0),INDEX($J$12:$K$25,MATCH($B1173,$I$12:$I$25,0),J$11)))</f>
        <v/>
      </c>
      <c r="D1173" s="1161" t="str">
        <f>IF(B1190="","",INDEX(NXetHKI!$B$3:$CL$57,MATCH(InNXKI!B1190,NXetHKI!$B$3:$B$57,0),INDEX($J$12:$K$25,MATCH($B1173,$I$12:$I$25,0),K$11)))</f>
        <v/>
      </c>
      <c r="E1173" s="1162"/>
      <c r="F1173" s="805"/>
      <c r="H1173" s="64"/>
      <c r="I1173" s="64"/>
    </row>
    <row r="1174" spans="1:9" ht="32.25" customHeight="1">
      <c r="A1174" s="803" t="s">
        <v>193</v>
      </c>
      <c r="B1174" s="804" t="s">
        <v>28</v>
      </c>
      <c r="C1174" s="805" t="str">
        <f>IF(B1190="","",INDEX(NXetHKI!$B$3:$CL$57,MATCH(InNXKI!B1190,NXetHKI!$B$3:$B$57,0),INDEX($J$12:$K$25,MATCH($B1174,$I$12:$I$25,0),J$11)))</f>
        <v/>
      </c>
      <c r="D1174" s="1161" t="str">
        <f>IF(B1190="","",INDEX(NXetHKI!$B$3:$CL$57,MATCH(InNXKI!B1190,NXetHKI!$B$3:$B$57,0),INDEX($J$12:$K$25,MATCH($B1174,$I$12:$I$25,0),K$11)))</f>
        <v/>
      </c>
      <c r="E1174" s="1162"/>
      <c r="F1174" s="805"/>
      <c r="H1174" s="64"/>
      <c r="I1174" s="64"/>
    </row>
    <row r="1175" spans="1:9" ht="32.25" customHeight="1">
      <c r="A1175" s="803" t="s">
        <v>194</v>
      </c>
      <c r="B1175" s="804" t="s">
        <v>29</v>
      </c>
      <c r="C1175" s="805" t="str">
        <f>IF(B1190="","",INDEX(NXetHKI!$B$3:$CL$57,MATCH(InNXKI!B1190,NXetHKI!$B$3:$B$57,0),INDEX($J$12:$K$25,MATCH($B1175,$I$12:$I$25,0),J$11)))</f>
        <v/>
      </c>
      <c r="D1175" s="1161" t="str">
        <f>IF(B1190="","",INDEX(NXetHKI!$B$3:$CL$57,MATCH(InNXKI!B1190,NXetHKI!$B$3:$B$57,0),INDEX($J$12:$K$25,MATCH($B1175,$I$12:$I$25,0),K$11)))</f>
        <v/>
      </c>
      <c r="E1175" s="1162"/>
      <c r="F1175" s="805"/>
      <c r="H1175" s="64"/>
      <c r="I1175" s="64"/>
    </row>
    <row r="1176" spans="1:9" ht="32.25" customHeight="1">
      <c r="A1176" s="803" t="s">
        <v>195</v>
      </c>
      <c r="B1176" s="804" t="s">
        <v>120</v>
      </c>
      <c r="C1176" s="805" t="str">
        <f>IF(B1190="","",INDEX(NXetHKI!$B$3:$CL$57,MATCH(InNXKI!B1190,NXetHKI!$B$3:$B$57,0),INDEX($J$12:$K$25,MATCH($B1176,$I$12:$I$25,0),J$11)))</f>
        <v/>
      </c>
      <c r="D1176" s="1161" t="str">
        <f>IF(B1190="","",INDEX(NXetHKI!$B$3:$CL$57,MATCH(InNXKI!B1190,NXetHKI!$B$3:$B$57,0),INDEX($J$12:$K$25,MATCH($B1176,$I$12:$I$25,0),K$11)))</f>
        <v/>
      </c>
      <c r="E1176" s="1162"/>
      <c r="F1176" s="805"/>
      <c r="H1176" s="64"/>
      <c r="I1176" s="64"/>
    </row>
    <row r="1177" spans="1:9" ht="32.25" customHeight="1">
      <c r="A1177" s="803" t="s">
        <v>196</v>
      </c>
      <c r="B1177" s="804" t="s">
        <v>30</v>
      </c>
      <c r="C1177" s="805" t="str">
        <f>IF(B1190="","",INDEX(NXetHKI!$B$3:$CL$57,MATCH(InNXKI!B1190,NXetHKI!$B$3:$B$57,0),INDEX($J$12:$K$25,MATCH($B1177,$I$12:$I$25,0),J$11)))</f>
        <v/>
      </c>
      <c r="D1177" s="1161" t="str">
        <f>IF(B1190="","",INDEX(NXetHKI!$B$3:$CL$57,MATCH(InNXKI!B1190,NXetHKI!$B$3:$B$57,0),INDEX($J$12:$K$25,MATCH($B1177,$I$12:$I$25,0),K$11)))</f>
        <v/>
      </c>
      <c r="E1177" s="1162"/>
      <c r="F1177" s="805"/>
      <c r="H1177" s="64"/>
      <c r="I1177" s="64"/>
    </row>
    <row r="1178" spans="1:9" ht="32.25" customHeight="1">
      <c r="A1178" s="803" t="s">
        <v>197</v>
      </c>
      <c r="B1178" s="804" t="s">
        <v>31</v>
      </c>
      <c r="C1178" s="805" t="str">
        <f>IF(B1190="","",INDEX(NXetHKI!$B$3:$CL$57,MATCH(InNXKI!B1190,NXetHKI!$B$3:$B$57,0),INDEX($J$12:$K$25,MATCH($B1178,$I$12:$I$25,0),J$11)))</f>
        <v/>
      </c>
      <c r="D1178" s="1161" t="str">
        <f>IF(B1190="","",INDEX(NXetHKI!$B$3:$CL$57,MATCH(InNXKI!B1190,NXetHKI!$B$3:$B$57,0),INDEX($J$12:$K$25,MATCH($B1178,$I$12:$I$25,0),K$11)))</f>
        <v/>
      </c>
      <c r="E1178" s="1162"/>
      <c r="F1178" s="805"/>
      <c r="H1178" s="64"/>
      <c r="I1178" s="64"/>
    </row>
    <row r="1179" spans="1:9" ht="32.25" customHeight="1">
      <c r="A1179" s="803" t="s">
        <v>198</v>
      </c>
      <c r="B1179" s="804" t="s">
        <v>32</v>
      </c>
      <c r="C1179" s="805" t="str">
        <f>IF(B1190="","",INDEX(NXetHKI!$B$3:$CL$57,MATCH(InNXKI!B1190,NXetHKI!$B$3:$B$57,0),INDEX($J$12:$K$25,MATCH($B1179,$I$12:$I$25,0),J$11)))</f>
        <v/>
      </c>
      <c r="D1179" s="1161" t="str">
        <f>IF(B1190="","",INDEX(NXetHKI!$B$3:$CL$57,MATCH(InNXKI!B1190,NXetHKI!$B$3:$B$57,0),INDEX($J$12:$K$25,MATCH($B1179,$I$12:$I$25,0),K$11)))</f>
        <v/>
      </c>
      <c r="E1179" s="1162"/>
      <c r="F1179" s="805"/>
      <c r="H1179" s="64"/>
      <c r="I1179" s="64"/>
    </row>
    <row r="1180" spans="1:9" ht="32.25" customHeight="1">
      <c r="A1180" s="803" t="s">
        <v>199</v>
      </c>
      <c r="B1180" s="804" t="s">
        <v>33</v>
      </c>
      <c r="C1180" s="805" t="str">
        <f>IF(B1190="","",INDEX(NXetHKI!$B$3:$CL$57,MATCH(InNXKI!B1190,NXetHKI!$B$3:$B$57,0),INDEX($J$12:$K$25,MATCH($B1180,$I$12:$I$25,0),J$11)))</f>
        <v/>
      </c>
      <c r="D1180" s="1161" t="str">
        <f>IF(B1190="","",INDEX(NXetHKI!$B$3:$CL$57,MATCH(InNXKI!B1190,NXetHKI!$B$3:$B$57,0),INDEX($J$12:$K$25,MATCH($B1180,$I$12:$I$25,0),K$11)))</f>
        <v/>
      </c>
      <c r="E1180" s="1162"/>
      <c r="F1180" s="805"/>
      <c r="H1180" s="64"/>
      <c r="I1180" s="64"/>
    </row>
    <row r="1181" spans="1:9" ht="32.25" customHeight="1">
      <c r="A1181" s="803" t="s">
        <v>200</v>
      </c>
      <c r="B1181" s="804" t="s">
        <v>60</v>
      </c>
      <c r="C1181" s="805" t="str">
        <f>IF(B1190="","",INDEX(NXetHKI!$B$3:$CL$57,MATCH(InNXKI!B1190,NXetHKI!$B$3:$B$57,0),INDEX($J$12:$K$25,MATCH($B1181,$I$12:$I$25,0),J$11)))</f>
        <v/>
      </c>
      <c r="D1181" s="1161" t="str">
        <f>IF(B1190="","",INDEX(NXetHKI!$B$3:$CL$57,MATCH(InNXKI!B1190,NXetHKI!$B$3:$B$57,0),INDEX($J$12:$K$25,MATCH($B1181,$I$12:$I$25,0),K$11)))</f>
        <v/>
      </c>
      <c r="E1181" s="1162"/>
      <c r="F1181" s="805"/>
      <c r="H1181" s="64"/>
      <c r="I1181" s="64"/>
    </row>
    <row r="1182" spans="1:9" ht="32.25" customHeight="1">
      <c r="A1182" s="803" t="s">
        <v>201</v>
      </c>
      <c r="B1182" s="804" t="s">
        <v>34</v>
      </c>
      <c r="C1182" s="805" t="str">
        <f>IF(B1190="","",INDEX(NXetHKI!$B$3:$CL$57,MATCH(InNXKI!B1190,NXetHKI!$B$3:$B$57,0),INDEX($J$12:$K$25,MATCH($B1182,$I$12:$I$25,0),J$11)))</f>
        <v/>
      </c>
      <c r="D1182" s="1161" t="str">
        <f>IF(B1190="","",INDEX(NXetHKI!$B$3:$CL$57,MATCH(InNXKI!B1190,NXetHKI!$B$3:$B$57,0),INDEX($J$12:$K$25,MATCH($B1182,$I$12:$I$25,0),K$11)))</f>
        <v/>
      </c>
      <c r="E1182" s="1162"/>
      <c r="F1182" s="805"/>
      <c r="H1182" s="64"/>
      <c r="I1182" s="64"/>
    </row>
    <row r="1183" spans="1:9" ht="32.25" customHeight="1">
      <c r="A1183" s="803" t="s">
        <v>202</v>
      </c>
      <c r="B1183" s="804" t="s">
        <v>35</v>
      </c>
      <c r="C1183" s="805" t="str">
        <f>IF(B1190="","",INDEX(NXetHKI!$B$3:$CL$57,MATCH(InNXKI!B1190,NXetHKI!$B$3:$B$57,0),INDEX($J$12:$K$25,MATCH($B1183,$I$12:$I$25,0),J$11)))</f>
        <v/>
      </c>
      <c r="D1183" s="1161" t="str">
        <f>IF(B1190="","",INDEX(NXetHKI!$B$3:$CL$57,MATCH(InNXKI!B1190,NXetHKI!$B$3:$B$57,0),INDEX($J$12:$K$25,MATCH($B1183,$I$12:$I$25,0),K$11)))</f>
        <v/>
      </c>
      <c r="E1183" s="1162"/>
      <c r="F1183" s="805"/>
      <c r="H1183" s="64"/>
      <c r="I1183" s="64"/>
    </row>
    <row r="1184" spans="1:9" ht="32.25" customHeight="1">
      <c r="A1184" s="803" t="s">
        <v>203</v>
      </c>
      <c r="B1184" s="804" t="s">
        <v>121</v>
      </c>
      <c r="C1184" s="805" t="str">
        <f>IF(B1190="","",INDEX(NXetHKI!$B$3:$CL$57,MATCH(InNXKI!B1190,NXetHKI!$B$3:$B$57,0),INDEX($J$12:$K$25,MATCH($B1184,$I$12:$I$25,0),J$11)))</f>
        <v/>
      </c>
      <c r="D1184" s="1161" t="str">
        <f>IF(B1190="","",INDEX(NXetHKI!$B$3:$CL$57,MATCH(InNXKI!B1190,NXetHKI!$B$3:$B$57,0),INDEX($J$12:$K$25,MATCH($B1184,$I$12:$I$25,0),K$11)))</f>
        <v/>
      </c>
      <c r="E1184" s="1162"/>
      <c r="F1184" s="805"/>
      <c r="H1184" s="64"/>
      <c r="I1184" s="64"/>
    </row>
    <row r="1185" spans="1:8" ht="32.25" customHeight="1">
      <c r="A1185" s="803">
        <v>14</v>
      </c>
      <c r="B1185" s="804" t="s">
        <v>122</v>
      </c>
      <c r="C1185" s="805" t="str">
        <f>IF(B1190="","",INDEX(NXetHKI!$B$3:$CL$57,MATCH(InNXKI!B1190,NXetHKI!$B$3:$B$57,0),INDEX($J$12:$K$25,MATCH($B1185,$I$12:$I$25,0),J$11)))</f>
        <v/>
      </c>
      <c r="D1185" s="1161" t="str">
        <f>IF(B1190="","",INDEX(NXetHKI!$B$3:$CL$57,MATCH(InNXKI!B1190,NXetHKI!$B$3:$B$57,0),INDEX($J$12:$K$25,MATCH($B1185,$I$12:$I$25,0),K$11)))</f>
        <v/>
      </c>
      <c r="E1185" s="1162"/>
      <c r="F1185" s="805"/>
      <c r="H1185" s="64"/>
    </row>
    <row r="1186" spans="1:8" ht="12" customHeight="1"/>
    <row r="1187" spans="1:8" ht="21.75" customHeight="1">
      <c r="D1187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187" s="1163"/>
      <c r="F1187" s="1163"/>
    </row>
    <row r="1188" spans="1:8">
      <c r="D1188" s="992" t="s">
        <v>377</v>
      </c>
      <c r="E1188" s="992"/>
      <c r="F1188" s="992"/>
    </row>
    <row r="1189" spans="1:8" ht="81" customHeight="1">
      <c r="D1189" s="923" t="str">
        <f>IF('Huong dan'!$E$5="","",'Huong dan'!$E$5)</f>
        <v/>
      </c>
      <c r="E1189" s="923"/>
      <c r="F1189" s="923"/>
    </row>
    <row r="1190" spans="1:8">
      <c r="A1190" s="811"/>
      <c r="B1190" s="711" t="str">
        <f>IF(B1161="","",IF(B1161&lt;MAX(NXetHKI!$B$3:$B$57),B1161+1,""))</f>
        <v/>
      </c>
      <c r="C1190" s="811"/>
      <c r="D1190" s="1157"/>
      <c r="E1190" s="1157"/>
      <c r="F1190" s="1157"/>
    </row>
    <row r="1191" spans="1:8" s="60" customFormat="1" ht="24.75" customHeight="1">
      <c r="A1191" s="1128" t="str">
        <f>IF('Huong dan'!$E$3&lt;&gt;"","SỞ GIÁO DỤC VÀ ĐÀO TẠO "&amp;UPPER('Huong dan'!$E$3),"")</f>
        <v>SỞ GIÁO DỤC VÀ ĐÀO TẠO TP. HỒ CHÍ MINH</v>
      </c>
      <c r="B1191" s="1128"/>
      <c r="C1191" s="1128"/>
      <c r="D1191" s="1128"/>
      <c r="E1191" s="1129" t="s">
        <v>19</v>
      </c>
      <c r="F1191" s="1129"/>
    </row>
    <row r="1192" spans="1:8" ht="17.25" customHeight="1">
      <c r="A1192" s="992" t="str">
        <f>IF('Huong dan'!$E$4&lt;&gt;"","TRƯỜNG "&amp;UPPER('Huong dan'!$E$4),"")</f>
        <v>TRƯỜNG THCS VÀ THPT NGUYỄN KHUYẾN</v>
      </c>
      <c r="B1192" s="992"/>
      <c r="C1192" s="992"/>
      <c r="D1192" s="992"/>
      <c r="E1192" s="1130" t="s">
        <v>179</v>
      </c>
      <c r="F1192" s="1130"/>
    </row>
    <row r="1193" spans="1:8" ht="20.25" customHeight="1">
      <c r="A1193" s="69"/>
      <c r="B1193" s="69"/>
      <c r="C1193" s="30"/>
      <c r="D1193" s="30"/>
    </row>
    <row r="1194" spans="1:8" ht="28.5" customHeight="1">
      <c r="A1194" s="1164" t="s">
        <v>567</v>
      </c>
      <c r="B1194" s="1164"/>
      <c r="C1194" s="1164"/>
      <c r="D1194" s="1164"/>
      <c r="E1194" s="1164"/>
      <c r="F1194" s="1164"/>
    </row>
    <row r="1195" spans="1:8" ht="24.75" customHeight="1">
      <c r="A1195" s="1164" t="str">
        <f>"HỌC KỲ I NĂM HỌC "&amp;'Huong dan'!$C$5</f>
        <v>HỌC KỲ I NĂM HỌC 2021 - 2022</v>
      </c>
      <c r="B1195" s="1164"/>
      <c r="C1195" s="1164"/>
      <c r="D1195" s="1164"/>
      <c r="E1195" s="1164"/>
      <c r="F1195" s="1164"/>
    </row>
    <row r="1196" spans="1:8" ht="14.25" customHeight="1">
      <c r="A1196" s="70"/>
      <c r="B1196" s="66"/>
      <c r="C1196" s="66"/>
      <c r="D1196" s="66"/>
      <c r="E1196" s="66"/>
      <c r="F1196" s="66"/>
    </row>
    <row r="1197" spans="1:8" ht="18.75" customHeight="1">
      <c r="A1197" s="1158" t="s">
        <v>212</v>
      </c>
      <c r="B1197" s="1158"/>
      <c r="C1197" s="1158"/>
      <c r="D1197" s="77" t="str">
        <f>IF(B1219="","",INDEX(NXetHKI!$B$3:$CL$57,MATCH(InNXKI!B1219,NXetHKI!$B$3:$B$57,0),3)&amp;" "&amp;INDEX(NXetHKI!$B$3:$CL$57,MATCH(InNXKI!B1219,NXetHKI!$B$3:$B$57,0),4))</f>
        <v/>
      </c>
      <c r="E1197" s="77"/>
      <c r="F1197" s="77" t="str">
        <f>IF('Huong dan'!$C$3="","","Lớp: "&amp;'Huong dan'!$C$3)</f>
        <v>Lớp: 12A1</v>
      </c>
    </row>
    <row r="1198" spans="1:8" ht="18.75" customHeight="1">
      <c r="A1198" s="1158" t="s">
        <v>213</v>
      </c>
      <c r="B1198" s="1158"/>
      <c r="C1198" s="1158"/>
      <c r="D1198" s="77" t="str">
        <f>INDEX(NXetHKI!$B$3:$CL$57,MATCH(InNXKI!B1219,NXetHKI!$B$3:$B$57,0),5)</f>
        <v/>
      </c>
      <c r="E1198" s="77"/>
      <c r="F1198" s="841" t="str">
        <f>IF(B1219="","","Nơi sinh: "&amp;INDEX(DiemHKI!$G$4:$G$58,MATCH(InNXKI!B1219,DiemHKI!$B$4:$B$58,0),1))</f>
        <v/>
      </c>
    </row>
    <row r="1199" spans="1:8" ht="9.75" customHeight="1">
      <c r="A1199" s="62"/>
      <c r="B1199" s="62"/>
      <c r="C1199" s="62"/>
      <c r="D1199" s="62"/>
      <c r="E1199" s="62"/>
      <c r="F1199" s="62"/>
    </row>
    <row r="1200" spans="1:8" ht="34.5" customHeight="1">
      <c r="A1200" s="801" t="s">
        <v>0</v>
      </c>
      <c r="B1200" s="801" t="s">
        <v>59</v>
      </c>
      <c r="C1200" s="806" t="s">
        <v>360</v>
      </c>
      <c r="D1200" s="1159" t="s">
        <v>568</v>
      </c>
      <c r="E1200" s="1160"/>
      <c r="F1200" s="802" t="s">
        <v>569</v>
      </c>
    </row>
    <row r="1201" spans="1:9" ht="32.25" customHeight="1">
      <c r="A1201" s="803" t="s">
        <v>191</v>
      </c>
      <c r="B1201" s="804" t="s">
        <v>26</v>
      </c>
      <c r="C1201" s="805" t="str">
        <f>IF(B1219="","",INDEX(NXetHKI!$B$3:$CL$57,MATCH(InNXKI!B1219,NXetHKI!$B$3:$B$57,0),INDEX($J$12:$K$25,MATCH($B1201,$I$12:$I$25,0),J$11)))</f>
        <v/>
      </c>
      <c r="D1201" s="1161" t="str">
        <f>IF(B1219="","",INDEX(NXetHKI!$B$3:$CL$57,MATCH(InNXKI!B1219,NXetHKI!$B$3:$B$57,0),INDEX($J$12:$K$25,MATCH($B1201,$I$12:$I$25,0),K$11)))</f>
        <v/>
      </c>
      <c r="E1201" s="1162"/>
      <c r="F1201" s="805"/>
      <c r="H1201" s="64"/>
      <c r="I1201" s="64"/>
    </row>
    <row r="1202" spans="1:9" ht="32.25" customHeight="1">
      <c r="A1202" s="803" t="s">
        <v>192</v>
      </c>
      <c r="B1202" s="804" t="s">
        <v>27</v>
      </c>
      <c r="C1202" s="805" t="str">
        <f>IF(B1219="","",INDEX(NXetHKI!$B$3:$CL$57,MATCH(InNXKI!B1219,NXetHKI!$B$3:$B$57,0),INDEX($J$12:$K$25,MATCH($B1202,$I$12:$I$25,0),J$11)))</f>
        <v/>
      </c>
      <c r="D1202" s="1161" t="str">
        <f>IF(B1219="","",INDEX(NXetHKI!$B$3:$CL$57,MATCH(InNXKI!B1219,NXetHKI!$B$3:$B$57,0),INDEX($J$12:$K$25,MATCH($B1202,$I$12:$I$25,0),K$11)))</f>
        <v/>
      </c>
      <c r="E1202" s="1162"/>
      <c r="F1202" s="805"/>
      <c r="H1202" s="64"/>
      <c r="I1202" s="64"/>
    </row>
    <row r="1203" spans="1:9" ht="32.25" customHeight="1">
      <c r="A1203" s="803" t="s">
        <v>193</v>
      </c>
      <c r="B1203" s="804" t="s">
        <v>28</v>
      </c>
      <c r="C1203" s="805" t="str">
        <f>IF(B1219="","",INDEX(NXetHKI!$B$3:$CL$57,MATCH(InNXKI!B1219,NXetHKI!$B$3:$B$57,0),INDEX($J$12:$K$25,MATCH($B1203,$I$12:$I$25,0),J$11)))</f>
        <v/>
      </c>
      <c r="D1203" s="1161" t="str">
        <f>IF(B1219="","",INDEX(NXetHKI!$B$3:$CL$57,MATCH(InNXKI!B1219,NXetHKI!$B$3:$B$57,0),INDEX($J$12:$K$25,MATCH($B1203,$I$12:$I$25,0),K$11)))</f>
        <v/>
      </c>
      <c r="E1203" s="1162"/>
      <c r="F1203" s="805"/>
      <c r="H1203" s="64"/>
      <c r="I1203" s="64"/>
    </row>
    <row r="1204" spans="1:9" ht="32.25" customHeight="1">
      <c r="A1204" s="803" t="s">
        <v>194</v>
      </c>
      <c r="B1204" s="804" t="s">
        <v>29</v>
      </c>
      <c r="C1204" s="805" t="str">
        <f>IF(B1219="","",INDEX(NXetHKI!$B$3:$CL$57,MATCH(InNXKI!B1219,NXetHKI!$B$3:$B$57,0),INDEX($J$12:$K$25,MATCH($B1204,$I$12:$I$25,0),J$11)))</f>
        <v/>
      </c>
      <c r="D1204" s="1161" t="str">
        <f>IF(B1219="","",INDEX(NXetHKI!$B$3:$CL$57,MATCH(InNXKI!B1219,NXetHKI!$B$3:$B$57,0),INDEX($J$12:$K$25,MATCH($B1204,$I$12:$I$25,0),K$11)))</f>
        <v/>
      </c>
      <c r="E1204" s="1162"/>
      <c r="F1204" s="805"/>
      <c r="H1204" s="64"/>
      <c r="I1204" s="64"/>
    </row>
    <row r="1205" spans="1:9" ht="32.25" customHeight="1">
      <c r="A1205" s="803" t="s">
        <v>195</v>
      </c>
      <c r="B1205" s="804" t="s">
        <v>120</v>
      </c>
      <c r="C1205" s="805" t="str">
        <f>IF(B1219="","",INDEX(NXetHKI!$B$3:$CL$57,MATCH(InNXKI!B1219,NXetHKI!$B$3:$B$57,0),INDEX($J$12:$K$25,MATCH($B1205,$I$12:$I$25,0),J$11)))</f>
        <v/>
      </c>
      <c r="D1205" s="1161" t="str">
        <f>IF(B1219="","",INDEX(NXetHKI!$B$3:$CL$57,MATCH(InNXKI!B1219,NXetHKI!$B$3:$B$57,0),INDEX($J$12:$K$25,MATCH($B1205,$I$12:$I$25,0),K$11)))</f>
        <v/>
      </c>
      <c r="E1205" s="1162"/>
      <c r="F1205" s="805"/>
      <c r="H1205" s="64"/>
      <c r="I1205" s="64"/>
    </row>
    <row r="1206" spans="1:9" ht="32.25" customHeight="1">
      <c r="A1206" s="803" t="s">
        <v>196</v>
      </c>
      <c r="B1206" s="804" t="s">
        <v>30</v>
      </c>
      <c r="C1206" s="805" t="str">
        <f>IF(B1219="","",INDEX(NXetHKI!$B$3:$CL$57,MATCH(InNXKI!B1219,NXetHKI!$B$3:$B$57,0),INDEX($J$12:$K$25,MATCH($B1206,$I$12:$I$25,0),J$11)))</f>
        <v/>
      </c>
      <c r="D1206" s="1161" t="str">
        <f>IF(B1219="","",INDEX(NXetHKI!$B$3:$CL$57,MATCH(InNXKI!B1219,NXetHKI!$B$3:$B$57,0),INDEX($J$12:$K$25,MATCH($B1206,$I$12:$I$25,0),K$11)))</f>
        <v/>
      </c>
      <c r="E1206" s="1162"/>
      <c r="F1206" s="805"/>
      <c r="H1206" s="64"/>
      <c r="I1206" s="64"/>
    </row>
    <row r="1207" spans="1:9" ht="32.25" customHeight="1">
      <c r="A1207" s="803" t="s">
        <v>197</v>
      </c>
      <c r="B1207" s="804" t="s">
        <v>31</v>
      </c>
      <c r="C1207" s="805" t="str">
        <f>IF(B1219="","",INDEX(NXetHKI!$B$3:$CL$57,MATCH(InNXKI!B1219,NXetHKI!$B$3:$B$57,0),INDEX($J$12:$K$25,MATCH($B1207,$I$12:$I$25,0),J$11)))</f>
        <v/>
      </c>
      <c r="D1207" s="1161" t="str">
        <f>IF(B1219="","",INDEX(NXetHKI!$B$3:$CL$57,MATCH(InNXKI!B1219,NXetHKI!$B$3:$B$57,0),INDEX($J$12:$K$25,MATCH($B1207,$I$12:$I$25,0),K$11)))</f>
        <v/>
      </c>
      <c r="E1207" s="1162"/>
      <c r="F1207" s="805"/>
      <c r="H1207" s="64"/>
      <c r="I1207" s="64"/>
    </row>
    <row r="1208" spans="1:9" ht="32.25" customHeight="1">
      <c r="A1208" s="803" t="s">
        <v>198</v>
      </c>
      <c r="B1208" s="804" t="s">
        <v>32</v>
      </c>
      <c r="C1208" s="805" t="str">
        <f>IF(B1219="","",INDEX(NXetHKI!$B$3:$CL$57,MATCH(InNXKI!B1219,NXetHKI!$B$3:$B$57,0),INDEX($J$12:$K$25,MATCH($B1208,$I$12:$I$25,0),J$11)))</f>
        <v/>
      </c>
      <c r="D1208" s="1161" t="str">
        <f>IF(B1219="","",INDEX(NXetHKI!$B$3:$CL$57,MATCH(InNXKI!B1219,NXetHKI!$B$3:$B$57,0),INDEX($J$12:$K$25,MATCH($B1208,$I$12:$I$25,0),K$11)))</f>
        <v/>
      </c>
      <c r="E1208" s="1162"/>
      <c r="F1208" s="805"/>
      <c r="H1208" s="64"/>
      <c r="I1208" s="64"/>
    </row>
    <row r="1209" spans="1:9" ht="32.25" customHeight="1">
      <c r="A1209" s="803" t="s">
        <v>199</v>
      </c>
      <c r="B1209" s="804" t="s">
        <v>33</v>
      </c>
      <c r="C1209" s="805" t="str">
        <f>IF(B1219="","",INDEX(NXetHKI!$B$3:$CL$57,MATCH(InNXKI!B1219,NXetHKI!$B$3:$B$57,0),INDEX($J$12:$K$25,MATCH($B1209,$I$12:$I$25,0),J$11)))</f>
        <v/>
      </c>
      <c r="D1209" s="1161" t="str">
        <f>IF(B1219="","",INDEX(NXetHKI!$B$3:$CL$57,MATCH(InNXKI!B1219,NXetHKI!$B$3:$B$57,0),INDEX($J$12:$K$25,MATCH($B1209,$I$12:$I$25,0),K$11)))</f>
        <v/>
      </c>
      <c r="E1209" s="1162"/>
      <c r="F1209" s="805"/>
      <c r="H1209" s="64"/>
      <c r="I1209" s="64"/>
    </row>
    <row r="1210" spans="1:9" ht="32.25" customHeight="1">
      <c r="A1210" s="803" t="s">
        <v>200</v>
      </c>
      <c r="B1210" s="804" t="s">
        <v>60</v>
      </c>
      <c r="C1210" s="805" t="str">
        <f>IF(B1219="","",INDEX(NXetHKI!$B$3:$CL$57,MATCH(InNXKI!B1219,NXetHKI!$B$3:$B$57,0),INDEX($J$12:$K$25,MATCH($B1210,$I$12:$I$25,0),J$11)))</f>
        <v/>
      </c>
      <c r="D1210" s="1161" t="str">
        <f>IF(B1219="","",INDEX(NXetHKI!$B$3:$CL$57,MATCH(InNXKI!B1219,NXetHKI!$B$3:$B$57,0),INDEX($J$12:$K$25,MATCH($B1210,$I$12:$I$25,0),K$11)))</f>
        <v/>
      </c>
      <c r="E1210" s="1162"/>
      <c r="F1210" s="805"/>
      <c r="H1210" s="64"/>
      <c r="I1210" s="64"/>
    </row>
    <row r="1211" spans="1:9" ht="32.25" customHeight="1">
      <c r="A1211" s="803" t="s">
        <v>201</v>
      </c>
      <c r="B1211" s="804" t="s">
        <v>34</v>
      </c>
      <c r="C1211" s="805" t="str">
        <f>IF(B1219="","",INDEX(NXetHKI!$B$3:$CL$57,MATCH(InNXKI!B1219,NXetHKI!$B$3:$B$57,0),INDEX($J$12:$K$25,MATCH($B1211,$I$12:$I$25,0),J$11)))</f>
        <v/>
      </c>
      <c r="D1211" s="1161" t="str">
        <f>IF(B1219="","",INDEX(NXetHKI!$B$3:$CL$57,MATCH(InNXKI!B1219,NXetHKI!$B$3:$B$57,0),INDEX($J$12:$K$25,MATCH($B1211,$I$12:$I$25,0),K$11)))</f>
        <v/>
      </c>
      <c r="E1211" s="1162"/>
      <c r="F1211" s="805"/>
      <c r="H1211" s="64"/>
      <c r="I1211" s="64"/>
    </row>
    <row r="1212" spans="1:9" ht="32.25" customHeight="1">
      <c r="A1212" s="803" t="s">
        <v>202</v>
      </c>
      <c r="B1212" s="804" t="s">
        <v>35</v>
      </c>
      <c r="C1212" s="805" t="str">
        <f>IF(B1219="","",INDEX(NXetHKI!$B$3:$CL$57,MATCH(InNXKI!B1219,NXetHKI!$B$3:$B$57,0),INDEX($J$12:$K$25,MATCH($B1212,$I$12:$I$25,0),J$11)))</f>
        <v/>
      </c>
      <c r="D1212" s="1161" t="str">
        <f>IF(B1219="","",INDEX(NXetHKI!$B$3:$CL$57,MATCH(InNXKI!B1219,NXetHKI!$B$3:$B$57,0),INDEX($J$12:$K$25,MATCH($B1212,$I$12:$I$25,0),K$11)))</f>
        <v/>
      </c>
      <c r="E1212" s="1162"/>
      <c r="F1212" s="805"/>
      <c r="H1212" s="64"/>
      <c r="I1212" s="64"/>
    </row>
    <row r="1213" spans="1:9" ht="32.25" customHeight="1">
      <c r="A1213" s="803" t="s">
        <v>203</v>
      </c>
      <c r="B1213" s="804" t="s">
        <v>121</v>
      </c>
      <c r="C1213" s="805" t="str">
        <f>IF(B1219="","",INDEX(NXetHKI!$B$3:$CL$57,MATCH(InNXKI!B1219,NXetHKI!$B$3:$B$57,0),INDEX($J$12:$K$25,MATCH($B1213,$I$12:$I$25,0),J$11)))</f>
        <v/>
      </c>
      <c r="D1213" s="1161" t="str">
        <f>IF(B1219="","",INDEX(NXetHKI!$B$3:$CL$57,MATCH(InNXKI!B1219,NXetHKI!$B$3:$B$57,0),INDEX($J$12:$K$25,MATCH($B1213,$I$12:$I$25,0),K$11)))</f>
        <v/>
      </c>
      <c r="E1213" s="1162"/>
      <c r="F1213" s="805"/>
      <c r="H1213" s="64"/>
      <c r="I1213" s="64"/>
    </row>
    <row r="1214" spans="1:9" ht="32.25" customHeight="1">
      <c r="A1214" s="803">
        <v>14</v>
      </c>
      <c r="B1214" s="804" t="s">
        <v>122</v>
      </c>
      <c r="C1214" s="805" t="str">
        <f>IF(B1219="","",INDEX(NXetHKI!$B$3:$CL$57,MATCH(InNXKI!B1219,NXetHKI!$B$3:$B$57,0),INDEX($J$12:$K$25,MATCH($B1214,$I$12:$I$25,0),J$11)))</f>
        <v/>
      </c>
      <c r="D1214" s="1161" t="str">
        <f>IF(B1219="","",INDEX(NXetHKI!$B$3:$CL$57,MATCH(InNXKI!B1219,NXetHKI!$B$3:$B$57,0),INDEX($J$12:$K$25,MATCH($B1214,$I$12:$I$25,0),K$11)))</f>
        <v/>
      </c>
      <c r="E1214" s="1162"/>
      <c r="F1214" s="805"/>
      <c r="H1214" s="64"/>
    </row>
    <row r="1215" spans="1:9" ht="12" customHeight="1"/>
    <row r="1216" spans="1:9" ht="21.75" customHeight="1">
      <c r="D1216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216" s="1163"/>
      <c r="F1216" s="1163"/>
    </row>
    <row r="1217" spans="1:9">
      <c r="D1217" s="992" t="s">
        <v>377</v>
      </c>
      <c r="E1217" s="992"/>
      <c r="F1217" s="992"/>
    </row>
    <row r="1218" spans="1:9" ht="81" customHeight="1">
      <c r="D1218" s="923" t="str">
        <f>IF('Huong dan'!$E$5="","",'Huong dan'!$E$5)</f>
        <v/>
      </c>
      <c r="E1218" s="923"/>
      <c r="F1218" s="923"/>
    </row>
    <row r="1219" spans="1:9">
      <c r="A1219" s="811"/>
      <c r="B1219" s="711" t="str">
        <f>IF(B1190="","",IF(B1190&lt;MAX(NXetHKI!$B$3:$B$57),B1190+1,""))</f>
        <v/>
      </c>
      <c r="C1219" s="811"/>
      <c r="D1219" s="1157"/>
      <c r="E1219" s="1157"/>
      <c r="F1219" s="1157"/>
    </row>
    <row r="1220" spans="1:9" s="60" customFormat="1" ht="24.75" customHeight="1">
      <c r="A1220" s="1128" t="str">
        <f>IF('Huong dan'!$E$3&lt;&gt;"","SỞ GIÁO DỤC VÀ ĐÀO TẠO "&amp;UPPER('Huong dan'!$E$3),"")</f>
        <v>SỞ GIÁO DỤC VÀ ĐÀO TẠO TP. HỒ CHÍ MINH</v>
      </c>
      <c r="B1220" s="1128"/>
      <c r="C1220" s="1128"/>
      <c r="D1220" s="1128"/>
      <c r="E1220" s="1129" t="s">
        <v>19</v>
      </c>
      <c r="F1220" s="1129"/>
    </row>
    <row r="1221" spans="1:9" ht="17.25" customHeight="1">
      <c r="A1221" s="992" t="str">
        <f>IF('Huong dan'!$E$4&lt;&gt;"","TRƯỜNG "&amp;UPPER('Huong dan'!$E$4),"")</f>
        <v>TRƯỜNG THCS VÀ THPT NGUYỄN KHUYẾN</v>
      </c>
      <c r="B1221" s="992"/>
      <c r="C1221" s="992"/>
      <c r="D1221" s="992"/>
      <c r="E1221" s="1130" t="s">
        <v>179</v>
      </c>
      <c r="F1221" s="1130"/>
    </row>
    <row r="1222" spans="1:9" ht="20.25" customHeight="1">
      <c r="A1222" s="69"/>
      <c r="B1222" s="69"/>
      <c r="C1222" s="30"/>
      <c r="D1222" s="30"/>
    </row>
    <row r="1223" spans="1:9" ht="28.5" customHeight="1">
      <c r="A1223" s="1164" t="s">
        <v>567</v>
      </c>
      <c r="B1223" s="1164"/>
      <c r="C1223" s="1164"/>
      <c r="D1223" s="1164"/>
      <c r="E1223" s="1164"/>
      <c r="F1223" s="1164"/>
    </row>
    <row r="1224" spans="1:9" ht="24.75" customHeight="1">
      <c r="A1224" s="1164" t="str">
        <f>"HỌC KỲ I NĂM HỌC "&amp;'Huong dan'!$C$5</f>
        <v>HỌC KỲ I NĂM HỌC 2021 - 2022</v>
      </c>
      <c r="B1224" s="1164"/>
      <c r="C1224" s="1164"/>
      <c r="D1224" s="1164"/>
      <c r="E1224" s="1164"/>
      <c r="F1224" s="1164"/>
    </row>
    <row r="1225" spans="1:9" ht="14.25" customHeight="1">
      <c r="A1225" s="70"/>
      <c r="B1225" s="66"/>
      <c r="C1225" s="66"/>
      <c r="D1225" s="66"/>
      <c r="E1225" s="66"/>
      <c r="F1225" s="66"/>
    </row>
    <row r="1226" spans="1:9" ht="18.75" customHeight="1">
      <c r="A1226" s="1158" t="s">
        <v>212</v>
      </c>
      <c r="B1226" s="1158"/>
      <c r="C1226" s="1158"/>
      <c r="D1226" s="77" t="str">
        <f>IF(B1248="","",INDEX(NXetHKI!$B$3:$CL$57,MATCH(InNXKI!B1248,NXetHKI!$B$3:$B$57,0),3)&amp;" "&amp;INDEX(NXetHKI!$B$3:$CL$57,MATCH(InNXKI!B1248,NXetHKI!$B$3:$B$57,0),4))</f>
        <v/>
      </c>
      <c r="E1226" s="77"/>
      <c r="F1226" s="77" t="str">
        <f>IF('Huong dan'!$C$3="","","Lớp: "&amp;'Huong dan'!$C$3)</f>
        <v>Lớp: 12A1</v>
      </c>
    </row>
    <row r="1227" spans="1:9" ht="18.75" customHeight="1">
      <c r="A1227" s="1158" t="s">
        <v>213</v>
      </c>
      <c r="B1227" s="1158"/>
      <c r="C1227" s="1158"/>
      <c r="D1227" s="77" t="str">
        <f>INDEX(NXetHKI!$B$3:$CL$57,MATCH(InNXKI!B1248,NXetHKI!$B$3:$B$57,0),5)</f>
        <v/>
      </c>
      <c r="E1227" s="77"/>
      <c r="F1227" s="841" t="str">
        <f>IF(B1248="","","Nơi sinh: "&amp;INDEX(DiemHKI!$G$4:$G$58,MATCH(InNXKI!B1248,DiemHKI!$B$4:$B$58,0),1))</f>
        <v/>
      </c>
    </row>
    <row r="1228" spans="1:9" ht="9.75" customHeight="1">
      <c r="A1228" s="62"/>
      <c r="B1228" s="62"/>
      <c r="C1228" s="62"/>
      <c r="D1228" s="62"/>
      <c r="E1228" s="62"/>
      <c r="F1228" s="62"/>
    </row>
    <row r="1229" spans="1:9" ht="34.5" customHeight="1">
      <c r="A1229" s="801" t="s">
        <v>0</v>
      </c>
      <c r="B1229" s="801" t="s">
        <v>59</v>
      </c>
      <c r="C1229" s="806" t="s">
        <v>360</v>
      </c>
      <c r="D1229" s="1159" t="s">
        <v>568</v>
      </c>
      <c r="E1229" s="1160"/>
      <c r="F1229" s="802" t="s">
        <v>569</v>
      </c>
    </row>
    <row r="1230" spans="1:9" ht="32.25" customHeight="1">
      <c r="A1230" s="803" t="s">
        <v>191</v>
      </c>
      <c r="B1230" s="804" t="s">
        <v>26</v>
      </c>
      <c r="C1230" s="805" t="str">
        <f>IF(B1248="","",INDEX(NXetHKI!$B$3:$CL$57,MATCH(InNXKI!B1248,NXetHKI!$B$3:$B$57,0),INDEX($J$12:$K$25,MATCH($B1230,$I$12:$I$25,0),J$11)))</f>
        <v/>
      </c>
      <c r="D1230" s="1161" t="str">
        <f>IF(B1248="","",INDEX(NXetHKI!$B$3:$CL$57,MATCH(InNXKI!B1248,NXetHKI!$B$3:$B$57,0),INDEX($J$12:$K$25,MATCH($B1230,$I$12:$I$25,0),K$11)))</f>
        <v/>
      </c>
      <c r="E1230" s="1162"/>
      <c r="F1230" s="805"/>
      <c r="H1230" s="64"/>
      <c r="I1230" s="64"/>
    </row>
    <row r="1231" spans="1:9" ht="32.25" customHeight="1">
      <c r="A1231" s="803" t="s">
        <v>192</v>
      </c>
      <c r="B1231" s="804" t="s">
        <v>27</v>
      </c>
      <c r="C1231" s="805" t="str">
        <f>IF(B1248="","",INDEX(NXetHKI!$B$3:$CL$57,MATCH(InNXKI!B1248,NXetHKI!$B$3:$B$57,0),INDEX($J$12:$K$25,MATCH($B1231,$I$12:$I$25,0),J$11)))</f>
        <v/>
      </c>
      <c r="D1231" s="1161" t="str">
        <f>IF(B1248="","",INDEX(NXetHKI!$B$3:$CL$57,MATCH(InNXKI!B1248,NXetHKI!$B$3:$B$57,0),INDEX($J$12:$K$25,MATCH($B1231,$I$12:$I$25,0),K$11)))</f>
        <v/>
      </c>
      <c r="E1231" s="1162"/>
      <c r="F1231" s="805"/>
      <c r="H1231" s="64"/>
      <c r="I1231" s="64"/>
    </row>
    <row r="1232" spans="1:9" ht="32.25" customHeight="1">
      <c r="A1232" s="803" t="s">
        <v>193</v>
      </c>
      <c r="B1232" s="804" t="s">
        <v>28</v>
      </c>
      <c r="C1232" s="805" t="str">
        <f>IF(B1248="","",INDEX(NXetHKI!$B$3:$CL$57,MATCH(InNXKI!B1248,NXetHKI!$B$3:$B$57,0),INDEX($J$12:$K$25,MATCH($B1232,$I$12:$I$25,0),J$11)))</f>
        <v/>
      </c>
      <c r="D1232" s="1161" t="str">
        <f>IF(B1248="","",INDEX(NXetHKI!$B$3:$CL$57,MATCH(InNXKI!B1248,NXetHKI!$B$3:$B$57,0),INDEX($J$12:$K$25,MATCH($B1232,$I$12:$I$25,0),K$11)))</f>
        <v/>
      </c>
      <c r="E1232" s="1162"/>
      <c r="F1232" s="805"/>
      <c r="H1232" s="64"/>
      <c r="I1232" s="64"/>
    </row>
    <row r="1233" spans="1:9" ht="32.25" customHeight="1">
      <c r="A1233" s="803" t="s">
        <v>194</v>
      </c>
      <c r="B1233" s="804" t="s">
        <v>29</v>
      </c>
      <c r="C1233" s="805" t="str">
        <f>IF(B1248="","",INDEX(NXetHKI!$B$3:$CL$57,MATCH(InNXKI!B1248,NXetHKI!$B$3:$B$57,0),INDEX($J$12:$K$25,MATCH($B1233,$I$12:$I$25,0),J$11)))</f>
        <v/>
      </c>
      <c r="D1233" s="1161" t="str">
        <f>IF(B1248="","",INDEX(NXetHKI!$B$3:$CL$57,MATCH(InNXKI!B1248,NXetHKI!$B$3:$B$57,0),INDEX($J$12:$K$25,MATCH($B1233,$I$12:$I$25,0),K$11)))</f>
        <v/>
      </c>
      <c r="E1233" s="1162"/>
      <c r="F1233" s="805"/>
      <c r="H1233" s="64"/>
      <c r="I1233" s="64"/>
    </row>
    <row r="1234" spans="1:9" ht="32.25" customHeight="1">
      <c r="A1234" s="803" t="s">
        <v>195</v>
      </c>
      <c r="B1234" s="804" t="s">
        <v>120</v>
      </c>
      <c r="C1234" s="805" t="str">
        <f>IF(B1248="","",INDEX(NXetHKI!$B$3:$CL$57,MATCH(InNXKI!B1248,NXetHKI!$B$3:$B$57,0),INDEX($J$12:$K$25,MATCH($B1234,$I$12:$I$25,0),J$11)))</f>
        <v/>
      </c>
      <c r="D1234" s="1161" t="str">
        <f>IF(B1248="","",INDEX(NXetHKI!$B$3:$CL$57,MATCH(InNXKI!B1248,NXetHKI!$B$3:$B$57,0),INDEX($J$12:$K$25,MATCH($B1234,$I$12:$I$25,0),K$11)))</f>
        <v/>
      </c>
      <c r="E1234" s="1162"/>
      <c r="F1234" s="805"/>
      <c r="H1234" s="64"/>
      <c r="I1234" s="64"/>
    </row>
    <row r="1235" spans="1:9" ht="32.25" customHeight="1">
      <c r="A1235" s="803" t="s">
        <v>196</v>
      </c>
      <c r="B1235" s="804" t="s">
        <v>30</v>
      </c>
      <c r="C1235" s="805" t="str">
        <f>IF(B1248="","",INDEX(NXetHKI!$B$3:$CL$57,MATCH(InNXKI!B1248,NXetHKI!$B$3:$B$57,0),INDEX($J$12:$K$25,MATCH($B1235,$I$12:$I$25,0),J$11)))</f>
        <v/>
      </c>
      <c r="D1235" s="1161" t="str">
        <f>IF(B1248="","",INDEX(NXetHKI!$B$3:$CL$57,MATCH(InNXKI!B1248,NXetHKI!$B$3:$B$57,0),INDEX($J$12:$K$25,MATCH($B1235,$I$12:$I$25,0),K$11)))</f>
        <v/>
      </c>
      <c r="E1235" s="1162"/>
      <c r="F1235" s="805"/>
      <c r="H1235" s="64"/>
      <c r="I1235" s="64"/>
    </row>
    <row r="1236" spans="1:9" ht="32.25" customHeight="1">
      <c r="A1236" s="803" t="s">
        <v>197</v>
      </c>
      <c r="B1236" s="804" t="s">
        <v>31</v>
      </c>
      <c r="C1236" s="805" t="str">
        <f>IF(B1248="","",INDEX(NXetHKI!$B$3:$CL$57,MATCH(InNXKI!B1248,NXetHKI!$B$3:$B$57,0),INDEX($J$12:$K$25,MATCH($B1236,$I$12:$I$25,0),J$11)))</f>
        <v/>
      </c>
      <c r="D1236" s="1161" t="str">
        <f>IF(B1248="","",INDEX(NXetHKI!$B$3:$CL$57,MATCH(InNXKI!B1248,NXetHKI!$B$3:$B$57,0),INDEX($J$12:$K$25,MATCH($B1236,$I$12:$I$25,0),K$11)))</f>
        <v/>
      </c>
      <c r="E1236" s="1162"/>
      <c r="F1236" s="805"/>
      <c r="H1236" s="64"/>
      <c r="I1236" s="64"/>
    </row>
    <row r="1237" spans="1:9" ht="32.25" customHeight="1">
      <c r="A1237" s="803" t="s">
        <v>198</v>
      </c>
      <c r="B1237" s="804" t="s">
        <v>32</v>
      </c>
      <c r="C1237" s="805" t="str">
        <f>IF(B1248="","",INDEX(NXetHKI!$B$3:$CL$57,MATCH(InNXKI!B1248,NXetHKI!$B$3:$B$57,0),INDEX($J$12:$K$25,MATCH($B1237,$I$12:$I$25,0),J$11)))</f>
        <v/>
      </c>
      <c r="D1237" s="1161" t="str">
        <f>IF(B1248="","",INDEX(NXetHKI!$B$3:$CL$57,MATCH(InNXKI!B1248,NXetHKI!$B$3:$B$57,0),INDEX($J$12:$K$25,MATCH($B1237,$I$12:$I$25,0),K$11)))</f>
        <v/>
      </c>
      <c r="E1237" s="1162"/>
      <c r="F1237" s="805"/>
      <c r="H1237" s="64"/>
      <c r="I1237" s="64"/>
    </row>
    <row r="1238" spans="1:9" ht="32.25" customHeight="1">
      <c r="A1238" s="803" t="s">
        <v>199</v>
      </c>
      <c r="B1238" s="804" t="s">
        <v>33</v>
      </c>
      <c r="C1238" s="805" t="str">
        <f>IF(B1248="","",INDEX(NXetHKI!$B$3:$CL$57,MATCH(InNXKI!B1248,NXetHKI!$B$3:$B$57,0),INDEX($J$12:$K$25,MATCH($B1238,$I$12:$I$25,0),J$11)))</f>
        <v/>
      </c>
      <c r="D1238" s="1161" t="str">
        <f>IF(B1248="","",INDEX(NXetHKI!$B$3:$CL$57,MATCH(InNXKI!B1248,NXetHKI!$B$3:$B$57,0),INDEX($J$12:$K$25,MATCH($B1238,$I$12:$I$25,0),K$11)))</f>
        <v/>
      </c>
      <c r="E1238" s="1162"/>
      <c r="F1238" s="805"/>
      <c r="H1238" s="64"/>
      <c r="I1238" s="64"/>
    </row>
    <row r="1239" spans="1:9" ht="32.25" customHeight="1">
      <c r="A1239" s="803" t="s">
        <v>200</v>
      </c>
      <c r="B1239" s="804" t="s">
        <v>60</v>
      </c>
      <c r="C1239" s="805" t="str">
        <f>IF(B1248="","",INDEX(NXetHKI!$B$3:$CL$57,MATCH(InNXKI!B1248,NXetHKI!$B$3:$B$57,0),INDEX($J$12:$K$25,MATCH($B1239,$I$12:$I$25,0),J$11)))</f>
        <v/>
      </c>
      <c r="D1239" s="1161" t="str">
        <f>IF(B1248="","",INDEX(NXetHKI!$B$3:$CL$57,MATCH(InNXKI!B1248,NXetHKI!$B$3:$B$57,0),INDEX($J$12:$K$25,MATCH($B1239,$I$12:$I$25,0),K$11)))</f>
        <v/>
      </c>
      <c r="E1239" s="1162"/>
      <c r="F1239" s="805"/>
      <c r="H1239" s="64"/>
      <c r="I1239" s="64"/>
    </row>
    <row r="1240" spans="1:9" ht="32.25" customHeight="1">
      <c r="A1240" s="803" t="s">
        <v>201</v>
      </c>
      <c r="B1240" s="804" t="s">
        <v>34</v>
      </c>
      <c r="C1240" s="805" t="str">
        <f>IF(B1248="","",INDEX(NXetHKI!$B$3:$CL$57,MATCH(InNXKI!B1248,NXetHKI!$B$3:$B$57,0),INDEX($J$12:$K$25,MATCH($B1240,$I$12:$I$25,0),J$11)))</f>
        <v/>
      </c>
      <c r="D1240" s="1161" t="str">
        <f>IF(B1248="","",INDEX(NXetHKI!$B$3:$CL$57,MATCH(InNXKI!B1248,NXetHKI!$B$3:$B$57,0),INDEX($J$12:$K$25,MATCH($B1240,$I$12:$I$25,0),K$11)))</f>
        <v/>
      </c>
      <c r="E1240" s="1162"/>
      <c r="F1240" s="805"/>
      <c r="H1240" s="64"/>
      <c r="I1240" s="64"/>
    </row>
    <row r="1241" spans="1:9" ht="32.25" customHeight="1">
      <c r="A1241" s="803" t="s">
        <v>202</v>
      </c>
      <c r="B1241" s="804" t="s">
        <v>35</v>
      </c>
      <c r="C1241" s="805" t="str">
        <f>IF(B1248="","",INDEX(NXetHKI!$B$3:$CL$57,MATCH(InNXKI!B1248,NXetHKI!$B$3:$B$57,0),INDEX($J$12:$K$25,MATCH($B1241,$I$12:$I$25,0),J$11)))</f>
        <v/>
      </c>
      <c r="D1241" s="1161" t="str">
        <f>IF(B1248="","",INDEX(NXetHKI!$B$3:$CL$57,MATCH(InNXKI!B1248,NXetHKI!$B$3:$B$57,0),INDEX($J$12:$K$25,MATCH($B1241,$I$12:$I$25,0),K$11)))</f>
        <v/>
      </c>
      <c r="E1241" s="1162"/>
      <c r="F1241" s="805"/>
      <c r="H1241" s="64"/>
      <c r="I1241" s="64"/>
    </row>
    <row r="1242" spans="1:9" ht="32.25" customHeight="1">
      <c r="A1242" s="803" t="s">
        <v>203</v>
      </c>
      <c r="B1242" s="804" t="s">
        <v>121</v>
      </c>
      <c r="C1242" s="805" t="str">
        <f>IF(B1248="","",INDEX(NXetHKI!$B$3:$CL$57,MATCH(InNXKI!B1248,NXetHKI!$B$3:$B$57,0),INDEX($J$12:$K$25,MATCH($B1242,$I$12:$I$25,0),J$11)))</f>
        <v/>
      </c>
      <c r="D1242" s="1161" t="str">
        <f>IF(B1248="","",INDEX(NXetHKI!$B$3:$CL$57,MATCH(InNXKI!B1248,NXetHKI!$B$3:$B$57,0),INDEX($J$12:$K$25,MATCH($B1242,$I$12:$I$25,0),K$11)))</f>
        <v/>
      </c>
      <c r="E1242" s="1162"/>
      <c r="F1242" s="805"/>
      <c r="H1242" s="64"/>
      <c r="I1242" s="64"/>
    </row>
    <row r="1243" spans="1:9" ht="32.25" customHeight="1">
      <c r="A1243" s="803">
        <v>14</v>
      </c>
      <c r="B1243" s="804" t="s">
        <v>122</v>
      </c>
      <c r="C1243" s="805" t="str">
        <f>IF(B1248="","",INDEX(NXetHKI!$B$3:$CL$57,MATCH(InNXKI!B1248,NXetHKI!$B$3:$B$57,0),INDEX($J$12:$K$25,MATCH($B1243,$I$12:$I$25,0),J$11)))</f>
        <v/>
      </c>
      <c r="D1243" s="1161" t="str">
        <f>IF(B1248="","",INDEX(NXetHKI!$B$3:$CL$57,MATCH(InNXKI!B1248,NXetHKI!$B$3:$B$57,0),INDEX($J$12:$K$25,MATCH($B1243,$I$12:$I$25,0),K$11)))</f>
        <v/>
      </c>
      <c r="E1243" s="1162"/>
      <c r="F1243" s="805"/>
      <c r="H1243" s="64"/>
    </row>
    <row r="1244" spans="1:9" ht="12" customHeight="1"/>
    <row r="1245" spans="1:9" ht="21.75" customHeight="1">
      <c r="D1245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245" s="1163"/>
      <c r="F1245" s="1163"/>
    </row>
    <row r="1246" spans="1:9">
      <c r="D1246" s="992" t="s">
        <v>377</v>
      </c>
      <c r="E1246" s="992"/>
      <c r="F1246" s="992"/>
    </row>
    <row r="1247" spans="1:9" ht="81" customHeight="1">
      <c r="D1247" s="923" t="str">
        <f>IF('Huong dan'!$E$5="","",'Huong dan'!$E$5)</f>
        <v/>
      </c>
      <c r="E1247" s="923"/>
      <c r="F1247" s="923"/>
    </row>
    <row r="1248" spans="1:9">
      <c r="A1248" s="811"/>
      <c r="B1248" s="711" t="str">
        <f>IF(B1219="","",IF(B1219&lt;MAX(NXetHKI!$B$3:$B$57),B1219+1,""))</f>
        <v/>
      </c>
      <c r="C1248" s="811"/>
      <c r="D1248" s="1157"/>
      <c r="E1248" s="1157"/>
      <c r="F1248" s="1157"/>
    </row>
    <row r="1249" spans="1:9" s="60" customFormat="1" ht="24.75" customHeight="1">
      <c r="A1249" s="1128" t="str">
        <f>IF('Huong dan'!$E$3&lt;&gt;"","SỞ GIÁO DỤC VÀ ĐÀO TẠO "&amp;UPPER('Huong dan'!$E$3),"")</f>
        <v>SỞ GIÁO DỤC VÀ ĐÀO TẠO TP. HỒ CHÍ MINH</v>
      </c>
      <c r="B1249" s="1128"/>
      <c r="C1249" s="1128"/>
      <c r="D1249" s="1128"/>
      <c r="E1249" s="1129" t="s">
        <v>19</v>
      </c>
      <c r="F1249" s="1129"/>
    </row>
    <row r="1250" spans="1:9" ht="17.25" customHeight="1">
      <c r="A1250" s="992" t="str">
        <f>IF('Huong dan'!$E$4&lt;&gt;"","TRƯỜNG "&amp;UPPER('Huong dan'!$E$4),"")</f>
        <v>TRƯỜNG THCS VÀ THPT NGUYỄN KHUYẾN</v>
      </c>
      <c r="B1250" s="992"/>
      <c r="C1250" s="992"/>
      <c r="D1250" s="992"/>
      <c r="E1250" s="1130" t="s">
        <v>179</v>
      </c>
      <c r="F1250" s="1130"/>
    </row>
    <row r="1251" spans="1:9" ht="20.25" customHeight="1">
      <c r="A1251" s="69"/>
      <c r="B1251" s="69"/>
      <c r="C1251" s="30"/>
      <c r="D1251" s="30"/>
    </row>
    <row r="1252" spans="1:9" ht="28.5" customHeight="1">
      <c r="A1252" s="1164" t="s">
        <v>567</v>
      </c>
      <c r="B1252" s="1164"/>
      <c r="C1252" s="1164"/>
      <c r="D1252" s="1164"/>
      <c r="E1252" s="1164"/>
      <c r="F1252" s="1164"/>
    </row>
    <row r="1253" spans="1:9" ht="24.75" customHeight="1">
      <c r="A1253" s="1164" t="str">
        <f>"HỌC KỲ I NĂM HỌC "&amp;'Huong dan'!$C$5</f>
        <v>HỌC KỲ I NĂM HỌC 2021 - 2022</v>
      </c>
      <c r="B1253" s="1164"/>
      <c r="C1253" s="1164"/>
      <c r="D1253" s="1164"/>
      <c r="E1253" s="1164"/>
      <c r="F1253" s="1164"/>
    </row>
    <row r="1254" spans="1:9" ht="14.25" customHeight="1">
      <c r="A1254" s="70"/>
      <c r="B1254" s="66"/>
      <c r="C1254" s="66"/>
      <c r="D1254" s="66"/>
      <c r="E1254" s="66"/>
      <c r="F1254" s="66"/>
    </row>
    <row r="1255" spans="1:9" ht="18.75" customHeight="1">
      <c r="A1255" s="1158" t="s">
        <v>212</v>
      </c>
      <c r="B1255" s="1158"/>
      <c r="C1255" s="1158"/>
      <c r="D1255" s="77" t="str">
        <f>IF(B1277="","",INDEX(NXetHKI!$B$3:$CL$57,MATCH(InNXKI!B1277,NXetHKI!$B$3:$B$57,0),3)&amp;" "&amp;INDEX(NXetHKI!$B$3:$CL$57,MATCH(InNXKI!B1277,NXetHKI!$B$3:$B$57,0),4))</f>
        <v/>
      </c>
      <c r="E1255" s="77"/>
      <c r="F1255" s="77" t="str">
        <f>IF('Huong dan'!$C$3="","","Lớp: "&amp;'Huong dan'!$C$3)</f>
        <v>Lớp: 12A1</v>
      </c>
    </row>
    <row r="1256" spans="1:9" ht="18.75" customHeight="1">
      <c r="A1256" s="1158" t="s">
        <v>213</v>
      </c>
      <c r="B1256" s="1158"/>
      <c r="C1256" s="1158"/>
      <c r="D1256" s="77" t="str">
        <f>INDEX(NXetHKI!$B$3:$CL$57,MATCH(InNXKI!B1277,NXetHKI!$B$3:$B$57,0),5)</f>
        <v/>
      </c>
      <c r="E1256" s="77"/>
      <c r="F1256" s="841" t="str">
        <f>IF(B1277="","","Nơi sinh: "&amp;INDEX(DiemHKI!$G$4:$G$58,MATCH(InNXKI!B1277,DiemHKI!$B$4:$B$58,0),1))</f>
        <v/>
      </c>
    </row>
    <row r="1257" spans="1:9" ht="9.75" customHeight="1">
      <c r="A1257" s="62"/>
      <c r="B1257" s="62"/>
      <c r="C1257" s="62"/>
      <c r="D1257" s="62"/>
      <c r="E1257" s="62"/>
      <c r="F1257" s="62"/>
    </row>
    <row r="1258" spans="1:9" ht="34.5" customHeight="1">
      <c r="A1258" s="801" t="s">
        <v>0</v>
      </c>
      <c r="B1258" s="801" t="s">
        <v>59</v>
      </c>
      <c r="C1258" s="806" t="s">
        <v>360</v>
      </c>
      <c r="D1258" s="1159" t="s">
        <v>568</v>
      </c>
      <c r="E1258" s="1160"/>
      <c r="F1258" s="802" t="s">
        <v>569</v>
      </c>
    </row>
    <row r="1259" spans="1:9" ht="32.25" customHeight="1">
      <c r="A1259" s="803" t="s">
        <v>191</v>
      </c>
      <c r="B1259" s="804" t="s">
        <v>26</v>
      </c>
      <c r="C1259" s="805" t="str">
        <f>IF(B1277="","",INDEX(NXetHKI!$B$3:$CL$57,MATCH(InNXKI!B1277,NXetHKI!$B$3:$B$57,0),INDEX($J$12:$K$25,MATCH($B1259,$I$12:$I$25,0),J$11)))</f>
        <v/>
      </c>
      <c r="D1259" s="1161" t="str">
        <f>IF(B1277="","",INDEX(NXetHKI!$B$3:$CL$57,MATCH(InNXKI!B1277,NXetHKI!$B$3:$B$57,0),INDEX($J$12:$K$25,MATCH($B1259,$I$12:$I$25,0),K$11)))</f>
        <v/>
      </c>
      <c r="E1259" s="1162"/>
      <c r="F1259" s="805"/>
      <c r="H1259" s="64"/>
      <c r="I1259" s="64"/>
    </row>
    <row r="1260" spans="1:9" ht="32.25" customHeight="1">
      <c r="A1260" s="803" t="s">
        <v>192</v>
      </c>
      <c r="B1260" s="804" t="s">
        <v>27</v>
      </c>
      <c r="C1260" s="805" t="str">
        <f>IF(B1277="","",INDEX(NXetHKI!$B$3:$CL$57,MATCH(InNXKI!B1277,NXetHKI!$B$3:$B$57,0),INDEX($J$12:$K$25,MATCH($B1260,$I$12:$I$25,0),J$11)))</f>
        <v/>
      </c>
      <c r="D1260" s="1161" t="str">
        <f>IF(B1277="","",INDEX(NXetHKI!$B$3:$CL$57,MATCH(InNXKI!B1277,NXetHKI!$B$3:$B$57,0),INDEX($J$12:$K$25,MATCH($B1260,$I$12:$I$25,0),K$11)))</f>
        <v/>
      </c>
      <c r="E1260" s="1162"/>
      <c r="F1260" s="805"/>
      <c r="H1260" s="64"/>
      <c r="I1260" s="64"/>
    </row>
    <row r="1261" spans="1:9" ht="32.25" customHeight="1">
      <c r="A1261" s="803" t="s">
        <v>193</v>
      </c>
      <c r="B1261" s="804" t="s">
        <v>28</v>
      </c>
      <c r="C1261" s="805" t="str">
        <f>IF(B1277="","",INDEX(NXetHKI!$B$3:$CL$57,MATCH(InNXKI!B1277,NXetHKI!$B$3:$B$57,0),INDEX($J$12:$K$25,MATCH($B1261,$I$12:$I$25,0),J$11)))</f>
        <v/>
      </c>
      <c r="D1261" s="1161" t="str">
        <f>IF(B1277="","",INDEX(NXetHKI!$B$3:$CL$57,MATCH(InNXKI!B1277,NXetHKI!$B$3:$B$57,0),INDEX($J$12:$K$25,MATCH($B1261,$I$12:$I$25,0),K$11)))</f>
        <v/>
      </c>
      <c r="E1261" s="1162"/>
      <c r="F1261" s="805"/>
      <c r="H1261" s="64"/>
      <c r="I1261" s="64"/>
    </row>
    <row r="1262" spans="1:9" ht="32.25" customHeight="1">
      <c r="A1262" s="803" t="s">
        <v>194</v>
      </c>
      <c r="B1262" s="804" t="s">
        <v>29</v>
      </c>
      <c r="C1262" s="805" t="str">
        <f>IF(B1277="","",INDEX(NXetHKI!$B$3:$CL$57,MATCH(InNXKI!B1277,NXetHKI!$B$3:$B$57,0),INDEX($J$12:$K$25,MATCH($B1262,$I$12:$I$25,0),J$11)))</f>
        <v/>
      </c>
      <c r="D1262" s="1161" t="str">
        <f>IF(B1277="","",INDEX(NXetHKI!$B$3:$CL$57,MATCH(InNXKI!B1277,NXetHKI!$B$3:$B$57,0),INDEX($J$12:$K$25,MATCH($B1262,$I$12:$I$25,0),K$11)))</f>
        <v/>
      </c>
      <c r="E1262" s="1162"/>
      <c r="F1262" s="805"/>
      <c r="H1262" s="64"/>
      <c r="I1262" s="64"/>
    </row>
    <row r="1263" spans="1:9" ht="32.25" customHeight="1">
      <c r="A1263" s="803" t="s">
        <v>195</v>
      </c>
      <c r="B1263" s="804" t="s">
        <v>120</v>
      </c>
      <c r="C1263" s="805" t="str">
        <f>IF(B1277="","",INDEX(NXetHKI!$B$3:$CL$57,MATCH(InNXKI!B1277,NXetHKI!$B$3:$B$57,0),INDEX($J$12:$K$25,MATCH($B1263,$I$12:$I$25,0),J$11)))</f>
        <v/>
      </c>
      <c r="D1263" s="1161" t="str">
        <f>IF(B1277="","",INDEX(NXetHKI!$B$3:$CL$57,MATCH(InNXKI!B1277,NXetHKI!$B$3:$B$57,0),INDEX($J$12:$K$25,MATCH($B1263,$I$12:$I$25,0),K$11)))</f>
        <v/>
      </c>
      <c r="E1263" s="1162"/>
      <c r="F1263" s="805"/>
      <c r="H1263" s="64"/>
      <c r="I1263" s="64"/>
    </row>
    <row r="1264" spans="1:9" ht="32.25" customHeight="1">
      <c r="A1264" s="803" t="s">
        <v>196</v>
      </c>
      <c r="B1264" s="804" t="s">
        <v>30</v>
      </c>
      <c r="C1264" s="805" t="str">
        <f>IF(B1277="","",INDEX(NXetHKI!$B$3:$CL$57,MATCH(InNXKI!B1277,NXetHKI!$B$3:$B$57,0),INDEX($J$12:$K$25,MATCH($B1264,$I$12:$I$25,0),J$11)))</f>
        <v/>
      </c>
      <c r="D1264" s="1161" t="str">
        <f>IF(B1277="","",INDEX(NXetHKI!$B$3:$CL$57,MATCH(InNXKI!B1277,NXetHKI!$B$3:$B$57,0),INDEX($J$12:$K$25,MATCH($B1264,$I$12:$I$25,0),K$11)))</f>
        <v/>
      </c>
      <c r="E1264" s="1162"/>
      <c r="F1264" s="805"/>
      <c r="H1264" s="64"/>
      <c r="I1264" s="64"/>
    </row>
    <row r="1265" spans="1:9" ht="32.25" customHeight="1">
      <c r="A1265" s="803" t="s">
        <v>197</v>
      </c>
      <c r="B1265" s="804" t="s">
        <v>31</v>
      </c>
      <c r="C1265" s="805" t="str">
        <f>IF(B1277="","",INDEX(NXetHKI!$B$3:$CL$57,MATCH(InNXKI!B1277,NXetHKI!$B$3:$B$57,0),INDEX($J$12:$K$25,MATCH($B1265,$I$12:$I$25,0),J$11)))</f>
        <v/>
      </c>
      <c r="D1265" s="1161" t="str">
        <f>IF(B1277="","",INDEX(NXetHKI!$B$3:$CL$57,MATCH(InNXKI!B1277,NXetHKI!$B$3:$B$57,0),INDEX($J$12:$K$25,MATCH($B1265,$I$12:$I$25,0),K$11)))</f>
        <v/>
      </c>
      <c r="E1265" s="1162"/>
      <c r="F1265" s="805"/>
      <c r="H1265" s="64"/>
      <c r="I1265" s="64"/>
    </row>
    <row r="1266" spans="1:9" ht="32.25" customHeight="1">
      <c r="A1266" s="803" t="s">
        <v>198</v>
      </c>
      <c r="B1266" s="804" t="s">
        <v>32</v>
      </c>
      <c r="C1266" s="805" t="str">
        <f>IF(B1277="","",INDEX(NXetHKI!$B$3:$CL$57,MATCH(InNXKI!B1277,NXetHKI!$B$3:$B$57,0),INDEX($J$12:$K$25,MATCH($B1266,$I$12:$I$25,0),J$11)))</f>
        <v/>
      </c>
      <c r="D1266" s="1161" t="str">
        <f>IF(B1277="","",INDEX(NXetHKI!$B$3:$CL$57,MATCH(InNXKI!B1277,NXetHKI!$B$3:$B$57,0),INDEX($J$12:$K$25,MATCH($B1266,$I$12:$I$25,0),K$11)))</f>
        <v/>
      </c>
      <c r="E1266" s="1162"/>
      <c r="F1266" s="805"/>
      <c r="H1266" s="64"/>
      <c r="I1266" s="64"/>
    </row>
    <row r="1267" spans="1:9" ht="32.25" customHeight="1">
      <c r="A1267" s="803" t="s">
        <v>199</v>
      </c>
      <c r="B1267" s="804" t="s">
        <v>33</v>
      </c>
      <c r="C1267" s="805" t="str">
        <f>IF(B1277="","",INDEX(NXetHKI!$B$3:$CL$57,MATCH(InNXKI!B1277,NXetHKI!$B$3:$B$57,0),INDEX($J$12:$K$25,MATCH($B1267,$I$12:$I$25,0),J$11)))</f>
        <v/>
      </c>
      <c r="D1267" s="1161" t="str">
        <f>IF(B1277="","",INDEX(NXetHKI!$B$3:$CL$57,MATCH(InNXKI!B1277,NXetHKI!$B$3:$B$57,0),INDEX($J$12:$K$25,MATCH($B1267,$I$12:$I$25,0),K$11)))</f>
        <v/>
      </c>
      <c r="E1267" s="1162"/>
      <c r="F1267" s="805"/>
      <c r="H1267" s="64"/>
      <c r="I1267" s="64"/>
    </row>
    <row r="1268" spans="1:9" ht="32.25" customHeight="1">
      <c r="A1268" s="803" t="s">
        <v>200</v>
      </c>
      <c r="B1268" s="804" t="s">
        <v>60</v>
      </c>
      <c r="C1268" s="805" t="str">
        <f>IF(B1277="","",INDEX(NXetHKI!$B$3:$CL$57,MATCH(InNXKI!B1277,NXetHKI!$B$3:$B$57,0),INDEX($J$12:$K$25,MATCH($B1268,$I$12:$I$25,0),J$11)))</f>
        <v/>
      </c>
      <c r="D1268" s="1161" t="str">
        <f>IF(B1277="","",INDEX(NXetHKI!$B$3:$CL$57,MATCH(InNXKI!B1277,NXetHKI!$B$3:$B$57,0),INDEX($J$12:$K$25,MATCH($B1268,$I$12:$I$25,0),K$11)))</f>
        <v/>
      </c>
      <c r="E1268" s="1162"/>
      <c r="F1268" s="805"/>
      <c r="H1268" s="64"/>
      <c r="I1268" s="64"/>
    </row>
    <row r="1269" spans="1:9" ht="32.25" customHeight="1">
      <c r="A1269" s="803" t="s">
        <v>201</v>
      </c>
      <c r="B1269" s="804" t="s">
        <v>34</v>
      </c>
      <c r="C1269" s="805" t="str">
        <f>IF(B1277="","",INDEX(NXetHKI!$B$3:$CL$57,MATCH(InNXKI!B1277,NXetHKI!$B$3:$B$57,0),INDEX($J$12:$K$25,MATCH($B1269,$I$12:$I$25,0),J$11)))</f>
        <v/>
      </c>
      <c r="D1269" s="1161" t="str">
        <f>IF(B1277="","",INDEX(NXetHKI!$B$3:$CL$57,MATCH(InNXKI!B1277,NXetHKI!$B$3:$B$57,0),INDEX($J$12:$K$25,MATCH($B1269,$I$12:$I$25,0),K$11)))</f>
        <v/>
      </c>
      <c r="E1269" s="1162"/>
      <c r="F1269" s="805"/>
      <c r="H1269" s="64"/>
      <c r="I1269" s="64"/>
    </row>
    <row r="1270" spans="1:9" ht="32.25" customHeight="1">
      <c r="A1270" s="803" t="s">
        <v>202</v>
      </c>
      <c r="B1270" s="804" t="s">
        <v>35</v>
      </c>
      <c r="C1270" s="805" t="str">
        <f>IF(B1277="","",INDEX(NXetHKI!$B$3:$CL$57,MATCH(InNXKI!B1277,NXetHKI!$B$3:$B$57,0),INDEX($J$12:$K$25,MATCH($B1270,$I$12:$I$25,0),J$11)))</f>
        <v/>
      </c>
      <c r="D1270" s="1161" t="str">
        <f>IF(B1277="","",INDEX(NXetHKI!$B$3:$CL$57,MATCH(InNXKI!B1277,NXetHKI!$B$3:$B$57,0),INDEX($J$12:$K$25,MATCH($B1270,$I$12:$I$25,0),K$11)))</f>
        <v/>
      </c>
      <c r="E1270" s="1162"/>
      <c r="F1270" s="805"/>
      <c r="H1270" s="64"/>
      <c r="I1270" s="64"/>
    </row>
    <row r="1271" spans="1:9" ht="32.25" customHeight="1">
      <c r="A1271" s="803" t="s">
        <v>203</v>
      </c>
      <c r="B1271" s="804" t="s">
        <v>121</v>
      </c>
      <c r="C1271" s="805" t="str">
        <f>IF(B1277="","",INDEX(NXetHKI!$B$3:$CL$57,MATCH(InNXKI!B1277,NXetHKI!$B$3:$B$57,0),INDEX($J$12:$K$25,MATCH($B1271,$I$12:$I$25,0),J$11)))</f>
        <v/>
      </c>
      <c r="D1271" s="1161" t="str">
        <f>IF(B1277="","",INDEX(NXetHKI!$B$3:$CL$57,MATCH(InNXKI!B1277,NXetHKI!$B$3:$B$57,0),INDEX($J$12:$K$25,MATCH($B1271,$I$12:$I$25,0),K$11)))</f>
        <v/>
      </c>
      <c r="E1271" s="1162"/>
      <c r="F1271" s="805"/>
      <c r="H1271" s="64"/>
      <c r="I1271" s="64"/>
    </row>
    <row r="1272" spans="1:9" ht="32.25" customHeight="1">
      <c r="A1272" s="803">
        <v>14</v>
      </c>
      <c r="B1272" s="804" t="s">
        <v>122</v>
      </c>
      <c r="C1272" s="805" t="str">
        <f>IF(B1277="","",INDEX(NXetHKI!$B$3:$CL$57,MATCH(InNXKI!B1277,NXetHKI!$B$3:$B$57,0),INDEX($J$12:$K$25,MATCH($B1272,$I$12:$I$25,0),J$11)))</f>
        <v/>
      </c>
      <c r="D1272" s="1161" t="str">
        <f>IF(B1277="","",INDEX(NXetHKI!$B$3:$CL$57,MATCH(InNXKI!B1277,NXetHKI!$B$3:$B$57,0),INDEX($J$12:$K$25,MATCH($B1272,$I$12:$I$25,0),K$11)))</f>
        <v/>
      </c>
      <c r="E1272" s="1162"/>
      <c r="F1272" s="805"/>
      <c r="H1272" s="64"/>
    </row>
    <row r="1273" spans="1:9" ht="12" customHeight="1"/>
    <row r="1274" spans="1:9" ht="21.75" customHeight="1">
      <c r="D1274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274" s="1163"/>
      <c r="F1274" s="1163"/>
    </row>
    <row r="1275" spans="1:9">
      <c r="D1275" s="992" t="s">
        <v>377</v>
      </c>
      <c r="E1275" s="992"/>
      <c r="F1275" s="992"/>
    </row>
    <row r="1276" spans="1:9" ht="81" customHeight="1">
      <c r="D1276" s="923" t="str">
        <f>IF('Huong dan'!$E$5="","",'Huong dan'!$E$5)</f>
        <v/>
      </c>
      <c r="E1276" s="923"/>
      <c r="F1276" s="923"/>
    </row>
    <row r="1277" spans="1:9">
      <c r="A1277" s="811"/>
      <c r="B1277" s="711" t="str">
        <f>IF(B1248="","",IF(B1248&lt;MAX(NXetHKI!$B$3:$B$57),B1248+1,""))</f>
        <v/>
      </c>
      <c r="C1277" s="811"/>
      <c r="D1277" s="1157"/>
      <c r="E1277" s="1157"/>
      <c r="F1277" s="1157"/>
    </row>
    <row r="1278" spans="1:9" s="60" customFormat="1" ht="24.75" customHeight="1">
      <c r="A1278" s="1128" t="str">
        <f>IF('Huong dan'!$E$3&lt;&gt;"","SỞ GIÁO DỤC VÀ ĐÀO TẠO "&amp;UPPER('Huong dan'!$E$3),"")</f>
        <v>SỞ GIÁO DỤC VÀ ĐÀO TẠO TP. HỒ CHÍ MINH</v>
      </c>
      <c r="B1278" s="1128"/>
      <c r="C1278" s="1128"/>
      <c r="D1278" s="1128"/>
      <c r="E1278" s="1129" t="s">
        <v>19</v>
      </c>
      <c r="F1278" s="1129"/>
    </row>
    <row r="1279" spans="1:9" ht="17.25" customHeight="1">
      <c r="A1279" s="992" t="str">
        <f>IF('Huong dan'!$E$4&lt;&gt;"","TRƯỜNG "&amp;UPPER('Huong dan'!$E$4),"")</f>
        <v>TRƯỜNG THCS VÀ THPT NGUYỄN KHUYẾN</v>
      </c>
      <c r="B1279" s="992"/>
      <c r="C1279" s="992"/>
      <c r="D1279" s="992"/>
      <c r="E1279" s="1130" t="s">
        <v>179</v>
      </c>
      <c r="F1279" s="1130"/>
    </row>
    <row r="1280" spans="1:9" ht="20.25" customHeight="1">
      <c r="A1280" s="69"/>
      <c r="B1280" s="69"/>
      <c r="C1280" s="30"/>
      <c r="D1280" s="30"/>
    </row>
    <row r="1281" spans="1:9" ht="28.5" customHeight="1">
      <c r="A1281" s="1164" t="s">
        <v>567</v>
      </c>
      <c r="B1281" s="1164"/>
      <c r="C1281" s="1164"/>
      <c r="D1281" s="1164"/>
      <c r="E1281" s="1164"/>
      <c r="F1281" s="1164"/>
    </row>
    <row r="1282" spans="1:9" ht="24.75" customHeight="1">
      <c r="A1282" s="1164" t="str">
        <f>"HỌC KỲ I NĂM HỌC "&amp;'Huong dan'!$C$5</f>
        <v>HỌC KỲ I NĂM HỌC 2021 - 2022</v>
      </c>
      <c r="B1282" s="1164"/>
      <c r="C1282" s="1164"/>
      <c r="D1282" s="1164"/>
      <c r="E1282" s="1164"/>
      <c r="F1282" s="1164"/>
    </row>
    <row r="1283" spans="1:9" ht="14.25" customHeight="1">
      <c r="A1283" s="70"/>
      <c r="B1283" s="66"/>
      <c r="C1283" s="66"/>
      <c r="D1283" s="66"/>
      <c r="E1283" s="66"/>
      <c r="F1283" s="66"/>
    </row>
    <row r="1284" spans="1:9" ht="18.75" customHeight="1">
      <c r="A1284" s="1158" t="s">
        <v>212</v>
      </c>
      <c r="B1284" s="1158"/>
      <c r="C1284" s="1158"/>
      <c r="D1284" s="77" t="str">
        <f>IF(B1306="","",INDEX(NXetHKI!$B$3:$CL$57,MATCH(InNXKI!B1306,NXetHKI!$B$3:$B$57,0),3)&amp;" "&amp;INDEX(NXetHKI!$B$3:$CL$57,MATCH(InNXKI!B1306,NXetHKI!$B$3:$B$57,0),4))</f>
        <v/>
      </c>
      <c r="E1284" s="77"/>
      <c r="F1284" s="77" t="str">
        <f>IF('Huong dan'!$C$3="","","Lớp: "&amp;'Huong dan'!$C$3)</f>
        <v>Lớp: 12A1</v>
      </c>
    </row>
    <row r="1285" spans="1:9" ht="18.75" customHeight="1">
      <c r="A1285" s="1158" t="s">
        <v>213</v>
      </c>
      <c r="B1285" s="1158"/>
      <c r="C1285" s="1158"/>
      <c r="D1285" s="77" t="str">
        <f>INDEX(NXetHKI!$B$3:$CL$57,MATCH(InNXKI!B1306,NXetHKI!$B$3:$B$57,0),5)</f>
        <v/>
      </c>
      <c r="E1285" s="77"/>
      <c r="F1285" s="841" t="str">
        <f>IF(B1306="","","Nơi sinh: "&amp;INDEX(DiemHKI!$G$4:$G$58,MATCH(InNXKI!B1306,DiemHKI!$B$4:$B$58,0),1))</f>
        <v/>
      </c>
    </row>
    <row r="1286" spans="1:9" ht="9.75" customHeight="1">
      <c r="A1286" s="62"/>
      <c r="B1286" s="62"/>
      <c r="C1286" s="62"/>
      <c r="D1286" s="62"/>
      <c r="E1286" s="62"/>
      <c r="F1286" s="62"/>
    </row>
    <row r="1287" spans="1:9" ht="34.5" customHeight="1">
      <c r="A1287" s="801" t="s">
        <v>0</v>
      </c>
      <c r="B1287" s="801" t="s">
        <v>59</v>
      </c>
      <c r="C1287" s="806" t="s">
        <v>360</v>
      </c>
      <c r="D1287" s="1159" t="s">
        <v>568</v>
      </c>
      <c r="E1287" s="1160"/>
      <c r="F1287" s="802" t="s">
        <v>569</v>
      </c>
    </row>
    <row r="1288" spans="1:9" ht="32.25" customHeight="1">
      <c r="A1288" s="803" t="s">
        <v>191</v>
      </c>
      <c r="B1288" s="804" t="s">
        <v>26</v>
      </c>
      <c r="C1288" s="805" t="str">
        <f>IF(B1306="","",INDEX(NXetHKI!$B$3:$CL$57,MATCH(InNXKI!B1306,NXetHKI!$B$3:$B$57,0),INDEX($J$12:$K$25,MATCH($B1288,$I$12:$I$25,0),J$11)))</f>
        <v/>
      </c>
      <c r="D1288" s="1161" t="str">
        <f>IF(B1306="","",INDEX(NXetHKI!$B$3:$CL$57,MATCH(InNXKI!B1306,NXetHKI!$B$3:$B$57,0),INDEX($J$12:$K$25,MATCH($B1288,$I$12:$I$25,0),K$11)))</f>
        <v/>
      </c>
      <c r="E1288" s="1162"/>
      <c r="F1288" s="805"/>
      <c r="H1288" s="64"/>
      <c r="I1288" s="64"/>
    </row>
    <row r="1289" spans="1:9" ht="32.25" customHeight="1">
      <c r="A1289" s="803" t="s">
        <v>192</v>
      </c>
      <c r="B1289" s="804" t="s">
        <v>27</v>
      </c>
      <c r="C1289" s="805" t="str">
        <f>IF(B1306="","",INDEX(NXetHKI!$B$3:$CL$57,MATCH(InNXKI!B1306,NXetHKI!$B$3:$B$57,0),INDEX($J$12:$K$25,MATCH($B1289,$I$12:$I$25,0),J$11)))</f>
        <v/>
      </c>
      <c r="D1289" s="1161" t="str">
        <f>IF(B1306="","",INDEX(NXetHKI!$B$3:$CL$57,MATCH(InNXKI!B1306,NXetHKI!$B$3:$B$57,0),INDEX($J$12:$K$25,MATCH($B1289,$I$12:$I$25,0),K$11)))</f>
        <v/>
      </c>
      <c r="E1289" s="1162"/>
      <c r="F1289" s="805"/>
      <c r="H1289" s="64"/>
      <c r="I1289" s="64"/>
    </row>
    <row r="1290" spans="1:9" ht="32.25" customHeight="1">
      <c r="A1290" s="803" t="s">
        <v>193</v>
      </c>
      <c r="B1290" s="804" t="s">
        <v>28</v>
      </c>
      <c r="C1290" s="805" t="str">
        <f>IF(B1306="","",INDEX(NXetHKI!$B$3:$CL$57,MATCH(InNXKI!B1306,NXetHKI!$B$3:$B$57,0),INDEX($J$12:$K$25,MATCH($B1290,$I$12:$I$25,0),J$11)))</f>
        <v/>
      </c>
      <c r="D1290" s="1161" t="str">
        <f>IF(B1306="","",INDEX(NXetHKI!$B$3:$CL$57,MATCH(InNXKI!B1306,NXetHKI!$B$3:$B$57,0),INDEX($J$12:$K$25,MATCH($B1290,$I$12:$I$25,0),K$11)))</f>
        <v/>
      </c>
      <c r="E1290" s="1162"/>
      <c r="F1290" s="805"/>
      <c r="H1290" s="64"/>
      <c r="I1290" s="64"/>
    </row>
    <row r="1291" spans="1:9" ht="32.25" customHeight="1">
      <c r="A1291" s="803" t="s">
        <v>194</v>
      </c>
      <c r="B1291" s="804" t="s">
        <v>29</v>
      </c>
      <c r="C1291" s="805" t="str">
        <f>IF(B1306="","",INDEX(NXetHKI!$B$3:$CL$57,MATCH(InNXKI!B1306,NXetHKI!$B$3:$B$57,0),INDEX($J$12:$K$25,MATCH($B1291,$I$12:$I$25,0),J$11)))</f>
        <v/>
      </c>
      <c r="D1291" s="1161" t="str">
        <f>IF(B1306="","",INDEX(NXetHKI!$B$3:$CL$57,MATCH(InNXKI!B1306,NXetHKI!$B$3:$B$57,0),INDEX($J$12:$K$25,MATCH($B1291,$I$12:$I$25,0),K$11)))</f>
        <v/>
      </c>
      <c r="E1291" s="1162"/>
      <c r="F1291" s="805"/>
      <c r="H1291" s="64"/>
      <c r="I1291" s="64"/>
    </row>
    <row r="1292" spans="1:9" ht="32.25" customHeight="1">
      <c r="A1292" s="803" t="s">
        <v>195</v>
      </c>
      <c r="B1292" s="804" t="s">
        <v>120</v>
      </c>
      <c r="C1292" s="805" t="str">
        <f>IF(B1306="","",INDEX(NXetHKI!$B$3:$CL$57,MATCH(InNXKI!B1306,NXetHKI!$B$3:$B$57,0),INDEX($J$12:$K$25,MATCH($B1292,$I$12:$I$25,0),J$11)))</f>
        <v/>
      </c>
      <c r="D1292" s="1161" t="str">
        <f>IF(B1306="","",INDEX(NXetHKI!$B$3:$CL$57,MATCH(InNXKI!B1306,NXetHKI!$B$3:$B$57,0),INDEX($J$12:$K$25,MATCH($B1292,$I$12:$I$25,0),K$11)))</f>
        <v/>
      </c>
      <c r="E1292" s="1162"/>
      <c r="F1292" s="805"/>
      <c r="H1292" s="64"/>
      <c r="I1292" s="64"/>
    </row>
    <row r="1293" spans="1:9" ht="32.25" customHeight="1">
      <c r="A1293" s="803" t="s">
        <v>196</v>
      </c>
      <c r="B1293" s="804" t="s">
        <v>30</v>
      </c>
      <c r="C1293" s="805" t="str">
        <f>IF(B1306="","",INDEX(NXetHKI!$B$3:$CL$57,MATCH(InNXKI!B1306,NXetHKI!$B$3:$B$57,0),INDEX($J$12:$K$25,MATCH($B1293,$I$12:$I$25,0),J$11)))</f>
        <v/>
      </c>
      <c r="D1293" s="1161" t="str">
        <f>IF(B1306="","",INDEX(NXetHKI!$B$3:$CL$57,MATCH(InNXKI!B1306,NXetHKI!$B$3:$B$57,0),INDEX($J$12:$K$25,MATCH($B1293,$I$12:$I$25,0),K$11)))</f>
        <v/>
      </c>
      <c r="E1293" s="1162"/>
      <c r="F1293" s="805"/>
      <c r="H1293" s="64"/>
      <c r="I1293" s="64"/>
    </row>
    <row r="1294" spans="1:9" ht="32.25" customHeight="1">
      <c r="A1294" s="803" t="s">
        <v>197</v>
      </c>
      <c r="B1294" s="804" t="s">
        <v>31</v>
      </c>
      <c r="C1294" s="805" t="str">
        <f>IF(B1306="","",INDEX(NXetHKI!$B$3:$CL$57,MATCH(InNXKI!B1306,NXetHKI!$B$3:$B$57,0),INDEX($J$12:$K$25,MATCH($B1294,$I$12:$I$25,0),J$11)))</f>
        <v/>
      </c>
      <c r="D1294" s="1161" t="str">
        <f>IF(B1306="","",INDEX(NXetHKI!$B$3:$CL$57,MATCH(InNXKI!B1306,NXetHKI!$B$3:$B$57,0),INDEX($J$12:$K$25,MATCH($B1294,$I$12:$I$25,0),K$11)))</f>
        <v/>
      </c>
      <c r="E1294" s="1162"/>
      <c r="F1294" s="805"/>
      <c r="H1294" s="64"/>
      <c r="I1294" s="64"/>
    </row>
    <row r="1295" spans="1:9" ht="32.25" customHeight="1">
      <c r="A1295" s="803" t="s">
        <v>198</v>
      </c>
      <c r="B1295" s="804" t="s">
        <v>32</v>
      </c>
      <c r="C1295" s="805" t="str">
        <f>IF(B1306="","",INDEX(NXetHKI!$B$3:$CL$57,MATCH(InNXKI!B1306,NXetHKI!$B$3:$B$57,0),INDEX($J$12:$K$25,MATCH($B1295,$I$12:$I$25,0),J$11)))</f>
        <v/>
      </c>
      <c r="D1295" s="1161" t="str">
        <f>IF(B1306="","",INDEX(NXetHKI!$B$3:$CL$57,MATCH(InNXKI!B1306,NXetHKI!$B$3:$B$57,0),INDEX($J$12:$K$25,MATCH($B1295,$I$12:$I$25,0),K$11)))</f>
        <v/>
      </c>
      <c r="E1295" s="1162"/>
      <c r="F1295" s="805"/>
      <c r="H1295" s="64"/>
      <c r="I1295" s="64"/>
    </row>
    <row r="1296" spans="1:9" ht="32.25" customHeight="1">
      <c r="A1296" s="803" t="s">
        <v>199</v>
      </c>
      <c r="B1296" s="804" t="s">
        <v>33</v>
      </c>
      <c r="C1296" s="805" t="str">
        <f>IF(B1306="","",INDEX(NXetHKI!$B$3:$CL$57,MATCH(InNXKI!B1306,NXetHKI!$B$3:$B$57,0),INDEX($J$12:$K$25,MATCH($B1296,$I$12:$I$25,0),J$11)))</f>
        <v/>
      </c>
      <c r="D1296" s="1161" t="str">
        <f>IF(B1306="","",INDEX(NXetHKI!$B$3:$CL$57,MATCH(InNXKI!B1306,NXetHKI!$B$3:$B$57,0),INDEX($J$12:$K$25,MATCH($B1296,$I$12:$I$25,0),K$11)))</f>
        <v/>
      </c>
      <c r="E1296" s="1162"/>
      <c r="F1296" s="805"/>
      <c r="H1296" s="64"/>
      <c r="I1296" s="64"/>
    </row>
    <row r="1297" spans="1:9" ht="32.25" customHeight="1">
      <c r="A1297" s="803" t="s">
        <v>200</v>
      </c>
      <c r="B1297" s="804" t="s">
        <v>60</v>
      </c>
      <c r="C1297" s="805" t="str">
        <f>IF(B1306="","",INDEX(NXetHKI!$B$3:$CL$57,MATCH(InNXKI!B1306,NXetHKI!$B$3:$B$57,0),INDEX($J$12:$K$25,MATCH($B1297,$I$12:$I$25,0),J$11)))</f>
        <v/>
      </c>
      <c r="D1297" s="1161" t="str">
        <f>IF(B1306="","",INDEX(NXetHKI!$B$3:$CL$57,MATCH(InNXKI!B1306,NXetHKI!$B$3:$B$57,0),INDEX($J$12:$K$25,MATCH($B1297,$I$12:$I$25,0),K$11)))</f>
        <v/>
      </c>
      <c r="E1297" s="1162"/>
      <c r="F1297" s="805"/>
      <c r="H1297" s="64"/>
      <c r="I1297" s="64"/>
    </row>
    <row r="1298" spans="1:9" ht="32.25" customHeight="1">
      <c r="A1298" s="803" t="s">
        <v>201</v>
      </c>
      <c r="B1298" s="804" t="s">
        <v>34</v>
      </c>
      <c r="C1298" s="805" t="str">
        <f>IF(B1306="","",INDEX(NXetHKI!$B$3:$CL$57,MATCH(InNXKI!B1306,NXetHKI!$B$3:$B$57,0),INDEX($J$12:$K$25,MATCH($B1298,$I$12:$I$25,0),J$11)))</f>
        <v/>
      </c>
      <c r="D1298" s="1161" t="str">
        <f>IF(B1306="","",INDEX(NXetHKI!$B$3:$CL$57,MATCH(InNXKI!B1306,NXetHKI!$B$3:$B$57,0),INDEX($J$12:$K$25,MATCH($B1298,$I$12:$I$25,0),K$11)))</f>
        <v/>
      </c>
      <c r="E1298" s="1162"/>
      <c r="F1298" s="805"/>
      <c r="H1298" s="64"/>
      <c r="I1298" s="64"/>
    </row>
    <row r="1299" spans="1:9" ht="32.25" customHeight="1">
      <c r="A1299" s="803" t="s">
        <v>202</v>
      </c>
      <c r="B1299" s="804" t="s">
        <v>35</v>
      </c>
      <c r="C1299" s="805" t="str">
        <f>IF(B1306="","",INDEX(NXetHKI!$B$3:$CL$57,MATCH(InNXKI!B1306,NXetHKI!$B$3:$B$57,0),INDEX($J$12:$K$25,MATCH($B1299,$I$12:$I$25,0),J$11)))</f>
        <v/>
      </c>
      <c r="D1299" s="1161" t="str">
        <f>IF(B1306="","",INDEX(NXetHKI!$B$3:$CL$57,MATCH(InNXKI!B1306,NXetHKI!$B$3:$B$57,0),INDEX($J$12:$K$25,MATCH($B1299,$I$12:$I$25,0),K$11)))</f>
        <v/>
      </c>
      <c r="E1299" s="1162"/>
      <c r="F1299" s="805"/>
      <c r="H1299" s="64"/>
      <c r="I1299" s="64"/>
    </row>
    <row r="1300" spans="1:9" ht="32.25" customHeight="1">
      <c r="A1300" s="803" t="s">
        <v>203</v>
      </c>
      <c r="B1300" s="804" t="s">
        <v>121</v>
      </c>
      <c r="C1300" s="805" t="str">
        <f>IF(B1306="","",INDEX(NXetHKI!$B$3:$CL$57,MATCH(InNXKI!B1306,NXetHKI!$B$3:$B$57,0),INDEX($J$12:$K$25,MATCH($B1300,$I$12:$I$25,0),J$11)))</f>
        <v/>
      </c>
      <c r="D1300" s="1161" t="str">
        <f>IF(B1306="","",INDEX(NXetHKI!$B$3:$CL$57,MATCH(InNXKI!B1306,NXetHKI!$B$3:$B$57,0),INDEX($J$12:$K$25,MATCH($B1300,$I$12:$I$25,0),K$11)))</f>
        <v/>
      </c>
      <c r="E1300" s="1162"/>
      <c r="F1300" s="805"/>
      <c r="H1300" s="64"/>
      <c r="I1300" s="64"/>
    </row>
    <row r="1301" spans="1:9" ht="32.25" customHeight="1">
      <c r="A1301" s="803">
        <v>14</v>
      </c>
      <c r="B1301" s="804" t="s">
        <v>122</v>
      </c>
      <c r="C1301" s="805" t="str">
        <f>IF(B1306="","",INDEX(NXetHKI!$B$3:$CL$57,MATCH(InNXKI!B1306,NXetHKI!$B$3:$B$57,0),INDEX($J$12:$K$25,MATCH($B1301,$I$12:$I$25,0),J$11)))</f>
        <v/>
      </c>
      <c r="D1301" s="1161" t="str">
        <f>IF(B1306="","",INDEX(NXetHKI!$B$3:$CL$57,MATCH(InNXKI!B1306,NXetHKI!$B$3:$B$57,0),INDEX($J$12:$K$25,MATCH($B1301,$I$12:$I$25,0),K$11)))</f>
        <v/>
      </c>
      <c r="E1301" s="1162"/>
      <c r="F1301" s="805"/>
      <c r="H1301" s="64"/>
    </row>
    <row r="1302" spans="1:9" ht="12" customHeight="1"/>
    <row r="1303" spans="1:9" ht="21.75" customHeight="1">
      <c r="D1303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303" s="1163"/>
      <c r="F1303" s="1163"/>
    </row>
    <row r="1304" spans="1:9">
      <c r="D1304" s="992" t="s">
        <v>377</v>
      </c>
      <c r="E1304" s="992"/>
      <c r="F1304" s="992"/>
    </row>
    <row r="1305" spans="1:9" ht="81" customHeight="1">
      <c r="D1305" s="923" t="str">
        <f>IF('Huong dan'!$E$5="","",'Huong dan'!$E$5)</f>
        <v/>
      </c>
      <c r="E1305" s="923"/>
      <c r="F1305" s="923"/>
    </row>
    <row r="1306" spans="1:9">
      <c r="A1306" s="811"/>
      <c r="B1306" s="711" t="str">
        <f>IF(B1277="","",IF(B1277&lt;MAX(NXetHKI!$B$3:$B$57),B1277+1,""))</f>
        <v/>
      </c>
      <c r="C1306" s="811"/>
      <c r="D1306" s="1157"/>
      <c r="E1306" s="1157"/>
      <c r="F1306" s="1157"/>
    </row>
    <row r="1307" spans="1:9" s="60" customFormat="1" ht="24.75" customHeight="1">
      <c r="A1307" s="1128" t="str">
        <f>IF('Huong dan'!$E$3&lt;&gt;"","SỞ GIÁO DỤC VÀ ĐÀO TẠO "&amp;UPPER('Huong dan'!$E$3),"")</f>
        <v>SỞ GIÁO DỤC VÀ ĐÀO TẠO TP. HỒ CHÍ MINH</v>
      </c>
      <c r="B1307" s="1128"/>
      <c r="C1307" s="1128"/>
      <c r="D1307" s="1128"/>
      <c r="E1307" s="1129" t="s">
        <v>19</v>
      </c>
      <c r="F1307" s="1129"/>
    </row>
    <row r="1308" spans="1:9" ht="17.25" customHeight="1">
      <c r="A1308" s="992" t="str">
        <f>IF('Huong dan'!$E$4&lt;&gt;"","TRƯỜNG "&amp;UPPER('Huong dan'!$E$4),"")</f>
        <v>TRƯỜNG THCS VÀ THPT NGUYỄN KHUYẾN</v>
      </c>
      <c r="B1308" s="992"/>
      <c r="C1308" s="992"/>
      <c r="D1308" s="992"/>
      <c r="E1308" s="1130" t="s">
        <v>179</v>
      </c>
      <c r="F1308" s="1130"/>
    </row>
    <row r="1309" spans="1:9" ht="20.25" customHeight="1">
      <c r="A1309" s="69"/>
      <c r="B1309" s="69"/>
      <c r="C1309" s="30"/>
      <c r="D1309" s="30"/>
    </row>
    <row r="1310" spans="1:9" ht="28.5" customHeight="1">
      <c r="A1310" s="1164" t="s">
        <v>567</v>
      </c>
      <c r="B1310" s="1164"/>
      <c r="C1310" s="1164"/>
      <c r="D1310" s="1164"/>
      <c r="E1310" s="1164"/>
      <c r="F1310" s="1164"/>
    </row>
    <row r="1311" spans="1:9" ht="24.75" customHeight="1">
      <c r="A1311" s="1164" t="str">
        <f>"HỌC KỲ I NĂM HỌC "&amp;'Huong dan'!$C$5</f>
        <v>HỌC KỲ I NĂM HỌC 2021 - 2022</v>
      </c>
      <c r="B1311" s="1164"/>
      <c r="C1311" s="1164"/>
      <c r="D1311" s="1164"/>
      <c r="E1311" s="1164"/>
      <c r="F1311" s="1164"/>
    </row>
    <row r="1312" spans="1:9" ht="14.25" customHeight="1">
      <c r="A1312" s="70"/>
      <c r="B1312" s="66"/>
      <c r="C1312" s="66"/>
      <c r="D1312" s="66"/>
      <c r="E1312" s="66"/>
      <c r="F1312" s="66"/>
    </row>
    <row r="1313" spans="1:9" ht="18.75" customHeight="1">
      <c r="A1313" s="1158" t="s">
        <v>212</v>
      </c>
      <c r="B1313" s="1158"/>
      <c r="C1313" s="1158"/>
      <c r="D1313" s="77" t="str">
        <f>IF(B1335="","",INDEX(NXetHKI!$B$3:$CL$57,MATCH(InNXKI!B1335,NXetHKI!$B$3:$B$57,0),3)&amp;" "&amp;INDEX(NXetHKI!$B$3:$CL$57,MATCH(InNXKI!B1335,NXetHKI!$B$3:$B$57,0),4))</f>
        <v/>
      </c>
      <c r="E1313" s="77"/>
      <c r="F1313" s="77" t="str">
        <f>IF('Huong dan'!$C$3="","","Lớp: "&amp;'Huong dan'!$C$3)</f>
        <v>Lớp: 12A1</v>
      </c>
    </row>
    <row r="1314" spans="1:9" ht="18.75" customHeight="1">
      <c r="A1314" s="1158" t="s">
        <v>213</v>
      </c>
      <c r="B1314" s="1158"/>
      <c r="C1314" s="1158"/>
      <c r="D1314" s="77" t="str">
        <f>INDEX(NXetHKI!$B$3:$CL$57,MATCH(InNXKI!B1335,NXetHKI!$B$3:$B$57,0),5)</f>
        <v/>
      </c>
      <c r="E1314" s="77"/>
      <c r="F1314" s="841" t="str">
        <f>IF(B1335="","","Nơi sinh: "&amp;INDEX(DiemHKI!$G$4:$G$58,MATCH(InNXKI!B1335,DiemHKI!$B$4:$B$58,0),1))</f>
        <v/>
      </c>
    </row>
    <row r="1315" spans="1:9" ht="9.75" customHeight="1">
      <c r="A1315" s="62"/>
      <c r="B1315" s="62"/>
      <c r="C1315" s="62"/>
      <c r="D1315" s="62"/>
      <c r="E1315" s="62"/>
      <c r="F1315" s="62"/>
    </row>
    <row r="1316" spans="1:9" ht="34.5" customHeight="1">
      <c r="A1316" s="801" t="s">
        <v>0</v>
      </c>
      <c r="B1316" s="801" t="s">
        <v>59</v>
      </c>
      <c r="C1316" s="806" t="s">
        <v>360</v>
      </c>
      <c r="D1316" s="1159" t="s">
        <v>568</v>
      </c>
      <c r="E1316" s="1160"/>
      <c r="F1316" s="802" t="s">
        <v>569</v>
      </c>
    </row>
    <row r="1317" spans="1:9" ht="32.25" customHeight="1">
      <c r="A1317" s="803" t="s">
        <v>191</v>
      </c>
      <c r="B1317" s="804" t="s">
        <v>26</v>
      </c>
      <c r="C1317" s="805" t="str">
        <f>IF(B1335="","",INDEX(NXetHKI!$B$3:$CL$57,MATCH(InNXKI!B1335,NXetHKI!$B$3:$B$57,0),INDEX($J$12:$K$25,MATCH($B1317,$I$12:$I$25,0),J$11)))</f>
        <v/>
      </c>
      <c r="D1317" s="1161" t="str">
        <f>IF(B1335="","",INDEX(NXetHKI!$B$3:$CL$57,MATCH(InNXKI!B1335,NXetHKI!$B$3:$B$57,0),INDEX($J$12:$K$25,MATCH($B1317,$I$12:$I$25,0),K$11)))</f>
        <v/>
      </c>
      <c r="E1317" s="1162"/>
      <c r="F1317" s="805"/>
      <c r="H1317" s="64"/>
      <c r="I1317" s="64"/>
    </row>
    <row r="1318" spans="1:9" ht="32.25" customHeight="1">
      <c r="A1318" s="803" t="s">
        <v>192</v>
      </c>
      <c r="B1318" s="804" t="s">
        <v>27</v>
      </c>
      <c r="C1318" s="805" t="str">
        <f>IF(B1335="","",INDEX(NXetHKI!$B$3:$CL$57,MATCH(InNXKI!B1335,NXetHKI!$B$3:$B$57,0),INDEX($J$12:$K$25,MATCH($B1318,$I$12:$I$25,0),J$11)))</f>
        <v/>
      </c>
      <c r="D1318" s="1161" t="str">
        <f>IF(B1335="","",INDEX(NXetHKI!$B$3:$CL$57,MATCH(InNXKI!B1335,NXetHKI!$B$3:$B$57,0),INDEX($J$12:$K$25,MATCH($B1318,$I$12:$I$25,0),K$11)))</f>
        <v/>
      </c>
      <c r="E1318" s="1162"/>
      <c r="F1318" s="805"/>
      <c r="H1318" s="64"/>
      <c r="I1318" s="64"/>
    </row>
    <row r="1319" spans="1:9" ht="32.25" customHeight="1">
      <c r="A1319" s="803" t="s">
        <v>193</v>
      </c>
      <c r="B1319" s="804" t="s">
        <v>28</v>
      </c>
      <c r="C1319" s="805" t="str">
        <f>IF(B1335="","",INDEX(NXetHKI!$B$3:$CL$57,MATCH(InNXKI!B1335,NXetHKI!$B$3:$B$57,0),INDEX($J$12:$K$25,MATCH($B1319,$I$12:$I$25,0),J$11)))</f>
        <v/>
      </c>
      <c r="D1319" s="1161" t="str">
        <f>IF(B1335="","",INDEX(NXetHKI!$B$3:$CL$57,MATCH(InNXKI!B1335,NXetHKI!$B$3:$B$57,0),INDEX($J$12:$K$25,MATCH($B1319,$I$12:$I$25,0),K$11)))</f>
        <v/>
      </c>
      <c r="E1319" s="1162"/>
      <c r="F1319" s="805"/>
      <c r="H1319" s="64"/>
      <c r="I1319" s="64"/>
    </row>
    <row r="1320" spans="1:9" ht="32.25" customHeight="1">
      <c r="A1320" s="803" t="s">
        <v>194</v>
      </c>
      <c r="B1320" s="804" t="s">
        <v>29</v>
      </c>
      <c r="C1320" s="805" t="str">
        <f>IF(B1335="","",INDEX(NXetHKI!$B$3:$CL$57,MATCH(InNXKI!B1335,NXetHKI!$B$3:$B$57,0),INDEX($J$12:$K$25,MATCH($B1320,$I$12:$I$25,0),J$11)))</f>
        <v/>
      </c>
      <c r="D1320" s="1161" t="str">
        <f>IF(B1335="","",INDEX(NXetHKI!$B$3:$CL$57,MATCH(InNXKI!B1335,NXetHKI!$B$3:$B$57,0),INDEX($J$12:$K$25,MATCH($B1320,$I$12:$I$25,0),K$11)))</f>
        <v/>
      </c>
      <c r="E1320" s="1162"/>
      <c r="F1320" s="805"/>
      <c r="H1320" s="64"/>
      <c r="I1320" s="64"/>
    </row>
    <row r="1321" spans="1:9" ht="32.25" customHeight="1">
      <c r="A1321" s="803" t="s">
        <v>195</v>
      </c>
      <c r="B1321" s="804" t="s">
        <v>120</v>
      </c>
      <c r="C1321" s="805" t="str">
        <f>IF(B1335="","",INDEX(NXetHKI!$B$3:$CL$57,MATCH(InNXKI!B1335,NXetHKI!$B$3:$B$57,0),INDEX($J$12:$K$25,MATCH($B1321,$I$12:$I$25,0),J$11)))</f>
        <v/>
      </c>
      <c r="D1321" s="1161" t="str">
        <f>IF(B1335="","",INDEX(NXetHKI!$B$3:$CL$57,MATCH(InNXKI!B1335,NXetHKI!$B$3:$B$57,0),INDEX($J$12:$K$25,MATCH($B1321,$I$12:$I$25,0),K$11)))</f>
        <v/>
      </c>
      <c r="E1321" s="1162"/>
      <c r="F1321" s="805"/>
      <c r="H1321" s="64"/>
      <c r="I1321" s="64"/>
    </row>
    <row r="1322" spans="1:9" ht="32.25" customHeight="1">
      <c r="A1322" s="803" t="s">
        <v>196</v>
      </c>
      <c r="B1322" s="804" t="s">
        <v>30</v>
      </c>
      <c r="C1322" s="805" t="str">
        <f>IF(B1335="","",INDEX(NXetHKI!$B$3:$CL$57,MATCH(InNXKI!B1335,NXetHKI!$B$3:$B$57,0),INDEX($J$12:$K$25,MATCH($B1322,$I$12:$I$25,0),J$11)))</f>
        <v/>
      </c>
      <c r="D1322" s="1161" t="str">
        <f>IF(B1335="","",INDEX(NXetHKI!$B$3:$CL$57,MATCH(InNXKI!B1335,NXetHKI!$B$3:$B$57,0),INDEX($J$12:$K$25,MATCH($B1322,$I$12:$I$25,0),K$11)))</f>
        <v/>
      </c>
      <c r="E1322" s="1162"/>
      <c r="F1322" s="805"/>
      <c r="H1322" s="64"/>
      <c r="I1322" s="64"/>
    </row>
    <row r="1323" spans="1:9" ht="32.25" customHeight="1">
      <c r="A1323" s="803" t="s">
        <v>197</v>
      </c>
      <c r="B1323" s="804" t="s">
        <v>31</v>
      </c>
      <c r="C1323" s="805" t="str">
        <f>IF(B1335="","",INDEX(NXetHKI!$B$3:$CL$57,MATCH(InNXKI!B1335,NXetHKI!$B$3:$B$57,0),INDEX($J$12:$K$25,MATCH($B1323,$I$12:$I$25,0),J$11)))</f>
        <v/>
      </c>
      <c r="D1323" s="1161" t="str">
        <f>IF(B1335="","",INDEX(NXetHKI!$B$3:$CL$57,MATCH(InNXKI!B1335,NXetHKI!$B$3:$B$57,0),INDEX($J$12:$K$25,MATCH($B1323,$I$12:$I$25,0),K$11)))</f>
        <v/>
      </c>
      <c r="E1323" s="1162"/>
      <c r="F1323" s="805"/>
      <c r="H1323" s="64"/>
      <c r="I1323" s="64"/>
    </row>
    <row r="1324" spans="1:9" ht="32.25" customHeight="1">
      <c r="A1324" s="803" t="s">
        <v>198</v>
      </c>
      <c r="B1324" s="804" t="s">
        <v>32</v>
      </c>
      <c r="C1324" s="805" t="str">
        <f>IF(B1335="","",INDEX(NXetHKI!$B$3:$CL$57,MATCH(InNXKI!B1335,NXetHKI!$B$3:$B$57,0),INDEX($J$12:$K$25,MATCH($B1324,$I$12:$I$25,0),J$11)))</f>
        <v/>
      </c>
      <c r="D1324" s="1161" t="str">
        <f>IF(B1335="","",INDEX(NXetHKI!$B$3:$CL$57,MATCH(InNXKI!B1335,NXetHKI!$B$3:$B$57,0),INDEX($J$12:$K$25,MATCH($B1324,$I$12:$I$25,0),K$11)))</f>
        <v/>
      </c>
      <c r="E1324" s="1162"/>
      <c r="F1324" s="805"/>
      <c r="H1324" s="64"/>
      <c r="I1324" s="64"/>
    </row>
    <row r="1325" spans="1:9" ht="32.25" customHeight="1">
      <c r="A1325" s="803" t="s">
        <v>199</v>
      </c>
      <c r="B1325" s="804" t="s">
        <v>33</v>
      </c>
      <c r="C1325" s="805" t="str">
        <f>IF(B1335="","",INDEX(NXetHKI!$B$3:$CL$57,MATCH(InNXKI!B1335,NXetHKI!$B$3:$B$57,0),INDEX($J$12:$K$25,MATCH($B1325,$I$12:$I$25,0),J$11)))</f>
        <v/>
      </c>
      <c r="D1325" s="1161" t="str">
        <f>IF(B1335="","",INDEX(NXetHKI!$B$3:$CL$57,MATCH(InNXKI!B1335,NXetHKI!$B$3:$B$57,0),INDEX($J$12:$K$25,MATCH($B1325,$I$12:$I$25,0),K$11)))</f>
        <v/>
      </c>
      <c r="E1325" s="1162"/>
      <c r="F1325" s="805"/>
      <c r="H1325" s="64"/>
      <c r="I1325" s="64"/>
    </row>
    <row r="1326" spans="1:9" ht="32.25" customHeight="1">
      <c r="A1326" s="803" t="s">
        <v>200</v>
      </c>
      <c r="B1326" s="804" t="s">
        <v>60</v>
      </c>
      <c r="C1326" s="805" t="str">
        <f>IF(B1335="","",INDEX(NXetHKI!$B$3:$CL$57,MATCH(InNXKI!B1335,NXetHKI!$B$3:$B$57,0),INDEX($J$12:$K$25,MATCH($B1326,$I$12:$I$25,0),J$11)))</f>
        <v/>
      </c>
      <c r="D1326" s="1161" t="str">
        <f>IF(B1335="","",INDEX(NXetHKI!$B$3:$CL$57,MATCH(InNXKI!B1335,NXetHKI!$B$3:$B$57,0),INDEX($J$12:$K$25,MATCH($B1326,$I$12:$I$25,0),K$11)))</f>
        <v/>
      </c>
      <c r="E1326" s="1162"/>
      <c r="F1326" s="805"/>
      <c r="H1326" s="64"/>
      <c r="I1326" s="64"/>
    </row>
    <row r="1327" spans="1:9" ht="32.25" customHeight="1">
      <c r="A1327" s="803" t="s">
        <v>201</v>
      </c>
      <c r="B1327" s="804" t="s">
        <v>34</v>
      </c>
      <c r="C1327" s="805" t="str">
        <f>IF(B1335="","",INDEX(NXetHKI!$B$3:$CL$57,MATCH(InNXKI!B1335,NXetHKI!$B$3:$B$57,0),INDEX($J$12:$K$25,MATCH($B1327,$I$12:$I$25,0),J$11)))</f>
        <v/>
      </c>
      <c r="D1327" s="1161" t="str">
        <f>IF(B1335="","",INDEX(NXetHKI!$B$3:$CL$57,MATCH(InNXKI!B1335,NXetHKI!$B$3:$B$57,0),INDEX($J$12:$K$25,MATCH($B1327,$I$12:$I$25,0),K$11)))</f>
        <v/>
      </c>
      <c r="E1327" s="1162"/>
      <c r="F1327" s="805"/>
      <c r="H1327" s="64"/>
      <c r="I1327" s="64"/>
    </row>
    <row r="1328" spans="1:9" ht="32.25" customHeight="1">
      <c r="A1328" s="803" t="s">
        <v>202</v>
      </c>
      <c r="B1328" s="804" t="s">
        <v>35</v>
      </c>
      <c r="C1328" s="805" t="str">
        <f>IF(B1335="","",INDEX(NXetHKI!$B$3:$CL$57,MATCH(InNXKI!B1335,NXetHKI!$B$3:$B$57,0),INDEX($J$12:$K$25,MATCH($B1328,$I$12:$I$25,0),J$11)))</f>
        <v/>
      </c>
      <c r="D1328" s="1161" t="str">
        <f>IF(B1335="","",INDEX(NXetHKI!$B$3:$CL$57,MATCH(InNXKI!B1335,NXetHKI!$B$3:$B$57,0),INDEX($J$12:$K$25,MATCH($B1328,$I$12:$I$25,0),K$11)))</f>
        <v/>
      </c>
      <c r="E1328" s="1162"/>
      <c r="F1328" s="805"/>
      <c r="H1328" s="64"/>
      <c r="I1328" s="64"/>
    </row>
    <row r="1329" spans="1:9" ht="32.25" customHeight="1">
      <c r="A1329" s="803" t="s">
        <v>203</v>
      </c>
      <c r="B1329" s="804" t="s">
        <v>121</v>
      </c>
      <c r="C1329" s="805" t="str">
        <f>IF(B1335="","",INDEX(NXetHKI!$B$3:$CL$57,MATCH(InNXKI!B1335,NXetHKI!$B$3:$B$57,0),INDEX($J$12:$K$25,MATCH($B1329,$I$12:$I$25,0),J$11)))</f>
        <v/>
      </c>
      <c r="D1329" s="1161" t="str">
        <f>IF(B1335="","",INDEX(NXetHKI!$B$3:$CL$57,MATCH(InNXKI!B1335,NXetHKI!$B$3:$B$57,0),INDEX($J$12:$K$25,MATCH($B1329,$I$12:$I$25,0),K$11)))</f>
        <v/>
      </c>
      <c r="E1329" s="1162"/>
      <c r="F1329" s="805"/>
      <c r="H1329" s="64"/>
      <c r="I1329" s="64"/>
    </row>
    <row r="1330" spans="1:9" ht="32.25" customHeight="1">
      <c r="A1330" s="803">
        <v>14</v>
      </c>
      <c r="B1330" s="804" t="s">
        <v>122</v>
      </c>
      <c r="C1330" s="805" t="str">
        <f>IF(B1335="","",INDEX(NXetHKI!$B$3:$CL$57,MATCH(InNXKI!B1335,NXetHKI!$B$3:$B$57,0),INDEX($J$12:$K$25,MATCH($B1330,$I$12:$I$25,0),J$11)))</f>
        <v/>
      </c>
      <c r="D1330" s="1161" t="str">
        <f>IF(B1335="","",INDEX(NXetHKI!$B$3:$CL$57,MATCH(InNXKI!B1335,NXetHKI!$B$3:$B$57,0),INDEX($J$12:$K$25,MATCH($B1330,$I$12:$I$25,0),K$11)))</f>
        <v/>
      </c>
      <c r="E1330" s="1162"/>
      <c r="F1330" s="805"/>
      <c r="H1330" s="64"/>
    </row>
    <row r="1331" spans="1:9" ht="12" customHeight="1"/>
    <row r="1332" spans="1:9" ht="21.75" customHeight="1">
      <c r="D1332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332" s="1163"/>
      <c r="F1332" s="1163"/>
    </row>
    <row r="1333" spans="1:9">
      <c r="D1333" s="992" t="s">
        <v>377</v>
      </c>
      <c r="E1333" s="992"/>
      <c r="F1333" s="992"/>
    </row>
    <row r="1334" spans="1:9" ht="81" customHeight="1">
      <c r="D1334" s="923" t="str">
        <f>IF('Huong dan'!$E$5="","",'Huong dan'!$E$5)</f>
        <v/>
      </c>
      <c r="E1334" s="923"/>
      <c r="F1334" s="923"/>
    </row>
    <row r="1335" spans="1:9">
      <c r="A1335" s="811"/>
      <c r="B1335" s="711" t="str">
        <f>IF(B1306="","",IF(B1306&lt;MAX(NXetHKI!$B$3:$B$57),B1306+1,""))</f>
        <v/>
      </c>
      <c r="C1335" s="811"/>
      <c r="D1335" s="1157"/>
      <c r="E1335" s="1157"/>
      <c r="F1335" s="1157"/>
    </row>
    <row r="1336" spans="1:9" s="60" customFormat="1" ht="24.75" customHeight="1">
      <c r="A1336" s="1128" t="str">
        <f>IF('Huong dan'!$E$3&lt;&gt;"","SỞ GIÁO DỤC VÀ ĐÀO TẠO "&amp;UPPER('Huong dan'!$E$3),"")</f>
        <v>SỞ GIÁO DỤC VÀ ĐÀO TẠO TP. HỒ CHÍ MINH</v>
      </c>
      <c r="B1336" s="1128"/>
      <c r="C1336" s="1128"/>
      <c r="D1336" s="1128"/>
      <c r="E1336" s="1129" t="s">
        <v>19</v>
      </c>
      <c r="F1336" s="1129"/>
    </row>
    <row r="1337" spans="1:9" ht="17.25" customHeight="1">
      <c r="A1337" s="992" t="str">
        <f>IF('Huong dan'!$E$4&lt;&gt;"","TRƯỜNG "&amp;UPPER('Huong dan'!$E$4),"")</f>
        <v>TRƯỜNG THCS VÀ THPT NGUYỄN KHUYẾN</v>
      </c>
      <c r="B1337" s="992"/>
      <c r="C1337" s="992"/>
      <c r="D1337" s="992"/>
      <c r="E1337" s="1130" t="s">
        <v>179</v>
      </c>
      <c r="F1337" s="1130"/>
    </row>
    <row r="1338" spans="1:9" ht="20.25" customHeight="1">
      <c r="A1338" s="69"/>
      <c r="B1338" s="69"/>
      <c r="C1338" s="30"/>
      <c r="D1338" s="30"/>
    </row>
    <row r="1339" spans="1:9" ht="28.5" customHeight="1">
      <c r="A1339" s="1164" t="s">
        <v>567</v>
      </c>
      <c r="B1339" s="1164"/>
      <c r="C1339" s="1164"/>
      <c r="D1339" s="1164"/>
      <c r="E1339" s="1164"/>
      <c r="F1339" s="1164"/>
    </row>
    <row r="1340" spans="1:9" ht="24.75" customHeight="1">
      <c r="A1340" s="1164" t="str">
        <f>"HỌC KỲ I NĂM HỌC "&amp;'Huong dan'!$C$5</f>
        <v>HỌC KỲ I NĂM HỌC 2021 - 2022</v>
      </c>
      <c r="B1340" s="1164"/>
      <c r="C1340" s="1164"/>
      <c r="D1340" s="1164"/>
      <c r="E1340" s="1164"/>
      <c r="F1340" s="1164"/>
    </row>
    <row r="1341" spans="1:9" ht="14.25" customHeight="1">
      <c r="A1341" s="70"/>
      <c r="B1341" s="66"/>
      <c r="C1341" s="66"/>
      <c r="D1341" s="66"/>
      <c r="E1341" s="66"/>
      <c r="F1341" s="66"/>
    </row>
    <row r="1342" spans="1:9" ht="18.75" customHeight="1">
      <c r="A1342" s="1158" t="s">
        <v>212</v>
      </c>
      <c r="B1342" s="1158"/>
      <c r="C1342" s="1158"/>
      <c r="D1342" s="77" t="str">
        <f>IF(B1364="","",INDEX(NXetHKI!$B$3:$CL$57,MATCH(InNXKI!B1364,NXetHKI!$B$3:$B$57,0),3)&amp;" "&amp;INDEX(NXetHKI!$B$3:$CL$57,MATCH(InNXKI!B1364,NXetHKI!$B$3:$B$57,0),4))</f>
        <v/>
      </c>
      <c r="E1342" s="77"/>
      <c r="F1342" s="77" t="str">
        <f>IF('Huong dan'!$C$3="","","Lớp: "&amp;'Huong dan'!$C$3)</f>
        <v>Lớp: 12A1</v>
      </c>
    </row>
    <row r="1343" spans="1:9" ht="18.75" customHeight="1">
      <c r="A1343" s="1158" t="s">
        <v>213</v>
      </c>
      <c r="B1343" s="1158"/>
      <c r="C1343" s="1158"/>
      <c r="D1343" s="77" t="str">
        <f>INDEX(NXetHKI!$B$3:$CL$57,MATCH(InNXKI!B1364,NXetHKI!$B$3:$B$57,0),5)</f>
        <v/>
      </c>
      <c r="E1343" s="77"/>
      <c r="F1343" s="841" t="str">
        <f>IF(B1364="","","Nơi sinh: "&amp;INDEX(DiemHKI!$G$4:$G$58,MATCH(InNXKI!B1364,DiemHKI!$B$4:$B$58,0),1))</f>
        <v/>
      </c>
    </row>
    <row r="1344" spans="1:9" ht="9.75" customHeight="1">
      <c r="A1344" s="62"/>
      <c r="B1344" s="62"/>
      <c r="C1344" s="62"/>
      <c r="D1344" s="62"/>
      <c r="E1344" s="62"/>
      <c r="F1344" s="62"/>
    </row>
    <row r="1345" spans="1:9" ht="34.5" customHeight="1">
      <c r="A1345" s="801" t="s">
        <v>0</v>
      </c>
      <c r="B1345" s="801" t="s">
        <v>59</v>
      </c>
      <c r="C1345" s="806" t="s">
        <v>360</v>
      </c>
      <c r="D1345" s="1159" t="s">
        <v>568</v>
      </c>
      <c r="E1345" s="1160"/>
      <c r="F1345" s="802" t="s">
        <v>569</v>
      </c>
    </row>
    <row r="1346" spans="1:9" ht="32.25" customHeight="1">
      <c r="A1346" s="803" t="s">
        <v>191</v>
      </c>
      <c r="B1346" s="804" t="s">
        <v>26</v>
      </c>
      <c r="C1346" s="805" t="str">
        <f>IF(B1364="","",INDEX(NXetHKI!$B$3:$CL$57,MATCH(InNXKI!B1364,NXetHKI!$B$3:$B$57,0),INDEX($J$12:$K$25,MATCH($B1346,$I$12:$I$25,0),J$11)))</f>
        <v/>
      </c>
      <c r="D1346" s="1161" t="str">
        <f>IF(B1364="","",INDEX(NXetHKI!$B$3:$CL$57,MATCH(InNXKI!B1364,NXetHKI!$B$3:$B$57,0),INDEX($J$12:$K$25,MATCH($B1346,$I$12:$I$25,0),K$11)))</f>
        <v/>
      </c>
      <c r="E1346" s="1162"/>
      <c r="F1346" s="805"/>
      <c r="H1346" s="64"/>
      <c r="I1346" s="64"/>
    </row>
    <row r="1347" spans="1:9" ht="32.25" customHeight="1">
      <c r="A1347" s="803" t="s">
        <v>192</v>
      </c>
      <c r="B1347" s="804" t="s">
        <v>27</v>
      </c>
      <c r="C1347" s="805" t="str">
        <f>IF(B1364="","",INDEX(NXetHKI!$B$3:$CL$57,MATCH(InNXKI!B1364,NXetHKI!$B$3:$B$57,0),INDEX($J$12:$K$25,MATCH($B1347,$I$12:$I$25,0),J$11)))</f>
        <v/>
      </c>
      <c r="D1347" s="1161" t="str">
        <f>IF(B1364="","",INDEX(NXetHKI!$B$3:$CL$57,MATCH(InNXKI!B1364,NXetHKI!$B$3:$B$57,0),INDEX($J$12:$K$25,MATCH($B1347,$I$12:$I$25,0),K$11)))</f>
        <v/>
      </c>
      <c r="E1347" s="1162"/>
      <c r="F1347" s="805"/>
      <c r="H1347" s="64"/>
      <c r="I1347" s="64"/>
    </row>
    <row r="1348" spans="1:9" ht="32.25" customHeight="1">
      <c r="A1348" s="803" t="s">
        <v>193</v>
      </c>
      <c r="B1348" s="804" t="s">
        <v>28</v>
      </c>
      <c r="C1348" s="805" t="str">
        <f>IF(B1364="","",INDEX(NXetHKI!$B$3:$CL$57,MATCH(InNXKI!B1364,NXetHKI!$B$3:$B$57,0),INDEX($J$12:$K$25,MATCH($B1348,$I$12:$I$25,0),J$11)))</f>
        <v/>
      </c>
      <c r="D1348" s="1161" t="str">
        <f>IF(B1364="","",INDEX(NXetHKI!$B$3:$CL$57,MATCH(InNXKI!B1364,NXetHKI!$B$3:$B$57,0),INDEX($J$12:$K$25,MATCH($B1348,$I$12:$I$25,0),K$11)))</f>
        <v/>
      </c>
      <c r="E1348" s="1162"/>
      <c r="F1348" s="805"/>
      <c r="H1348" s="64"/>
      <c r="I1348" s="64"/>
    </row>
    <row r="1349" spans="1:9" ht="32.25" customHeight="1">
      <c r="A1349" s="803" t="s">
        <v>194</v>
      </c>
      <c r="B1349" s="804" t="s">
        <v>29</v>
      </c>
      <c r="C1349" s="805" t="str">
        <f>IF(B1364="","",INDEX(NXetHKI!$B$3:$CL$57,MATCH(InNXKI!B1364,NXetHKI!$B$3:$B$57,0),INDEX($J$12:$K$25,MATCH($B1349,$I$12:$I$25,0),J$11)))</f>
        <v/>
      </c>
      <c r="D1349" s="1161" t="str">
        <f>IF(B1364="","",INDEX(NXetHKI!$B$3:$CL$57,MATCH(InNXKI!B1364,NXetHKI!$B$3:$B$57,0),INDEX($J$12:$K$25,MATCH($B1349,$I$12:$I$25,0),K$11)))</f>
        <v/>
      </c>
      <c r="E1349" s="1162"/>
      <c r="F1349" s="805"/>
      <c r="H1349" s="64"/>
      <c r="I1349" s="64"/>
    </row>
    <row r="1350" spans="1:9" ht="32.25" customHeight="1">
      <c r="A1350" s="803" t="s">
        <v>195</v>
      </c>
      <c r="B1350" s="804" t="s">
        <v>120</v>
      </c>
      <c r="C1350" s="805" t="str">
        <f>IF(B1364="","",INDEX(NXetHKI!$B$3:$CL$57,MATCH(InNXKI!B1364,NXetHKI!$B$3:$B$57,0),INDEX($J$12:$K$25,MATCH($B1350,$I$12:$I$25,0),J$11)))</f>
        <v/>
      </c>
      <c r="D1350" s="1161" t="str">
        <f>IF(B1364="","",INDEX(NXetHKI!$B$3:$CL$57,MATCH(InNXKI!B1364,NXetHKI!$B$3:$B$57,0),INDEX($J$12:$K$25,MATCH($B1350,$I$12:$I$25,0),K$11)))</f>
        <v/>
      </c>
      <c r="E1350" s="1162"/>
      <c r="F1350" s="805"/>
      <c r="H1350" s="64"/>
      <c r="I1350" s="64"/>
    </row>
    <row r="1351" spans="1:9" ht="32.25" customHeight="1">
      <c r="A1351" s="803" t="s">
        <v>196</v>
      </c>
      <c r="B1351" s="804" t="s">
        <v>30</v>
      </c>
      <c r="C1351" s="805" t="str">
        <f>IF(B1364="","",INDEX(NXetHKI!$B$3:$CL$57,MATCH(InNXKI!B1364,NXetHKI!$B$3:$B$57,0),INDEX($J$12:$K$25,MATCH($B1351,$I$12:$I$25,0),J$11)))</f>
        <v/>
      </c>
      <c r="D1351" s="1161" t="str">
        <f>IF(B1364="","",INDEX(NXetHKI!$B$3:$CL$57,MATCH(InNXKI!B1364,NXetHKI!$B$3:$B$57,0),INDEX($J$12:$K$25,MATCH($B1351,$I$12:$I$25,0),K$11)))</f>
        <v/>
      </c>
      <c r="E1351" s="1162"/>
      <c r="F1351" s="805"/>
      <c r="H1351" s="64"/>
      <c r="I1351" s="64"/>
    </row>
    <row r="1352" spans="1:9" ht="32.25" customHeight="1">
      <c r="A1352" s="803" t="s">
        <v>197</v>
      </c>
      <c r="B1352" s="804" t="s">
        <v>31</v>
      </c>
      <c r="C1352" s="805" t="str">
        <f>IF(B1364="","",INDEX(NXetHKI!$B$3:$CL$57,MATCH(InNXKI!B1364,NXetHKI!$B$3:$B$57,0),INDEX($J$12:$K$25,MATCH($B1352,$I$12:$I$25,0),J$11)))</f>
        <v/>
      </c>
      <c r="D1352" s="1161" t="str">
        <f>IF(B1364="","",INDEX(NXetHKI!$B$3:$CL$57,MATCH(InNXKI!B1364,NXetHKI!$B$3:$B$57,0),INDEX($J$12:$K$25,MATCH($B1352,$I$12:$I$25,0),K$11)))</f>
        <v/>
      </c>
      <c r="E1352" s="1162"/>
      <c r="F1352" s="805"/>
      <c r="H1352" s="64"/>
      <c r="I1352" s="64"/>
    </row>
    <row r="1353" spans="1:9" ht="32.25" customHeight="1">
      <c r="A1353" s="803" t="s">
        <v>198</v>
      </c>
      <c r="B1353" s="804" t="s">
        <v>32</v>
      </c>
      <c r="C1353" s="805" t="str">
        <f>IF(B1364="","",INDEX(NXetHKI!$B$3:$CL$57,MATCH(InNXKI!B1364,NXetHKI!$B$3:$B$57,0),INDEX($J$12:$K$25,MATCH($B1353,$I$12:$I$25,0),J$11)))</f>
        <v/>
      </c>
      <c r="D1353" s="1161" t="str">
        <f>IF(B1364="","",INDEX(NXetHKI!$B$3:$CL$57,MATCH(InNXKI!B1364,NXetHKI!$B$3:$B$57,0),INDEX($J$12:$K$25,MATCH($B1353,$I$12:$I$25,0),K$11)))</f>
        <v/>
      </c>
      <c r="E1353" s="1162"/>
      <c r="F1353" s="805"/>
      <c r="H1353" s="64"/>
      <c r="I1353" s="64"/>
    </row>
    <row r="1354" spans="1:9" ht="32.25" customHeight="1">
      <c r="A1354" s="803" t="s">
        <v>199</v>
      </c>
      <c r="B1354" s="804" t="s">
        <v>33</v>
      </c>
      <c r="C1354" s="805" t="str">
        <f>IF(B1364="","",INDEX(NXetHKI!$B$3:$CL$57,MATCH(InNXKI!B1364,NXetHKI!$B$3:$B$57,0),INDEX($J$12:$K$25,MATCH($B1354,$I$12:$I$25,0),J$11)))</f>
        <v/>
      </c>
      <c r="D1354" s="1161" t="str">
        <f>IF(B1364="","",INDEX(NXetHKI!$B$3:$CL$57,MATCH(InNXKI!B1364,NXetHKI!$B$3:$B$57,0),INDEX($J$12:$K$25,MATCH($B1354,$I$12:$I$25,0),K$11)))</f>
        <v/>
      </c>
      <c r="E1354" s="1162"/>
      <c r="F1354" s="805"/>
      <c r="H1354" s="64"/>
      <c r="I1354" s="64"/>
    </row>
    <row r="1355" spans="1:9" ht="32.25" customHeight="1">
      <c r="A1355" s="803" t="s">
        <v>200</v>
      </c>
      <c r="B1355" s="804" t="s">
        <v>60</v>
      </c>
      <c r="C1355" s="805" t="str">
        <f>IF(B1364="","",INDEX(NXetHKI!$B$3:$CL$57,MATCH(InNXKI!B1364,NXetHKI!$B$3:$B$57,0),INDEX($J$12:$K$25,MATCH($B1355,$I$12:$I$25,0),J$11)))</f>
        <v/>
      </c>
      <c r="D1355" s="1161" t="str">
        <f>IF(B1364="","",INDEX(NXetHKI!$B$3:$CL$57,MATCH(InNXKI!B1364,NXetHKI!$B$3:$B$57,0),INDEX($J$12:$K$25,MATCH($B1355,$I$12:$I$25,0),K$11)))</f>
        <v/>
      </c>
      <c r="E1355" s="1162"/>
      <c r="F1355" s="805"/>
      <c r="H1355" s="64"/>
      <c r="I1355" s="64"/>
    </row>
    <row r="1356" spans="1:9" ht="32.25" customHeight="1">
      <c r="A1356" s="803" t="s">
        <v>201</v>
      </c>
      <c r="B1356" s="804" t="s">
        <v>34</v>
      </c>
      <c r="C1356" s="805" t="str">
        <f>IF(B1364="","",INDEX(NXetHKI!$B$3:$CL$57,MATCH(InNXKI!B1364,NXetHKI!$B$3:$B$57,0),INDEX($J$12:$K$25,MATCH($B1356,$I$12:$I$25,0),J$11)))</f>
        <v/>
      </c>
      <c r="D1356" s="1161" t="str">
        <f>IF(B1364="","",INDEX(NXetHKI!$B$3:$CL$57,MATCH(InNXKI!B1364,NXetHKI!$B$3:$B$57,0),INDEX($J$12:$K$25,MATCH($B1356,$I$12:$I$25,0),K$11)))</f>
        <v/>
      </c>
      <c r="E1356" s="1162"/>
      <c r="F1356" s="805"/>
      <c r="H1356" s="64"/>
      <c r="I1356" s="64"/>
    </row>
    <row r="1357" spans="1:9" ht="32.25" customHeight="1">
      <c r="A1357" s="803" t="s">
        <v>202</v>
      </c>
      <c r="B1357" s="804" t="s">
        <v>35</v>
      </c>
      <c r="C1357" s="805" t="str">
        <f>IF(B1364="","",INDEX(NXetHKI!$B$3:$CL$57,MATCH(InNXKI!B1364,NXetHKI!$B$3:$B$57,0),INDEX($J$12:$K$25,MATCH($B1357,$I$12:$I$25,0),J$11)))</f>
        <v/>
      </c>
      <c r="D1357" s="1161" t="str">
        <f>IF(B1364="","",INDEX(NXetHKI!$B$3:$CL$57,MATCH(InNXKI!B1364,NXetHKI!$B$3:$B$57,0),INDEX($J$12:$K$25,MATCH($B1357,$I$12:$I$25,0),K$11)))</f>
        <v/>
      </c>
      <c r="E1357" s="1162"/>
      <c r="F1357" s="805"/>
      <c r="H1357" s="64"/>
      <c r="I1357" s="64"/>
    </row>
    <row r="1358" spans="1:9" ht="32.25" customHeight="1">
      <c r="A1358" s="803" t="s">
        <v>203</v>
      </c>
      <c r="B1358" s="804" t="s">
        <v>121</v>
      </c>
      <c r="C1358" s="805" t="str">
        <f>IF(B1364="","",INDEX(NXetHKI!$B$3:$CL$57,MATCH(InNXKI!B1364,NXetHKI!$B$3:$B$57,0),INDEX($J$12:$K$25,MATCH($B1358,$I$12:$I$25,0),J$11)))</f>
        <v/>
      </c>
      <c r="D1358" s="1161" t="str">
        <f>IF(B1364="","",INDEX(NXetHKI!$B$3:$CL$57,MATCH(InNXKI!B1364,NXetHKI!$B$3:$B$57,0),INDEX($J$12:$K$25,MATCH($B1358,$I$12:$I$25,0),K$11)))</f>
        <v/>
      </c>
      <c r="E1358" s="1162"/>
      <c r="F1358" s="805"/>
      <c r="H1358" s="64"/>
      <c r="I1358" s="64"/>
    </row>
    <row r="1359" spans="1:9" ht="32.25" customHeight="1">
      <c r="A1359" s="803">
        <v>14</v>
      </c>
      <c r="B1359" s="804" t="s">
        <v>122</v>
      </c>
      <c r="C1359" s="805" t="str">
        <f>IF(B1364="","",INDEX(NXetHKI!$B$3:$CL$57,MATCH(InNXKI!B1364,NXetHKI!$B$3:$B$57,0),INDEX($J$12:$K$25,MATCH($B1359,$I$12:$I$25,0),J$11)))</f>
        <v/>
      </c>
      <c r="D1359" s="1161" t="str">
        <f>IF(B1364="","",INDEX(NXetHKI!$B$3:$CL$57,MATCH(InNXKI!B1364,NXetHKI!$B$3:$B$57,0),INDEX($J$12:$K$25,MATCH($B1359,$I$12:$I$25,0),K$11)))</f>
        <v/>
      </c>
      <c r="E1359" s="1162"/>
      <c r="F1359" s="805"/>
      <c r="H1359" s="64"/>
    </row>
    <row r="1360" spans="1:9" ht="12" customHeight="1"/>
    <row r="1361" spans="1:9" ht="21.75" customHeight="1">
      <c r="D1361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361" s="1163"/>
      <c r="F1361" s="1163"/>
    </row>
    <row r="1362" spans="1:9">
      <c r="D1362" s="992" t="s">
        <v>377</v>
      </c>
      <c r="E1362" s="992"/>
      <c r="F1362" s="992"/>
    </row>
    <row r="1363" spans="1:9" ht="81" customHeight="1">
      <c r="D1363" s="923" t="str">
        <f>IF('Huong dan'!$E$5="","",'Huong dan'!$E$5)</f>
        <v/>
      </c>
      <c r="E1363" s="923"/>
      <c r="F1363" s="923"/>
    </row>
    <row r="1364" spans="1:9">
      <c r="A1364" s="811"/>
      <c r="B1364" s="711" t="str">
        <f>IF(B1335="","",IF(B1335&lt;MAX(NXetHKI!$B$3:$B$57),B1335+1,""))</f>
        <v/>
      </c>
      <c r="C1364" s="811"/>
      <c r="D1364" s="1157"/>
      <c r="E1364" s="1157"/>
      <c r="F1364" s="1157"/>
    </row>
    <row r="1365" spans="1:9" s="60" customFormat="1" ht="24.75" customHeight="1">
      <c r="A1365" s="1128" t="str">
        <f>IF('Huong dan'!$E$3&lt;&gt;"","SỞ GIÁO DỤC VÀ ĐÀO TẠO "&amp;UPPER('Huong dan'!$E$3),"")</f>
        <v>SỞ GIÁO DỤC VÀ ĐÀO TẠO TP. HỒ CHÍ MINH</v>
      </c>
      <c r="B1365" s="1128"/>
      <c r="C1365" s="1128"/>
      <c r="D1365" s="1128"/>
      <c r="E1365" s="1129" t="s">
        <v>19</v>
      </c>
      <c r="F1365" s="1129"/>
    </row>
    <row r="1366" spans="1:9" ht="17.25" customHeight="1">
      <c r="A1366" s="992" t="str">
        <f>IF('Huong dan'!$E$4&lt;&gt;"","TRƯỜNG "&amp;UPPER('Huong dan'!$E$4),"")</f>
        <v>TRƯỜNG THCS VÀ THPT NGUYỄN KHUYẾN</v>
      </c>
      <c r="B1366" s="992"/>
      <c r="C1366" s="992"/>
      <c r="D1366" s="992"/>
      <c r="E1366" s="1130" t="s">
        <v>179</v>
      </c>
      <c r="F1366" s="1130"/>
    </row>
    <row r="1367" spans="1:9" ht="20.25" customHeight="1">
      <c r="A1367" s="69"/>
      <c r="B1367" s="69"/>
      <c r="C1367" s="30"/>
      <c r="D1367" s="30"/>
    </row>
    <row r="1368" spans="1:9" ht="28.5" customHeight="1">
      <c r="A1368" s="1164" t="s">
        <v>567</v>
      </c>
      <c r="B1368" s="1164"/>
      <c r="C1368" s="1164"/>
      <c r="D1368" s="1164"/>
      <c r="E1368" s="1164"/>
      <c r="F1368" s="1164"/>
    </row>
    <row r="1369" spans="1:9" ht="24.75" customHeight="1">
      <c r="A1369" s="1164" t="str">
        <f>"HỌC KỲ I NĂM HỌC "&amp;'Huong dan'!$C$5</f>
        <v>HỌC KỲ I NĂM HỌC 2021 - 2022</v>
      </c>
      <c r="B1369" s="1164"/>
      <c r="C1369" s="1164"/>
      <c r="D1369" s="1164"/>
      <c r="E1369" s="1164"/>
      <c r="F1369" s="1164"/>
    </row>
    <row r="1370" spans="1:9" ht="14.25" customHeight="1">
      <c r="A1370" s="70"/>
      <c r="B1370" s="66"/>
      <c r="C1370" s="66"/>
      <c r="D1370" s="66"/>
      <c r="E1370" s="66"/>
      <c r="F1370" s="66"/>
    </row>
    <row r="1371" spans="1:9" ht="18.75" customHeight="1">
      <c r="A1371" s="1158" t="s">
        <v>212</v>
      </c>
      <c r="B1371" s="1158"/>
      <c r="C1371" s="1158"/>
      <c r="D1371" s="77" t="str">
        <f>IF(B1393="","",INDEX(NXetHKI!$B$3:$CL$57,MATCH(InNXKI!B1393,NXetHKI!$B$3:$B$57,0),3)&amp;" "&amp;INDEX(NXetHKI!$B$3:$CL$57,MATCH(InNXKI!B1393,NXetHKI!$B$3:$B$57,0),4))</f>
        <v/>
      </c>
      <c r="E1371" s="77"/>
      <c r="F1371" s="77" t="str">
        <f>IF('Huong dan'!$C$3="","","Lớp: "&amp;'Huong dan'!$C$3)</f>
        <v>Lớp: 12A1</v>
      </c>
    </row>
    <row r="1372" spans="1:9" ht="18.75" customHeight="1">
      <c r="A1372" s="1158" t="s">
        <v>213</v>
      </c>
      <c r="B1372" s="1158"/>
      <c r="C1372" s="1158"/>
      <c r="D1372" s="77" t="str">
        <f>INDEX(NXetHKI!$B$3:$CL$57,MATCH(InNXKI!B1393,NXetHKI!$B$3:$B$57,0),5)</f>
        <v/>
      </c>
      <c r="E1372" s="77"/>
      <c r="F1372" s="841" t="str">
        <f>IF(B1393="","","Nơi sinh: "&amp;INDEX(DiemHKI!$G$4:$G$58,MATCH(InNXKI!B1393,DiemHKI!$B$4:$B$58,0),1))</f>
        <v/>
      </c>
    </row>
    <row r="1373" spans="1:9" ht="9.75" customHeight="1">
      <c r="A1373" s="62"/>
      <c r="B1373" s="62"/>
      <c r="C1373" s="62"/>
      <c r="D1373" s="62"/>
      <c r="E1373" s="62"/>
      <c r="F1373" s="62"/>
    </row>
    <row r="1374" spans="1:9" ht="34.5" customHeight="1">
      <c r="A1374" s="801" t="s">
        <v>0</v>
      </c>
      <c r="B1374" s="801" t="s">
        <v>59</v>
      </c>
      <c r="C1374" s="806" t="s">
        <v>360</v>
      </c>
      <c r="D1374" s="1159" t="s">
        <v>568</v>
      </c>
      <c r="E1374" s="1160"/>
      <c r="F1374" s="802" t="s">
        <v>569</v>
      </c>
    </row>
    <row r="1375" spans="1:9" ht="32.25" customHeight="1">
      <c r="A1375" s="803" t="s">
        <v>191</v>
      </c>
      <c r="B1375" s="804" t="s">
        <v>26</v>
      </c>
      <c r="C1375" s="805" t="str">
        <f>IF(B1393="","",INDEX(NXetHKI!$B$3:$CL$57,MATCH(InNXKI!B1393,NXetHKI!$B$3:$B$57,0),INDEX($J$12:$K$25,MATCH($B1375,$I$12:$I$25,0),J$11)))</f>
        <v/>
      </c>
      <c r="D1375" s="1161" t="str">
        <f>IF(B1393="","",INDEX(NXetHKI!$B$3:$CL$57,MATCH(InNXKI!B1393,NXetHKI!$B$3:$B$57,0),INDEX($J$12:$K$25,MATCH($B1375,$I$12:$I$25,0),K$11)))</f>
        <v/>
      </c>
      <c r="E1375" s="1162"/>
      <c r="F1375" s="805"/>
      <c r="H1375" s="64"/>
      <c r="I1375" s="64"/>
    </row>
    <row r="1376" spans="1:9" ht="32.25" customHeight="1">
      <c r="A1376" s="803" t="s">
        <v>192</v>
      </c>
      <c r="B1376" s="804" t="s">
        <v>27</v>
      </c>
      <c r="C1376" s="805" t="str">
        <f>IF(B1393="","",INDEX(NXetHKI!$B$3:$CL$57,MATCH(InNXKI!B1393,NXetHKI!$B$3:$B$57,0),INDEX($J$12:$K$25,MATCH($B1376,$I$12:$I$25,0),J$11)))</f>
        <v/>
      </c>
      <c r="D1376" s="1161" t="str">
        <f>IF(B1393="","",INDEX(NXetHKI!$B$3:$CL$57,MATCH(InNXKI!B1393,NXetHKI!$B$3:$B$57,0),INDEX($J$12:$K$25,MATCH($B1376,$I$12:$I$25,0),K$11)))</f>
        <v/>
      </c>
      <c r="E1376" s="1162"/>
      <c r="F1376" s="805"/>
      <c r="H1376" s="64"/>
      <c r="I1376" s="64"/>
    </row>
    <row r="1377" spans="1:9" ht="32.25" customHeight="1">
      <c r="A1377" s="803" t="s">
        <v>193</v>
      </c>
      <c r="B1377" s="804" t="s">
        <v>28</v>
      </c>
      <c r="C1377" s="805" t="str">
        <f>IF(B1393="","",INDEX(NXetHKI!$B$3:$CL$57,MATCH(InNXKI!B1393,NXetHKI!$B$3:$B$57,0),INDEX($J$12:$K$25,MATCH($B1377,$I$12:$I$25,0),J$11)))</f>
        <v/>
      </c>
      <c r="D1377" s="1161" t="str">
        <f>IF(B1393="","",INDEX(NXetHKI!$B$3:$CL$57,MATCH(InNXKI!B1393,NXetHKI!$B$3:$B$57,0),INDEX($J$12:$K$25,MATCH($B1377,$I$12:$I$25,0),K$11)))</f>
        <v/>
      </c>
      <c r="E1377" s="1162"/>
      <c r="F1377" s="805"/>
      <c r="H1377" s="64"/>
      <c r="I1377" s="64"/>
    </row>
    <row r="1378" spans="1:9" ht="32.25" customHeight="1">
      <c r="A1378" s="803" t="s">
        <v>194</v>
      </c>
      <c r="B1378" s="804" t="s">
        <v>29</v>
      </c>
      <c r="C1378" s="805" t="str">
        <f>IF(B1393="","",INDEX(NXetHKI!$B$3:$CL$57,MATCH(InNXKI!B1393,NXetHKI!$B$3:$B$57,0),INDEX($J$12:$K$25,MATCH($B1378,$I$12:$I$25,0),J$11)))</f>
        <v/>
      </c>
      <c r="D1378" s="1161" t="str">
        <f>IF(B1393="","",INDEX(NXetHKI!$B$3:$CL$57,MATCH(InNXKI!B1393,NXetHKI!$B$3:$B$57,0),INDEX($J$12:$K$25,MATCH($B1378,$I$12:$I$25,0),K$11)))</f>
        <v/>
      </c>
      <c r="E1378" s="1162"/>
      <c r="F1378" s="805"/>
      <c r="H1378" s="64"/>
      <c r="I1378" s="64"/>
    </row>
    <row r="1379" spans="1:9" ht="32.25" customHeight="1">
      <c r="A1379" s="803" t="s">
        <v>195</v>
      </c>
      <c r="B1379" s="804" t="s">
        <v>120</v>
      </c>
      <c r="C1379" s="805" t="str">
        <f>IF(B1393="","",INDEX(NXetHKI!$B$3:$CL$57,MATCH(InNXKI!B1393,NXetHKI!$B$3:$B$57,0),INDEX($J$12:$K$25,MATCH($B1379,$I$12:$I$25,0),J$11)))</f>
        <v/>
      </c>
      <c r="D1379" s="1161" t="str">
        <f>IF(B1393="","",INDEX(NXetHKI!$B$3:$CL$57,MATCH(InNXKI!B1393,NXetHKI!$B$3:$B$57,0),INDEX($J$12:$K$25,MATCH($B1379,$I$12:$I$25,0),K$11)))</f>
        <v/>
      </c>
      <c r="E1379" s="1162"/>
      <c r="F1379" s="805"/>
      <c r="H1379" s="64"/>
      <c r="I1379" s="64"/>
    </row>
    <row r="1380" spans="1:9" ht="32.25" customHeight="1">
      <c r="A1380" s="803" t="s">
        <v>196</v>
      </c>
      <c r="B1380" s="804" t="s">
        <v>30</v>
      </c>
      <c r="C1380" s="805" t="str">
        <f>IF(B1393="","",INDEX(NXetHKI!$B$3:$CL$57,MATCH(InNXKI!B1393,NXetHKI!$B$3:$B$57,0),INDEX($J$12:$K$25,MATCH($B1380,$I$12:$I$25,0),J$11)))</f>
        <v/>
      </c>
      <c r="D1380" s="1161" t="str">
        <f>IF(B1393="","",INDEX(NXetHKI!$B$3:$CL$57,MATCH(InNXKI!B1393,NXetHKI!$B$3:$B$57,0),INDEX($J$12:$K$25,MATCH($B1380,$I$12:$I$25,0),K$11)))</f>
        <v/>
      </c>
      <c r="E1380" s="1162"/>
      <c r="F1380" s="805"/>
      <c r="H1380" s="64"/>
      <c r="I1380" s="64"/>
    </row>
    <row r="1381" spans="1:9" ht="32.25" customHeight="1">
      <c r="A1381" s="803" t="s">
        <v>197</v>
      </c>
      <c r="B1381" s="804" t="s">
        <v>31</v>
      </c>
      <c r="C1381" s="805" t="str">
        <f>IF(B1393="","",INDEX(NXetHKI!$B$3:$CL$57,MATCH(InNXKI!B1393,NXetHKI!$B$3:$B$57,0),INDEX($J$12:$K$25,MATCH($B1381,$I$12:$I$25,0),J$11)))</f>
        <v/>
      </c>
      <c r="D1381" s="1161" t="str">
        <f>IF(B1393="","",INDEX(NXetHKI!$B$3:$CL$57,MATCH(InNXKI!B1393,NXetHKI!$B$3:$B$57,0),INDEX($J$12:$K$25,MATCH($B1381,$I$12:$I$25,0),K$11)))</f>
        <v/>
      </c>
      <c r="E1381" s="1162"/>
      <c r="F1381" s="805"/>
      <c r="H1381" s="64"/>
      <c r="I1381" s="64"/>
    </row>
    <row r="1382" spans="1:9" ht="32.25" customHeight="1">
      <c r="A1382" s="803" t="s">
        <v>198</v>
      </c>
      <c r="B1382" s="804" t="s">
        <v>32</v>
      </c>
      <c r="C1382" s="805" t="str">
        <f>IF(B1393="","",INDEX(NXetHKI!$B$3:$CL$57,MATCH(InNXKI!B1393,NXetHKI!$B$3:$B$57,0),INDEX($J$12:$K$25,MATCH($B1382,$I$12:$I$25,0),J$11)))</f>
        <v/>
      </c>
      <c r="D1382" s="1161" t="str">
        <f>IF(B1393="","",INDEX(NXetHKI!$B$3:$CL$57,MATCH(InNXKI!B1393,NXetHKI!$B$3:$B$57,0),INDEX($J$12:$K$25,MATCH($B1382,$I$12:$I$25,0),K$11)))</f>
        <v/>
      </c>
      <c r="E1382" s="1162"/>
      <c r="F1382" s="805"/>
      <c r="H1382" s="64"/>
      <c r="I1382" s="64"/>
    </row>
    <row r="1383" spans="1:9" ht="32.25" customHeight="1">
      <c r="A1383" s="803" t="s">
        <v>199</v>
      </c>
      <c r="B1383" s="804" t="s">
        <v>33</v>
      </c>
      <c r="C1383" s="805" t="str">
        <f>IF(B1393="","",INDEX(NXetHKI!$B$3:$CL$57,MATCH(InNXKI!B1393,NXetHKI!$B$3:$B$57,0),INDEX($J$12:$K$25,MATCH($B1383,$I$12:$I$25,0),J$11)))</f>
        <v/>
      </c>
      <c r="D1383" s="1161" t="str">
        <f>IF(B1393="","",INDEX(NXetHKI!$B$3:$CL$57,MATCH(InNXKI!B1393,NXetHKI!$B$3:$B$57,0),INDEX($J$12:$K$25,MATCH($B1383,$I$12:$I$25,0),K$11)))</f>
        <v/>
      </c>
      <c r="E1383" s="1162"/>
      <c r="F1383" s="805"/>
      <c r="H1383" s="64"/>
      <c r="I1383" s="64"/>
    </row>
    <row r="1384" spans="1:9" ht="32.25" customHeight="1">
      <c r="A1384" s="803" t="s">
        <v>200</v>
      </c>
      <c r="B1384" s="804" t="s">
        <v>60</v>
      </c>
      <c r="C1384" s="805" t="str">
        <f>IF(B1393="","",INDEX(NXetHKI!$B$3:$CL$57,MATCH(InNXKI!B1393,NXetHKI!$B$3:$B$57,0),INDEX($J$12:$K$25,MATCH($B1384,$I$12:$I$25,0),J$11)))</f>
        <v/>
      </c>
      <c r="D1384" s="1161" t="str">
        <f>IF(B1393="","",INDEX(NXetHKI!$B$3:$CL$57,MATCH(InNXKI!B1393,NXetHKI!$B$3:$B$57,0),INDEX($J$12:$K$25,MATCH($B1384,$I$12:$I$25,0),K$11)))</f>
        <v/>
      </c>
      <c r="E1384" s="1162"/>
      <c r="F1384" s="805"/>
      <c r="H1384" s="64"/>
      <c r="I1384" s="64"/>
    </row>
    <row r="1385" spans="1:9" ht="32.25" customHeight="1">
      <c r="A1385" s="803" t="s">
        <v>201</v>
      </c>
      <c r="B1385" s="804" t="s">
        <v>34</v>
      </c>
      <c r="C1385" s="805" t="str">
        <f>IF(B1393="","",INDEX(NXetHKI!$B$3:$CL$57,MATCH(InNXKI!B1393,NXetHKI!$B$3:$B$57,0),INDEX($J$12:$K$25,MATCH($B1385,$I$12:$I$25,0),J$11)))</f>
        <v/>
      </c>
      <c r="D1385" s="1161" t="str">
        <f>IF(B1393="","",INDEX(NXetHKI!$B$3:$CL$57,MATCH(InNXKI!B1393,NXetHKI!$B$3:$B$57,0),INDEX($J$12:$K$25,MATCH($B1385,$I$12:$I$25,0),K$11)))</f>
        <v/>
      </c>
      <c r="E1385" s="1162"/>
      <c r="F1385" s="805"/>
      <c r="H1385" s="64"/>
      <c r="I1385" s="64"/>
    </row>
    <row r="1386" spans="1:9" ht="32.25" customHeight="1">
      <c r="A1386" s="803" t="s">
        <v>202</v>
      </c>
      <c r="B1386" s="804" t="s">
        <v>35</v>
      </c>
      <c r="C1386" s="805" t="str">
        <f>IF(B1393="","",INDEX(NXetHKI!$B$3:$CL$57,MATCH(InNXKI!B1393,NXetHKI!$B$3:$B$57,0),INDEX($J$12:$K$25,MATCH($B1386,$I$12:$I$25,0),J$11)))</f>
        <v/>
      </c>
      <c r="D1386" s="1161" t="str">
        <f>IF(B1393="","",INDEX(NXetHKI!$B$3:$CL$57,MATCH(InNXKI!B1393,NXetHKI!$B$3:$B$57,0),INDEX($J$12:$K$25,MATCH($B1386,$I$12:$I$25,0),K$11)))</f>
        <v/>
      </c>
      <c r="E1386" s="1162"/>
      <c r="F1386" s="805"/>
      <c r="H1386" s="64"/>
      <c r="I1386" s="64"/>
    </row>
    <row r="1387" spans="1:9" ht="32.25" customHeight="1">
      <c r="A1387" s="803" t="s">
        <v>203</v>
      </c>
      <c r="B1387" s="804" t="s">
        <v>121</v>
      </c>
      <c r="C1387" s="805" t="str">
        <f>IF(B1393="","",INDEX(NXetHKI!$B$3:$CL$57,MATCH(InNXKI!B1393,NXetHKI!$B$3:$B$57,0),INDEX($J$12:$K$25,MATCH($B1387,$I$12:$I$25,0),J$11)))</f>
        <v/>
      </c>
      <c r="D1387" s="1161" t="str">
        <f>IF(B1393="","",INDEX(NXetHKI!$B$3:$CL$57,MATCH(InNXKI!B1393,NXetHKI!$B$3:$B$57,0),INDEX($J$12:$K$25,MATCH($B1387,$I$12:$I$25,0),K$11)))</f>
        <v/>
      </c>
      <c r="E1387" s="1162"/>
      <c r="F1387" s="805"/>
      <c r="H1387" s="64"/>
      <c r="I1387" s="64"/>
    </row>
    <row r="1388" spans="1:9" ht="32.25" customHeight="1">
      <c r="A1388" s="803">
        <v>14</v>
      </c>
      <c r="B1388" s="804" t="s">
        <v>122</v>
      </c>
      <c r="C1388" s="805" t="str">
        <f>IF(B1393="","",INDEX(NXetHKI!$B$3:$CL$57,MATCH(InNXKI!B1393,NXetHKI!$B$3:$B$57,0),INDEX($J$12:$K$25,MATCH($B1388,$I$12:$I$25,0),J$11)))</f>
        <v/>
      </c>
      <c r="D1388" s="1161" t="str">
        <f>IF(B1393="","",INDEX(NXetHKI!$B$3:$CL$57,MATCH(InNXKI!B1393,NXetHKI!$B$3:$B$57,0),INDEX($J$12:$K$25,MATCH($B1388,$I$12:$I$25,0),K$11)))</f>
        <v/>
      </c>
      <c r="E1388" s="1162"/>
      <c r="F1388" s="805"/>
      <c r="H1388" s="64"/>
    </row>
    <row r="1389" spans="1:9" ht="12" customHeight="1"/>
    <row r="1390" spans="1:9" ht="21.75" customHeight="1">
      <c r="D1390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390" s="1163"/>
      <c r="F1390" s="1163"/>
    </row>
    <row r="1391" spans="1:9">
      <c r="D1391" s="992" t="s">
        <v>377</v>
      </c>
      <c r="E1391" s="992"/>
      <c r="F1391" s="992"/>
    </row>
    <row r="1392" spans="1:9" ht="81" customHeight="1">
      <c r="D1392" s="923" t="str">
        <f>IF('Huong dan'!$E$5="","",'Huong dan'!$E$5)</f>
        <v/>
      </c>
      <c r="E1392" s="923"/>
      <c r="F1392" s="923"/>
    </row>
    <row r="1393" spans="1:9">
      <c r="A1393" s="811"/>
      <c r="B1393" s="711" t="str">
        <f>IF(B1364="","",IF(B1364&lt;MAX(NXetHKI!$B$3:$B$57),B1364+1,""))</f>
        <v/>
      </c>
      <c r="C1393" s="811"/>
      <c r="D1393" s="1157"/>
      <c r="E1393" s="1157"/>
      <c r="F1393" s="1157"/>
    </row>
    <row r="1394" spans="1:9" s="60" customFormat="1" ht="24.75" customHeight="1">
      <c r="A1394" s="1128" t="str">
        <f>IF('Huong dan'!$E$3&lt;&gt;"","SỞ GIÁO DỤC VÀ ĐÀO TẠO "&amp;UPPER('Huong dan'!$E$3),"")</f>
        <v>SỞ GIÁO DỤC VÀ ĐÀO TẠO TP. HỒ CHÍ MINH</v>
      </c>
      <c r="B1394" s="1128"/>
      <c r="C1394" s="1128"/>
      <c r="D1394" s="1128"/>
      <c r="E1394" s="1129" t="s">
        <v>19</v>
      </c>
      <c r="F1394" s="1129"/>
    </row>
    <row r="1395" spans="1:9" ht="17.25" customHeight="1">
      <c r="A1395" s="992" t="str">
        <f>IF('Huong dan'!$E$4&lt;&gt;"","TRƯỜNG "&amp;UPPER('Huong dan'!$E$4),"")</f>
        <v>TRƯỜNG THCS VÀ THPT NGUYỄN KHUYẾN</v>
      </c>
      <c r="B1395" s="992"/>
      <c r="C1395" s="992"/>
      <c r="D1395" s="992"/>
      <c r="E1395" s="1130" t="s">
        <v>179</v>
      </c>
      <c r="F1395" s="1130"/>
    </row>
    <row r="1396" spans="1:9" ht="20.25" customHeight="1">
      <c r="A1396" s="69"/>
      <c r="B1396" s="69"/>
      <c r="C1396" s="30"/>
      <c r="D1396" s="30"/>
    </row>
    <row r="1397" spans="1:9" ht="28.5" customHeight="1">
      <c r="A1397" s="1164" t="s">
        <v>567</v>
      </c>
      <c r="B1397" s="1164"/>
      <c r="C1397" s="1164"/>
      <c r="D1397" s="1164"/>
      <c r="E1397" s="1164"/>
      <c r="F1397" s="1164"/>
    </row>
    <row r="1398" spans="1:9" ht="24.75" customHeight="1">
      <c r="A1398" s="1164" t="str">
        <f>"HỌC KỲ I NĂM HỌC "&amp;'Huong dan'!$C$5</f>
        <v>HỌC KỲ I NĂM HỌC 2021 - 2022</v>
      </c>
      <c r="B1398" s="1164"/>
      <c r="C1398" s="1164"/>
      <c r="D1398" s="1164"/>
      <c r="E1398" s="1164"/>
      <c r="F1398" s="1164"/>
    </row>
    <row r="1399" spans="1:9" ht="14.25" customHeight="1">
      <c r="A1399" s="70"/>
      <c r="B1399" s="66"/>
      <c r="C1399" s="66"/>
      <c r="D1399" s="66"/>
      <c r="E1399" s="66"/>
      <c r="F1399" s="66"/>
    </row>
    <row r="1400" spans="1:9" ht="18.75" customHeight="1">
      <c r="A1400" s="1158" t="s">
        <v>212</v>
      </c>
      <c r="B1400" s="1158"/>
      <c r="C1400" s="1158"/>
      <c r="D1400" s="77" t="str">
        <f>IF(B1422="","",INDEX(NXetHKI!$B$3:$CL$57,MATCH(InNXKI!B1422,NXetHKI!$B$3:$B$57,0),3)&amp;" "&amp;INDEX(NXetHKI!$B$3:$CL$57,MATCH(InNXKI!B1422,NXetHKI!$B$3:$B$57,0),4))</f>
        <v/>
      </c>
      <c r="E1400" s="77"/>
      <c r="F1400" s="77" t="str">
        <f>IF('Huong dan'!$C$3="","","Lớp: "&amp;'Huong dan'!$C$3)</f>
        <v>Lớp: 12A1</v>
      </c>
    </row>
    <row r="1401" spans="1:9" ht="18.75" customHeight="1">
      <c r="A1401" s="1158" t="s">
        <v>213</v>
      </c>
      <c r="B1401" s="1158"/>
      <c r="C1401" s="1158"/>
      <c r="D1401" s="77" t="str">
        <f>INDEX(NXetHKI!$B$3:$CL$57,MATCH(InNXKI!B1422,NXetHKI!$B$3:$B$57,0),5)</f>
        <v/>
      </c>
      <c r="E1401" s="77"/>
      <c r="F1401" s="841" t="str">
        <f>IF(B1422="","","Nơi sinh: "&amp;INDEX(DiemHKI!$G$4:$G$58,MATCH(InNXKI!B1422,DiemHKI!$B$4:$B$58,0),1))</f>
        <v/>
      </c>
    </row>
    <row r="1402" spans="1:9" ht="9.75" customHeight="1">
      <c r="A1402" s="62"/>
      <c r="B1402" s="62"/>
      <c r="C1402" s="62"/>
      <c r="D1402" s="62"/>
      <c r="E1402" s="62"/>
      <c r="F1402" s="62"/>
    </row>
    <row r="1403" spans="1:9" ht="34.5" customHeight="1">
      <c r="A1403" s="801" t="s">
        <v>0</v>
      </c>
      <c r="B1403" s="801" t="s">
        <v>59</v>
      </c>
      <c r="C1403" s="806" t="s">
        <v>360</v>
      </c>
      <c r="D1403" s="1159" t="s">
        <v>568</v>
      </c>
      <c r="E1403" s="1160"/>
      <c r="F1403" s="802" t="s">
        <v>569</v>
      </c>
    </row>
    <row r="1404" spans="1:9" ht="32.25" customHeight="1">
      <c r="A1404" s="803" t="s">
        <v>191</v>
      </c>
      <c r="B1404" s="804" t="s">
        <v>26</v>
      </c>
      <c r="C1404" s="805" t="str">
        <f>IF(B1422="","",INDEX(NXetHKI!$B$3:$CL$57,MATCH(InNXKI!B1422,NXetHKI!$B$3:$B$57,0),INDEX($J$12:$K$25,MATCH($B1404,$I$12:$I$25,0),J$11)))</f>
        <v/>
      </c>
      <c r="D1404" s="1161" t="str">
        <f>IF(B1422="","",INDEX(NXetHKI!$B$3:$CL$57,MATCH(InNXKI!B1422,NXetHKI!$B$3:$B$57,0),INDEX($J$12:$K$25,MATCH($B1404,$I$12:$I$25,0),K$11)))</f>
        <v/>
      </c>
      <c r="E1404" s="1162"/>
      <c r="F1404" s="805"/>
      <c r="H1404" s="64"/>
      <c r="I1404" s="64"/>
    </row>
    <row r="1405" spans="1:9" ht="32.25" customHeight="1">
      <c r="A1405" s="803" t="s">
        <v>192</v>
      </c>
      <c r="B1405" s="804" t="s">
        <v>27</v>
      </c>
      <c r="C1405" s="805" t="str">
        <f>IF(B1422="","",INDEX(NXetHKI!$B$3:$CL$57,MATCH(InNXKI!B1422,NXetHKI!$B$3:$B$57,0),INDEX($J$12:$K$25,MATCH($B1405,$I$12:$I$25,0),J$11)))</f>
        <v/>
      </c>
      <c r="D1405" s="1161" t="str">
        <f>IF(B1422="","",INDEX(NXetHKI!$B$3:$CL$57,MATCH(InNXKI!B1422,NXetHKI!$B$3:$B$57,0),INDEX($J$12:$K$25,MATCH($B1405,$I$12:$I$25,0),K$11)))</f>
        <v/>
      </c>
      <c r="E1405" s="1162"/>
      <c r="F1405" s="805"/>
      <c r="H1405" s="64"/>
      <c r="I1405" s="64"/>
    </row>
    <row r="1406" spans="1:9" ht="32.25" customHeight="1">
      <c r="A1406" s="803" t="s">
        <v>193</v>
      </c>
      <c r="B1406" s="804" t="s">
        <v>28</v>
      </c>
      <c r="C1406" s="805" t="str">
        <f>IF(B1422="","",INDEX(NXetHKI!$B$3:$CL$57,MATCH(InNXKI!B1422,NXetHKI!$B$3:$B$57,0),INDEX($J$12:$K$25,MATCH($B1406,$I$12:$I$25,0),J$11)))</f>
        <v/>
      </c>
      <c r="D1406" s="1161" t="str">
        <f>IF(B1422="","",INDEX(NXetHKI!$B$3:$CL$57,MATCH(InNXKI!B1422,NXetHKI!$B$3:$B$57,0),INDEX($J$12:$K$25,MATCH($B1406,$I$12:$I$25,0),K$11)))</f>
        <v/>
      </c>
      <c r="E1406" s="1162"/>
      <c r="F1406" s="805"/>
      <c r="H1406" s="64"/>
      <c r="I1406" s="64"/>
    </row>
    <row r="1407" spans="1:9" ht="32.25" customHeight="1">
      <c r="A1407" s="803" t="s">
        <v>194</v>
      </c>
      <c r="B1407" s="804" t="s">
        <v>29</v>
      </c>
      <c r="C1407" s="805" t="str">
        <f>IF(B1422="","",INDEX(NXetHKI!$B$3:$CL$57,MATCH(InNXKI!B1422,NXetHKI!$B$3:$B$57,0),INDEX($J$12:$K$25,MATCH($B1407,$I$12:$I$25,0),J$11)))</f>
        <v/>
      </c>
      <c r="D1407" s="1161" t="str">
        <f>IF(B1422="","",INDEX(NXetHKI!$B$3:$CL$57,MATCH(InNXKI!B1422,NXetHKI!$B$3:$B$57,0),INDEX($J$12:$K$25,MATCH($B1407,$I$12:$I$25,0),K$11)))</f>
        <v/>
      </c>
      <c r="E1407" s="1162"/>
      <c r="F1407" s="805"/>
      <c r="H1407" s="64"/>
      <c r="I1407" s="64"/>
    </row>
    <row r="1408" spans="1:9" ht="32.25" customHeight="1">
      <c r="A1408" s="803" t="s">
        <v>195</v>
      </c>
      <c r="B1408" s="804" t="s">
        <v>120</v>
      </c>
      <c r="C1408" s="805" t="str">
        <f>IF(B1422="","",INDEX(NXetHKI!$B$3:$CL$57,MATCH(InNXKI!B1422,NXetHKI!$B$3:$B$57,0),INDEX($J$12:$K$25,MATCH($B1408,$I$12:$I$25,0),J$11)))</f>
        <v/>
      </c>
      <c r="D1408" s="1161" t="str">
        <f>IF(B1422="","",INDEX(NXetHKI!$B$3:$CL$57,MATCH(InNXKI!B1422,NXetHKI!$B$3:$B$57,0),INDEX($J$12:$K$25,MATCH($B1408,$I$12:$I$25,0),K$11)))</f>
        <v/>
      </c>
      <c r="E1408" s="1162"/>
      <c r="F1408" s="805"/>
      <c r="H1408" s="64"/>
      <c r="I1408" s="64"/>
    </row>
    <row r="1409" spans="1:9" ht="32.25" customHeight="1">
      <c r="A1409" s="803" t="s">
        <v>196</v>
      </c>
      <c r="B1409" s="804" t="s">
        <v>30</v>
      </c>
      <c r="C1409" s="805" t="str">
        <f>IF(B1422="","",INDEX(NXetHKI!$B$3:$CL$57,MATCH(InNXKI!B1422,NXetHKI!$B$3:$B$57,0),INDEX($J$12:$K$25,MATCH($B1409,$I$12:$I$25,0),J$11)))</f>
        <v/>
      </c>
      <c r="D1409" s="1161" t="str">
        <f>IF(B1422="","",INDEX(NXetHKI!$B$3:$CL$57,MATCH(InNXKI!B1422,NXetHKI!$B$3:$B$57,0),INDEX($J$12:$K$25,MATCH($B1409,$I$12:$I$25,0),K$11)))</f>
        <v/>
      </c>
      <c r="E1409" s="1162"/>
      <c r="F1409" s="805"/>
      <c r="H1409" s="64"/>
      <c r="I1409" s="64"/>
    </row>
    <row r="1410" spans="1:9" ht="32.25" customHeight="1">
      <c r="A1410" s="803" t="s">
        <v>197</v>
      </c>
      <c r="B1410" s="804" t="s">
        <v>31</v>
      </c>
      <c r="C1410" s="805" t="str">
        <f>IF(B1422="","",INDEX(NXetHKI!$B$3:$CL$57,MATCH(InNXKI!B1422,NXetHKI!$B$3:$B$57,0),INDEX($J$12:$K$25,MATCH($B1410,$I$12:$I$25,0),J$11)))</f>
        <v/>
      </c>
      <c r="D1410" s="1161" t="str">
        <f>IF(B1422="","",INDEX(NXetHKI!$B$3:$CL$57,MATCH(InNXKI!B1422,NXetHKI!$B$3:$B$57,0),INDEX($J$12:$K$25,MATCH($B1410,$I$12:$I$25,0),K$11)))</f>
        <v/>
      </c>
      <c r="E1410" s="1162"/>
      <c r="F1410" s="805"/>
      <c r="H1410" s="64"/>
      <c r="I1410" s="64"/>
    </row>
    <row r="1411" spans="1:9" ht="32.25" customHeight="1">
      <c r="A1411" s="803" t="s">
        <v>198</v>
      </c>
      <c r="B1411" s="804" t="s">
        <v>32</v>
      </c>
      <c r="C1411" s="805" t="str">
        <f>IF(B1422="","",INDEX(NXetHKI!$B$3:$CL$57,MATCH(InNXKI!B1422,NXetHKI!$B$3:$B$57,0),INDEX($J$12:$K$25,MATCH($B1411,$I$12:$I$25,0),J$11)))</f>
        <v/>
      </c>
      <c r="D1411" s="1161" t="str">
        <f>IF(B1422="","",INDEX(NXetHKI!$B$3:$CL$57,MATCH(InNXKI!B1422,NXetHKI!$B$3:$B$57,0),INDEX($J$12:$K$25,MATCH($B1411,$I$12:$I$25,0),K$11)))</f>
        <v/>
      </c>
      <c r="E1411" s="1162"/>
      <c r="F1411" s="805"/>
      <c r="H1411" s="64"/>
      <c r="I1411" s="64"/>
    </row>
    <row r="1412" spans="1:9" ht="32.25" customHeight="1">
      <c r="A1412" s="803" t="s">
        <v>199</v>
      </c>
      <c r="B1412" s="804" t="s">
        <v>33</v>
      </c>
      <c r="C1412" s="805" t="str">
        <f>IF(B1422="","",INDEX(NXetHKI!$B$3:$CL$57,MATCH(InNXKI!B1422,NXetHKI!$B$3:$B$57,0),INDEX($J$12:$K$25,MATCH($B1412,$I$12:$I$25,0),J$11)))</f>
        <v/>
      </c>
      <c r="D1412" s="1161" t="str">
        <f>IF(B1422="","",INDEX(NXetHKI!$B$3:$CL$57,MATCH(InNXKI!B1422,NXetHKI!$B$3:$B$57,0),INDEX($J$12:$K$25,MATCH($B1412,$I$12:$I$25,0),K$11)))</f>
        <v/>
      </c>
      <c r="E1412" s="1162"/>
      <c r="F1412" s="805"/>
      <c r="H1412" s="64"/>
      <c r="I1412" s="64"/>
    </row>
    <row r="1413" spans="1:9" ht="32.25" customHeight="1">
      <c r="A1413" s="803" t="s">
        <v>200</v>
      </c>
      <c r="B1413" s="804" t="s">
        <v>60</v>
      </c>
      <c r="C1413" s="805" t="str">
        <f>IF(B1422="","",INDEX(NXetHKI!$B$3:$CL$57,MATCH(InNXKI!B1422,NXetHKI!$B$3:$B$57,0),INDEX($J$12:$K$25,MATCH($B1413,$I$12:$I$25,0),J$11)))</f>
        <v/>
      </c>
      <c r="D1413" s="1161" t="str">
        <f>IF(B1422="","",INDEX(NXetHKI!$B$3:$CL$57,MATCH(InNXKI!B1422,NXetHKI!$B$3:$B$57,0),INDEX($J$12:$K$25,MATCH($B1413,$I$12:$I$25,0),K$11)))</f>
        <v/>
      </c>
      <c r="E1413" s="1162"/>
      <c r="F1413" s="805"/>
      <c r="H1413" s="64"/>
      <c r="I1413" s="64"/>
    </row>
    <row r="1414" spans="1:9" ht="32.25" customHeight="1">
      <c r="A1414" s="803" t="s">
        <v>201</v>
      </c>
      <c r="B1414" s="804" t="s">
        <v>34</v>
      </c>
      <c r="C1414" s="805" t="str">
        <f>IF(B1422="","",INDEX(NXetHKI!$B$3:$CL$57,MATCH(InNXKI!B1422,NXetHKI!$B$3:$B$57,0),INDEX($J$12:$K$25,MATCH($B1414,$I$12:$I$25,0),J$11)))</f>
        <v/>
      </c>
      <c r="D1414" s="1161" t="str">
        <f>IF(B1422="","",INDEX(NXetHKI!$B$3:$CL$57,MATCH(InNXKI!B1422,NXetHKI!$B$3:$B$57,0),INDEX($J$12:$K$25,MATCH($B1414,$I$12:$I$25,0),K$11)))</f>
        <v/>
      </c>
      <c r="E1414" s="1162"/>
      <c r="F1414" s="805"/>
      <c r="H1414" s="64"/>
      <c r="I1414" s="64"/>
    </row>
    <row r="1415" spans="1:9" ht="32.25" customHeight="1">
      <c r="A1415" s="803" t="s">
        <v>202</v>
      </c>
      <c r="B1415" s="804" t="s">
        <v>35</v>
      </c>
      <c r="C1415" s="805" t="str">
        <f>IF(B1422="","",INDEX(NXetHKI!$B$3:$CL$57,MATCH(InNXKI!B1422,NXetHKI!$B$3:$B$57,0),INDEX($J$12:$K$25,MATCH($B1415,$I$12:$I$25,0),J$11)))</f>
        <v/>
      </c>
      <c r="D1415" s="1161" t="str">
        <f>IF(B1422="","",INDEX(NXetHKI!$B$3:$CL$57,MATCH(InNXKI!B1422,NXetHKI!$B$3:$B$57,0),INDEX($J$12:$K$25,MATCH($B1415,$I$12:$I$25,0),K$11)))</f>
        <v/>
      </c>
      <c r="E1415" s="1162"/>
      <c r="F1415" s="805"/>
      <c r="H1415" s="64"/>
      <c r="I1415" s="64"/>
    </row>
    <row r="1416" spans="1:9" ht="32.25" customHeight="1">
      <c r="A1416" s="803" t="s">
        <v>203</v>
      </c>
      <c r="B1416" s="804" t="s">
        <v>121</v>
      </c>
      <c r="C1416" s="805" t="str">
        <f>IF(B1422="","",INDEX(NXetHKI!$B$3:$CL$57,MATCH(InNXKI!B1422,NXetHKI!$B$3:$B$57,0),INDEX($J$12:$K$25,MATCH($B1416,$I$12:$I$25,0),J$11)))</f>
        <v/>
      </c>
      <c r="D1416" s="1161" t="str">
        <f>IF(B1422="","",INDEX(NXetHKI!$B$3:$CL$57,MATCH(InNXKI!B1422,NXetHKI!$B$3:$B$57,0),INDEX($J$12:$K$25,MATCH($B1416,$I$12:$I$25,0),K$11)))</f>
        <v/>
      </c>
      <c r="E1416" s="1162"/>
      <c r="F1416" s="805"/>
      <c r="H1416" s="64"/>
      <c r="I1416" s="64"/>
    </row>
    <row r="1417" spans="1:9" ht="32.25" customHeight="1">
      <c r="A1417" s="803">
        <v>14</v>
      </c>
      <c r="B1417" s="804" t="s">
        <v>122</v>
      </c>
      <c r="C1417" s="805" t="str">
        <f>IF(B1422="","",INDEX(NXetHKI!$B$3:$CL$57,MATCH(InNXKI!B1422,NXetHKI!$B$3:$B$57,0),INDEX($J$12:$K$25,MATCH($B1417,$I$12:$I$25,0),J$11)))</f>
        <v/>
      </c>
      <c r="D1417" s="1161" t="str">
        <f>IF(B1422="","",INDEX(NXetHKI!$B$3:$CL$57,MATCH(InNXKI!B1422,NXetHKI!$B$3:$B$57,0),INDEX($J$12:$K$25,MATCH($B1417,$I$12:$I$25,0),K$11)))</f>
        <v/>
      </c>
      <c r="E1417" s="1162"/>
      <c r="F1417" s="805"/>
      <c r="H1417" s="64"/>
    </row>
    <row r="1418" spans="1:9" ht="12" customHeight="1"/>
    <row r="1419" spans="1:9" ht="21.75" customHeight="1">
      <c r="D1419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419" s="1163"/>
      <c r="F1419" s="1163"/>
    </row>
    <row r="1420" spans="1:9">
      <c r="D1420" s="992" t="s">
        <v>377</v>
      </c>
      <c r="E1420" s="992"/>
      <c r="F1420" s="992"/>
    </row>
    <row r="1421" spans="1:9" ht="81" customHeight="1">
      <c r="D1421" s="923" t="str">
        <f>IF('Huong dan'!$E$5="","",'Huong dan'!$E$5)</f>
        <v/>
      </c>
      <c r="E1421" s="923"/>
      <c r="F1421" s="923"/>
    </row>
    <row r="1422" spans="1:9">
      <c r="A1422" s="811"/>
      <c r="B1422" s="711" t="str">
        <f>IF(B1393="","",IF(B1393&lt;MAX(NXetHKI!$B$3:$B$57),B1393+1,""))</f>
        <v/>
      </c>
      <c r="C1422" s="811"/>
      <c r="D1422" s="1157"/>
      <c r="E1422" s="1157"/>
      <c r="F1422" s="1157"/>
    </row>
    <row r="1423" spans="1:9" s="60" customFormat="1" ht="24.75" customHeight="1">
      <c r="A1423" s="1128" t="str">
        <f>IF('Huong dan'!$E$3&lt;&gt;"","SỞ GIÁO DỤC VÀ ĐÀO TẠO "&amp;UPPER('Huong dan'!$E$3),"")</f>
        <v>SỞ GIÁO DỤC VÀ ĐÀO TẠO TP. HỒ CHÍ MINH</v>
      </c>
      <c r="B1423" s="1128"/>
      <c r="C1423" s="1128"/>
      <c r="D1423" s="1128"/>
      <c r="E1423" s="1129" t="s">
        <v>19</v>
      </c>
      <c r="F1423" s="1129"/>
    </row>
    <row r="1424" spans="1:9" ht="17.25" customHeight="1">
      <c r="A1424" s="992" t="str">
        <f>IF('Huong dan'!$E$4&lt;&gt;"","TRƯỜNG "&amp;UPPER('Huong dan'!$E$4),"")</f>
        <v>TRƯỜNG THCS VÀ THPT NGUYỄN KHUYẾN</v>
      </c>
      <c r="B1424" s="992"/>
      <c r="C1424" s="992"/>
      <c r="D1424" s="992"/>
      <c r="E1424" s="1130" t="s">
        <v>179</v>
      </c>
      <c r="F1424" s="1130"/>
    </row>
    <row r="1425" spans="1:9" ht="20.25" customHeight="1">
      <c r="A1425" s="69"/>
      <c r="B1425" s="69"/>
      <c r="C1425" s="30"/>
      <c r="D1425" s="30"/>
    </row>
    <row r="1426" spans="1:9" ht="28.5" customHeight="1">
      <c r="A1426" s="1164" t="s">
        <v>567</v>
      </c>
      <c r="B1426" s="1164"/>
      <c r="C1426" s="1164"/>
      <c r="D1426" s="1164"/>
      <c r="E1426" s="1164"/>
      <c r="F1426" s="1164"/>
    </row>
    <row r="1427" spans="1:9" ht="24.75" customHeight="1">
      <c r="A1427" s="1164" t="str">
        <f>"HỌC KỲ I NĂM HỌC "&amp;'Huong dan'!$C$5</f>
        <v>HỌC KỲ I NĂM HỌC 2021 - 2022</v>
      </c>
      <c r="B1427" s="1164"/>
      <c r="C1427" s="1164"/>
      <c r="D1427" s="1164"/>
      <c r="E1427" s="1164"/>
      <c r="F1427" s="1164"/>
    </row>
    <row r="1428" spans="1:9" ht="14.25" customHeight="1">
      <c r="A1428" s="70"/>
      <c r="B1428" s="66"/>
      <c r="C1428" s="66"/>
      <c r="D1428" s="66"/>
      <c r="E1428" s="66"/>
      <c r="F1428" s="66"/>
    </row>
    <row r="1429" spans="1:9" ht="18.75" customHeight="1">
      <c r="A1429" s="1158" t="s">
        <v>212</v>
      </c>
      <c r="B1429" s="1158"/>
      <c r="C1429" s="1158"/>
      <c r="D1429" s="77" t="str">
        <f>IF(B1451="","",INDEX(NXetHKI!$B$3:$CL$57,MATCH(InNXKI!B1451,NXetHKI!$B$3:$B$57,0),3)&amp;" "&amp;INDEX(NXetHKI!$B$3:$CL$57,MATCH(InNXKI!B1451,NXetHKI!$B$3:$B$57,0),4))</f>
        <v/>
      </c>
      <c r="E1429" s="77"/>
      <c r="F1429" s="77" t="str">
        <f>IF('Huong dan'!$C$3="","","Lớp: "&amp;'Huong dan'!$C$3)</f>
        <v>Lớp: 12A1</v>
      </c>
    </row>
    <row r="1430" spans="1:9" ht="18.75" customHeight="1">
      <c r="A1430" s="1158" t="s">
        <v>213</v>
      </c>
      <c r="B1430" s="1158"/>
      <c r="C1430" s="1158"/>
      <c r="D1430" s="77" t="str">
        <f>INDEX(NXetHKI!$B$3:$CL$57,MATCH(InNXKI!B1451,NXetHKI!$B$3:$B$57,0),5)</f>
        <v/>
      </c>
      <c r="E1430" s="77"/>
      <c r="F1430" s="841" t="str">
        <f>IF(B1451="","","Nơi sinh: "&amp;INDEX(DiemHKI!$G$4:$G$58,MATCH(InNXKI!B1451,DiemHKI!$B$4:$B$58,0),1))</f>
        <v/>
      </c>
    </row>
    <row r="1431" spans="1:9" ht="9.75" customHeight="1">
      <c r="A1431" s="62"/>
      <c r="B1431" s="62"/>
      <c r="C1431" s="62"/>
      <c r="D1431" s="62"/>
      <c r="E1431" s="62"/>
      <c r="F1431" s="62"/>
    </row>
    <row r="1432" spans="1:9" ht="34.5" customHeight="1">
      <c r="A1432" s="801" t="s">
        <v>0</v>
      </c>
      <c r="B1432" s="801" t="s">
        <v>59</v>
      </c>
      <c r="C1432" s="806" t="s">
        <v>360</v>
      </c>
      <c r="D1432" s="1159" t="s">
        <v>568</v>
      </c>
      <c r="E1432" s="1160"/>
      <c r="F1432" s="802" t="s">
        <v>569</v>
      </c>
    </row>
    <row r="1433" spans="1:9" ht="32.25" customHeight="1">
      <c r="A1433" s="803" t="s">
        <v>191</v>
      </c>
      <c r="B1433" s="804" t="s">
        <v>26</v>
      </c>
      <c r="C1433" s="805" t="str">
        <f>IF(B1451="","",INDEX(NXetHKI!$B$3:$CL$57,MATCH(InNXKI!B1451,NXetHKI!$B$3:$B$57,0),INDEX($J$12:$K$25,MATCH($B1433,$I$12:$I$25,0),J$11)))</f>
        <v/>
      </c>
      <c r="D1433" s="1161" t="str">
        <f>IF(B1451="","",INDEX(NXetHKI!$B$3:$CL$57,MATCH(InNXKI!B1451,NXetHKI!$B$3:$B$57,0),INDEX($J$12:$K$25,MATCH($B1433,$I$12:$I$25,0),K$11)))</f>
        <v/>
      </c>
      <c r="E1433" s="1162"/>
      <c r="F1433" s="805"/>
      <c r="H1433" s="64"/>
      <c r="I1433" s="64"/>
    </row>
    <row r="1434" spans="1:9" ht="32.25" customHeight="1">
      <c r="A1434" s="803" t="s">
        <v>192</v>
      </c>
      <c r="B1434" s="804" t="s">
        <v>27</v>
      </c>
      <c r="C1434" s="805" t="str">
        <f>IF(B1451="","",INDEX(NXetHKI!$B$3:$CL$57,MATCH(InNXKI!B1451,NXetHKI!$B$3:$B$57,0),INDEX($J$12:$K$25,MATCH($B1434,$I$12:$I$25,0),J$11)))</f>
        <v/>
      </c>
      <c r="D1434" s="1161" t="str">
        <f>IF(B1451="","",INDEX(NXetHKI!$B$3:$CL$57,MATCH(InNXKI!B1451,NXetHKI!$B$3:$B$57,0),INDEX($J$12:$K$25,MATCH($B1434,$I$12:$I$25,0),K$11)))</f>
        <v/>
      </c>
      <c r="E1434" s="1162"/>
      <c r="F1434" s="805"/>
      <c r="H1434" s="64"/>
      <c r="I1434" s="64"/>
    </row>
    <row r="1435" spans="1:9" ht="32.25" customHeight="1">
      <c r="A1435" s="803" t="s">
        <v>193</v>
      </c>
      <c r="B1435" s="804" t="s">
        <v>28</v>
      </c>
      <c r="C1435" s="805" t="str">
        <f>IF(B1451="","",INDEX(NXetHKI!$B$3:$CL$57,MATCH(InNXKI!B1451,NXetHKI!$B$3:$B$57,0),INDEX($J$12:$K$25,MATCH($B1435,$I$12:$I$25,0),J$11)))</f>
        <v/>
      </c>
      <c r="D1435" s="1161" t="str">
        <f>IF(B1451="","",INDEX(NXetHKI!$B$3:$CL$57,MATCH(InNXKI!B1451,NXetHKI!$B$3:$B$57,0),INDEX($J$12:$K$25,MATCH($B1435,$I$12:$I$25,0),K$11)))</f>
        <v/>
      </c>
      <c r="E1435" s="1162"/>
      <c r="F1435" s="805"/>
      <c r="H1435" s="64"/>
      <c r="I1435" s="64"/>
    </row>
    <row r="1436" spans="1:9" ht="32.25" customHeight="1">
      <c r="A1436" s="803" t="s">
        <v>194</v>
      </c>
      <c r="B1436" s="804" t="s">
        <v>29</v>
      </c>
      <c r="C1436" s="805" t="str">
        <f>IF(B1451="","",INDEX(NXetHKI!$B$3:$CL$57,MATCH(InNXKI!B1451,NXetHKI!$B$3:$B$57,0),INDEX($J$12:$K$25,MATCH($B1436,$I$12:$I$25,0),J$11)))</f>
        <v/>
      </c>
      <c r="D1436" s="1161" t="str">
        <f>IF(B1451="","",INDEX(NXetHKI!$B$3:$CL$57,MATCH(InNXKI!B1451,NXetHKI!$B$3:$B$57,0),INDEX($J$12:$K$25,MATCH($B1436,$I$12:$I$25,0),K$11)))</f>
        <v/>
      </c>
      <c r="E1436" s="1162"/>
      <c r="F1436" s="805"/>
      <c r="H1436" s="64"/>
      <c r="I1436" s="64"/>
    </row>
    <row r="1437" spans="1:9" ht="32.25" customHeight="1">
      <c r="A1437" s="803" t="s">
        <v>195</v>
      </c>
      <c r="B1437" s="804" t="s">
        <v>120</v>
      </c>
      <c r="C1437" s="805" t="str">
        <f>IF(B1451="","",INDEX(NXetHKI!$B$3:$CL$57,MATCH(InNXKI!B1451,NXetHKI!$B$3:$B$57,0),INDEX($J$12:$K$25,MATCH($B1437,$I$12:$I$25,0),J$11)))</f>
        <v/>
      </c>
      <c r="D1437" s="1161" t="str">
        <f>IF(B1451="","",INDEX(NXetHKI!$B$3:$CL$57,MATCH(InNXKI!B1451,NXetHKI!$B$3:$B$57,0),INDEX($J$12:$K$25,MATCH($B1437,$I$12:$I$25,0),K$11)))</f>
        <v/>
      </c>
      <c r="E1437" s="1162"/>
      <c r="F1437" s="805"/>
      <c r="H1437" s="64"/>
      <c r="I1437" s="64"/>
    </row>
    <row r="1438" spans="1:9" ht="32.25" customHeight="1">
      <c r="A1438" s="803" t="s">
        <v>196</v>
      </c>
      <c r="B1438" s="804" t="s">
        <v>30</v>
      </c>
      <c r="C1438" s="805" t="str">
        <f>IF(B1451="","",INDEX(NXetHKI!$B$3:$CL$57,MATCH(InNXKI!B1451,NXetHKI!$B$3:$B$57,0),INDEX($J$12:$K$25,MATCH($B1438,$I$12:$I$25,0),J$11)))</f>
        <v/>
      </c>
      <c r="D1438" s="1161" t="str">
        <f>IF(B1451="","",INDEX(NXetHKI!$B$3:$CL$57,MATCH(InNXKI!B1451,NXetHKI!$B$3:$B$57,0),INDEX($J$12:$K$25,MATCH($B1438,$I$12:$I$25,0),K$11)))</f>
        <v/>
      </c>
      <c r="E1438" s="1162"/>
      <c r="F1438" s="805"/>
      <c r="H1438" s="64"/>
      <c r="I1438" s="64"/>
    </row>
    <row r="1439" spans="1:9" ht="32.25" customHeight="1">
      <c r="A1439" s="803" t="s">
        <v>197</v>
      </c>
      <c r="B1439" s="804" t="s">
        <v>31</v>
      </c>
      <c r="C1439" s="805" t="str">
        <f>IF(B1451="","",INDEX(NXetHKI!$B$3:$CL$57,MATCH(InNXKI!B1451,NXetHKI!$B$3:$B$57,0),INDEX($J$12:$K$25,MATCH($B1439,$I$12:$I$25,0),J$11)))</f>
        <v/>
      </c>
      <c r="D1439" s="1161" t="str">
        <f>IF(B1451="","",INDEX(NXetHKI!$B$3:$CL$57,MATCH(InNXKI!B1451,NXetHKI!$B$3:$B$57,0),INDEX($J$12:$K$25,MATCH($B1439,$I$12:$I$25,0),K$11)))</f>
        <v/>
      </c>
      <c r="E1439" s="1162"/>
      <c r="F1439" s="805"/>
      <c r="H1439" s="64"/>
      <c r="I1439" s="64"/>
    </row>
    <row r="1440" spans="1:9" ht="32.25" customHeight="1">
      <c r="A1440" s="803" t="s">
        <v>198</v>
      </c>
      <c r="B1440" s="804" t="s">
        <v>32</v>
      </c>
      <c r="C1440" s="805" t="str">
        <f>IF(B1451="","",INDEX(NXetHKI!$B$3:$CL$57,MATCH(InNXKI!B1451,NXetHKI!$B$3:$B$57,0),INDEX($J$12:$K$25,MATCH($B1440,$I$12:$I$25,0),J$11)))</f>
        <v/>
      </c>
      <c r="D1440" s="1161" t="str">
        <f>IF(B1451="","",INDEX(NXetHKI!$B$3:$CL$57,MATCH(InNXKI!B1451,NXetHKI!$B$3:$B$57,0),INDEX($J$12:$K$25,MATCH($B1440,$I$12:$I$25,0),K$11)))</f>
        <v/>
      </c>
      <c r="E1440" s="1162"/>
      <c r="F1440" s="805"/>
      <c r="H1440" s="64"/>
      <c r="I1440" s="64"/>
    </row>
    <row r="1441" spans="1:9" ht="32.25" customHeight="1">
      <c r="A1441" s="803" t="s">
        <v>199</v>
      </c>
      <c r="B1441" s="804" t="s">
        <v>33</v>
      </c>
      <c r="C1441" s="805" t="str">
        <f>IF(B1451="","",INDEX(NXetHKI!$B$3:$CL$57,MATCH(InNXKI!B1451,NXetHKI!$B$3:$B$57,0),INDEX($J$12:$K$25,MATCH($B1441,$I$12:$I$25,0),J$11)))</f>
        <v/>
      </c>
      <c r="D1441" s="1161" t="str">
        <f>IF(B1451="","",INDEX(NXetHKI!$B$3:$CL$57,MATCH(InNXKI!B1451,NXetHKI!$B$3:$B$57,0),INDEX($J$12:$K$25,MATCH($B1441,$I$12:$I$25,0),K$11)))</f>
        <v/>
      </c>
      <c r="E1441" s="1162"/>
      <c r="F1441" s="805"/>
      <c r="H1441" s="64"/>
      <c r="I1441" s="64"/>
    </row>
    <row r="1442" spans="1:9" ht="32.25" customHeight="1">
      <c r="A1442" s="803" t="s">
        <v>200</v>
      </c>
      <c r="B1442" s="804" t="s">
        <v>60</v>
      </c>
      <c r="C1442" s="805" t="str">
        <f>IF(B1451="","",INDEX(NXetHKI!$B$3:$CL$57,MATCH(InNXKI!B1451,NXetHKI!$B$3:$B$57,0),INDEX($J$12:$K$25,MATCH($B1442,$I$12:$I$25,0),J$11)))</f>
        <v/>
      </c>
      <c r="D1442" s="1161" t="str">
        <f>IF(B1451="","",INDEX(NXetHKI!$B$3:$CL$57,MATCH(InNXKI!B1451,NXetHKI!$B$3:$B$57,0),INDEX($J$12:$K$25,MATCH($B1442,$I$12:$I$25,0),K$11)))</f>
        <v/>
      </c>
      <c r="E1442" s="1162"/>
      <c r="F1442" s="805"/>
      <c r="H1442" s="64"/>
      <c r="I1442" s="64"/>
    </row>
    <row r="1443" spans="1:9" ht="32.25" customHeight="1">
      <c r="A1443" s="803" t="s">
        <v>201</v>
      </c>
      <c r="B1443" s="804" t="s">
        <v>34</v>
      </c>
      <c r="C1443" s="805" t="str">
        <f>IF(B1451="","",INDEX(NXetHKI!$B$3:$CL$57,MATCH(InNXKI!B1451,NXetHKI!$B$3:$B$57,0),INDEX($J$12:$K$25,MATCH($B1443,$I$12:$I$25,0),J$11)))</f>
        <v/>
      </c>
      <c r="D1443" s="1161" t="str">
        <f>IF(B1451="","",INDEX(NXetHKI!$B$3:$CL$57,MATCH(InNXKI!B1451,NXetHKI!$B$3:$B$57,0),INDEX($J$12:$K$25,MATCH($B1443,$I$12:$I$25,0),K$11)))</f>
        <v/>
      </c>
      <c r="E1443" s="1162"/>
      <c r="F1443" s="805"/>
      <c r="H1443" s="64"/>
      <c r="I1443" s="64"/>
    </row>
    <row r="1444" spans="1:9" ht="32.25" customHeight="1">
      <c r="A1444" s="803" t="s">
        <v>202</v>
      </c>
      <c r="B1444" s="804" t="s">
        <v>35</v>
      </c>
      <c r="C1444" s="805" t="str">
        <f>IF(B1451="","",INDEX(NXetHKI!$B$3:$CL$57,MATCH(InNXKI!B1451,NXetHKI!$B$3:$B$57,0),INDEX($J$12:$K$25,MATCH($B1444,$I$12:$I$25,0),J$11)))</f>
        <v/>
      </c>
      <c r="D1444" s="1161" t="str">
        <f>IF(B1451="","",INDEX(NXetHKI!$B$3:$CL$57,MATCH(InNXKI!B1451,NXetHKI!$B$3:$B$57,0),INDEX($J$12:$K$25,MATCH($B1444,$I$12:$I$25,0),K$11)))</f>
        <v/>
      </c>
      <c r="E1444" s="1162"/>
      <c r="F1444" s="805"/>
      <c r="H1444" s="64"/>
      <c r="I1444" s="64"/>
    </row>
    <row r="1445" spans="1:9" ht="32.25" customHeight="1">
      <c r="A1445" s="803" t="s">
        <v>203</v>
      </c>
      <c r="B1445" s="804" t="s">
        <v>121</v>
      </c>
      <c r="C1445" s="805" t="str">
        <f>IF(B1451="","",INDEX(NXetHKI!$B$3:$CL$57,MATCH(InNXKI!B1451,NXetHKI!$B$3:$B$57,0),INDEX($J$12:$K$25,MATCH($B1445,$I$12:$I$25,0),J$11)))</f>
        <v/>
      </c>
      <c r="D1445" s="1161" t="str">
        <f>IF(B1451="","",INDEX(NXetHKI!$B$3:$CL$57,MATCH(InNXKI!B1451,NXetHKI!$B$3:$B$57,0),INDEX($J$12:$K$25,MATCH($B1445,$I$12:$I$25,0),K$11)))</f>
        <v/>
      </c>
      <c r="E1445" s="1162"/>
      <c r="F1445" s="805"/>
      <c r="H1445" s="64"/>
      <c r="I1445" s="64"/>
    </row>
    <row r="1446" spans="1:9" ht="32.25" customHeight="1">
      <c r="A1446" s="803">
        <v>14</v>
      </c>
      <c r="B1446" s="804" t="s">
        <v>122</v>
      </c>
      <c r="C1446" s="805" t="str">
        <f>IF(B1451="","",INDEX(NXetHKI!$B$3:$CL$57,MATCH(InNXKI!B1451,NXetHKI!$B$3:$B$57,0),INDEX($J$12:$K$25,MATCH($B1446,$I$12:$I$25,0),J$11)))</f>
        <v/>
      </c>
      <c r="D1446" s="1161" t="str">
        <f>IF(B1451="","",INDEX(NXetHKI!$B$3:$CL$57,MATCH(InNXKI!B1451,NXetHKI!$B$3:$B$57,0),INDEX($J$12:$K$25,MATCH($B1446,$I$12:$I$25,0),K$11)))</f>
        <v/>
      </c>
      <c r="E1446" s="1162"/>
      <c r="F1446" s="805"/>
      <c r="H1446" s="64"/>
    </row>
    <row r="1447" spans="1:9" ht="12" customHeight="1"/>
    <row r="1448" spans="1:9" ht="21.75" customHeight="1">
      <c r="D1448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448" s="1163"/>
      <c r="F1448" s="1163"/>
    </row>
    <row r="1449" spans="1:9">
      <c r="D1449" s="992" t="s">
        <v>377</v>
      </c>
      <c r="E1449" s="992"/>
      <c r="F1449" s="992"/>
    </row>
    <row r="1450" spans="1:9" ht="81" customHeight="1">
      <c r="D1450" s="923" t="str">
        <f>IF('Huong dan'!$E$5="","",'Huong dan'!$E$5)</f>
        <v/>
      </c>
      <c r="E1450" s="923"/>
      <c r="F1450" s="923"/>
    </row>
    <row r="1451" spans="1:9">
      <c r="A1451" s="811"/>
      <c r="B1451" s="711" t="str">
        <f>IF(B1422="","",IF(B1422&lt;MAX(NXetHKI!$B$3:$B$57),B1422+1,""))</f>
        <v/>
      </c>
      <c r="C1451" s="811"/>
      <c r="D1451" s="1157"/>
      <c r="E1451" s="1157"/>
      <c r="F1451" s="1157"/>
    </row>
    <row r="1452" spans="1:9" s="60" customFormat="1" ht="24.75" customHeight="1">
      <c r="A1452" s="1128" t="str">
        <f>IF('Huong dan'!$E$3&lt;&gt;"","SỞ GIÁO DỤC VÀ ĐÀO TẠO "&amp;UPPER('Huong dan'!$E$3),"")</f>
        <v>SỞ GIÁO DỤC VÀ ĐÀO TẠO TP. HỒ CHÍ MINH</v>
      </c>
      <c r="B1452" s="1128"/>
      <c r="C1452" s="1128"/>
      <c r="D1452" s="1128"/>
      <c r="E1452" s="1129" t="s">
        <v>19</v>
      </c>
      <c r="F1452" s="1129"/>
    </row>
    <row r="1453" spans="1:9" ht="17.25" customHeight="1">
      <c r="A1453" s="992" t="str">
        <f>IF('Huong dan'!$E$4&lt;&gt;"","TRƯỜNG "&amp;UPPER('Huong dan'!$E$4),"")</f>
        <v>TRƯỜNG THCS VÀ THPT NGUYỄN KHUYẾN</v>
      </c>
      <c r="B1453" s="992"/>
      <c r="C1453" s="992"/>
      <c r="D1453" s="992"/>
      <c r="E1453" s="1130" t="s">
        <v>179</v>
      </c>
      <c r="F1453" s="1130"/>
    </row>
    <row r="1454" spans="1:9" ht="20.25" customHeight="1">
      <c r="A1454" s="69"/>
      <c r="B1454" s="69"/>
      <c r="C1454" s="30"/>
      <c r="D1454" s="30"/>
    </row>
    <row r="1455" spans="1:9" ht="28.5" customHeight="1">
      <c r="A1455" s="1164" t="s">
        <v>567</v>
      </c>
      <c r="B1455" s="1164"/>
      <c r="C1455" s="1164"/>
      <c r="D1455" s="1164"/>
      <c r="E1455" s="1164"/>
      <c r="F1455" s="1164"/>
    </row>
    <row r="1456" spans="1:9" ht="24.75" customHeight="1">
      <c r="A1456" s="1164" t="str">
        <f>"HỌC KỲ I NĂM HỌC "&amp;'Huong dan'!$C$5</f>
        <v>HỌC KỲ I NĂM HỌC 2021 - 2022</v>
      </c>
      <c r="B1456" s="1164"/>
      <c r="C1456" s="1164"/>
      <c r="D1456" s="1164"/>
      <c r="E1456" s="1164"/>
      <c r="F1456" s="1164"/>
    </row>
    <row r="1457" spans="1:9" ht="14.25" customHeight="1">
      <c r="A1457" s="70"/>
      <c r="B1457" s="66"/>
      <c r="C1457" s="66"/>
      <c r="D1457" s="66"/>
      <c r="E1457" s="66"/>
      <c r="F1457" s="66"/>
    </row>
    <row r="1458" spans="1:9" ht="18.75" customHeight="1">
      <c r="A1458" s="1158" t="s">
        <v>212</v>
      </c>
      <c r="B1458" s="1158"/>
      <c r="C1458" s="1158"/>
      <c r="D1458" s="77" t="str">
        <f>IF(B1480="","",INDEX(NXetHKI!$B$3:$CL$57,MATCH(InNXKI!B1480,NXetHKI!$B$3:$B$57,0),3)&amp;" "&amp;INDEX(NXetHKI!$B$3:$CL$57,MATCH(InNXKI!B1480,NXetHKI!$B$3:$B$57,0),4))</f>
        <v/>
      </c>
      <c r="E1458" s="77"/>
      <c r="F1458" s="77" t="str">
        <f>IF('Huong dan'!$C$3="","","Lớp: "&amp;'Huong dan'!$C$3)</f>
        <v>Lớp: 12A1</v>
      </c>
    </row>
    <row r="1459" spans="1:9" ht="18.75" customHeight="1">
      <c r="A1459" s="1158" t="s">
        <v>213</v>
      </c>
      <c r="B1459" s="1158"/>
      <c r="C1459" s="1158"/>
      <c r="D1459" s="77" t="str">
        <f>INDEX(NXetHKI!$B$3:$CL$57,MATCH(InNXKI!B1480,NXetHKI!$B$3:$B$57,0),5)</f>
        <v/>
      </c>
      <c r="E1459" s="77"/>
      <c r="F1459" s="841" t="str">
        <f>IF(B1480="","","Nơi sinh: "&amp;INDEX(DiemHKI!$G$4:$G$58,MATCH(InNXKI!B1480,DiemHKI!$B$4:$B$58,0),1))</f>
        <v/>
      </c>
    </row>
    <row r="1460" spans="1:9" ht="9.75" customHeight="1">
      <c r="A1460" s="62"/>
      <c r="B1460" s="62"/>
      <c r="C1460" s="62"/>
      <c r="D1460" s="62"/>
      <c r="E1460" s="62"/>
      <c r="F1460" s="62"/>
    </row>
    <row r="1461" spans="1:9" ht="34.5" customHeight="1">
      <c r="A1461" s="801" t="s">
        <v>0</v>
      </c>
      <c r="B1461" s="801" t="s">
        <v>59</v>
      </c>
      <c r="C1461" s="806" t="s">
        <v>360</v>
      </c>
      <c r="D1461" s="1159" t="s">
        <v>568</v>
      </c>
      <c r="E1461" s="1160"/>
      <c r="F1461" s="802" t="s">
        <v>569</v>
      </c>
    </row>
    <row r="1462" spans="1:9" ht="32.25" customHeight="1">
      <c r="A1462" s="803" t="s">
        <v>191</v>
      </c>
      <c r="B1462" s="804" t="s">
        <v>26</v>
      </c>
      <c r="C1462" s="805" t="str">
        <f>IF(B1480="","",INDEX(NXetHKI!$B$3:$CL$57,MATCH(InNXKI!B1480,NXetHKI!$B$3:$B$57,0),INDEX($J$12:$K$25,MATCH($B1462,$I$12:$I$25,0),J$11)))</f>
        <v/>
      </c>
      <c r="D1462" s="1161" t="str">
        <f>IF(B1480="","",INDEX(NXetHKI!$B$3:$CL$57,MATCH(InNXKI!B1480,NXetHKI!$B$3:$B$57,0),INDEX($J$12:$K$25,MATCH($B1462,$I$12:$I$25,0),K$11)))</f>
        <v/>
      </c>
      <c r="E1462" s="1162"/>
      <c r="F1462" s="805"/>
      <c r="H1462" s="64"/>
      <c r="I1462" s="64"/>
    </row>
    <row r="1463" spans="1:9" ht="32.25" customHeight="1">
      <c r="A1463" s="803" t="s">
        <v>192</v>
      </c>
      <c r="B1463" s="804" t="s">
        <v>27</v>
      </c>
      <c r="C1463" s="805" t="str">
        <f>IF(B1480="","",INDEX(NXetHKI!$B$3:$CL$57,MATCH(InNXKI!B1480,NXetHKI!$B$3:$B$57,0),INDEX($J$12:$K$25,MATCH($B1463,$I$12:$I$25,0),J$11)))</f>
        <v/>
      </c>
      <c r="D1463" s="1161" t="str">
        <f>IF(B1480="","",INDEX(NXetHKI!$B$3:$CL$57,MATCH(InNXKI!B1480,NXetHKI!$B$3:$B$57,0),INDEX($J$12:$K$25,MATCH($B1463,$I$12:$I$25,0),K$11)))</f>
        <v/>
      </c>
      <c r="E1463" s="1162"/>
      <c r="F1463" s="805"/>
      <c r="H1463" s="64"/>
      <c r="I1463" s="64"/>
    </row>
    <row r="1464" spans="1:9" ht="32.25" customHeight="1">
      <c r="A1464" s="803" t="s">
        <v>193</v>
      </c>
      <c r="B1464" s="804" t="s">
        <v>28</v>
      </c>
      <c r="C1464" s="805" t="str">
        <f>IF(B1480="","",INDEX(NXetHKI!$B$3:$CL$57,MATCH(InNXKI!B1480,NXetHKI!$B$3:$B$57,0),INDEX($J$12:$K$25,MATCH($B1464,$I$12:$I$25,0),J$11)))</f>
        <v/>
      </c>
      <c r="D1464" s="1161" t="str">
        <f>IF(B1480="","",INDEX(NXetHKI!$B$3:$CL$57,MATCH(InNXKI!B1480,NXetHKI!$B$3:$B$57,0),INDEX($J$12:$K$25,MATCH($B1464,$I$12:$I$25,0),K$11)))</f>
        <v/>
      </c>
      <c r="E1464" s="1162"/>
      <c r="F1464" s="805"/>
      <c r="H1464" s="64"/>
      <c r="I1464" s="64"/>
    </row>
    <row r="1465" spans="1:9" ht="32.25" customHeight="1">
      <c r="A1465" s="803" t="s">
        <v>194</v>
      </c>
      <c r="B1465" s="804" t="s">
        <v>29</v>
      </c>
      <c r="C1465" s="805" t="str">
        <f>IF(B1480="","",INDEX(NXetHKI!$B$3:$CL$57,MATCH(InNXKI!B1480,NXetHKI!$B$3:$B$57,0),INDEX($J$12:$K$25,MATCH($B1465,$I$12:$I$25,0),J$11)))</f>
        <v/>
      </c>
      <c r="D1465" s="1161" t="str">
        <f>IF(B1480="","",INDEX(NXetHKI!$B$3:$CL$57,MATCH(InNXKI!B1480,NXetHKI!$B$3:$B$57,0),INDEX($J$12:$K$25,MATCH($B1465,$I$12:$I$25,0),K$11)))</f>
        <v/>
      </c>
      <c r="E1465" s="1162"/>
      <c r="F1465" s="805"/>
      <c r="H1465" s="64"/>
      <c r="I1465" s="64"/>
    </row>
    <row r="1466" spans="1:9" ht="32.25" customHeight="1">
      <c r="A1466" s="803" t="s">
        <v>195</v>
      </c>
      <c r="B1466" s="804" t="s">
        <v>120</v>
      </c>
      <c r="C1466" s="805" t="str">
        <f>IF(B1480="","",INDEX(NXetHKI!$B$3:$CL$57,MATCH(InNXKI!B1480,NXetHKI!$B$3:$B$57,0),INDEX($J$12:$K$25,MATCH($B1466,$I$12:$I$25,0),J$11)))</f>
        <v/>
      </c>
      <c r="D1466" s="1161" t="str">
        <f>IF(B1480="","",INDEX(NXetHKI!$B$3:$CL$57,MATCH(InNXKI!B1480,NXetHKI!$B$3:$B$57,0),INDEX($J$12:$K$25,MATCH($B1466,$I$12:$I$25,0),K$11)))</f>
        <v/>
      </c>
      <c r="E1466" s="1162"/>
      <c r="F1466" s="805"/>
      <c r="H1466" s="64"/>
      <c r="I1466" s="64"/>
    </row>
    <row r="1467" spans="1:9" ht="32.25" customHeight="1">
      <c r="A1467" s="803" t="s">
        <v>196</v>
      </c>
      <c r="B1467" s="804" t="s">
        <v>30</v>
      </c>
      <c r="C1467" s="805" t="str">
        <f>IF(B1480="","",INDEX(NXetHKI!$B$3:$CL$57,MATCH(InNXKI!B1480,NXetHKI!$B$3:$B$57,0),INDEX($J$12:$K$25,MATCH($B1467,$I$12:$I$25,0),J$11)))</f>
        <v/>
      </c>
      <c r="D1467" s="1161" t="str">
        <f>IF(B1480="","",INDEX(NXetHKI!$B$3:$CL$57,MATCH(InNXKI!B1480,NXetHKI!$B$3:$B$57,0),INDEX($J$12:$K$25,MATCH($B1467,$I$12:$I$25,0),K$11)))</f>
        <v/>
      </c>
      <c r="E1467" s="1162"/>
      <c r="F1467" s="805"/>
      <c r="H1467" s="64"/>
      <c r="I1467" s="64"/>
    </row>
    <row r="1468" spans="1:9" ht="32.25" customHeight="1">
      <c r="A1468" s="803" t="s">
        <v>197</v>
      </c>
      <c r="B1468" s="804" t="s">
        <v>31</v>
      </c>
      <c r="C1468" s="805" t="str">
        <f>IF(B1480="","",INDEX(NXetHKI!$B$3:$CL$57,MATCH(InNXKI!B1480,NXetHKI!$B$3:$B$57,0),INDEX($J$12:$K$25,MATCH($B1468,$I$12:$I$25,0),J$11)))</f>
        <v/>
      </c>
      <c r="D1468" s="1161" t="str">
        <f>IF(B1480="","",INDEX(NXetHKI!$B$3:$CL$57,MATCH(InNXKI!B1480,NXetHKI!$B$3:$B$57,0),INDEX($J$12:$K$25,MATCH($B1468,$I$12:$I$25,0),K$11)))</f>
        <v/>
      </c>
      <c r="E1468" s="1162"/>
      <c r="F1468" s="805"/>
      <c r="H1468" s="64"/>
      <c r="I1468" s="64"/>
    </row>
    <row r="1469" spans="1:9" ht="32.25" customHeight="1">
      <c r="A1469" s="803" t="s">
        <v>198</v>
      </c>
      <c r="B1469" s="804" t="s">
        <v>32</v>
      </c>
      <c r="C1469" s="805" t="str">
        <f>IF(B1480="","",INDEX(NXetHKI!$B$3:$CL$57,MATCH(InNXKI!B1480,NXetHKI!$B$3:$B$57,0),INDEX($J$12:$K$25,MATCH($B1469,$I$12:$I$25,0),J$11)))</f>
        <v/>
      </c>
      <c r="D1469" s="1161" t="str">
        <f>IF(B1480="","",INDEX(NXetHKI!$B$3:$CL$57,MATCH(InNXKI!B1480,NXetHKI!$B$3:$B$57,0),INDEX($J$12:$K$25,MATCH($B1469,$I$12:$I$25,0),K$11)))</f>
        <v/>
      </c>
      <c r="E1469" s="1162"/>
      <c r="F1469" s="805"/>
      <c r="H1469" s="64"/>
      <c r="I1469" s="64"/>
    </row>
    <row r="1470" spans="1:9" ht="32.25" customHeight="1">
      <c r="A1470" s="803" t="s">
        <v>199</v>
      </c>
      <c r="B1470" s="804" t="s">
        <v>33</v>
      </c>
      <c r="C1470" s="805" t="str">
        <f>IF(B1480="","",INDEX(NXetHKI!$B$3:$CL$57,MATCH(InNXKI!B1480,NXetHKI!$B$3:$B$57,0),INDEX($J$12:$K$25,MATCH($B1470,$I$12:$I$25,0),J$11)))</f>
        <v/>
      </c>
      <c r="D1470" s="1161" t="str">
        <f>IF(B1480="","",INDEX(NXetHKI!$B$3:$CL$57,MATCH(InNXKI!B1480,NXetHKI!$B$3:$B$57,0),INDEX($J$12:$K$25,MATCH($B1470,$I$12:$I$25,0),K$11)))</f>
        <v/>
      </c>
      <c r="E1470" s="1162"/>
      <c r="F1470" s="805"/>
      <c r="H1470" s="64"/>
      <c r="I1470" s="64"/>
    </row>
    <row r="1471" spans="1:9" ht="32.25" customHeight="1">
      <c r="A1471" s="803" t="s">
        <v>200</v>
      </c>
      <c r="B1471" s="804" t="s">
        <v>60</v>
      </c>
      <c r="C1471" s="805" t="str">
        <f>IF(B1480="","",INDEX(NXetHKI!$B$3:$CL$57,MATCH(InNXKI!B1480,NXetHKI!$B$3:$B$57,0),INDEX($J$12:$K$25,MATCH($B1471,$I$12:$I$25,0),J$11)))</f>
        <v/>
      </c>
      <c r="D1471" s="1161" t="str">
        <f>IF(B1480="","",INDEX(NXetHKI!$B$3:$CL$57,MATCH(InNXKI!B1480,NXetHKI!$B$3:$B$57,0),INDEX($J$12:$K$25,MATCH($B1471,$I$12:$I$25,0),K$11)))</f>
        <v/>
      </c>
      <c r="E1471" s="1162"/>
      <c r="F1471" s="805"/>
      <c r="H1471" s="64"/>
      <c r="I1471" s="64"/>
    </row>
    <row r="1472" spans="1:9" ht="32.25" customHeight="1">
      <c r="A1472" s="803" t="s">
        <v>201</v>
      </c>
      <c r="B1472" s="804" t="s">
        <v>34</v>
      </c>
      <c r="C1472" s="805" t="str">
        <f>IF(B1480="","",INDEX(NXetHKI!$B$3:$CL$57,MATCH(InNXKI!B1480,NXetHKI!$B$3:$B$57,0),INDEX($J$12:$K$25,MATCH($B1472,$I$12:$I$25,0),J$11)))</f>
        <v/>
      </c>
      <c r="D1472" s="1161" t="str">
        <f>IF(B1480="","",INDEX(NXetHKI!$B$3:$CL$57,MATCH(InNXKI!B1480,NXetHKI!$B$3:$B$57,0),INDEX($J$12:$K$25,MATCH($B1472,$I$12:$I$25,0),K$11)))</f>
        <v/>
      </c>
      <c r="E1472" s="1162"/>
      <c r="F1472" s="805"/>
      <c r="H1472" s="64"/>
      <c r="I1472" s="64"/>
    </row>
    <row r="1473" spans="1:9" ht="32.25" customHeight="1">
      <c r="A1473" s="803" t="s">
        <v>202</v>
      </c>
      <c r="B1473" s="804" t="s">
        <v>35</v>
      </c>
      <c r="C1473" s="805" t="str">
        <f>IF(B1480="","",INDEX(NXetHKI!$B$3:$CL$57,MATCH(InNXKI!B1480,NXetHKI!$B$3:$B$57,0),INDEX($J$12:$K$25,MATCH($B1473,$I$12:$I$25,0),J$11)))</f>
        <v/>
      </c>
      <c r="D1473" s="1161" t="str">
        <f>IF(B1480="","",INDEX(NXetHKI!$B$3:$CL$57,MATCH(InNXKI!B1480,NXetHKI!$B$3:$B$57,0),INDEX($J$12:$K$25,MATCH($B1473,$I$12:$I$25,0),K$11)))</f>
        <v/>
      </c>
      <c r="E1473" s="1162"/>
      <c r="F1473" s="805"/>
      <c r="H1473" s="64"/>
      <c r="I1473" s="64"/>
    </row>
    <row r="1474" spans="1:9" ht="32.25" customHeight="1">
      <c r="A1474" s="803" t="s">
        <v>203</v>
      </c>
      <c r="B1474" s="804" t="s">
        <v>121</v>
      </c>
      <c r="C1474" s="805" t="str">
        <f>IF(B1480="","",INDEX(NXetHKI!$B$3:$CL$57,MATCH(InNXKI!B1480,NXetHKI!$B$3:$B$57,0),INDEX($J$12:$K$25,MATCH($B1474,$I$12:$I$25,0),J$11)))</f>
        <v/>
      </c>
      <c r="D1474" s="1161" t="str">
        <f>IF(B1480="","",INDEX(NXetHKI!$B$3:$CL$57,MATCH(InNXKI!B1480,NXetHKI!$B$3:$B$57,0),INDEX($J$12:$K$25,MATCH($B1474,$I$12:$I$25,0),K$11)))</f>
        <v/>
      </c>
      <c r="E1474" s="1162"/>
      <c r="F1474" s="805"/>
      <c r="H1474" s="64"/>
      <c r="I1474" s="64"/>
    </row>
    <row r="1475" spans="1:9" ht="32.25" customHeight="1">
      <c r="A1475" s="803">
        <v>14</v>
      </c>
      <c r="B1475" s="804" t="s">
        <v>122</v>
      </c>
      <c r="C1475" s="805" t="str">
        <f>IF(B1480="","",INDEX(NXetHKI!$B$3:$CL$57,MATCH(InNXKI!B1480,NXetHKI!$B$3:$B$57,0),INDEX($J$12:$K$25,MATCH($B1475,$I$12:$I$25,0),J$11)))</f>
        <v/>
      </c>
      <c r="D1475" s="1161" t="str">
        <f>IF(B1480="","",INDEX(NXetHKI!$B$3:$CL$57,MATCH(InNXKI!B1480,NXetHKI!$B$3:$B$57,0),INDEX($J$12:$K$25,MATCH($B1475,$I$12:$I$25,0),K$11)))</f>
        <v/>
      </c>
      <c r="E1475" s="1162"/>
      <c r="F1475" s="805"/>
      <c r="H1475" s="64"/>
    </row>
    <row r="1476" spans="1:9" ht="12" customHeight="1"/>
    <row r="1477" spans="1:9" ht="21.75" customHeight="1">
      <c r="D1477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477" s="1163"/>
      <c r="F1477" s="1163"/>
    </row>
    <row r="1478" spans="1:9">
      <c r="D1478" s="992" t="s">
        <v>377</v>
      </c>
      <c r="E1478" s="992"/>
      <c r="F1478" s="992"/>
    </row>
    <row r="1479" spans="1:9" ht="81" customHeight="1">
      <c r="D1479" s="923" t="str">
        <f>IF('Huong dan'!$E$5="","",'Huong dan'!$E$5)</f>
        <v/>
      </c>
      <c r="E1479" s="923"/>
      <c r="F1479" s="923"/>
    </row>
    <row r="1480" spans="1:9">
      <c r="A1480" s="811"/>
      <c r="B1480" s="711" t="str">
        <f>IF(B1451="","",IF(B1451&lt;MAX(NXetHKI!$B$3:$B$57),B1451+1,""))</f>
        <v/>
      </c>
      <c r="C1480" s="811"/>
      <c r="D1480" s="1157"/>
      <c r="E1480" s="1157"/>
      <c r="F1480" s="1157"/>
    </row>
    <row r="1481" spans="1:9" s="60" customFormat="1" ht="24.75" customHeight="1">
      <c r="A1481" s="1128" t="str">
        <f>IF('Huong dan'!$E$3&lt;&gt;"","SỞ GIÁO DỤC VÀ ĐÀO TẠO "&amp;UPPER('Huong dan'!$E$3),"")</f>
        <v>SỞ GIÁO DỤC VÀ ĐÀO TẠO TP. HỒ CHÍ MINH</v>
      </c>
      <c r="B1481" s="1128"/>
      <c r="C1481" s="1128"/>
      <c r="D1481" s="1128"/>
      <c r="E1481" s="1129" t="s">
        <v>19</v>
      </c>
      <c r="F1481" s="1129"/>
    </row>
    <row r="1482" spans="1:9" ht="17.25" customHeight="1">
      <c r="A1482" s="992" t="str">
        <f>IF('Huong dan'!$E$4&lt;&gt;"","TRƯỜNG "&amp;UPPER('Huong dan'!$E$4),"")</f>
        <v>TRƯỜNG THCS VÀ THPT NGUYỄN KHUYẾN</v>
      </c>
      <c r="B1482" s="992"/>
      <c r="C1482" s="992"/>
      <c r="D1482" s="992"/>
      <c r="E1482" s="1130" t="s">
        <v>179</v>
      </c>
      <c r="F1482" s="1130"/>
    </row>
    <row r="1483" spans="1:9" ht="20.25" customHeight="1">
      <c r="A1483" s="69"/>
      <c r="B1483" s="69"/>
      <c r="C1483" s="30"/>
      <c r="D1483" s="30"/>
    </row>
    <row r="1484" spans="1:9" ht="28.5" customHeight="1">
      <c r="A1484" s="1164" t="s">
        <v>567</v>
      </c>
      <c r="B1484" s="1164"/>
      <c r="C1484" s="1164"/>
      <c r="D1484" s="1164"/>
      <c r="E1484" s="1164"/>
      <c r="F1484" s="1164"/>
    </row>
    <row r="1485" spans="1:9" ht="24.75" customHeight="1">
      <c r="A1485" s="1164" t="str">
        <f>"HỌC KỲ I NĂM HỌC "&amp;'Huong dan'!$C$5</f>
        <v>HỌC KỲ I NĂM HỌC 2021 - 2022</v>
      </c>
      <c r="B1485" s="1164"/>
      <c r="C1485" s="1164"/>
      <c r="D1485" s="1164"/>
      <c r="E1485" s="1164"/>
      <c r="F1485" s="1164"/>
    </row>
    <row r="1486" spans="1:9" ht="14.25" customHeight="1">
      <c r="A1486" s="70"/>
      <c r="B1486" s="66"/>
      <c r="C1486" s="66"/>
      <c r="D1486" s="66"/>
      <c r="E1486" s="66"/>
      <c r="F1486" s="66"/>
    </row>
    <row r="1487" spans="1:9" ht="18.75" customHeight="1">
      <c r="A1487" s="1158" t="s">
        <v>212</v>
      </c>
      <c r="B1487" s="1158"/>
      <c r="C1487" s="1158"/>
      <c r="D1487" s="77" t="str">
        <f>IF(B1509="","",INDEX(NXetHKI!$B$3:$CL$57,MATCH(InNXKI!B1509,NXetHKI!$B$3:$B$57,0),3)&amp;" "&amp;INDEX(NXetHKI!$B$3:$CL$57,MATCH(InNXKI!B1509,NXetHKI!$B$3:$B$57,0),4))</f>
        <v/>
      </c>
      <c r="E1487" s="77"/>
      <c r="F1487" s="77" t="str">
        <f>IF('Huong dan'!$C$3="","","Lớp: "&amp;'Huong dan'!$C$3)</f>
        <v>Lớp: 12A1</v>
      </c>
    </row>
    <row r="1488" spans="1:9" ht="18.75" customHeight="1">
      <c r="A1488" s="1158" t="s">
        <v>213</v>
      </c>
      <c r="B1488" s="1158"/>
      <c r="C1488" s="1158"/>
      <c r="D1488" s="77" t="str">
        <f>INDEX(NXetHKI!$B$3:$CL$57,MATCH(InNXKI!B1509,NXetHKI!$B$3:$B$57,0),5)</f>
        <v/>
      </c>
      <c r="E1488" s="77"/>
      <c r="F1488" s="841" t="str">
        <f>IF(B1509="","","Nơi sinh: "&amp;INDEX(DiemHKI!$G$4:$G$58,MATCH(InNXKI!B1509,DiemHKI!$B$4:$B$58,0),1))</f>
        <v/>
      </c>
    </row>
    <row r="1489" spans="1:9" ht="9.75" customHeight="1">
      <c r="A1489" s="62"/>
      <c r="B1489" s="62"/>
      <c r="C1489" s="62"/>
      <c r="D1489" s="62"/>
      <c r="E1489" s="62"/>
      <c r="F1489" s="62"/>
    </row>
    <row r="1490" spans="1:9" ht="34.5" customHeight="1">
      <c r="A1490" s="801" t="s">
        <v>0</v>
      </c>
      <c r="B1490" s="801" t="s">
        <v>59</v>
      </c>
      <c r="C1490" s="806" t="s">
        <v>360</v>
      </c>
      <c r="D1490" s="1159" t="s">
        <v>568</v>
      </c>
      <c r="E1490" s="1160"/>
      <c r="F1490" s="802" t="s">
        <v>569</v>
      </c>
    </row>
    <row r="1491" spans="1:9" ht="32.25" customHeight="1">
      <c r="A1491" s="803" t="s">
        <v>191</v>
      </c>
      <c r="B1491" s="804" t="s">
        <v>26</v>
      </c>
      <c r="C1491" s="805" t="str">
        <f>IF(B1509="","",INDEX(NXetHKI!$B$3:$CL$57,MATCH(InNXKI!B1509,NXetHKI!$B$3:$B$57,0),INDEX($J$12:$K$25,MATCH($B1491,$I$12:$I$25,0),J$11)))</f>
        <v/>
      </c>
      <c r="D1491" s="1161" t="str">
        <f>IF(B1509="","",INDEX(NXetHKI!$B$3:$CL$57,MATCH(InNXKI!B1509,NXetHKI!$B$3:$B$57,0),INDEX($J$12:$K$25,MATCH($B1491,$I$12:$I$25,0),K$11)))</f>
        <v/>
      </c>
      <c r="E1491" s="1162"/>
      <c r="F1491" s="805"/>
      <c r="H1491" s="64"/>
      <c r="I1491" s="64"/>
    </row>
    <row r="1492" spans="1:9" ht="32.25" customHeight="1">
      <c r="A1492" s="803" t="s">
        <v>192</v>
      </c>
      <c r="B1492" s="804" t="s">
        <v>27</v>
      </c>
      <c r="C1492" s="805" t="str">
        <f>IF(B1509="","",INDEX(NXetHKI!$B$3:$CL$57,MATCH(InNXKI!B1509,NXetHKI!$B$3:$B$57,0),INDEX($J$12:$K$25,MATCH($B1492,$I$12:$I$25,0),J$11)))</f>
        <v/>
      </c>
      <c r="D1492" s="1161" t="str">
        <f>IF(B1509="","",INDEX(NXetHKI!$B$3:$CL$57,MATCH(InNXKI!B1509,NXetHKI!$B$3:$B$57,0),INDEX($J$12:$K$25,MATCH($B1492,$I$12:$I$25,0),K$11)))</f>
        <v/>
      </c>
      <c r="E1492" s="1162"/>
      <c r="F1492" s="805"/>
      <c r="H1492" s="64"/>
      <c r="I1492" s="64"/>
    </row>
    <row r="1493" spans="1:9" ht="32.25" customHeight="1">
      <c r="A1493" s="803" t="s">
        <v>193</v>
      </c>
      <c r="B1493" s="804" t="s">
        <v>28</v>
      </c>
      <c r="C1493" s="805" t="str">
        <f>IF(B1509="","",INDEX(NXetHKI!$B$3:$CL$57,MATCH(InNXKI!B1509,NXetHKI!$B$3:$B$57,0),INDEX($J$12:$K$25,MATCH($B1493,$I$12:$I$25,0),J$11)))</f>
        <v/>
      </c>
      <c r="D1493" s="1161" t="str">
        <f>IF(B1509="","",INDEX(NXetHKI!$B$3:$CL$57,MATCH(InNXKI!B1509,NXetHKI!$B$3:$B$57,0),INDEX($J$12:$K$25,MATCH($B1493,$I$12:$I$25,0),K$11)))</f>
        <v/>
      </c>
      <c r="E1493" s="1162"/>
      <c r="F1493" s="805"/>
      <c r="H1493" s="64"/>
      <c r="I1493" s="64"/>
    </row>
    <row r="1494" spans="1:9" ht="32.25" customHeight="1">
      <c r="A1494" s="803" t="s">
        <v>194</v>
      </c>
      <c r="B1494" s="804" t="s">
        <v>29</v>
      </c>
      <c r="C1494" s="805" t="str">
        <f>IF(B1509="","",INDEX(NXetHKI!$B$3:$CL$57,MATCH(InNXKI!B1509,NXetHKI!$B$3:$B$57,0),INDEX($J$12:$K$25,MATCH($B1494,$I$12:$I$25,0),J$11)))</f>
        <v/>
      </c>
      <c r="D1494" s="1161" t="str">
        <f>IF(B1509="","",INDEX(NXetHKI!$B$3:$CL$57,MATCH(InNXKI!B1509,NXetHKI!$B$3:$B$57,0),INDEX($J$12:$K$25,MATCH($B1494,$I$12:$I$25,0),K$11)))</f>
        <v/>
      </c>
      <c r="E1494" s="1162"/>
      <c r="F1494" s="805"/>
      <c r="H1494" s="64"/>
      <c r="I1494" s="64"/>
    </row>
    <row r="1495" spans="1:9" ht="32.25" customHeight="1">
      <c r="A1495" s="803" t="s">
        <v>195</v>
      </c>
      <c r="B1495" s="804" t="s">
        <v>120</v>
      </c>
      <c r="C1495" s="805" t="str">
        <f>IF(B1509="","",INDEX(NXetHKI!$B$3:$CL$57,MATCH(InNXKI!B1509,NXetHKI!$B$3:$B$57,0),INDEX($J$12:$K$25,MATCH($B1495,$I$12:$I$25,0),J$11)))</f>
        <v/>
      </c>
      <c r="D1495" s="1161" t="str">
        <f>IF(B1509="","",INDEX(NXetHKI!$B$3:$CL$57,MATCH(InNXKI!B1509,NXetHKI!$B$3:$B$57,0),INDEX($J$12:$K$25,MATCH($B1495,$I$12:$I$25,0),K$11)))</f>
        <v/>
      </c>
      <c r="E1495" s="1162"/>
      <c r="F1495" s="805"/>
      <c r="H1495" s="64"/>
      <c r="I1495" s="64"/>
    </row>
    <row r="1496" spans="1:9" ht="32.25" customHeight="1">
      <c r="A1496" s="803" t="s">
        <v>196</v>
      </c>
      <c r="B1496" s="804" t="s">
        <v>30</v>
      </c>
      <c r="C1496" s="805" t="str">
        <f>IF(B1509="","",INDEX(NXetHKI!$B$3:$CL$57,MATCH(InNXKI!B1509,NXetHKI!$B$3:$B$57,0),INDEX($J$12:$K$25,MATCH($B1496,$I$12:$I$25,0),J$11)))</f>
        <v/>
      </c>
      <c r="D1496" s="1161" t="str">
        <f>IF(B1509="","",INDEX(NXetHKI!$B$3:$CL$57,MATCH(InNXKI!B1509,NXetHKI!$B$3:$B$57,0),INDEX($J$12:$K$25,MATCH($B1496,$I$12:$I$25,0),K$11)))</f>
        <v/>
      </c>
      <c r="E1496" s="1162"/>
      <c r="F1496" s="805"/>
      <c r="H1496" s="64"/>
      <c r="I1496" s="64"/>
    </row>
    <row r="1497" spans="1:9" ht="32.25" customHeight="1">
      <c r="A1497" s="803" t="s">
        <v>197</v>
      </c>
      <c r="B1497" s="804" t="s">
        <v>31</v>
      </c>
      <c r="C1497" s="805" t="str">
        <f>IF(B1509="","",INDEX(NXetHKI!$B$3:$CL$57,MATCH(InNXKI!B1509,NXetHKI!$B$3:$B$57,0),INDEX($J$12:$K$25,MATCH($B1497,$I$12:$I$25,0),J$11)))</f>
        <v/>
      </c>
      <c r="D1497" s="1161" t="str">
        <f>IF(B1509="","",INDEX(NXetHKI!$B$3:$CL$57,MATCH(InNXKI!B1509,NXetHKI!$B$3:$B$57,0),INDEX($J$12:$K$25,MATCH($B1497,$I$12:$I$25,0),K$11)))</f>
        <v/>
      </c>
      <c r="E1497" s="1162"/>
      <c r="F1497" s="805"/>
      <c r="H1497" s="64"/>
      <c r="I1497" s="64"/>
    </row>
    <row r="1498" spans="1:9" ht="32.25" customHeight="1">
      <c r="A1498" s="803" t="s">
        <v>198</v>
      </c>
      <c r="B1498" s="804" t="s">
        <v>32</v>
      </c>
      <c r="C1498" s="805" t="str">
        <f>IF(B1509="","",INDEX(NXetHKI!$B$3:$CL$57,MATCH(InNXKI!B1509,NXetHKI!$B$3:$B$57,0),INDEX($J$12:$K$25,MATCH($B1498,$I$12:$I$25,0),J$11)))</f>
        <v/>
      </c>
      <c r="D1498" s="1161" t="str">
        <f>IF(B1509="","",INDEX(NXetHKI!$B$3:$CL$57,MATCH(InNXKI!B1509,NXetHKI!$B$3:$B$57,0),INDEX($J$12:$K$25,MATCH($B1498,$I$12:$I$25,0),K$11)))</f>
        <v/>
      </c>
      <c r="E1498" s="1162"/>
      <c r="F1498" s="805"/>
      <c r="H1498" s="64"/>
      <c r="I1498" s="64"/>
    </row>
    <row r="1499" spans="1:9" ht="32.25" customHeight="1">
      <c r="A1499" s="803" t="s">
        <v>199</v>
      </c>
      <c r="B1499" s="804" t="s">
        <v>33</v>
      </c>
      <c r="C1499" s="805" t="str">
        <f>IF(B1509="","",INDEX(NXetHKI!$B$3:$CL$57,MATCH(InNXKI!B1509,NXetHKI!$B$3:$B$57,0),INDEX($J$12:$K$25,MATCH($B1499,$I$12:$I$25,0),J$11)))</f>
        <v/>
      </c>
      <c r="D1499" s="1161" t="str">
        <f>IF(B1509="","",INDEX(NXetHKI!$B$3:$CL$57,MATCH(InNXKI!B1509,NXetHKI!$B$3:$B$57,0),INDEX($J$12:$K$25,MATCH($B1499,$I$12:$I$25,0),K$11)))</f>
        <v/>
      </c>
      <c r="E1499" s="1162"/>
      <c r="F1499" s="805"/>
      <c r="H1499" s="64"/>
      <c r="I1499" s="64"/>
    </row>
    <row r="1500" spans="1:9" ht="32.25" customHeight="1">
      <c r="A1500" s="803" t="s">
        <v>200</v>
      </c>
      <c r="B1500" s="804" t="s">
        <v>60</v>
      </c>
      <c r="C1500" s="805" t="str">
        <f>IF(B1509="","",INDEX(NXetHKI!$B$3:$CL$57,MATCH(InNXKI!B1509,NXetHKI!$B$3:$B$57,0),INDEX($J$12:$K$25,MATCH($B1500,$I$12:$I$25,0),J$11)))</f>
        <v/>
      </c>
      <c r="D1500" s="1161" t="str">
        <f>IF(B1509="","",INDEX(NXetHKI!$B$3:$CL$57,MATCH(InNXKI!B1509,NXetHKI!$B$3:$B$57,0),INDEX($J$12:$K$25,MATCH($B1500,$I$12:$I$25,0),K$11)))</f>
        <v/>
      </c>
      <c r="E1500" s="1162"/>
      <c r="F1500" s="805"/>
      <c r="H1500" s="64"/>
      <c r="I1500" s="64"/>
    </row>
    <row r="1501" spans="1:9" ht="32.25" customHeight="1">
      <c r="A1501" s="803" t="s">
        <v>201</v>
      </c>
      <c r="B1501" s="804" t="s">
        <v>34</v>
      </c>
      <c r="C1501" s="805" t="str">
        <f>IF(B1509="","",INDEX(NXetHKI!$B$3:$CL$57,MATCH(InNXKI!B1509,NXetHKI!$B$3:$B$57,0),INDEX($J$12:$K$25,MATCH($B1501,$I$12:$I$25,0),J$11)))</f>
        <v/>
      </c>
      <c r="D1501" s="1161" t="str">
        <f>IF(B1509="","",INDEX(NXetHKI!$B$3:$CL$57,MATCH(InNXKI!B1509,NXetHKI!$B$3:$B$57,0),INDEX($J$12:$K$25,MATCH($B1501,$I$12:$I$25,0),K$11)))</f>
        <v/>
      </c>
      <c r="E1501" s="1162"/>
      <c r="F1501" s="805"/>
      <c r="H1501" s="64"/>
      <c r="I1501" s="64"/>
    </row>
    <row r="1502" spans="1:9" ht="32.25" customHeight="1">
      <c r="A1502" s="803" t="s">
        <v>202</v>
      </c>
      <c r="B1502" s="804" t="s">
        <v>35</v>
      </c>
      <c r="C1502" s="805" t="str">
        <f>IF(B1509="","",INDEX(NXetHKI!$B$3:$CL$57,MATCH(InNXKI!B1509,NXetHKI!$B$3:$B$57,0),INDEX($J$12:$K$25,MATCH($B1502,$I$12:$I$25,0),J$11)))</f>
        <v/>
      </c>
      <c r="D1502" s="1161" t="str">
        <f>IF(B1509="","",INDEX(NXetHKI!$B$3:$CL$57,MATCH(InNXKI!B1509,NXetHKI!$B$3:$B$57,0),INDEX($J$12:$K$25,MATCH($B1502,$I$12:$I$25,0),K$11)))</f>
        <v/>
      </c>
      <c r="E1502" s="1162"/>
      <c r="F1502" s="805"/>
      <c r="H1502" s="64"/>
      <c r="I1502" s="64"/>
    </row>
    <row r="1503" spans="1:9" ht="32.25" customHeight="1">
      <c r="A1503" s="803" t="s">
        <v>203</v>
      </c>
      <c r="B1503" s="804" t="s">
        <v>121</v>
      </c>
      <c r="C1503" s="805" t="str">
        <f>IF(B1509="","",INDEX(NXetHKI!$B$3:$CL$57,MATCH(InNXKI!B1509,NXetHKI!$B$3:$B$57,0),INDEX($J$12:$K$25,MATCH($B1503,$I$12:$I$25,0),J$11)))</f>
        <v/>
      </c>
      <c r="D1503" s="1161" t="str">
        <f>IF(B1509="","",INDEX(NXetHKI!$B$3:$CL$57,MATCH(InNXKI!B1509,NXetHKI!$B$3:$B$57,0),INDEX($J$12:$K$25,MATCH($B1503,$I$12:$I$25,0),K$11)))</f>
        <v/>
      </c>
      <c r="E1503" s="1162"/>
      <c r="F1503" s="805"/>
      <c r="H1503" s="64"/>
      <c r="I1503" s="64"/>
    </row>
    <row r="1504" spans="1:9" ht="32.25" customHeight="1">
      <c r="A1504" s="803">
        <v>14</v>
      </c>
      <c r="B1504" s="804" t="s">
        <v>122</v>
      </c>
      <c r="C1504" s="805" t="str">
        <f>IF(B1509="","",INDEX(NXetHKI!$B$3:$CL$57,MATCH(InNXKI!B1509,NXetHKI!$B$3:$B$57,0),INDEX($J$12:$K$25,MATCH($B1504,$I$12:$I$25,0),J$11)))</f>
        <v/>
      </c>
      <c r="D1504" s="1161" t="str">
        <f>IF(B1509="","",INDEX(NXetHKI!$B$3:$CL$57,MATCH(InNXKI!B1509,NXetHKI!$B$3:$B$57,0),INDEX($J$12:$K$25,MATCH($B1504,$I$12:$I$25,0),K$11)))</f>
        <v/>
      </c>
      <c r="E1504" s="1162"/>
      <c r="F1504" s="805"/>
      <c r="H1504" s="64"/>
    </row>
    <row r="1505" spans="1:9" ht="12" customHeight="1"/>
    <row r="1506" spans="1:9" ht="21.75" customHeight="1">
      <c r="D1506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506" s="1163"/>
      <c r="F1506" s="1163"/>
    </row>
    <row r="1507" spans="1:9">
      <c r="D1507" s="992" t="s">
        <v>377</v>
      </c>
      <c r="E1507" s="992"/>
      <c r="F1507" s="992"/>
    </row>
    <row r="1508" spans="1:9" ht="81" customHeight="1">
      <c r="D1508" s="923" t="str">
        <f>IF('Huong dan'!$E$5="","",'Huong dan'!$E$5)</f>
        <v/>
      </c>
      <c r="E1508" s="923"/>
      <c r="F1508" s="923"/>
    </row>
    <row r="1509" spans="1:9">
      <c r="A1509" s="811"/>
      <c r="B1509" s="711" t="str">
        <f>IF(B1480="","",IF(B1480&lt;MAX(NXetHKI!$B$3:$B$57),B1480+1,""))</f>
        <v/>
      </c>
      <c r="C1509" s="811"/>
      <c r="D1509" s="1157"/>
      <c r="E1509" s="1157"/>
      <c r="F1509" s="1157"/>
    </row>
    <row r="1510" spans="1:9" s="60" customFormat="1" ht="24.75" customHeight="1">
      <c r="A1510" s="1128" t="str">
        <f>IF('Huong dan'!$E$3&lt;&gt;"","SỞ GIÁO DỤC VÀ ĐÀO TẠO "&amp;UPPER('Huong dan'!$E$3),"")</f>
        <v>SỞ GIÁO DỤC VÀ ĐÀO TẠO TP. HỒ CHÍ MINH</v>
      </c>
      <c r="B1510" s="1128"/>
      <c r="C1510" s="1128"/>
      <c r="D1510" s="1128"/>
      <c r="E1510" s="1129" t="s">
        <v>19</v>
      </c>
      <c r="F1510" s="1129"/>
    </row>
    <row r="1511" spans="1:9" ht="17.25" customHeight="1">
      <c r="A1511" s="992" t="str">
        <f>IF('Huong dan'!$E$4&lt;&gt;"","TRƯỜNG "&amp;UPPER('Huong dan'!$E$4),"")</f>
        <v>TRƯỜNG THCS VÀ THPT NGUYỄN KHUYẾN</v>
      </c>
      <c r="B1511" s="992"/>
      <c r="C1511" s="992"/>
      <c r="D1511" s="992"/>
      <c r="E1511" s="1130" t="s">
        <v>179</v>
      </c>
      <c r="F1511" s="1130"/>
    </row>
    <row r="1512" spans="1:9" ht="20.25" customHeight="1">
      <c r="A1512" s="69"/>
      <c r="B1512" s="69"/>
      <c r="C1512" s="30"/>
      <c r="D1512" s="30"/>
    </row>
    <row r="1513" spans="1:9" ht="28.5" customHeight="1">
      <c r="A1513" s="1164" t="s">
        <v>567</v>
      </c>
      <c r="B1513" s="1164"/>
      <c r="C1513" s="1164"/>
      <c r="D1513" s="1164"/>
      <c r="E1513" s="1164"/>
      <c r="F1513" s="1164"/>
    </row>
    <row r="1514" spans="1:9" ht="24.75" customHeight="1">
      <c r="A1514" s="1164" t="str">
        <f>"HỌC KỲ I NĂM HỌC "&amp;'Huong dan'!$C$5</f>
        <v>HỌC KỲ I NĂM HỌC 2021 - 2022</v>
      </c>
      <c r="B1514" s="1164"/>
      <c r="C1514" s="1164"/>
      <c r="D1514" s="1164"/>
      <c r="E1514" s="1164"/>
      <c r="F1514" s="1164"/>
    </row>
    <row r="1515" spans="1:9" ht="14.25" customHeight="1">
      <c r="A1515" s="70"/>
      <c r="B1515" s="66"/>
      <c r="C1515" s="66"/>
      <c r="D1515" s="66"/>
      <c r="E1515" s="66"/>
      <c r="F1515" s="66"/>
    </row>
    <row r="1516" spans="1:9" ht="18.75" customHeight="1">
      <c r="A1516" s="1158" t="s">
        <v>212</v>
      </c>
      <c r="B1516" s="1158"/>
      <c r="C1516" s="1158"/>
      <c r="D1516" s="77" t="str">
        <f>IF(B1538="","",INDEX(NXetHKI!$B$3:$CL$57,MATCH(InNXKI!B1538,NXetHKI!$B$3:$B$57,0),3)&amp;" "&amp;INDEX(NXetHKI!$B$3:$CL$57,MATCH(InNXKI!B1538,NXetHKI!$B$3:$B$57,0),4))</f>
        <v/>
      </c>
      <c r="E1516" s="77"/>
      <c r="F1516" s="77" t="str">
        <f>IF('Huong dan'!$C$3="","","Lớp: "&amp;'Huong dan'!$C$3)</f>
        <v>Lớp: 12A1</v>
      </c>
    </row>
    <row r="1517" spans="1:9" ht="18.75" customHeight="1">
      <c r="A1517" s="1158" t="s">
        <v>213</v>
      </c>
      <c r="B1517" s="1158"/>
      <c r="C1517" s="1158"/>
      <c r="D1517" s="77" t="str">
        <f>INDEX(NXetHKI!$B$3:$CL$57,MATCH(InNXKI!B1538,NXetHKI!$B$3:$B$57,0),5)</f>
        <v/>
      </c>
      <c r="E1517" s="77"/>
      <c r="F1517" s="841" t="str">
        <f>IF(B1538="","","Nơi sinh: "&amp;INDEX(DiemHKI!$G$4:$G$58,MATCH(InNXKI!B1538,DiemHKI!$B$4:$B$58,0),1))</f>
        <v/>
      </c>
    </row>
    <row r="1518" spans="1:9" ht="9.75" customHeight="1">
      <c r="A1518" s="62"/>
      <c r="B1518" s="62"/>
      <c r="C1518" s="62"/>
      <c r="D1518" s="62"/>
      <c r="E1518" s="62"/>
      <c r="F1518" s="62"/>
    </row>
    <row r="1519" spans="1:9" ht="34.5" customHeight="1">
      <c r="A1519" s="801" t="s">
        <v>0</v>
      </c>
      <c r="B1519" s="801" t="s">
        <v>59</v>
      </c>
      <c r="C1519" s="806" t="s">
        <v>360</v>
      </c>
      <c r="D1519" s="1159" t="s">
        <v>568</v>
      </c>
      <c r="E1519" s="1160"/>
      <c r="F1519" s="802" t="s">
        <v>569</v>
      </c>
    </row>
    <row r="1520" spans="1:9" ht="32.25" customHeight="1">
      <c r="A1520" s="803" t="s">
        <v>191</v>
      </c>
      <c r="B1520" s="804" t="s">
        <v>26</v>
      </c>
      <c r="C1520" s="805" t="str">
        <f>IF(B1538="","",INDEX(NXetHKI!$B$3:$CL$57,MATCH(InNXKI!B1538,NXetHKI!$B$3:$B$57,0),INDEX($J$12:$K$25,MATCH($B1520,$I$12:$I$25,0),J$11)))</f>
        <v/>
      </c>
      <c r="D1520" s="1161" t="str">
        <f>IF(B1538="","",INDEX(NXetHKI!$B$3:$CL$57,MATCH(InNXKI!B1538,NXetHKI!$B$3:$B$57,0),INDEX($J$12:$K$25,MATCH($B1520,$I$12:$I$25,0),K$11)))</f>
        <v/>
      </c>
      <c r="E1520" s="1162"/>
      <c r="F1520" s="805"/>
      <c r="H1520" s="64"/>
      <c r="I1520" s="64"/>
    </row>
    <row r="1521" spans="1:9" ht="32.25" customHeight="1">
      <c r="A1521" s="803" t="s">
        <v>192</v>
      </c>
      <c r="B1521" s="804" t="s">
        <v>27</v>
      </c>
      <c r="C1521" s="805" t="str">
        <f>IF(B1538="","",INDEX(NXetHKI!$B$3:$CL$57,MATCH(InNXKI!B1538,NXetHKI!$B$3:$B$57,0),INDEX($J$12:$K$25,MATCH($B1521,$I$12:$I$25,0),J$11)))</f>
        <v/>
      </c>
      <c r="D1521" s="1161" t="str">
        <f>IF(B1538="","",INDEX(NXetHKI!$B$3:$CL$57,MATCH(InNXKI!B1538,NXetHKI!$B$3:$B$57,0),INDEX($J$12:$K$25,MATCH($B1521,$I$12:$I$25,0),K$11)))</f>
        <v/>
      </c>
      <c r="E1521" s="1162"/>
      <c r="F1521" s="805"/>
      <c r="H1521" s="64"/>
      <c r="I1521" s="64"/>
    </row>
    <row r="1522" spans="1:9" ht="32.25" customHeight="1">
      <c r="A1522" s="803" t="s">
        <v>193</v>
      </c>
      <c r="B1522" s="804" t="s">
        <v>28</v>
      </c>
      <c r="C1522" s="805" t="str">
        <f>IF(B1538="","",INDEX(NXetHKI!$B$3:$CL$57,MATCH(InNXKI!B1538,NXetHKI!$B$3:$B$57,0),INDEX($J$12:$K$25,MATCH($B1522,$I$12:$I$25,0),J$11)))</f>
        <v/>
      </c>
      <c r="D1522" s="1161" t="str">
        <f>IF(B1538="","",INDEX(NXetHKI!$B$3:$CL$57,MATCH(InNXKI!B1538,NXetHKI!$B$3:$B$57,0),INDEX($J$12:$K$25,MATCH($B1522,$I$12:$I$25,0),K$11)))</f>
        <v/>
      </c>
      <c r="E1522" s="1162"/>
      <c r="F1522" s="805"/>
      <c r="H1522" s="64"/>
      <c r="I1522" s="64"/>
    </row>
    <row r="1523" spans="1:9" ht="32.25" customHeight="1">
      <c r="A1523" s="803" t="s">
        <v>194</v>
      </c>
      <c r="B1523" s="804" t="s">
        <v>29</v>
      </c>
      <c r="C1523" s="805" t="str">
        <f>IF(B1538="","",INDEX(NXetHKI!$B$3:$CL$57,MATCH(InNXKI!B1538,NXetHKI!$B$3:$B$57,0),INDEX($J$12:$K$25,MATCH($B1523,$I$12:$I$25,0),J$11)))</f>
        <v/>
      </c>
      <c r="D1523" s="1161" t="str">
        <f>IF(B1538="","",INDEX(NXetHKI!$B$3:$CL$57,MATCH(InNXKI!B1538,NXetHKI!$B$3:$B$57,0),INDEX($J$12:$K$25,MATCH($B1523,$I$12:$I$25,0),K$11)))</f>
        <v/>
      </c>
      <c r="E1523" s="1162"/>
      <c r="F1523" s="805"/>
      <c r="H1523" s="64"/>
      <c r="I1523" s="64"/>
    </row>
    <row r="1524" spans="1:9" ht="32.25" customHeight="1">
      <c r="A1524" s="803" t="s">
        <v>195</v>
      </c>
      <c r="B1524" s="804" t="s">
        <v>120</v>
      </c>
      <c r="C1524" s="805" t="str">
        <f>IF(B1538="","",INDEX(NXetHKI!$B$3:$CL$57,MATCH(InNXKI!B1538,NXetHKI!$B$3:$B$57,0),INDEX($J$12:$K$25,MATCH($B1524,$I$12:$I$25,0),J$11)))</f>
        <v/>
      </c>
      <c r="D1524" s="1161" t="str">
        <f>IF(B1538="","",INDEX(NXetHKI!$B$3:$CL$57,MATCH(InNXKI!B1538,NXetHKI!$B$3:$B$57,0),INDEX($J$12:$K$25,MATCH($B1524,$I$12:$I$25,0),K$11)))</f>
        <v/>
      </c>
      <c r="E1524" s="1162"/>
      <c r="F1524" s="805"/>
      <c r="H1524" s="64"/>
      <c r="I1524" s="64"/>
    </row>
    <row r="1525" spans="1:9" ht="32.25" customHeight="1">
      <c r="A1525" s="803" t="s">
        <v>196</v>
      </c>
      <c r="B1525" s="804" t="s">
        <v>30</v>
      </c>
      <c r="C1525" s="805" t="str">
        <f>IF(B1538="","",INDEX(NXetHKI!$B$3:$CL$57,MATCH(InNXKI!B1538,NXetHKI!$B$3:$B$57,0),INDEX($J$12:$K$25,MATCH($B1525,$I$12:$I$25,0),J$11)))</f>
        <v/>
      </c>
      <c r="D1525" s="1161" t="str">
        <f>IF(B1538="","",INDEX(NXetHKI!$B$3:$CL$57,MATCH(InNXKI!B1538,NXetHKI!$B$3:$B$57,0),INDEX($J$12:$K$25,MATCH($B1525,$I$12:$I$25,0),K$11)))</f>
        <v/>
      </c>
      <c r="E1525" s="1162"/>
      <c r="F1525" s="805"/>
      <c r="H1525" s="64"/>
      <c r="I1525" s="64"/>
    </row>
    <row r="1526" spans="1:9" ht="32.25" customHeight="1">
      <c r="A1526" s="803" t="s">
        <v>197</v>
      </c>
      <c r="B1526" s="804" t="s">
        <v>31</v>
      </c>
      <c r="C1526" s="805" t="str">
        <f>IF(B1538="","",INDEX(NXetHKI!$B$3:$CL$57,MATCH(InNXKI!B1538,NXetHKI!$B$3:$B$57,0),INDEX($J$12:$K$25,MATCH($B1526,$I$12:$I$25,0),J$11)))</f>
        <v/>
      </c>
      <c r="D1526" s="1161" t="str">
        <f>IF(B1538="","",INDEX(NXetHKI!$B$3:$CL$57,MATCH(InNXKI!B1538,NXetHKI!$B$3:$B$57,0),INDEX($J$12:$K$25,MATCH($B1526,$I$12:$I$25,0),K$11)))</f>
        <v/>
      </c>
      <c r="E1526" s="1162"/>
      <c r="F1526" s="805"/>
      <c r="H1526" s="64"/>
      <c r="I1526" s="64"/>
    </row>
    <row r="1527" spans="1:9" ht="32.25" customHeight="1">
      <c r="A1527" s="803" t="s">
        <v>198</v>
      </c>
      <c r="B1527" s="804" t="s">
        <v>32</v>
      </c>
      <c r="C1527" s="805" t="str">
        <f>IF(B1538="","",INDEX(NXetHKI!$B$3:$CL$57,MATCH(InNXKI!B1538,NXetHKI!$B$3:$B$57,0),INDEX($J$12:$K$25,MATCH($B1527,$I$12:$I$25,0),J$11)))</f>
        <v/>
      </c>
      <c r="D1527" s="1161" t="str">
        <f>IF(B1538="","",INDEX(NXetHKI!$B$3:$CL$57,MATCH(InNXKI!B1538,NXetHKI!$B$3:$B$57,0),INDEX($J$12:$K$25,MATCH($B1527,$I$12:$I$25,0),K$11)))</f>
        <v/>
      </c>
      <c r="E1527" s="1162"/>
      <c r="F1527" s="805"/>
      <c r="H1527" s="64"/>
      <c r="I1527" s="64"/>
    </row>
    <row r="1528" spans="1:9" ht="32.25" customHeight="1">
      <c r="A1528" s="803" t="s">
        <v>199</v>
      </c>
      <c r="B1528" s="804" t="s">
        <v>33</v>
      </c>
      <c r="C1528" s="805" t="str">
        <f>IF(B1538="","",INDEX(NXetHKI!$B$3:$CL$57,MATCH(InNXKI!B1538,NXetHKI!$B$3:$B$57,0),INDEX($J$12:$K$25,MATCH($B1528,$I$12:$I$25,0),J$11)))</f>
        <v/>
      </c>
      <c r="D1528" s="1161" t="str">
        <f>IF(B1538="","",INDEX(NXetHKI!$B$3:$CL$57,MATCH(InNXKI!B1538,NXetHKI!$B$3:$B$57,0),INDEX($J$12:$K$25,MATCH($B1528,$I$12:$I$25,0),K$11)))</f>
        <v/>
      </c>
      <c r="E1528" s="1162"/>
      <c r="F1528" s="805"/>
      <c r="H1528" s="64"/>
      <c r="I1528" s="64"/>
    </row>
    <row r="1529" spans="1:9" ht="32.25" customHeight="1">
      <c r="A1529" s="803" t="s">
        <v>200</v>
      </c>
      <c r="B1529" s="804" t="s">
        <v>60</v>
      </c>
      <c r="C1529" s="805" t="str">
        <f>IF(B1538="","",INDEX(NXetHKI!$B$3:$CL$57,MATCH(InNXKI!B1538,NXetHKI!$B$3:$B$57,0),INDEX($J$12:$K$25,MATCH($B1529,$I$12:$I$25,0),J$11)))</f>
        <v/>
      </c>
      <c r="D1529" s="1161" t="str">
        <f>IF(B1538="","",INDEX(NXetHKI!$B$3:$CL$57,MATCH(InNXKI!B1538,NXetHKI!$B$3:$B$57,0),INDEX($J$12:$K$25,MATCH($B1529,$I$12:$I$25,0),K$11)))</f>
        <v/>
      </c>
      <c r="E1529" s="1162"/>
      <c r="F1529" s="805"/>
      <c r="H1529" s="64"/>
      <c r="I1529" s="64"/>
    </row>
    <row r="1530" spans="1:9" ht="32.25" customHeight="1">
      <c r="A1530" s="803" t="s">
        <v>201</v>
      </c>
      <c r="B1530" s="804" t="s">
        <v>34</v>
      </c>
      <c r="C1530" s="805" t="str">
        <f>IF(B1538="","",INDEX(NXetHKI!$B$3:$CL$57,MATCH(InNXKI!B1538,NXetHKI!$B$3:$B$57,0),INDEX($J$12:$K$25,MATCH($B1530,$I$12:$I$25,0),J$11)))</f>
        <v/>
      </c>
      <c r="D1530" s="1161" t="str">
        <f>IF(B1538="","",INDEX(NXetHKI!$B$3:$CL$57,MATCH(InNXKI!B1538,NXetHKI!$B$3:$B$57,0),INDEX($J$12:$K$25,MATCH($B1530,$I$12:$I$25,0),K$11)))</f>
        <v/>
      </c>
      <c r="E1530" s="1162"/>
      <c r="F1530" s="805"/>
      <c r="H1530" s="64"/>
      <c r="I1530" s="64"/>
    </row>
    <row r="1531" spans="1:9" ht="32.25" customHeight="1">
      <c r="A1531" s="803" t="s">
        <v>202</v>
      </c>
      <c r="B1531" s="804" t="s">
        <v>35</v>
      </c>
      <c r="C1531" s="805" t="str">
        <f>IF(B1538="","",INDEX(NXetHKI!$B$3:$CL$57,MATCH(InNXKI!B1538,NXetHKI!$B$3:$B$57,0),INDEX($J$12:$K$25,MATCH($B1531,$I$12:$I$25,0),J$11)))</f>
        <v/>
      </c>
      <c r="D1531" s="1161" t="str">
        <f>IF(B1538="","",INDEX(NXetHKI!$B$3:$CL$57,MATCH(InNXKI!B1538,NXetHKI!$B$3:$B$57,0),INDEX($J$12:$K$25,MATCH($B1531,$I$12:$I$25,0),K$11)))</f>
        <v/>
      </c>
      <c r="E1531" s="1162"/>
      <c r="F1531" s="805"/>
      <c r="H1531" s="64"/>
      <c r="I1531" s="64"/>
    </row>
    <row r="1532" spans="1:9" ht="32.25" customHeight="1">
      <c r="A1532" s="803" t="s">
        <v>203</v>
      </c>
      <c r="B1532" s="804" t="s">
        <v>121</v>
      </c>
      <c r="C1532" s="805" t="str">
        <f>IF(B1538="","",INDEX(NXetHKI!$B$3:$CL$57,MATCH(InNXKI!B1538,NXetHKI!$B$3:$B$57,0),INDEX($J$12:$K$25,MATCH($B1532,$I$12:$I$25,0),J$11)))</f>
        <v/>
      </c>
      <c r="D1532" s="1161" t="str">
        <f>IF(B1538="","",INDEX(NXetHKI!$B$3:$CL$57,MATCH(InNXKI!B1538,NXetHKI!$B$3:$B$57,0),INDEX($J$12:$K$25,MATCH($B1532,$I$12:$I$25,0),K$11)))</f>
        <v/>
      </c>
      <c r="E1532" s="1162"/>
      <c r="F1532" s="805"/>
      <c r="H1532" s="64"/>
      <c r="I1532" s="64"/>
    </row>
    <row r="1533" spans="1:9" ht="32.25" customHeight="1">
      <c r="A1533" s="803">
        <v>14</v>
      </c>
      <c r="B1533" s="804" t="s">
        <v>122</v>
      </c>
      <c r="C1533" s="805" t="str">
        <f>IF(B1538="","",INDEX(NXetHKI!$B$3:$CL$57,MATCH(InNXKI!B1538,NXetHKI!$B$3:$B$57,0),INDEX($J$12:$K$25,MATCH($B1533,$I$12:$I$25,0),J$11)))</f>
        <v/>
      </c>
      <c r="D1533" s="1161" t="str">
        <f>IF(B1538="","",INDEX(NXetHKI!$B$3:$CL$57,MATCH(InNXKI!B1538,NXetHKI!$B$3:$B$57,0),INDEX($J$12:$K$25,MATCH($B1533,$I$12:$I$25,0),K$11)))</f>
        <v/>
      </c>
      <c r="E1533" s="1162"/>
      <c r="F1533" s="805"/>
      <c r="H1533" s="64"/>
    </row>
    <row r="1534" spans="1:9" ht="12" customHeight="1"/>
    <row r="1535" spans="1:9" ht="21.75" customHeight="1">
      <c r="D1535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535" s="1163"/>
      <c r="F1535" s="1163"/>
    </row>
    <row r="1536" spans="1:9">
      <c r="D1536" s="992" t="s">
        <v>377</v>
      </c>
      <c r="E1536" s="992"/>
      <c r="F1536" s="992"/>
    </row>
    <row r="1537" spans="1:9" ht="81" customHeight="1">
      <c r="D1537" s="923" t="str">
        <f>IF('Huong dan'!$E$5="","",'Huong dan'!$E$5)</f>
        <v/>
      </c>
      <c r="E1537" s="923"/>
      <c r="F1537" s="923"/>
    </row>
    <row r="1538" spans="1:9">
      <c r="A1538" s="811"/>
      <c r="B1538" s="711" t="str">
        <f>IF(B1509="","",IF(B1509&lt;MAX(NXetHKI!$B$3:$B$57),B1509+1,""))</f>
        <v/>
      </c>
      <c r="C1538" s="811"/>
      <c r="D1538" s="1157"/>
      <c r="E1538" s="1157"/>
      <c r="F1538" s="1157"/>
    </row>
    <row r="1539" spans="1:9" s="60" customFormat="1" ht="24.75" customHeight="1">
      <c r="A1539" s="1128" t="str">
        <f>IF('Huong dan'!$E$3&lt;&gt;"","SỞ GIÁO DỤC VÀ ĐÀO TẠO "&amp;UPPER('Huong dan'!$E$3),"")</f>
        <v>SỞ GIÁO DỤC VÀ ĐÀO TẠO TP. HỒ CHÍ MINH</v>
      </c>
      <c r="B1539" s="1128"/>
      <c r="C1539" s="1128"/>
      <c r="D1539" s="1128"/>
      <c r="E1539" s="1129" t="s">
        <v>19</v>
      </c>
      <c r="F1539" s="1129"/>
    </row>
    <row r="1540" spans="1:9" ht="17.25" customHeight="1">
      <c r="A1540" s="992" t="str">
        <f>IF('Huong dan'!$E$4&lt;&gt;"","TRƯỜNG "&amp;UPPER('Huong dan'!$E$4),"")</f>
        <v>TRƯỜNG THCS VÀ THPT NGUYỄN KHUYẾN</v>
      </c>
      <c r="B1540" s="992"/>
      <c r="C1540" s="992"/>
      <c r="D1540" s="992"/>
      <c r="E1540" s="1130" t="s">
        <v>179</v>
      </c>
      <c r="F1540" s="1130"/>
    </row>
    <row r="1541" spans="1:9" ht="20.25" customHeight="1">
      <c r="A1541" s="69"/>
      <c r="B1541" s="69"/>
      <c r="C1541" s="30"/>
      <c r="D1541" s="30"/>
    </row>
    <row r="1542" spans="1:9" ht="28.5" customHeight="1">
      <c r="A1542" s="1164" t="s">
        <v>567</v>
      </c>
      <c r="B1542" s="1164"/>
      <c r="C1542" s="1164"/>
      <c r="D1542" s="1164"/>
      <c r="E1542" s="1164"/>
      <c r="F1542" s="1164"/>
    </row>
    <row r="1543" spans="1:9" ht="24.75" customHeight="1">
      <c r="A1543" s="1164" t="str">
        <f>"HỌC KỲ I NĂM HỌC "&amp;'Huong dan'!$C$5</f>
        <v>HỌC KỲ I NĂM HỌC 2021 - 2022</v>
      </c>
      <c r="B1543" s="1164"/>
      <c r="C1543" s="1164"/>
      <c r="D1543" s="1164"/>
      <c r="E1543" s="1164"/>
      <c r="F1543" s="1164"/>
    </row>
    <row r="1544" spans="1:9" ht="14.25" customHeight="1">
      <c r="A1544" s="70"/>
      <c r="B1544" s="66"/>
      <c r="C1544" s="66"/>
      <c r="D1544" s="66"/>
      <c r="E1544" s="66"/>
      <c r="F1544" s="66"/>
    </row>
    <row r="1545" spans="1:9" ht="18.75" customHeight="1">
      <c r="A1545" s="1158" t="s">
        <v>212</v>
      </c>
      <c r="B1545" s="1158"/>
      <c r="C1545" s="1158"/>
      <c r="D1545" s="77" t="str">
        <f>IF(B1567="","",INDEX(NXetHKI!$B$3:$CL$57,MATCH(InNXKI!B1567,NXetHKI!$B$3:$B$57,0),3)&amp;" "&amp;INDEX(NXetHKI!$B$3:$CL$57,MATCH(InNXKI!B1567,NXetHKI!$B$3:$B$57,0),4))</f>
        <v/>
      </c>
      <c r="E1545" s="77"/>
      <c r="F1545" s="77" t="str">
        <f>IF('Huong dan'!$C$3="","","Lớp: "&amp;'Huong dan'!$C$3)</f>
        <v>Lớp: 12A1</v>
      </c>
    </row>
    <row r="1546" spans="1:9" ht="18.75" customHeight="1">
      <c r="A1546" s="1158" t="s">
        <v>213</v>
      </c>
      <c r="B1546" s="1158"/>
      <c r="C1546" s="1158"/>
      <c r="D1546" s="77" t="str">
        <f>INDEX(NXetHKI!$B$3:$CL$57,MATCH(InNXKI!B1567,NXetHKI!$B$3:$B$57,0),5)</f>
        <v/>
      </c>
      <c r="E1546" s="77"/>
      <c r="F1546" s="841" t="str">
        <f>IF(B1567="","","Nơi sinh: "&amp;INDEX(DiemHKI!$G$4:$G$58,MATCH(InNXKI!B1567,DiemHKI!$B$4:$B$58,0),1))</f>
        <v/>
      </c>
    </row>
    <row r="1547" spans="1:9" ht="9.75" customHeight="1">
      <c r="A1547" s="62"/>
      <c r="B1547" s="62"/>
      <c r="C1547" s="62"/>
      <c r="D1547" s="62"/>
      <c r="E1547" s="62"/>
      <c r="F1547" s="62"/>
    </row>
    <row r="1548" spans="1:9" ht="34.5" customHeight="1">
      <c r="A1548" s="801" t="s">
        <v>0</v>
      </c>
      <c r="B1548" s="801" t="s">
        <v>59</v>
      </c>
      <c r="C1548" s="806" t="s">
        <v>360</v>
      </c>
      <c r="D1548" s="1159" t="s">
        <v>568</v>
      </c>
      <c r="E1548" s="1160"/>
      <c r="F1548" s="802" t="s">
        <v>569</v>
      </c>
    </row>
    <row r="1549" spans="1:9" ht="32.25" customHeight="1">
      <c r="A1549" s="803" t="s">
        <v>191</v>
      </c>
      <c r="B1549" s="804" t="s">
        <v>26</v>
      </c>
      <c r="C1549" s="805" t="str">
        <f>IF(B1567="","",INDEX(NXetHKI!$B$3:$CL$57,MATCH(InNXKI!B1567,NXetHKI!$B$3:$B$57,0),INDEX($J$12:$K$25,MATCH($B1549,$I$12:$I$25,0),J$11)))</f>
        <v/>
      </c>
      <c r="D1549" s="1161" t="str">
        <f>IF(B1567="","",INDEX(NXetHKI!$B$3:$CL$57,MATCH(InNXKI!B1567,NXetHKI!$B$3:$B$57,0),INDEX($J$12:$K$25,MATCH($B1549,$I$12:$I$25,0),K$11)))</f>
        <v/>
      </c>
      <c r="E1549" s="1162"/>
      <c r="F1549" s="805"/>
      <c r="H1549" s="64"/>
      <c r="I1549" s="64"/>
    </row>
    <row r="1550" spans="1:9" ht="32.25" customHeight="1">
      <c r="A1550" s="803" t="s">
        <v>192</v>
      </c>
      <c r="B1550" s="804" t="s">
        <v>27</v>
      </c>
      <c r="C1550" s="805" t="str">
        <f>IF(B1567="","",INDEX(NXetHKI!$B$3:$CL$57,MATCH(InNXKI!B1567,NXetHKI!$B$3:$B$57,0),INDEX($J$12:$K$25,MATCH($B1550,$I$12:$I$25,0),J$11)))</f>
        <v/>
      </c>
      <c r="D1550" s="1161" t="str">
        <f>IF(B1567="","",INDEX(NXetHKI!$B$3:$CL$57,MATCH(InNXKI!B1567,NXetHKI!$B$3:$B$57,0),INDEX($J$12:$K$25,MATCH($B1550,$I$12:$I$25,0),K$11)))</f>
        <v/>
      </c>
      <c r="E1550" s="1162"/>
      <c r="F1550" s="805"/>
      <c r="H1550" s="64"/>
      <c r="I1550" s="64"/>
    </row>
    <row r="1551" spans="1:9" ht="32.25" customHeight="1">
      <c r="A1551" s="803" t="s">
        <v>193</v>
      </c>
      <c r="B1551" s="804" t="s">
        <v>28</v>
      </c>
      <c r="C1551" s="805" t="str">
        <f>IF(B1567="","",INDEX(NXetHKI!$B$3:$CL$57,MATCH(InNXKI!B1567,NXetHKI!$B$3:$B$57,0),INDEX($J$12:$K$25,MATCH($B1551,$I$12:$I$25,0),J$11)))</f>
        <v/>
      </c>
      <c r="D1551" s="1161" t="str">
        <f>IF(B1567="","",INDEX(NXetHKI!$B$3:$CL$57,MATCH(InNXKI!B1567,NXetHKI!$B$3:$B$57,0),INDEX($J$12:$K$25,MATCH($B1551,$I$12:$I$25,0),K$11)))</f>
        <v/>
      </c>
      <c r="E1551" s="1162"/>
      <c r="F1551" s="805"/>
      <c r="H1551" s="64"/>
      <c r="I1551" s="64"/>
    </row>
    <row r="1552" spans="1:9" ht="32.25" customHeight="1">
      <c r="A1552" s="803" t="s">
        <v>194</v>
      </c>
      <c r="B1552" s="804" t="s">
        <v>29</v>
      </c>
      <c r="C1552" s="805" t="str">
        <f>IF(B1567="","",INDEX(NXetHKI!$B$3:$CL$57,MATCH(InNXKI!B1567,NXetHKI!$B$3:$B$57,0),INDEX($J$12:$K$25,MATCH($B1552,$I$12:$I$25,0),J$11)))</f>
        <v/>
      </c>
      <c r="D1552" s="1161" t="str">
        <f>IF(B1567="","",INDEX(NXetHKI!$B$3:$CL$57,MATCH(InNXKI!B1567,NXetHKI!$B$3:$B$57,0),INDEX($J$12:$K$25,MATCH($B1552,$I$12:$I$25,0),K$11)))</f>
        <v/>
      </c>
      <c r="E1552" s="1162"/>
      <c r="F1552" s="805"/>
      <c r="H1552" s="64"/>
      <c r="I1552" s="64"/>
    </row>
    <row r="1553" spans="1:9" ht="32.25" customHeight="1">
      <c r="A1553" s="803" t="s">
        <v>195</v>
      </c>
      <c r="B1553" s="804" t="s">
        <v>120</v>
      </c>
      <c r="C1553" s="805" t="str">
        <f>IF(B1567="","",INDEX(NXetHKI!$B$3:$CL$57,MATCH(InNXKI!B1567,NXetHKI!$B$3:$B$57,0),INDEX($J$12:$K$25,MATCH($B1553,$I$12:$I$25,0),J$11)))</f>
        <v/>
      </c>
      <c r="D1553" s="1161" t="str">
        <f>IF(B1567="","",INDEX(NXetHKI!$B$3:$CL$57,MATCH(InNXKI!B1567,NXetHKI!$B$3:$B$57,0),INDEX($J$12:$K$25,MATCH($B1553,$I$12:$I$25,0),K$11)))</f>
        <v/>
      </c>
      <c r="E1553" s="1162"/>
      <c r="F1553" s="805"/>
      <c r="H1553" s="64"/>
      <c r="I1553" s="64"/>
    </row>
    <row r="1554" spans="1:9" ht="32.25" customHeight="1">
      <c r="A1554" s="803" t="s">
        <v>196</v>
      </c>
      <c r="B1554" s="804" t="s">
        <v>30</v>
      </c>
      <c r="C1554" s="805" t="str">
        <f>IF(B1567="","",INDEX(NXetHKI!$B$3:$CL$57,MATCH(InNXKI!B1567,NXetHKI!$B$3:$B$57,0),INDEX($J$12:$K$25,MATCH($B1554,$I$12:$I$25,0),J$11)))</f>
        <v/>
      </c>
      <c r="D1554" s="1161" t="str">
        <f>IF(B1567="","",INDEX(NXetHKI!$B$3:$CL$57,MATCH(InNXKI!B1567,NXetHKI!$B$3:$B$57,0),INDEX($J$12:$K$25,MATCH($B1554,$I$12:$I$25,0),K$11)))</f>
        <v/>
      </c>
      <c r="E1554" s="1162"/>
      <c r="F1554" s="805"/>
      <c r="H1554" s="64"/>
      <c r="I1554" s="64"/>
    </row>
    <row r="1555" spans="1:9" ht="32.25" customHeight="1">
      <c r="A1555" s="803" t="s">
        <v>197</v>
      </c>
      <c r="B1555" s="804" t="s">
        <v>31</v>
      </c>
      <c r="C1555" s="805" t="str">
        <f>IF(B1567="","",INDEX(NXetHKI!$B$3:$CL$57,MATCH(InNXKI!B1567,NXetHKI!$B$3:$B$57,0),INDEX($J$12:$K$25,MATCH($B1555,$I$12:$I$25,0),J$11)))</f>
        <v/>
      </c>
      <c r="D1555" s="1161" t="str">
        <f>IF(B1567="","",INDEX(NXetHKI!$B$3:$CL$57,MATCH(InNXKI!B1567,NXetHKI!$B$3:$B$57,0),INDEX($J$12:$K$25,MATCH($B1555,$I$12:$I$25,0),K$11)))</f>
        <v/>
      </c>
      <c r="E1555" s="1162"/>
      <c r="F1555" s="805"/>
      <c r="H1555" s="64"/>
      <c r="I1555" s="64"/>
    </row>
    <row r="1556" spans="1:9" ht="32.25" customHeight="1">
      <c r="A1556" s="803" t="s">
        <v>198</v>
      </c>
      <c r="B1556" s="804" t="s">
        <v>32</v>
      </c>
      <c r="C1556" s="805" t="str">
        <f>IF(B1567="","",INDEX(NXetHKI!$B$3:$CL$57,MATCH(InNXKI!B1567,NXetHKI!$B$3:$B$57,0),INDEX($J$12:$K$25,MATCH($B1556,$I$12:$I$25,0),J$11)))</f>
        <v/>
      </c>
      <c r="D1556" s="1161" t="str">
        <f>IF(B1567="","",INDEX(NXetHKI!$B$3:$CL$57,MATCH(InNXKI!B1567,NXetHKI!$B$3:$B$57,0),INDEX($J$12:$K$25,MATCH($B1556,$I$12:$I$25,0),K$11)))</f>
        <v/>
      </c>
      <c r="E1556" s="1162"/>
      <c r="F1556" s="805"/>
      <c r="H1556" s="64"/>
      <c r="I1556" s="64"/>
    </row>
    <row r="1557" spans="1:9" ht="32.25" customHeight="1">
      <c r="A1557" s="803" t="s">
        <v>199</v>
      </c>
      <c r="B1557" s="804" t="s">
        <v>33</v>
      </c>
      <c r="C1557" s="805" t="str">
        <f>IF(B1567="","",INDEX(NXetHKI!$B$3:$CL$57,MATCH(InNXKI!B1567,NXetHKI!$B$3:$B$57,0),INDEX($J$12:$K$25,MATCH($B1557,$I$12:$I$25,0),J$11)))</f>
        <v/>
      </c>
      <c r="D1557" s="1161" t="str">
        <f>IF(B1567="","",INDEX(NXetHKI!$B$3:$CL$57,MATCH(InNXKI!B1567,NXetHKI!$B$3:$B$57,0),INDEX($J$12:$K$25,MATCH($B1557,$I$12:$I$25,0),K$11)))</f>
        <v/>
      </c>
      <c r="E1557" s="1162"/>
      <c r="F1557" s="805"/>
      <c r="H1557" s="64"/>
      <c r="I1557" s="64"/>
    </row>
    <row r="1558" spans="1:9" ht="32.25" customHeight="1">
      <c r="A1558" s="803" t="s">
        <v>200</v>
      </c>
      <c r="B1558" s="804" t="s">
        <v>60</v>
      </c>
      <c r="C1558" s="805" t="str">
        <f>IF(B1567="","",INDEX(NXetHKI!$B$3:$CL$57,MATCH(InNXKI!B1567,NXetHKI!$B$3:$B$57,0),INDEX($J$12:$K$25,MATCH($B1558,$I$12:$I$25,0),J$11)))</f>
        <v/>
      </c>
      <c r="D1558" s="1161" t="str">
        <f>IF(B1567="","",INDEX(NXetHKI!$B$3:$CL$57,MATCH(InNXKI!B1567,NXetHKI!$B$3:$B$57,0),INDEX($J$12:$K$25,MATCH($B1558,$I$12:$I$25,0),K$11)))</f>
        <v/>
      </c>
      <c r="E1558" s="1162"/>
      <c r="F1558" s="805"/>
      <c r="H1558" s="64"/>
      <c r="I1558" s="64"/>
    </row>
    <row r="1559" spans="1:9" ht="32.25" customHeight="1">
      <c r="A1559" s="803" t="s">
        <v>201</v>
      </c>
      <c r="B1559" s="804" t="s">
        <v>34</v>
      </c>
      <c r="C1559" s="805" t="str">
        <f>IF(B1567="","",INDEX(NXetHKI!$B$3:$CL$57,MATCH(InNXKI!B1567,NXetHKI!$B$3:$B$57,0),INDEX($J$12:$K$25,MATCH($B1559,$I$12:$I$25,0),J$11)))</f>
        <v/>
      </c>
      <c r="D1559" s="1161" t="str">
        <f>IF(B1567="","",INDEX(NXetHKI!$B$3:$CL$57,MATCH(InNXKI!B1567,NXetHKI!$B$3:$B$57,0),INDEX($J$12:$K$25,MATCH($B1559,$I$12:$I$25,0),K$11)))</f>
        <v/>
      </c>
      <c r="E1559" s="1162"/>
      <c r="F1559" s="805"/>
      <c r="H1559" s="64"/>
      <c r="I1559" s="64"/>
    </row>
    <row r="1560" spans="1:9" ht="32.25" customHeight="1">
      <c r="A1560" s="803" t="s">
        <v>202</v>
      </c>
      <c r="B1560" s="804" t="s">
        <v>35</v>
      </c>
      <c r="C1560" s="805" t="str">
        <f>IF(B1567="","",INDEX(NXetHKI!$B$3:$CL$57,MATCH(InNXKI!B1567,NXetHKI!$B$3:$B$57,0),INDEX($J$12:$K$25,MATCH($B1560,$I$12:$I$25,0),J$11)))</f>
        <v/>
      </c>
      <c r="D1560" s="1161" t="str">
        <f>IF(B1567="","",INDEX(NXetHKI!$B$3:$CL$57,MATCH(InNXKI!B1567,NXetHKI!$B$3:$B$57,0),INDEX($J$12:$K$25,MATCH($B1560,$I$12:$I$25,0),K$11)))</f>
        <v/>
      </c>
      <c r="E1560" s="1162"/>
      <c r="F1560" s="805"/>
      <c r="H1560" s="64"/>
      <c r="I1560" s="64"/>
    </row>
    <row r="1561" spans="1:9" ht="32.25" customHeight="1">
      <c r="A1561" s="803" t="s">
        <v>203</v>
      </c>
      <c r="B1561" s="804" t="s">
        <v>121</v>
      </c>
      <c r="C1561" s="805" t="str">
        <f>IF(B1567="","",INDEX(NXetHKI!$B$3:$CL$57,MATCH(InNXKI!B1567,NXetHKI!$B$3:$B$57,0),INDEX($J$12:$K$25,MATCH($B1561,$I$12:$I$25,0),J$11)))</f>
        <v/>
      </c>
      <c r="D1561" s="1161" t="str">
        <f>IF(B1567="","",INDEX(NXetHKI!$B$3:$CL$57,MATCH(InNXKI!B1567,NXetHKI!$B$3:$B$57,0),INDEX($J$12:$K$25,MATCH($B1561,$I$12:$I$25,0),K$11)))</f>
        <v/>
      </c>
      <c r="E1561" s="1162"/>
      <c r="F1561" s="805"/>
      <c r="H1561" s="64"/>
      <c r="I1561" s="64"/>
    </row>
    <row r="1562" spans="1:9" ht="32.25" customHeight="1">
      <c r="A1562" s="803">
        <v>14</v>
      </c>
      <c r="B1562" s="804" t="s">
        <v>122</v>
      </c>
      <c r="C1562" s="805" t="str">
        <f>IF(B1567="","",INDEX(NXetHKI!$B$3:$CL$57,MATCH(InNXKI!B1567,NXetHKI!$B$3:$B$57,0),INDEX($J$12:$K$25,MATCH($B1562,$I$12:$I$25,0),J$11)))</f>
        <v/>
      </c>
      <c r="D1562" s="1161" t="str">
        <f>IF(B1567="","",INDEX(NXetHKI!$B$3:$CL$57,MATCH(InNXKI!B1567,NXetHKI!$B$3:$B$57,0),INDEX($J$12:$K$25,MATCH($B1562,$I$12:$I$25,0),K$11)))</f>
        <v/>
      </c>
      <c r="E1562" s="1162"/>
      <c r="F1562" s="805"/>
      <c r="H1562" s="64"/>
    </row>
    <row r="1563" spans="1:9" ht="12" customHeight="1"/>
    <row r="1564" spans="1:9" ht="21.75" customHeight="1">
      <c r="D1564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564" s="1163"/>
      <c r="F1564" s="1163"/>
    </row>
    <row r="1565" spans="1:9">
      <c r="D1565" s="992" t="s">
        <v>377</v>
      </c>
      <c r="E1565" s="992"/>
      <c r="F1565" s="992"/>
    </row>
    <row r="1566" spans="1:9" ht="81" customHeight="1">
      <c r="D1566" s="923" t="str">
        <f>IF('Huong dan'!$E$5="","",'Huong dan'!$E$5)</f>
        <v/>
      </c>
      <c r="E1566" s="923"/>
      <c r="F1566" s="923"/>
    </row>
    <row r="1567" spans="1:9">
      <c r="A1567" s="811"/>
      <c r="B1567" s="711" t="str">
        <f>IF(B1538="","",IF(B1538&lt;MAX(NXetHKI!$B$3:$B$57),B1538+1,""))</f>
        <v/>
      </c>
      <c r="C1567" s="811"/>
      <c r="D1567" s="1157"/>
      <c r="E1567" s="1157"/>
      <c r="F1567" s="1157"/>
    </row>
    <row r="1568" spans="1:9" s="60" customFormat="1" ht="24.75" customHeight="1">
      <c r="A1568" s="1128" t="str">
        <f>IF('Huong dan'!$E$3&lt;&gt;"","SỞ GIÁO DỤC VÀ ĐÀO TẠO "&amp;UPPER('Huong dan'!$E$3),"")</f>
        <v>SỞ GIÁO DỤC VÀ ĐÀO TẠO TP. HỒ CHÍ MINH</v>
      </c>
      <c r="B1568" s="1128"/>
      <c r="C1568" s="1128"/>
      <c r="D1568" s="1128"/>
      <c r="E1568" s="1129" t="s">
        <v>19</v>
      </c>
      <c r="F1568" s="1129"/>
    </row>
    <row r="1569" spans="1:9" ht="17.25" customHeight="1">
      <c r="A1569" s="992" t="str">
        <f>IF('Huong dan'!$E$4&lt;&gt;"","TRƯỜNG "&amp;UPPER('Huong dan'!$E$4),"")</f>
        <v>TRƯỜNG THCS VÀ THPT NGUYỄN KHUYẾN</v>
      </c>
      <c r="B1569" s="992"/>
      <c r="C1569" s="992"/>
      <c r="D1569" s="992"/>
      <c r="E1569" s="1130" t="s">
        <v>179</v>
      </c>
      <c r="F1569" s="1130"/>
    </row>
    <row r="1570" spans="1:9" ht="20.25" customHeight="1">
      <c r="A1570" s="69"/>
      <c r="B1570" s="69"/>
      <c r="C1570" s="30"/>
      <c r="D1570" s="30"/>
    </row>
    <row r="1571" spans="1:9" ht="28.5" customHeight="1">
      <c r="A1571" s="1164" t="s">
        <v>567</v>
      </c>
      <c r="B1571" s="1164"/>
      <c r="C1571" s="1164"/>
      <c r="D1571" s="1164"/>
      <c r="E1571" s="1164"/>
      <c r="F1571" s="1164"/>
    </row>
    <row r="1572" spans="1:9" ht="24.75" customHeight="1">
      <c r="A1572" s="1164" t="str">
        <f>"HỌC KỲ I NĂM HỌC "&amp;'Huong dan'!$C$5</f>
        <v>HỌC KỲ I NĂM HỌC 2021 - 2022</v>
      </c>
      <c r="B1572" s="1164"/>
      <c r="C1572" s="1164"/>
      <c r="D1572" s="1164"/>
      <c r="E1572" s="1164"/>
      <c r="F1572" s="1164"/>
    </row>
    <row r="1573" spans="1:9" ht="14.25" customHeight="1">
      <c r="A1573" s="70"/>
      <c r="B1573" s="66"/>
      <c r="C1573" s="66"/>
      <c r="D1573" s="66"/>
      <c r="E1573" s="66"/>
      <c r="F1573" s="66"/>
    </row>
    <row r="1574" spans="1:9" ht="18.75" customHeight="1">
      <c r="A1574" s="1158" t="s">
        <v>212</v>
      </c>
      <c r="B1574" s="1158"/>
      <c r="C1574" s="1158"/>
      <c r="D1574" s="77" t="str">
        <f>IF(B1596="","",INDEX(NXetHKI!$B$3:$CL$57,MATCH(InNXKI!B1596,NXetHKI!$B$3:$B$57,0),3)&amp;" "&amp;INDEX(NXetHKI!$B$3:$CL$57,MATCH(InNXKI!B1596,NXetHKI!$B$3:$B$57,0),4))</f>
        <v/>
      </c>
      <c r="E1574" s="77"/>
      <c r="F1574" s="77" t="str">
        <f>IF('Huong dan'!$C$3="","","Lớp: "&amp;'Huong dan'!$C$3)</f>
        <v>Lớp: 12A1</v>
      </c>
    </row>
    <row r="1575" spans="1:9" ht="18.75" customHeight="1">
      <c r="A1575" s="1158" t="s">
        <v>213</v>
      </c>
      <c r="B1575" s="1158"/>
      <c r="C1575" s="1158"/>
      <c r="D1575" s="77" t="str">
        <f>INDEX(NXetHKI!$B$3:$CL$57,MATCH(InNXKI!B1596,NXetHKI!$B$3:$B$57,0),5)</f>
        <v/>
      </c>
      <c r="E1575" s="77"/>
      <c r="F1575" s="841" t="str">
        <f>IF(B1596="","","Nơi sinh: "&amp;INDEX(DiemHKI!$G$4:$G$58,MATCH(InNXKI!B1596,DiemHKI!$B$4:$B$58,0),1))</f>
        <v/>
      </c>
    </row>
    <row r="1576" spans="1:9" ht="9.75" customHeight="1">
      <c r="A1576" s="62"/>
      <c r="B1576" s="62"/>
      <c r="C1576" s="62"/>
      <c r="D1576" s="62"/>
      <c r="E1576" s="62"/>
      <c r="F1576" s="62"/>
    </row>
    <row r="1577" spans="1:9" ht="34.5" customHeight="1">
      <c r="A1577" s="801" t="s">
        <v>0</v>
      </c>
      <c r="B1577" s="801" t="s">
        <v>59</v>
      </c>
      <c r="C1577" s="806" t="s">
        <v>360</v>
      </c>
      <c r="D1577" s="1159" t="s">
        <v>568</v>
      </c>
      <c r="E1577" s="1160"/>
      <c r="F1577" s="802" t="s">
        <v>569</v>
      </c>
    </row>
    <row r="1578" spans="1:9" ht="32.25" customHeight="1">
      <c r="A1578" s="803" t="s">
        <v>191</v>
      </c>
      <c r="B1578" s="804" t="s">
        <v>26</v>
      </c>
      <c r="C1578" s="805" t="str">
        <f>IF(B1596="","",INDEX(NXetHKI!$B$3:$CL$57,MATCH(InNXKI!B1596,NXetHKI!$B$3:$B$57,0),INDEX($J$12:$K$25,MATCH($B1578,$I$12:$I$25,0),J$11)))</f>
        <v/>
      </c>
      <c r="D1578" s="1161" t="str">
        <f>IF(B1596="","",INDEX(NXetHKI!$B$3:$CL$57,MATCH(InNXKI!B1596,NXetHKI!$B$3:$B$57,0),INDEX($J$12:$K$25,MATCH($B1578,$I$12:$I$25,0),K$11)))</f>
        <v/>
      </c>
      <c r="E1578" s="1162"/>
      <c r="F1578" s="805"/>
      <c r="H1578" s="64"/>
      <c r="I1578" s="64"/>
    </row>
    <row r="1579" spans="1:9" ht="32.25" customHeight="1">
      <c r="A1579" s="803" t="s">
        <v>192</v>
      </c>
      <c r="B1579" s="804" t="s">
        <v>27</v>
      </c>
      <c r="C1579" s="805" t="str">
        <f>IF(B1596="","",INDEX(NXetHKI!$B$3:$CL$57,MATCH(InNXKI!B1596,NXetHKI!$B$3:$B$57,0),INDEX($J$12:$K$25,MATCH($B1579,$I$12:$I$25,0),J$11)))</f>
        <v/>
      </c>
      <c r="D1579" s="1161" t="str">
        <f>IF(B1596="","",INDEX(NXetHKI!$B$3:$CL$57,MATCH(InNXKI!B1596,NXetHKI!$B$3:$B$57,0),INDEX($J$12:$K$25,MATCH($B1579,$I$12:$I$25,0),K$11)))</f>
        <v/>
      </c>
      <c r="E1579" s="1162"/>
      <c r="F1579" s="805"/>
      <c r="H1579" s="64"/>
      <c r="I1579" s="64"/>
    </row>
    <row r="1580" spans="1:9" ht="32.25" customHeight="1">
      <c r="A1580" s="803" t="s">
        <v>193</v>
      </c>
      <c r="B1580" s="804" t="s">
        <v>28</v>
      </c>
      <c r="C1580" s="805" t="str">
        <f>IF(B1596="","",INDEX(NXetHKI!$B$3:$CL$57,MATCH(InNXKI!B1596,NXetHKI!$B$3:$B$57,0),INDEX($J$12:$K$25,MATCH($B1580,$I$12:$I$25,0),J$11)))</f>
        <v/>
      </c>
      <c r="D1580" s="1161" t="str">
        <f>IF(B1596="","",INDEX(NXetHKI!$B$3:$CL$57,MATCH(InNXKI!B1596,NXetHKI!$B$3:$B$57,0),INDEX($J$12:$K$25,MATCH($B1580,$I$12:$I$25,0),K$11)))</f>
        <v/>
      </c>
      <c r="E1580" s="1162"/>
      <c r="F1580" s="805"/>
      <c r="H1580" s="64"/>
      <c r="I1580" s="64"/>
    </row>
    <row r="1581" spans="1:9" ht="32.25" customHeight="1">
      <c r="A1581" s="803" t="s">
        <v>194</v>
      </c>
      <c r="B1581" s="804" t="s">
        <v>29</v>
      </c>
      <c r="C1581" s="805" t="str">
        <f>IF(B1596="","",INDEX(NXetHKI!$B$3:$CL$57,MATCH(InNXKI!B1596,NXetHKI!$B$3:$B$57,0),INDEX($J$12:$K$25,MATCH($B1581,$I$12:$I$25,0),J$11)))</f>
        <v/>
      </c>
      <c r="D1581" s="1161" t="str">
        <f>IF(B1596="","",INDEX(NXetHKI!$B$3:$CL$57,MATCH(InNXKI!B1596,NXetHKI!$B$3:$B$57,0),INDEX($J$12:$K$25,MATCH($B1581,$I$12:$I$25,0),K$11)))</f>
        <v/>
      </c>
      <c r="E1581" s="1162"/>
      <c r="F1581" s="805"/>
      <c r="H1581" s="64"/>
      <c r="I1581" s="64"/>
    </row>
    <row r="1582" spans="1:9" ht="32.25" customHeight="1">
      <c r="A1582" s="803" t="s">
        <v>195</v>
      </c>
      <c r="B1582" s="804" t="s">
        <v>120</v>
      </c>
      <c r="C1582" s="805" t="str">
        <f>IF(B1596="","",INDEX(NXetHKI!$B$3:$CL$57,MATCH(InNXKI!B1596,NXetHKI!$B$3:$B$57,0),INDEX($J$12:$K$25,MATCH($B1582,$I$12:$I$25,0),J$11)))</f>
        <v/>
      </c>
      <c r="D1582" s="1161" t="str">
        <f>IF(B1596="","",INDEX(NXetHKI!$B$3:$CL$57,MATCH(InNXKI!B1596,NXetHKI!$B$3:$B$57,0),INDEX($J$12:$K$25,MATCH($B1582,$I$12:$I$25,0),K$11)))</f>
        <v/>
      </c>
      <c r="E1582" s="1162"/>
      <c r="F1582" s="805"/>
      <c r="H1582" s="64"/>
      <c r="I1582" s="64"/>
    </row>
    <row r="1583" spans="1:9" ht="32.25" customHeight="1">
      <c r="A1583" s="803" t="s">
        <v>196</v>
      </c>
      <c r="B1583" s="804" t="s">
        <v>30</v>
      </c>
      <c r="C1583" s="805" t="str">
        <f>IF(B1596="","",INDEX(NXetHKI!$B$3:$CL$57,MATCH(InNXKI!B1596,NXetHKI!$B$3:$B$57,0),INDEX($J$12:$K$25,MATCH($B1583,$I$12:$I$25,0),J$11)))</f>
        <v/>
      </c>
      <c r="D1583" s="1161" t="str">
        <f>IF(B1596="","",INDEX(NXetHKI!$B$3:$CL$57,MATCH(InNXKI!B1596,NXetHKI!$B$3:$B$57,0),INDEX($J$12:$K$25,MATCH($B1583,$I$12:$I$25,0),K$11)))</f>
        <v/>
      </c>
      <c r="E1583" s="1162"/>
      <c r="F1583" s="805"/>
      <c r="H1583" s="64"/>
      <c r="I1583" s="64"/>
    </row>
    <row r="1584" spans="1:9" ht="32.25" customHeight="1">
      <c r="A1584" s="803" t="s">
        <v>197</v>
      </c>
      <c r="B1584" s="804" t="s">
        <v>31</v>
      </c>
      <c r="C1584" s="805" t="str">
        <f>IF(B1596="","",INDEX(NXetHKI!$B$3:$CL$57,MATCH(InNXKI!B1596,NXetHKI!$B$3:$B$57,0),INDEX($J$12:$K$25,MATCH($B1584,$I$12:$I$25,0),J$11)))</f>
        <v/>
      </c>
      <c r="D1584" s="1161" t="str">
        <f>IF(B1596="","",INDEX(NXetHKI!$B$3:$CL$57,MATCH(InNXKI!B1596,NXetHKI!$B$3:$B$57,0),INDEX($J$12:$K$25,MATCH($B1584,$I$12:$I$25,0),K$11)))</f>
        <v/>
      </c>
      <c r="E1584" s="1162"/>
      <c r="F1584" s="805"/>
      <c r="H1584" s="64"/>
      <c r="I1584" s="64"/>
    </row>
    <row r="1585" spans="1:9" ht="32.25" customHeight="1">
      <c r="A1585" s="803" t="s">
        <v>198</v>
      </c>
      <c r="B1585" s="804" t="s">
        <v>32</v>
      </c>
      <c r="C1585" s="805" t="str">
        <f>IF(B1596="","",INDEX(NXetHKI!$B$3:$CL$57,MATCH(InNXKI!B1596,NXetHKI!$B$3:$B$57,0),INDEX($J$12:$K$25,MATCH($B1585,$I$12:$I$25,0),J$11)))</f>
        <v/>
      </c>
      <c r="D1585" s="1161" t="str">
        <f>IF(B1596="","",INDEX(NXetHKI!$B$3:$CL$57,MATCH(InNXKI!B1596,NXetHKI!$B$3:$B$57,0),INDEX($J$12:$K$25,MATCH($B1585,$I$12:$I$25,0),K$11)))</f>
        <v/>
      </c>
      <c r="E1585" s="1162"/>
      <c r="F1585" s="805"/>
      <c r="H1585" s="64"/>
      <c r="I1585" s="64"/>
    </row>
    <row r="1586" spans="1:9" ht="32.25" customHeight="1">
      <c r="A1586" s="803" t="s">
        <v>199</v>
      </c>
      <c r="B1586" s="804" t="s">
        <v>33</v>
      </c>
      <c r="C1586" s="805" t="str">
        <f>IF(B1596="","",INDEX(NXetHKI!$B$3:$CL$57,MATCH(InNXKI!B1596,NXetHKI!$B$3:$B$57,0),INDEX($J$12:$K$25,MATCH($B1586,$I$12:$I$25,0),J$11)))</f>
        <v/>
      </c>
      <c r="D1586" s="1161" t="str">
        <f>IF(B1596="","",INDEX(NXetHKI!$B$3:$CL$57,MATCH(InNXKI!B1596,NXetHKI!$B$3:$B$57,0),INDEX($J$12:$K$25,MATCH($B1586,$I$12:$I$25,0),K$11)))</f>
        <v/>
      </c>
      <c r="E1586" s="1162"/>
      <c r="F1586" s="805"/>
      <c r="H1586" s="64"/>
      <c r="I1586" s="64"/>
    </row>
    <row r="1587" spans="1:9" ht="32.25" customHeight="1">
      <c r="A1587" s="803" t="s">
        <v>200</v>
      </c>
      <c r="B1587" s="804" t="s">
        <v>60</v>
      </c>
      <c r="C1587" s="805" t="str">
        <f>IF(B1596="","",INDEX(NXetHKI!$B$3:$CL$57,MATCH(InNXKI!B1596,NXetHKI!$B$3:$B$57,0),INDEX($J$12:$K$25,MATCH($B1587,$I$12:$I$25,0),J$11)))</f>
        <v/>
      </c>
      <c r="D1587" s="1161" t="str">
        <f>IF(B1596="","",INDEX(NXetHKI!$B$3:$CL$57,MATCH(InNXKI!B1596,NXetHKI!$B$3:$B$57,0),INDEX($J$12:$K$25,MATCH($B1587,$I$12:$I$25,0),K$11)))</f>
        <v/>
      </c>
      <c r="E1587" s="1162"/>
      <c r="F1587" s="805"/>
      <c r="H1587" s="64"/>
      <c r="I1587" s="64"/>
    </row>
    <row r="1588" spans="1:9" ht="32.25" customHeight="1">
      <c r="A1588" s="803" t="s">
        <v>201</v>
      </c>
      <c r="B1588" s="804" t="s">
        <v>34</v>
      </c>
      <c r="C1588" s="805" t="str">
        <f>IF(B1596="","",INDEX(NXetHKI!$B$3:$CL$57,MATCH(InNXKI!B1596,NXetHKI!$B$3:$B$57,0),INDEX($J$12:$K$25,MATCH($B1588,$I$12:$I$25,0),J$11)))</f>
        <v/>
      </c>
      <c r="D1588" s="1161" t="str">
        <f>IF(B1596="","",INDEX(NXetHKI!$B$3:$CL$57,MATCH(InNXKI!B1596,NXetHKI!$B$3:$B$57,0),INDEX($J$12:$K$25,MATCH($B1588,$I$12:$I$25,0),K$11)))</f>
        <v/>
      </c>
      <c r="E1588" s="1162"/>
      <c r="F1588" s="805"/>
      <c r="H1588" s="64"/>
      <c r="I1588" s="64"/>
    </row>
    <row r="1589" spans="1:9" ht="32.25" customHeight="1">
      <c r="A1589" s="803" t="s">
        <v>202</v>
      </c>
      <c r="B1589" s="804" t="s">
        <v>35</v>
      </c>
      <c r="C1589" s="805" t="str">
        <f>IF(B1596="","",INDEX(NXetHKI!$B$3:$CL$57,MATCH(InNXKI!B1596,NXetHKI!$B$3:$B$57,0),INDEX($J$12:$K$25,MATCH($B1589,$I$12:$I$25,0),J$11)))</f>
        <v/>
      </c>
      <c r="D1589" s="1161" t="str">
        <f>IF(B1596="","",INDEX(NXetHKI!$B$3:$CL$57,MATCH(InNXKI!B1596,NXetHKI!$B$3:$B$57,0),INDEX($J$12:$K$25,MATCH($B1589,$I$12:$I$25,0),K$11)))</f>
        <v/>
      </c>
      <c r="E1589" s="1162"/>
      <c r="F1589" s="805"/>
      <c r="H1589" s="64"/>
      <c r="I1589" s="64"/>
    </row>
    <row r="1590" spans="1:9" ht="32.25" customHeight="1">
      <c r="A1590" s="803" t="s">
        <v>203</v>
      </c>
      <c r="B1590" s="804" t="s">
        <v>121</v>
      </c>
      <c r="C1590" s="805" t="str">
        <f>IF(B1596="","",INDEX(NXetHKI!$B$3:$CL$57,MATCH(InNXKI!B1596,NXetHKI!$B$3:$B$57,0),INDEX($J$12:$K$25,MATCH($B1590,$I$12:$I$25,0),J$11)))</f>
        <v/>
      </c>
      <c r="D1590" s="1161" t="str">
        <f>IF(B1596="","",INDEX(NXetHKI!$B$3:$CL$57,MATCH(InNXKI!B1596,NXetHKI!$B$3:$B$57,0),INDEX($J$12:$K$25,MATCH($B1590,$I$12:$I$25,0),K$11)))</f>
        <v/>
      </c>
      <c r="E1590" s="1162"/>
      <c r="F1590" s="805"/>
      <c r="H1590" s="64"/>
      <c r="I1590" s="64"/>
    </row>
    <row r="1591" spans="1:9" ht="32.25" customHeight="1">
      <c r="A1591" s="803">
        <v>14</v>
      </c>
      <c r="B1591" s="804" t="s">
        <v>122</v>
      </c>
      <c r="C1591" s="805" t="str">
        <f>IF(B1596="","",INDEX(NXetHKI!$B$3:$CL$57,MATCH(InNXKI!B1596,NXetHKI!$B$3:$B$57,0),INDEX($J$12:$K$25,MATCH($B1591,$I$12:$I$25,0),J$11)))</f>
        <v/>
      </c>
      <c r="D1591" s="1161" t="str">
        <f>IF(B1596="","",INDEX(NXetHKI!$B$3:$CL$57,MATCH(InNXKI!B1596,NXetHKI!$B$3:$B$57,0),INDEX($J$12:$K$25,MATCH($B1591,$I$12:$I$25,0),K$11)))</f>
        <v/>
      </c>
      <c r="E1591" s="1162"/>
      <c r="F1591" s="805"/>
      <c r="H1591" s="64"/>
    </row>
    <row r="1592" spans="1:9" ht="12" customHeight="1"/>
    <row r="1593" spans="1:9" ht="21.75" customHeight="1">
      <c r="D1593" s="1163" t="str">
        <f ca="1">'Huong dan'!$E$3&amp;IF($F$1="", ", ngày " &amp;IF(DAY(NOW())&lt;10,"0"&amp;DAY(NOW()),DAY(NOW()))&amp;"  tháng "&amp;IF(MONTH(NOW())&lt;3,"0"&amp;MONTH(NOW()),MONTH(NOW()))&amp;" năm "&amp;YEAR(NOW()),", ngày "&amp;IF(DAY($F$1)&lt;10,"0"&amp;DAY($F$1),DAY($F$1))&amp;" tháng "&amp;IF(MONTH($F$1)&lt;3,"0"&amp;MONTH($F$1),MONTH($F$1))&amp;" năm "&amp;YEAR($F$1))</f>
        <v>TP. Hồ Chí Minh, ngày 08  tháng 10 năm 2022</v>
      </c>
      <c r="E1593" s="1163"/>
      <c r="F1593" s="1163"/>
    </row>
    <row r="1594" spans="1:9">
      <c r="D1594" s="992" t="s">
        <v>377</v>
      </c>
      <c r="E1594" s="992"/>
      <c r="F1594" s="992"/>
    </row>
    <row r="1595" spans="1:9" ht="81" customHeight="1">
      <c r="D1595" s="923" t="str">
        <f>IF('Huong dan'!$E$5="","",'Huong dan'!$E$5)</f>
        <v/>
      </c>
      <c r="E1595" s="923"/>
      <c r="F1595" s="923"/>
    </row>
    <row r="1596" spans="1:9">
      <c r="A1596" s="811"/>
      <c r="B1596" s="711" t="str">
        <f>IF(B1567="","",IF(B1567&lt;MAX(NXetHKI!$B$3:$B$57),B1567+1,""))</f>
        <v/>
      </c>
      <c r="C1596" s="811"/>
      <c r="D1596" s="1157"/>
      <c r="E1596" s="1157"/>
      <c r="F1596" s="1157"/>
    </row>
    <row r="1598" spans="1:9">
      <c r="C1598" s="90"/>
      <c r="D1598" s="90"/>
      <c r="E1598" s="90"/>
    </row>
    <row r="1599" spans="1:9">
      <c r="C1599" s="90"/>
      <c r="D1599" s="90"/>
      <c r="E1599" s="90"/>
    </row>
  </sheetData>
  <sheetProtection algorithmName="SHA-512" hashValue="qdY/xyvpVn/8YbIlWMRRq8zsN8WqR0Lr94yVVNojOrx3jBAB02HbJAV5yPw5xzpk+ciXOTLN/U9g+Ha2rF9mgg==" saltValue="7IVs6SYVcTt8+ypdxJGaew==" spinCount="100000" sheet="1" objects="1" scenarios="1"/>
  <mergeCells count="1485">
    <mergeCell ref="D1591:E1591"/>
    <mergeCell ref="D1593:F1593"/>
    <mergeCell ref="D1594:F1594"/>
    <mergeCell ref="D1595:F1595"/>
    <mergeCell ref="D1596:F1596"/>
    <mergeCell ref="D1586:E1586"/>
    <mergeCell ref="D1587:E1587"/>
    <mergeCell ref="D1588:E1588"/>
    <mergeCell ref="D1589:E1589"/>
    <mergeCell ref="D1590:E1590"/>
    <mergeCell ref="D1581:E1581"/>
    <mergeCell ref="D1582:E1582"/>
    <mergeCell ref="D1583:E1583"/>
    <mergeCell ref="D1584:E1584"/>
    <mergeCell ref="D1585:E1585"/>
    <mergeCell ref="A1575:C1575"/>
    <mergeCell ref="D1577:E1577"/>
    <mergeCell ref="D1578:E1578"/>
    <mergeCell ref="D1579:E1579"/>
    <mergeCell ref="D1580:E1580"/>
    <mergeCell ref="A1569:D1569"/>
    <mergeCell ref="E1569:F1569"/>
    <mergeCell ref="A1571:F1571"/>
    <mergeCell ref="A1572:F1572"/>
    <mergeCell ref="A1574:C1574"/>
    <mergeCell ref="D1565:F1565"/>
    <mergeCell ref="D1566:F1566"/>
    <mergeCell ref="D1567:F1567"/>
    <mergeCell ref="A1568:D1568"/>
    <mergeCell ref="E1568:F1568"/>
    <mergeCell ref="D1559:E1559"/>
    <mergeCell ref="D1560:E1560"/>
    <mergeCell ref="D1561:E1561"/>
    <mergeCell ref="D1562:E1562"/>
    <mergeCell ref="D1564:F1564"/>
    <mergeCell ref="D1554:E1554"/>
    <mergeCell ref="D1555:E1555"/>
    <mergeCell ref="D1556:E1556"/>
    <mergeCell ref="D1557:E1557"/>
    <mergeCell ref="D1558:E1558"/>
    <mergeCell ref="D1549:E1549"/>
    <mergeCell ref="D1550:E1550"/>
    <mergeCell ref="D1551:E1551"/>
    <mergeCell ref="D1552:E1552"/>
    <mergeCell ref="D1553:E1553"/>
    <mergeCell ref="A1542:F1542"/>
    <mergeCell ref="A1543:F1543"/>
    <mergeCell ref="A1545:C1545"/>
    <mergeCell ref="A1546:C1546"/>
    <mergeCell ref="D1548:E1548"/>
    <mergeCell ref="D1537:F1537"/>
    <mergeCell ref="D1538:F1538"/>
    <mergeCell ref="A1539:D1539"/>
    <mergeCell ref="E1539:F1539"/>
    <mergeCell ref="A1540:D1540"/>
    <mergeCell ref="E1540:F1540"/>
    <mergeCell ref="D1531:E1531"/>
    <mergeCell ref="D1532:E1532"/>
    <mergeCell ref="D1533:E1533"/>
    <mergeCell ref="D1535:F1535"/>
    <mergeCell ref="D1536:F1536"/>
    <mergeCell ref="D1526:E1526"/>
    <mergeCell ref="D1527:E1527"/>
    <mergeCell ref="D1528:E1528"/>
    <mergeCell ref="D1529:E1529"/>
    <mergeCell ref="D1530:E1530"/>
    <mergeCell ref="D1521:E1521"/>
    <mergeCell ref="D1522:E1522"/>
    <mergeCell ref="D1523:E1523"/>
    <mergeCell ref="D1524:E1524"/>
    <mergeCell ref="D1525:E1525"/>
    <mergeCell ref="A1514:F1514"/>
    <mergeCell ref="A1516:C1516"/>
    <mergeCell ref="A1517:C1517"/>
    <mergeCell ref="D1519:E1519"/>
    <mergeCell ref="D1520:E1520"/>
    <mergeCell ref="A1510:D1510"/>
    <mergeCell ref="E1510:F1510"/>
    <mergeCell ref="A1511:D1511"/>
    <mergeCell ref="E1511:F1511"/>
    <mergeCell ref="A1513:F1513"/>
    <mergeCell ref="D1504:E1504"/>
    <mergeCell ref="D1506:F1506"/>
    <mergeCell ref="D1507:F1507"/>
    <mergeCell ref="D1508:F1508"/>
    <mergeCell ref="D1509:F1509"/>
    <mergeCell ref="D1499:E1499"/>
    <mergeCell ref="D1500:E1500"/>
    <mergeCell ref="D1501:E1501"/>
    <mergeCell ref="D1502:E1502"/>
    <mergeCell ref="D1503:E1503"/>
    <mergeCell ref="D1494:E1494"/>
    <mergeCell ref="D1495:E1495"/>
    <mergeCell ref="D1496:E1496"/>
    <mergeCell ref="D1497:E1497"/>
    <mergeCell ref="D1498:E1498"/>
    <mergeCell ref="A1488:C1488"/>
    <mergeCell ref="D1490:E1490"/>
    <mergeCell ref="D1491:E1491"/>
    <mergeCell ref="D1492:E1492"/>
    <mergeCell ref="D1493:E1493"/>
    <mergeCell ref="A1482:D1482"/>
    <mergeCell ref="E1482:F1482"/>
    <mergeCell ref="A1484:F1484"/>
    <mergeCell ref="A1485:F1485"/>
    <mergeCell ref="A1487:C1487"/>
    <mergeCell ref="D1478:F1478"/>
    <mergeCell ref="D1479:F1479"/>
    <mergeCell ref="D1480:F1480"/>
    <mergeCell ref="A1481:D1481"/>
    <mergeCell ref="E1481:F1481"/>
    <mergeCell ref="D1472:E1472"/>
    <mergeCell ref="D1473:E1473"/>
    <mergeCell ref="D1474:E1474"/>
    <mergeCell ref="D1475:E1475"/>
    <mergeCell ref="D1477:F1477"/>
    <mergeCell ref="D1467:E1467"/>
    <mergeCell ref="D1468:E1468"/>
    <mergeCell ref="D1469:E1469"/>
    <mergeCell ref="D1470:E1470"/>
    <mergeCell ref="D1471:E1471"/>
    <mergeCell ref="D1462:E1462"/>
    <mergeCell ref="D1463:E1463"/>
    <mergeCell ref="D1464:E1464"/>
    <mergeCell ref="D1465:E1465"/>
    <mergeCell ref="D1466:E1466"/>
    <mergeCell ref="A1455:F1455"/>
    <mergeCell ref="A1456:F1456"/>
    <mergeCell ref="A1458:C1458"/>
    <mergeCell ref="A1459:C1459"/>
    <mergeCell ref="D1461:E1461"/>
    <mergeCell ref="D1450:F1450"/>
    <mergeCell ref="D1451:F1451"/>
    <mergeCell ref="A1452:D1452"/>
    <mergeCell ref="E1452:F1452"/>
    <mergeCell ref="A1453:D1453"/>
    <mergeCell ref="E1453:F1453"/>
    <mergeCell ref="D1444:E1444"/>
    <mergeCell ref="D1445:E1445"/>
    <mergeCell ref="D1446:E1446"/>
    <mergeCell ref="D1448:F1448"/>
    <mergeCell ref="D1449:F1449"/>
    <mergeCell ref="D1439:E1439"/>
    <mergeCell ref="D1440:E1440"/>
    <mergeCell ref="D1441:E1441"/>
    <mergeCell ref="D1442:E1442"/>
    <mergeCell ref="D1443:E1443"/>
    <mergeCell ref="D1434:E1434"/>
    <mergeCell ref="D1435:E1435"/>
    <mergeCell ref="D1436:E1436"/>
    <mergeCell ref="D1437:E1437"/>
    <mergeCell ref="D1438:E1438"/>
    <mergeCell ref="A1427:F1427"/>
    <mergeCell ref="A1429:C1429"/>
    <mergeCell ref="A1430:C1430"/>
    <mergeCell ref="D1432:E1432"/>
    <mergeCell ref="D1433:E1433"/>
    <mergeCell ref="A1423:D1423"/>
    <mergeCell ref="E1423:F1423"/>
    <mergeCell ref="A1424:D1424"/>
    <mergeCell ref="E1424:F1424"/>
    <mergeCell ref="A1426:F1426"/>
    <mergeCell ref="D1417:E1417"/>
    <mergeCell ref="D1419:F1419"/>
    <mergeCell ref="D1420:F1420"/>
    <mergeCell ref="D1421:F1421"/>
    <mergeCell ref="D1422:F1422"/>
    <mergeCell ref="D1412:E1412"/>
    <mergeCell ref="D1413:E1413"/>
    <mergeCell ref="D1414:E1414"/>
    <mergeCell ref="D1415:E1415"/>
    <mergeCell ref="D1416:E1416"/>
    <mergeCell ref="D1407:E1407"/>
    <mergeCell ref="D1408:E1408"/>
    <mergeCell ref="D1409:E1409"/>
    <mergeCell ref="D1410:E1410"/>
    <mergeCell ref="D1411:E1411"/>
    <mergeCell ref="A1401:C1401"/>
    <mergeCell ref="D1403:E1403"/>
    <mergeCell ref="D1404:E1404"/>
    <mergeCell ref="D1405:E1405"/>
    <mergeCell ref="D1406:E1406"/>
    <mergeCell ref="A1395:D1395"/>
    <mergeCell ref="E1395:F1395"/>
    <mergeCell ref="A1397:F1397"/>
    <mergeCell ref="A1398:F1398"/>
    <mergeCell ref="A1400:C1400"/>
    <mergeCell ref="D1391:F1391"/>
    <mergeCell ref="D1392:F1392"/>
    <mergeCell ref="D1393:F1393"/>
    <mergeCell ref="A1394:D1394"/>
    <mergeCell ref="E1394:F1394"/>
    <mergeCell ref="D1385:E1385"/>
    <mergeCell ref="D1386:E1386"/>
    <mergeCell ref="D1387:E1387"/>
    <mergeCell ref="D1388:E1388"/>
    <mergeCell ref="D1390:F1390"/>
    <mergeCell ref="D1380:E1380"/>
    <mergeCell ref="D1381:E1381"/>
    <mergeCell ref="D1382:E1382"/>
    <mergeCell ref="D1383:E1383"/>
    <mergeCell ref="D1384:E1384"/>
    <mergeCell ref="D1375:E1375"/>
    <mergeCell ref="D1376:E1376"/>
    <mergeCell ref="D1377:E1377"/>
    <mergeCell ref="D1378:E1378"/>
    <mergeCell ref="D1379:E1379"/>
    <mergeCell ref="A1368:F1368"/>
    <mergeCell ref="A1369:F1369"/>
    <mergeCell ref="A1371:C1371"/>
    <mergeCell ref="A1372:C1372"/>
    <mergeCell ref="D1374:E1374"/>
    <mergeCell ref="D1363:F1363"/>
    <mergeCell ref="D1364:F1364"/>
    <mergeCell ref="A1365:D1365"/>
    <mergeCell ref="E1365:F1365"/>
    <mergeCell ref="A1366:D1366"/>
    <mergeCell ref="E1366:F1366"/>
    <mergeCell ref="D1357:E1357"/>
    <mergeCell ref="D1358:E1358"/>
    <mergeCell ref="D1359:E1359"/>
    <mergeCell ref="D1361:F1361"/>
    <mergeCell ref="D1362:F1362"/>
    <mergeCell ref="D1352:E1352"/>
    <mergeCell ref="D1353:E1353"/>
    <mergeCell ref="D1354:E1354"/>
    <mergeCell ref="D1355:E1355"/>
    <mergeCell ref="D1356:E1356"/>
    <mergeCell ref="D1347:E1347"/>
    <mergeCell ref="D1348:E1348"/>
    <mergeCell ref="D1349:E1349"/>
    <mergeCell ref="D1350:E1350"/>
    <mergeCell ref="D1351:E1351"/>
    <mergeCell ref="A1340:F1340"/>
    <mergeCell ref="A1342:C1342"/>
    <mergeCell ref="A1343:C1343"/>
    <mergeCell ref="D1345:E1345"/>
    <mergeCell ref="D1346:E1346"/>
    <mergeCell ref="A1336:D1336"/>
    <mergeCell ref="E1336:F1336"/>
    <mergeCell ref="A1337:D1337"/>
    <mergeCell ref="E1337:F1337"/>
    <mergeCell ref="A1339:F1339"/>
    <mergeCell ref="D1330:E1330"/>
    <mergeCell ref="D1332:F1332"/>
    <mergeCell ref="D1333:F1333"/>
    <mergeCell ref="D1334:F1334"/>
    <mergeCell ref="D1335:F1335"/>
    <mergeCell ref="D1325:E1325"/>
    <mergeCell ref="D1326:E1326"/>
    <mergeCell ref="D1327:E1327"/>
    <mergeCell ref="D1328:E1328"/>
    <mergeCell ref="D1329:E1329"/>
    <mergeCell ref="D1320:E1320"/>
    <mergeCell ref="D1321:E1321"/>
    <mergeCell ref="D1322:E1322"/>
    <mergeCell ref="D1323:E1323"/>
    <mergeCell ref="D1324:E1324"/>
    <mergeCell ref="A1314:C1314"/>
    <mergeCell ref="D1316:E1316"/>
    <mergeCell ref="D1317:E1317"/>
    <mergeCell ref="D1318:E1318"/>
    <mergeCell ref="D1319:E1319"/>
    <mergeCell ref="A1308:D1308"/>
    <mergeCell ref="E1308:F1308"/>
    <mergeCell ref="A1310:F1310"/>
    <mergeCell ref="A1311:F1311"/>
    <mergeCell ref="A1313:C1313"/>
    <mergeCell ref="D1304:F1304"/>
    <mergeCell ref="D1305:F1305"/>
    <mergeCell ref="D1306:F1306"/>
    <mergeCell ref="A1307:D1307"/>
    <mergeCell ref="E1307:F1307"/>
    <mergeCell ref="D1298:E1298"/>
    <mergeCell ref="D1299:E1299"/>
    <mergeCell ref="D1300:E1300"/>
    <mergeCell ref="D1301:E1301"/>
    <mergeCell ref="D1303:F1303"/>
    <mergeCell ref="D1293:E1293"/>
    <mergeCell ref="D1294:E1294"/>
    <mergeCell ref="D1295:E1295"/>
    <mergeCell ref="D1296:E1296"/>
    <mergeCell ref="D1297:E1297"/>
    <mergeCell ref="D1288:E1288"/>
    <mergeCell ref="D1289:E1289"/>
    <mergeCell ref="D1290:E1290"/>
    <mergeCell ref="D1291:E1291"/>
    <mergeCell ref="D1292:E1292"/>
    <mergeCell ref="A1281:F1281"/>
    <mergeCell ref="A1282:F1282"/>
    <mergeCell ref="A1284:C1284"/>
    <mergeCell ref="A1285:C1285"/>
    <mergeCell ref="D1287:E1287"/>
    <mergeCell ref="D1276:F1276"/>
    <mergeCell ref="D1277:F1277"/>
    <mergeCell ref="A1278:D1278"/>
    <mergeCell ref="E1278:F1278"/>
    <mergeCell ref="A1279:D1279"/>
    <mergeCell ref="E1279:F1279"/>
    <mergeCell ref="D1270:E1270"/>
    <mergeCell ref="D1271:E1271"/>
    <mergeCell ref="D1272:E1272"/>
    <mergeCell ref="D1274:F1274"/>
    <mergeCell ref="D1275:F1275"/>
    <mergeCell ref="D1265:E1265"/>
    <mergeCell ref="D1266:E1266"/>
    <mergeCell ref="D1267:E1267"/>
    <mergeCell ref="D1268:E1268"/>
    <mergeCell ref="D1269:E1269"/>
    <mergeCell ref="D1260:E1260"/>
    <mergeCell ref="D1261:E1261"/>
    <mergeCell ref="D1262:E1262"/>
    <mergeCell ref="D1263:E1263"/>
    <mergeCell ref="D1264:E1264"/>
    <mergeCell ref="A1253:F1253"/>
    <mergeCell ref="A1255:C1255"/>
    <mergeCell ref="A1256:C1256"/>
    <mergeCell ref="D1258:E1258"/>
    <mergeCell ref="D1259:E1259"/>
    <mergeCell ref="A1249:D1249"/>
    <mergeCell ref="E1249:F1249"/>
    <mergeCell ref="A1250:D1250"/>
    <mergeCell ref="E1250:F1250"/>
    <mergeCell ref="A1252:F1252"/>
    <mergeCell ref="D1243:E1243"/>
    <mergeCell ref="D1245:F1245"/>
    <mergeCell ref="D1246:F1246"/>
    <mergeCell ref="D1247:F1247"/>
    <mergeCell ref="D1248:F1248"/>
    <mergeCell ref="D1238:E1238"/>
    <mergeCell ref="D1239:E1239"/>
    <mergeCell ref="D1240:E1240"/>
    <mergeCell ref="D1241:E1241"/>
    <mergeCell ref="D1242:E1242"/>
    <mergeCell ref="D1233:E1233"/>
    <mergeCell ref="D1234:E1234"/>
    <mergeCell ref="D1235:E1235"/>
    <mergeCell ref="D1236:E1236"/>
    <mergeCell ref="D1237:E1237"/>
    <mergeCell ref="A1227:C1227"/>
    <mergeCell ref="D1229:E1229"/>
    <mergeCell ref="D1230:E1230"/>
    <mergeCell ref="D1231:E1231"/>
    <mergeCell ref="D1232:E1232"/>
    <mergeCell ref="A1221:D1221"/>
    <mergeCell ref="E1221:F1221"/>
    <mergeCell ref="A1223:F1223"/>
    <mergeCell ref="A1224:F1224"/>
    <mergeCell ref="A1226:C1226"/>
    <mergeCell ref="D1217:F1217"/>
    <mergeCell ref="D1218:F1218"/>
    <mergeCell ref="D1219:F1219"/>
    <mergeCell ref="A1220:D1220"/>
    <mergeCell ref="E1220:F1220"/>
    <mergeCell ref="D1211:E1211"/>
    <mergeCell ref="D1212:E1212"/>
    <mergeCell ref="D1213:E1213"/>
    <mergeCell ref="D1214:E1214"/>
    <mergeCell ref="D1216:F1216"/>
    <mergeCell ref="D1206:E1206"/>
    <mergeCell ref="D1207:E1207"/>
    <mergeCell ref="D1208:E1208"/>
    <mergeCell ref="D1209:E1209"/>
    <mergeCell ref="D1210:E1210"/>
    <mergeCell ref="D1201:E1201"/>
    <mergeCell ref="D1202:E1202"/>
    <mergeCell ref="D1203:E1203"/>
    <mergeCell ref="D1204:E1204"/>
    <mergeCell ref="D1205:E1205"/>
    <mergeCell ref="A1194:F1194"/>
    <mergeCell ref="A1195:F1195"/>
    <mergeCell ref="A1197:C1197"/>
    <mergeCell ref="A1198:C1198"/>
    <mergeCell ref="D1200:E1200"/>
    <mergeCell ref="D1189:F1189"/>
    <mergeCell ref="D1190:F1190"/>
    <mergeCell ref="A1191:D1191"/>
    <mergeCell ref="E1191:F1191"/>
    <mergeCell ref="A1192:D1192"/>
    <mergeCell ref="E1192:F1192"/>
    <mergeCell ref="D1183:E1183"/>
    <mergeCell ref="D1184:E1184"/>
    <mergeCell ref="D1185:E1185"/>
    <mergeCell ref="D1187:F1187"/>
    <mergeCell ref="D1188:F1188"/>
    <mergeCell ref="D1178:E1178"/>
    <mergeCell ref="D1179:E1179"/>
    <mergeCell ref="D1180:E1180"/>
    <mergeCell ref="D1181:E1181"/>
    <mergeCell ref="D1182:E1182"/>
    <mergeCell ref="D1173:E1173"/>
    <mergeCell ref="D1174:E1174"/>
    <mergeCell ref="D1175:E1175"/>
    <mergeCell ref="D1176:E1176"/>
    <mergeCell ref="D1177:E1177"/>
    <mergeCell ref="A1166:F1166"/>
    <mergeCell ref="A1168:C1168"/>
    <mergeCell ref="A1169:C1169"/>
    <mergeCell ref="D1171:E1171"/>
    <mergeCell ref="D1172:E1172"/>
    <mergeCell ref="A1162:D1162"/>
    <mergeCell ref="E1162:F1162"/>
    <mergeCell ref="A1163:D1163"/>
    <mergeCell ref="E1163:F1163"/>
    <mergeCell ref="A1165:F1165"/>
    <mergeCell ref="D1156:E1156"/>
    <mergeCell ref="D1158:F1158"/>
    <mergeCell ref="D1159:F1159"/>
    <mergeCell ref="D1160:F1160"/>
    <mergeCell ref="D1161:F1161"/>
    <mergeCell ref="D1151:E1151"/>
    <mergeCell ref="D1152:E1152"/>
    <mergeCell ref="D1153:E1153"/>
    <mergeCell ref="D1154:E1154"/>
    <mergeCell ref="D1155:E1155"/>
    <mergeCell ref="D1146:E1146"/>
    <mergeCell ref="D1147:E1147"/>
    <mergeCell ref="D1148:E1148"/>
    <mergeCell ref="D1149:E1149"/>
    <mergeCell ref="D1150:E1150"/>
    <mergeCell ref="A1140:C1140"/>
    <mergeCell ref="D1142:E1142"/>
    <mergeCell ref="D1143:E1143"/>
    <mergeCell ref="D1144:E1144"/>
    <mergeCell ref="D1145:E1145"/>
    <mergeCell ref="A1134:D1134"/>
    <mergeCell ref="E1134:F1134"/>
    <mergeCell ref="A1136:F1136"/>
    <mergeCell ref="A1137:F1137"/>
    <mergeCell ref="A1139:C1139"/>
    <mergeCell ref="D1130:F1130"/>
    <mergeCell ref="D1131:F1131"/>
    <mergeCell ref="D1132:F1132"/>
    <mergeCell ref="A1133:D1133"/>
    <mergeCell ref="E1133:F1133"/>
    <mergeCell ref="D1124:E1124"/>
    <mergeCell ref="D1125:E1125"/>
    <mergeCell ref="D1126:E1126"/>
    <mergeCell ref="D1127:E1127"/>
    <mergeCell ref="D1129:F1129"/>
    <mergeCell ref="D1119:E1119"/>
    <mergeCell ref="D1120:E1120"/>
    <mergeCell ref="D1121:E1121"/>
    <mergeCell ref="D1122:E1122"/>
    <mergeCell ref="D1123:E1123"/>
    <mergeCell ref="D1114:E1114"/>
    <mergeCell ref="D1115:E1115"/>
    <mergeCell ref="D1116:E1116"/>
    <mergeCell ref="D1117:E1117"/>
    <mergeCell ref="D1118:E1118"/>
    <mergeCell ref="A1107:F1107"/>
    <mergeCell ref="A1108:F1108"/>
    <mergeCell ref="A1110:C1110"/>
    <mergeCell ref="A1111:C1111"/>
    <mergeCell ref="D1113:E1113"/>
    <mergeCell ref="D1102:F1102"/>
    <mergeCell ref="D1103:F1103"/>
    <mergeCell ref="A1104:D1104"/>
    <mergeCell ref="E1104:F1104"/>
    <mergeCell ref="A1105:D1105"/>
    <mergeCell ref="E1105:F1105"/>
    <mergeCell ref="D1096:E1096"/>
    <mergeCell ref="D1097:E1097"/>
    <mergeCell ref="D1098:E1098"/>
    <mergeCell ref="D1100:F1100"/>
    <mergeCell ref="D1101:F1101"/>
    <mergeCell ref="D1091:E1091"/>
    <mergeCell ref="D1092:E1092"/>
    <mergeCell ref="D1093:E1093"/>
    <mergeCell ref="D1094:E1094"/>
    <mergeCell ref="D1095:E1095"/>
    <mergeCell ref="D1086:E1086"/>
    <mergeCell ref="D1087:E1087"/>
    <mergeCell ref="D1088:E1088"/>
    <mergeCell ref="D1089:E1089"/>
    <mergeCell ref="D1090:E1090"/>
    <mergeCell ref="A1079:F1079"/>
    <mergeCell ref="A1081:C1081"/>
    <mergeCell ref="A1082:C1082"/>
    <mergeCell ref="D1084:E1084"/>
    <mergeCell ref="D1085:E1085"/>
    <mergeCell ref="A1075:D1075"/>
    <mergeCell ref="E1075:F1075"/>
    <mergeCell ref="A1076:D1076"/>
    <mergeCell ref="E1076:F1076"/>
    <mergeCell ref="A1078:F1078"/>
    <mergeCell ref="D1069:E1069"/>
    <mergeCell ref="D1071:F1071"/>
    <mergeCell ref="D1072:F1072"/>
    <mergeCell ref="D1073:F1073"/>
    <mergeCell ref="D1074:F1074"/>
    <mergeCell ref="D1064:E1064"/>
    <mergeCell ref="D1065:E1065"/>
    <mergeCell ref="D1066:E1066"/>
    <mergeCell ref="D1067:E1067"/>
    <mergeCell ref="D1068:E1068"/>
    <mergeCell ref="D1059:E1059"/>
    <mergeCell ref="D1060:E1060"/>
    <mergeCell ref="D1061:E1061"/>
    <mergeCell ref="D1062:E1062"/>
    <mergeCell ref="D1063:E1063"/>
    <mergeCell ref="A1053:C1053"/>
    <mergeCell ref="D1055:E1055"/>
    <mergeCell ref="D1056:E1056"/>
    <mergeCell ref="D1057:E1057"/>
    <mergeCell ref="D1058:E1058"/>
    <mergeCell ref="A1047:D1047"/>
    <mergeCell ref="E1047:F1047"/>
    <mergeCell ref="A1049:F1049"/>
    <mergeCell ref="A1050:F1050"/>
    <mergeCell ref="A1052:C1052"/>
    <mergeCell ref="D1043:F1043"/>
    <mergeCell ref="D1044:F1044"/>
    <mergeCell ref="D1045:F1045"/>
    <mergeCell ref="A1046:D1046"/>
    <mergeCell ref="E1046:F1046"/>
    <mergeCell ref="D1037:E1037"/>
    <mergeCell ref="D1038:E1038"/>
    <mergeCell ref="D1039:E1039"/>
    <mergeCell ref="D1040:E1040"/>
    <mergeCell ref="D1042:F1042"/>
    <mergeCell ref="D1032:E1032"/>
    <mergeCell ref="D1033:E1033"/>
    <mergeCell ref="D1034:E1034"/>
    <mergeCell ref="D1035:E1035"/>
    <mergeCell ref="D1036:E1036"/>
    <mergeCell ref="D1027:E1027"/>
    <mergeCell ref="D1028:E1028"/>
    <mergeCell ref="D1029:E1029"/>
    <mergeCell ref="D1030:E1030"/>
    <mergeCell ref="D1031:E1031"/>
    <mergeCell ref="A1020:F1020"/>
    <mergeCell ref="A1021:F1021"/>
    <mergeCell ref="A1023:C1023"/>
    <mergeCell ref="A1024:C1024"/>
    <mergeCell ref="D1026:E1026"/>
    <mergeCell ref="D1015:F1015"/>
    <mergeCell ref="D1016:F1016"/>
    <mergeCell ref="A1017:D1017"/>
    <mergeCell ref="E1017:F1017"/>
    <mergeCell ref="A1018:D1018"/>
    <mergeCell ref="E1018:F1018"/>
    <mergeCell ref="D1009:E1009"/>
    <mergeCell ref="D1010:E1010"/>
    <mergeCell ref="D1011:E1011"/>
    <mergeCell ref="D1013:F1013"/>
    <mergeCell ref="D1014:F1014"/>
    <mergeCell ref="D1004:E1004"/>
    <mergeCell ref="D1005:E1005"/>
    <mergeCell ref="D1006:E1006"/>
    <mergeCell ref="D1007:E1007"/>
    <mergeCell ref="D1008:E1008"/>
    <mergeCell ref="D999:E999"/>
    <mergeCell ref="D1000:E1000"/>
    <mergeCell ref="D1001:E1001"/>
    <mergeCell ref="D1002:E1002"/>
    <mergeCell ref="D1003:E1003"/>
    <mergeCell ref="A992:F992"/>
    <mergeCell ref="A994:C994"/>
    <mergeCell ref="A995:C995"/>
    <mergeCell ref="D997:E997"/>
    <mergeCell ref="D998:E998"/>
    <mergeCell ref="A988:D988"/>
    <mergeCell ref="E988:F988"/>
    <mergeCell ref="A989:D989"/>
    <mergeCell ref="E989:F989"/>
    <mergeCell ref="A991:F991"/>
    <mergeCell ref="D982:E982"/>
    <mergeCell ref="D984:F984"/>
    <mergeCell ref="D985:F985"/>
    <mergeCell ref="D986:F986"/>
    <mergeCell ref="D987:F987"/>
    <mergeCell ref="D977:E977"/>
    <mergeCell ref="D978:E978"/>
    <mergeCell ref="D979:E979"/>
    <mergeCell ref="D980:E980"/>
    <mergeCell ref="D981:E981"/>
    <mergeCell ref="D972:E972"/>
    <mergeCell ref="D973:E973"/>
    <mergeCell ref="D974:E974"/>
    <mergeCell ref="D975:E975"/>
    <mergeCell ref="D976:E976"/>
    <mergeCell ref="A966:C966"/>
    <mergeCell ref="D968:E968"/>
    <mergeCell ref="D969:E969"/>
    <mergeCell ref="D970:E970"/>
    <mergeCell ref="D971:E971"/>
    <mergeCell ref="A960:D960"/>
    <mergeCell ref="E960:F960"/>
    <mergeCell ref="A962:F962"/>
    <mergeCell ref="A963:F963"/>
    <mergeCell ref="A965:C965"/>
    <mergeCell ref="D956:F956"/>
    <mergeCell ref="D957:F957"/>
    <mergeCell ref="D958:F958"/>
    <mergeCell ref="A959:D959"/>
    <mergeCell ref="E959:F959"/>
    <mergeCell ref="D950:E950"/>
    <mergeCell ref="D951:E951"/>
    <mergeCell ref="D952:E952"/>
    <mergeCell ref="D953:E953"/>
    <mergeCell ref="D955:F955"/>
    <mergeCell ref="D945:E945"/>
    <mergeCell ref="D946:E946"/>
    <mergeCell ref="D947:E947"/>
    <mergeCell ref="D948:E948"/>
    <mergeCell ref="D949:E949"/>
    <mergeCell ref="D940:E940"/>
    <mergeCell ref="D941:E941"/>
    <mergeCell ref="D942:E942"/>
    <mergeCell ref="D943:E943"/>
    <mergeCell ref="D944:E944"/>
    <mergeCell ref="A933:F933"/>
    <mergeCell ref="A934:F934"/>
    <mergeCell ref="A936:C936"/>
    <mergeCell ref="A937:C937"/>
    <mergeCell ref="D939:E939"/>
    <mergeCell ref="D928:F928"/>
    <mergeCell ref="D929:F929"/>
    <mergeCell ref="A930:D930"/>
    <mergeCell ref="E930:F930"/>
    <mergeCell ref="A931:D931"/>
    <mergeCell ref="E931:F931"/>
    <mergeCell ref="D922:E922"/>
    <mergeCell ref="D923:E923"/>
    <mergeCell ref="D924:E924"/>
    <mergeCell ref="D926:F926"/>
    <mergeCell ref="D927:F927"/>
    <mergeCell ref="D917:E917"/>
    <mergeCell ref="D918:E918"/>
    <mergeCell ref="D919:E919"/>
    <mergeCell ref="D920:E920"/>
    <mergeCell ref="D921:E921"/>
    <mergeCell ref="D912:E912"/>
    <mergeCell ref="D913:E913"/>
    <mergeCell ref="D914:E914"/>
    <mergeCell ref="D915:E915"/>
    <mergeCell ref="D916:E916"/>
    <mergeCell ref="A905:F905"/>
    <mergeCell ref="A907:C907"/>
    <mergeCell ref="A908:C908"/>
    <mergeCell ref="D910:E910"/>
    <mergeCell ref="D911:E911"/>
    <mergeCell ref="A901:D901"/>
    <mergeCell ref="E901:F901"/>
    <mergeCell ref="A902:D902"/>
    <mergeCell ref="E902:F902"/>
    <mergeCell ref="A904:F904"/>
    <mergeCell ref="D895:E895"/>
    <mergeCell ref="D897:F897"/>
    <mergeCell ref="D898:F898"/>
    <mergeCell ref="D899:F899"/>
    <mergeCell ref="D900:F900"/>
    <mergeCell ref="D890:E890"/>
    <mergeCell ref="D891:E891"/>
    <mergeCell ref="D892:E892"/>
    <mergeCell ref="D893:E893"/>
    <mergeCell ref="D894:E894"/>
    <mergeCell ref="D885:E885"/>
    <mergeCell ref="D886:E886"/>
    <mergeCell ref="D887:E887"/>
    <mergeCell ref="D888:E888"/>
    <mergeCell ref="D889:E889"/>
    <mergeCell ref="A879:C879"/>
    <mergeCell ref="D881:E881"/>
    <mergeCell ref="D882:E882"/>
    <mergeCell ref="D883:E883"/>
    <mergeCell ref="D884:E884"/>
    <mergeCell ref="A873:D873"/>
    <mergeCell ref="E873:F873"/>
    <mergeCell ref="A875:F875"/>
    <mergeCell ref="A876:F876"/>
    <mergeCell ref="A878:C878"/>
    <mergeCell ref="D869:F869"/>
    <mergeCell ref="D870:F870"/>
    <mergeCell ref="D871:F871"/>
    <mergeCell ref="A872:D872"/>
    <mergeCell ref="E872:F872"/>
    <mergeCell ref="D863:E863"/>
    <mergeCell ref="D864:E864"/>
    <mergeCell ref="D865:E865"/>
    <mergeCell ref="D866:E866"/>
    <mergeCell ref="D868:F868"/>
    <mergeCell ref="D858:E858"/>
    <mergeCell ref="D859:E859"/>
    <mergeCell ref="D860:E860"/>
    <mergeCell ref="D861:E861"/>
    <mergeCell ref="D862:E862"/>
    <mergeCell ref="D853:E853"/>
    <mergeCell ref="D854:E854"/>
    <mergeCell ref="D855:E855"/>
    <mergeCell ref="D856:E856"/>
    <mergeCell ref="D857:E857"/>
    <mergeCell ref="A846:F846"/>
    <mergeCell ref="A847:F847"/>
    <mergeCell ref="A849:C849"/>
    <mergeCell ref="A850:C850"/>
    <mergeCell ref="D852:E852"/>
    <mergeCell ref="D841:F841"/>
    <mergeCell ref="D842:F842"/>
    <mergeCell ref="A843:D843"/>
    <mergeCell ref="E843:F843"/>
    <mergeCell ref="A844:D844"/>
    <mergeCell ref="E844:F844"/>
    <mergeCell ref="D835:E835"/>
    <mergeCell ref="D836:E836"/>
    <mergeCell ref="D837:E837"/>
    <mergeCell ref="D839:F839"/>
    <mergeCell ref="D840:F840"/>
    <mergeCell ref="D830:E830"/>
    <mergeCell ref="D831:E831"/>
    <mergeCell ref="D832:E832"/>
    <mergeCell ref="D833:E833"/>
    <mergeCell ref="D834:E834"/>
    <mergeCell ref="D825:E825"/>
    <mergeCell ref="D826:E826"/>
    <mergeCell ref="D827:E827"/>
    <mergeCell ref="D828:E828"/>
    <mergeCell ref="D829:E829"/>
    <mergeCell ref="A818:F818"/>
    <mergeCell ref="A820:C820"/>
    <mergeCell ref="A821:C821"/>
    <mergeCell ref="D823:E823"/>
    <mergeCell ref="D824:E824"/>
    <mergeCell ref="A814:D814"/>
    <mergeCell ref="E814:F814"/>
    <mergeCell ref="A815:D815"/>
    <mergeCell ref="E815:F815"/>
    <mergeCell ref="A817:F817"/>
    <mergeCell ref="D808:E808"/>
    <mergeCell ref="D810:F810"/>
    <mergeCell ref="D811:F811"/>
    <mergeCell ref="D812:F812"/>
    <mergeCell ref="D813:F813"/>
    <mergeCell ref="D803:E803"/>
    <mergeCell ref="D804:E804"/>
    <mergeCell ref="D805:E805"/>
    <mergeCell ref="D806:E806"/>
    <mergeCell ref="D807:E807"/>
    <mergeCell ref="D798:E798"/>
    <mergeCell ref="D799:E799"/>
    <mergeCell ref="D800:E800"/>
    <mergeCell ref="D801:E801"/>
    <mergeCell ref="D802:E802"/>
    <mergeCell ref="A792:C792"/>
    <mergeCell ref="D794:E794"/>
    <mergeCell ref="D795:E795"/>
    <mergeCell ref="D796:E796"/>
    <mergeCell ref="D797:E797"/>
    <mergeCell ref="A786:D786"/>
    <mergeCell ref="E786:F786"/>
    <mergeCell ref="A788:F788"/>
    <mergeCell ref="A789:F789"/>
    <mergeCell ref="A791:C791"/>
    <mergeCell ref="D782:F782"/>
    <mergeCell ref="D783:F783"/>
    <mergeCell ref="D784:F784"/>
    <mergeCell ref="A785:D785"/>
    <mergeCell ref="E785:F785"/>
    <mergeCell ref="D776:E776"/>
    <mergeCell ref="D777:E777"/>
    <mergeCell ref="D778:E778"/>
    <mergeCell ref="D779:E779"/>
    <mergeCell ref="D781:F781"/>
    <mergeCell ref="D771:E771"/>
    <mergeCell ref="D772:E772"/>
    <mergeCell ref="D773:E773"/>
    <mergeCell ref="D774:E774"/>
    <mergeCell ref="D775:E775"/>
    <mergeCell ref="D766:E766"/>
    <mergeCell ref="D767:E767"/>
    <mergeCell ref="D768:E768"/>
    <mergeCell ref="D769:E769"/>
    <mergeCell ref="D770:E770"/>
    <mergeCell ref="A759:F759"/>
    <mergeCell ref="A760:F760"/>
    <mergeCell ref="A762:C762"/>
    <mergeCell ref="A763:C763"/>
    <mergeCell ref="D765:E765"/>
    <mergeCell ref="D754:F754"/>
    <mergeCell ref="D755:F755"/>
    <mergeCell ref="A756:D756"/>
    <mergeCell ref="E756:F756"/>
    <mergeCell ref="A757:D757"/>
    <mergeCell ref="E757:F757"/>
    <mergeCell ref="D748:E748"/>
    <mergeCell ref="D749:E749"/>
    <mergeCell ref="D750:E750"/>
    <mergeCell ref="D752:F752"/>
    <mergeCell ref="D753:F753"/>
    <mergeCell ref="D743:E743"/>
    <mergeCell ref="D744:E744"/>
    <mergeCell ref="D745:E745"/>
    <mergeCell ref="D746:E746"/>
    <mergeCell ref="D747:E747"/>
    <mergeCell ref="D738:E738"/>
    <mergeCell ref="D739:E739"/>
    <mergeCell ref="D740:E740"/>
    <mergeCell ref="D741:E741"/>
    <mergeCell ref="D742:E742"/>
    <mergeCell ref="A731:F731"/>
    <mergeCell ref="A733:C733"/>
    <mergeCell ref="A734:C734"/>
    <mergeCell ref="D736:E736"/>
    <mergeCell ref="D737:E737"/>
    <mergeCell ref="A727:D727"/>
    <mergeCell ref="E727:F727"/>
    <mergeCell ref="A728:D728"/>
    <mergeCell ref="E728:F728"/>
    <mergeCell ref="A730:F730"/>
    <mergeCell ref="D721:E721"/>
    <mergeCell ref="D723:F723"/>
    <mergeCell ref="D724:F724"/>
    <mergeCell ref="D725:F725"/>
    <mergeCell ref="D726:F726"/>
    <mergeCell ref="D716:E716"/>
    <mergeCell ref="D717:E717"/>
    <mergeCell ref="D718:E718"/>
    <mergeCell ref="D719:E719"/>
    <mergeCell ref="D720:E720"/>
    <mergeCell ref="D711:E711"/>
    <mergeCell ref="D712:E712"/>
    <mergeCell ref="D713:E713"/>
    <mergeCell ref="D714:E714"/>
    <mergeCell ref="D715:E715"/>
    <mergeCell ref="A705:C705"/>
    <mergeCell ref="D707:E707"/>
    <mergeCell ref="D708:E708"/>
    <mergeCell ref="D709:E709"/>
    <mergeCell ref="D710:E710"/>
    <mergeCell ref="A699:D699"/>
    <mergeCell ref="E699:F699"/>
    <mergeCell ref="A701:F701"/>
    <mergeCell ref="A702:F702"/>
    <mergeCell ref="A704:C704"/>
    <mergeCell ref="D695:F695"/>
    <mergeCell ref="D696:F696"/>
    <mergeCell ref="D697:F697"/>
    <mergeCell ref="A698:D698"/>
    <mergeCell ref="E698:F698"/>
    <mergeCell ref="D689:E689"/>
    <mergeCell ref="D690:E690"/>
    <mergeCell ref="D691:E691"/>
    <mergeCell ref="D692:E692"/>
    <mergeCell ref="D694:F694"/>
    <mergeCell ref="D684:E684"/>
    <mergeCell ref="D685:E685"/>
    <mergeCell ref="D686:E686"/>
    <mergeCell ref="D687:E687"/>
    <mergeCell ref="D688:E688"/>
    <mergeCell ref="D679:E679"/>
    <mergeCell ref="D680:E680"/>
    <mergeCell ref="D681:E681"/>
    <mergeCell ref="D682:E682"/>
    <mergeCell ref="D683:E683"/>
    <mergeCell ref="A672:F672"/>
    <mergeCell ref="A673:F673"/>
    <mergeCell ref="A675:C675"/>
    <mergeCell ref="A676:C676"/>
    <mergeCell ref="D678:E678"/>
    <mergeCell ref="D667:F667"/>
    <mergeCell ref="D668:F668"/>
    <mergeCell ref="A669:D669"/>
    <mergeCell ref="E669:F669"/>
    <mergeCell ref="A670:D670"/>
    <mergeCell ref="E670:F670"/>
    <mergeCell ref="D661:E661"/>
    <mergeCell ref="D662:E662"/>
    <mergeCell ref="D663:E663"/>
    <mergeCell ref="D665:F665"/>
    <mergeCell ref="D666:F666"/>
    <mergeCell ref="D656:E656"/>
    <mergeCell ref="D657:E657"/>
    <mergeCell ref="D658:E658"/>
    <mergeCell ref="D659:E659"/>
    <mergeCell ref="D660:E660"/>
    <mergeCell ref="D651:E651"/>
    <mergeCell ref="D652:E652"/>
    <mergeCell ref="D653:E653"/>
    <mergeCell ref="D654:E654"/>
    <mergeCell ref="D655:E655"/>
    <mergeCell ref="A644:F644"/>
    <mergeCell ref="A646:C646"/>
    <mergeCell ref="A647:C647"/>
    <mergeCell ref="D649:E649"/>
    <mergeCell ref="D650:E650"/>
    <mergeCell ref="A640:D640"/>
    <mergeCell ref="E640:F640"/>
    <mergeCell ref="A641:D641"/>
    <mergeCell ref="E641:F641"/>
    <mergeCell ref="A643:F643"/>
    <mergeCell ref="D634:E634"/>
    <mergeCell ref="D636:F636"/>
    <mergeCell ref="D637:F637"/>
    <mergeCell ref="D638:F638"/>
    <mergeCell ref="D639:F639"/>
    <mergeCell ref="D629:E629"/>
    <mergeCell ref="D630:E630"/>
    <mergeCell ref="D631:E631"/>
    <mergeCell ref="D632:E632"/>
    <mergeCell ref="D633:E633"/>
    <mergeCell ref="D624:E624"/>
    <mergeCell ref="D625:E625"/>
    <mergeCell ref="D626:E626"/>
    <mergeCell ref="D627:E627"/>
    <mergeCell ref="D628:E628"/>
    <mergeCell ref="A618:C618"/>
    <mergeCell ref="D620:E620"/>
    <mergeCell ref="D621:E621"/>
    <mergeCell ref="D622:E622"/>
    <mergeCell ref="D623:E623"/>
    <mergeCell ref="A612:D612"/>
    <mergeCell ref="E612:F612"/>
    <mergeCell ref="A614:F614"/>
    <mergeCell ref="A615:F615"/>
    <mergeCell ref="A617:C617"/>
    <mergeCell ref="D608:F608"/>
    <mergeCell ref="D609:F609"/>
    <mergeCell ref="D610:F610"/>
    <mergeCell ref="A611:D611"/>
    <mergeCell ref="E611:F611"/>
    <mergeCell ref="D602:E602"/>
    <mergeCell ref="D603:E603"/>
    <mergeCell ref="D604:E604"/>
    <mergeCell ref="D605:E605"/>
    <mergeCell ref="D607:F607"/>
    <mergeCell ref="D597:E597"/>
    <mergeCell ref="D598:E598"/>
    <mergeCell ref="D599:E599"/>
    <mergeCell ref="D600:E600"/>
    <mergeCell ref="D601:E601"/>
    <mergeCell ref="D592:E592"/>
    <mergeCell ref="D593:E593"/>
    <mergeCell ref="D594:E594"/>
    <mergeCell ref="D595:E595"/>
    <mergeCell ref="D596:E596"/>
    <mergeCell ref="A585:F585"/>
    <mergeCell ref="A586:F586"/>
    <mergeCell ref="A588:C588"/>
    <mergeCell ref="A589:C589"/>
    <mergeCell ref="D591:E591"/>
    <mergeCell ref="D580:F580"/>
    <mergeCell ref="D581:F581"/>
    <mergeCell ref="A582:D582"/>
    <mergeCell ref="E582:F582"/>
    <mergeCell ref="A583:D583"/>
    <mergeCell ref="E583:F583"/>
    <mergeCell ref="D574:E574"/>
    <mergeCell ref="D575:E575"/>
    <mergeCell ref="D576:E576"/>
    <mergeCell ref="D578:F578"/>
    <mergeCell ref="D579:F579"/>
    <mergeCell ref="D569:E569"/>
    <mergeCell ref="D570:E570"/>
    <mergeCell ref="D571:E571"/>
    <mergeCell ref="D572:E572"/>
    <mergeCell ref="D573:E573"/>
    <mergeCell ref="D564:E564"/>
    <mergeCell ref="D565:E565"/>
    <mergeCell ref="D566:E566"/>
    <mergeCell ref="D567:E567"/>
    <mergeCell ref="D568:E568"/>
    <mergeCell ref="A557:F557"/>
    <mergeCell ref="A559:C559"/>
    <mergeCell ref="A560:C560"/>
    <mergeCell ref="D562:E562"/>
    <mergeCell ref="D563:E563"/>
    <mergeCell ref="A553:D553"/>
    <mergeCell ref="E553:F553"/>
    <mergeCell ref="A554:D554"/>
    <mergeCell ref="E554:F554"/>
    <mergeCell ref="A556:F556"/>
    <mergeCell ref="D547:E547"/>
    <mergeCell ref="D549:F549"/>
    <mergeCell ref="D550:F550"/>
    <mergeCell ref="D551:F551"/>
    <mergeCell ref="D552:F552"/>
    <mergeCell ref="D542:E542"/>
    <mergeCell ref="D543:E543"/>
    <mergeCell ref="D544:E544"/>
    <mergeCell ref="D545:E545"/>
    <mergeCell ref="D546:E546"/>
    <mergeCell ref="D537:E537"/>
    <mergeCell ref="D538:E538"/>
    <mergeCell ref="D539:E539"/>
    <mergeCell ref="D540:E540"/>
    <mergeCell ref="D541:E541"/>
    <mergeCell ref="A531:C531"/>
    <mergeCell ref="D533:E533"/>
    <mergeCell ref="D534:E534"/>
    <mergeCell ref="D535:E535"/>
    <mergeCell ref="D536:E536"/>
    <mergeCell ref="A525:D525"/>
    <mergeCell ref="E525:F525"/>
    <mergeCell ref="A527:F527"/>
    <mergeCell ref="A528:F528"/>
    <mergeCell ref="A530:C530"/>
    <mergeCell ref="D521:F521"/>
    <mergeCell ref="D522:F522"/>
    <mergeCell ref="D523:F523"/>
    <mergeCell ref="A524:D524"/>
    <mergeCell ref="E524:F524"/>
    <mergeCell ref="D515:E515"/>
    <mergeCell ref="D516:E516"/>
    <mergeCell ref="D517:E517"/>
    <mergeCell ref="D518:E518"/>
    <mergeCell ref="D520:F520"/>
    <mergeCell ref="D510:E510"/>
    <mergeCell ref="D511:E511"/>
    <mergeCell ref="D512:E512"/>
    <mergeCell ref="D513:E513"/>
    <mergeCell ref="D514:E514"/>
    <mergeCell ref="D505:E505"/>
    <mergeCell ref="D506:E506"/>
    <mergeCell ref="D507:E507"/>
    <mergeCell ref="D508:E508"/>
    <mergeCell ref="D509:E509"/>
    <mergeCell ref="A498:F498"/>
    <mergeCell ref="A499:F499"/>
    <mergeCell ref="A501:C501"/>
    <mergeCell ref="A502:C502"/>
    <mergeCell ref="D504:E504"/>
    <mergeCell ref="D493:F493"/>
    <mergeCell ref="D494:F494"/>
    <mergeCell ref="A495:D495"/>
    <mergeCell ref="E495:F495"/>
    <mergeCell ref="A496:D496"/>
    <mergeCell ref="E496:F496"/>
    <mergeCell ref="D487:E487"/>
    <mergeCell ref="D488:E488"/>
    <mergeCell ref="D489:E489"/>
    <mergeCell ref="D491:F491"/>
    <mergeCell ref="D492:F492"/>
    <mergeCell ref="D482:E482"/>
    <mergeCell ref="D483:E483"/>
    <mergeCell ref="D484:E484"/>
    <mergeCell ref="D485:E485"/>
    <mergeCell ref="D486:E486"/>
    <mergeCell ref="D477:E477"/>
    <mergeCell ref="D478:E478"/>
    <mergeCell ref="D479:E479"/>
    <mergeCell ref="D480:E480"/>
    <mergeCell ref="D481:E481"/>
    <mergeCell ref="A470:F470"/>
    <mergeCell ref="A472:C472"/>
    <mergeCell ref="A473:C473"/>
    <mergeCell ref="D475:E475"/>
    <mergeCell ref="D476:E476"/>
    <mergeCell ref="A466:D466"/>
    <mergeCell ref="E466:F466"/>
    <mergeCell ref="A467:D467"/>
    <mergeCell ref="E467:F467"/>
    <mergeCell ref="A469:F469"/>
    <mergeCell ref="D460:E460"/>
    <mergeCell ref="D462:F462"/>
    <mergeCell ref="D463:F463"/>
    <mergeCell ref="D464:F464"/>
    <mergeCell ref="D465:F465"/>
    <mergeCell ref="D455:E455"/>
    <mergeCell ref="D456:E456"/>
    <mergeCell ref="D457:E457"/>
    <mergeCell ref="D458:E458"/>
    <mergeCell ref="D459:E459"/>
    <mergeCell ref="D450:E450"/>
    <mergeCell ref="D451:E451"/>
    <mergeCell ref="D452:E452"/>
    <mergeCell ref="D453:E453"/>
    <mergeCell ref="D454:E454"/>
    <mergeCell ref="A444:C444"/>
    <mergeCell ref="D446:E446"/>
    <mergeCell ref="D447:E447"/>
    <mergeCell ref="D448:E448"/>
    <mergeCell ref="D449:E449"/>
    <mergeCell ref="A438:D438"/>
    <mergeCell ref="E438:F438"/>
    <mergeCell ref="A440:F440"/>
    <mergeCell ref="A441:F441"/>
    <mergeCell ref="A443:C443"/>
    <mergeCell ref="D434:F434"/>
    <mergeCell ref="D435:F435"/>
    <mergeCell ref="D436:F436"/>
    <mergeCell ref="A437:D437"/>
    <mergeCell ref="E437:F437"/>
    <mergeCell ref="D428:E428"/>
    <mergeCell ref="D429:E429"/>
    <mergeCell ref="D430:E430"/>
    <mergeCell ref="D431:E431"/>
    <mergeCell ref="D433:F433"/>
    <mergeCell ref="D423:E423"/>
    <mergeCell ref="D424:E424"/>
    <mergeCell ref="D425:E425"/>
    <mergeCell ref="D426:E426"/>
    <mergeCell ref="D427:E427"/>
    <mergeCell ref="D418:E418"/>
    <mergeCell ref="D419:E419"/>
    <mergeCell ref="D420:E420"/>
    <mergeCell ref="D421:E421"/>
    <mergeCell ref="D422:E422"/>
    <mergeCell ref="A411:F411"/>
    <mergeCell ref="A412:F412"/>
    <mergeCell ref="A414:C414"/>
    <mergeCell ref="A415:C415"/>
    <mergeCell ref="D417:E417"/>
    <mergeCell ref="D406:F406"/>
    <mergeCell ref="D407:F407"/>
    <mergeCell ref="A408:D408"/>
    <mergeCell ref="E408:F408"/>
    <mergeCell ref="A409:D409"/>
    <mergeCell ref="E409:F409"/>
    <mergeCell ref="D400:E400"/>
    <mergeCell ref="D401:E401"/>
    <mergeCell ref="D402:E402"/>
    <mergeCell ref="D404:F404"/>
    <mergeCell ref="D405:F405"/>
    <mergeCell ref="D395:E395"/>
    <mergeCell ref="D396:E396"/>
    <mergeCell ref="D397:E397"/>
    <mergeCell ref="D398:E398"/>
    <mergeCell ref="D399:E399"/>
    <mergeCell ref="D390:E390"/>
    <mergeCell ref="D391:E391"/>
    <mergeCell ref="D392:E392"/>
    <mergeCell ref="D393:E393"/>
    <mergeCell ref="D394:E394"/>
    <mergeCell ref="A383:F383"/>
    <mergeCell ref="A385:C385"/>
    <mergeCell ref="A386:C386"/>
    <mergeCell ref="D388:E388"/>
    <mergeCell ref="D389:E389"/>
    <mergeCell ref="A379:D379"/>
    <mergeCell ref="E379:F379"/>
    <mergeCell ref="A380:D380"/>
    <mergeCell ref="E380:F380"/>
    <mergeCell ref="A382:F382"/>
    <mergeCell ref="D373:E373"/>
    <mergeCell ref="D375:F375"/>
    <mergeCell ref="D376:F376"/>
    <mergeCell ref="D377:F377"/>
    <mergeCell ref="D378:F378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A357:C357"/>
    <mergeCell ref="D359:E359"/>
    <mergeCell ref="D360:E360"/>
    <mergeCell ref="D361:E361"/>
    <mergeCell ref="D362:E362"/>
    <mergeCell ref="A351:D351"/>
    <mergeCell ref="E351:F351"/>
    <mergeCell ref="A353:F353"/>
    <mergeCell ref="A354:F354"/>
    <mergeCell ref="A356:C356"/>
    <mergeCell ref="D347:F347"/>
    <mergeCell ref="D348:F348"/>
    <mergeCell ref="D349:F349"/>
    <mergeCell ref="A350:D350"/>
    <mergeCell ref="E350:F350"/>
    <mergeCell ref="D341:E341"/>
    <mergeCell ref="D342:E342"/>
    <mergeCell ref="D343:E343"/>
    <mergeCell ref="D344:E344"/>
    <mergeCell ref="D346:F346"/>
    <mergeCell ref="D336:E336"/>
    <mergeCell ref="D337:E337"/>
    <mergeCell ref="D338:E338"/>
    <mergeCell ref="D339:E339"/>
    <mergeCell ref="D340:E340"/>
    <mergeCell ref="D331:E331"/>
    <mergeCell ref="D332:E332"/>
    <mergeCell ref="D333:E333"/>
    <mergeCell ref="D334:E334"/>
    <mergeCell ref="D335:E335"/>
    <mergeCell ref="A324:F324"/>
    <mergeCell ref="A325:F325"/>
    <mergeCell ref="A327:C327"/>
    <mergeCell ref="A328:C328"/>
    <mergeCell ref="D330:E330"/>
    <mergeCell ref="D319:F319"/>
    <mergeCell ref="D320:F320"/>
    <mergeCell ref="A321:D321"/>
    <mergeCell ref="E321:F321"/>
    <mergeCell ref="A322:D322"/>
    <mergeCell ref="E322:F322"/>
    <mergeCell ref="D313:E313"/>
    <mergeCell ref="D314:E314"/>
    <mergeCell ref="D315:E315"/>
    <mergeCell ref="D317:F317"/>
    <mergeCell ref="D318:F318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A296:F296"/>
    <mergeCell ref="A298:C298"/>
    <mergeCell ref="A299:C299"/>
    <mergeCell ref="D301:E301"/>
    <mergeCell ref="D302:E302"/>
    <mergeCell ref="A292:D292"/>
    <mergeCell ref="E292:F292"/>
    <mergeCell ref="A293:D293"/>
    <mergeCell ref="E293:F293"/>
    <mergeCell ref="A295:F295"/>
    <mergeCell ref="D286:E286"/>
    <mergeCell ref="D288:F288"/>
    <mergeCell ref="D289:F289"/>
    <mergeCell ref="D290:F290"/>
    <mergeCell ref="D291:F291"/>
    <mergeCell ref="D281:E281"/>
    <mergeCell ref="D282:E282"/>
    <mergeCell ref="D283:E283"/>
    <mergeCell ref="D284:E284"/>
    <mergeCell ref="D285:E285"/>
    <mergeCell ref="D276:E276"/>
    <mergeCell ref="D277:E277"/>
    <mergeCell ref="D278:E278"/>
    <mergeCell ref="D279:E279"/>
    <mergeCell ref="D280:E280"/>
    <mergeCell ref="A270:C270"/>
    <mergeCell ref="D272:E272"/>
    <mergeCell ref="D273:E273"/>
    <mergeCell ref="D274:E274"/>
    <mergeCell ref="D275:E275"/>
    <mergeCell ref="A264:D264"/>
    <mergeCell ref="E264:F264"/>
    <mergeCell ref="A266:F266"/>
    <mergeCell ref="A267:F267"/>
    <mergeCell ref="A269:C269"/>
    <mergeCell ref="D260:F260"/>
    <mergeCell ref="D261:F261"/>
    <mergeCell ref="D262:F262"/>
    <mergeCell ref="A263:D263"/>
    <mergeCell ref="E263:F263"/>
    <mergeCell ref="D254:E254"/>
    <mergeCell ref="D255:E255"/>
    <mergeCell ref="D256:E256"/>
    <mergeCell ref="D257:E257"/>
    <mergeCell ref="D259:F259"/>
    <mergeCell ref="D249:E249"/>
    <mergeCell ref="D250:E250"/>
    <mergeCell ref="D251:E251"/>
    <mergeCell ref="D252:E252"/>
    <mergeCell ref="D253:E253"/>
    <mergeCell ref="D244:E244"/>
    <mergeCell ref="D245:E245"/>
    <mergeCell ref="D246:E246"/>
    <mergeCell ref="D247:E247"/>
    <mergeCell ref="D248:E248"/>
    <mergeCell ref="A237:F237"/>
    <mergeCell ref="A238:F238"/>
    <mergeCell ref="A240:C240"/>
    <mergeCell ref="A241:C241"/>
    <mergeCell ref="D243:E243"/>
    <mergeCell ref="D232:F232"/>
    <mergeCell ref="D233:F233"/>
    <mergeCell ref="A234:D234"/>
    <mergeCell ref="E234:F234"/>
    <mergeCell ref="A235:D235"/>
    <mergeCell ref="E235:F235"/>
    <mergeCell ref="D226:E226"/>
    <mergeCell ref="D227:E227"/>
    <mergeCell ref="D228:E228"/>
    <mergeCell ref="D230:F230"/>
    <mergeCell ref="D231:F231"/>
    <mergeCell ref="D221:E221"/>
    <mergeCell ref="D222:E222"/>
    <mergeCell ref="D223:E223"/>
    <mergeCell ref="D224:E224"/>
    <mergeCell ref="D225:E225"/>
    <mergeCell ref="D216:E216"/>
    <mergeCell ref="D217:E217"/>
    <mergeCell ref="D218:E218"/>
    <mergeCell ref="D219:E219"/>
    <mergeCell ref="D220:E220"/>
    <mergeCell ref="A209:F209"/>
    <mergeCell ref="A211:C211"/>
    <mergeCell ref="A212:C212"/>
    <mergeCell ref="D214:E214"/>
    <mergeCell ref="D215:E215"/>
    <mergeCell ref="A205:D205"/>
    <mergeCell ref="E205:F205"/>
    <mergeCell ref="A206:D206"/>
    <mergeCell ref="E206:F206"/>
    <mergeCell ref="A208:F208"/>
    <mergeCell ref="D199:E199"/>
    <mergeCell ref="D201:F201"/>
    <mergeCell ref="D202:F202"/>
    <mergeCell ref="D203:F203"/>
    <mergeCell ref="D204:F204"/>
    <mergeCell ref="D194:E194"/>
    <mergeCell ref="D195:E195"/>
    <mergeCell ref="D196:E196"/>
    <mergeCell ref="D197:E197"/>
    <mergeCell ref="D198:E198"/>
    <mergeCell ref="D189:E189"/>
    <mergeCell ref="D190:E190"/>
    <mergeCell ref="D191:E191"/>
    <mergeCell ref="D192:E192"/>
    <mergeCell ref="D193:E193"/>
    <mergeCell ref="A183:C183"/>
    <mergeCell ref="D185:E185"/>
    <mergeCell ref="D186:E186"/>
    <mergeCell ref="D187:E187"/>
    <mergeCell ref="D188:E188"/>
    <mergeCell ref="A177:D177"/>
    <mergeCell ref="E177:F177"/>
    <mergeCell ref="A179:F179"/>
    <mergeCell ref="A180:F180"/>
    <mergeCell ref="A182:C182"/>
    <mergeCell ref="D173:F173"/>
    <mergeCell ref="D174:F174"/>
    <mergeCell ref="D175:F175"/>
    <mergeCell ref="A176:D176"/>
    <mergeCell ref="E176:F176"/>
    <mergeCell ref="D167:E167"/>
    <mergeCell ref="D168:E168"/>
    <mergeCell ref="D169:E169"/>
    <mergeCell ref="D170:E170"/>
    <mergeCell ref="D172:F172"/>
    <mergeCell ref="D162:E162"/>
    <mergeCell ref="D163:E163"/>
    <mergeCell ref="D164:E164"/>
    <mergeCell ref="D165:E165"/>
    <mergeCell ref="D166:E166"/>
    <mergeCell ref="D157:E157"/>
    <mergeCell ref="D158:E158"/>
    <mergeCell ref="D159:E159"/>
    <mergeCell ref="D160:E160"/>
    <mergeCell ref="D161:E161"/>
    <mergeCell ref="A150:F150"/>
    <mergeCell ref="A151:F151"/>
    <mergeCell ref="A153:C153"/>
    <mergeCell ref="A154:C154"/>
    <mergeCell ref="D156:E156"/>
    <mergeCell ref="D145:F145"/>
    <mergeCell ref="D146:F146"/>
    <mergeCell ref="A147:D147"/>
    <mergeCell ref="E147:F147"/>
    <mergeCell ref="A148:D148"/>
    <mergeCell ref="E148:F148"/>
    <mergeCell ref="D139:E139"/>
    <mergeCell ref="D140:E140"/>
    <mergeCell ref="D141:E141"/>
    <mergeCell ref="D143:F143"/>
    <mergeCell ref="D144:F144"/>
    <mergeCell ref="D134:E134"/>
    <mergeCell ref="D135:E135"/>
    <mergeCell ref="D136:E136"/>
    <mergeCell ref="D137:E137"/>
    <mergeCell ref="D138:E138"/>
    <mergeCell ref="D129:E129"/>
    <mergeCell ref="D130:E130"/>
    <mergeCell ref="D131:E131"/>
    <mergeCell ref="D132:E132"/>
    <mergeCell ref="D133:E133"/>
    <mergeCell ref="A122:F122"/>
    <mergeCell ref="A124:C124"/>
    <mergeCell ref="A125:C125"/>
    <mergeCell ref="D127:E127"/>
    <mergeCell ref="D128:E128"/>
    <mergeCell ref="A118:D118"/>
    <mergeCell ref="E118:F118"/>
    <mergeCell ref="A119:D119"/>
    <mergeCell ref="E119:F119"/>
    <mergeCell ref="A121:F121"/>
    <mergeCell ref="D112:E112"/>
    <mergeCell ref="D114:F114"/>
    <mergeCell ref="D115:F115"/>
    <mergeCell ref="D116:F116"/>
    <mergeCell ref="D117:F117"/>
    <mergeCell ref="D107:E107"/>
    <mergeCell ref="D108:E108"/>
    <mergeCell ref="D109:E109"/>
    <mergeCell ref="D110:E110"/>
    <mergeCell ref="D111:E111"/>
    <mergeCell ref="D102:E102"/>
    <mergeCell ref="D103:E103"/>
    <mergeCell ref="D104:E104"/>
    <mergeCell ref="D105:E105"/>
    <mergeCell ref="D106:E106"/>
    <mergeCell ref="A96:C96"/>
    <mergeCell ref="D98:E98"/>
    <mergeCell ref="D99:E99"/>
    <mergeCell ref="D100:E100"/>
    <mergeCell ref="D101:E101"/>
    <mergeCell ref="A90:D90"/>
    <mergeCell ref="E90:F90"/>
    <mergeCell ref="A92:F92"/>
    <mergeCell ref="A93:F93"/>
    <mergeCell ref="A95:C95"/>
    <mergeCell ref="D86:F86"/>
    <mergeCell ref="D87:F87"/>
    <mergeCell ref="D88:F88"/>
    <mergeCell ref="A89:D89"/>
    <mergeCell ref="E89:F89"/>
    <mergeCell ref="D80:E80"/>
    <mergeCell ref="D81:E81"/>
    <mergeCell ref="D82:E82"/>
    <mergeCell ref="D83:E83"/>
    <mergeCell ref="D85:F85"/>
    <mergeCell ref="D75:E75"/>
    <mergeCell ref="D76:E76"/>
    <mergeCell ref="D77:E77"/>
    <mergeCell ref="D78:E78"/>
    <mergeCell ref="D79:E79"/>
    <mergeCell ref="D70:E70"/>
    <mergeCell ref="D71:E71"/>
    <mergeCell ref="D72:E72"/>
    <mergeCell ref="D73:E73"/>
    <mergeCell ref="D74:E74"/>
    <mergeCell ref="A63:F63"/>
    <mergeCell ref="A64:F64"/>
    <mergeCell ref="A66:C66"/>
    <mergeCell ref="A67:C67"/>
    <mergeCell ref="D69:E69"/>
    <mergeCell ref="D58:F58"/>
    <mergeCell ref="D59:F59"/>
    <mergeCell ref="A60:D60"/>
    <mergeCell ref="E60:F60"/>
    <mergeCell ref="A61:D61"/>
    <mergeCell ref="E61:F61"/>
    <mergeCell ref="D52:E52"/>
    <mergeCell ref="D53:E53"/>
    <mergeCell ref="D54:E54"/>
    <mergeCell ref="D56:F56"/>
    <mergeCell ref="D57:F57"/>
    <mergeCell ref="D47:E47"/>
    <mergeCell ref="D48:E48"/>
    <mergeCell ref="D49:E49"/>
    <mergeCell ref="D50:E50"/>
    <mergeCell ref="D51:E51"/>
    <mergeCell ref="D42:E42"/>
    <mergeCell ref="D43:E43"/>
    <mergeCell ref="D44:E44"/>
    <mergeCell ref="D45:E45"/>
    <mergeCell ref="D46:E46"/>
    <mergeCell ref="A35:F35"/>
    <mergeCell ref="A37:C37"/>
    <mergeCell ref="A38:C38"/>
    <mergeCell ref="D40:E40"/>
    <mergeCell ref="D41:E41"/>
    <mergeCell ref="A31:D31"/>
    <mergeCell ref="E31:F31"/>
    <mergeCell ref="A32:D32"/>
    <mergeCell ref="E32:F32"/>
    <mergeCell ref="A34:F34"/>
    <mergeCell ref="D30:F30"/>
    <mergeCell ref="D29:F29"/>
    <mergeCell ref="D28:F28"/>
    <mergeCell ref="A8:C8"/>
    <mergeCell ref="A9:C9"/>
    <mergeCell ref="D11:E11"/>
    <mergeCell ref="D12:E12"/>
    <mergeCell ref="D13:E13"/>
    <mergeCell ref="D24:E24"/>
    <mergeCell ref="D19:E19"/>
    <mergeCell ref="D20:E20"/>
    <mergeCell ref="D21:E21"/>
    <mergeCell ref="D27:F27"/>
    <mergeCell ref="D22:E22"/>
    <mergeCell ref="D23:E23"/>
    <mergeCell ref="D14:E14"/>
    <mergeCell ref="A2:D2"/>
    <mergeCell ref="A3:D3"/>
    <mergeCell ref="A5:F5"/>
    <mergeCell ref="A6:F6"/>
    <mergeCell ref="E2:F2"/>
    <mergeCell ref="E3:F3"/>
    <mergeCell ref="D15:E15"/>
    <mergeCell ref="D16:E16"/>
    <mergeCell ref="D17:E17"/>
    <mergeCell ref="D18:E18"/>
    <mergeCell ref="D25:E25"/>
  </mergeCells>
  <pageMargins left="0.45" right="0.25" top="0.25" bottom="0.25" header="0" footer="0"/>
  <pageSetup scale="95" fitToHeight="55" orientation="portrait" blackAndWhite="1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Bamlennx">
                <anchor moveWithCells="1" sizeWithCells="1">
                  <from>
                    <xdr:col>0</xdr:col>
                    <xdr:colOff>137160</xdr:colOff>
                    <xdr:row>0</xdr:row>
                    <xdr:rowOff>76200</xdr:rowOff>
                  </from>
                  <to>
                    <xdr:col>1</xdr:col>
                    <xdr:colOff>769620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InNXHKI">
                <anchor moveWithCells="1" sizeWithCells="1">
                  <from>
                    <xdr:col>2</xdr:col>
                    <xdr:colOff>7620</xdr:colOff>
                    <xdr:row>0</xdr:row>
                    <xdr:rowOff>76200</xdr:rowOff>
                  </from>
                  <to>
                    <xdr:col>3</xdr:col>
                    <xdr:colOff>312420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Bamxuong">
                <anchor moveWithCells="1" sizeWithCells="1">
                  <from>
                    <xdr:col>3</xdr:col>
                    <xdr:colOff>327660</xdr:colOff>
                    <xdr:row>0</xdr:row>
                    <xdr:rowOff>68580</xdr:rowOff>
                  </from>
                  <to>
                    <xdr:col>3</xdr:col>
                    <xdr:colOff>1249680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VedautrangNxHKI">
                <anchor moveWithCells="1" sizeWithCells="1">
                  <from>
                    <xdr:col>3</xdr:col>
                    <xdr:colOff>342900</xdr:colOff>
                    <xdr:row>1597</xdr:row>
                    <xdr:rowOff>114300</xdr:rowOff>
                  </from>
                  <to>
                    <xdr:col>4</xdr:col>
                    <xdr:colOff>251460</xdr:colOff>
                    <xdr:row>1598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-0.249977111117893"/>
  </sheetPr>
  <dimension ref="A1:ES77"/>
  <sheetViews>
    <sheetView workbookViewId="0">
      <pane xSplit="6" ySplit="2" topLeftCell="G3" activePane="bottomRight" state="frozen"/>
      <selection activeCell="P11" sqref="P11"/>
      <selection pane="topRight" activeCell="P11" sqref="P11"/>
      <selection pane="bottomLeft" activeCell="P11" sqref="P11"/>
      <selection pane="bottomRight" activeCell="F3" sqref="F3"/>
    </sheetView>
  </sheetViews>
  <sheetFormatPr defaultColWidth="9.109375" defaultRowHeight="13.8"/>
  <cols>
    <col min="1" max="1" width="11.44140625" style="759" customWidth="1"/>
    <col min="2" max="2" width="5.109375" style="758" customWidth="1"/>
    <col min="3" max="3" width="17.33203125" style="758" hidden="1" customWidth="1"/>
    <col min="4" max="4" width="20.109375" style="758" customWidth="1"/>
    <col min="5" max="5" width="9.44140625" style="758" customWidth="1"/>
    <col min="6" max="6" width="12.5546875" style="758" customWidth="1"/>
    <col min="7" max="7" width="9.44140625" style="758" customWidth="1"/>
    <col min="8" max="8" width="6.6640625" style="758" hidden="1" customWidth="1"/>
    <col min="9" max="9" width="36.109375" style="784" customWidth="1"/>
    <col min="10" max="10" width="10.5546875" style="758" customWidth="1"/>
    <col min="11" max="11" width="6.6640625" style="758" hidden="1" customWidth="1"/>
    <col min="12" max="12" width="34.5546875" style="784" customWidth="1"/>
    <col min="13" max="13" width="9.5546875" style="758" customWidth="1"/>
    <col min="14" max="14" width="6.6640625" style="758" hidden="1" customWidth="1"/>
    <col min="15" max="15" width="34.5546875" style="784" customWidth="1"/>
    <col min="16" max="16" width="8.5546875" style="758" customWidth="1"/>
    <col min="17" max="17" width="9.44140625" style="758" customWidth="1"/>
    <col min="18" max="18" width="6.6640625" style="758" hidden="1" customWidth="1"/>
    <col min="19" max="19" width="36.109375" style="784" customWidth="1"/>
    <col min="20" max="20" width="10.5546875" style="758" customWidth="1"/>
    <col min="21" max="21" width="6.6640625" style="758" hidden="1" customWidth="1"/>
    <col min="22" max="22" width="34.5546875" style="784" customWidth="1"/>
    <col min="23" max="23" width="9.5546875" style="758" customWidth="1"/>
    <col min="24" max="24" width="6.6640625" style="758" hidden="1" customWidth="1"/>
    <col min="25" max="25" width="34.5546875" style="784" customWidth="1"/>
    <col min="26" max="26" width="8.5546875" style="758" customWidth="1"/>
    <col min="27" max="27" width="9.44140625" style="758" customWidth="1"/>
    <col min="28" max="28" width="6.6640625" style="758" hidden="1" customWidth="1"/>
    <col min="29" max="29" width="36.109375" style="784" customWidth="1"/>
    <col min="30" max="30" width="10.5546875" style="758" customWidth="1"/>
    <col min="31" max="31" width="6.6640625" style="758" hidden="1" customWidth="1"/>
    <col min="32" max="32" width="34.5546875" style="784" customWidth="1"/>
    <col min="33" max="33" width="9.5546875" style="758" customWidth="1"/>
    <col min="34" max="34" width="6.6640625" style="758" hidden="1" customWidth="1"/>
    <col min="35" max="35" width="34.5546875" style="784" customWidth="1"/>
    <col min="36" max="36" width="8.5546875" style="758" customWidth="1"/>
    <col min="37" max="37" width="9.44140625" style="758" customWidth="1"/>
    <col min="38" max="38" width="6.6640625" style="758" hidden="1" customWidth="1"/>
    <col min="39" max="39" width="36.109375" style="784" customWidth="1"/>
    <col min="40" max="40" width="10.5546875" style="758" customWidth="1"/>
    <col min="41" max="41" width="6.6640625" style="758" hidden="1" customWidth="1"/>
    <col min="42" max="42" width="34.5546875" style="784" customWidth="1"/>
    <col min="43" max="43" width="9.5546875" style="758" customWidth="1"/>
    <col min="44" max="44" width="6.6640625" style="758" hidden="1" customWidth="1"/>
    <col min="45" max="45" width="34.5546875" style="784" customWidth="1"/>
    <col min="46" max="46" width="8.5546875" style="758" customWidth="1"/>
    <col min="47" max="47" width="9.44140625" style="758" customWidth="1"/>
    <col min="48" max="48" width="6.6640625" style="758" hidden="1" customWidth="1"/>
    <col min="49" max="49" width="36.109375" style="784" customWidth="1"/>
    <col min="50" max="50" width="10.5546875" style="758" customWidth="1"/>
    <col min="51" max="51" width="6.6640625" style="758" hidden="1" customWidth="1"/>
    <col min="52" max="52" width="34.5546875" style="784" customWidth="1"/>
    <col min="53" max="53" width="9.5546875" style="758" customWidth="1"/>
    <col min="54" max="54" width="6.6640625" style="758" hidden="1" customWidth="1"/>
    <col min="55" max="55" width="34.5546875" style="784" customWidth="1"/>
    <col min="56" max="56" width="8.5546875" style="758" customWidth="1"/>
    <col min="57" max="57" width="9.44140625" style="758" customWidth="1"/>
    <col min="58" max="58" width="6.6640625" style="758" hidden="1" customWidth="1"/>
    <col min="59" max="59" width="36.109375" style="784" customWidth="1"/>
    <col min="60" max="60" width="10.5546875" style="758" customWidth="1"/>
    <col min="61" max="61" width="6.6640625" style="758" hidden="1" customWidth="1"/>
    <col min="62" max="62" width="34.5546875" style="784" customWidth="1"/>
    <col min="63" max="63" width="9.5546875" style="758" customWidth="1"/>
    <col min="64" max="64" width="6.6640625" style="758" hidden="1" customWidth="1"/>
    <col min="65" max="65" width="34.5546875" style="784" customWidth="1"/>
    <col min="66" max="66" width="8.5546875" style="758" customWidth="1"/>
    <col min="67" max="67" width="9.44140625" style="758" customWidth="1"/>
    <col min="68" max="68" width="6.6640625" style="758" hidden="1" customWidth="1"/>
    <col min="69" max="69" width="36.109375" style="784" customWidth="1"/>
    <col min="70" max="70" width="10.5546875" style="758" customWidth="1"/>
    <col min="71" max="71" width="6.6640625" style="758" hidden="1" customWidth="1"/>
    <col min="72" max="72" width="34.5546875" style="784" customWidth="1"/>
    <col min="73" max="73" width="9.5546875" style="758" customWidth="1"/>
    <col min="74" max="74" width="6.6640625" style="758" hidden="1" customWidth="1"/>
    <col min="75" max="75" width="34.5546875" style="784" customWidth="1"/>
    <col min="76" max="76" width="8.5546875" style="758" customWidth="1"/>
    <col min="77" max="77" width="9.44140625" style="758" customWidth="1"/>
    <col min="78" max="78" width="6.6640625" style="758" hidden="1" customWidth="1"/>
    <col min="79" max="79" width="36.109375" style="784" customWidth="1"/>
    <col min="80" max="80" width="10.5546875" style="758" customWidth="1"/>
    <col min="81" max="81" width="6.6640625" style="758" hidden="1" customWidth="1"/>
    <col min="82" max="82" width="34.5546875" style="784" customWidth="1"/>
    <col min="83" max="83" width="9.5546875" style="758" customWidth="1"/>
    <col min="84" max="84" width="6.6640625" style="758" hidden="1" customWidth="1"/>
    <col min="85" max="85" width="34.5546875" style="784" customWidth="1"/>
    <col min="86" max="86" width="8.5546875" style="758" customWidth="1"/>
    <col min="87" max="87" width="9.44140625" style="758" customWidth="1"/>
    <col min="88" max="88" width="6.6640625" style="758" hidden="1" customWidth="1"/>
    <col min="89" max="89" width="44.5546875" style="784" customWidth="1"/>
    <col min="90" max="90" width="10.5546875" style="758" customWidth="1"/>
    <col min="91" max="91" width="6.6640625" style="758" hidden="1" customWidth="1"/>
    <col min="92" max="92" width="34.5546875" style="784" customWidth="1"/>
    <col min="93" max="93" width="9.5546875" style="758" customWidth="1"/>
    <col min="94" max="94" width="6.6640625" style="758" hidden="1" customWidth="1"/>
    <col min="95" max="95" width="34.5546875" style="784" customWidth="1"/>
    <col min="96" max="96" width="8.5546875" style="758" customWidth="1"/>
    <col min="97" max="97" width="9.44140625" style="758" customWidth="1"/>
    <col min="98" max="98" width="6.6640625" style="758" hidden="1" customWidth="1"/>
    <col min="99" max="99" width="36.109375" style="784" customWidth="1"/>
    <col min="100" max="100" width="10.5546875" style="758" customWidth="1"/>
    <col min="101" max="101" width="6.6640625" style="758" hidden="1" customWidth="1"/>
    <col min="102" max="102" width="34.5546875" style="784" customWidth="1"/>
    <col min="103" max="103" width="9.5546875" style="758" customWidth="1"/>
    <col min="104" max="104" width="6.6640625" style="758" hidden="1" customWidth="1"/>
    <col min="105" max="105" width="34.5546875" style="784" customWidth="1"/>
    <col min="106" max="106" width="8.5546875" style="758" customWidth="1"/>
    <col min="107" max="107" width="9.44140625" style="758" customWidth="1"/>
    <col min="108" max="108" width="6.6640625" style="758" hidden="1" customWidth="1"/>
    <col min="109" max="109" width="36.109375" style="784" customWidth="1"/>
    <col min="110" max="110" width="10.5546875" style="758" customWidth="1"/>
    <col min="111" max="111" width="6.6640625" style="758" hidden="1" customWidth="1"/>
    <col min="112" max="112" width="34.5546875" style="784" customWidth="1"/>
    <col min="113" max="113" width="9.5546875" style="758" customWidth="1"/>
    <col min="114" max="114" width="6.6640625" style="758" hidden="1" customWidth="1"/>
    <col min="115" max="115" width="34.5546875" style="784" customWidth="1"/>
    <col min="116" max="116" width="8.5546875" style="758" customWidth="1"/>
    <col min="117" max="117" width="9.44140625" style="758" customWidth="1"/>
    <col min="118" max="118" width="6.6640625" style="758" hidden="1" customWidth="1"/>
    <col min="119" max="119" width="36.109375" style="784" customWidth="1"/>
    <col min="120" max="120" width="10.5546875" style="758" customWidth="1"/>
    <col min="121" max="121" width="6.6640625" style="758" hidden="1" customWidth="1"/>
    <col min="122" max="122" width="34.5546875" style="784" customWidth="1"/>
    <col min="123" max="123" width="9.5546875" style="758" customWidth="1"/>
    <col min="124" max="124" width="6.6640625" style="758" hidden="1" customWidth="1"/>
    <col min="125" max="125" width="34.5546875" style="784" customWidth="1"/>
    <col min="126" max="126" width="8.5546875" style="758" customWidth="1"/>
    <col min="127" max="127" width="9.44140625" style="758" customWidth="1"/>
    <col min="128" max="128" width="6.6640625" style="758" hidden="1" customWidth="1"/>
    <col min="129" max="129" width="36.109375" style="784" customWidth="1"/>
    <col min="130" max="130" width="10.5546875" style="758" customWidth="1"/>
    <col min="131" max="131" width="6.6640625" style="758" hidden="1" customWidth="1"/>
    <col min="132" max="132" width="34.5546875" style="784" customWidth="1"/>
    <col min="133" max="133" width="9.5546875" style="758" customWidth="1"/>
    <col min="134" max="134" width="6.6640625" style="758" hidden="1" customWidth="1"/>
    <col min="135" max="135" width="34.5546875" style="784" customWidth="1"/>
    <col min="136" max="136" width="8.5546875" style="758" customWidth="1"/>
    <col min="137" max="137" width="9.44140625" style="758" customWidth="1"/>
    <col min="138" max="138" width="6.6640625" style="758" hidden="1" customWidth="1"/>
    <col min="139" max="139" width="36.109375" style="784" customWidth="1"/>
    <col min="140" max="140" width="10.5546875" style="758" customWidth="1"/>
    <col min="141" max="141" width="6.6640625" style="758" hidden="1" customWidth="1"/>
    <col min="142" max="142" width="34.5546875" style="784" customWidth="1"/>
    <col min="143" max="143" width="9.5546875" style="758" customWidth="1"/>
    <col min="144" max="144" width="6.6640625" style="758" hidden="1" customWidth="1"/>
    <col min="145" max="145" width="34.5546875" style="784" customWidth="1"/>
    <col min="146" max="146" width="8.5546875" style="758" customWidth="1"/>
    <col min="147" max="147" width="9.109375" style="759"/>
    <col min="148" max="149" width="0" style="759" hidden="1" customWidth="1"/>
    <col min="150" max="16384" width="9.109375" style="759"/>
  </cols>
  <sheetData>
    <row r="1" spans="1:149" ht="28.5" customHeight="1">
      <c r="A1" s="757" t="str">
        <f>IF('Huong dan'!C3&lt;&gt;"",UPPER('Huong dan'!C3),"")</f>
        <v>12A1</v>
      </c>
      <c r="B1" s="1155" t="str">
        <f>IF('Huong dan'!C3&lt;&gt;"","Lớp "&amp;UPPER('Huong dan'!C3),"")</f>
        <v>Lớp 12A1</v>
      </c>
      <c r="C1" s="1155"/>
      <c r="D1" s="1155"/>
      <c r="E1" s="1155"/>
      <c r="F1" s="1155"/>
      <c r="G1" s="1151" t="s">
        <v>315</v>
      </c>
      <c r="H1" s="1152"/>
      <c r="I1" s="1152"/>
      <c r="J1" s="1152"/>
      <c r="K1" s="1152"/>
      <c r="L1" s="1152"/>
      <c r="M1" s="1152"/>
      <c r="N1" s="1152"/>
      <c r="O1" s="1152"/>
      <c r="P1" s="797"/>
      <c r="Q1" s="1165" t="s">
        <v>347</v>
      </c>
      <c r="R1" s="1166"/>
      <c r="S1" s="1166"/>
      <c r="T1" s="1166"/>
      <c r="U1" s="1166"/>
      <c r="V1" s="1166"/>
      <c r="W1" s="1166"/>
      <c r="X1" s="1166"/>
      <c r="Y1" s="1166"/>
      <c r="Z1" s="796"/>
      <c r="AA1" s="1151" t="s">
        <v>348</v>
      </c>
      <c r="AB1" s="1152"/>
      <c r="AC1" s="1152"/>
      <c r="AD1" s="1152"/>
      <c r="AE1" s="1152"/>
      <c r="AF1" s="1152"/>
      <c r="AG1" s="1152"/>
      <c r="AH1" s="1152"/>
      <c r="AI1" s="1152"/>
      <c r="AJ1" s="797"/>
      <c r="AK1" s="1165" t="s">
        <v>349</v>
      </c>
      <c r="AL1" s="1166"/>
      <c r="AM1" s="1166"/>
      <c r="AN1" s="1166"/>
      <c r="AO1" s="1166"/>
      <c r="AP1" s="1166"/>
      <c r="AQ1" s="1166"/>
      <c r="AR1" s="1166"/>
      <c r="AS1" s="1166"/>
      <c r="AT1" s="796"/>
      <c r="AU1" s="1151" t="s">
        <v>350</v>
      </c>
      <c r="AV1" s="1152"/>
      <c r="AW1" s="1152"/>
      <c r="AX1" s="1152"/>
      <c r="AY1" s="1152"/>
      <c r="AZ1" s="1152"/>
      <c r="BA1" s="1152"/>
      <c r="BB1" s="1152"/>
      <c r="BC1" s="1152"/>
      <c r="BD1" s="797"/>
      <c r="BE1" s="1165" t="s">
        <v>351</v>
      </c>
      <c r="BF1" s="1166"/>
      <c r="BG1" s="1166"/>
      <c r="BH1" s="1166"/>
      <c r="BI1" s="1166"/>
      <c r="BJ1" s="1166"/>
      <c r="BK1" s="1166"/>
      <c r="BL1" s="1166"/>
      <c r="BM1" s="1166"/>
      <c r="BN1" s="796"/>
      <c r="BO1" s="1151" t="s">
        <v>352</v>
      </c>
      <c r="BP1" s="1152"/>
      <c r="BQ1" s="1152"/>
      <c r="BR1" s="1152"/>
      <c r="BS1" s="1152"/>
      <c r="BT1" s="1152"/>
      <c r="BU1" s="1152"/>
      <c r="BV1" s="1152"/>
      <c r="BW1" s="1152"/>
      <c r="BX1" s="797"/>
      <c r="BY1" s="1165" t="s">
        <v>353</v>
      </c>
      <c r="BZ1" s="1166"/>
      <c r="CA1" s="1166"/>
      <c r="CB1" s="1166"/>
      <c r="CC1" s="1166"/>
      <c r="CD1" s="1166"/>
      <c r="CE1" s="1166"/>
      <c r="CF1" s="1166"/>
      <c r="CG1" s="1166"/>
      <c r="CH1" s="796"/>
      <c r="CI1" s="1151" t="s">
        <v>354</v>
      </c>
      <c r="CJ1" s="1152"/>
      <c r="CK1" s="1152"/>
      <c r="CL1" s="1152"/>
      <c r="CM1" s="1152"/>
      <c r="CN1" s="1152"/>
      <c r="CO1" s="1152"/>
      <c r="CP1" s="1152"/>
      <c r="CQ1" s="1152"/>
      <c r="CR1" s="797"/>
      <c r="CS1" s="1165" t="s">
        <v>355</v>
      </c>
      <c r="CT1" s="1166"/>
      <c r="CU1" s="1166"/>
      <c r="CV1" s="1166"/>
      <c r="CW1" s="1166"/>
      <c r="CX1" s="1166"/>
      <c r="CY1" s="1166"/>
      <c r="CZ1" s="1166"/>
      <c r="DA1" s="1166"/>
      <c r="DB1" s="796"/>
      <c r="DC1" s="1151" t="s">
        <v>356</v>
      </c>
      <c r="DD1" s="1152"/>
      <c r="DE1" s="1152"/>
      <c r="DF1" s="1152"/>
      <c r="DG1" s="1152"/>
      <c r="DH1" s="1152"/>
      <c r="DI1" s="1152"/>
      <c r="DJ1" s="1152"/>
      <c r="DK1" s="1152"/>
      <c r="DL1" s="797"/>
      <c r="DM1" s="1165" t="s">
        <v>357</v>
      </c>
      <c r="DN1" s="1166"/>
      <c r="DO1" s="1166"/>
      <c r="DP1" s="1166"/>
      <c r="DQ1" s="1166"/>
      <c r="DR1" s="1166"/>
      <c r="DS1" s="1166"/>
      <c r="DT1" s="1166"/>
      <c r="DU1" s="1166"/>
      <c r="DV1" s="796"/>
      <c r="DW1" s="1151" t="s">
        <v>358</v>
      </c>
      <c r="DX1" s="1152"/>
      <c r="DY1" s="1152"/>
      <c r="DZ1" s="1152"/>
      <c r="EA1" s="1152"/>
      <c r="EB1" s="1152"/>
      <c r="EC1" s="1152"/>
      <c r="ED1" s="1152"/>
      <c r="EE1" s="1152"/>
      <c r="EF1" s="797"/>
      <c r="EG1" s="1165" t="s">
        <v>359</v>
      </c>
      <c r="EH1" s="1166"/>
      <c r="EI1" s="1166"/>
      <c r="EJ1" s="1166"/>
      <c r="EK1" s="1166"/>
      <c r="EL1" s="1166"/>
      <c r="EM1" s="1166"/>
      <c r="EN1" s="1166"/>
      <c r="EO1" s="1166"/>
      <c r="EP1" s="796"/>
      <c r="ER1" s="816"/>
      <c r="ES1" s="816"/>
    </row>
    <row r="2" spans="1:149" s="763" customFormat="1" ht="41.25" customHeight="1">
      <c r="A2" s="795"/>
      <c r="B2" s="760" t="s">
        <v>0</v>
      </c>
      <c r="C2" s="760"/>
      <c r="D2" s="1153" t="s">
        <v>1</v>
      </c>
      <c r="E2" s="1154"/>
      <c r="F2" s="761" t="s">
        <v>2</v>
      </c>
      <c r="G2" s="762" t="s">
        <v>298</v>
      </c>
      <c r="H2" s="790"/>
      <c r="I2" s="837" t="s">
        <v>295</v>
      </c>
      <c r="J2" s="762" t="s">
        <v>299</v>
      </c>
      <c r="K2" s="790"/>
      <c r="L2" s="837" t="s">
        <v>296</v>
      </c>
      <c r="M2" s="762" t="s">
        <v>300</v>
      </c>
      <c r="N2" s="790"/>
      <c r="O2" s="837" t="s">
        <v>297</v>
      </c>
      <c r="P2" s="761" t="s">
        <v>126</v>
      </c>
      <c r="Q2" s="762" t="s">
        <v>298</v>
      </c>
      <c r="R2" s="790"/>
      <c r="S2" s="837" t="s">
        <v>295</v>
      </c>
      <c r="T2" s="762" t="s">
        <v>299</v>
      </c>
      <c r="U2" s="790"/>
      <c r="V2" s="837" t="s">
        <v>296</v>
      </c>
      <c r="W2" s="762" t="s">
        <v>300</v>
      </c>
      <c r="X2" s="790"/>
      <c r="Y2" s="837" t="s">
        <v>297</v>
      </c>
      <c r="Z2" s="761" t="s">
        <v>126</v>
      </c>
      <c r="AA2" s="762" t="s">
        <v>298</v>
      </c>
      <c r="AB2" s="790"/>
      <c r="AC2" s="837" t="s">
        <v>295</v>
      </c>
      <c r="AD2" s="762" t="s">
        <v>299</v>
      </c>
      <c r="AE2" s="790"/>
      <c r="AF2" s="837" t="s">
        <v>296</v>
      </c>
      <c r="AG2" s="762" t="s">
        <v>300</v>
      </c>
      <c r="AH2" s="790"/>
      <c r="AI2" s="837" t="s">
        <v>297</v>
      </c>
      <c r="AJ2" s="761" t="s">
        <v>126</v>
      </c>
      <c r="AK2" s="762" t="s">
        <v>298</v>
      </c>
      <c r="AL2" s="790"/>
      <c r="AM2" s="837" t="s">
        <v>295</v>
      </c>
      <c r="AN2" s="762" t="s">
        <v>299</v>
      </c>
      <c r="AO2" s="790"/>
      <c r="AP2" s="837" t="s">
        <v>296</v>
      </c>
      <c r="AQ2" s="762" t="s">
        <v>300</v>
      </c>
      <c r="AR2" s="790"/>
      <c r="AS2" s="837" t="s">
        <v>297</v>
      </c>
      <c r="AT2" s="761" t="s">
        <v>126</v>
      </c>
      <c r="AU2" s="762" t="s">
        <v>298</v>
      </c>
      <c r="AV2" s="790"/>
      <c r="AW2" s="837" t="s">
        <v>295</v>
      </c>
      <c r="AX2" s="762" t="s">
        <v>299</v>
      </c>
      <c r="AY2" s="790"/>
      <c r="AZ2" s="837" t="s">
        <v>296</v>
      </c>
      <c r="BA2" s="762" t="s">
        <v>300</v>
      </c>
      <c r="BB2" s="790"/>
      <c r="BC2" s="837" t="s">
        <v>297</v>
      </c>
      <c r="BD2" s="761" t="s">
        <v>126</v>
      </c>
      <c r="BE2" s="762" t="s">
        <v>298</v>
      </c>
      <c r="BF2" s="790"/>
      <c r="BG2" s="837" t="s">
        <v>295</v>
      </c>
      <c r="BH2" s="762" t="s">
        <v>299</v>
      </c>
      <c r="BI2" s="790"/>
      <c r="BJ2" s="837" t="s">
        <v>296</v>
      </c>
      <c r="BK2" s="762" t="s">
        <v>300</v>
      </c>
      <c r="BL2" s="790"/>
      <c r="BM2" s="837" t="s">
        <v>297</v>
      </c>
      <c r="BN2" s="761" t="s">
        <v>126</v>
      </c>
      <c r="BO2" s="762" t="s">
        <v>298</v>
      </c>
      <c r="BP2" s="790"/>
      <c r="BQ2" s="837" t="s">
        <v>295</v>
      </c>
      <c r="BR2" s="762" t="s">
        <v>299</v>
      </c>
      <c r="BS2" s="790"/>
      <c r="BT2" s="837" t="s">
        <v>296</v>
      </c>
      <c r="BU2" s="762" t="s">
        <v>300</v>
      </c>
      <c r="BV2" s="790"/>
      <c r="BW2" s="837" t="s">
        <v>297</v>
      </c>
      <c r="BX2" s="761" t="s">
        <v>126</v>
      </c>
      <c r="BY2" s="762" t="s">
        <v>298</v>
      </c>
      <c r="BZ2" s="790"/>
      <c r="CA2" s="837" t="s">
        <v>295</v>
      </c>
      <c r="CB2" s="762" t="s">
        <v>299</v>
      </c>
      <c r="CC2" s="790"/>
      <c r="CD2" s="837" t="s">
        <v>296</v>
      </c>
      <c r="CE2" s="762" t="s">
        <v>300</v>
      </c>
      <c r="CF2" s="790"/>
      <c r="CG2" s="837" t="s">
        <v>297</v>
      </c>
      <c r="CH2" s="761" t="s">
        <v>126</v>
      </c>
      <c r="CI2" s="762" t="s">
        <v>298</v>
      </c>
      <c r="CJ2" s="790"/>
      <c r="CK2" s="837" t="s">
        <v>295</v>
      </c>
      <c r="CL2" s="762" t="s">
        <v>299</v>
      </c>
      <c r="CM2" s="790"/>
      <c r="CN2" s="837" t="s">
        <v>296</v>
      </c>
      <c r="CO2" s="762" t="s">
        <v>300</v>
      </c>
      <c r="CP2" s="790"/>
      <c r="CQ2" s="837" t="s">
        <v>297</v>
      </c>
      <c r="CR2" s="761" t="s">
        <v>126</v>
      </c>
      <c r="CS2" s="762" t="s">
        <v>298</v>
      </c>
      <c r="CT2" s="790"/>
      <c r="CU2" s="837" t="s">
        <v>295</v>
      </c>
      <c r="CV2" s="762" t="s">
        <v>299</v>
      </c>
      <c r="CW2" s="790"/>
      <c r="CX2" s="837" t="s">
        <v>296</v>
      </c>
      <c r="CY2" s="762" t="s">
        <v>300</v>
      </c>
      <c r="CZ2" s="790"/>
      <c r="DA2" s="837" t="s">
        <v>297</v>
      </c>
      <c r="DB2" s="761" t="s">
        <v>126</v>
      </c>
      <c r="DC2" s="762" t="s">
        <v>298</v>
      </c>
      <c r="DD2" s="790"/>
      <c r="DE2" s="837" t="s">
        <v>295</v>
      </c>
      <c r="DF2" s="762" t="s">
        <v>299</v>
      </c>
      <c r="DG2" s="790"/>
      <c r="DH2" s="837" t="s">
        <v>296</v>
      </c>
      <c r="DI2" s="762" t="s">
        <v>300</v>
      </c>
      <c r="DJ2" s="790"/>
      <c r="DK2" s="837" t="s">
        <v>297</v>
      </c>
      <c r="DL2" s="761" t="s">
        <v>126</v>
      </c>
      <c r="DM2" s="762" t="s">
        <v>298</v>
      </c>
      <c r="DN2" s="790"/>
      <c r="DO2" s="837" t="s">
        <v>295</v>
      </c>
      <c r="DP2" s="762" t="s">
        <v>299</v>
      </c>
      <c r="DQ2" s="790"/>
      <c r="DR2" s="837" t="s">
        <v>296</v>
      </c>
      <c r="DS2" s="762" t="s">
        <v>300</v>
      </c>
      <c r="DT2" s="790"/>
      <c r="DU2" s="837" t="s">
        <v>297</v>
      </c>
      <c r="DV2" s="761" t="s">
        <v>126</v>
      </c>
      <c r="DW2" s="762" t="s">
        <v>298</v>
      </c>
      <c r="DX2" s="790"/>
      <c r="DY2" s="837" t="s">
        <v>295</v>
      </c>
      <c r="DZ2" s="762" t="s">
        <v>299</v>
      </c>
      <c r="EA2" s="790"/>
      <c r="EB2" s="837" t="s">
        <v>296</v>
      </c>
      <c r="EC2" s="762" t="s">
        <v>300</v>
      </c>
      <c r="ED2" s="790"/>
      <c r="EE2" s="837" t="s">
        <v>297</v>
      </c>
      <c r="EF2" s="761" t="s">
        <v>126</v>
      </c>
      <c r="EG2" s="762" t="s">
        <v>298</v>
      </c>
      <c r="EH2" s="790"/>
      <c r="EI2" s="837" t="s">
        <v>295</v>
      </c>
      <c r="EJ2" s="762" t="s">
        <v>299</v>
      </c>
      <c r="EK2" s="790"/>
      <c r="EL2" s="837" t="s">
        <v>296</v>
      </c>
      <c r="EM2" s="762" t="s">
        <v>300</v>
      </c>
      <c r="EN2" s="790"/>
      <c r="EO2" s="837" t="s">
        <v>297</v>
      </c>
      <c r="EP2" s="761" t="s">
        <v>126</v>
      </c>
      <c r="ER2" s="817" t="s">
        <v>176</v>
      </c>
      <c r="ES2" s="817" t="s">
        <v>176</v>
      </c>
    </row>
    <row r="3" spans="1:149" ht="15" customHeight="1">
      <c r="A3" s="764"/>
      <c r="B3" s="765">
        <f>IF(COUNTA(DiemHKII!D4:D58)&gt;=1,MIN(DiemHKII!B4:B58),"")</f>
        <v>1</v>
      </c>
      <c r="C3" s="765" t="str">
        <f>IF(B3="","",A$1&amp;TRIM(D3)&amp;TRIM(E3)&amp;F3)</f>
        <v>12A1Phạm Huỳnh HiệpAn16/10/2004</v>
      </c>
      <c r="D3" s="766" t="str">
        <f>IF($B3&lt;&gt;"",PROPER(INDEX(DiemHKII!$B$4:$K$58,MATCH($B3,DiemHKII!$B$4:$B$58,0),4)),"")</f>
        <v>Phạm Huỳnh Hiệp</v>
      </c>
      <c r="E3" s="767" t="str">
        <f>IF($B3&lt;&gt;"",PROPER(INDEX(DiemHKII!$B$4:$K$58,MATCH($B3,DiemHKII!$B$4:$B$58,0),5)),"")</f>
        <v>An</v>
      </c>
      <c r="F3" s="768" t="str">
        <f>IF($B3&lt;&gt;"",PROPER(INDEX(DiemHKII!$B$4:$K$58,MATCH($B3,DiemHKII!$B$4:$B$58,0),6)),"")</f>
        <v>16/10/2004</v>
      </c>
      <c r="G3" s="769">
        <f>IF($B3="","",IF(INDEX(BDHK2,MATCH($C3,DiemHKII!$C$4:$C$58,0),G$59)&lt;&gt;"",INDEX(BDHK2,MATCH($C3,DiemHKII!$C$4:$C$58,0),G$59),""))</f>
        <v>9.4</v>
      </c>
      <c r="H3" s="791">
        <f>IF(G3="","",IF(G3&gt;=9,1,IF(G3&gt;=8.5,2,IF(G3&gt;=8,3,IF(G3&gt;=7.5,4,IF(G3&gt;=7,5,IF(G3&gt;=6.5,6,IF(G3&gt;=6,7,IF(G3&gt;=5.5,8,IF(G3&gt;=5,9,IF(G3&gt;=4.5,10,IF(G3&gt;=4,11,IF(G3&gt;=3.5,12,IF(G3&gt;=3,13,IF(G3&gt;=2.5,14,IF(G3&gt;=0,15,""))))))))))))))))</f>
        <v>1</v>
      </c>
      <c r="I3" s="770" t="str">
        <f>IF($B3="","",INDEX(NXetHKI!$B$3:$CL$57,MATCH(NXchung!$C3,NXetHKI!$C$3:$C$57,0),NXchung!I$59))</f>
        <v>Em chăm chỉ, chuyên cần, rất tích cực, rất đáng khen.</v>
      </c>
      <c r="J3" s="769" t="str">
        <f>IF($B3="","",IF(INDEX(BDHK2,MATCH($C3,DiemHKII!$C$4:$C$58,0),J$59)&lt;&gt;"",INDEX(BDHK2,MATCH($C3,DiemHKII!$C$4:$C$58,0),J$59),""))</f>
        <v/>
      </c>
      <c r="K3" s="791" t="str">
        <f>IF(J3="","",IF(J3&gt;=9,1,IF(J3&gt;=8.5,2,IF(J3&gt;=8,3,IF(J3&gt;=7.5,4,IF(J3&gt;=7,5,IF(J3&gt;=6.5,6,IF(J3&gt;=6,7,IF(J3&gt;=5.5,8,IF(J3&gt;=5,9,IF(J3&gt;=4.5,10,IF(J3&gt;=4,11,IF(J3&gt;=3.5,12,IF(J3&gt;=3,13,IF(J3&gt;=2.5,14,IF(J3&gt;=0,15,""))))))))))))))))</f>
        <v/>
      </c>
      <c r="L3" s="770" t="str">
        <f>IF(K3="","",VLOOKUP(K3,$G$61:$O$75,$ER3,0))</f>
        <v/>
      </c>
      <c r="M3" s="769" t="str">
        <f>IF($B3="","",IF(INDEX(BDHK2,MATCH($C3,DiemHKII!$C$4:$C$58,0),M$59)&lt;&gt;"",INDEX(BDHK2,MATCH($C3,DiemHKII!$C$4:$C$58,0),M$59),""))</f>
        <v/>
      </c>
      <c r="N3" s="791" t="str">
        <f>IF(M3="","",IF(M3&gt;=9,1,IF(M3&gt;=8.5,2,IF(M3&gt;=8,3,IF(M3&gt;=7.5,4,IF(M3&gt;=7,5,IF(M3&gt;=6.5,6,IF(M3&gt;=6,7,IF(M3&gt;=5.5,8,IF(M3&gt;=5,9,IF(M3&gt;=4.5,10,IF(M3&gt;=4,11,IF(M3&gt;=3.5,12,IF(M3&gt;=3,13,IF(M3&gt;=2.5,14,IF(M3&gt;=0,15,""))))))))))))))))</f>
        <v/>
      </c>
      <c r="O3" s="770" t="str">
        <f>IF(N3="","",VLOOKUP(N3,$G$61:$O$75,$ES3,0))</f>
        <v/>
      </c>
      <c r="P3" s="768"/>
      <c r="Q3" s="769">
        <f>IF($B3="","",IF(INDEX(BDHK2,MATCH($C3,DiemHKII!$C$4:$C$58,0),Q$59)&lt;&gt;"",INDEX(BDHK2,MATCH($C3,DiemHKII!$C$4:$C$58,0),Q$59),""))</f>
        <v>9.5</v>
      </c>
      <c r="R3" s="791">
        <f>IF(Q3="","",IF(Q3&gt;=9,1,IF(Q3&gt;=8.5,2,IF(Q3&gt;=8,3,IF(Q3&gt;=7.5,4,IF(Q3&gt;=7,5,IF(Q3&gt;=6.5,6,IF(Q3&gt;=6,7,IF(Q3&gt;=5.5,8,IF(Q3&gt;=5,9,IF(Q3&gt;=4.5,10,IF(Q3&gt;=4,11,IF(Q3&gt;=3.5,12,IF(Q3&gt;=3,13,IF(Q3&gt;=2.5,14,IF(Q3&gt;=0,15,""))))))))))))))))</f>
        <v>1</v>
      </c>
      <c r="S3" s="770" t="str">
        <f>IF($B3="","",INDEX(NXetHKI!$B$3:$CL$57,MATCH(NXchung!$C3,NXetHKI!$C$3:$C$57,0),NXchung!S$59))</f>
        <v>Em chăm chỉ, chuyên cần, rất tích cực, rất đáng khen.</v>
      </c>
      <c r="T3" s="769" t="str">
        <f>IF($B3="","",IF(INDEX(BDHK2,MATCH($C3,DiemHKII!$C$4:$C$58,0),T$59)&lt;&gt;"",INDEX(BDHK2,MATCH($C3,DiemHKII!$C$4:$C$58,0),T$59),""))</f>
        <v/>
      </c>
      <c r="U3" s="791" t="str">
        <f>IF(T3="","",IF(T3&gt;=9,1,IF(T3&gt;=8.5,2,IF(T3&gt;=8,3,IF(T3&gt;=7.5,4,IF(T3&gt;=7,5,IF(T3&gt;=6.5,6,IF(T3&gt;=6,7,IF(T3&gt;=5.5,8,IF(T3&gt;=5,9,IF(T3&gt;=4.5,10,IF(T3&gt;=4,11,IF(T3&gt;=3.5,12,IF(T3&gt;=3,13,IF(T3&gt;=2.5,14,IF(T3&gt;=0,15,""))))))))))))))))</f>
        <v/>
      </c>
      <c r="V3" s="770" t="str">
        <f>IF(U3="","",VLOOKUP(U3,$Q$61:$Y$75,$ER3,0))</f>
        <v/>
      </c>
      <c r="W3" s="769" t="str">
        <f>IF($B3="","",IF(INDEX(BDHK2,MATCH($C3,DiemHKII!$C$4:$C$58,0),W$59)&lt;&gt;"",INDEX(BDHK2,MATCH($C3,DiemHKII!$C$4:$C$58,0),W$59),""))</f>
        <v/>
      </c>
      <c r="X3" s="791" t="str">
        <f>IF(W3="","",IF(W3&gt;=9,1,IF(W3&gt;=8.5,2,IF(W3&gt;=8,3,IF(W3&gt;=7.5,4,IF(W3&gt;=7,5,IF(W3&gt;=6.5,6,IF(W3&gt;=6,7,IF(W3&gt;=5.5,8,IF(W3&gt;=5,9,IF(W3&gt;=4.5,10,IF(W3&gt;=4,11,IF(W3&gt;=3.5,12,IF(W3&gt;=3,13,IF(W3&gt;=2.5,14,IF(W3&gt;=0,15,""))))))))))))))))</f>
        <v/>
      </c>
      <c r="Y3" s="770" t="str">
        <f>IF(X3="","",VLOOKUP(X3,$Q$61:$Y$75,$ES3,0))</f>
        <v/>
      </c>
      <c r="Z3" s="768"/>
      <c r="AA3" s="769">
        <f>IF($B3="","",IF(INDEX(BDHK2,MATCH($C3,DiemHKII!$C$4:$C$58,0),AA$59)&lt;&gt;"",INDEX(BDHK2,MATCH($C3,DiemHKII!$C$4:$C$58,0),AA$59),""))</f>
        <v>9.3000000000000007</v>
      </c>
      <c r="AB3" s="791">
        <f>IF(AA3="","",IF(AA3&gt;=9,1,IF(AA3&gt;=8.5,2,IF(AA3&gt;=8,3,IF(AA3&gt;=7.5,4,IF(AA3&gt;=7,5,IF(AA3&gt;=6.5,6,IF(AA3&gt;=6,7,IF(AA3&gt;=5.5,8,IF(AA3&gt;=5,9,IF(AA3&gt;=4.5,10,IF(AA3&gt;=4,11,IF(AA3&gt;=3.5,12,IF(AA3&gt;=3,13,IF(AA3&gt;=2.5,14,IF(AA3&gt;=0,15,""))))))))))))))))</f>
        <v>1</v>
      </c>
      <c r="AC3" s="770" t="str">
        <f>IF($B3="","",INDEX(NXetHKI!$B$3:$CL$57,MATCH(NXchung!$C3,NXetHKI!$C$3:$C$57,0),NXchung!AC$59))</f>
        <v>Học giỏi, thông minh, cần phát huy.</v>
      </c>
      <c r="AD3" s="769" t="str">
        <f>IF($B3="","",IF(INDEX(BDHK2,MATCH($C3,DiemHKII!$C$4:$C$58,0),AD$59)&lt;&gt;"",INDEX(BDHK2,MATCH($C3,DiemHKII!$C$4:$C$58,0),AD$59),""))</f>
        <v/>
      </c>
      <c r="AE3" s="791" t="str">
        <f>IF(AD3="","",IF(AD3&gt;=9,1,IF(AD3&gt;=8.5,2,IF(AD3&gt;=8,3,IF(AD3&gt;=7.5,4,IF(AD3&gt;=7,5,IF(AD3&gt;=6.5,6,IF(AD3&gt;=6,7,IF(AD3&gt;=5.5,8,IF(AD3&gt;=5,9,IF(AD3&gt;=4.5,10,IF(AD3&gt;=4,11,IF(AD3&gt;=3.5,12,IF(AD3&gt;=3,13,IF(AD3&gt;=2.5,14,IF(AD3&gt;=0,15,""))))))))))))))))</f>
        <v/>
      </c>
      <c r="AF3" s="770" t="str">
        <f>IF(AE3="","",VLOOKUP(AE3,$AA$61:$AI$75,$ER3,0))</f>
        <v/>
      </c>
      <c r="AG3" s="769" t="str">
        <f>IF($B3="","",IF(INDEX(BDHK2,MATCH($C3,DiemHKII!$C$4:$C$58,0),AG$59)&lt;&gt;"",INDEX(BDHK2,MATCH($C3,DiemHKII!$C$4:$C$58,0),AG$59),""))</f>
        <v/>
      </c>
      <c r="AH3" s="791" t="str">
        <f>IF(AG3="","",IF(AG3&gt;=9,1,IF(AG3&gt;=8.5,2,IF(AG3&gt;=8,3,IF(AG3&gt;=7.5,4,IF(AG3&gt;=7,5,IF(AG3&gt;=6.5,6,IF(AG3&gt;=6,7,IF(AG3&gt;=5.5,8,IF(AG3&gt;=5,9,IF(AG3&gt;=4.5,10,IF(AG3&gt;=4,11,IF(AG3&gt;=3.5,12,IF(AG3&gt;=3,13,IF(AG3&gt;=2.5,14,IF(AG3&gt;=0,15,""))))))))))))))))</f>
        <v/>
      </c>
      <c r="AI3" s="770" t="str">
        <f>IF(AH3="","",VLOOKUP(AH3,$AA$61:$AI$75,$ES3,0))</f>
        <v/>
      </c>
      <c r="AJ3" s="768"/>
      <c r="AK3" s="769">
        <f>IF($B3="","",IF(INDEX(BDHK2,MATCH($C3,DiemHKII!$C$4:$C$58,0),AK$59)&lt;&gt;"",INDEX(BDHK2,MATCH($C3,DiemHKII!$C$4:$C$58,0),AK$59),""))</f>
        <v>9</v>
      </c>
      <c r="AL3" s="791">
        <f>IF(AK3="","",IF(AK3&gt;=9,1,IF(AK3&gt;=8.5,2,IF(AK3&gt;=8,3,IF(AK3&gt;=7.5,4,IF(AK3&gt;=7,5,IF(AK3&gt;=6.5,6,IF(AK3&gt;=6,7,IF(AK3&gt;=5.5,8,IF(AK3&gt;=5,9,IF(AK3&gt;=4.5,10,IF(AK3&gt;=4,11,IF(AK3&gt;=3.5,12,IF(AK3&gt;=3,13,IF(AK3&gt;=2.5,14,IF(AK3&gt;=0,15,""))))))))))))))))</f>
        <v>1</v>
      </c>
      <c r="AM3" s="770" t="str">
        <f>IF($B3="","",INDEX(NXetHKI!$B$3:$CL$57,MATCH(NXchung!$C3,NXetHKI!$C$3:$C$57,0),NXchung!AM$59))</f>
        <v>Sáng tạo, hoạt động nhóm rất tốt, biết chia sẻ kết quả học tập với bạn.</v>
      </c>
      <c r="AN3" s="769" t="str">
        <f>IF($B3="","",IF(INDEX(BDHK2,MATCH($C3,DiemHKII!$C$4:$C$58,0),AN$59)&lt;&gt;"",INDEX(BDHK2,MATCH($C3,DiemHKII!$C$4:$C$58,0),AN$59),""))</f>
        <v/>
      </c>
      <c r="AO3" s="791" t="str">
        <f>IF(AN3="","",IF(AN3&gt;=9,1,IF(AN3&gt;=8.5,2,IF(AN3&gt;=8,3,IF(AN3&gt;=7.5,4,IF(AN3&gt;=7,5,IF(AN3&gt;=6.5,6,IF(AN3&gt;=6,7,IF(AN3&gt;=5.5,8,IF(AN3&gt;=5,9,IF(AN3&gt;=4.5,10,IF(AN3&gt;=4,11,IF(AN3&gt;=3.5,12,IF(AN3&gt;=3,13,IF(AN3&gt;=2.5,14,IF(AN3&gt;=0,15,""))))))))))))))))</f>
        <v/>
      </c>
      <c r="AP3" s="770" t="str">
        <f>IF(AO3="","",VLOOKUP(AO3,$AK$61:$AS$75,$ER3,0))</f>
        <v/>
      </c>
      <c r="AQ3" s="769" t="str">
        <f>IF($B3="","",IF(INDEX(BDHK2,MATCH($C3,DiemHKII!$C$4:$C$58,0),AQ$59)&lt;&gt;"",INDEX(BDHK2,MATCH($C3,DiemHKII!$C$4:$C$58,0),AQ$59),""))</f>
        <v/>
      </c>
      <c r="AR3" s="791" t="str">
        <f>IF(AQ3="","",IF(AQ3&gt;=9,1,IF(AQ3&gt;=8.5,2,IF(AQ3&gt;=8,3,IF(AQ3&gt;=7.5,4,IF(AQ3&gt;=7,5,IF(AQ3&gt;=6.5,6,IF(AQ3&gt;=6,7,IF(AQ3&gt;=5.5,8,IF(AQ3&gt;=5,9,IF(AQ3&gt;=4.5,10,IF(AQ3&gt;=4,11,IF(AQ3&gt;=3.5,12,IF(AQ3&gt;=3,13,IF(AQ3&gt;=2.5,14,IF(AQ3&gt;=0,15,""))))))))))))))))</f>
        <v/>
      </c>
      <c r="AS3" s="770" t="str">
        <f>IF(AR3="","",VLOOKUP(AR3,$AK$61:$AS$75,$ES3,0))</f>
        <v/>
      </c>
      <c r="AT3" s="768"/>
      <c r="AU3" s="769">
        <f>IF($B3="","",IF(INDEX(BDHK2,MATCH($C3,DiemHKII!$C$4:$C$58,0),AU$59)&lt;&gt;"",INDEX(BDHK2,MATCH($C3,DiemHKII!$C$4:$C$58,0),AU$59),""))</f>
        <v>9.6</v>
      </c>
      <c r="AV3" s="791">
        <f>IF(AU3="","",IF(AU3&gt;=9,1,IF(AU3&gt;=8.5,2,IF(AU3&gt;=8,3,IF(AU3&gt;=7.5,4,IF(AU3&gt;=7,5,IF(AU3&gt;=6.5,6,IF(AU3&gt;=6,7,IF(AU3&gt;=5.5,8,IF(AU3&gt;=5,9,IF(AU3&gt;=4.5,10,IF(AU3&gt;=4,11,IF(AU3&gt;=3.5,12,IF(AU3&gt;=3,13,IF(AU3&gt;=2.5,14,IF(AU3&gt;=0,15,""))))))))))))))))</f>
        <v>1</v>
      </c>
      <c r="AW3" s="770" t="str">
        <f>IF($B3="","",INDEX(NXetHKI!$B$3:$CL$57,MATCH(NXchung!$C3,NXetHKI!$C$3:$C$57,0),NXchung!AW$59))</f>
        <v>Rất ngoan, cố gắng có hiệu quả.</v>
      </c>
      <c r="AX3" s="769" t="str">
        <f>IF($B3="","",IF(INDEX(BDHK2,MATCH($C3,DiemHKII!$C$4:$C$58,0),AX$59)&lt;&gt;"",INDEX(BDHK2,MATCH($C3,DiemHKII!$C$4:$C$58,0),AX$59),""))</f>
        <v/>
      </c>
      <c r="AY3" s="791" t="str">
        <f>IF(AX3="","",IF(AX3&gt;=9,1,IF(AX3&gt;=8.5,2,IF(AX3&gt;=8,3,IF(AX3&gt;=7.5,4,IF(AX3&gt;=7,5,IF(AX3&gt;=6.5,6,IF(AX3&gt;=6,7,IF(AX3&gt;=5.5,8,IF(AX3&gt;=5,9,IF(AX3&gt;=4.5,10,IF(AX3&gt;=4,11,IF(AX3&gt;=3.5,12,IF(AX3&gt;=3,13,IF(AX3&gt;=2.5,14,IF(AX3&gt;=0,15,""))))))))))))))))</f>
        <v/>
      </c>
      <c r="AZ3" s="770" t="str">
        <f>IF(AY3="","",VLOOKUP(AY3,$AU$61:$BC$75,$ER3,0))</f>
        <v/>
      </c>
      <c r="BA3" s="769" t="str">
        <f>IF($B3="","",IF(INDEX(BDHK2,MATCH($C3,DiemHKII!$C$4:$C$58,0),BA$59)&lt;&gt;"",INDEX(BDHK2,MATCH($C3,DiemHKII!$C$4:$C$58,0),BA$59),""))</f>
        <v/>
      </c>
      <c r="BB3" s="791" t="str">
        <f>IF(BA3="","",IF(BA3&gt;=9,1,IF(BA3&gt;=8.5,2,IF(BA3&gt;=8,3,IF(BA3&gt;=7.5,4,IF(BA3&gt;=7,5,IF(BA3&gt;=6.5,6,IF(BA3&gt;=6,7,IF(BA3&gt;=5.5,8,IF(BA3&gt;=5,9,IF(BA3&gt;=4.5,10,IF(BA3&gt;=4,11,IF(BA3&gt;=3.5,12,IF(BA3&gt;=3,13,IF(BA3&gt;=2.5,14,IF(BA3&gt;=0,15,""))))))))))))))))</f>
        <v/>
      </c>
      <c r="BC3" s="770" t="str">
        <f>IF(BB3="","",VLOOKUP(BB3,$AU$61:$BC$75,$ES3,0))</f>
        <v/>
      </c>
      <c r="BD3" s="768"/>
      <c r="BE3" s="769">
        <f>IF($B3="","",IF(INDEX(BDHK2,MATCH($C3,DiemHKII!$C$4:$C$58,0),BE$59)&lt;&gt;"",INDEX(BDHK2,MATCH($C3,DiemHKII!$C$4:$C$58,0),BE$59),""))</f>
        <v>7.8</v>
      </c>
      <c r="BF3" s="791">
        <f>IF(BE3="","",IF(BE3&gt;=9,1,IF(BE3&gt;=8.5,2,IF(BE3&gt;=8,3,IF(BE3&gt;=7.5,4,IF(BE3&gt;=7,5,IF(BE3&gt;=6.5,6,IF(BE3&gt;=6,7,IF(BE3&gt;=5.5,8,IF(BE3&gt;=5,9,IF(BE3&gt;=4.5,10,IF(BE3&gt;=4,11,IF(BE3&gt;=3.5,12,IF(BE3&gt;=3,13,IF(BE3&gt;=2.5,14,IF(BE3&gt;=0,15,""))))))))))))))))</f>
        <v>4</v>
      </c>
      <c r="BG3" s="770" t="str">
        <f>IF($B3="","",INDEX(NXetHKI!$B$3:$CL$57,MATCH(NXchung!$C3,NXetHKI!$C$3:$C$57,0),NXchung!BG$59))</f>
        <v>Có năng khiếu, tự giác, cảm nhận được văn bản.</v>
      </c>
      <c r="BH3" s="769" t="str">
        <f>IF($B3="","",IF(INDEX(BDHK2,MATCH($C3,DiemHKII!$C$4:$C$58,0),BH$59)&lt;&gt;"",INDEX(BDHK2,MATCH($C3,DiemHKII!$C$4:$C$58,0),BH$59),""))</f>
        <v/>
      </c>
      <c r="BI3" s="791" t="str">
        <f>IF(BH3="","",IF(BH3&gt;=9,1,IF(BH3&gt;=8.5,2,IF(BH3&gt;=8,3,IF(BH3&gt;=7.5,4,IF(BH3&gt;=7,5,IF(BH3&gt;=6.5,6,IF(BH3&gt;=6,7,IF(BH3&gt;=5.5,8,IF(BH3&gt;=5,9,IF(BH3&gt;=4.5,10,IF(BH3&gt;=4,11,IF(BH3&gt;=3.5,12,IF(BH3&gt;=3,13,IF(BH3&gt;=2.5,14,IF(BH3&gt;=0,15,""))))))))))))))))</f>
        <v/>
      </c>
      <c r="BJ3" s="770" t="str">
        <f>IF(BI3="","",VLOOKUP(BI3,$BE$61:$BM$75,$ER3,0))</f>
        <v/>
      </c>
      <c r="BK3" s="769" t="str">
        <f>IF($B3="","",IF(INDEX(BDHK2,MATCH($C3,DiemHKII!$C$4:$C$58,0),BK$59)&lt;&gt;"",INDEX(BDHK2,MATCH($C3,DiemHKII!$C$4:$C$58,0),BK$59),""))</f>
        <v/>
      </c>
      <c r="BL3" s="791" t="str">
        <f>IF(BK3="","",IF(BK3&gt;=9,1,IF(BK3&gt;=8.5,2,IF(BK3&gt;=8,3,IF(BK3&gt;=7.5,4,IF(BK3&gt;=7,5,IF(BK3&gt;=6.5,6,IF(BK3&gt;=6,7,IF(BK3&gt;=5.5,8,IF(BK3&gt;=5,9,IF(BK3&gt;=4.5,10,IF(BK3&gt;=4,11,IF(BK3&gt;=3.5,12,IF(BK3&gt;=3,13,IF(BK3&gt;=2.5,14,IF(BK3&gt;=0,15,""))))))))))))))))</f>
        <v/>
      </c>
      <c r="BM3" s="770" t="str">
        <f>IF(BL3="","",VLOOKUP(BL3,$BE$61:$BM$75,$ES3,0))</f>
        <v/>
      </c>
      <c r="BN3" s="768"/>
      <c r="BO3" s="769">
        <f>IF($B3="","",IF(INDEX(BDHK2,MATCH($C3,DiemHKII!$C$4:$C$58,0),BO$59)&lt;&gt;"",INDEX(BDHK2,MATCH($C3,DiemHKII!$C$4:$C$58,0),BO$59),""))</f>
        <v>9.6</v>
      </c>
      <c r="BP3" s="791">
        <f>IF(BO3="","",IF(BO3&gt;=9,1,IF(BO3&gt;=8.5,2,IF(BO3&gt;=8,3,IF(BO3&gt;=7.5,4,IF(BO3&gt;=7,5,IF(BO3&gt;=6.5,6,IF(BO3&gt;=6,7,IF(BO3&gt;=5.5,8,IF(BO3&gt;=5,9,IF(BO3&gt;=4.5,10,IF(BO3&gt;=4,11,IF(BO3&gt;=3.5,12,IF(BO3&gt;=3,13,IF(BO3&gt;=2.5,14,IF(BO3&gt;=0,15,""))))))))))))))))</f>
        <v>1</v>
      </c>
      <c r="BQ3" s="770" t="str">
        <f>IF($B3="","",INDEX(NXetHKI!$B$3:$CL$57,MATCH(NXchung!$C3,NXetHKI!$C$3:$C$57,0),NXchung!BQ$59))</f>
        <v>Chăm ngoan, tích cực, chủ động tiếp thu bài học.</v>
      </c>
      <c r="BR3" s="769" t="str">
        <f>IF($B3="","",IF(INDEX(BDHK2,MATCH($C3,DiemHKII!$C$4:$C$58,0),BR$59)&lt;&gt;"",INDEX(BDHK2,MATCH($C3,DiemHKII!$C$4:$C$58,0),BR$59),""))</f>
        <v/>
      </c>
      <c r="BS3" s="791" t="str">
        <f>IF(BR3="","",IF(BR3&gt;=9,1,IF(BR3&gt;=8.5,2,IF(BR3&gt;=8,3,IF(BR3&gt;=7.5,4,IF(BR3&gt;=7,5,IF(BR3&gt;=6.5,6,IF(BR3&gt;=6,7,IF(BR3&gt;=5.5,8,IF(BR3&gt;=5,9,IF(BR3&gt;=4.5,10,IF(BR3&gt;=4,11,IF(BR3&gt;=3.5,12,IF(BR3&gt;=3,13,IF(BR3&gt;=2.5,14,IF(BR3&gt;=0,15,""))))))))))))))))</f>
        <v/>
      </c>
      <c r="BT3" s="770" t="str">
        <f>IF(BS3="","",VLOOKUP(BS3,$BO$61:$BW$75,$ER3,0))</f>
        <v/>
      </c>
      <c r="BU3" s="769" t="str">
        <f>IF($B3="","",IF(INDEX(BDHK2,MATCH($C3,DiemHKII!$C$4:$C$58,0),BU$59)&lt;&gt;"",INDEX(BDHK2,MATCH($C3,DiemHKII!$C$4:$C$58,0),BU$59),""))</f>
        <v/>
      </c>
      <c r="BV3" s="791" t="str">
        <f>IF(BU3="","",IF(BU3&gt;=9,1,IF(BU3&gt;=8.5,2,IF(BU3&gt;=8,3,IF(BU3&gt;=7.5,4,IF(BU3&gt;=7,5,IF(BU3&gt;=6.5,6,IF(BU3&gt;=6,7,IF(BU3&gt;=5.5,8,IF(BU3&gt;=5,9,IF(BU3&gt;=4.5,10,IF(BU3&gt;=4,11,IF(BU3&gt;=3.5,12,IF(BU3&gt;=3,13,IF(BU3&gt;=2.5,14,IF(BU3&gt;=0,15,""))))))))))))))))</f>
        <v/>
      </c>
      <c r="BW3" s="770" t="str">
        <f>IF(BV3="","",VLOOKUP(BV3,$BO$61:$BW$75,$ES3,0))</f>
        <v/>
      </c>
      <c r="BX3" s="768"/>
      <c r="BY3" s="769">
        <f>IF($B3="","",IF(INDEX(BDHK2,MATCH($C3,DiemHKII!$C$4:$C$58,0),BY$59)&lt;&gt;"",INDEX(BDHK2,MATCH($C3,DiemHKII!$C$4:$C$58,0),BY$59),""))</f>
        <v>9.8000000000000007</v>
      </c>
      <c r="BZ3" s="791">
        <f>IF(BY3="","",IF(BY3&gt;=9,1,IF(BY3&gt;=8.5,2,IF(BY3&gt;=8,3,IF(BY3&gt;=7.5,4,IF(BY3&gt;=7,5,IF(BY3&gt;=6.5,6,IF(BY3&gt;=6,7,IF(BY3&gt;=5.5,8,IF(BY3&gt;=5,9,IF(BY3&gt;=4.5,10,IF(BY3&gt;=4,11,IF(BY3&gt;=3.5,12,IF(BY3&gt;=3,13,IF(BY3&gt;=2.5,14,IF(BY3&gt;=0,15,""))))))))))))))))</f>
        <v>1</v>
      </c>
      <c r="CA3" s="770" t="str">
        <f>IF($B3="","",INDEX(NXetHKI!$B$3:$CL$57,MATCH(NXchung!$C3,NXetHKI!$C$3:$C$57,0),NXchung!CA$59))</f>
        <v>Em rất ngoan, cố gắng có hiệu quả.</v>
      </c>
      <c r="CB3" s="769" t="str">
        <f>IF($B3="","",IF(INDEX(BDHK2,MATCH($C3,DiemHKII!$C$4:$C$58,0),CB$59)&lt;&gt;"",INDEX(BDHK2,MATCH($C3,DiemHKII!$C$4:$C$58,0),CB$59),""))</f>
        <v/>
      </c>
      <c r="CC3" s="791" t="str">
        <f>IF(CB3="","",IF(CB3&gt;=9,1,IF(CB3&gt;=8.5,2,IF(CB3&gt;=8,3,IF(CB3&gt;=7.5,4,IF(CB3&gt;=7,5,IF(CB3&gt;=6.5,6,IF(CB3&gt;=6,7,IF(CB3&gt;=5.5,8,IF(CB3&gt;=5,9,IF(CB3&gt;=4.5,10,IF(CB3&gt;=4,11,IF(CB3&gt;=3.5,12,IF(CB3&gt;=3,13,IF(CB3&gt;=2.5,14,IF(CB3&gt;=0,15,""))))))))))))))))</f>
        <v/>
      </c>
      <c r="CD3" s="770" t="str">
        <f>IF(CC3="","",VLOOKUP(CC3,$BY$61:$CG$75,$ER3,0))</f>
        <v/>
      </c>
      <c r="CE3" s="769" t="str">
        <f>IF($B3="","",IF(INDEX(BDHK2,MATCH($C3,DiemHKII!$C$4:$C$58,0),CE$59)&lt;&gt;"",INDEX(BDHK2,MATCH($C3,DiemHKII!$C$4:$C$58,0),CE$59),""))</f>
        <v/>
      </c>
      <c r="CF3" s="791" t="str">
        <f>IF(CE3="","",IF(CE3&gt;=9,1,IF(CE3&gt;=8.5,2,IF(CE3&gt;=8,3,IF(CE3&gt;=7.5,4,IF(CE3&gt;=7,5,IF(CE3&gt;=6.5,6,IF(CE3&gt;=6,7,IF(CE3&gt;=5.5,8,IF(CE3&gt;=5,9,IF(CE3&gt;=4.5,10,IF(CE3&gt;=4,11,IF(CE3&gt;=3.5,12,IF(CE3&gt;=3,13,IF(CE3&gt;=2.5,14,IF(CE3&gt;=0,15,""))))))))))))))))</f>
        <v/>
      </c>
      <c r="CG3" s="770" t="str">
        <f>IF(CF3="","",VLOOKUP(CF3,$BY$61:$CG$75,$ES3,0))</f>
        <v/>
      </c>
      <c r="CH3" s="768"/>
      <c r="CI3" s="769">
        <f>IF($B3="","",IF(INDEX(BDHK2,MATCH($C3,DiemHKII!$C$4:$C$58,0),CI$59)&lt;&gt;"",INDEX(BDHK2,MATCH($C3,DiemHKII!$C$4:$C$58,0),CI$59),""))</f>
        <v>9.6</v>
      </c>
      <c r="CJ3" s="791">
        <f>IF(CI3="","",IF(CI3&gt;=9,1,IF(CI3&gt;=8.5,2,IF(CI3&gt;=8,3,IF(CI3&gt;=7.5,4,IF(CI3&gt;=7,5,IF(CI3&gt;=6.5,6,IF(CI3&gt;=6,7,IF(CI3&gt;=5.5,8,IF(CI3&gt;=5,9,IF(CI3&gt;=4.5,10,IF(CI3&gt;=4,11,IF(CI3&gt;=3.5,12,IF(CI3&gt;=3,13,IF(CI3&gt;=2.5,14,IF(CI3&gt;=0,15,""))))))))))))))))</f>
        <v>1</v>
      </c>
      <c r="CK3" s="770" t="str">
        <f>IF($B3="","",INDEX(NXetHKI!$B$3:$CL$57,MATCH(NXchung!$C3,NXetHKI!$C$3:$C$57,0),NXchung!CK$59))</f>
        <v>Có năng khiếu, tự tin, giao tiếp tốt và có khả năng làm việc nhóm.</v>
      </c>
      <c r="CL3" s="769" t="str">
        <f>IF($B3="","",IF(INDEX(BDHK2,MATCH($C3,DiemHKII!$C$4:$C$58,0),CL$59)&lt;&gt;"",INDEX(BDHK2,MATCH($C3,DiemHKII!$C$4:$C$58,0),CL$59),""))</f>
        <v/>
      </c>
      <c r="CM3" s="791" t="str">
        <f>IF(CL3="","",IF(CL3&gt;=9,1,IF(CL3&gt;=8.5,2,IF(CL3&gt;=8,3,IF(CL3&gt;=7.5,4,IF(CL3&gt;=7,5,IF(CL3&gt;=6.5,6,IF(CL3&gt;=6,7,IF(CL3&gt;=5.5,8,IF(CL3&gt;=5,9,IF(CL3&gt;=4.5,10,IF(CL3&gt;=4,11,IF(CL3&gt;=3.5,12,IF(CL3&gt;=3,13,IF(CL3&gt;=2.5,14,IF(CL3&gt;=0,15,""))))))))))))))))</f>
        <v/>
      </c>
      <c r="CN3" s="770" t="str">
        <f>IF(CM3="","",VLOOKUP(CM3,$CI$61:$CQ$75,$ER3,0))</f>
        <v/>
      </c>
      <c r="CO3" s="769" t="str">
        <f>IF($B3="","",IF(INDEX(BDHK2,MATCH($C3,DiemHKII!$C$4:$C$58,0),CO$59)&lt;&gt;"",INDEX(BDHK2,MATCH($C3,DiemHKII!$C$4:$C$58,0),CO$59),""))</f>
        <v/>
      </c>
      <c r="CP3" s="791" t="str">
        <f>IF(CO3="","",IF(CO3&gt;=9,1,IF(CO3&gt;=8.5,2,IF(CO3&gt;=8,3,IF(CO3&gt;=7.5,4,IF(CO3&gt;=7,5,IF(CO3&gt;=6.5,6,IF(CO3&gt;=6,7,IF(CO3&gt;=5.5,8,IF(CO3&gt;=5,9,IF(CO3&gt;=4.5,10,IF(CO3&gt;=4,11,IF(CO3&gt;=3.5,12,IF(CO3&gt;=3,13,IF(CO3&gt;=2.5,14,IF(CO3&gt;=0,15,""))))))))))))))))</f>
        <v/>
      </c>
      <c r="CQ3" s="770" t="str">
        <f>IF(CP3="","",VLOOKUP(CP3,$CI$61:$CQ$75,$ES3,0))</f>
        <v/>
      </c>
      <c r="CR3" s="768"/>
      <c r="CS3" s="769">
        <f>IF($B3="","",IF(INDEX(BDHK2,MATCH($C3,DiemHKII!$C$4:$C$58,0),CS$59)&lt;&gt;"",INDEX(BDHK2,MATCH($C3,DiemHKII!$C$4:$C$58,0),CS$59),""))</f>
        <v>9.1</v>
      </c>
      <c r="CT3" s="791">
        <f>IF(CS3="","",IF(CS3&gt;=9,1,IF(CS3&gt;=8.5,2,IF(CS3&gt;=8,3,IF(CS3&gt;=7.5,4,IF(CS3&gt;=7,5,IF(CS3&gt;=6.5,6,IF(CS3&gt;=6,7,IF(CS3&gt;=5.5,8,IF(CS3&gt;=5,9,IF(CS3&gt;=4.5,10,IF(CS3&gt;=4,11,IF(CS3&gt;=3.5,12,IF(CS3&gt;=3,13,IF(CS3&gt;=2.5,14,IF(CS3&gt;=0,15,""))))))))))))))))</f>
        <v>1</v>
      </c>
      <c r="CU3" s="770" t="str">
        <f>IF($B3="","",INDEX(NXetHKI!$B$3:$CL$57,MATCH(NXchung!$C3,NXetHKI!$C$3:$C$57,0),NXchung!CU$59))</f>
        <v>Hứng thú, có trách nhiệm học tập tốt.</v>
      </c>
      <c r="CV3" s="769" t="str">
        <f>IF($B3="","",IF(INDEX(BDHK2,MATCH($C3,DiemHKII!$C$4:$C$58,0),CV$59)&lt;&gt;"",INDEX(BDHK2,MATCH($C3,DiemHKII!$C$4:$C$58,0),CV$59),""))</f>
        <v/>
      </c>
      <c r="CW3" s="791" t="str">
        <f>IF(CV3="","",IF(CV3&gt;=9,1,IF(CV3&gt;=8.5,2,IF(CV3&gt;=8,3,IF(CV3&gt;=7.5,4,IF(CV3&gt;=7,5,IF(CV3&gt;=6.5,6,IF(CV3&gt;=6,7,IF(CV3&gt;=5.5,8,IF(CV3&gt;=5,9,IF(CV3&gt;=4.5,10,IF(CV3&gt;=4,11,IF(CV3&gt;=3.5,12,IF(CV3&gt;=3,13,IF(CV3&gt;=2.5,14,IF(CV3&gt;=0,15,""))))))))))))))))</f>
        <v/>
      </c>
      <c r="CX3" s="770" t="str">
        <f>IF(CW3="","",VLOOKUP(CW3,$CS$61:$DA$75,$ER3,0))</f>
        <v/>
      </c>
      <c r="CY3" s="769" t="str">
        <f>IF($B3="","",IF(INDEX(BDHK2,MATCH($C3,DiemHKII!$C$4:$C$58,0),CY$59)&lt;&gt;"",INDEX(BDHK2,MATCH($C3,DiemHKII!$C$4:$C$58,0),CY$59),""))</f>
        <v/>
      </c>
      <c r="CZ3" s="791" t="str">
        <f>IF(CY3="","",IF(CY3&gt;=9,1,IF(CY3&gt;=8.5,2,IF(CY3&gt;=8,3,IF(CY3&gt;=7.5,4,IF(CY3&gt;=7,5,IF(CY3&gt;=6.5,6,IF(CY3&gt;=6,7,IF(CY3&gt;=5.5,8,IF(CY3&gt;=5,9,IF(CY3&gt;=4.5,10,IF(CY3&gt;=4,11,IF(CY3&gt;=3.5,12,IF(CY3&gt;=3,13,IF(CY3&gt;=2.5,14,IF(CY3&gt;=0,15,""))))))))))))))))</f>
        <v/>
      </c>
      <c r="DA3" s="770" t="str">
        <f>IF(CZ3="","",VLOOKUP(CZ3,$CS$61:$DA$75,$ES3,0))</f>
        <v/>
      </c>
      <c r="DB3" s="768"/>
      <c r="DC3" s="769">
        <f>IF($B3="","",IF(INDEX(BDHK2,MATCH($C3,DiemHKII!$C$4:$C$58,0),DC$59)&lt;&gt;"",INDEX(BDHK2,MATCH($C3,DiemHKII!$C$4:$C$58,0),DC$59),""))</f>
        <v>9.5</v>
      </c>
      <c r="DD3" s="791">
        <f>IF(DC3="","",IF(DC3&gt;=9,1,IF(DC3&gt;=8.5,2,IF(DC3&gt;=8,3,IF(DC3&gt;=7.5,4,IF(DC3&gt;=7,5,IF(DC3&gt;=6.5,6,IF(DC3&gt;=6,7,IF(DC3&gt;=5.5,8,IF(DC3&gt;=5,9,IF(DC3&gt;=4.5,10,IF(DC3&gt;=4,11,IF(DC3&gt;=3.5,12,IF(DC3&gt;=3,13,IF(DC3&gt;=2.5,14,IF(DC3&gt;=0,15,""))))))))))))))))</f>
        <v>1</v>
      </c>
      <c r="DE3" s="770" t="str">
        <f>IF($B3="","",INDEX(NXetHKI!$B$3:$CL$57,MATCH(NXchung!$C3,NXetHKI!$C$3:$C$57,0),NXchung!DE$59))</f>
        <v>Học giỏi, năng động, chăm ngoan.</v>
      </c>
      <c r="DF3" s="769" t="str">
        <f>IF($B3="","",IF(INDEX(BDHK2,MATCH($C3,DiemHKII!$C$4:$C$58,0),DF$59)&lt;&gt;"",INDEX(BDHK2,MATCH($C3,DiemHKII!$C$4:$C$58,0),DF$59),""))</f>
        <v/>
      </c>
      <c r="DG3" s="791" t="str">
        <f>IF(DF3="","",IF(DF3&gt;=9,1,IF(DF3&gt;=8.5,2,IF(DF3&gt;=8,3,IF(DF3&gt;=7.5,4,IF(DF3&gt;=7,5,IF(DF3&gt;=6.5,6,IF(DF3&gt;=6,7,IF(DF3&gt;=5.5,8,IF(DF3&gt;=5,9,IF(DF3&gt;=4.5,10,IF(DF3&gt;=4,11,IF(DF3&gt;=3.5,12,IF(DF3&gt;=3,13,IF(DF3&gt;=2.5,14,IF(DF3&gt;=0,15,""))))))))))))))))</f>
        <v/>
      </c>
      <c r="DH3" s="770" t="str">
        <f>IF(DG3="","",VLOOKUP(DG3,$DC$61:$DK$75,$ER3,0))</f>
        <v/>
      </c>
      <c r="DI3" s="769" t="str">
        <f>IF($B3="","",IF(INDEX(BDHK2,MATCH($C3,DiemHKII!$C$4:$C$58,0),DI$59)&lt;&gt;"",INDEX(BDHK2,MATCH($C3,DiemHKII!$C$4:$C$58,0),DI$59),""))</f>
        <v/>
      </c>
      <c r="DJ3" s="791" t="str">
        <f>IF(DI3="","",IF(DI3&gt;=9,1,IF(DI3&gt;=8.5,2,IF(DI3&gt;=8,3,IF(DI3&gt;=7.5,4,IF(DI3&gt;=7,5,IF(DI3&gt;=6.5,6,IF(DI3&gt;=6,7,IF(DI3&gt;=5.5,8,IF(DI3&gt;=5,9,IF(DI3&gt;=4.5,10,IF(DI3&gt;=4,11,IF(DI3&gt;=3.5,12,IF(DI3&gt;=3,13,IF(DI3&gt;=2.5,14,IF(DI3&gt;=0,15,""))))))))))))))))</f>
        <v/>
      </c>
      <c r="DK3" s="770" t="str">
        <f>IF(DJ3="","",VLOOKUP(DJ3,$DC$61:$DK$75,$ES3,0))</f>
        <v/>
      </c>
      <c r="DL3" s="768"/>
      <c r="DM3" s="769" t="str">
        <f>IF($B3="","",IF(INDEX(BDHK2,MATCH($C3,DiemHKII!$C$4:$C$58,0),DM$59)&lt;&gt;"",INDEX(BDHK2,MATCH($C3,DiemHKII!$C$4:$C$58,0),DM$59),""))</f>
        <v>Đ</v>
      </c>
      <c r="DN3" s="791">
        <f>IF(DM3="","",IF(DM3&gt;=9,1,IF(DM3&gt;=8.5,2,IF(DM3&gt;=8,3,IF(DM3&gt;=7.5,4,IF(DM3&gt;=7,5,IF(DM3&gt;=6.5,6,IF(DM3&gt;=6,7,IF(DM3&gt;=5.5,8,IF(DM3&gt;=5,9,IF(DM3&gt;=4.5,10,IF(DM3&gt;=4,11,IF(DM3&gt;=3.5,12,IF(DM3&gt;=3,13,IF(DM3&gt;=2.5,14,IF(DM3&gt;=0,15,""))))))))))))))))</f>
        <v>1</v>
      </c>
      <c r="DO3" s="770" t="str">
        <f>IF($B3="","",INDEX(NXetHKI!$B$3:$CL$57,MATCH(NXchung!$C3,NXetHKI!$C$3:$C$57,0),NXchung!DO$59))</f>
        <v>Chăm chỉ, cố gắng, rất ngoan.</v>
      </c>
      <c r="DP3" s="769" t="str">
        <f>IF($B3="","",IF(INDEX(BDHK2,MATCH($C3,DiemHKII!$C$4:$C$58,0),DP$59)&lt;&gt;"",INDEX(BDHK2,MATCH($C3,DiemHKII!$C$4:$C$58,0),DP$59),""))</f>
        <v/>
      </c>
      <c r="DQ3" s="791" t="str">
        <f>IF(DP3="","",IF(DP3&gt;=9,1,IF(DP3&gt;=8.5,2,IF(DP3&gt;=8,3,IF(DP3&gt;=7.5,4,IF(DP3&gt;=7,5,IF(DP3&gt;=6.5,6,IF(DP3&gt;=6,7,IF(DP3&gt;=5.5,8,IF(DP3&gt;=5,9,IF(DP3&gt;=4.5,10,IF(DP3&gt;=4,11,IF(DP3&gt;=3.5,12,IF(DP3&gt;=3,13,IF(DP3&gt;=2.5,14,IF(DP3&gt;=0,15,""))))))))))))))))</f>
        <v/>
      </c>
      <c r="DR3" s="770" t="str">
        <f>IF(DQ3="","",VLOOKUP(DQ3,$DM$61:$DU$75,$ER3,0))</f>
        <v/>
      </c>
      <c r="DS3" s="769" t="str">
        <f>IF($B3="","",IF(INDEX(BDHK2,MATCH($C3,DiemHKII!$C$4:$C$58,0),DS$59)&lt;&gt;"",INDEX(BDHK2,MATCH($C3,DiemHKII!$C$4:$C$58,0),DS$59),""))</f>
        <v>Đ</v>
      </c>
      <c r="DT3" s="791">
        <f>IF(DS3="","",IF(DS3&gt;=9,1,IF(DS3&gt;=8.5,2,IF(DS3&gt;=8,3,IF(DS3&gt;=7.5,4,IF(DS3&gt;=7,5,IF(DS3&gt;=6.5,6,IF(DS3&gt;=6,7,IF(DS3&gt;=5.5,8,IF(DS3&gt;=5,9,IF(DS3&gt;=4.5,10,IF(DS3&gt;=4,11,IF(DS3&gt;=3.5,12,IF(DS3&gt;=3,13,IF(DS3&gt;=2.5,14,IF(DS3&gt;=0,15,""))))))))))))))))</f>
        <v>1</v>
      </c>
      <c r="DU3" s="770" t="str">
        <f>IF(DT3="","",VLOOKUP(DT3,$DM$61:$DU$75,$ES3,0))</f>
        <v>Rất ngoan, học có hiệu quả tốt.</v>
      </c>
      <c r="DV3" s="768"/>
      <c r="DW3" s="769">
        <f>IF($B3="","",IF(INDEX(BDHK2,MATCH($C3,DiemHKII!$C$4:$C$58,0),DW$59)&lt;&gt;"",INDEX(BDHK2,MATCH($C3,DiemHKII!$C$4:$C$58,0),DW$59),""))</f>
        <v>9.9</v>
      </c>
      <c r="DX3" s="791">
        <f>IF(DW3="","",IF(DW3&gt;=9,1,IF(DW3&gt;=8.5,2,IF(DW3&gt;=8,3,IF(DW3&gt;=7.5,4,IF(DW3&gt;=7,5,IF(DW3&gt;=6.5,6,IF(DW3&gt;=6,7,IF(DW3&gt;=5.5,8,IF(DW3&gt;=5,9,IF(DW3&gt;=4.5,10,IF(DW3&gt;=4,11,IF(DW3&gt;=3.5,12,IF(DW3&gt;=3,13,IF(DW3&gt;=2.5,14,IF(DW3&gt;=0,15,""))))))))))))))))</f>
        <v>1</v>
      </c>
      <c r="DY3" s="770" t="str">
        <f>IF($B3="","",INDEX(NXetHKI!$B$3:$CL$57,MATCH(NXchung!$C3,NXetHKI!$C$3:$C$57,0),NXchung!DY$59))</f>
        <v>Siêng năng, lễ phép, thành thạo thực hành, học giỏi.</v>
      </c>
      <c r="DZ3" s="769" t="str">
        <f>IF($B3="","",IF(INDEX(BDHK2,MATCH($C3,DiemHKII!$C$4:$C$58,0),DZ$59)&lt;&gt;"",INDEX(BDHK2,MATCH($C3,DiemHKII!$C$4:$C$58,0),DZ$59),""))</f>
        <v/>
      </c>
      <c r="EA3" s="791" t="str">
        <f>IF(DZ3="","",IF(DZ3&gt;=9,1,IF(DZ3&gt;=8.5,2,IF(DZ3&gt;=8,3,IF(DZ3&gt;=7.5,4,IF(DZ3&gt;=7,5,IF(DZ3&gt;=6.5,6,IF(DZ3&gt;=6,7,IF(DZ3&gt;=5.5,8,IF(DZ3&gt;=5,9,IF(DZ3&gt;=4.5,10,IF(DZ3&gt;=4,11,IF(DZ3&gt;=3.5,12,IF(DZ3&gt;=3,13,IF(DZ3&gt;=2.5,14,IF(DZ3&gt;=0,15,""))))))))))))))))</f>
        <v/>
      </c>
      <c r="EB3" s="770" t="str">
        <f>IF(EA3="","",VLOOKUP(EA3,$DW$61:$EE$75,$ER3,0))</f>
        <v/>
      </c>
      <c r="EC3" s="769" t="str">
        <f>IF($B3="","",IF(INDEX(BDHK2,MATCH($C3,DiemHKII!$C$4:$C$58,0),EC$59)&lt;&gt;"",INDEX(BDHK2,MATCH($C3,DiemHKII!$C$4:$C$58,0),EC$59),""))</f>
        <v/>
      </c>
      <c r="ED3" s="791" t="str">
        <f>IF(EC3="","",IF(EC3&gt;=9,1,IF(EC3&gt;=8.5,2,IF(EC3&gt;=8,3,IF(EC3&gt;=7.5,4,IF(EC3&gt;=7,5,IF(EC3&gt;=6.5,6,IF(EC3&gt;=6,7,IF(EC3&gt;=5.5,8,IF(EC3&gt;=5,9,IF(EC3&gt;=4.5,10,IF(EC3&gt;=4,11,IF(EC3&gt;=3.5,12,IF(EC3&gt;=3,13,IF(EC3&gt;=2.5,14,IF(EC3&gt;=0,15,""))))))))))))))))</f>
        <v/>
      </c>
      <c r="EE3" s="770" t="str">
        <f>IF(ED3="","",VLOOKUP(ED3,$DW$61:$EE$75,$ES3,0))</f>
        <v/>
      </c>
      <c r="EF3" s="768"/>
      <c r="EG3" s="769" t="str">
        <f>IF($B3="","",IF(INDEX(BDHK2,MATCH($C3,DiemHKII!$C$4:$C$58,0),EG$59)&lt;&gt;"",INDEX(BDHK2,MATCH($C3,DiemHKII!$C$4:$C$58,0),EG$59),""))</f>
        <v/>
      </c>
      <c r="EH3" s="791" t="str">
        <f>IF(EG3="","",IF(EG3&gt;=9,1,IF(EG3&gt;=8.5,2,IF(EG3&gt;=8,3,IF(EG3&gt;=7.5,4,IF(EG3&gt;=7,5,IF(EG3&gt;=6.5,6,IF(EG3&gt;=6,7,IF(EG3&gt;=5.5,8,IF(EG3&gt;=5,9,IF(EG3&gt;=4.5,10,IF(EG3&gt;=4,11,IF(EG3&gt;=3.5,12,IF(EG3&gt;=3,13,IF(EG3&gt;=2.5,14,IF(EG3&gt;=0,15,""))))))))))))))))</f>
        <v/>
      </c>
      <c r="EI3" s="770" t="str">
        <f>IF($B3="","",INDEX(NXetHKI!$B$3:$CL$57,MATCH(NXchung!$C3,NXetHKI!$C$3:$C$57,0),NXchung!EI$59))</f>
        <v/>
      </c>
      <c r="EJ3" s="769" t="str">
        <f>IF($B3="","",IF(INDEX(BDHK2,MATCH($C3,DiemHKII!$C$4:$C$58,0),EJ$59)&lt;&gt;"",INDEX(BDHK2,MATCH($C3,DiemHKII!$C$4:$C$58,0),EJ$59),""))</f>
        <v/>
      </c>
      <c r="EK3" s="791" t="str">
        <f>IF(EJ3="","",IF(EJ3&gt;=9,1,IF(EJ3&gt;=8.5,2,IF(EJ3&gt;=8,3,IF(EJ3&gt;=7.5,4,IF(EJ3&gt;=7,5,IF(EJ3&gt;=6.5,6,IF(EJ3&gt;=6,7,IF(EJ3&gt;=5.5,8,IF(EJ3&gt;=5,9,IF(EJ3&gt;=4.5,10,IF(EJ3&gt;=4,11,IF(EJ3&gt;=3.5,12,IF(EJ3&gt;=3,13,IF(EJ3&gt;=2.5,14,IF(EJ3&gt;=0,15,""))))))))))))))))</f>
        <v/>
      </c>
      <c r="EL3" s="770" t="str">
        <f>IF(EK3="","",VLOOKUP(EK3,$EG$61:$EO$75,$ER3,0))</f>
        <v/>
      </c>
      <c r="EM3" s="769" t="str">
        <f>IF($B3="","",IF(INDEX(BDHK2,MATCH($C3,DiemHKII!$C$4:$C$58,0),EM$59)&lt;&gt;"",INDEX(BDHK2,MATCH($C3,DiemHKII!$C$4:$C$58,0),EM$59),""))</f>
        <v/>
      </c>
      <c r="EN3" s="791" t="str">
        <f>IF(EM3="","",IF(EM3&gt;=9,1,IF(EM3&gt;=8.5,2,IF(EM3&gt;=8,3,IF(EM3&gt;=7.5,4,IF(EM3&gt;=7,5,IF(EM3&gt;=6.5,6,IF(EM3&gt;=6,7,IF(EM3&gt;=5.5,8,IF(EM3&gt;=5,9,IF(EM3&gt;=4.5,10,IF(EM3&gt;=4,11,IF(EM3&gt;=3.5,12,IF(EM3&gt;=3,13,IF(EM3&gt;=2.5,14,IF(EM3&gt;=0,15,""))))))))))))))))</f>
        <v/>
      </c>
      <c r="EO3" s="770" t="str">
        <f>IF(EN3="","",VLOOKUP(EN3,$EG$61:$EO$75,$ES3,0))</f>
        <v/>
      </c>
      <c r="EP3" s="768"/>
      <c r="ER3" s="816">
        <v>6</v>
      </c>
      <c r="ES3" s="816">
        <v>9</v>
      </c>
    </row>
    <row r="4" spans="1:149" ht="15" customHeight="1">
      <c r="A4" s="764"/>
      <c r="B4" s="771">
        <f>IF(B3&lt;MAX(DiemHKII!$B$4:$B$58),B3+1,"")</f>
        <v>2</v>
      </c>
      <c r="C4" s="771" t="str">
        <f t="shared" ref="C4:C57" si="0">IF(B4="","",A$1&amp;TRIM(D4)&amp;TRIM(E4)&amp;F4)</f>
        <v>12A1Chử NgọcAnh14/04/2004</v>
      </c>
      <c r="D4" s="772" t="str">
        <f>IF($B4&lt;&gt;"",PROPER(INDEX(DiemHKII!$B$4:$K$58,MATCH($B4,DiemHKII!$B$4:$B$58,0),4)),"")</f>
        <v>Chử Ngọc</v>
      </c>
      <c r="E4" s="773" t="str">
        <f>IF($B4&lt;&gt;"",PROPER(INDEX(DiemHKII!$B$4:$K$58,MATCH($B4,DiemHKII!$B$4:$B$58,0),5)),"")</f>
        <v>Anh</v>
      </c>
      <c r="F4" s="774" t="str">
        <f>IF($B4&lt;&gt;"",PROPER(INDEX(DiemHKII!$B$4:$K$58,MATCH($B4,DiemHKII!$B$4:$B$58,0),6)),"")</f>
        <v>14/04/2004</v>
      </c>
      <c r="G4" s="775">
        <f>IF($B4="","",IF(INDEX(BDHK2,MATCH($C4,DiemHKII!$C$4:$C$58,0),G$59)&lt;&gt;"",INDEX(BDHK2,MATCH($C4,DiemHKII!$C$4:$C$58,0),G$59),""))</f>
        <v>9.5</v>
      </c>
      <c r="H4" s="792">
        <f t="shared" ref="H4:H57" si="1">IF(G4="","",IF(G4&gt;=9,1,IF(G4&gt;=8.5,2,IF(G4&gt;=8,3,IF(G4&gt;=7.5,4,IF(G4&gt;=7,5,IF(G4&gt;=6.5,6,IF(G4&gt;=6,7,IF(G4&gt;=5.5,8,IF(G4&gt;=5,9,IF(G4&gt;=4.5,10,IF(G4&gt;=4,11,IF(G4&gt;=3.5,12,IF(G4&gt;=3,13,IF(G4&gt;=2.5,14,IF(G4&gt;=0,15,""))))))))))))))))</f>
        <v>1</v>
      </c>
      <c r="I4" s="776" t="str">
        <f>IF($B4="","",INDEX(NXetHKI!$B$3:$CL$57,MATCH(NXchung!$C4,NXetHKI!$C$3:$C$57,0),NXchung!I$59))</f>
        <v>Em học giỏi, chăm ngoan, tính tự giác cao, rất tốt.</v>
      </c>
      <c r="J4" s="775" t="str">
        <f>IF($B4="","",IF(INDEX(BDHK2,MATCH($C4,DiemHKII!$C$4:$C$58,0),J$59)&lt;&gt;"",INDEX(BDHK2,MATCH($C4,DiemHKII!$C$4:$C$58,0),J$59),""))</f>
        <v/>
      </c>
      <c r="K4" s="792" t="str">
        <f t="shared" ref="K4:K57" si="2">IF(J4="","",IF(J4&gt;=9,1,IF(J4&gt;=8.5,2,IF(J4&gt;=8,3,IF(J4&gt;=7.5,4,IF(J4&gt;=7,5,IF(J4&gt;=6.5,6,IF(J4&gt;=6,7,IF(J4&gt;=5.5,8,IF(J4&gt;=5,9,IF(J4&gt;=4.5,10,IF(J4&gt;=4,11,IF(J4&gt;=3.5,12,IF(J4&gt;=3,13,IF(J4&gt;=2.5,14,IF(J4&gt;=0,15,""))))))))))))))))</f>
        <v/>
      </c>
      <c r="L4" s="776" t="str">
        <f t="shared" ref="L4:L56" si="3">IF(K4="","",VLOOKUP(K4,$G$61:$O$75,$ER4,0))</f>
        <v/>
      </c>
      <c r="M4" s="775" t="str">
        <f>IF($B4="","",IF(INDEX(BDHK2,MATCH($C4,DiemHKII!$C$4:$C$58,0),M$59)&lt;&gt;"",INDEX(BDHK2,MATCH($C4,DiemHKII!$C$4:$C$58,0),M$59),""))</f>
        <v/>
      </c>
      <c r="N4" s="792" t="str">
        <f t="shared" ref="N4:N57" si="4">IF(M4="","",IF(M4&gt;=9,1,IF(M4&gt;=8.5,2,IF(M4&gt;=8,3,IF(M4&gt;=7.5,4,IF(M4&gt;=7,5,IF(M4&gt;=6.5,6,IF(M4&gt;=6,7,IF(M4&gt;=5.5,8,IF(M4&gt;=5,9,IF(M4&gt;=4.5,10,IF(M4&gt;=4,11,IF(M4&gt;=3.5,12,IF(M4&gt;=3,13,IF(M4&gt;=2.5,14,IF(M4&gt;=0,15,""))))))))))))))))</f>
        <v/>
      </c>
      <c r="O4" s="776" t="str">
        <f t="shared" ref="O4:O57" si="5">IF(N4="","",VLOOKUP(N4,$G$61:$O$75,$ES4,0))</f>
        <v/>
      </c>
      <c r="P4" s="774"/>
      <c r="Q4" s="775">
        <f>IF($B4="","",IF(INDEX(BDHK2,MATCH($C4,DiemHKII!$C$4:$C$58,0),Q$59)&lt;&gt;"",INDEX(BDHK2,MATCH($C4,DiemHKII!$C$4:$C$58,0),Q$59),""))</f>
        <v>9.6</v>
      </c>
      <c r="R4" s="792">
        <f t="shared" ref="R4:R57" si="6">IF(Q4="","",IF(Q4&gt;=9,1,IF(Q4&gt;=8.5,2,IF(Q4&gt;=8,3,IF(Q4&gt;=7.5,4,IF(Q4&gt;=7,5,IF(Q4&gt;=6.5,6,IF(Q4&gt;=6,7,IF(Q4&gt;=5.5,8,IF(Q4&gt;=5,9,IF(Q4&gt;=4.5,10,IF(Q4&gt;=4,11,IF(Q4&gt;=3.5,12,IF(Q4&gt;=3,13,IF(Q4&gt;=2.5,14,IF(Q4&gt;=0,15,""))))))))))))))))</f>
        <v>1</v>
      </c>
      <c r="S4" s="776" t="str">
        <f>IF($B4="","",INDEX(NXetHKI!$B$3:$CL$57,MATCH(NXchung!$C4,NXetHKI!$C$3:$C$57,0),NXchung!S$59))</f>
        <v>Em học giỏi, chăm ngoan, tính tự giác cao, rất tốt.</v>
      </c>
      <c r="T4" s="775" t="str">
        <f>IF($B4="","",IF(INDEX(BDHK2,MATCH($C4,DiemHKII!$C$4:$C$58,0),T$59)&lt;&gt;"",INDEX(BDHK2,MATCH($C4,DiemHKII!$C$4:$C$58,0),T$59),""))</f>
        <v/>
      </c>
      <c r="U4" s="792" t="str">
        <f t="shared" ref="U4:U57" si="7">IF(T4="","",IF(T4&gt;=9,1,IF(T4&gt;=8.5,2,IF(T4&gt;=8,3,IF(T4&gt;=7.5,4,IF(T4&gt;=7,5,IF(T4&gt;=6.5,6,IF(T4&gt;=6,7,IF(T4&gt;=5.5,8,IF(T4&gt;=5,9,IF(T4&gt;=4.5,10,IF(T4&gt;=4,11,IF(T4&gt;=3.5,12,IF(T4&gt;=3,13,IF(T4&gt;=2.5,14,IF(T4&gt;=0,15,""))))))))))))))))</f>
        <v/>
      </c>
      <c r="V4" s="776" t="str">
        <f t="shared" ref="V4:V56" si="8">IF(U4="","",VLOOKUP(U4,$Q$61:$Y$75,$ER4,0))</f>
        <v/>
      </c>
      <c r="W4" s="775" t="str">
        <f>IF($B4="","",IF(INDEX(BDHK2,MATCH($C4,DiemHKII!$C$4:$C$58,0),W$59)&lt;&gt;"",INDEX(BDHK2,MATCH($C4,DiemHKII!$C$4:$C$58,0),W$59),""))</f>
        <v/>
      </c>
      <c r="X4" s="792" t="str">
        <f t="shared" ref="X4:X57" si="9">IF(W4="","",IF(W4&gt;=9,1,IF(W4&gt;=8.5,2,IF(W4&gt;=8,3,IF(W4&gt;=7.5,4,IF(W4&gt;=7,5,IF(W4&gt;=6.5,6,IF(W4&gt;=6,7,IF(W4&gt;=5.5,8,IF(W4&gt;=5,9,IF(W4&gt;=4.5,10,IF(W4&gt;=4,11,IF(W4&gt;=3.5,12,IF(W4&gt;=3,13,IF(W4&gt;=2.5,14,IF(W4&gt;=0,15,""))))))))))))))))</f>
        <v/>
      </c>
      <c r="Y4" s="776" t="str">
        <f t="shared" ref="Y4:Y57" si="10">IF(X4="","",VLOOKUP(X4,$Q$61:$Y$75,$ES4,0))</f>
        <v/>
      </c>
      <c r="Z4" s="774"/>
      <c r="AA4" s="775">
        <f>IF($B4="","",IF(INDEX(BDHK2,MATCH($C4,DiemHKII!$C$4:$C$58,0),AA$59)&lt;&gt;"",INDEX(BDHK2,MATCH($C4,DiemHKII!$C$4:$C$58,0),AA$59),""))</f>
        <v>9.4</v>
      </c>
      <c r="AB4" s="792">
        <f t="shared" ref="AB4:AB57" si="11">IF(AA4="","",IF(AA4&gt;=9,1,IF(AA4&gt;=8.5,2,IF(AA4&gt;=8,3,IF(AA4&gt;=7.5,4,IF(AA4&gt;=7,5,IF(AA4&gt;=6.5,6,IF(AA4&gt;=6,7,IF(AA4&gt;=5.5,8,IF(AA4&gt;=5,9,IF(AA4&gt;=4.5,10,IF(AA4&gt;=4,11,IF(AA4&gt;=3.5,12,IF(AA4&gt;=3,13,IF(AA4&gt;=2.5,14,IF(AA4&gt;=0,15,""))))))))))))))))</f>
        <v>1</v>
      </c>
      <c r="AC4" s="776" t="str">
        <f>IF($B4="","",INDEX(NXetHKI!$B$3:$CL$57,MATCH(NXchung!$C4,NXetHKI!$C$3:$C$57,0),NXchung!AC$59))</f>
        <v>Kiến thức vững, tự học tốt, ngoan.</v>
      </c>
      <c r="AD4" s="775" t="str">
        <f>IF($B4="","",IF(INDEX(BDHK2,MATCH($C4,DiemHKII!$C$4:$C$58,0),AD$59)&lt;&gt;"",INDEX(BDHK2,MATCH($C4,DiemHKII!$C$4:$C$58,0),AD$59),""))</f>
        <v/>
      </c>
      <c r="AE4" s="792" t="str">
        <f t="shared" ref="AE4:AE57" si="12">IF(AD4="","",IF(AD4&gt;=9,1,IF(AD4&gt;=8.5,2,IF(AD4&gt;=8,3,IF(AD4&gt;=7.5,4,IF(AD4&gt;=7,5,IF(AD4&gt;=6.5,6,IF(AD4&gt;=6,7,IF(AD4&gt;=5.5,8,IF(AD4&gt;=5,9,IF(AD4&gt;=4.5,10,IF(AD4&gt;=4,11,IF(AD4&gt;=3.5,12,IF(AD4&gt;=3,13,IF(AD4&gt;=2.5,14,IF(AD4&gt;=0,15,""))))))))))))))))</f>
        <v/>
      </c>
      <c r="AF4" s="776" t="str">
        <f t="shared" ref="AF4:AF56" si="13">IF(AE4="","",VLOOKUP(AE4,$AA$61:$AI$75,$ER4,0))</f>
        <v/>
      </c>
      <c r="AG4" s="775" t="str">
        <f>IF($B4="","",IF(INDEX(BDHK2,MATCH($C4,DiemHKII!$C$4:$C$58,0),AG$59)&lt;&gt;"",INDEX(BDHK2,MATCH($C4,DiemHKII!$C$4:$C$58,0),AG$59),""))</f>
        <v/>
      </c>
      <c r="AH4" s="792" t="str">
        <f t="shared" ref="AH4:AH57" si="14">IF(AG4="","",IF(AG4&gt;=9,1,IF(AG4&gt;=8.5,2,IF(AG4&gt;=8,3,IF(AG4&gt;=7.5,4,IF(AG4&gt;=7,5,IF(AG4&gt;=6.5,6,IF(AG4&gt;=6,7,IF(AG4&gt;=5.5,8,IF(AG4&gt;=5,9,IF(AG4&gt;=4.5,10,IF(AG4&gt;=4,11,IF(AG4&gt;=3.5,12,IF(AG4&gt;=3,13,IF(AG4&gt;=2.5,14,IF(AG4&gt;=0,15,""))))))))))))))))</f>
        <v/>
      </c>
      <c r="AI4" s="776" t="str">
        <f t="shared" ref="AI4:AI57" si="15">IF(AH4="","",VLOOKUP(AH4,$AA$61:$AI$75,$ES4,0))</f>
        <v/>
      </c>
      <c r="AJ4" s="774"/>
      <c r="AK4" s="775">
        <f>IF($B4="","",IF(INDEX(BDHK2,MATCH($C4,DiemHKII!$C$4:$C$58,0),AK$59)&lt;&gt;"",INDEX(BDHK2,MATCH($C4,DiemHKII!$C$4:$C$58,0),AK$59),""))</f>
        <v>9.6999999999999993</v>
      </c>
      <c r="AL4" s="792">
        <f t="shared" ref="AL4:AL57" si="16">IF(AK4="","",IF(AK4&gt;=9,1,IF(AK4&gt;=8.5,2,IF(AK4&gt;=8,3,IF(AK4&gt;=7.5,4,IF(AK4&gt;=7,5,IF(AK4&gt;=6.5,6,IF(AK4&gt;=6,7,IF(AK4&gt;=5.5,8,IF(AK4&gt;=5,9,IF(AK4&gt;=4.5,10,IF(AK4&gt;=4,11,IF(AK4&gt;=3.5,12,IF(AK4&gt;=3,13,IF(AK4&gt;=2.5,14,IF(AK4&gt;=0,15,""))))))))))))))))</f>
        <v>1</v>
      </c>
      <c r="AM4" s="776" t="str">
        <f>IF($B4="","",INDEX(NXetHKI!$B$3:$CL$57,MATCH(NXchung!$C4,NXetHKI!$C$3:$C$57,0),NXchung!AM$59))</f>
        <v>Có khả năng tự học và tự chủ bản thân, tích cực trong học tập.</v>
      </c>
      <c r="AN4" s="775" t="str">
        <f>IF($B4="","",IF(INDEX(BDHK2,MATCH($C4,DiemHKII!$C$4:$C$58,0),AN$59)&lt;&gt;"",INDEX(BDHK2,MATCH($C4,DiemHKII!$C$4:$C$58,0),AN$59),""))</f>
        <v/>
      </c>
      <c r="AO4" s="792" t="str">
        <f t="shared" ref="AO4:AO57" si="17">IF(AN4="","",IF(AN4&gt;=9,1,IF(AN4&gt;=8.5,2,IF(AN4&gt;=8,3,IF(AN4&gt;=7.5,4,IF(AN4&gt;=7,5,IF(AN4&gt;=6.5,6,IF(AN4&gt;=6,7,IF(AN4&gt;=5.5,8,IF(AN4&gt;=5,9,IF(AN4&gt;=4.5,10,IF(AN4&gt;=4,11,IF(AN4&gt;=3.5,12,IF(AN4&gt;=3,13,IF(AN4&gt;=2.5,14,IF(AN4&gt;=0,15,""))))))))))))))))</f>
        <v/>
      </c>
      <c r="AP4" s="776" t="str">
        <f t="shared" ref="AP4:AP56" si="18">IF(AO4="","",VLOOKUP(AO4,$AK$61:$AS$75,$ER4,0))</f>
        <v/>
      </c>
      <c r="AQ4" s="775" t="str">
        <f>IF($B4="","",IF(INDEX(BDHK2,MATCH($C4,DiemHKII!$C$4:$C$58,0),AQ$59)&lt;&gt;"",INDEX(BDHK2,MATCH($C4,DiemHKII!$C$4:$C$58,0),AQ$59),""))</f>
        <v/>
      </c>
      <c r="AR4" s="792" t="str">
        <f t="shared" ref="AR4:AR57" si="19">IF(AQ4="","",IF(AQ4&gt;=9,1,IF(AQ4&gt;=8.5,2,IF(AQ4&gt;=8,3,IF(AQ4&gt;=7.5,4,IF(AQ4&gt;=7,5,IF(AQ4&gt;=6.5,6,IF(AQ4&gt;=6,7,IF(AQ4&gt;=5.5,8,IF(AQ4&gt;=5,9,IF(AQ4&gt;=4.5,10,IF(AQ4&gt;=4,11,IF(AQ4&gt;=3.5,12,IF(AQ4&gt;=3,13,IF(AQ4&gt;=2.5,14,IF(AQ4&gt;=0,15,""))))))))))))))))</f>
        <v/>
      </c>
      <c r="AS4" s="776" t="str">
        <f t="shared" ref="AS4:AS57" si="20">IF(AR4="","",VLOOKUP(AR4,$AK$61:$AS$75,$ES4,0))</f>
        <v/>
      </c>
      <c r="AT4" s="774"/>
      <c r="AU4" s="775">
        <f>IF($B4="","",IF(INDEX(BDHK2,MATCH($C4,DiemHKII!$C$4:$C$58,0),AU$59)&lt;&gt;"",INDEX(BDHK2,MATCH($C4,DiemHKII!$C$4:$C$58,0),AU$59),""))</f>
        <v>9.6</v>
      </c>
      <c r="AV4" s="792">
        <f t="shared" ref="AV4:AV57" si="21">IF(AU4="","",IF(AU4&gt;=9,1,IF(AU4&gt;=8.5,2,IF(AU4&gt;=8,3,IF(AU4&gt;=7.5,4,IF(AU4&gt;=7,5,IF(AU4&gt;=6.5,6,IF(AU4&gt;=6,7,IF(AU4&gt;=5.5,8,IF(AU4&gt;=5,9,IF(AU4&gt;=4.5,10,IF(AU4&gt;=4,11,IF(AU4&gt;=3.5,12,IF(AU4&gt;=3,13,IF(AU4&gt;=2.5,14,IF(AU4&gt;=0,15,""))))))))))))))))</f>
        <v>1</v>
      </c>
      <c r="AW4" s="776" t="str">
        <f>IF($B4="","",INDEX(NXetHKI!$B$3:$CL$57,MATCH(NXchung!$C4,NXetHKI!$C$3:$C$57,0),NXchung!AW$59))</f>
        <v>Ngoan, chăm chỉ, tư duy tốt.</v>
      </c>
      <c r="AX4" s="775" t="str">
        <f>IF($B4="","",IF(INDEX(BDHK2,MATCH($C4,DiemHKII!$C$4:$C$58,0),AX$59)&lt;&gt;"",INDEX(BDHK2,MATCH($C4,DiemHKII!$C$4:$C$58,0),AX$59),""))</f>
        <v/>
      </c>
      <c r="AY4" s="792" t="str">
        <f t="shared" ref="AY4:AY57" si="22">IF(AX4="","",IF(AX4&gt;=9,1,IF(AX4&gt;=8.5,2,IF(AX4&gt;=8,3,IF(AX4&gt;=7.5,4,IF(AX4&gt;=7,5,IF(AX4&gt;=6.5,6,IF(AX4&gt;=6,7,IF(AX4&gt;=5.5,8,IF(AX4&gt;=5,9,IF(AX4&gt;=4.5,10,IF(AX4&gt;=4,11,IF(AX4&gt;=3.5,12,IF(AX4&gt;=3,13,IF(AX4&gt;=2.5,14,IF(AX4&gt;=0,15,""))))))))))))))))</f>
        <v/>
      </c>
      <c r="AZ4" s="776" t="str">
        <f t="shared" ref="AZ4:AZ57" si="23">IF(AY4="","",VLOOKUP(AY4,$AU$61:$BC$75,$ER4,0))</f>
        <v/>
      </c>
      <c r="BA4" s="775" t="str">
        <f>IF($B4="","",IF(INDEX(BDHK2,MATCH($C4,DiemHKII!$C$4:$C$58,0),BA$59)&lt;&gt;"",INDEX(BDHK2,MATCH($C4,DiemHKII!$C$4:$C$58,0),BA$59),""))</f>
        <v/>
      </c>
      <c r="BB4" s="792" t="str">
        <f t="shared" ref="BB4:BB57" si="24">IF(BA4="","",IF(BA4&gt;=9,1,IF(BA4&gt;=8.5,2,IF(BA4&gt;=8,3,IF(BA4&gt;=7.5,4,IF(BA4&gt;=7,5,IF(BA4&gt;=6.5,6,IF(BA4&gt;=6,7,IF(BA4&gt;=5.5,8,IF(BA4&gt;=5,9,IF(BA4&gt;=4.5,10,IF(BA4&gt;=4,11,IF(BA4&gt;=3.5,12,IF(BA4&gt;=3,13,IF(BA4&gt;=2.5,14,IF(BA4&gt;=0,15,""))))))))))))))))</f>
        <v/>
      </c>
      <c r="BC4" s="776" t="str">
        <f t="shared" ref="BC4:BC57" si="25">IF(BB4="","",VLOOKUP(BB4,$AU$61:$BC$75,$ES4,0))</f>
        <v/>
      </c>
      <c r="BD4" s="774"/>
      <c r="BE4" s="775">
        <f>IF($B4="","",IF(INDEX(BDHK2,MATCH($C4,DiemHKII!$C$4:$C$58,0),BE$59)&lt;&gt;"",INDEX(BDHK2,MATCH($C4,DiemHKII!$C$4:$C$58,0),BE$59),""))</f>
        <v>8.4</v>
      </c>
      <c r="BF4" s="792">
        <f t="shared" ref="BF4:BF57" si="26">IF(BE4="","",IF(BE4&gt;=9,1,IF(BE4&gt;=8.5,2,IF(BE4&gt;=8,3,IF(BE4&gt;=7.5,4,IF(BE4&gt;=7,5,IF(BE4&gt;=6.5,6,IF(BE4&gt;=6,7,IF(BE4&gt;=5.5,8,IF(BE4&gt;=5,9,IF(BE4&gt;=4.5,10,IF(BE4&gt;=4,11,IF(BE4&gt;=3.5,12,IF(BE4&gt;=3,13,IF(BE4&gt;=2.5,14,IF(BE4&gt;=0,15,""))))))))))))))))</f>
        <v>3</v>
      </c>
      <c r="BG4" s="776" t="str">
        <f>IF($B4="","",INDEX(NXetHKI!$B$3:$CL$57,MATCH(NXchung!$C4,NXetHKI!$C$3:$C$57,0),NXchung!BG$59))</f>
        <v>Tích cực học tập, nắm vững bốn kỹ năng.</v>
      </c>
      <c r="BH4" s="775" t="str">
        <f>IF($B4="","",IF(INDEX(BDHK2,MATCH($C4,DiemHKII!$C$4:$C$58,0),BH$59)&lt;&gt;"",INDEX(BDHK2,MATCH($C4,DiemHKII!$C$4:$C$58,0),BH$59),""))</f>
        <v/>
      </c>
      <c r="BI4" s="792" t="str">
        <f t="shared" ref="BI4:BI57" si="27">IF(BH4="","",IF(BH4&gt;=9,1,IF(BH4&gt;=8.5,2,IF(BH4&gt;=8,3,IF(BH4&gt;=7.5,4,IF(BH4&gt;=7,5,IF(BH4&gt;=6.5,6,IF(BH4&gt;=6,7,IF(BH4&gt;=5.5,8,IF(BH4&gt;=5,9,IF(BH4&gt;=4.5,10,IF(BH4&gt;=4,11,IF(BH4&gt;=3.5,12,IF(BH4&gt;=3,13,IF(BH4&gt;=2.5,14,IF(BH4&gt;=0,15,""))))))))))))))))</f>
        <v/>
      </c>
      <c r="BJ4" s="776" t="str">
        <f t="shared" ref="BJ4:BJ57" si="28">IF(BI4="","",VLOOKUP(BI4,$BE$61:$BM$75,$ER4,0))</f>
        <v/>
      </c>
      <c r="BK4" s="775" t="str">
        <f>IF($B4="","",IF(INDEX(BDHK2,MATCH($C4,DiemHKII!$C$4:$C$58,0),BK$59)&lt;&gt;"",INDEX(BDHK2,MATCH($C4,DiemHKII!$C$4:$C$58,0),BK$59),""))</f>
        <v/>
      </c>
      <c r="BL4" s="792" t="str">
        <f t="shared" ref="BL4:BL57" si="29">IF(BK4="","",IF(BK4&gt;=9,1,IF(BK4&gt;=8.5,2,IF(BK4&gt;=8,3,IF(BK4&gt;=7.5,4,IF(BK4&gt;=7,5,IF(BK4&gt;=6.5,6,IF(BK4&gt;=6,7,IF(BK4&gt;=5.5,8,IF(BK4&gt;=5,9,IF(BK4&gt;=4.5,10,IF(BK4&gt;=4,11,IF(BK4&gt;=3.5,12,IF(BK4&gt;=3,13,IF(BK4&gt;=2.5,14,IF(BK4&gt;=0,15,""))))))))))))))))</f>
        <v/>
      </c>
      <c r="BM4" s="776" t="str">
        <f t="shared" ref="BM4:BM57" si="30">IF(BL4="","",VLOOKUP(BL4,$BE$61:$BM$75,$ES4,0))</f>
        <v/>
      </c>
      <c r="BN4" s="774"/>
      <c r="BO4" s="775">
        <f>IF($B4="","",IF(INDEX(BDHK2,MATCH($C4,DiemHKII!$C$4:$C$58,0),BO$59)&lt;&gt;"",INDEX(BDHK2,MATCH($C4,DiemHKII!$C$4:$C$58,0),BO$59),""))</f>
        <v>9.6</v>
      </c>
      <c r="BP4" s="792">
        <f t="shared" ref="BP4:BP57" si="31">IF(BO4="","",IF(BO4&gt;=9,1,IF(BO4&gt;=8.5,2,IF(BO4&gt;=8,3,IF(BO4&gt;=7.5,4,IF(BO4&gt;=7,5,IF(BO4&gt;=6.5,6,IF(BO4&gt;=6,7,IF(BO4&gt;=5.5,8,IF(BO4&gt;=5,9,IF(BO4&gt;=4.5,10,IF(BO4&gt;=4,11,IF(BO4&gt;=3.5,12,IF(BO4&gt;=3,13,IF(BO4&gt;=2.5,14,IF(BO4&gt;=0,15,""))))))))))))))))</f>
        <v>1</v>
      </c>
      <c r="BQ4" s="776" t="str">
        <f>IF($B4="","",INDEX(NXetHKI!$B$3:$CL$57,MATCH(NXchung!$C4,NXetHKI!$C$3:$C$57,0),NXchung!BQ$59))</f>
        <v>Tiếp thu bài tốt, ghi nhớ nhanh các sự kiện lịch sử.</v>
      </c>
      <c r="BR4" s="775" t="str">
        <f>IF($B4="","",IF(INDEX(BDHK2,MATCH($C4,DiemHKII!$C$4:$C$58,0),BR$59)&lt;&gt;"",INDEX(BDHK2,MATCH($C4,DiemHKII!$C$4:$C$58,0),BR$59),""))</f>
        <v/>
      </c>
      <c r="BS4" s="792" t="str">
        <f t="shared" ref="BS4:BS57" si="32">IF(BR4="","",IF(BR4&gt;=9,1,IF(BR4&gt;=8.5,2,IF(BR4&gt;=8,3,IF(BR4&gt;=7.5,4,IF(BR4&gt;=7,5,IF(BR4&gt;=6.5,6,IF(BR4&gt;=6,7,IF(BR4&gt;=5.5,8,IF(BR4&gt;=5,9,IF(BR4&gt;=4.5,10,IF(BR4&gt;=4,11,IF(BR4&gt;=3.5,12,IF(BR4&gt;=3,13,IF(BR4&gt;=2.5,14,IF(BR4&gt;=0,15,""))))))))))))))))</f>
        <v/>
      </c>
      <c r="BT4" s="776" t="str">
        <f t="shared" ref="BT4:BT57" si="33">IF(BS4="","",VLOOKUP(BS4,$BO$61:$BW$75,$ER4,0))</f>
        <v/>
      </c>
      <c r="BU4" s="775" t="str">
        <f>IF($B4="","",IF(INDEX(BDHK2,MATCH($C4,DiemHKII!$C$4:$C$58,0),BU$59)&lt;&gt;"",INDEX(BDHK2,MATCH($C4,DiemHKII!$C$4:$C$58,0),BU$59),""))</f>
        <v/>
      </c>
      <c r="BV4" s="792" t="str">
        <f t="shared" ref="BV4:BV57" si="34">IF(BU4="","",IF(BU4&gt;=9,1,IF(BU4&gt;=8.5,2,IF(BU4&gt;=8,3,IF(BU4&gt;=7.5,4,IF(BU4&gt;=7,5,IF(BU4&gt;=6.5,6,IF(BU4&gt;=6,7,IF(BU4&gt;=5.5,8,IF(BU4&gt;=5,9,IF(BU4&gt;=4.5,10,IF(BU4&gt;=4,11,IF(BU4&gt;=3.5,12,IF(BU4&gt;=3,13,IF(BU4&gt;=2.5,14,IF(BU4&gt;=0,15,""))))))))))))))))</f>
        <v/>
      </c>
      <c r="BW4" s="776" t="str">
        <f t="shared" ref="BW4:BW57" si="35">IF(BV4="","",VLOOKUP(BV4,$BO$61:$BW$75,$ES4,0))</f>
        <v/>
      </c>
      <c r="BX4" s="774"/>
      <c r="BY4" s="775">
        <f>IF($B4="","",IF(INDEX(BDHK2,MATCH($C4,DiemHKII!$C$4:$C$58,0),BY$59)&lt;&gt;"",INDEX(BDHK2,MATCH($C4,DiemHKII!$C$4:$C$58,0),BY$59),""))</f>
        <v>9.8000000000000007</v>
      </c>
      <c r="BZ4" s="792">
        <f t="shared" ref="BZ4:BZ57" si="36">IF(BY4="","",IF(BY4&gt;=9,1,IF(BY4&gt;=8.5,2,IF(BY4&gt;=8,3,IF(BY4&gt;=7.5,4,IF(BY4&gt;=7,5,IF(BY4&gt;=6.5,6,IF(BY4&gt;=6,7,IF(BY4&gt;=5.5,8,IF(BY4&gt;=5,9,IF(BY4&gt;=4.5,10,IF(BY4&gt;=4,11,IF(BY4&gt;=3.5,12,IF(BY4&gt;=3,13,IF(BY4&gt;=2.5,14,IF(BY4&gt;=0,15,""))))))))))))))))</f>
        <v>1</v>
      </c>
      <c r="CA4" s="776" t="str">
        <f>IF($B4="","",INDEX(NXetHKI!$B$3:$CL$57,MATCH(NXchung!$C4,NXetHKI!$C$3:$C$57,0),NXchung!CA$59))</f>
        <v>Em có tư duy tốt, rất tích cực, giải quyết vấn đề tốt.</v>
      </c>
      <c r="CB4" s="775" t="str">
        <f>IF($B4="","",IF(INDEX(BDHK2,MATCH($C4,DiemHKII!$C$4:$C$58,0),CB$59)&lt;&gt;"",INDEX(BDHK2,MATCH($C4,DiemHKII!$C$4:$C$58,0),CB$59),""))</f>
        <v/>
      </c>
      <c r="CC4" s="792" t="str">
        <f t="shared" ref="CC4:CC57" si="37">IF(CB4="","",IF(CB4&gt;=9,1,IF(CB4&gt;=8.5,2,IF(CB4&gt;=8,3,IF(CB4&gt;=7.5,4,IF(CB4&gt;=7,5,IF(CB4&gt;=6.5,6,IF(CB4&gt;=6,7,IF(CB4&gt;=5.5,8,IF(CB4&gt;=5,9,IF(CB4&gt;=4.5,10,IF(CB4&gt;=4,11,IF(CB4&gt;=3.5,12,IF(CB4&gt;=3,13,IF(CB4&gt;=2.5,14,IF(CB4&gt;=0,15,""))))))))))))))))</f>
        <v/>
      </c>
      <c r="CD4" s="776" t="str">
        <f t="shared" ref="CD4:CD57" si="38">IF(CC4="","",VLOOKUP(CC4,$BY$61:$CG$75,$ER4,0))</f>
        <v/>
      </c>
      <c r="CE4" s="775" t="str">
        <f>IF($B4="","",IF(INDEX(BDHK2,MATCH($C4,DiemHKII!$C$4:$C$58,0),CE$59)&lt;&gt;"",INDEX(BDHK2,MATCH($C4,DiemHKII!$C$4:$C$58,0),CE$59),""))</f>
        <v/>
      </c>
      <c r="CF4" s="792" t="str">
        <f t="shared" ref="CF4:CF57" si="39">IF(CE4="","",IF(CE4&gt;=9,1,IF(CE4&gt;=8.5,2,IF(CE4&gt;=8,3,IF(CE4&gt;=7.5,4,IF(CE4&gt;=7,5,IF(CE4&gt;=6.5,6,IF(CE4&gt;=6,7,IF(CE4&gt;=5.5,8,IF(CE4&gt;=5,9,IF(CE4&gt;=4.5,10,IF(CE4&gt;=4,11,IF(CE4&gt;=3.5,12,IF(CE4&gt;=3,13,IF(CE4&gt;=2.5,14,IF(CE4&gt;=0,15,""))))))))))))))))</f>
        <v/>
      </c>
      <c r="CG4" s="776" t="str">
        <f t="shared" ref="CG4:CG57" si="40">IF(CF4="","",VLOOKUP(CF4,$BY$61:$CG$75,$ES4,0))</f>
        <v/>
      </c>
      <c r="CH4" s="774"/>
      <c r="CI4" s="775">
        <f>IF($B4="","",IF(INDEX(BDHK2,MATCH($C4,DiemHKII!$C$4:$C$58,0),CI$59)&lt;&gt;"",INDEX(BDHK2,MATCH($C4,DiemHKII!$C$4:$C$58,0),CI$59),""))</f>
        <v>9</v>
      </c>
      <c r="CJ4" s="792">
        <f t="shared" ref="CJ4:CJ57" si="41">IF(CI4="","",IF(CI4&gt;=9,1,IF(CI4&gt;=8.5,2,IF(CI4&gt;=8,3,IF(CI4&gt;=7.5,4,IF(CI4&gt;=7,5,IF(CI4&gt;=6.5,6,IF(CI4&gt;=6,7,IF(CI4&gt;=5.5,8,IF(CI4&gt;=5,9,IF(CI4&gt;=4.5,10,IF(CI4&gt;=4,11,IF(CI4&gt;=3.5,12,IF(CI4&gt;=3,13,IF(CI4&gt;=2.5,14,IF(CI4&gt;=0,15,""))))))))))))))))</f>
        <v>1</v>
      </c>
      <c r="CK4" s="776" t="str">
        <f>IF($B4="","",INDEX(NXetHKI!$B$3:$CL$57,MATCH(NXchung!$C4,NXetHKI!$C$3:$C$57,0),NXchung!CK$59))</f>
        <v>Chăm chỉ, chuyên cần, rất tích cực và năng động.</v>
      </c>
      <c r="CL4" s="775" t="str">
        <f>IF($B4="","",IF(INDEX(BDHK2,MATCH($C4,DiemHKII!$C$4:$C$58,0),CL$59)&lt;&gt;"",INDEX(BDHK2,MATCH($C4,DiemHKII!$C$4:$C$58,0),CL$59),""))</f>
        <v/>
      </c>
      <c r="CM4" s="792" t="str">
        <f t="shared" ref="CM4:CM57" si="42">IF(CL4="","",IF(CL4&gt;=9,1,IF(CL4&gt;=8.5,2,IF(CL4&gt;=8,3,IF(CL4&gt;=7.5,4,IF(CL4&gt;=7,5,IF(CL4&gt;=6.5,6,IF(CL4&gt;=6,7,IF(CL4&gt;=5.5,8,IF(CL4&gt;=5,9,IF(CL4&gt;=4.5,10,IF(CL4&gt;=4,11,IF(CL4&gt;=3.5,12,IF(CL4&gt;=3,13,IF(CL4&gt;=2.5,14,IF(CL4&gt;=0,15,""))))))))))))))))</f>
        <v/>
      </c>
      <c r="CN4" s="776" t="str">
        <f t="shared" ref="CN4:CN57" si="43">IF(CM4="","",VLOOKUP(CM4,$CI$61:$CQ$75,$ER4,0))</f>
        <v/>
      </c>
      <c r="CO4" s="775" t="str">
        <f>IF($B4="","",IF(INDEX(BDHK2,MATCH($C4,DiemHKII!$C$4:$C$58,0),CO$59)&lt;&gt;"",INDEX(BDHK2,MATCH($C4,DiemHKII!$C$4:$C$58,0),CO$59),""))</f>
        <v/>
      </c>
      <c r="CP4" s="792" t="str">
        <f t="shared" ref="CP4:CP57" si="44">IF(CO4="","",IF(CO4&gt;=9,1,IF(CO4&gt;=8.5,2,IF(CO4&gt;=8,3,IF(CO4&gt;=7.5,4,IF(CO4&gt;=7,5,IF(CO4&gt;=6.5,6,IF(CO4&gt;=6,7,IF(CO4&gt;=5.5,8,IF(CO4&gt;=5,9,IF(CO4&gt;=4.5,10,IF(CO4&gt;=4,11,IF(CO4&gt;=3.5,12,IF(CO4&gt;=3,13,IF(CO4&gt;=2.5,14,IF(CO4&gt;=0,15,""))))))))))))))))</f>
        <v/>
      </c>
      <c r="CQ4" s="776" t="str">
        <f t="shared" ref="CQ4:CQ57" si="45">IF(CP4="","",VLOOKUP(CP4,$CI$61:$CQ$75,$ES4,0))</f>
        <v/>
      </c>
      <c r="CR4" s="774"/>
      <c r="CS4" s="775">
        <f>IF($B4="","",IF(INDEX(BDHK2,MATCH($C4,DiemHKII!$C$4:$C$58,0),CS$59)&lt;&gt;"",INDEX(BDHK2,MATCH($C4,DiemHKII!$C$4:$C$58,0),CS$59),""))</f>
        <v>9.1</v>
      </c>
      <c r="CT4" s="792">
        <f t="shared" ref="CT4:CT57" si="46">IF(CS4="","",IF(CS4&gt;=9,1,IF(CS4&gt;=8.5,2,IF(CS4&gt;=8,3,IF(CS4&gt;=7.5,4,IF(CS4&gt;=7,5,IF(CS4&gt;=6.5,6,IF(CS4&gt;=6,7,IF(CS4&gt;=5.5,8,IF(CS4&gt;=5,9,IF(CS4&gt;=4.5,10,IF(CS4&gt;=4,11,IF(CS4&gt;=3.5,12,IF(CS4&gt;=3,13,IF(CS4&gt;=2.5,14,IF(CS4&gt;=0,15,""))))))))))))))))</f>
        <v>1</v>
      </c>
      <c r="CU4" s="776" t="str">
        <f>IF($B4="","",INDEX(NXetHKI!$B$3:$CL$57,MATCH(NXchung!$C4,NXetHKI!$C$3:$C$57,0),NXchung!CU$59))</f>
        <v>Chăm chỉ, học giỏi.</v>
      </c>
      <c r="CV4" s="775" t="str">
        <f>IF($B4="","",IF(INDEX(BDHK2,MATCH($C4,DiemHKII!$C$4:$C$58,0),CV$59)&lt;&gt;"",INDEX(BDHK2,MATCH($C4,DiemHKII!$C$4:$C$58,0),CV$59),""))</f>
        <v/>
      </c>
      <c r="CW4" s="792" t="str">
        <f t="shared" ref="CW4:CW57" si="47">IF(CV4="","",IF(CV4&gt;=9,1,IF(CV4&gt;=8.5,2,IF(CV4&gt;=8,3,IF(CV4&gt;=7.5,4,IF(CV4&gt;=7,5,IF(CV4&gt;=6.5,6,IF(CV4&gt;=6,7,IF(CV4&gt;=5.5,8,IF(CV4&gt;=5,9,IF(CV4&gt;=4.5,10,IF(CV4&gt;=4,11,IF(CV4&gt;=3.5,12,IF(CV4&gt;=3,13,IF(CV4&gt;=2.5,14,IF(CV4&gt;=0,15,""))))))))))))))))</f>
        <v/>
      </c>
      <c r="CX4" s="776" t="str">
        <f t="shared" ref="CX4:CX57" si="48">IF(CW4="","",VLOOKUP(CW4,$CS$61:$DA$75,$ER4,0))</f>
        <v/>
      </c>
      <c r="CY4" s="775" t="str">
        <f>IF($B4="","",IF(INDEX(BDHK2,MATCH($C4,DiemHKII!$C$4:$C$58,0),CY$59)&lt;&gt;"",INDEX(BDHK2,MATCH($C4,DiemHKII!$C$4:$C$58,0),CY$59),""))</f>
        <v/>
      </c>
      <c r="CZ4" s="792" t="str">
        <f t="shared" ref="CZ4:CZ57" si="49">IF(CY4="","",IF(CY4&gt;=9,1,IF(CY4&gt;=8.5,2,IF(CY4&gt;=8,3,IF(CY4&gt;=7.5,4,IF(CY4&gt;=7,5,IF(CY4&gt;=6.5,6,IF(CY4&gt;=6,7,IF(CY4&gt;=5.5,8,IF(CY4&gt;=5,9,IF(CY4&gt;=4.5,10,IF(CY4&gt;=4,11,IF(CY4&gt;=3.5,12,IF(CY4&gt;=3,13,IF(CY4&gt;=2.5,14,IF(CY4&gt;=0,15,""))))))))))))))))</f>
        <v/>
      </c>
      <c r="DA4" s="776" t="str">
        <f t="shared" ref="DA4:DA57" si="50">IF(CZ4="","",VLOOKUP(CZ4,$CS$61:$DA$75,$ES4,0))</f>
        <v/>
      </c>
      <c r="DB4" s="774"/>
      <c r="DC4" s="775">
        <f>IF($B4="","",IF(INDEX(BDHK2,MATCH($C4,DiemHKII!$C$4:$C$58,0),DC$59)&lt;&gt;"",INDEX(BDHK2,MATCH($C4,DiemHKII!$C$4:$C$58,0),DC$59),""))</f>
        <v>9.8000000000000007</v>
      </c>
      <c r="DD4" s="792">
        <f t="shared" ref="DD4:DD57" si="51">IF(DC4="","",IF(DC4&gt;=9,1,IF(DC4&gt;=8.5,2,IF(DC4&gt;=8,3,IF(DC4&gt;=7.5,4,IF(DC4&gt;=7,5,IF(DC4&gt;=6.5,6,IF(DC4&gt;=6,7,IF(DC4&gt;=5.5,8,IF(DC4&gt;=5,9,IF(DC4&gt;=4.5,10,IF(DC4&gt;=4,11,IF(DC4&gt;=3.5,12,IF(DC4&gt;=3,13,IF(DC4&gt;=2.5,14,IF(DC4&gt;=0,15,""))))))))))))))))</f>
        <v>1</v>
      </c>
      <c r="DE4" s="776" t="str">
        <f>IF($B4="","",INDEX(NXetHKI!$B$3:$CL$57,MATCH(NXchung!$C4,NXetHKI!$C$3:$C$57,0),NXchung!DE$59))</f>
        <v>Năng động, sáng tạo trong học tập.</v>
      </c>
      <c r="DF4" s="775" t="str">
        <f>IF($B4="","",IF(INDEX(BDHK2,MATCH($C4,DiemHKII!$C$4:$C$58,0),DF$59)&lt;&gt;"",INDEX(BDHK2,MATCH($C4,DiemHKII!$C$4:$C$58,0),DF$59),""))</f>
        <v/>
      </c>
      <c r="DG4" s="792" t="str">
        <f t="shared" ref="DG4:DG57" si="52">IF(DF4="","",IF(DF4&gt;=9,1,IF(DF4&gt;=8.5,2,IF(DF4&gt;=8,3,IF(DF4&gt;=7.5,4,IF(DF4&gt;=7,5,IF(DF4&gt;=6.5,6,IF(DF4&gt;=6,7,IF(DF4&gt;=5.5,8,IF(DF4&gt;=5,9,IF(DF4&gt;=4.5,10,IF(DF4&gt;=4,11,IF(DF4&gt;=3.5,12,IF(DF4&gt;=3,13,IF(DF4&gt;=2.5,14,IF(DF4&gt;=0,15,""))))))))))))))))</f>
        <v/>
      </c>
      <c r="DH4" s="776" t="str">
        <f t="shared" ref="DH4:DH57" si="53">IF(DG4="","",VLOOKUP(DG4,$DC$61:$DK$75,$ER4,0))</f>
        <v/>
      </c>
      <c r="DI4" s="775" t="str">
        <f>IF($B4="","",IF(INDEX(BDHK2,MATCH($C4,DiemHKII!$C$4:$C$58,0),DI$59)&lt;&gt;"",INDEX(BDHK2,MATCH($C4,DiemHKII!$C$4:$C$58,0),DI$59),""))</f>
        <v/>
      </c>
      <c r="DJ4" s="792" t="str">
        <f t="shared" ref="DJ4:DJ57" si="54">IF(DI4="","",IF(DI4&gt;=9,1,IF(DI4&gt;=8.5,2,IF(DI4&gt;=8,3,IF(DI4&gt;=7.5,4,IF(DI4&gt;=7,5,IF(DI4&gt;=6.5,6,IF(DI4&gt;=6,7,IF(DI4&gt;=5.5,8,IF(DI4&gt;=5,9,IF(DI4&gt;=4.5,10,IF(DI4&gt;=4,11,IF(DI4&gt;=3.5,12,IF(DI4&gt;=3,13,IF(DI4&gt;=2.5,14,IF(DI4&gt;=0,15,""))))))))))))))))</f>
        <v/>
      </c>
      <c r="DK4" s="776" t="str">
        <f t="shared" ref="DK4:DK56" si="55">IF(DJ4="","",VLOOKUP(DJ4,$DC$61:$DK$75,$ES4,0))</f>
        <v/>
      </c>
      <c r="DL4" s="774"/>
      <c r="DM4" s="775" t="str">
        <f>IF($B4="","",IF(INDEX(BDHK2,MATCH($C4,DiemHKII!$C$4:$C$58,0),DM$59)&lt;&gt;"",INDEX(BDHK2,MATCH($C4,DiemHKII!$C$4:$C$58,0),DM$59),""))</f>
        <v>Đ</v>
      </c>
      <c r="DN4" s="792">
        <f t="shared" ref="DN4:DN57" si="56">IF(DM4="","",IF(DM4&gt;=9,1,IF(DM4&gt;=8.5,2,IF(DM4&gt;=8,3,IF(DM4&gt;=7.5,4,IF(DM4&gt;=7,5,IF(DM4&gt;=6.5,6,IF(DM4&gt;=6,7,IF(DM4&gt;=5.5,8,IF(DM4&gt;=5,9,IF(DM4&gt;=4.5,10,IF(DM4&gt;=4,11,IF(DM4&gt;=3.5,12,IF(DM4&gt;=3,13,IF(DM4&gt;=2.5,14,IF(DM4&gt;=0,15,""))))))))))))))))</f>
        <v>1</v>
      </c>
      <c r="DO4" s="776" t="str">
        <f>IF($B4="","",INDEX(NXetHKI!$B$3:$CL$57,MATCH(NXchung!$C4,NXetHKI!$C$3:$C$57,0),NXchung!DO$59))</f>
        <v>Giỏi, có nhiều tiến bộ trong học tập.</v>
      </c>
      <c r="DP4" s="775" t="str">
        <f>IF($B4="","",IF(INDEX(BDHK2,MATCH($C4,DiemHKII!$C$4:$C$58,0),DP$59)&lt;&gt;"",INDEX(BDHK2,MATCH($C4,DiemHKII!$C$4:$C$58,0),DP$59),""))</f>
        <v/>
      </c>
      <c r="DQ4" s="792" t="str">
        <f t="shared" ref="DQ4:DQ57" si="57">IF(DP4="","",IF(DP4&gt;=9,1,IF(DP4&gt;=8.5,2,IF(DP4&gt;=8,3,IF(DP4&gt;=7.5,4,IF(DP4&gt;=7,5,IF(DP4&gt;=6.5,6,IF(DP4&gt;=6,7,IF(DP4&gt;=5.5,8,IF(DP4&gt;=5,9,IF(DP4&gt;=4.5,10,IF(DP4&gt;=4,11,IF(DP4&gt;=3.5,12,IF(DP4&gt;=3,13,IF(DP4&gt;=2.5,14,IF(DP4&gt;=0,15,""))))))))))))))))</f>
        <v/>
      </c>
      <c r="DR4" s="776" t="str">
        <f t="shared" ref="DR4:DR57" si="58">IF(DQ4="","",VLOOKUP(DQ4,$DM$61:$DU$75,$ER4,0))</f>
        <v/>
      </c>
      <c r="DS4" s="775" t="str">
        <f>IF($B4="","",IF(INDEX(BDHK2,MATCH($C4,DiemHKII!$C$4:$C$58,0),DS$59)&lt;&gt;"",INDEX(BDHK2,MATCH($C4,DiemHKII!$C$4:$C$58,0),DS$59),""))</f>
        <v>Đ</v>
      </c>
      <c r="DT4" s="792">
        <f t="shared" ref="DT4:DT57" si="59">IF(DS4="","",IF(DS4&gt;=9,1,IF(DS4&gt;=8.5,2,IF(DS4&gt;=8,3,IF(DS4&gt;=7.5,4,IF(DS4&gt;=7,5,IF(DS4&gt;=6.5,6,IF(DS4&gt;=6,7,IF(DS4&gt;=5.5,8,IF(DS4&gt;=5,9,IF(DS4&gt;=4.5,10,IF(DS4&gt;=4,11,IF(DS4&gt;=3.5,12,IF(DS4&gt;=3,13,IF(DS4&gt;=2.5,14,IF(DS4&gt;=0,15,""))))))))))))))))</f>
        <v>1</v>
      </c>
      <c r="DU4" s="776" t="str">
        <f t="shared" ref="DU4:DU57" si="60">IF(DT4="","",VLOOKUP(DT4,$DM$61:$DU$75,$ES4,0))</f>
        <v>Chăm chỉ, cố gắng, rất ngoan.</v>
      </c>
      <c r="DV4" s="774"/>
      <c r="DW4" s="775">
        <f>IF($B4="","",IF(INDEX(BDHK2,MATCH($C4,DiemHKII!$C$4:$C$58,0),DW$59)&lt;&gt;"",INDEX(BDHK2,MATCH($C4,DiemHKII!$C$4:$C$58,0),DW$59),""))</f>
        <v>9.9</v>
      </c>
      <c r="DX4" s="792">
        <f t="shared" ref="DX4:DX57" si="61">IF(DW4="","",IF(DW4&gt;=9,1,IF(DW4&gt;=8.5,2,IF(DW4&gt;=8,3,IF(DW4&gt;=7.5,4,IF(DW4&gt;=7,5,IF(DW4&gt;=6.5,6,IF(DW4&gt;=6,7,IF(DW4&gt;=5.5,8,IF(DW4&gt;=5,9,IF(DW4&gt;=4.5,10,IF(DW4&gt;=4,11,IF(DW4&gt;=3.5,12,IF(DW4&gt;=3,13,IF(DW4&gt;=2.5,14,IF(DW4&gt;=0,15,""))))))))))))))))</f>
        <v>1</v>
      </c>
      <c r="DY4" s="776" t="str">
        <f>IF($B4="","",INDEX(NXetHKI!$B$3:$CL$57,MATCH(NXchung!$C4,NXetHKI!$C$3:$C$57,0),NXchung!DY$59))</f>
        <v>Tích cực, năng động, nắm bài tốt, học giỏi.</v>
      </c>
      <c r="DZ4" s="775" t="str">
        <f>IF($B4="","",IF(INDEX(BDHK2,MATCH($C4,DiemHKII!$C$4:$C$58,0),DZ$59)&lt;&gt;"",INDEX(BDHK2,MATCH($C4,DiemHKII!$C$4:$C$58,0),DZ$59),""))</f>
        <v/>
      </c>
      <c r="EA4" s="792" t="str">
        <f t="shared" ref="EA4:EA57" si="62">IF(DZ4="","",IF(DZ4&gt;=9,1,IF(DZ4&gt;=8.5,2,IF(DZ4&gt;=8,3,IF(DZ4&gt;=7.5,4,IF(DZ4&gt;=7,5,IF(DZ4&gt;=6.5,6,IF(DZ4&gt;=6,7,IF(DZ4&gt;=5.5,8,IF(DZ4&gt;=5,9,IF(DZ4&gt;=4.5,10,IF(DZ4&gt;=4,11,IF(DZ4&gt;=3.5,12,IF(DZ4&gt;=3,13,IF(DZ4&gt;=2.5,14,IF(DZ4&gt;=0,15,""))))))))))))))))</f>
        <v/>
      </c>
      <c r="EB4" s="776" t="str">
        <f t="shared" ref="EB4:EB57" si="63">IF(EA4="","",VLOOKUP(EA4,$DW$61:$EE$75,$ER4,0))</f>
        <v/>
      </c>
      <c r="EC4" s="775" t="str">
        <f>IF($B4="","",IF(INDEX(BDHK2,MATCH($C4,DiemHKII!$C$4:$C$58,0),EC$59)&lt;&gt;"",INDEX(BDHK2,MATCH($C4,DiemHKII!$C$4:$C$58,0),EC$59),""))</f>
        <v/>
      </c>
      <c r="ED4" s="792" t="str">
        <f t="shared" ref="ED4:ED57" si="64">IF(EC4="","",IF(EC4&gt;=9,1,IF(EC4&gt;=8.5,2,IF(EC4&gt;=8,3,IF(EC4&gt;=7.5,4,IF(EC4&gt;=7,5,IF(EC4&gt;=6.5,6,IF(EC4&gt;=6,7,IF(EC4&gt;=5.5,8,IF(EC4&gt;=5,9,IF(EC4&gt;=4.5,10,IF(EC4&gt;=4,11,IF(EC4&gt;=3.5,12,IF(EC4&gt;=3,13,IF(EC4&gt;=2.5,14,IF(EC4&gt;=0,15,""))))))))))))))))</f>
        <v/>
      </c>
      <c r="EE4" s="776" t="str">
        <f t="shared" ref="EE4:EE57" si="65">IF(ED4="","",VLOOKUP(ED4,$DW$61:$EE$75,$ES4,0))</f>
        <v/>
      </c>
      <c r="EF4" s="774"/>
      <c r="EG4" s="775" t="str">
        <f>IF($B4="","",IF(INDEX(BDHK2,MATCH($C4,DiemHKII!$C$4:$C$58,0),EG$59)&lt;&gt;"",INDEX(BDHK2,MATCH($C4,DiemHKII!$C$4:$C$58,0),EG$59),""))</f>
        <v/>
      </c>
      <c r="EH4" s="792" t="str">
        <f t="shared" ref="EH4:EH57" si="66">IF(EG4="","",IF(EG4&gt;=9,1,IF(EG4&gt;=8.5,2,IF(EG4&gt;=8,3,IF(EG4&gt;=7.5,4,IF(EG4&gt;=7,5,IF(EG4&gt;=6.5,6,IF(EG4&gt;=6,7,IF(EG4&gt;=5.5,8,IF(EG4&gt;=5,9,IF(EG4&gt;=4.5,10,IF(EG4&gt;=4,11,IF(EG4&gt;=3.5,12,IF(EG4&gt;=3,13,IF(EG4&gt;=2.5,14,IF(EG4&gt;=0,15,""))))))))))))))))</f>
        <v/>
      </c>
      <c r="EI4" s="776" t="str">
        <f>IF($B4="","",INDEX(NXetHKI!$B$3:$CL$57,MATCH(NXchung!$C4,NXetHKI!$C$3:$C$57,0),NXchung!EI$59))</f>
        <v/>
      </c>
      <c r="EJ4" s="775" t="str">
        <f>IF($B4="","",IF(INDEX(BDHK2,MATCH($C4,DiemHKII!$C$4:$C$58,0),EJ$59)&lt;&gt;"",INDEX(BDHK2,MATCH($C4,DiemHKII!$C$4:$C$58,0),EJ$59),""))</f>
        <v/>
      </c>
      <c r="EK4" s="792" t="str">
        <f t="shared" ref="EK4:EK57" si="67">IF(EJ4="","",IF(EJ4&gt;=9,1,IF(EJ4&gt;=8.5,2,IF(EJ4&gt;=8,3,IF(EJ4&gt;=7.5,4,IF(EJ4&gt;=7,5,IF(EJ4&gt;=6.5,6,IF(EJ4&gt;=6,7,IF(EJ4&gt;=5.5,8,IF(EJ4&gt;=5,9,IF(EJ4&gt;=4.5,10,IF(EJ4&gt;=4,11,IF(EJ4&gt;=3.5,12,IF(EJ4&gt;=3,13,IF(EJ4&gt;=2.5,14,IF(EJ4&gt;=0,15,""))))))))))))))))</f>
        <v/>
      </c>
      <c r="EL4" s="776" t="str">
        <f t="shared" ref="EL4:EL57" si="68">IF(EK4="","",VLOOKUP(EK4,$EG$61:$EO$75,$ER4,0))</f>
        <v/>
      </c>
      <c r="EM4" s="775" t="str">
        <f>IF($B4="","",IF(INDEX(BDHK2,MATCH($C4,DiemHKII!$C$4:$C$58,0),EM$59)&lt;&gt;"",INDEX(BDHK2,MATCH($C4,DiemHKII!$C$4:$C$58,0),EM$59),""))</f>
        <v/>
      </c>
      <c r="EN4" s="792" t="str">
        <f t="shared" ref="EN4:EN57" si="69">IF(EM4="","",IF(EM4&gt;=9,1,IF(EM4&gt;=8.5,2,IF(EM4&gt;=8,3,IF(EM4&gt;=7.5,4,IF(EM4&gt;=7,5,IF(EM4&gt;=6.5,6,IF(EM4&gt;=6,7,IF(EM4&gt;=5.5,8,IF(EM4&gt;=5,9,IF(EM4&gt;=4.5,10,IF(EM4&gt;=4,11,IF(EM4&gt;=3.5,12,IF(EM4&gt;=3,13,IF(EM4&gt;=2.5,14,IF(EM4&gt;=0,15,""))))))))))))))))</f>
        <v/>
      </c>
      <c r="EO4" s="776" t="str">
        <f t="shared" ref="EO4:EO56" si="70">IF(EN4="","",VLOOKUP(EN4,$EG$61:$EO$75,$ES4,0))</f>
        <v/>
      </c>
      <c r="EP4" s="774"/>
      <c r="ER4" s="816">
        <v>9</v>
      </c>
      <c r="ES4" s="816">
        <v>3</v>
      </c>
    </row>
    <row r="5" spans="1:149" ht="15" customHeight="1">
      <c r="A5" s="764"/>
      <c r="B5" s="771">
        <f>IF(B4&lt;MAX(DiemHKII!$B$4:$B$58),B4+1,"")</f>
        <v>3</v>
      </c>
      <c r="C5" s="771" t="str">
        <f t="shared" si="0"/>
        <v>12A1Lê TuấnAnh20/10/2004</v>
      </c>
      <c r="D5" s="772" t="str">
        <f>IF($B5&lt;&gt;"",PROPER(INDEX(DiemHKII!$B$4:$K$58,MATCH($B5,DiemHKII!$B$4:$B$58,0),4)),"")</f>
        <v>Lê Tuấn</v>
      </c>
      <c r="E5" s="773" t="str">
        <f>IF($B5&lt;&gt;"",PROPER(INDEX(DiemHKII!$B$4:$K$58,MATCH($B5,DiemHKII!$B$4:$B$58,0),5)),"")</f>
        <v>Anh</v>
      </c>
      <c r="F5" s="774" t="str">
        <f>IF($B5&lt;&gt;"",PROPER(INDEX(DiemHKII!$B$4:$K$58,MATCH($B5,DiemHKII!$B$4:$B$58,0),6)),"")</f>
        <v>20/10/2004</v>
      </c>
      <c r="G5" s="775">
        <f>IF($B5="","",IF(INDEX(BDHK2,MATCH($C5,DiemHKII!$C$4:$C$58,0),G$59)&lt;&gt;"",INDEX(BDHK2,MATCH($C5,DiemHKII!$C$4:$C$58,0),G$59),""))</f>
        <v>9.6</v>
      </c>
      <c r="H5" s="792">
        <f t="shared" si="1"/>
        <v>1</v>
      </c>
      <c r="I5" s="776" t="str">
        <f>IF($B5="","",INDEX(NXetHKI!$B$3:$CL$57,MATCH(NXchung!$C5,NXetHKI!$C$3:$C$57,0),NXchung!I$59))</f>
        <v>Em ngoan, tích cực, năng động, rất đáng khen.</v>
      </c>
      <c r="J5" s="775" t="str">
        <f>IF($B5="","",IF(INDEX(BDHK2,MATCH($C5,DiemHKII!$C$4:$C$58,0),J$59)&lt;&gt;"",INDEX(BDHK2,MATCH($C5,DiemHKII!$C$4:$C$58,0),J$59),""))</f>
        <v/>
      </c>
      <c r="K5" s="792" t="str">
        <f t="shared" si="2"/>
        <v/>
      </c>
      <c r="L5" s="776" t="str">
        <f t="shared" si="3"/>
        <v/>
      </c>
      <c r="M5" s="775" t="str">
        <f>IF($B5="","",IF(INDEX(BDHK2,MATCH($C5,DiemHKII!$C$4:$C$58,0),M$59)&lt;&gt;"",INDEX(BDHK2,MATCH($C5,DiemHKII!$C$4:$C$58,0),M$59),""))</f>
        <v/>
      </c>
      <c r="N5" s="792" t="str">
        <f t="shared" si="4"/>
        <v/>
      </c>
      <c r="O5" s="776" t="str">
        <f t="shared" si="5"/>
        <v/>
      </c>
      <c r="P5" s="774"/>
      <c r="Q5" s="775">
        <f>IF($B5="","",IF(INDEX(BDHK2,MATCH($C5,DiemHKII!$C$4:$C$58,0),Q$59)&lt;&gt;"",INDEX(BDHK2,MATCH($C5,DiemHKII!$C$4:$C$58,0),Q$59),""))</f>
        <v>9.4</v>
      </c>
      <c r="R5" s="792">
        <f t="shared" si="6"/>
        <v>1</v>
      </c>
      <c r="S5" s="776" t="str">
        <f>IF($B5="","",INDEX(NXetHKI!$B$3:$CL$57,MATCH(NXchung!$C5,NXetHKI!$C$3:$C$57,0),NXchung!S$59))</f>
        <v>Em ngoan, tích cực, năng động, rất đáng khen.</v>
      </c>
      <c r="T5" s="775" t="str">
        <f>IF($B5="","",IF(INDEX(BDHK2,MATCH($C5,DiemHKII!$C$4:$C$58,0),T$59)&lt;&gt;"",INDEX(BDHK2,MATCH($C5,DiemHKII!$C$4:$C$58,0),T$59),""))</f>
        <v/>
      </c>
      <c r="U5" s="792" t="str">
        <f t="shared" si="7"/>
        <v/>
      </c>
      <c r="V5" s="776" t="str">
        <f t="shared" si="8"/>
        <v/>
      </c>
      <c r="W5" s="775" t="str">
        <f>IF($B5="","",IF(INDEX(BDHK2,MATCH($C5,DiemHKII!$C$4:$C$58,0),W$59)&lt;&gt;"",INDEX(BDHK2,MATCH($C5,DiemHKII!$C$4:$C$58,0),W$59),""))</f>
        <v/>
      </c>
      <c r="X5" s="792" t="str">
        <f t="shared" si="9"/>
        <v/>
      </c>
      <c r="Y5" s="776" t="str">
        <f t="shared" si="10"/>
        <v/>
      </c>
      <c r="Z5" s="774"/>
      <c r="AA5" s="775">
        <f>IF($B5="","",IF(INDEX(BDHK2,MATCH($C5,DiemHKII!$C$4:$C$58,0),AA$59)&lt;&gt;"",INDEX(BDHK2,MATCH($C5,DiemHKII!$C$4:$C$58,0),AA$59),""))</f>
        <v>9.4</v>
      </c>
      <c r="AB5" s="792">
        <f t="shared" si="11"/>
        <v>1</v>
      </c>
      <c r="AC5" s="776" t="str">
        <f>IF($B5="","",INDEX(NXetHKI!$B$3:$CL$57,MATCH(NXchung!$C5,NXetHKI!$C$3:$C$57,0),NXchung!AC$59))</f>
        <v>Kiến thức vững, sáng tạo, tự học tốt.</v>
      </c>
      <c r="AD5" s="775" t="str">
        <f>IF($B5="","",IF(INDEX(BDHK2,MATCH($C5,DiemHKII!$C$4:$C$58,0),AD$59)&lt;&gt;"",INDEX(BDHK2,MATCH($C5,DiemHKII!$C$4:$C$58,0),AD$59),""))</f>
        <v/>
      </c>
      <c r="AE5" s="792" t="str">
        <f t="shared" si="12"/>
        <v/>
      </c>
      <c r="AF5" s="776" t="str">
        <f t="shared" si="13"/>
        <v/>
      </c>
      <c r="AG5" s="775" t="str">
        <f>IF($B5="","",IF(INDEX(BDHK2,MATCH($C5,DiemHKII!$C$4:$C$58,0),AG$59)&lt;&gt;"",INDEX(BDHK2,MATCH($C5,DiemHKII!$C$4:$C$58,0),AG$59),""))</f>
        <v/>
      </c>
      <c r="AH5" s="792" t="str">
        <f t="shared" si="14"/>
        <v/>
      </c>
      <c r="AI5" s="776" t="str">
        <f t="shared" si="15"/>
        <v/>
      </c>
      <c r="AJ5" s="774"/>
      <c r="AK5" s="775">
        <f>IF($B5="","",IF(INDEX(BDHK2,MATCH($C5,DiemHKII!$C$4:$C$58,0),AK$59)&lt;&gt;"",INDEX(BDHK2,MATCH($C5,DiemHKII!$C$4:$C$58,0),AK$59),""))</f>
        <v>8.6</v>
      </c>
      <c r="AL5" s="792">
        <f t="shared" si="16"/>
        <v>2</v>
      </c>
      <c r="AM5" s="776" t="str">
        <f>IF($B5="","",INDEX(NXetHKI!$B$3:$CL$57,MATCH(NXchung!$C5,NXetHKI!$C$3:$C$57,0),NXchung!AM$59))</f>
        <v>Ngoan, khả năng tư duy tốt, có trách nhiệm, trình bày tốt.</v>
      </c>
      <c r="AN5" s="775" t="str">
        <f>IF($B5="","",IF(INDEX(BDHK2,MATCH($C5,DiemHKII!$C$4:$C$58,0),AN$59)&lt;&gt;"",INDEX(BDHK2,MATCH($C5,DiemHKII!$C$4:$C$58,0),AN$59),""))</f>
        <v/>
      </c>
      <c r="AO5" s="792" t="str">
        <f t="shared" si="17"/>
        <v/>
      </c>
      <c r="AP5" s="776" t="str">
        <f t="shared" si="18"/>
        <v/>
      </c>
      <c r="AQ5" s="775" t="str">
        <f>IF($B5="","",IF(INDEX(BDHK2,MATCH($C5,DiemHKII!$C$4:$C$58,0),AQ$59)&lt;&gt;"",INDEX(BDHK2,MATCH($C5,DiemHKII!$C$4:$C$58,0),AQ$59),""))</f>
        <v/>
      </c>
      <c r="AR5" s="792" t="str">
        <f t="shared" si="19"/>
        <v/>
      </c>
      <c r="AS5" s="776" t="str">
        <f t="shared" si="20"/>
        <v/>
      </c>
      <c r="AT5" s="774"/>
      <c r="AU5" s="775">
        <f>IF($B5="","",IF(INDEX(BDHK2,MATCH($C5,DiemHKII!$C$4:$C$58,0),AU$59)&lt;&gt;"",INDEX(BDHK2,MATCH($C5,DiemHKII!$C$4:$C$58,0),AU$59),""))</f>
        <v>9.8000000000000007</v>
      </c>
      <c r="AV5" s="792">
        <f t="shared" si="21"/>
        <v>1</v>
      </c>
      <c r="AW5" s="776" t="str">
        <f>IF($B5="","",INDEX(NXetHKI!$B$3:$CL$57,MATCH(NXchung!$C5,NXetHKI!$C$3:$C$57,0),NXchung!AW$59))</f>
        <v>Học giỏi, năng động và sáng tạo trong học tập.</v>
      </c>
      <c r="AX5" s="775" t="str">
        <f>IF($B5="","",IF(INDEX(BDHK2,MATCH($C5,DiemHKII!$C$4:$C$58,0),AX$59)&lt;&gt;"",INDEX(BDHK2,MATCH($C5,DiemHKII!$C$4:$C$58,0),AX$59),""))</f>
        <v/>
      </c>
      <c r="AY5" s="792" t="str">
        <f t="shared" si="22"/>
        <v/>
      </c>
      <c r="AZ5" s="776" t="str">
        <f t="shared" si="23"/>
        <v/>
      </c>
      <c r="BA5" s="775" t="str">
        <f>IF($B5="","",IF(INDEX(BDHK2,MATCH($C5,DiemHKII!$C$4:$C$58,0),BA$59)&lt;&gt;"",INDEX(BDHK2,MATCH($C5,DiemHKII!$C$4:$C$58,0),BA$59),""))</f>
        <v/>
      </c>
      <c r="BB5" s="792" t="str">
        <f t="shared" si="24"/>
        <v/>
      </c>
      <c r="BC5" s="776" t="str">
        <f t="shared" si="25"/>
        <v/>
      </c>
      <c r="BD5" s="774"/>
      <c r="BE5" s="775">
        <f>IF($B5="","",IF(INDEX(BDHK2,MATCH($C5,DiemHKII!$C$4:$C$58,0),BE$59)&lt;&gt;"",INDEX(BDHK2,MATCH($C5,DiemHKII!$C$4:$C$58,0),BE$59),""))</f>
        <v>7.1</v>
      </c>
      <c r="BF5" s="792">
        <f t="shared" si="26"/>
        <v>5</v>
      </c>
      <c r="BG5" s="776" t="str">
        <f>IF($B5="","",INDEX(NXetHKI!$B$3:$CL$57,MATCH(NXchung!$C5,NXetHKI!$C$3:$C$57,0),NXchung!BG$59))</f>
        <v>Cần tích cực rèn thêm kỹ năng đọc, viết.</v>
      </c>
      <c r="BH5" s="775" t="str">
        <f>IF($B5="","",IF(INDEX(BDHK2,MATCH($C5,DiemHKII!$C$4:$C$58,0),BH$59)&lt;&gt;"",INDEX(BDHK2,MATCH($C5,DiemHKII!$C$4:$C$58,0),BH$59),""))</f>
        <v/>
      </c>
      <c r="BI5" s="792" t="str">
        <f t="shared" si="27"/>
        <v/>
      </c>
      <c r="BJ5" s="776" t="str">
        <f t="shared" si="28"/>
        <v/>
      </c>
      <c r="BK5" s="775" t="str">
        <f>IF($B5="","",IF(INDEX(BDHK2,MATCH($C5,DiemHKII!$C$4:$C$58,0),BK$59)&lt;&gt;"",INDEX(BDHK2,MATCH($C5,DiemHKII!$C$4:$C$58,0),BK$59),""))</f>
        <v/>
      </c>
      <c r="BL5" s="792" t="str">
        <f t="shared" si="29"/>
        <v/>
      </c>
      <c r="BM5" s="776" t="str">
        <f t="shared" si="30"/>
        <v/>
      </c>
      <c r="BN5" s="774"/>
      <c r="BO5" s="775">
        <f>IF($B5="","",IF(INDEX(BDHK2,MATCH($C5,DiemHKII!$C$4:$C$58,0),BO$59)&lt;&gt;"",INDEX(BDHK2,MATCH($C5,DiemHKII!$C$4:$C$58,0),BO$59),""))</f>
        <v>9.4</v>
      </c>
      <c r="BP5" s="792">
        <f t="shared" si="31"/>
        <v>1</v>
      </c>
      <c r="BQ5" s="776" t="str">
        <f>IF($B5="","",INDEX(NXetHKI!$B$3:$CL$57,MATCH(NXchung!$C5,NXetHKI!$C$3:$C$57,0),NXchung!BQ$59))</f>
        <v>Chăm học, tích cực phát biểu xây dựng bài.</v>
      </c>
      <c r="BR5" s="775" t="str">
        <f>IF($B5="","",IF(INDEX(BDHK2,MATCH($C5,DiemHKII!$C$4:$C$58,0),BR$59)&lt;&gt;"",INDEX(BDHK2,MATCH($C5,DiemHKII!$C$4:$C$58,0),BR$59),""))</f>
        <v/>
      </c>
      <c r="BS5" s="792" t="str">
        <f t="shared" si="32"/>
        <v/>
      </c>
      <c r="BT5" s="776" t="str">
        <f t="shared" si="33"/>
        <v/>
      </c>
      <c r="BU5" s="775" t="str">
        <f>IF($B5="","",IF(INDEX(BDHK2,MATCH($C5,DiemHKII!$C$4:$C$58,0),BU$59)&lt;&gt;"",INDEX(BDHK2,MATCH($C5,DiemHKII!$C$4:$C$58,0),BU$59),""))</f>
        <v/>
      </c>
      <c r="BV5" s="792" t="str">
        <f t="shared" si="34"/>
        <v/>
      </c>
      <c r="BW5" s="776" t="str">
        <f t="shared" si="35"/>
        <v/>
      </c>
      <c r="BX5" s="774"/>
      <c r="BY5" s="775">
        <f>IF($B5="","",IF(INDEX(BDHK2,MATCH($C5,DiemHKII!$C$4:$C$58,0),BY$59)&lt;&gt;"",INDEX(BDHK2,MATCH($C5,DiemHKII!$C$4:$C$58,0),BY$59),""))</f>
        <v>9.6</v>
      </c>
      <c r="BZ5" s="792">
        <f t="shared" si="36"/>
        <v>1</v>
      </c>
      <c r="CA5" s="776" t="str">
        <f>IF($B5="","",INDEX(NXetHKI!$B$3:$CL$57,MATCH(NXchung!$C5,NXetHKI!$C$3:$C$57,0),NXchung!CA$59))</f>
        <v>Em có tư duy tốt, tích cực, vận dụng thực tế tốt.</v>
      </c>
      <c r="CB5" s="775" t="str">
        <f>IF($B5="","",IF(INDEX(BDHK2,MATCH($C5,DiemHKII!$C$4:$C$58,0),CB$59)&lt;&gt;"",INDEX(BDHK2,MATCH($C5,DiemHKII!$C$4:$C$58,0),CB$59),""))</f>
        <v/>
      </c>
      <c r="CC5" s="792" t="str">
        <f t="shared" si="37"/>
        <v/>
      </c>
      <c r="CD5" s="776" t="str">
        <f t="shared" si="38"/>
        <v/>
      </c>
      <c r="CE5" s="775" t="str">
        <f>IF($B5="","",IF(INDEX(BDHK2,MATCH($C5,DiemHKII!$C$4:$C$58,0),CE$59)&lt;&gt;"",INDEX(BDHK2,MATCH($C5,DiemHKII!$C$4:$C$58,0),CE$59),""))</f>
        <v/>
      </c>
      <c r="CF5" s="792" t="str">
        <f t="shared" si="39"/>
        <v/>
      </c>
      <c r="CG5" s="776" t="str">
        <f t="shared" si="40"/>
        <v/>
      </c>
      <c r="CH5" s="774"/>
      <c r="CI5" s="775">
        <f>IF($B5="","",IF(INDEX(BDHK2,MATCH($C5,DiemHKII!$C$4:$C$58,0),CI$59)&lt;&gt;"",INDEX(BDHK2,MATCH($C5,DiemHKII!$C$4:$C$58,0),CI$59),""))</f>
        <v>8.1999999999999993</v>
      </c>
      <c r="CJ5" s="792">
        <f t="shared" si="41"/>
        <v>3</v>
      </c>
      <c r="CK5" s="776" t="str">
        <f>IF($B5="","",INDEX(NXetHKI!$B$3:$CL$57,MATCH(NXchung!$C5,NXetHKI!$C$3:$C$57,0),NXchung!CK$59))</f>
        <v>Có ý thức tự giác học tập, chuyên cần và tích cực trong các hoạt động tập thể.</v>
      </c>
      <c r="CL5" s="775" t="str">
        <f>IF($B5="","",IF(INDEX(BDHK2,MATCH($C5,DiemHKII!$C$4:$C$58,0),CL$59)&lt;&gt;"",INDEX(BDHK2,MATCH($C5,DiemHKII!$C$4:$C$58,0),CL$59),""))</f>
        <v/>
      </c>
      <c r="CM5" s="792" t="str">
        <f t="shared" si="42"/>
        <v/>
      </c>
      <c r="CN5" s="776" t="str">
        <f t="shared" si="43"/>
        <v/>
      </c>
      <c r="CO5" s="775" t="str">
        <f>IF($B5="","",IF(INDEX(BDHK2,MATCH($C5,DiemHKII!$C$4:$C$58,0),CO$59)&lt;&gt;"",INDEX(BDHK2,MATCH($C5,DiemHKII!$C$4:$C$58,0),CO$59),""))</f>
        <v/>
      </c>
      <c r="CP5" s="792" t="str">
        <f t="shared" si="44"/>
        <v/>
      </c>
      <c r="CQ5" s="776" t="str">
        <f t="shared" si="45"/>
        <v/>
      </c>
      <c r="CR5" s="774"/>
      <c r="CS5" s="775">
        <f>IF($B5="","",IF(INDEX(BDHK2,MATCH($C5,DiemHKII!$C$4:$C$58,0),CS$59)&lt;&gt;"",INDEX(BDHK2,MATCH($C5,DiemHKII!$C$4:$C$58,0),CS$59),""))</f>
        <v>8.8000000000000007</v>
      </c>
      <c r="CT5" s="792">
        <f t="shared" si="46"/>
        <v>2</v>
      </c>
      <c r="CU5" s="776" t="str">
        <f>IF($B5="","",INDEX(NXetHKI!$B$3:$CL$57,MATCH(NXchung!$C5,NXetHKI!$C$3:$C$57,0),NXchung!CU$59))</f>
        <v>Chủ động, nhân ái, học giỏi.</v>
      </c>
      <c r="CV5" s="775" t="str">
        <f>IF($B5="","",IF(INDEX(BDHK2,MATCH($C5,DiemHKII!$C$4:$C$58,0),CV$59)&lt;&gt;"",INDEX(BDHK2,MATCH($C5,DiemHKII!$C$4:$C$58,0),CV$59),""))</f>
        <v/>
      </c>
      <c r="CW5" s="792" t="str">
        <f t="shared" si="47"/>
        <v/>
      </c>
      <c r="CX5" s="776" t="str">
        <f t="shared" si="48"/>
        <v/>
      </c>
      <c r="CY5" s="775" t="str">
        <f>IF($B5="","",IF(INDEX(BDHK2,MATCH($C5,DiemHKII!$C$4:$C$58,0),CY$59)&lt;&gt;"",INDEX(BDHK2,MATCH($C5,DiemHKII!$C$4:$C$58,0),CY$59),""))</f>
        <v/>
      </c>
      <c r="CZ5" s="792" t="str">
        <f t="shared" si="49"/>
        <v/>
      </c>
      <c r="DA5" s="776" t="str">
        <f t="shared" si="50"/>
        <v/>
      </c>
      <c r="DB5" s="774"/>
      <c r="DC5" s="775">
        <f>IF($B5="","",IF(INDEX(BDHK2,MATCH($C5,DiemHKII!$C$4:$C$58,0),DC$59)&lt;&gt;"",INDEX(BDHK2,MATCH($C5,DiemHKII!$C$4:$C$58,0),DC$59),""))</f>
        <v>9.5</v>
      </c>
      <c r="DD5" s="792">
        <f t="shared" si="51"/>
        <v>1</v>
      </c>
      <c r="DE5" s="776" t="str">
        <f>IF($B5="","",INDEX(NXetHKI!$B$3:$CL$57,MATCH(NXchung!$C5,NXetHKI!$C$3:$C$57,0),NXchung!DE$59))</f>
        <v>Học giỏi, tiếp thu nhanh, chăm ngoan.</v>
      </c>
      <c r="DF5" s="775" t="str">
        <f>IF($B5="","",IF(INDEX(BDHK2,MATCH($C5,DiemHKII!$C$4:$C$58,0),DF$59)&lt;&gt;"",INDEX(BDHK2,MATCH($C5,DiemHKII!$C$4:$C$58,0),DF$59),""))</f>
        <v/>
      </c>
      <c r="DG5" s="792" t="str">
        <f t="shared" si="52"/>
        <v/>
      </c>
      <c r="DH5" s="776" t="str">
        <f t="shared" si="53"/>
        <v/>
      </c>
      <c r="DI5" s="775" t="str">
        <f>IF($B5="","",IF(INDEX(BDHK2,MATCH($C5,DiemHKII!$C$4:$C$58,0),DI$59)&lt;&gt;"",INDEX(BDHK2,MATCH($C5,DiemHKII!$C$4:$C$58,0),DI$59),""))</f>
        <v/>
      </c>
      <c r="DJ5" s="792" t="str">
        <f t="shared" si="54"/>
        <v/>
      </c>
      <c r="DK5" s="776" t="str">
        <f t="shared" si="55"/>
        <v/>
      </c>
      <c r="DL5" s="774"/>
      <c r="DM5" s="775" t="str">
        <f>IF($B5="","",IF(INDEX(BDHK2,MATCH($C5,DiemHKII!$C$4:$C$58,0),DM$59)&lt;&gt;"",INDEX(BDHK2,MATCH($C5,DiemHKII!$C$4:$C$58,0),DM$59),""))</f>
        <v>Đ</v>
      </c>
      <c r="DN5" s="792">
        <f t="shared" si="56"/>
        <v>1</v>
      </c>
      <c r="DO5" s="776" t="str">
        <f>IF($B5="","",INDEX(NXetHKI!$B$3:$CL$57,MATCH(NXchung!$C5,NXetHKI!$C$3:$C$57,0),NXchung!DO$59))</f>
        <v>Rất ngoan, học có hiệu quả tốt.</v>
      </c>
      <c r="DP5" s="775" t="str">
        <f>IF($B5="","",IF(INDEX(BDHK2,MATCH($C5,DiemHKII!$C$4:$C$58,0),DP$59)&lt;&gt;"",INDEX(BDHK2,MATCH($C5,DiemHKII!$C$4:$C$58,0),DP$59),""))</f>
        <v/>
      </c>
      <c r="DQ5" s="792" t="str">
        <f t="shared" si="57"/>
        <v/>
      </c>
      <c r="DR5" s="776" t="str">
        <f t="shared" si="58"/>
        <v/>
      </c>
      <c r="DS5" s="775" t="str">
        <f>IF($B5="","",IF(INDEX(BDHK2,MATCH($C5,DiemHKII!$C$4:$C$58,0),DS$59)&lt;&gt;"",INDEX(BDHK2,MATCH($C5,DiemHKII!$C$4:$C$58,0),DS$59),""))</f>
        <v>Đ</v>
      </c>
      <c r="DT5" s="792">
        <f t="shared" si="59"/>
        <v>1</v>
      </c>
      <c r="DU5" s="776" t="str">
        <f t="shared" si="60"/>
        <v>Giỏi, có nhiều tiến bộ trong học tập.</v>
      </c>
      <c r="DV5" s="774"/>
      <c r="DW5" s="775">
        <f>IF($B5="","",IF(INDEX(BDHK2,MATCH($C5,DiemHKII!$C$4:$C$58,0),DW$59)&lt;&gt;"",INDEX(BDHK2,MATCH($C5,DiemHKII!$C$4:$C$58,0),DW$59),""))</f>
        <v>9.4</v>
      </c>
      <c r="DX5" s="792">
        <f t="shared" si="61"/>
        <v>1</v>
      </c>
      <c r="DY5" s="776" t="str">
        <f>IF($B5="","",INDEX(NXetHKI!$B$3:$CL$57,MATCH(NXchung!$C5,NXetHKI!$C$3:$C$57,0),NXchung!DY$59))</f>
        <v>Ngoan, tích cực xây dựng bài, nắm chắc thực hành, học giỏi.</v>
      </c>
      <c r="DZ5" s="775" t="str">
        <f>IF($B5="","",IF(INDEX(BDHK2,MATCH($C5,DiemHKII!$C$4:$C$58,0),DZ$59)&lt;&gt;"",INDEX(BDHK2,MATCH($C5,DiemHKII!$C$4:$C$58,0),DZ$59),""))</f>
        <v/>
      </c>
      <c r="EA5" s="792" t="str">
        <f t="shared" si="62"/>
        <v/>
      </c>
      <c r="EB5" s="776" t="str">
        <f t="shared" si="63"/>
        <v/>
      </c>
      <c r="EC5" s="775" t="str">
        <f>IF($B5="","",IF(INDEX(BDHK2,MATCH($C5,DiemHKII!$C$4:$C$58,0),EC$59)&lt;&gt;"",INDEX(BDHK2,MATCH($C5,DiemHKII!$C$4:$C$58,0),EC$59),""))</f>
        <v/>
      </c>
      <c r="ED5" s="792" t="str">
        <f t="shared" si="64"/>
        <v/>
      </c>
      <c r="EE5" s="776" t="str">
        <f t="shared" si="65"/>
        <v/>
      </c>
      <c r="EF5" s="774"/>
      <c r="EG5" s="775" t="str">
        <f>IF($B5="","",IF(INDEX(BDHK2,MATCH($C5,DiemHKII!$C$4:$C$58,0),EG$59)&lt;&gt;"",INDEX(BDHK2,MATCH($C5,DiemHKII!$C$4:$C$58,0),EG$59),""))</f>
        <v/>
      </c>
      <c r="EH5" s="792" t="str">
        <f t="shared" si="66"/>
        <v/>
      </c>
      <c r="EI5" s="776" t="str">
        <f>IF($B5="","",INDEX(NXetHKI!$B$3:$CL$57,MATCH(NXchung!$C5,NXetHKI!$C$3:$C$57,0),NXchung!EI$59))</f>
        <v/>
      </c>
      <c r="EJ5" s="775" t="str">
        <f>IF($B5="","",IF(INDEX(BDHK2,MATCH($C5,DiemHKII!$C$4:$C$58,0),EJ$59)&lt;&gt;"",INDEX(BDHK2,MATCH($C5,DiemHKII!$C$4:$C$58,0),EJ$59),""))</f>
        <v/>
      </c>
      <c r="EK5" s="792" t="str">
        <f t="shared" si="67"/>
        <v/>
      </c>
      <c r="EL5" s="776" t="str">
        <f t="shared" si="68"/>
        <v/>
      </c>
      <c r="EM5" s="775" t="str">
        <f>IF($B5="","",IF(INDEX(BDHK2,MATCH($C5,DiemHKII!$C$4:$C$58,0),EM$59)&lt;&gt;"",INDEX(BDHK2,MATCH($C5,DiemHKII!$C$4:$C$58,0),EM$59),""))</f>
        <v/>
      </c>
      <c r="EN5" s="792" t="str">
        <f t="shared" si="69"/>
        <v/>
      </c>
      <c r="EO5" s="776" t="str">
        <f t="shared" si="70"/>
        <v/>
      </c>
      <c r="EP5" s="774"/>
      <c r="ER5" s="816">
        <v>3</v>
      </c>
      <c r="ES5" s="816">
        <v>6</v>
      </c>
    </row>
    <row r="6" spans="1:149" ht="15" customHeight="1">
      <c r="A6" s="764"/>
      <c r="B6" s="771">
        <f>IF(B5&lt;MAX(DiemHKII!$B$4:$B$58),B5+1,"")</f>
        <v>4</v>
      </c>
      <c r="C6" s="771" t="str">
        <f t="shared" si="0"/>
        <v>12A1Nguyễn Quách MaiAnh12/05/2004</v>
      </c>
      <c r="D6" s="772" t="str">
        <f>IF($B6&lt;&gt;"",PROPER(INDEX(DiemHKII!$B$4:$K$58,MATCH($B6,DiemHKII!$B$4:$B$58,0),4)),"")</f>
        <v>Nguyễn Quách Mai</v>
      </c>
      <c r="E6" s="773" t="str">
        <f>IF($B6&lt;&gt;"",PROPER(INDEX(DiemHKII!$B$4:$K$58,MATCH($B6,DiemHKII!$B$4:$B$58,0),5)),"")</f>
        <v>Anh</v>
      </c>
      <c r="F6" s="774" t="str">
        <f>IF($B6&lt;&gt;"",PROPER(INDEX(DiemHKII!$B$4:$K$58,MATCH($B6,DiemHKII!$B$4:$B$58,0),6)),"")</f>
        <v>12/05/2004</v>
      </c>
      <c r="G6" s="775">
        <f>IF($B6="","",IF(INDEX(BDHK2,MATCH($C6,DiemHKII!$C$4:$C$58,0),G$59)&lt;&gt;"",INDEX(BDHK2,MATCH($C6,DiemHKII!$C$4:$C$58,0),G$59),""))</f>
        <v>9.8000000000000007</v>
      </c>
      <c r="H6" s="792">
        <f t="shared" si="1"/>
        <v>1</v>
      </c>
      <c r="I6" s="776" t="str">
        <f>IF($B6="","",INDEX(NXetHKI!$B$3:$CL$57,MATCH(NXchung!$C6,NXetHKI!$C$3:$C$57,0),NXchung!I$59))</f>
        <v>Em chăm chỉ, chuyên cần, rất tích cực, rất đáng khen.</v>
      </c>
      <c r="J6" s="775" t="str">
        <f>IF($B6="","",IF(INDEX(BDHK2,MATCH($C6,DiemHKII!$C$4:$C$58,0),J$59)&lt;&gt;"",INDEX(BDHK2,MATCH($C6,DiemHKII!$C$4:$C$58,0),J$59),""))</f>
        <v/>
      </c>
      <c r="K6" s="792" t="str">
        <f t="shared" si="2"/>
        <v/>
      </c>
      <c r="L6" s="776" t="str">
        <f t="shared" si="3"/>
        <v/>
      </c>
      <c r="M6" s="775" t="str">
        <f>IF($B6="","",IF(INDEX(BDHK2,MATCH($C6,DiemHKII!$C$4:$C$58,0),M$59)&lt;&gt;"",INDEX(BDHK2,MATCH($C6,DiemHKII!$C$4:$C$58,0),M$59),""))</f>
        <v/>
      </c>
      <c r="N6" s="792" t="str">
        <f t="shared" si="4"/>
        <v/>
      </c>
      <c r="O6" s="776" t="str">
        <f t="shared" si="5"/>
        <v/>
      </c>
      <c r="P6" s="774"/>
      <c r="Q6" s="775">
        <f>IF($B6="","",IF(INDEX(BDHK2,MATCH($C6,DiemHKII!$C$4:$C$58,0),Q$59)&lt;&gt;"",INDEX(BDHK2,MATCH($C6,DiemHKII!$C$4:$C$58,0),Q$59),""))</f>
        <v>9.6999999999999993</v>
      </c>
      <c r="R6" s="792">
        <f t="shared" si="6"/>
        <v>1</v>
      </c>
      <c r="S6" s="776" t="str">
        <f>IF($B6="","",INDEX(NXetHKI!$B$3:$CL$57,MATCH(NXchung!$C6,NXetHKI!$C$3:$C$57,0),NXchung!S$59))</f>
        <v>Em chăm chỉ, chuyên cần, rất tích cực, rất đáng khen.</v>
      </c>
      <c r="T6" s="775" t="str">
        <f>IF($B6="","",IF(INDEX(BDHK2,MATCH($C6,DiemHKII!$C$4:$C$58,0),T$59)&lt;&gt;"",INDEX(BDHK2,MATCH($C6,DiemHKII!$C$4:$C$58,0),T$59),""))</f>
        <v/>
      </c>
      <c r="U6" s="792" t="str">
        <f t="shared" si="7"/>
        <v/>
      </c>
      <c r="V6" s="776" t="str">
        <f t="shared" si="8"/>
        <v/>
      </c>
      <c r="W6" s="775" t="str">
        <f>IF($B6="","",IF(INDEX(BDHK2,MATCH($C6,DiemHKII!$C$4:$C$58,0),W$59)&lt;&gt;"",INDEX(BDHK2,MATCH($C6,DiemHKII!$C$4:$C$58,0),W$59),""))</f>
        <v/>
      </c>
      <c r="X6" s="792" t="str">
        <f t="shared" si="9"/>
        <v/>
      </c>
      <c r="Y6" s="776" t="str">
        <f t="shared" si="10"/>
        <v/>
      </c>
      <c r="Z6" s="774"/>
      <c r="AA6" s="775">
        <f>IF($B6="","",IF(INDEX(BDHK2,MATCH($C6,DiemHKII!$C$4:$C$58,0),AA$59)&lt;&gt;"",INDEX(BDHK2,MATCH($C6,DiemHKII!$C$4:$C$58,0),AA$59),""))</f>
        <v>9.3000000000000007</v>
      </c>
      <c r="AB6" s="792">
        <f t="shared" si="11"/>
        <v>1</v>
      </c>
      <c r="AC6" s="776" t="str">
        <f>IF($B6="","",INDEX(NXetHKI!$B$3:$CL$57,MATCH(NXchung!$C6,NXetHKI!$C$3:$C$57,0),NXchung!AC$59))</f>
        <v>Học giỏi, thông minh, cần phát huy.</v>
      </c>
      <c r="AD6" s="775" t="str">
        <f>IF($B6="","",IF(INDEX(BDHK2,MATCH($C6,DiemHKII!$C$4:$C$58,0),AD$59)&lt;&gt;"",INDEX(BDHK2,MATCH($C6,DiemHKII!$C$4:$C$58,0),AD$59),""))</f>
        <v/>
      </c>
      <c r="AE6" s="792" t="str">
        <f t="shared" si="12"/>
        <v/>
      </c>
      <c r="AF6" s="776" t="str">
        <f t="shared" si="13"/>
        <v/>
      </c>
      <c r="AG6" s="775" t="str">
        <f>IF($B6="","",IF(INDEX(BDHK2,MATCH($C6,DiemHKII!$C$4:$C$58,0),AG$59)&lt;&gt;"",INDEX(BDHK2,MATCH($C6,DiemHKII!$C$4:$C$58,0),AG$59),""))</f>
        <v/>
      </c>
      <c r="AH6" s="792" t="str">
        <f t="shared" si="14"/>
        <v/>
      </c>
      <c r="AI6" s="776" t="str">
        <f t="shared" si="15"/>
        <v/>
      </c>
      <c r="AJ6" s="774"/>
      <c r="AK6" s="775">
        <f>IF($B6="","",IF(INDEX(BDHK2,MATCH($C6,DiemHKII!$C$4:$C$58,0),AK$59)&lt;&gt;"",INDEX(BDHK2,MATCH($C6,DiemHKII!$C$4:$C$58,0),AK$59),""))</f>
        <v>9.1999999999999993</v>
      </c>
      <c r="AL6" s="792">
        <f t="shared" si="16"/>
        <v>1</v>
      </c>
      <c r="AM6" s="776" t="str">
        <f>IF($B6="","",INDEX(NXetHKI!$B$3:$CL$57,MATCH(NXchung!$C6,NXetHKI!$C$3:$C$57,0),NXchung!AM$59))</f>
        <v>Sáng tạo, hoạt động nhóm rất tốt, biết chia sẻ kết quả học tập với bạn.</v>
      </c>
      <c r="AN6" s="775" t="str">
        <f>IF($B6="","",IF(INDEX(BDHK2,MATCH($C6,DiemHKII!$C$4:$C$58,0),AN$59)&lt;&gt;"",INDEX(BDHK2,MATCH($C6,DiemHKII!$C$4:$C$58,0),AN$59),""))</f>
        <v/>
      </c>
      <c r="AO6" s="792" t="str">
        <f t="shared" si="17"/>
        <v/>
      </c>
      <c r="AP6" s="776" t="str">
        <f t="shared" si="18"/>
        <v/>
      </c>
      <c r="AQ6" s="775" t="str">
        <f>IF($B6="","",IF(INDEX(BDHK2,MATCH($C6,DiemHKII!$C$4:$C$58,0),AQ$59)&lt;&gt;"",INDEX(BDHK2,MATCH($C6,DiemHKII!$C$4:$C$58,0),AQ$59),""))</f>
        <v/>
      </c>
      <c r="AR6" s="792" t="str">
        <f t="shared" si="19"/>
        <v/>
      </c>
      <c r="AS6" s="776" t="str">
        <f t="shared" si="20"/>
        <v/>
      </c>
      <c r="AT6" s="774"/>
      <c r="AU6" s="775">
        <f>IF($B6="","",IF(INDEX(BDHK2,MATCH($C6,DiemHKII!$C$4:$C$58,0),AU$59)&lt;&gt;"",INDEX(BDHK2,MATCH($C6,DiemHKII!$C$4:$C$58,0),AU$59),""))</f>
        <v>9.8000000000000007</v>
      </c>
      <c r="AV6" s="792">
        <f t="shared" si="21"/>
        <v>1</v>
      </c>
      <c r="AW6" s="776" t="str">
        <f>IF($B6="","",INDEX(NXetHKI!$B$3:$CL$57,MATCH(NXchung!$C6,NXetHKI!$C$3:$C$57,0),NXchung!AW$59))</f>
        <v>Rất ngoan, cố gắng có hiệu quả.</v>
      </c>
      <c r="AX6" s="775" t="str">
        <f>IF($B6="","",IF(INDEX(BDHK2,MATCH($C6,DiemHKII!$C$4:$C$58,0),AX$59)&lt;&gt;"",INDEX(BDHK2,MATCH($C6,DiemHKII!$C$4:$C$58,0),AX$59),""))</f>
        <v/>
      </c>
      <c r="AY6" s="792" t="str">
        <f t="shared" si="22"/>
        <v/>
      </c>
      <c r="AZ6" s="776" t="str">
        <f t="shared" si="23"/>
        <v/>
      </c>
      <c r="BA6" s="775" t="str">
        <f>IF($B6="","",IF(INDEX(BDHK2,MATCH($C6,DiemHKII!$C$4:$C$58,0),BA$59)&lt;&gt;"",INDEX(BDHK2,MATCH($C6,DiemHKII!$C$4:$C$58,0),BA$59),""))</f>
        <v/>
      </c>
      <c r="BB6" s="792" t="str">
        <f t="shared" si="24"/>
        <v/>
      </c>
      <c r="BC6" s="776" t="str">
        <f t="shared" si="25"/>
        <v/>
      </c>
      <c r="BD6" s="774"/>
      <c r="BE6" s="775">
        <f>IF($B6="","",IF(INDEX(BDHK2,MATCH($C6,DiemHKII!$C$4:$C$58,0),BE$59)&lt;&gt;"",INDEX(BDHK2,MATCH($C6,DiemHKII!$C$4:$C$58,0),BE$59),""))</f>
        <v>7.4</v>
      </c>
      <c r="BF6" s="792">
        <f t="shared" si="26"/>
        <v>5</v>
      </c>
      <c r="BG6" s="776" t="str">
        <f>IF($B6="","",INDEX(NXetHKI!$B$3:$CL$57,MATCH(NXchung!$C6,NXetHKI!$C$3:$C$57,0),NXchung!BG$59))</f>
        <v>Học khá, cần chủ động rèn thêm kỹ năng diễn đạt.</v>
      </c>
      <c r="BH6" s="775" t="str">
        <f>IF($B6="","",IF(INDEX(BDHK2,MATCH($C6,DiemHKII!$C$4:$C$58,0),BH$59)&lt;&gt;"",INDEX(BDHK2,MATCH($C6,DiemHKII!$C$4:$C$58,0),BH$59),""))</f>
        <v/>
      </c>
      <c r="BI6" s="792" t="str">
        <f t="shared" si="27"/>
        <v/>
      </c>
      <c r="BJ6" s="776" t="str">
        <f t="shared" si="28"/>
        <v/>
      </c>
      <c r="BK6" s="775" t="str">
        <f>IF($B6="","",IF(INDEX(BDHK2,MATCH($C6,DiemHKII!$C$4:$C$58,0),BK$59)&lt;&gt;"",INDEX(BDHK2,MATCH($C6,DiemHKII!$C$4:$C$58,0),BK$59),""))</f>
        <v/>
      </c>
      <c r="BL6" s="792" t="str">
        <f t="shared" si="29"/>
        <v/>
      </c>
      <c r="BM6" s="776" t="str">
        <f t="shared" si="30"/>
        <v/>
      </c>
      <c r="BN6" s="774"/>
      <c r="BO6" s="775">
        <f>IF($B6="","",IF(INDEX(BDHK2,MATCH($C6,DiemHKII!$C$4:$C$58,0),BO$59)&lt;&gt;"",INDEX(BDHK2,MATCH($C6,DiemHKII!$C$4:$C$58,0),BO$59),""))</f>
        <v>9.8000000000000007</v>
      </c>
      <c r="BP6" s="792">
        <f t="shared" si="31"/>
        <v>1</v>
      </c>
      <c r="BQ6" s="776" t="str">
        <f>IF($B6="","",INDEX(NXetHKI!$B$3:$CL$57,MATCH(NXchung!$C6,NXetHKI!$C$3:$C$57,0),NXchung!BQ$59))</f>
        <v>Chăm ngoan, tích cực, chủ động tiếp thu bài học.</v>
      </c>
      <c r="BR6" s="775" t="str">
        <f>IF($B6="","",IF(INDEX(BDHK2,MATCH($C6,DiemHKII!$C$4:$C$58,0),BR$59)&lt;&gt;"",INDEX(BDHK2,MATCH($C6,DiemHKII!$C$4:$C$58,0),BR$59),""))</f>
        <v/>
      </c>
      <c r="BS6" s="792" t="str">
        <f t="shared" si="32"/>
        <v/>
      </c>
      <c r="BT6" s="776" t="str">
        <f t="shared" si="33"/>
        <v/>
      </c>
      <c r="BU6" s="775" t="str">
        <f>IF($B6="","",IF(INDEX(BDHK2,MATCH($C6,DiemHKII!$C$4:$C$58,0),BU$59)&lt;&gt;"",INDEX(BDHK2,MATCH($C6,DiemHKII!$C$4:$C$58,0),BU$59),""))</f>
        <v/>
      </c>
      <c r="BV6" s="792" t="str">
        <f t="shared" si="34"/>
        <v/>
      </c>
      <c r="BW6" s="776" t="str">
        <f t="shared" si="35"/>
        <v/>
      </c>
      <c r="BX6" s="774"/>
      <c r="BY6" s="775">
        <f>IF($B6="","",IF(INDEX(BDHK2,MATCH($C6,DiemHKII!$C$4:$C$58,0),BY$59)&lt;&gt;"",INDEX(BDHK2,MATCH($C6,DiemHKII!$C$4:$C$58,0),BY$59),""))</f>
        <v>9.9</v>
      </c>
      <c r="BZ6" s="792">
        <f t="shared" si="36"/>
        <v>1</v>
      </c>
      <c r="CA6" s="776" t="str">
        <f>IF($B6="","",INDEX(NXetHKI!$B$3:$CL$57,MATCH(NXchung!$C6,NXetHKI!$C$3:$C$57,0),NXchung!CA$59))</f>
        <v>Em rất ngoan, cố gắng có hiệu quả.</v>
      </c>
      <c r="CB6" s="775" t="str">
        <f>IF($B6="","",IF(INDEX(BDHK2,MATCH($C6,DiemHKII!$C$4:$C$58,0),CB$59)&lt;&gt;"",INDEX(BDHK2,MATCH($C6,DiemHKII!$C$4:$C$58,0),CB$59),""))</f>
        <v/>
      </c>
      <c r="CC6" s="792" t="str">
        <f t="shared" si="37"/>
        <v/>
      </c>
      <c r="CD6" s="776" t="str">
        <f t="shared" si="38"/>
        <v/>
      </c>
      <c r="CE6" s="775" t="str">
        <f>IF($B6="","",IF(INDEX(BDHK2,MATCH($C6,DiemHKII!$C$4:$C$58,0),CE$59)&lt;&gt;"",INDEX(BDHK2,MATCH($C6,DiemHKII!$C$4:$C$58,0),CE$59),""))</f>
        <v/>
      </c>
      <c r="CF6" s="792" t="str">
        <f t="shared" si="39"/>
        <v/>
      </c>
      <c r="CG6" s="776" t="str">
        <f t="shared" si="40"/>
        <v/>
      </c>
      <c r="CH6" s="774"/>
      <c r="CI6" s="775">
        <f>IF($B6="","",IF(INDEX(BDHK2,MATCH($C6,DiemHKII!$C$4:$C$58,0),CI$59)&lt;&gt;"",INDEX(BDHK2,MATCH($C6,DiemHKII!$C$4:$C$58,0),CI$59),""))</f>
        <v>8</v>
      </c>
      <c r="CJ6" s="792">
        <f t="shared" si="41"/>
        <v>3</v>
      </c>
      <c r="CK6" s="776" t="str">
        <f>IF($B6="","",INDEX(NXetHKI!$B$3:$CL$57,MATCH(NXchung!$C6,NXetHKI!$C$3:$C$57,0),NXchung!CK$59))</f>
        <v>Học giỏi, chăm ngoan, ý thức tự giác học tập, chuyên cần.</v>
      </c>
      <c r="CL6" s="775" t="str">
        <f>IF($B6="","",IF(INDEX(BDHK2,MATCH($C6,DiemHKII!$C$4:$C$58,0),CL$59)&lt;&gt;"",INDEX(BDHK2,MATCH($C6,DiemHKII!$C$4:$C$58,0),CL$59),""))</f>
        <v/>
      </c>
      <c r="CM6" s="792" t="str">
        <f t="shared" si="42"/>
        <v/>
      </c>
      <c r="CN6" s="776" t="str">
        <f t="shared" si="43"/>
        <v/>
      </c>
      <c r="CO6" s="775" t="str">
        <f>IF($B6="","",IF(INDEX(BDHK2,MATCH($C6,DiemHKII!$C$4:$C$58,0),CO$59)&lt;&gt;"",INDEX(BDHK2,MATCH($C6,DiemHKII!$C$4:$C$58,0),CO$59),""))</f>
        <v/>
      </c>
      <c r="CP6" s="792" t="str">
        <f t="shared" si="44"/>
        <v/>
      </c>
      <c r="CQ6" s="776" t="str">
        <f t="shared" si="45"/>
        <v/>
      </c>
      <c r="CR6" s="774"/>
      <c r="CS6" s="775">
        <f>IF($B6="","",IF(INDEX(BDHK2,MATCH($C6,DiemHKII!$C$4:$C$58,0),CS$59)&lt;&gt;"",INDEX(BDHK2,MATCH($C6,DiemHKII!$C$4:$C$58,0),CS$59),""))</f>
        <v>9.5</v>
      </c>
      <c r="CT6" s="792">
        <f t="shared" si="46"/>
        <v>1</v>
      </c>
      <c r="CU6" s="776" t="str">
        <f>IF($B6="","",INDEX(NXetHKI!$B$3:$CL$57,MATCH(NXchung!$C6,NXetHKI!$C$3:$C$57,0),NXchung!CU$59))</f>
        <v>Hứng thú, có trách nhiệm học tập tốt.</v>
      </c>
      <c r="CV6" s="775" t="str">
        <f>IF($B6="","",IF(INDEX(BDHK2,MATCH($C6,DiemHKII!$C$4:$C$58,0),CV$59)&lt;&gt;"",INDEX(BDHK2,MATCH($C6,DiemHKII!$C$4:$C$58,0),CV$59),""))</f>
        <v/>
      </c>
      <c r="CW6" s="792" t="str">
        <f t="shared" si="47"/>
        <v/>
      </c>
      <c r="CX6" s="776" t="str">
        <f t="shared" si="48"/>
        <v/>
      </c>
      <c r="CY6" s="775" t="str">
        <f>IF($B6="","",IF(INDEX(BDHK2,MATCH($C6,DiemHKII!$C$4:$C$58,0),CY$59)&lt;&gt;"",INDEX(BDHK2,MATCH($C6,DiemHKII!$C$4:$C$58,0),CY$59),""))</f>
        <v/>
      </c>
      <c r="CZ6" s="792" t="str">
        <f t="shared" si="49"/>
        <v/>
      </c>
      <c r="DA6" s="776" t="str">
        <f t="shared" si="50"/>
        <v/>
      </c>
      <c r="DB6" s="774"/>
      <c r="DC6" s="775">
        <f>IF($B6="","",IF(INDEX(BDHK2,MATCH($C6,DiemHKII!$C$4:$C$58,0),DC$59)&lt;&gt;"",INDEX(BDHK2,MATCH($C6,DiemHKII!$C$4:$C$58,0),DC$59),""))</f>
        <v>9.9</v>
      </c>
      <c r="DD6" s="792">
        <f t="shared" si="51"/>
        <v>1</v>
      </c>
      <c r="DE6" s="776" t="str">
        <f>IF($B6="","",INDEX(NXetHKI!$B$3:$CL$57,MATCH(NXchung!$C6,NXetHKI!$C$3:$C$57,0),NXchung!DE$59))</f>
        <v>Học giỏi, năng động, chăm ngoan.</v>
      </c>
      <c r="DF6" s="775" t="str">
        <f>IF($B6="","",IF(INDEX(BDHK2,MATCH($C6,DiemHKII!$C$4:$C$58,0),DF$59)&lt;&gt;"",INDEX(BDHK2,MATCH($C6,DiemHKII!$C$4:$C$58,0),DF$59),""))</f>
        <v/>
      </c>
      <c r="DG6" s="792" t="str">
        <f t="shared" si="52"/>
        <v/>
      </c>
      <c r="DH6" s="776" t="str">
        <f t="shared" si="53"/>
        <v/>
      </c>
      <c r="DI6" s="775" t="str">
        <f>IF($B6="","",IF(INDEX(BDHK2,MATCH($C6,DiemHKII!$C$4:$C$58,0),DI$59)&lt;&gt;"",INDEX(BDHK2,MATCH($C6,DiemHKII!$C$4:$C$58,0),DI$59),""))</f>
        <v/>
      </c>
      <c r="DJ6" s="792" t="str">
        <f t="shared" si="54"/>
        <v/>
      </c>
      <c r="DK6" s="776" t="str">
        <f t="shared" si="55"/>
        <v/>
      </c>
      <c r="DL6" s="774"/>
      <c r="DM6" s="775" t="str">
        <f>IF($B6="","",IF(INDEX(BDHK2,MATCH($C6,DiemHKII!$C$4:$C$58,0),DM$59)&lt;&gt;"",INDEX(BDHK2,MATCH($C6,DiemHKII!$C$4:$C$58,0),DM$59),""))</f>
        <v>Đ</v>
      </c>
      <c r="DN6" s="792">
        <f t="shared" si="56"/>
        <v>1</v>
      </c>
      <c r="DO6" s="776" t="str">
        <f>IF($B6="","",INDEX(NXetHKI!$B$3:$CL$57,MATCH(NXchung!$C6,NXetHKI!$C$3:$C$57,0),NXchung!DO$59))</f>
        <v>Chăm chỉ, cố gắng, rất ngoan.</v>
      </c>
      <c r="DP6" s="775" t="str">
        <f>IF($B6="","",IF(INDEX(BDHK2,MATCH($C6,DiemHKII!$C$4:$C$58,0),DP$59)&lt;&gt;"",INDEX(BDHK2,MATCH($C6,DiemHKII!$C$4:$C$58,0),DP$59),""))</f>
        <v/>
      </c>
      <c r="DQ6" s="792" t="str">
        <f t="shared" si="57"/>
        <v/>
      </c>
      <c r="DR6" s="776" t="str">
        <f t="shared" si="58"/>
        <v/>
      </c>
      <c r="DS6" s="775" t="str">
        <f>IF($B6="","",IF(INDEX(BDHK2,MATCH($C6,DiemHKII!$C$4:$C$58,0),DS$59)&lt;&gt;"",INDEX(BDHK2,MATCH($C6,DiemHKII!$C$4:$C$58,0),DS$59),""))</f>
        <v>Đ</v>
      </c>
      <c r="DT6" s="792">
        <f t="shared" si="59"/>
        <v>1</v>
      </c>
      <c r="DU6" s="776" t="str">
        <f t="shared" si="60"/>
        <v>Rất ngoan, học có hiệu quả tốt.</v>
      </c>
      <c r="DV6" s="774"/>
      <c r="DW6" s="775">
        <f>IF($B6="","",IF(INDEX(BDHK2,MATCH($C6,DiemHKII!$C$4:$C$58,0),DW$59)&lt;&gt;"",INDEX(BDHK2,MATCH($C6,DiemHKII!$C$4:$C$58,0),DW$59),""))</f>
        <v>9.9</v>
      </c>
      <c r="DX6" s="792">
        <f t="shared" si="61"/>
        <v>1</v>
      </c>
      <c r="DY6" s="776" t="str">
        <f>IF($B6="","",INDEX(NXetHKI!$B$3:$CL$57,MATCH(NXchung!$C6,NXetHKI!$C$3:$C$57,0),NXchung!DY$59))</f>
        <v>Siêng năng, lễ phép, thành thạo thực hành, học giỏi.</v>
      </c>
      <c r="DZ6" s="775" t="str">
        <f>IF($B6="","",IF(INDEX(BDHK2,MATCH($C6,DiemHKII!$C$4:$C$58,0),DZ$59)&lt;&gt;"",INDEX(BDHK2,MATCH($C6,DiemHKII!$C$4:$C$58,0),DZ$59),""))</f>
        <v/>
      </c>
      <c r="EA6" s="792" t="str">
        <f t="shared" si="62"/>
        <v/>
      </c>
      <c r="EB6" s="776" t="str">
        <f t="shared" si="63"/>
        <v/>
      </c>
      <c r="EC6" s="775" t="str">
        <f>IF($B6="","",IF(INDEX(BDHK2,MATCH($C6,DiemHKII!$C$4:$C$58,0),EC$59)&lt;&gt;"",INDEX(BDHK2,MATCH($C6,DiemHKII!$C$4:$C$58,0),EC$59),""))</f>
        <v/>
      </c>
      <c r="ED6" s="792" t="str">
        <f t="shared" si="64"/>
        <v/>
      </c>
      <c r="EE6" s="776" t="str">
        <f t="shared" si="65"/>
        <v/>
      </c>
      <c r="EF6" s="774"/>
      <c r="EG6" s="775" t="str">
        <f>IF($B6="","",IF(INDEX(BDHK2,MATCH($C6,DiemHKII!$C$4:$C$58,0),EG$59)&lt;&gt;"",INDEX(BDHK2,MATCH($C6,DiemHKII!$C$4:$C$58,0),EG$59),""))</f>
        <v/>
      </c>
      <c r="EH6" s="792" t="str">
        <f t="shared" si="66"/>
        <v/>
      </c>
      <c r="EI6" s="776" t="str">
        <f>IF($B6="","",INDEX(NXetHKI!$B$3:$CL$57,MATCH(NXchung!$C6,NXetHKI!$C$3:$C$57,0),NXchung!EI$59))</f>
        <v/>
      </c>
      <c r="EJ6" s="775" t="str">
        <f>IF($B6="","",IF(INDEX(BDHK2,MATCH($C6,DiemHKII!$C$4:$C$58,0),EJ$59)&lt;&gt;"",INDEX(BDHK2,MATCH($C6,DiemHKII!$C$4:$C$58,0),EJ$59),""))</f>
        <v/>
      </c>
      <c r="EK6" s="792" t="str">
        <f t="shared" si="67"/>
        <v/>
      </c>
      <c r="EL6" s="776" t="str">
        <f t="shared" si="68"/>
        <v/>
      </c>
      <c r="EM6" s="775" t="str">
        <f>IF($B6="","",IF(INDEX(BDHK2,MATCH($C6,DiemHKII!$C$4:$C$58,0),EM$59)&lt;&gt;"",INDEX(BDHK2,MATCH($C6,DiemHKII!$C$4:$C$58,0),EM$59),""))</f>
        <v/>
      </c>
      <c r="EN6" s="792" t="str">
        <f t="shared" si="69"/>
        <v/>
      </c>
      <c r="EO6" s="776" t="str">
        <f t="shared" si="70"/>
        <v/>
      </c>
      <c r="EP6" s="774"/>
      <c r="ER6" s="816">
        <v>6</v>
      </c>
      <c r="ES6" s="816">
        <v>9</v>
      </c>
    </row>
    <row r="7" spans="1:149" ht="15" customHeight="1">
      <c r="A7" s="764"/>
      <c r="B7" s="777">
        <f>IF(B6&lt;MAX(DiemHKII!$B$4:$B$58),B6+1,"")</f>
        <v>5</v>
      </c>
      <c r="C7" s="777" t="str">
        <f t="shared" si="0"/>
        <v>12A1Vũ SongAnh20/04/2004</v>
      </c>
      <c r="D7" s="778" t="str">
        <f>IF($B7&lt;&gt;"",PROPER(INDEX(DiemHKII!$B$4:$K$58,MATCH($B7,DiemHKII!$B$4:$B$58,0),4)),"")</f>
        <v>Vũ Song</v>
      </c>
      <c r="E7" s="779" t="str">
        <f>IF($B7&lt;&gt;"",PROPER(INDEX(DiemHKII!$B$4:$K$58,MATCH($B7,DiemHKII!$B$4:$B$58,0),5)),"")</f>
        <v>Anh</v>
      </c>
      <c r="F7" s="780" t="str">
        <f>IF($B7&lt;&gt;"",PROPER(INDEX(DiemHKII!$B$4:$K$58,MATCH($B7,DiemHKII!$B$4:$B$58,0),6)),"")</f>
        <v>20/04/2004</v>
      </c>
      <c r="G7" s="781">
        <f>IF($B7="","",IF(INDEX(BDHK2,MATCH($C7,DiemHKII!$C$4:$C$58,0),G$59)&lt;&gt;"",INDEX(BDHK2,MATCH($C7,DiemHKII!$C$4:$C$58,0),G$59),""))</f>
        <v>9.6</v>
      </c>
      <c r="H7" s="793">
        <f t="shared" si="1"/>
        <v>1</v>
      </c>
      <c r="I7" s="782" t="str">
        <f>IF($B7="","",INDEX(NXetHKI!$B$3:$CL$57,MATCH(NXchung!$C7,NXetHKI!$C$3:$C$57,0),NXchung!I$59))</f>
        <v>Em học giỏi, chăm ngoan, tính tự giác cao, rất tốt.</v>
      </c>
      <c r="J7" s="781" t="str">
        <f>IF($B7="","",IF(INDEX(BDHK2,MATCH($C7,DiemHKII!$C$4:$C$58,0),J$59)&lt;&gt;"",INDEX(BDHK2,MATCH($C7,DiemHKII!$C$4:$C$58,0),J$59),""))</f>
        <v/>
      </c>
      <c r="K7" s="793" t="str">
        <f t="shared" si="2"/>
        <v/>
      </c>
      <c r="L7" s="782" t="str">
        <f t="shared" si="3"/>
        <v/>
      </c>
      <c r="M7" s="781" t="str">
        <f>IF($B7="","",IF(INDEX(BDHK2,MATCH($C7,DiemHKII!$C$4:$C$58,0),M$59)&lt;&gt;"",INDEX(BDHK2,MATCH($C7,DiemHKII!$C$4:$C$58,0),M$59),""))</f>
        <v/>
      </c>
      <c r="N7" s="793" t="str">
        <f t="shared" si="4"/>
        <v/>
      </c>
      <c r="O7" s="782" t="str">
        <f t="shared" si="5"/>
        <v/>
      </c>
      <c r="P7" s="780"/>
      <c r="Q7" s="781">
        <f>IF($B7="","",IF(INDEX(BDHK2,MATCH($C7,DiemHKII!$C$4:$C$58,0),Q$59)&lt;&gt;"",INDEX(BDHK2,MATCH($C7,DiemHKII!$C$4:$C$58,0),Q$59),""))</f>
        <v>9.6</v>
      </c>
      <c r="R7" s="793">
        <f t="shared" si="6"/>
        <v>1</v>
      </c>
      <c r="S7" s="782" t="str">
        <f>IF($B7="","",INDEX(NXetHKI!$B$3:$CL$57,MATCH(NXchung!$C7,NXetHKI!$C$3:$C$57,0),NXchung!S$59))</f>
        <v>Em học giỏi, chăm ngoan, tính tự giác cao, rất tốt.</v>
      </c>
      <c r="T7" s="781" t="str">
        <f>IF($B7="","",IF(INDEX(BDHK2,MATCH($C7,DiemHKII!$C$4:$C$58,0),T$59)&lt;&gt;"",INDEX(BDHK2,MATCH($C7,DiemHKII!$C$4:$C$58,0),T$59),""))</f>
        <v/>
      </c>
      <c r="U7" s="793" t="str">
        <f t="shared" si="7"/>
        <v/>
      </c>
      <c r="V7" s="782" t="str">
        <f t="shared" si="8"/>
        <v/>
      </c>
      <c r="W7" s="781" t="str">
        <f>IF($B7="","",IF(INDEX(BDHK2,MATCH($C7,DiemHKII!$C$4:$C$58,0),W$59)&lt;&gt;"",INDEX(BDHK2,MATCH($C7,DiemHKII!$C$4:$C$58,0),W$59),""))</f>
        <v/>
      </c>
      <c r="X7" s="793" t="str">
        <f t="shared" si="9"/>
        <v/>
      </c>
      <c r="Y7" s="782" t="str">
        <f t="shared" si="10"/>
        <v/>
      </c>
      <c r="Z7" s="780"/>
      <c r="AA7" s="781">
        <f>IF($B7="","",IF(INDEX(BDHK2,MATCH($C7,DiemHKII!$C$4:$C$58,0),AA$59)&lt;&gt;"",INDEX(BDHK2,MATCH($C7,DiemHKII!$C$4:$C$58,0),AA$59),""))</f>
        <v>9.3000000000000007</v>
      </c>
      <c r="AB7" s="793">
        <f t="shared" si="11"/>
        <v>1</v>
      </c>
      <c r="AC7" s="782" t="str">
        <f>IF($B7="","",INDEX(NXetHKI!$B$3:$CL$57,MATCH(NXchung!$C7,NXetHKI!$C$3:$C$57,0),NXchung!AC$59))</f>
        <v>Kiến thức vững, tự học tốt, ngoan.</v>
      </c>
      <c r="AD7" s="781" t="str">
        <f>IF($B7="","",IF(INDEX(BDHK2,MATCH($C7,DiemHKII!$C$4:$C$58,0),AD$59)&lt;&gt;"",INDEX(BDHK2,MATCH($C7,DiemHKII!$C$4:$C$58,0),AD$59),""))</f>
        <v/>
      </c>
      <c r="AE7" s="793" t="str">
        <f t="shared" si="12"/>
        <v/>
      </c>
      <c r="AF7" s="782" t="str">
        <f t="shared" si="13"/>
        <v/>
      </c>
      <c r="AG7" s="781" t="str">
        <f>IF($B7="","",IF(INDEX(BDHK2,MATCH($C7,DiemHKII!$C$4:$C$58,0),AG$59)&lt;&gt;"",INDEX(BDHK2,MATCH($C7,DiemHKII!$C$4:$C$58,0),AG$59),""))</f>
        <v/>
      </c>
      <c r="AH7" s="793" t="str">
        <f t="shared" si="14"/>
        <v/>
      </c>
      <c r="AI7" s="782" t="str">
        <f t="shared" si="15"/>
        <v/>
      </c>
      <c r="AJ7" s="780"/>
      <c r="AK7" s="781">
        <f>IF($B7="","",IF(INDEX(BDHK2,MATCH($C7,DiemHKII!$C$4:$C$58,0),AK$59)&lt;&gt;"",INDEX(BDHK2,MATCH($C7,DiemHKII!$C$4:$C$58,0),AK$59),""))</f>
        <v>9</v>
      </c>
      <c r="AL7" s="793">
        <f t="shared" si="16"/>
        <v>1</v>
      </c>
      <c r="AM7" s="782" t="str">
        <f>IF($B7="","",INDEX(NXetHKI!$B$3:$CL$57,MATCH(NXchung!$C7,NXetHKI!$C$3:$C$57,0),NXchung!AM$59))</f>
        <v>Có khả năng tự học và tự chủ bản thân, tích cực trong học tập.</v>
      </c>
      <c r="AN7" s="781" t="str">
        <f>IF($B7="","",IF(INDEX(BDHK2,MATCH($C7,DiemHKII!$C$4:$C$58,0),AN$59)&lt;&gt;"",INDEX(BDHK2,MATCH($C7,DiemHKII!$C$4:$C$58,0),AN$59),""))</f>
        <v/>
      </c>
      <c r="AO7" s="793" t="str">
        <f t="shared" si="17"/>
        <v/>
      </c>
      <c r="AP7" s="782" t="str">
        <f t="shared" si="18"/>
        <v/>
      </c>
      <c r="AQ7" s="781" t="str">
        <f>IF($B7="","",IF(INDEX(BDHK2,MATCH($C7,DiemHKII!$C$4:$C$58,0),AQ$59)&lt;&gt;"",INDEX(BDHK2,MATCH($C7,DiemHKII!$C$4:$C$58,0),AQ$59),""))</f>
        <v/>
      </c>
      <c r="AR7" s="793" t="str">
        <f t="shared" si="19"/>
        <v/>
      </c>
      <c r="AS7" s="782" t="str">
        <f t="shared" si="20"/>
        <v/>
      </c>
      <c r="AT7" s="780"/>
      <c r="AU7" s="781">
        <f>IF($B7="","",IF(INDEX(BDHK2,MATCH($C7,DiemHKII!$C$4:$C$58,0),AU$59)&lt;&gt;"",INDEX(BDHK2,MATCH($C7,DiemHKII!$C$4:$C$58,0),AU$59),""))</f>
        <v>9.6</v>
      </c>
      <c r="AV7" s="793">
        <f t="shared" si="21"/>
        <v>1</v>
      </c>
      <c r="AW7" s="782" t="str">
        <f>IF($B7="","",INDEX(NXetHKI!$B$3:$CL$57,MATCH(NXchung!$C7,NXetHKI!$C$3:$C$57,0),NXchung!AW$59))</f>
        <v>Ngoan, chăm chỉ, tư duy tốt.</v>
      </c>
      <c r="AX7" s="781" t="str">
        <f>IF($B7="","",IF(INDEX(BDHK2,MATCH($C7,DiemHKII!$C$4:$C$58,0),AX$59)&lt;&gt;"",INDEX(BDHK2,MATCH($C7,DiemHKII!$C$4:$C$58,0),AX$59),""))</f>
        <v/>
      </c>
      <c r="AY7" s="793" t="str">
        <f t="shared" si="22"/>
        <v/>
      </c>
      <c r="AZ7" s="782" t="str">
        <f t="shared" si="23"/>
        <v/>
      </c>
      <c r="BA7" s="781" t="str">
        <f>IF($B7="","",IF(INDEX(BDHK2,MATCH($C7,DiemHKII!$C$4:$C$58,0),BA$59)&lt;&gt;"",INDEX(BDHK2,MATCH($C7,DiemHKII!$C$4:$C$58,0),BA$59),""))</f>
        <v/>
      </c>
      <c r="BB7" s="793" t="str">
        <f t="shared" si="24"/>
        <v/>
      </c>
      <c r="BC7" s="782" t="str">
        <f t="shared" si="25"/>
        <v/>
      </c>
      <c r="BD7" s="780"/>
      <c r="BE7" s="781">
        <f>IF($B7="","",IF(INDEX(BDHK2,MATCH($C7,DiemHKII!$C$4:$C$58,0),BE$59)&lt;&gt;"",INDEX(BDHK2,MATCH($C7,DiemHKII!$C$4:$C$58,0),BE$59),""))</f>
        <v>7.2</v>
      </c>
      <c r="BF7" s="793">
        <f t="shared" si="26"/>
        <v>5</v>
      </c>
      <c r="BG7" s="782" t="str">
        <f>IF($B7="","",INDEX(NXetHKI!$B$3:$CL$57,MATCH(NXchung!$C7,NXetHKI!$C$3:$C$57,0),NXchung!BG$59))</f>
        <v>Có ý thức học tập tốt, cần nỗ lực rèn luyện thêm các kỹ năng.</v>
      </c>
      <c r="BH7" s="781" t="str">
        <f>IF($B7="","",IF(INDEX(BDHK2,MATCH($C7,DiemHKII!$C$4:$C$58,0),BH$59)&lt;&gt;"",INDEX(BDHK2,MATCH($C7,DiemHKII!$C$4:$C$58,0),BH$59),""))</f>
        <v/>
      </c>
      <c r="BI7" s="793" t="str">
        <f t="shared" si="27"/>
        <v/>
      </c>
      <c r="BJ7" s="782" t="str">
        <f t="shared" si="28"/>
        <v/>
      </c>
      <c r="BK7" s="781" t="str">
        <f>IF($B7="","",IF(INDEX(BDHK2,MATCH($C7,DiemHKII!$C$4:$C$58,0),BK$59)&lt;&gt;"",INDEX(BDHK2,MATCH($C7,DiemHKII!$C$4:$C$58,0),BK$59),""))</f>
        <v/>
      </c>
      <c r="BL7" s="793" t="str">
        <f t="shared" si="29"/>
        <v/>
      </c>
      <c r="BM7" s="782" t="str">
        <f t="shared" si="30"/>
        <v/>
      </c>
      <c r="BN7" s="780"/>
      <c r="BO7" s="781">
        <f>IF($B7="","",IF(INDEX(BDHK2,MATCH($C7,DiemHKII!$C$4:$C$58,0),BO$59)&lt;&gt;"",INDEX(BDHK2,MATCH($C7,DiemHKII!$C$4:$C$58,0),BO$59),""))</f>
        <v>9.6</v>
      </c>
      <c r="BP7" s="793">
        <f t="shared" si="31"/>
        <v>1</v>
      </c>
      <c r="BQ7" s="782" t="str">
        <f>IF($B7="","",INDEX(NXetHKI!$B$3:$CL$57,MATCH(NXchung!$C7,NXetHKI!$C$3:$C$57,0),NXchung!BQ$59))</f>
        <v>Tiếp thu bài tốt, ghi nhớ nhanh các sự kiện lịch sử.</v>
      </c>
      <c r="BR7" s="781" t="str">
        <f>IF($B7="","",IF(INDEX(BDHK2,MATCH($C7,DiemHKII!$C$4:$C$58,0),BR$59)&lt;&gt;"",INDEX(BDHK2,MATCH($C7,DiemHKII!$C$4:$C$58,0),BR$59),""))</f>
        <v/>
      </c>
      <c r="BS7" s="793" t="str">
        <f t="shared" si="32"/>
        <v/>
      </c>
      <c r="BT7" s="782" t="str">
        <f t="shared" si="33"/>
        <v/>
      </c>
      <c r="BU7" s="781" t="str">
        <f>IF($B7="","",IF(INDEX(BDHK2,MATCH($C7,DiemHKII!$C$4:$C$58,0),BU$59)&lt;&gt;"",INDEX(BDHK2,MATCH($C7,DiemHKII!$C$4:$C$58,0),BU$59),""))</f>
        <v/>
      </c>
      <c r="BV7" s="793" t="str">
        <f t="shared" si="34"/>
        <v/>
      </c>
      <c r="BW7" s="782" t="str">
        <f t="shared" si="35"/>
        <v/>
      </c>
      <c r="BX7" s="780"/>
      <c r="BY7" s="781">
        <f>IF($B7="","",IF(INDEX(BDHK2,MATCH($C7,DiemHKII!$C$4:$C$58,0),BY$59)&lt;&gt;"",INDEX(BDHK2,MATCH($C7,DiemHKII!$C$4:$C$58,0),BY$59),""))</f>
        <v>9.9</v>
      </c>
      <c r="BZ7" s="793">
        <f t="shared" si="36"/>
        <v>1</v>
      </c>
      <c r="CA7" s="782" t="str">
        <f>IF($B7="","",INDEX(NXetHKI!$B$3:$CL$57,MATCH(NXchung!$C7,NXetHKI!$C$3:$C$57,0),NXchung!CA$59))</f>
        <v>Em có tư duy tốt, rất tích cực, giải quyết vấn đề tốt.</v>
      </c>
      <c r="CB7" s="781" t="str">
        <f>IF($B7="","",IF(INDEX(BDHK2,MATCH($C7,DiemHKII!$C$4:$C$58,0),CB$59)&lt;&gt;"",INDEX(BDHK2,MATCH($C7,DiemHKII!$C$4:$C$58,0),CB$59),""))</f>
        <v/>
      </c>
      <c r="CC7" s="793" t="str">
        <f t="shared" si="37"/>
        <v/>
      </c>
      <c r="CD7" s="782" t="str">
        <f t="shared" si="38"/>
        <v/>
      </c>
      <c r="CE7" s="781" t="str">
        <f>IF($B7="","",IF(INDEX(BDHK2,MATCH($C7,DiemHKII!$C$4:$C$58,0),CE$59)&lt;&gt;"",INDEX(BDHK2,MATCH($C7,DiemHKII!$C$4:$C$58,0),CE$59),""))</f>
        <v/>
      </c>
      <c r="CF7" s="793" t="str">
        <f t="shared" si="39"/>
        <v/>
      </c>
      <c r="CG7" s="782" t="str">
        <f t="shared" si="40"/>
        <v/>
      </c>
      <c r="CH7" s="780"/>
      <c r="CI7" s="781">
        <f>IF($B7="","",IF(INDEX(BDHK2,MATCH($C7,DiemHKII!$C$4:$C$58,0),CI$59)&lt;&gt;"",INDEX(BDHK2,MATCH($C7,DiemHKII!$C$4:$C$58,0),CI$59),""))</f>
        <v>8.8000000000000007</v>
      </c>
      <c r="CJ7" s="793">
        <f t="shared" si="41"/>
        <v>2</v>
      </c>
      <c r="CK7" s="782" t="str">
        <f>IF($B7="","",INDEX(NXetHKI!$B$3:$CL$57,MATCH(NXchung!$C7,NXetHKI!$C$3:$C$57,0),NXchung!CK$59))</f>
        <v>Có khả năng nghe, nói và ngữ pháp vững.</v>
      </c>
      <c r="CL7" s="781" t="str">
        <f>IF($B7="","",IF(INDEX(BDHK2,MATCH($C7,DiemHKII!$C$4:$C$58,0),CL$59)&lt;&gt;"",INDEX(BDHK2,MATCH($C7,DiemHKII!$C$4:$C$58,0),CL$59),""))</f>
        <v/>
      </c>
      <c r="CM7" s="793" t="str">
        <f t="shared" si="42"/>
        <v/>
      </c>
      <c r="CN7" s="782" t="str">
        <f t="shared" si="43"/>
        <v/>
      </c>
      <c r="CO7" s="781" t="str">
        <f>IF($B7="","",IF(INDEX(BDHK2,MATCH($C7,DiemHKII!$C$4:$C$58,0),CO$59)&lt;&gt;"",INDEX(BDHK2,MATCH($C7,DiemHKII!$C$4:$C$58,0),CO$59),""))</f>
        <v/>
      </c>
      <c r="CP7" s="793" t="str">
        <f t="shared" si="44"/>
        <v/>
      </c>
      <c r="CQ7" s="782" t="str">
        <f t="shared" si="45"/>
        <v/>
      </c>
      <c r="CR7" s="780"/>
      <c r="CS7" s="781">
        <f>IF($B7="","",IF(INDEX(BDHK2,MATCH($C7,DiemHKII!$C$4:$C$58,0),CS$59)&lt;&gt;"",INDEX(BDHK2,MATCH($C7,DiemHKII!$C$4:$C$58,0),CS$59),""))</f>
        <v>9.4</v>
      </c>
      <c r="CT7" s="793">
        <f t="shared" si="46"/>
        <v>1</v>
      </c>
      <c r="CU7" s="782" t="str">
        <f>IF($B7="","",INDEX(NXetHKI!$B$3:$CL$57,MATCH(NXchung!$C7,NXetHKI!$C$3:$C$57,0),NXchung!CU$59))</f>
        <v>Chăm chỉ, học giỏi.</v>
      </c>
      <c r="CV7" s="781" t="str">
        <f>IF($B7="","",IF(INDEX(BDHK2,MATCH($C7,DiemHKII!$C$4:$C$58,0),CV$59)&lt;&gt;"",INDEX(BDHK2,MATCH($C7,DiemHKII!$C$4:$C$58,0),CV$59),""))</f>
        <v/>
      </c>
      <c r="CW7" s="793" t="str">
        <f t="shared" si="47"/>
        <v/>
      </c>
      <c r="CX7" s="782" t="str">
        <f t="shared" si="48"/>
        <v/>
      </c>
      <c r="CY7" s="781" t="str">
        <f>IF($B7="","",IF(INDEX(BDHK2,MATCH($C7,DiemHKII!$C$4:$C$58,0),CY$59)&lt;&gt;"",INDEX(BDHK2,MATCH($C7,DiemHKII!$C$4:$C$58,0),CY$59),""))</f>
        <v/>
      </c>
      <c r="CZ7" s="793" t="str">
        <f t="shared" si="49"/>
        <v/>
      </c>
      <c r="DA7" s="782" t="str">
        <f t="shared" si="50"/>
        <v/>
      </c>
      <c r="DB7" s="780"/>
      <c r="DC7" s="781">
        <f>IF($B7="","",IF(INDEX(BDHK2,MATCH($C7,DiemHKII!$C$4:$C$58,0),DC$59)&lt;&gt;"",INDEX(BDHK2,MATCH($C7,DiemHKII!$C$4:$C$58,0),DC$59),""))</f>
        <v>9.9</v>
      </c>
      <c r="DD7" s="793">
        <f t="shared" si="51"/>
        <v>1</v>
      </c>
      <c r="DE7" s="782" t="str">
        <f>IF($B7="","",INDEX(NXetHKI!$B$3:$CL$57,MATCH(NXchung!$C7,NXetHKI!$C$3:$C$57,0),NXchung!DE$59))</f>
        <v>Năng động, sáng tạo trong học tập.</v>
      </c>
      <c r="DF7" s="781" t="str">
        <f>IF($B7="","",IF(INDEX(BDHK2,MATCH($C7,DiemHKII!$C$4:$C$58,0),DF$59)&lt;&gt;"",INDEX(BDHK2,MATCH($C7,DiemHKII!$C$4:$C$58,0),DF$59),""))</f>
        <v/>
      </c>
      <c r="DG7" s="793" t="str">
        <f t="shared" si="52"/>
        <v/>
      </c>
      <c r="DH7" s="782" t="str">
        <f t="shared" si="53"/>
        <v/>
      </c>
      <c r="DI7" s="781" t="str">
        <f>IF($B7="","",IF(INDEX(BDHK2,MATCH($C7,DiemHKII!$C$4:$C$58,0),DI$59)&lt;&gt;"",INDEX(BDHK2,MATCH($C7,DiemHKII!$C$4:$C$58,0),DI$59),""))</f>
        <v/>
      </c>
      <c r="DJ7" s="793" t="str">
        <f t="shared" si="54"/>
        <v/>
      </c>
      <c r="DK7" s="782" t="str">
        <f t="shared" si="55"/>
        <v/>
      </c>
      <c r="DL7" s="780"/>
      <c r="DM7" s="781" t="str">
        <f>IF($B7="","",IF(INDEX(BDHK2,MATCH($C7,DiemHKII!$C$4:$C$58,0),DM$59)&lt;&gt;"",INDEX(BDHK2,MATCH($C7,DiemHKII!$C$4:$C$58,0),DM$59),""))</f>
        <v>Đ</v>
      </c>
      <c r="DN7" s="793">
        <f t="shared" si="56"/>
        <v>1</v>
      </c>
      <c r="DO7" s="782" t="str">
        <f>IF($B7="","",INDEX(NXetHKI!$B$3:$CL$57,MATCH(NXchung!$C7,NXetHKI!$C$3:$C$57,0),NXchung!DO$59))</f>
        <v>Giỏi, có nhiều tiến bộ trong học tập.</v>
      </c>
      <c r="DP7" s="781" t="str">
        <f>IF($B7="","",IF(INDEX(BDHK2,MATCH($C7,DiemHKII!$C$4:$C$58,0),DP$59)&lt;&gt;"",INDEX(BDHK2,MATCH($C7,DiemHKII!$C$4:$C$58,0),DP$59),""))</f>
        <v/>
      </c>
      <c r="DQ7" s="793" t="str">
        <f t="shared" si="57"/>
        <v/>
      </c>
      <c r="DR7" s="782" t="str">
        <f t="shared" si="58"/>
        <v/>
      </c>
      <c r="DS7" s="781" t="str">
        <f>IF($B7="","",IF(INDEX(BDHK2,MATCH($C7,DiemHKII!$C$4:$C$58,0),DS$59)&lt;&gt;"",INDEX(BDHK2,MATCH($C7,DiemHKII!$C$4:$C$58,0),DS$59),""))</f>
        <v>Đ</v>
      </c>
      <c r="DT7" s="793">
        <f t="shared" si="59"/>
        <v>1</v>
      </c>
      <c r="DU7" s="782" t="str">
        <f t="shared" si="60"/>
        <v>Chăm chỉ, cố gắng, rất ngoan.</v>
      </c>
      <c r="DV7" s="780"/>
      <c r="DW7" s="781">
        <f>IF($B7="","",IF(INDEX(BDHK2,MATCH($C7,DiemHKII!$C$4:$C$58,0),DW$59)&lt;&gt;"",INDEX(BDHK2,MATCH($C7,DiemHKII!$C$4:$C$58,0),DW$59),""))</f>
        <v>9.9</v>
      </c>
      <c r="DX7" s="793">
        <f t="shared" si="61"/>
        <v>1</v>
      </c>
      <c r="DY7" s="782" t="str">
        <f>IF($B7="","",INDEX(NXetHKI!$B$3:$CL$57,MATCH(NXchung!$C7,NXetHKI!$C$3:$C$57,0),NXchung!DY$59))</f>
        <v>Tích cực, năng động, nắm bài tốt, học giỏi.</v>
      </c>
      <c r="DZ7" s="781" t="str">
        <f>IF($B7="","",IF(INDEX(BDHK2,MATCH($C7,DiemHKII!$C$4:$C$58,0),DZ$59)&lt;&gt;"",INDEX(BDHK2,MATCH($C7,DiemHKII!$C$4:$C$58,0),DZ$59),""))</f>
        <v/>
      </c>
      <c r="EA7" s="793" t="str">
        <f t="shared" si="62"/>
        <v/>
      </c>
      <c r="EB7" s="782" t="str">
        <f t="shared" si="63"/>
        <v/>
      </c>
      <c r="EC7" s="781" t="str">
        <f>IF($B7="","",IF(INDEX(BDHK2,MATCH($C7,DiemHKII!$C$4:$C$58,0),EC$59)&lt;&gt;"",INDEX(BDHK2,MATCH($C7,DiemHKII!$C$4:$C$58,0),EC$59),""))</f>
        <v/>
      </c>
      <c r="ED7" s="793" t="str">
        <f t="shared" si="64"/>
        <v/>
      </c>
      <c r="EE7" s="782" t="str">
        <f t="shared" si="65"/>
        <v/>
      </c>
      <c r="EF7" s="780"/>
      <c r="EG7" s="781" t="str">
        <f>IF($B7="","",IF(INDEX(BDHK2,MATCH($C7,DiemHKII!$C$4:$C$58,0),EG$59)&lt;&gt;"",INDEX(BDHK2,MATCH($C7,DiemHKII!$C$4:$C$58,0),EG$59),""))</f>
        <v/>
      </c>
      <c r="EH7" s="793" t="str">
        <f t="shared" si="66"/>
        <v/>
      </c>
      <c r="EI7" s="782" t="str">
        <f>IF($B7="","",INDEX(NXetHKI!$B$3:$CL$57,MATCH(NXchung!$C7,NXetHKI!$C$3:$C$57,0),NXchung!EI$59))</f>
        <v/>
      </c>
      <c r="EJ7" s="781" t="str">
        <f>IF($B7="","",IF(INDEX(BDHK2,MATCH($C7,DiemHKII!$C$4:$C$58,0),EJ$59)&lt;&gt;"",INDEX(BDHK2,MATCH($C7,DiemHKII!$C$4:$C$58,0),EJ$59),""))</f>
        <v/>
      </c>
      <c r="EK7" s="793" t="str">
        <f t="shared" si="67"/>
        <v/>
      </c>
      <c r="EL7" s="782" t="str">
        <f t="shared" si="68"/>
        <v/>
      </c>
      <c r="EM7" s="781" t="str">
        <f>IF($B7="","",IF(INDEX(BDHK2,MATCH($C7,DiemHKII!$C$4:$C$58,0),EM$59)&lt;&gt;"",INDEX(BDHK2,MATCH($C7,DiemHKII!$C$4:$C$58,0),EM$59),""))</f>
        <v/>
      </c>
      <c r="EN7" s="793" t="str">
        <f t="shared" si="69"/>
        <v/>
      </c>
      <c r="EO7" s="782" t="str">
        <f t="shared" si="70"/>
        <v/>
      </c>
      <c r="EP7" s="780"/>
      <c r="ER7" s="816">
        <v>9</v>
      </c>
      <c r="ES7" s="816">
        <v>3</v>
      </c>
    </row>
    <row r="8" spans="1:149" ht="15" customHeight="1">
      <c r="A8" s="764"/>
      <c r="B8" s="765">
        <f>IF(B7&lt;MAX(DiemHKII!$B$4:$B$58),B7+1,"")</f>
        <v>6</v>
      </c>
      <c r="C8" s="765" t="str">
        <f t="shared" si="0"/>
        <v>12A1Phan GiaBảo27/10/2004</v>
      </c>
      <c r="D8" s="766" t="str">
        <f>IF($B8&lt;&gt;"",PROPER(INDEX(DiemHKII!$B$4:$K$58,MATCH($B8,DiemHKII!$B$4:$B$58,0),4)),"")</f>
        <v>Phan Gia</v>
      </c>
      <c r="E8" s="767" t="str">
        <f>IF($B8&lt;&gt;"",PROPER(INDEX(DiemHKII!$B$4:$K$58,MATCH($B8,DiemHKII!$B$4:$B$58,0),5)),"")</f>
        <v>Bảo</v>
      </c>
      <c r="F8" s="768" t="str">
        <f>IF($B8&lt;&gt;"",PROPER(INDEX(DiemHKII!$B$4:$K$58,MATCH($B8,DiemHKII!$B$4:$B$58,0),6)),"")</f>
        <v>27/10/2004</v>
      </c>
      <c r="G8" s="783">
        <f>IF($B8="","",IF(INDEX(BDHK2,MATCH($C8,DiemHKII!$C$4:$C$58,0),G$59)&lt;&gt;"",INDEX(BDHK2,MATCH($C8,DiemHKII!$C$4:$C$58,0),G$59),""))</f>
        <v>9.5</v>
      </c>
      <c r="H8" s="794">
        <f t="shared" si="1"/>
        <v>1</v>
      </c>
      <c r="I8" s="770" t="str">
        <f>IF($B8="","",INDEX(NXetHKI!$B$3:$CL$57,MATCH(NXchung!$C8,NXetHKI!$C$3:$C$57,0),NXchung!I$59))</f>
        <v>Em ngoan, tích cực, năng động, rất đáng khen.</v>
      </c>
      <c r="J8" s="783" t="str">
        <f>IF($B8="","",IF(INDEX(BDHK2,MATCH($C8,DiemHKII!$C$4:$C$58,0),J$59)&lt;&gt;"",INDEX(BDHK2,MATCH($C8,DiemHKII!$C$4:$C$58,0),J$59),""))</f>
        <v/>
      </c>
      <c r="K8" s="794" t="str">
        <f t="shared" si="2"/>
        <v/>
      </c>
      <c r="L8" s="770" t="str">
        <f t="shared" si="3"/>
        <v/>
      </c>
      <c r="M8" s="783" t="str">
        <f>IF($B8="","",IF(INDEX(BDHK2,MATCH($C8,DiemHKII!$C$4:$C$58,0),M$59)&lt;&gt;"",INDEX(BDHK2,MATCH($C8,DiemHKII!$C$4:$C$58,0),M$59),""))</f>
        <v/>
      </c>
      <c r="N8" s="794" t="str">
        <f t="shared" si="4"/>
        <v/>
      </c>
      <c r="O8" s="770" t="str">
        <f t="shared" si="5"/>
        <v/>
      </c>
      <c r="P8" s="768"/>
      <c r="Q8" s="783">
        <f>IF($B8="","",IF(INDEX(BDHK2,MATCH($C8,DiemHKII!$C$4:$C$58,0),Q$59)&lt;&gt;"",INDEX(BDHK2,MATCH($C8,DiemHKII!$C$4:$C$58,0),Q$59),""))</f>
        <v>9.4</v>
      </c>
      <c r="R8" s="794">
        <f t="shared" si="6"/>
        <v>1</v>
      </c>
      <c r="S8" s="770" t="str">
        <f>IF($B8="","",INDEX(NXetHKI!$B$3:$CL$57,MATCH(NXchung!$C8,NXetHKI!$C$3:$C$57,0),NXchung!S$59))</f>
        <v>Em ngoan, tích cực, năng động, rất đáng khen.</v>
      </c>
      <c r="T8" s="783" t="str">
        <f>IF($B8="","",IF(INDEX(BDHK2,MATCH($C8,DiemHKII!$C$4:$C$58,0),T$59)&lt;&gt;"",INDEX(BDHK2,MATCH($C8,DiemHKII!$C$4:$C$58,0),T$59),""))</f>
        <v/>
      </c>
      <c r="U8" s="794" t="str">
        <f t="shared" si="7"/>
        <v/>
      </c>
      <c r="V8" s="770" t="str">
        <f t="shared" si="8"/>
        <v/>
      </c>
      <c r="W8" s="783" t="str">
        <f>IF($B8="","",IF(INDEX(BDHK2,MATCH($C8,DiemHKII!$C$4:$C$58,0),W$59)&lt;&gt;"",INDEX(BDHK2,MATCH($C8,DiemHKII!$C$4:$C$58,0),W$59),""))</f>
        <v/>
      </c>
      <c r="X8" s="794" t="str">
        <f t="shared" si="9"/>
        <v/>
      </c>
      <c r="Y8" s="770" t="str">
        <f t="shared" si="10"/>
        <v/>
      </c>
      <c r="Z8" s="768"/>
      <c r="AA8" s="783">
        <f>IF($B8="","",IF(INDEX(BDHK2,MATCH($C8,DiemHKII!$C$4:$C$58,0),AA$59)&lt;&gt;"",INDEX(BDHK2,MATCH($C8,DiemHKII!$C$4:$C$58,0),AA$59),""))</f>
        <v>9</v>
      </c>
      <c r="AB8" s="794">
        <f t="shared" si="11"/>
        <v>1</v>
      </c>
      <c r="AC8" s="770" t="str">
        <f>IF($B8="","",INDEX(NXetHKI!$B$3:$CL$57,MATCH(NXchung!$C8,NXetHKI!$C$3:$C$57,0),NXchung!AC$59))</f>
        <v>Kiến thức vững, sáng tạo, tự học tốt.</v>
      </c>
      <c r="AD8" s="783" t="str">
        <f>IF($B8="","",IF(INDEX(BDHK2,MATCH($C8,DiemHKII!$C$4:$C$58,0),AD$59)&lt;&gt;"",INDEX(BDHK2,MATCH($C8,DiemHKII!$C$4:$C$58,0),AD$59),""))</f>
        <v/>
      </c>
      <c r="AE8" s="794" t="str">
        <f t="shared" si="12"/>
        <v/>
      </c>
      <c r="AF8" s="770" t="str">
        <f t="shared" si="13"/>
        <v/>
      </c>
      <c r="AG8" s="783" t="str">
        <f>IF($B8="","",IF(INDEX(BDHK2,MATCH($C8,DiemHKII!$C$4:$C$58,0),AG$59)&lt;&gt;"",INDEX(BDHK2,MATCH($C8,DiemHKII!$C$4:$C$58,0),AG$59),""))</f>
        <v/>
      </c>
      <c r="AH8" s="794" t="str">
        <f t="shared" si="14"/>
        <v/>
      </c>
      <c r="AI8" s="770" t="str">
        <f t="shared" si="15"/>
        <v/>
      </c>
      <c r="AJ8" s="768"/>
      <c r="AK8" s="783">
        <f>IF($B8="","",IF(INDEX(BDHK2,MATCH($C8,DiemHKII!$C$4:$C$58,0),AK$59)&lt;&gt;"",INDEX(BDHK2,MATCH($C8,DiemHKII!$C$4:$C$58,0),AK$59),""))</f>
        <v>8.8000000000000007</v>
      </c>
      <c r="AL8" s="794">
        <f t="shared" si="16"/>
        <v>2</v>
      </c>
      <c r="AM8" s="770" t="str">
        <f>IF($B8="","",INDEX(NXetHKI!$B$3:$CL$57,MATCH(NXchung!$C8,NXetHKI!$C$3:$C$57,0),NXchung!AM$59))</f>
        <v>Ngoan, khả năng tư duy tốt, có trách nhiệm, trình bày tốt.</v>
      </c>
      <c r="AN8" s="783" t="str">
        <f>IF($B8="","",IF(INDEX(BDHK2,MATCH($C8,DiemHKII!$C$4:$C$58,0),AN$59)&lt;&gt;"",INDEX(BDHK2,MATCH($C8,DiemHKII!$C$4:$C$58,0),AN$59),""))</f>
        <v/>
      </c>
      <c r="AO8" s="794" t="str">
        <f t="shared" si="17"/>
        <v/>
      </c>
      <c r="AP8" s="770" t="str">
        <f t="shared" si="18"/>
        <v/>
      </c>
      <c r="AQ8" s="783" t="str">
        <f>IF($B8="","",IF(INDEX(BDHK2,MATCH($C8,DiemHKII!$C$4:$C$58,0),AQ$59)&lt;&gt;"",INDEX(BDHK2,MATCH($C8,DiemHKII!$C$4:$C$58,0),AQ$59),""))</f>
        <v/>
      </c>
      <c r="AR8" s="794" t="str">
        <f t="shared" si="19"/>
        <v/>
      </c>
      <c r="AS8" s="770" t="str">
        <f t="shared" si="20"/>
        <v/>
      </c>
      <c r="AT8" s="768"/>
      <c r="AU8" s="783">
        <f>IF($B8="","",IF(INDEX(BDHK2,MATCH($C8,DiemHKII!$C$4:$C$58,0),AU$59)&lt;&gt;"",INDEX(BDHK2,MATCH($C8,DiemHKII!$C$4:$C$58,0),AU$59),""))</f>
        <v>9.6</v>
      </c>
      <c r="AV8" s="794">
        <f t="shared" si="21"/>
        <v>1</v>
      </c>
      <c r="AW8" s="770" t="str">
        <f>IF($B8="","",INDEX(NXetHKI!$B$3:$CL$57,MATCH(NXchung!$C8,NXetHKI!$C$3:$C$57,0),NXchung!AW$59))</f>
        <v>Học giỏi, năng động và sáng tạo trong học tập.</v>
      </c>
      <c r="AX8" s="783" t="str">
        <f>IF($B8="","",IF(INDEX(BDHK2,MATCH($C8,DiemHKII!$C$4:$C$58,0),AX$59)&lt;&gt;"",INDEX(BDHK2,MATCH($C8,DiemHKII!$C$4:$C$58,0),AX$59),""))</f>
        <v/>
      </c>
      <c r="AY8" s="794" t="str">
        <f t="shared" si="22"/>
        <v/>
      </c>
      <c r="AZ8" s="770" t="str">
        <f t="shared" si="23"/>
        <v/>
      </c>
      <c r="BA8" s="783" t="str">
        <f>IF($B8="","",IF(INDEX(BDHK2,MATCH($C8,DiemHKII!$C$4:$C$58,0),BA$59)&lt;&gt;"",INDEX(BDHK2,MATCH($C8,DiemHKII!$C$4:$C$58,0),BA$59),""))</f>
        <v/>
      </c>
      <c r="BB8" s="794" t="str">
        <f t="shared" si="24"/>
        <v/>
      </c>
      <c r="BC8" s="770" t="str">
        <f t="shared" si="25"/>
        <v/>
      </c>
      <c r="BD8" s="768"/>
      <c r="BE8" s="783">
        <f>IF($B8="","",IF(INDEX(BDHK2,MATCH($C8,DiemHKII!$C$4:$C$58,0),BE$59)&lt;&gt;"",INDEX(BDHK2,MATCH($C8,DiemHKII!$C$4:$C$58,0),BE$59),""))</f>
        <v>7.2</v>
      </c>
      <c r="BF8" s="794">
        <f t="shared" si="26"/>
        <v>5</v>
      </c>
      <c r="BG8" s="770" t="str">
        <f>IF($B8="","",INDEX(NXetHKI!$B$3:$CL$57,MATCH(NXchung!$C8,NXetHKI!$C$3:$C$57,0),NXchung!BG$59))</f>
        <v>Cần tích cực rèn thêm kỹ năng đọc, viết.</v>
      </c>
      <c r="BH8" s="783" t="str">
        <f>IF($B8="","",IF(INDEX(BDHK2,MATCH($C8,DiemHKII!$C$4:$C$58,0),BH$59)&lt;&gt;"",INDEX(BDHK2,MATCH($C8,DiemHKII!$C$4:$C$58,0),BH$59),""))</f>
        <v/>
      </c>
      <c r="BI8" s="794" t="str">
        <f t="shared" si="27"/>
        <v/>
      </c>
      <c r="BJ8" s="770" t="str">
        <f t="shared" si="28"/>
        <v/>
      </c>
      <c r="BK8" s="783" t="str">
        <f>IF($B8="","",IF(INDEX(BDHK2,MATCH($C8,DiemHKII!$C$4:$C$58,0),BK$59)&lt;&gt;"",INDEX(BDHK2,MATCH($C8,DiemHKII!$C$4:$C$58,0),BK$59),""))</f>
        <v/>
      </c>
      <c r="BL8" s="794" t="str">
        <f t="shared" si="29"/>
        <v/>
      </c>
      <c r="BM8" s="770" t="str">
        <f t="shared" si="30"/>
        <v/>
      </c>
      <c r="BN8" s="768"/>
      <c r="BO8" s="783">
        <f>IF($B8="","",IF(INDEX(BDHK2,MATCH($C8,DiemHKII!$C$4:$C$58,0),BO$59)&lt;&gt;"",INDEX(BDHK2,MATCH($C8,DiemHKII!$C$4:$C$58,0),BO$59),""))</f>
        <v>9.8000000000000007</v>
      </c>
      <c r="BP8" s="794">
        <f t="shared" si="31"/>
        <v>1</v>
      </c>
      <c r="BQ8" s="770" t="str">
        <f>IF($B8="","",INDEX(NXetHKI!$B$3:$CL$57,MATCH(NXchung!$C8,NXetHKI!$C$3:$C$57,0),NXchung!BQ$59))</f>
        <v>Chăm học, tích cực phát biểu xây dựng bài.</v>
      </c>
      <c r="BR8" s="783" t="str">
        <f>IF($B8="","",IF(INDEX(BDHK2,MATCH($C8,DiemHKII!$C$4:$C$58,0),BR$59)&lt;&gt;"",INDEX(BDHK2,MATCH($C8,DiemHKII!$C$4:$C$58,0),BR$59),""))</f>
        <v/>
      </c>
      <c r="BS8" s="794" t="str">
        <f t="shared" si="32"/>
        <v/>
      </c>
      <c r="BT8" s="770" t="str">
        <f t="shared" si="33"/>
        <v/>
      </c>
      <c r="BU8" s="783" t="str">
        <f>IF($B8="","",IF(INDEX(BDHK2,MATCH($C8,DiemHKII!$C$4:$C$58,0),BU$59)&lt;&gt;"",INDEX(BDHK2,MATCH($C8,DiemHKII!$C$4:$C$58,0),BU$59),""))</f>
        <v/>
      </c>
      <c r="BV8" s="794" t="str">
        <f t="shared" si="34"/>
        <v/>
      </c>
      <c r="BW8" s="770" t="str">
        <f t="shared" si="35"/>
        <v/>
      </c>
      <c r="BX8" s="768"/>
      <c r="BY8" s="783">
        <f>IF($B8="","",IF(INDEX(BDHK2,MATCH($C8,DiemHKII!$C$4:$C$58,0),BY$59)&lt;&gt;"",INDEX(BDHK2,MATCH($C8,DiemHKII!$C$4:$C$58,0),BY$59),""))</f>
        <v>9.9</v>
      </c>
      <c r="BZ8" s="794">
        <f t="shared" si="36"/>
        <v>1</v>
      </c>
      <c r="CA8" s="770" t="str">
        <f>IF($B8="","",INDEX(NXetHKI!$B$3:$CL$57,MATCH(NXchung!$C8,NXetHKI!$C$3:$C$57,0),NXchung!CA$59))</f>
        <v>Em có tư duy tốt, tích cực, vận dụng thực tế tốt.</v>
      </c>
      <c r="CB8" s="783" t="str">
        <f>IF($B8="","",IF(INDEX(BDHK2,MATCH($C8,DiemHKII!$C$4:$C$58,0),CB$59)&lt;&gt;"",INDEX(BDHK2,MATCH($C8,DiemHKII!$C$4:$C$58,0),CB$59),""))</f>
        <v/>
      </c>
      <c r="CC8" s="794" t="str">
        <f t="shared" si="37"/>
        <v/>
      </c>
      <c r="CD8" s="770" t="str">
        <f t="shared" si="38"/>
        <v/>
      </c>
      <c r="CE8" s="783" t="str">
        <f>IF($B8="","",IF(INDEX(BDHK2,MATCH($C8,DiemHKII!$C$4:$C$58,0),CE$59)&lt;&gt;"",INDEX(BDHK2,MATCH($C8,DiemHKII!$C$4:$C$58,0),CE$59),""))</f>
        <v/>
      </c>
      <c r="CF8" s="794" t="str">
        <f t="shared" si="39"/>
        <v/>
      </c>
      <c r="CG8" s="770" t="str">
        <f t="shared" si="40"/>
        <v/>
      </c>
      <c r="CH8" s="768"/>
      <c r="CI8" s="783">
        <f>IF($B8="","",IF(INDEX(BDHK2,MATCH($C8,DiemHKII!$C$4:$C$58,0),CI$59)&lt;&gt;"",INDEX(BDHK2,MATCH($C8,DiemHKII!$C$4:$C$58,0),CI$59),""))</f>
        <v>9.6999999999999993</v>
      </c>
      <c r="CJ8" s="794">
        <f t="shared" si="41"/>
        <v>1</v>
      </c>
      <c r="CK8" s="770" t="str">
        <f>IF($B8="","",INDEX(NXetHKI!$B$3:$CL$57,MATCH(NXchung!$C8,NXetHKI!$C$3:$C$57,0),NXchung!CK$59))</f>
        <v>Tích cực phát biểu trong giờ học, tương tác tốt với giáo viên và bạn bè.</v>
      </c>
      <c r="CL8" s="783" t="str">
        <f>IF($B8="","",IF(INDEX(BDHK2,MATCH($C8,DiemHKII!$C$4:$C$58,0),CL$59)&lt;&gt;"",INDEX(BDHK2,MATCH($C8,DiemHKII!$C$4:$C$58,0),CL$59),""))</f>
        <v/>
      </c>
      <c r="CM8" s="794" t="str">
        <f t="shared" si="42"/>
        <v/>
      </c>
      <c r="CN8" s="770" t="str">
        <f t="shared" si="43"/>
        <v/>
      </c>
      <c r="CO8" s="783" t="str">
        <f>IF($B8="","",IF(INDEX(BDHK2,MATCH($C8,DiemHKII!$C$4:$C$58,0),CO$59)&lt;&gt;"",INDEX(BDHK2,MATCH($C8,DiemHKII!$C$4:$C$58,0),CO$59),""))</f>
        <v/>
      </c>
      <c r="CP8" s="794" t="str">
        <f t="shared" si="44"/>
        <v/>
      </c>
      <c r="CQ8" s="770" t="str">
        <f t="shared" si="45"/>
        <v/>
      </c>
      <c r="CR8" s="768"/>
      <c r="CS8" s="783">
        <f>IF($B8="","",IF(INDEX(BDHK2,MATCH($C8,DiemHKII!$C$4:$C$58,0),CS$59)&lt;&gt;"",INDEX(BDHK2,MATCH($C8,DiemHKII!$C$4:$C$58,0),CS$59),""))</f>
        <v>9.8000000000000007</v>
      </c>
      <c r="CT8" s="794">
        <f t="shared" si="46"/>
        <v>1</v>
      </c>
      <c r="CU8" s="770" t="str">
        <f>IF($B8="","",INDEX(NXetHKI!$B$3:$CL$57,MATCH(NXchung!$C8,NXetHKI!$C$3:$C$57,0),NXchung!CU$59))</f>
        <v>Hứng thú, tích cực, học giỏi.</v>
      </c>
      <c r="CV8" s="783" t="str">
        <f>IF($B8="","",IF(INDEX(BDHK2,MATCH($C8,DiemHKII!$C$4:$C$58,0),CV$59)&lt;&gt;"",INDEX(BDHK2,MATCH($C8,DiemHKII!$C$4:$C$58,0),CV$59),""))</f>
        <v/>
      </c>
      <c r="CW8" s="794" t="str">
        <f t="shared" si="47"/>
        <v/>
      </c>
      <c r="CX8" s="770" t="str">
        <f t="shared" si="48"/>
        <v/>
      </c>
      <c r="CY8" s="783" t="str">
        <f>IF($B8="","",IF(INDEX(BDHK2,MATCH($C8,DiemHKII!$C$4:$C$58,0),CY$59)&lt;&gt;"",INDEX(BDHK2,MATCH($C8,DiemHKII!$C$4:$C$58,0),CY$59),""))</f>
        <v/>
      </c>
      <c r="CZ8" s="794" t="str">
        <f t="shared" si="49"/>
        <v/>
      </c>
      <c r="DA8" s="770" t="str">
        <f t="shared" si="50"/>
        <v/>
      </c>
      <c r="DB8" s="768"/>
      <c r="DC8" s="783">
        <f>IF($B8="","",IF(INDEX(BDHK2,MATCH($C8,DiemHKII!$C$4:$C$58,0),DC$59)&lt;&gt;"",INDEX(BDHK2,MATCH($C8,DiemHKII!$C$4:$C$58,0),DC$59),""))</f>
        <v>9.9</v>
      </c>
      <c r="DD8" s="794">
        <f t="shared" si="51"/>
        <v>1</v>
      </c>
      <c r="DE8" s="770" t="str">
        <f>IF($B8="","",INDEX(NXetHKI!$B$3:$CL$57,MATCH(NXchung!$C8,NXetHKI!$C$3:$C$57,0),NXchung!DE$59))</f>
        <v>Học giỏi, tiếp thu nhanh, chăm ngoan.</v>
      </c>
      <c r="DF8" s="783" t="str">
        <f>IF($B8="","",IF(INDEX(BDHK2,MATCH($C8,DiemHKII!$C$4:$C$58,0),DF$59)&lt;&gt;"",INDEX(BDHK2,MATCH($C8,DiemHKII!$C$4:$C$58,0),DF$59),""))</f>
        <v/>
      </c>
      <c r="DG8" s="794" t="str">
        <f t="shared" si="52"/>
        <v/>
      </c>
      <c r="DH8" s="770" t="str">
        <f t="shared" si="53"/>
        <v/>
      </c>
      <c r="DI8" s="783" t="str">
        <f>IF($B8="","",IF(INDEX(BDHK2,MATCH($C8,DiemHKII!$C$4:$C$58,0),DI$59)&lt;&gt;"",INDEX(BDHK2,MATCH($C8,DiemHKII!$C$4:$C$58,0),DI$59),""))</f>
        <v/>
      </c>
      <c r="DJ8" s="794" t="str">
        <f t="shared" si="54"/>
        <v/>
      </c>
      <c r="DK8" s="770" t="str">
        <f t="shared" si="55"/>
        <v/>
      </c>
      <c r="DL8" s="768"/>
      <c r="DM8" s="783" t="str">
        <f>IF($B8="","",IF(INDEX(BDHK2,MATCH($C8,DiemHKII!$C$4:$C$58,0),DM$59)&lt;&gt;"",INDEX(BDHK2,MATCH($C8,DiemHKII!$C$4:$C$58,0),DM$59),""))</f>
        <v>Đ</v>
      </c>
      <c r="DN8" s="794">
        <f t="shared" si="56"/>
        <v>1</v>
      </c>
      <c r="DO8" s="770" t="str">
        <f>IF($B8="","",INDEX(NXetHKI!$B$3:$CL$57,MATCH(NXchung!$C8,NXetHKI!$C$3:$C$57,0),NXchung!DO$59))</f>
        <v>Rất ngoan, học có hiệu quả tốt.</v>
      </c>
      <c r="DP8" s="783" t="str">
        <f>IF($B8="","",IF(INDEX(BDHK2,MATCH($C8,DiemHKII!$C$4:$C$58,0),DP$59)&lt;&gt;"",INDEX(BDHK2,MATCH($C8,DiemHKII!$C$4:$C$58,0),DP$59),""))</f>
        <v/>
      </c>
      <c r="DQ8" s="794" t="str">
        <f t="shared" si="57"/>
        <v/>
      </c>
      <c r="DR8" s="770" t="str">
        <f t="shared" si="58"/>
        <v/>
      </c>
      <c r="DS8" s="783" t="str">
        <f>IF($B8="","",IF(INDEX(BDHK2,MATCH($C8,DiemHKII!$C$4:$C$58,0),DS$59)&lt;&gt;"",INDEX(BDHK2,MATCH($C8,DiemHKII!$C$4:$C$58,0),DS$59),""))</f>
        <v>Đ</v>
      </c>
      <c r="DT8" s="794">
        <f t="shared" si="59"/>
        <v>1</v>
      </c>
      <c r="DU8" s="770" t="str">
        <f t="shared" si="60"/>
        <v>Giỏi, có nhiều tiến bộ trong học tập.</v>
      </c>
      <c r="DV8" s="768"/>
      <c r="DW8" s="783">
        <f>IF($B8="","",IF(INDEX(BDHK2,MATCH($C8,DiemHKII!$C$4:$C$58,0),DW$59)&lt;&gt;"",INDEX(BDHK2,MATCH($C8,DiemHKII!$C$4:$C$58,0),DW$59),""))</f>
        <v>9.9</v>
      </c>
      <c r="DX8" s="794">
        <f t="shared" si="61"/>
        <v>1</v>
      </c>
      <c r="DY8" s="770" t="str">
        <f>IF($B8="","",INDEX(NXetHKI!$B$3:$CL$57,MATCH(NXchung!$C8,NXetHKI!$C$3:$C$57,0),NXchung!DY$59))</f>
        <v>Ngoan, tích cực xây dựng bài, nắm chắc thực hành, học giỏi.</v>
      </c>
      <c r="DZ8" s="783" t="str">
        <f>IF($B8="","",IF(INDEX(BDHK2,MATCH($C8,DiemHKII!$C$4:$C$58,0),DZ$59)&lt;&gt;"",INDEX(BDHK2,MATCH($C8,DiemHKII!$C$4:$C$58,0),DZ$59),""))</f>
        <v/>
      </c>
      <c r="EA8" s="794" t="str">
        <f t="shared" si="62"/>
        <v/>
      </c>
      <c r="EB8" s="770" t="str">
        <f t="shared" si="63"/>
        <v/>
      </c>
      <c r="EC8" s="783" t="str">
        <f>IF($B8="","",IF(INDEX(BDHK2,MATCH($C8,DiemHKII!$C$4:$C$58,0),EC$59)&lt;&gt;"",INDEX(BDHK2,MATCH($C8,DiemHKII!$C$4:$C$58,0),EC$59),""))</f>
        <v/>
      </c>
      <c r="ED8" s="794" t="str">
        <f t="shared" si="64"/>
        <v/>
      </c>
      <c r="EE8" s="770" t="str">
        <f t="shared" si="65"/>
        <v/>
      </c>
      <c r="EF8" s="768"/>
      <c r="EG8" s="783" t="str">
        <f>IF($B8="","",IF(INDEX(BDHK2,MATCH($C8,DiemHKII!$C$4:$C$58,0),EG$59)&lt;&gt;"",INDEX(BDHK2,MATCH($C8,DiemHKII!$C$4:$C$58,0),EG$59),""))</f>
        <v/>
      </c>
      <c r="EH8" s="794" t="str">
        <f t="shared" si="66"/>
        <v/>
      </c>
      <c r="EI8" s="770" t="str">
        <f>IF($B8="","",INDEX(NXetHKI!$B$3:$CL$57,MATCH(NXchung!$C8,NXetHKI!$C$3:$C$57,0),NXchung!EI$59))</f>
        <v/>
      </c>
      <c r="EJ8" s="783" t="str">
        <f>IF($B8="","",IF(INDEX(BDHK2,MATCH($C8,DiemHKII!$C$4:$C$58,0),EJ$59)&lt;&gt;"",INDEX(BDHK2,MATCH($C8,DiemHKII!$C$4:$C$58,0),EJ$59),""))</f>
        <v/>
      </c>
      <c r="EK8" s="794" t="str">
        <f t="shared" si="67"/>
        <v/>
      </c>
      <c r="EL8" s="770" t="str">
        <f t="shared" si="68"/>
        <v/>
      </c>
      <c r="EM8" s="783" t="str">
        <f>IF($B8="","",IF(INDEX(BDHK2,MATCH($C8,DiemHKII!$C$4:$C$58,0),EM$59)&lt;&gt;"",INDEX(BDHK2,MATCH($C8,DiemHKII!$C$4:$C$58,0),EM$59),""))</f>
        <v/>
      </c>
      <c r="EN8" s="794" t="str">
        <f t="shared" si="69"/>
        <v/>
      </c>
      <c r="EO8" s="770" t="str">
        <f t="shared" si="70"/>
        <v/>
      </c>
      <c r="EP8" s="768"/>
      <c r="ER8" s="816">
        <v>3</v>
      </c>
      <c r="ES8" s="816">
        <v>6</v>
      </c>
    </row>
    <row r="9" spans="1:149" ht="15" customHeight="1">
      <c r="A9" s="764"/>
      <c r="B9" s="771">
        <f>IF(B8&lt;MAX(DiemHKII!$B$4:$B$58),B8+1,"")</f>
        <v>7</v>
      </c>
      <c r="C9" s="771" t="str">
        <f t="shared" si="0"/>
        <v>12A1Nguyễn PhúcBình20/06/2004</v>
      </c>
      <c r="D9" s="772" t="str">
        <f>IF($B9&lt;&gt;"",PROPER(INDEX(DiemHKII!$B$4:$K$58,MATCH($B9,DiemHKII!$B$4:$B$58,0),4)),"")</f>
        <v>Nguyễn Phúc</v>
      </c>
      <c r="E9" s="773" t="str">
        <f>IF($B9&lt;&gt;"",PROPER(INDEX(DiemHKII!$B$4:$K$58,MATCH($B9,DiemHKII!$B$4:$B$58,0),5)),"")</f>
        <v>Bình</v>
      </c>
      <c r="F9" s="774" t="str">
        <f>IF($B9&lt;&gt;"",PROPER(INDEX(DiemHKII!$B$4:$K$58,MATCH($B9,DiemHKII!$B$4:$B$58,0),6)),"")</f>
        <v>20/06/2004</v>
      </c>
      <c r="G9" s="775">
        <f>IF($B9="","",IF(INDEX(BDHK2,MATCH($C9,DiemHKII!$C$4:$C$58,0),G$59)&lt;&gt;"",INDEX(BDHK2,MATCH($C9,DiemHKII!$C$4:$C$58,0),G$59),""))</f>
        <v>9.8000000000000007</v>
      </c>
      <c r="H9" s="792">
        <f t="shared" si="1"/>
        <v>1</v>
      </c>
      <c r="I9" s="776" t="str">
        <f>IF($B9="","",INDEX(NXetHKI!$B$3:$CL$57,MATCH(NXchung!$C9,NXetHKI!$C$3:$C$57,0),NXchung!I$59))</f>
        <v>Em chăm chỉ, chuyên cần, rất tích cực, rất đáng khen.</v>
      </c>
      <c r="J9" s="775" t="str">
        <f>IF($B9="","",IF(INDEX(BDHK2,MATCH($C9,DiemHKII!$C$4:$C$58,0),J$59)&lt;&gt;"",INDEX(BDHK2,MATCH($C9,DiemHKII!$C$4:$C$58,0),J$59),""))</f>
        <v/>
      </c>
      <c r="K9" s="792" t="str">
        <f t="shared" si="2"/>
        <v/>
      </c>
      <c r="L9" s="776" t="str">
        <f t="shared" si="3"/>
        <v/>
      </c>
      <c r="M9" s="775" t="str">
        <f>IF($B9="","",IF(INDEX(BDHK2,MATCH($C9,DiemHKII!$C$4:$C$58,0),M$59)&lt;&gt;"",INDEX(BDHK2,MATCH($C9,DiemHKII!$C$4:$C$58,0),M$59),""))</f>
        <v/>
      </c>
      <c r="N9" s="792" t="str">
        <f t="shared" si="4"/>
        <v/>
      </c>
      <c r="O9" s="776" t="str">
        <f t="shared" si="5"/>
        <v/>
      </c>
      <c r="P9" s="774"/>
      <c r="Q9" s="775">
        <f>IF($B9="","",IF(INDEX(BDHK2,MATCH($C9,DiemHKII!$C$4:$C$58,0),Q$59)&lt;&gt;"",INDEX(BDHK2,MATCH($C9,DiemHKII!$C$4:$C$58,0),Q$59),""))</f>
        <v>9.9</v>
      </c>
      <c r="R9" s="792">
        <f t="shared" si="6"/>
        <v>1</v>
      </c>
      <c r="S9" s="776" t="str">
        <f>IF($B9="","",INDEX(NXetHKI!$B$3:$CL$57,MATCH(NXchung!$C9,NXetHKI!$C$3:$C$57,0),NXchung!S$59))</f>
        <v>Em chăm chỉ, chuyên cần, rất tích cực, rất đáng khen.</v>
      </c>
      <c r="T9" s="775" t="str">
        <f>IF($B9="","",IF(INDEX(BDHK2,MATCH($C9,DiemHKII!$C$4:$C$58,0),T$59)&lt;&gt;"",INDEX(BDHK2,MATCH($C9,DiemHKII!$C$4:$C$58,0),T$59),""))</f>
        <v/>
      </c>
      <c r="U9" s="792" t="str">
        <f t="shared" si="7"/>
        <v/>
      </c>
      <c r="V9" s="776" t="str">
        <f t="shared" si="8"/>
        <v/>
      </c>
      <c r="W9" s="775" t="str">
        <f>IF($B9="","",IF(INDEX(BDHK2,MATCH($C9,DiemHKII!$C$4:$C$58,0),W$59)&lt;&gt;"",INDEX(BDHK2,MATCH($C9,DiemHKII!$C$4:$C$58,0),W$59),""))</f>
        <v/>
      </c>
      <c r="X9" s="792" t="str">
        <f t="shared" si="9"/>
        <v/>
      </c>
      <c r="Y9" s="776" t="str">
        <f t="shared" si="10"/>
        <v/>
      </c>
      <c r="Z9" s="774"/>
      <c r="AA9" s="775">
        <f>IF($B9="","",IF(INDEX(BDHK2,MATCH($C9,DiemHKII!$C$4:$C$58,0),AA$59)&lt;&gt;"",INDEX(BDHK2,MATCH($C9,DiemHKII!$C$4:$C$58,0),AA$59),""))</f>
        <v>9.6</v>
      </c>
      <c r="AB9" s="792">
        <f t="shared" si="11"/>
        <v>1</v>
      </c>
      <c r="AC9" s="776" t="str">
        <f>IF($B9="","",INDEX(NXetHKI!$B$3:$CL$57,MATCH(NXchung!$C9,NXetHKI!$C$3:$C$57,0),NXchung!AC$59))</f>
        <v>Học giỏi, thông minh, cần phát huy.</v>
      </c>
      <c r="AD9" s="775" t="str">
        <f>IF($B9="","",IF(INDEX(BDHK2,MATCH($C9,DiemHKII!$C$4:$C$58,0),AD$59)&lt;&gt;"",INDEX(BDHK2,MATCH($C9,DiemHKII!$C$4:$C$58,0),AD$59),""))</f>
        <v/>
      </c>
      <c r="AE9" s="792" t="str">
        <f t="shared" si="12"/>
        <v/>
      </c>
      <c r="AF9" s="776" t="str">
        <f t="shared" si="13"/>
        <v/>
      </c>
      <c r="AG9" s="775" t="str">
        <f>IF($B9="","",IF(INDEX(BDHK2,MATCH($C9,DiemHKII!$C$4:$C$58,0),AG$59)&lt;&gt;"",INDEX(BDHK2,MATCH($C9,DiemHKII!$C$4:$C$58,0),AG$59),""))</f>
        <v/>
      </c>
      <c r="AH9" s="792" t="str">
        <f t="shared" si="14"/>
        <v/>
      </c>
      <c r="AI9" s="776" t="str">
        <f t="shared" si="15"/>
        <v/>
      </c>
      <c r="AJ9" s="774"/>
      <c r="AK9" s="775">
        <f>IF($B9="","",IF(INDEX(BDHK2,MATCH($C9,DiemHKII!$C$4:$C$58,0),AK$59)&lt;&gt;"",INDEX(BDHK2,MATCH($C9,DiemHKII!$C$4:$C$58,0),AK$59),""))</f>
        <v>9.6</v>
      </c>
      <c r="AL9" s="792">
        <f t="shared" si="16"/>
        <v>1</v>
      </c>
      <c r="AM9" s="776" t="str">
        <f>IF($B9="","",INDEX(NXetHKI!$B$3:$CL$57,MATCH(NXchung!$C9,NXetHKI!$C$3:$C$57,0),NXchung!AM$59))</f>
        <v>Sáng tạo, hoạt động nhóm rất tốt, biết chia sẻ kết quả học tập với bạn.</v>
      </c>
      <c r="AN9" s="775" t="str">
        <f>IF($B9="","",IF(INDEX(BDHK2,MATCH($C9,DiemHKII!$C$4:$C$58,0),AN$59)&lt;&gt;"",INDEX(BDHK2,MATCH($C9,DiemHKII!$C$4:$C$58,0),AN$59),""))</f>
        <v/>
      </c>
      <c r="AO9" s="792" t="str">
        <f t="shared" si="17"/>
        <v/>
      </c>
      <c r="AP9" s="776" t="str">
        <f t="shared" si="18"/>
        <v/>
      </c>
      <c r="AQ9" s="775" t="str">
        <f>IF($B9="","",IF(INDEX(BDHK2,MATCH($C9,DiemHKII!$C$4:$C$58,0),AQ$59)&lt;&gt;"",INDEX(BDHK2,MATCH($C9,DiemHKII!$C$4:$C$58,0),AQ$59),""))</f>
        <v/>
      </c>
      <c r="AR9" s="792" t="str">
        <f t="shared" si="19"/>
        <v/>
      </c>
      <c r="AS9" s="776" t="str">
        <f t="shared" si="20"/>
        <v/>
      </c>
      <c r="AT9" s="774"/>
      <c r="AU9" s="775">
        <f>IF($B9="","",IF(INDEX(BDHK2,MATCH($C9,DiemHKII!$C$4:$C$58,0),AU$59)&lt;&gt;"",INDEX(BDHK2,MATCH($C9,DiemHKII!$C$4:$C$58,0),AU$59),""))</f>
        <v>9.8000000000000007</v>
      </c>
      <c r="AV9" s="792">
        <f t="shared" si="21"/>
        <v>1</v>
      </c>
      <c r="AW9" s="776" t="str">
        <f>IF($B9="","",INDEX(NXetHKI!$B$3:$CL$57,MATCH(NXchung!$C9,NXetHKI!$C$3:$C$57,0),NXchung!AW$59))</f>
        <v>Rất ngoan, cố gắng có hiệu quả.</v>
      </c>
      <c r="AX9" s="775" t="str">
        <f>IF($B9="","",IF(INDEX(BDHK2,MATCH($C9,DiemHKII!$C$4:$C$58,0),AX$59)&lt;&gt;"",INDEX(BDHK2,MATCH($C9,DiemHKII!$C$4:$C$58,0),AX$59),""))</f>
        <v/>
      </c>
      <c r="AY9" s="792" t="str">
        <f t="shared" si="22"/>
        <v/>
      </c>
      <c r="AZ9" s="776" t="str">
        <f t="shared" si="23"/>
        <v/>
      </c>
      <c r="BA9" s="775" t="str">
        <f>IF($B9="","",IF(INDEX(BDHK2,MATCH($C9,DiemHKII!$C$4:$C$58,0),BA$59)&lt;&gt;"",INDEX(BDHK2,MATCH($C9,DiemHKII!$C$4:$C$58,0),BA$59),""))</f>
        <v/>
      </c>
      <c r="BB9" s="792" t="str">
        <f t="shared" si="24"/>
        <v/>
      </c>
      <c r="BC9" s="776" t="str">
        <f t="shared" si="25"/>
        <v/>
      </c>
      <c r="BD9" s="774"/>
      <c r="BE9" s="775">
        <f>IF($B9="","",IF(INDEX(BDHK2,MATCH($C9,DiemHKII!$C$4:$C$58,0),BE$59)&lt;&gt;"",INDEX(BDHK2,MATCH($C9,DiemHKII!$C$4:$C$58,0),BE$59),""))</f>
        <v>8</v>
      </c>
      <c r="BF9" s="792">
        <f t="shared" si="26"/>
        <v>3</v>
      </c>
      <c r="BG9" s="776" t="str">
        <f>IF($B9="","",INDEX(NXetHKI!$B$3:$CL$57,MATCH(NXchung!$C9,NXetHKI!$C$3:$C$57,0),NXchung!BG$59))</f>
        <v>Học giỏi, chăm chỉ, cảm nhận tốt văn bản.</v>
      </c>
      <c r="BH9" s="775" t="str">
        <f>IF($B9="","",IF(INDEX(BDHK2,MATCH($C9,DiemHKII!$C$4:$C$58,0),BH$59)&lt;&gt;"",INDEX(BDHK2,MATCH($C9,DiemHKII!$C$4:$C$58,0),BH$59),""))</f>
        <v/>
      </c>
      <c r="BI9" s="792" t="str">
        <f t="shared" si="27"/>
        <v/>
      </c>
      <c r="BJ9" s="776" t="str">
        <f t="shared" si="28"/>
        <v/>
      </c>
      <c r="BK9" s="775" t="str">
        <f>IF($B9="","",IF(INDEX(BDHK2,MATCH($C9,DiemHKII!$C$4:$C$58,0),BK$59)&lt;&gt;"",INDEX(BDHK2,MATCH($C9,DiemHKII!$C$4:$C$58,0),BK$59),""))</f>
        <v/>
      </c>
      <c r="BL9" s="792" t="str">
        <f t="shared" si="29"/>
        <v/>
      </c>
      <c r="BM9" s="776" t="str">
        <f t="shared" si="30"/>
        <v/>
      </c>
      <c r="BN9" s="774"/>
      <c r="BO9" s="775">
        <f>IF($B9="","",IF(INDEX(BDHK2,MATCH($C9,DiemHKII!$C$4:$C$58,0),BO$59)&lt;&gt;"",INDEX(BDHK2,MATCH($C9,DiemHKII!$C$4:$C$58,0),BO$59),""))</f>
        <v>9.6999999999999993</v>
      </c>
      <c r="BP9" s="792">
        <f t="shared" si="31"/>
        <v>1</v>
      </c>
      <c r="BQ9" s="776" t="str">
        <f>IF($B9="","",INDEX(NXetHKI!$B$3:$CL$57,MATCH(NXchung!$C9,NXetHKI!$C$3:$C$57,0),NXchung!BQ$59))</f>
        <v>Chăm ngoan, tích cực, chủ động tiếp thu bài học.</v>
      </c>
      <c r="BR9" s="775" t="str">
        <f>IF($B9="","",IF(INDEX(BDHK2,MATCH($C9,DiemHKII!$C$4:$C$58,0),BR$59)&lt;&gt;"",INDEX(BDHK2,MATCH($C9,DiemHKII!$C$4:$C$58,0),BR$59),""))</f>
        <v/>
      </c>
      <c r="BS9" s="792" t="str">
        <f t="shared" si="32"/>
        <v/>
      </c>
      <c r="BT9" s="776" t="str">
        <f t="shared" si="33"/>
        <v/>
      </c>
      <c r="BU9" s="775" t="str">
        <f>IF($B9="","",IF(INDEX(BDHK2,MATCH($C9,DiemHKII!$C$4:$C$58,0),BU$59)&lt;&gt;"",INDEX(BDHK2,MATCH($C9,DiemHKII!$C$4:$C$58,0),BU$59),""))</f>
        <v/>
      </c>
      <c r="BV9" s="792" t="str">
        <f t="shared" si="34"/>
        <v/>
      </c>
      <c r="BW9" s="776" t="str">
        <f t="shared" si="35"/>
        <v/>
      </c>
      <c r="BX9" s="774"/>
      <c r="BY9" s="775">
        <f>IF($B9="","",IF(INDEX(BDHK2,MATCH($C9,DiemHKII!$C$4:$C$58,0),BY$59)&lt;&gt;"",INDEX(BDHK2,MATCH($C9,DiemHKII!$C$4:$C$58,0),BY$59),""))</f>
        <v>9.6</v>
      </c>
      <c r="BZ9" s="792">
        <f t="shared" si="36"/>
        <v>1</v>
      </c>
      <c r="CA9" s="776" t="str">
        <f>IF($B9="","",INDEX(NXetHKI!$B$3:$CL$57,MATCH(NXchung!$C9,NXetHKI!$C$3:$C$57,0),NXchung!CA$59))</f>
        <v>Em rất ngoan, cố gắng có hiệu quả.</v>
      </c>
      <c r="CB9" s="775" t="str">
        <f>IF($B9="","",IF(INDEX(BDHK2,MATCH($C9,DiemHKII!$C$4:$C$58,0),CB$59)&lt;&gt;"",INDEX(BDHK2,MATCH($C9,DiemHKII!$C$4:$C$58,0),CB$59),""))</f>
        <v/>
      </c>
      <c r="CC9" s="792" t="str">
        <f t="shared" si="37"/>
        <v/>
      </c>
      <c r="CD9" s="776" t="str">
        <f t="shared" si="38"/>
        <v/>
      </c>
      <c r="CE9" s="775" t="str">
        <f>IF($B9="","",IF(INDEX(BDHK2,MATCH($C9,DiemHKII!$C$4:$C$58,0),CE$59)&lt;&gt;"",INDEX(BDHK2,MATCH($C9,DiemHKII!$C$4:$C$58,0),CE$59),""))</f>
        <v/>
      </c>
      <c r="CF9" s="792" t="str">
        <f t="shared" si="39"/>
        <v/>
      </c>
      <c r="CG9" s="776" t="str">
        <f t="shared" si="40"/>
        <v/>
      </c>
      <c r="CH9" s="774"/>
      <c r="CI9" s="775">
        <f>IF($B9="","",IF(INDEX(BDHK2,MATCH($C9,DiemHKII!$C$4:$C$58,0),CI$59)&lt;&gt;"",INDEX(BDHK2,MATCH($C9,DiemHKII!$C$4:$C$58,0),CI$59),""))</f>
        <v>9.6</v>
      </c>
      <c r="CJ9" s="792">
        <f t="shared" si="41"/>
        <v>1</v>
      </c>
      <c r="CK9" s="776" t="str">
        <f>IF($B9="","",INDEX(NXetHKI!$B$3:$CL$57,MATCH(NXchung!$C9,NXetHKI!$C$3:$C$57,0),NXchung!CK$59))</f>
        <v>Có năng khiếu, tự tin, giao tiếp tốt và có khả năng làm việc nhóm.</v>
      </c>
      <c r="CL9" s="775" t="str">
        <f>IF($B9="","",IF(INDEX(BDHK2,MATCH($C9,DiemHKII!$C$4:$C$58,0),CL$59)&lt;&gt;"",INDEX(BDHK2,MATCH($C9,DiemHKII!$C$4:$C$58,0),CL$59),""))</f>
        <v/>
      </c>
      <c r="CM9" s="792" t="str">
        <f t="shared" si="42"/>
        <v/>
      </c>
      <c r="CN9" s="776" t="str">
        <f t="shared" si="43"/>
        <v/>
      </c>
      <c r="CO9" s="775" t="str">
        <f>IF($B9="","",IF(INDEX(BDHK2,MATCH($C9,DiemHKII!$C$4:$C$58,0),CO$59)&lt;&gt;"",INDEX(BDHK2,MATCH($C9,DiemHKII!$C$4:$C$58,0),CO$59),""))</f>
        <v/>
      </c>
      <c r="CP9" s="792" t="str">
        <f t="shared" si="44"/>
        <v/>
      </c>
      <c r="CQ9" s="776" t="str">
        <f t="shared" si="45"/>
        <v/>
      </c>
      <c r="CR9" s="774"/>
      <c r="CS9" s="775">
        <f>IF($B9="","",IF(INDEX(BDHK2,MATCH($C9,DiemHKII!$C$4:$C$58,0),CS$59)&lt;&gt;"",INDEX(BDHK2,MATCH($C9,DiemHKII!$C$4:$C$58,0),CS$59),""))</f>
        <v>9.4</v>
      </c>
      <c r="CT9" s="792">
        <f t="shared" si="46"/>
        <v>1</v>
      </c>
      <c r="CU9" s="776" t="str">
        <f>IF($B9="","",INDEX(NXetHKI!$B$3:$CL$57,MATCH(NXchung!$C9,NXetHKI!$C$3:$C$57,0),NXchung!CU$59))</f>
        <v>Hứng thú, có trách nhiệm học tập tốt.</v>
      </c>
      <c r="CV9" s="775" t="str">
        <f>IF($B9="","",IF(INDEX(BDHK2,MATCH($C9,DiemHKII!$C$4:$C$58,0),CV$59)&lt;&gt;"",INDEX(BDHK2,MATCH($C9,DiemHKII!$C$4:$C$58,0),CV$59),""))</f>
        <v/>
      </c>
      <c r="CW9" s="792" t="str">
        <f t="shared" si="47"/>
        <v/>
      </c>
      <c r="CX9" s="776" t="str">
        <f t="shared" si="48"/>
        <v/>
      </c>
      <c r="CY9" s="775" t="str">
        <f>IF($B9="","",IF(INDEX(BDHK2,MATCH($C9,DiemHKII!$C$4:$C$58,0),CY$59)&lt;&gt;"",INDEX(BDHK2,MATCH($C9,DiemHKII!$C$4:$C$58,0),CY$59),""))</f>
        <v/>
      </c>
      <c r="CZ9" s="792" t="str">
        <f t="shared" si="49"/>
        <v/>
      </c>
      <c r="DA9" s="776" t="str">
        <f t="shared" si="50"/>
        <v/>
      </c>
      <c r="DB9" s="774"/>
      <c r="DC9" s="775">
        <f>IF($B9="","",IF(INDEX(BDHK2,MATCH($C9,DiemHKII!$C$4:$C$58,0),DC$59)&lt;&gt;"",INDEX(BDHK2,MATCH($C9,DiemHKII!$C$4:$C$58,0),DC$59),""))</f>
        <v>9.5</v>
      </c>
      <c r="DD9" s="792">
        <f t="shared" si="51"/>
        <v>1</v>
      </c>
      <c r="DE9" s="776" t="str">
        <f>IF($B9="","",INDEX(NXetHKI!$B$3:$CL$57,MATCH(NXchung!$C9,NXetHKI!$C$3:$C$57,0),NXchung!DE$59))</f>
        <v>Học giỏi, năng động, chăm ngoan.</v>
      </c>
      <c r="DF9" s="775" t="str">
        <f>IF($B9="","",IF(INDEX(BDHK2,MATCH($C9,DiemHKII!$C$4:$C$58,0),DF$59)&lt;&gt;"",INDEX(BDHK2,MATCH($C9,DiemHKII!$C$4:$C$58,0),DF$59),""))</f>
        <v/>
      </c>
      <c r="DG9" s="792" t="str">
        <f t="shared" si="52"/>
        <v/>
      </c>
      <c r="DH9" s="776" t="str">
        <f t="shared" si="53"/>
        <v/>
      </c>
      <c r="DI9" s="775" t="str">
        <f>IF($B9="","",IF(INDEX(BDHK2,MATCH($C9,DiemHKII!$C$4:$C$58,0),DI$59)&lt;&gt;"",INDEX(BDHK2,MATCH($C9,DiemHKII!$C$4:$C$58,0),DI$59),""))</f>
        <v/>
      </c>
      <c r="DJ9" s="792" t="str">
        <f t="shared" si="54"/>
        <v/>
      </c>
      <c r="DK9" s="776" t="str">
        <f t="shared" si="55"/>
        <v/>
      </c>
      <c r="DL9" s="774"/>
      <c r="DM9" s="775" t="str">
        <f>IF($B9="","",IF(INDEX(BDHK2,MATCH($C9,DiemHKII!$C$4:$C$58,0),DM$59)&lt;&gt;"",INDEX(BDHK2,MATCH($C9,DiemHKII!$C$4:$C$58,0),DM$59),""))</f>
        <v>Đ</v>
      </c>
      <c r="DN9" s="792">
        <f t="shared" si="56"/>
        <v>1</v>
      </c>
      <c r="DO9" s="776" t="str">
        <f>IF($B9="","",INDEX(NXetHKI!$B$3:$CL$57,MATCH(NXchung!$C9,NXetHKI!$C$3:$C$57,0),NXchung!DO$59))</f>
        <v>Chăm chỉ, cố gắng, rất ngoan.</v>
      </c>
      <c r="DP9" s="775" t="str">
        <f>IF($B9="","",IF(INDEX(BDHK2,MATCH($C9,DiemHKII!$C$4:$C$58,0),DP$59)&lt;&gt;"",INDEX(BDHK2,MATCH($C9,DiemHKII!$C$4:$C$58,0),DP$59),""))</f>
        <v/>
      </c>
      <c r="DQ9" s="792" t="str">
        <f t="shared" si="57"/>
        <v/>
      </c>
      <c r="DR9" s="776" t="str">
        <f t="shared" si="58"/>
        <v/>
      </c>
      <c r="DS9" s="775" t="str">
        <f>IF($B9="","",IF(INDEX(BDHK2,MATCH($C9,DiemHKII!$C$4:$C$58,0),DS$59)&lt;&gt;"",INDEX(BDHK2,MATCH($C9,DiemHKII!$C$4:$C$58,0),DS$59),""))</f>
        <v>Đ</v>
      </c>
      <c r="DT9" s="792">
        <f t="shared" si="59"/>
        <v>1</v>
      </c>
      <c r="DU9" s="776" t="str">
        <f t="shared" si="60"/>
        <v>Rất ngoan, học có hiệu quả tốt.</v>
      </c>
      <c r="DV9" s="774"/>
      <c r="DW9" s="775">
        <f>IF($B9="","",IF(INDEX(BDHK2,MATCH($C9,DiemHKII!$C$4:$C$58,0),DW$59)&lt;&gt;"",INDEX(BDHK2,MATCH($C9,DiemHKII!$C$4:$C$58,0),DW$59),""))</f>
        <v>9.9</v>
      </c>
      <c r="DX9" s="792">
        <f t="shared" si="61"/>
        <v>1</v>
      </c>
      <c r="DY9" s="776" t="str">
        <f>IF($B9="","",INDEX(NXetHKI!$B$3:$CL$57,MATCH(NXchung!$C9,NXetHKI!$C$3:$C$57,0),NXchung!DY$59))</f>
        <v>Siêng năng, lễ phép, thành thạo thực hành, học giỏi.</v>
      </c>
      <c r="DZ9" s="775" t="str">
        <f>IF($B9="","",IF(INDEX(BDHK2,MATCH($C9,DiemHKII!$C$4:$C$58,0),DZ$59)&lt;&gt;"",INDEX(BDHK2,MATCH($C9,DiemHKII!$C$4:$C$58,0),DZ$59),""))</f>
        <v/>
      </c>
      <c r="EA9" s="792" t="str">
        <f t="shared" si="62"/>
        <v/>
      </c>
      <c r="EB9" s="776" t="str">
        <f t="shared" si="63"/>
        <v/>
      </c>
      <c r="EC9" s="775" t="str">
        <f>IF($B9="","",IF(INDEX(BDHK2,MATCH($C9,DiemHKII!$C$4:$C$58,0),EC$59)&lt;&gt;"",INDEX(BDHK2,MATCH($C9,DiemHKII!$C$4:$C$58,0),EC$59),""))</f>
        <v/>
      </c>
      <c r="ED9" s="792" t="str">
        <f t="shared" si="64"/>
        <v/>
      </c>
      <c r="EE9" s="776" t="str">
        <f t="shared" si="65"/>
        <v/>
      </c>
      <c r="EF9" s="774"/>
      <c r="EG9" s="775" t="str">
        <f>IF($B9="","",IF(INDEX(BDHK2,MATCH($C9,DiemHKII!$C$4:$C$58,0),EG$59)&lt;&gt;"",INDEX(BDHK2,MATCH($C9,DiemHKII!$C$4:$C$58,0),EG$59),""))</f>
        <v/>
      </c>
      <c r="EH9" s="792" t="str">
        <f t="shared" si="66"/>
        <v/>
      </c>
      <c r="EI9" s="776" t="str">
        <f>IF($B9="","",INDEX(NXetHKI!$B$3:$CL$57,MATCH(NXchung!$C9,NXetHKI!$C$3:$C$57,0),NXchung!EI$59))</f>
        <v/>
      </c>
      <c r="EJ9" s="775" t="str">
        <f>IF($B9="","",IF(INDEX(BDHK2,MATCH($C9,DiemHKII!$C$4:$C$58,0),EJ$59)&lt;&gt;"",INDEX(BDHK2,MATCH($C9,DiemHKII!$C$4:$C$58,0),EJ$59),""))</f>
        <v/>
      </c>
      <c r="EK9" s="792" t="str">
        <f t="shared" si="67"/>
        <v/>
      </c>
      <c r="EL9" s="776" t="str">
        <f t="shared" si="68"/>
        <v/>
      </c>
      <c r="EM9" s="775" t="str">
        <f>IF($B9="","",IF(INDEX(BDHK2,MATCH($C9,DiemHKII!$C$4:$C$58,0),EM$59)&lt;&gt;"",INDEX(BDHK2,MATCH($C9,DiemHKII!$C$4:$C$58,0),EM$59),""))</f>
        <v/>
      </c>
      <c r="EN9" s="792" t="str">
        <f t="shared" si="69"/>
        <v/>
      </c>
      <c r="EO9" s="776" t="str">
        <f t="shared" si="70"/>
        <v/>
      </c>
      <c r="EP9" s="774"/>
      <c r="ER9" s="816">
        <v>6</v>
      </c>
      <c r="ES9" s="816">
        <v>9</v>
      </c>
    </row>
    <row r="10" spans="1:149" ht="15" customHeight="1">
      <c r="A10" s="764"/>
      <c r="B10" s="771">
        <f>IF(B9&lt;MAX(DiemHKII!$B$4:$B$58),B9+1,"")</f>
        <v>8</v>
      </c>
      <c r="C10" s="771" t="str">
        <f t="shared" si="0"/>
        <v>12A1Trần LêCường08/04/2004</v>
      </c>
      <c r="D10" s="772" t="str">
        <f>IF($B10&lt;&gt;"",PROPER(INDEX(DiemHKII!$B$4:$K$58,MATCH($B10,DiemHKII!$B$4:$B$58,0),4)),"")</f>
        <v>Trần Lê</v>
      </c>
      <c r="E10" s="773" t="str">
        <f>IF($B10&lt;&gt;"",PROPER(INDEX(DiemHKII!$B$4:$K$58,MATCH($B10,DiemHKII!$B$4:$B$58,0),5)),"")</f>
        <v>Cường</v>
      </c>
      <c r="F10" s="774" t="str">
        <f>IF($B10&lt;&gt;"",PROPER(INDEX(DiemHKII!$B$4:$K$58,MATCH($B10,DiemHKII!$B$4:$B$58,0),6)),"")</f>
        <v>08/04/2004</v>
      </c>
      <c r="G10" s="775">
        <f>IF($B10="","",IF(INDEX(BDHK2,MATCH($C10,DiemHKII!$C$4:$C$58,0),G$59)&lt;&gt;"",INDEX(BDHK2,MATCH($C10,DiemHKII!$C$4:$C$58,0),G$59),""))</f>
        <v>9.6</v>
      </c>
      <c r="H10" s="792">
        <f t="shared" si="1"/>
        <v>1</v>
      </c>
      <c r="I10" s="776" t="str">
        <f>IF($B10="","",INDEX(NXetHKI!$B$3:$CL$57,MATCH(NXchung!$C10,NXetHKI!$C$3:$C$57,0),NXchung!I$59))</f>
        <v>Em học giỏi, chăm ngoan, tính tự giác cao, rất tốt.</v>
      </c>
      <c r="J10" s="775" t="str">
        <f>IF($B10="","",IF(INDEX(BDHK2,MATCH($C10,DiemHKII!$C$4:$C$58,0),J$59)&lt;&gt;"",INDEX(BDHK2,MATCH($C10,DiemHKII!$C$4:$C$58,0),J$59),""))</f>
        <v/>
      </c>
      <c r="K10" s="792" t="str">
        <f t="shared" si="2"/>
        <v/>
      </c>
      <c r="L10" s="776" t="str">
        <f t="shared" si="3"/>
        <v/>
      </c>
      <c r="M10" s="775" t="str">
        <f>IF($B10="","",IF(INDEX(BDHK2,MATCH($C10,DiemHKII!$C$4:$C$58,0),M$59)&lt;&gt;"",INDEX(BDHK2,MATCH($C10,DiemHKII!$C$4:$C$58,0),M$59),""))</f>
        <v/>
      </c>
      <c r="N10" s="792" t="str">
        <f t="shared" si="4"/>
        <v/>
      </c>
      <c r="O10" s="776" t="str">
        <f t="shared" si="5"/>
        <v/>
      </c>
      <c r="P10" s="774"/>
      <c r="Q10" s="775">
        <f>IF($B10="","",IF(INDEX(BDHK2,MATCH($C10,DiemHKII!$C$4:$C$58,0),Q$59)&lt;&gt;"",INDEX(BDHK2,MATCH($C10,DiemHKII!$C$4:$C$58,0),Q$59),""))</f>
        <v>9.6</v>
      </c>
      <c r="R10" s="792">
        <f t="shared" si="6"/>
        <v>1</v>
      </c>
      <c r="S10" s="776" t="str">
        <f>IF($B10="","",INDEX(NXetHKI!$B$3:$CL$57,MATCH(NXchung!$C10,NXetHKI!$C$3:$C$57,0),NXchung!S$59))</f>
        <v>Em học giỏi, chăm ngoan, tính tự giác cao, rất tốt.</v>
      </c>
      <c r="T10" s="775" t="str">
        <f>IF($B10="","",IF(INDEX(BDHK2,MATCH($C10,DiemHKII!$C$4:$C$58,0),T$59)&lt;&gt;"",INDEX(BDHK2,MATCH($C10,DiemHKII!$C$4:$C$58,0),T$59),""))</f>
        <v/>
      </c>
      <c r="U10" s="792" t="str">
        <f t="shared" si="7"/>
        <v/>
      </c>
      <c r="V10" s="776" t="str">
        <f t="shared" si="8"/>
        <v/>
      </c>
      <c r="W10" s="775" t="str">
        <f>IF($B10="","",IF(INDEX(BDHK2,MATCH($C10,DiemHKII!$C$4:$C$58,0),W$59)&lt;&gt;"",INDEX(BDHK2,MATCH($C10,DiemHKII!$C$4:$C$58,0),W$59),""))</f>
        <v/>
      </c>
      <c r="X10" s="792" t="str">
        <f t="shared" si="9"/>
        <v/>
      </c>
      <c r="Y10" s="776" t="str">
        <f t="shared" si="10"/>
        <v/>
      </c>
      <c r="Z10" s="774"/>
      <c r="AA10" s="775">
        <f>IF($B10="","",IF(INDEX(BDHK2,MATCH($C10,DiemHKII!$C$4:$C$58,0),AA$59)&lt;&gt;"",INDEX(BDHK2,MATCH($C10,DiemHKII!$C$4:$C$58,0),AA$59),""))</f>
        <v>9.1999999999999993</v>
      </c>
      <c r="AB10" s="792">
        <f t="shared" si="11"/>
        <v>1</v>
      </c>
      <c r="AC10" s="776" t="str">
        <f>IF($B10="","",INDEX(NXetHKI!$B$3:$CL$57,MATCH(NXchung!$C10,NXetHKI!$C$3:$C$57,0),NXchung!AC$59))</f>
        <v>Kiến thức vững, tự học tốt, ngoan.</v>
      </c>
      <c r="AD10" s="775" t="str">
        <f>IF($B10="","",IF(INDEX(BDHK2,MATCH($C10,DiemHKII!$C$4:$C$58,0),AD$59)&lt;&gt;"",INDEX(BDHK2,MATCH($C10,DiemHKII!$C$4:$C$58,0),AD$59),""))</f>
        <v/>
      </c>
      <c r="AE10" s="792" t="str">
        <f t="shared" si="12"/>
        <v/>
      </c>
      <c r="AF10" s="776" t="str">
        <f t="shared" si="13"/>
        <v/>
      </c>
      <c r="AG10" s="775" t="str">
        <f>IF($B10="","",IF(INDEX(BDHK2,MATCH($C10,DiemHKII!$C$4:$C$58,0),AG$59)&lt;&gt;"",INDEX(BDHK2,MATCH($C10,DiemHKII!$C$4:$C$58,0),AG$59),""))</f>
        <v/>
      </c>
      <c r="AH10" s="792" t="str">
        <f t="shared" si="14"/>
        <v/>
      </c>
      <c r="AI10" s="776" t="str">
        <f t="shared" si="15"/>
        <v/>
      </c>
      <c r="AJ10" s="774"/>
      <c r="AK10" s="775">
        <f>IF($B10="","",IF(INDEX(BDHK2,MATCH($C10,DiemHKII!$C$4:$C$58,0),AK$59)&lt;&gt;"",INDEX(BDHK2,MATCH($C10,DiemHKII!$C$4:$C$58,0),AK$59),""))</f>
        <v>8.6</v>
      </c>
      <c r="AL10" s="792">
        <f t="shared" si="16"/>
        <v>2</v>
      </c>
      <c r="AM10" s="776" t="str">
        <f>IF($B10="","",INDEX(NXetHKI!$B$3:$CL$57,MATCH(NXchung!$C10,NXetHKI!$C$3:$C$57,0),NXchung!AM$59))</f>
        <v>Ngoan, khă năng tiếp nhận kiến thức tốt, vận dụng tốt.</v>
      </c>
      <c r="AN10" s="775" t="str">
        <f>IF($B10="","",IF(INDEX(BDHK2,MATCH($C10,DiemHKII!$C$4:$C$58,0),AN$59)&lt;&gt;"",INDEX(BDHK2,MATCH($C10,DiemHKII!$C$4:$C$58,0),AN$59),""))</f>
        <v/>
      </c>
      <c r="AO10" s="792" t="str">
        <f t="shared" si="17"/>
        <v/>
      </c>
      <c r="AP10" s="776" t="str">
        <f t="shared" si="18"/>
        <v/>
      </c>
      <c r="AQ10" s="775" t="str">
        <f>IF($B10="","",IF(INDEX(BDHK2,MATCH($C10,DiemHKII!$C$4:$C$58,0),AQ$59)&lt;&gt;"",INDEX(BDHK2,MATCH($C10,DiemHKII!$C$4:$C$58,0),AQ$59),""))</f>
        <v/>
      </c>
      <c r="AR10" s="792" t="str">
        <f t="shared" si="19"/>
        <v/>
      </c>
      <c r="AS10" s="776" t="str">
        <f t="shared" si="20"/>
        <v/>
      </c>
      <c r="AT10" s="774"/>
      <c r="AU10" s="775">
        <f>IF($B10="","",IF(INDEX(BDHK2,MATCH($C10,DiemHKII!$C$4:$C$58,0),AU$59)&lt;&gt;"",INDEX(BDHK2,MATCH($C10,DiemHKII!$C$4:$C$58,0),AU$59),""))</f>
        <v>9.6</v>
      </c>
      <c r="AV10" s="792">
        <f t="shared" si="21"/>
        <v>1</v>
      </c>
      <c r="AW10" s="776" t="str">
        <f>IF($B10="","",INDEX(NXetHKI!$B$3:$CL$57,MATCH(NXchung!$C10,NXetHKI!$C$3:$C$57,0),NXchung!AW$59))</f>
        <v>Ngoan, chăm chỉ, tư duy tốt.</v>
      </c>
      <c r="AX10" s="775" t="str">
        <f>IF($B10="","",IF(INDEX(BDHK2,MATCH($C10,DiemHKII!$C$4:$C$58,0),AX$59)&lt;&gt;"",INDEX(BDHK2,MATCH($C10,DiemHKII!$C$4:$C$58,0),AX$59),""))</f>
        <v/>
      </c>
      <c r="AY10" s="792" t="str">
        <f t="shared" si="22"/>
        <v/>
      </c>
      <c r="AZ10" s="776" t="str">
        <f t="shared" si="23"/>
        <v/>
      </c>
      <c r="BA10" s="775" t="str">
        <f>IF($B10="","",IF(INDEX(BDHK2,MATCH($C10,DiemHKII!$C$4:$C$58,0),BA$59)&lt;&gt;"",INDEX(BDHK2,MATCH($C10,DiemHKII!$C$4:$C$58,0),BA$59),""))</f>
        <v/>
      </c>
      <c r="BB10" s="792" t="str">
        <f t="shared" si="24"/>
        <v/>
      </c>
      <c r="BC10" s="776" t="str">
        <f t="shared" si="25"/>
        <v/>
      </c>
      <c r="BD10" s="774"/>
      <c r="BE10" s="775">
        <f>IF($B10="","",IF(INDEX(BDHK2,MATCH($C10,DiemHKII!$C$4:$C$58,0),BE$59)&lt;&gt;"",INDEX(BDHK2,MATCH($C10,DiemHKII!$C$4:$C$58,0),BE$59),""))</f>
        <v>7.3</v>
      </c>
      <c r="BF10" s="792">
        <f t="shared" si="26"/>
        <v>5</v>
      </c>
      <c r="BG10" s="776" t="str">
        <f>IF($B10="","",INDEX(NXetHKI!$B$3:$CL$57,MATCH(NXchung!$C10,NXetHKI!$C$3:$C$57,0),NXchung!BG$59))</f>
        <v>Có ý thức học tập tốt, cần nỗ lực rèn luyện thêm các kỹ năng.</v>
      </c>
      <c r="BH10" s="775" t="str">
        <f>IF($B10="","",IF(INDEX(BDHK2,MATCH($C10,DiemHKII!$C$4:$C$58,0),BH$59)&lt;&gt;"",INDEX(BDHK2,MATCH($C10,DiemHKII!$C$4:$C$58,0),BH$59),""))</f>
        <v/>
      </c>
      <c r="BI10" s="792" t="str">
        <f t="shared" si="27"/>
        <v/>
      </c>
      <c r="BJ10" s="776" t="str">
        <f t="shared" si="28"/>
        <v/>
      </c>
      <c r="BK10" s="775" t="str">
        <f>IF($B10="","",IF(INDEX(BDHK2,MATCH($C10,DiemHKII!$C$4:$C$58,0),BK$59)&lt;&gt;"",INDEX(BDHK2,MATCH($C10,DiemHKII!$C$4:$C$58,0),BK$59),""))</f>
        <v/>
      </c>
      <c r="BL10" s="792" t="str">
        <f t="shared" si="29"/>
        <v/>
      </c>
      <c r="BM10" s="776" t="str">
        <f t="shared" si="30"/>
        <v/>
      </c>
      <c r="BN10" s="774"/>
      <c r="BO10" s="775">
        <f>IF($B10="","",IF(INDEX(BDHK2,MATCH($C10,DiemHKII!$C$4:$C$58,0),BO$59)&lt;&gt;"",INDEX(BDHK2,MATCH($C10,DiemHKII!$C$4:$C$58,0),BO$59),""))</f>
        <v>9.6</v>
      </c>
      <c r="BP10" s="792">
        <f t="shared" si="31"/>
        <v>1</v>
      </c>
      <c r="BQ10" s="776" t="str">
        <f>IF($B10="","",INDEX(NXetHKI!$B$3:$CL$57,MATCH(NXchung!$C10,NXetHKI!$C$3:$C$57,0),NXchung!BQ$59))</f>
        <v>Tiếp thu bài tốt, ghi nhớ nhanh các sự kiện lịch sử.</v>
      </c>
      <c r="BR10" s="775" t="str">
        <f>IF($B10="","",IF(INDEX(BDHK2,MATCH($C10,DiemHKII!$C$4:$C$58,0),BR$59)&lt;&gt;"",INDEX(BDHK2,MATCH($C10,DiemHKII!$C$4:$C$58,0),BR$59),""))</f>
        <v/>
      </c>
      <c r="BS10" s="792" t="str">
        <f t="shared" si="32"/>
        <v/>
      </c>
      <c r="BT10" s="776" t="str">
        <f t="shared" si="33"/>
        <v/>
      </c>
      <c r="BU10" s="775" t="str">
        <f>IF($B10="","",IF(INDEX(BDHK2,MATCH($C10,DiemHKII!$C$4:$C$58,0),BU$59)&lt;&gt;"",INDEX(BDHK2,MATCH($C10,DiemHKII!$C$4:$C$58,0),BU$59),""))</f>
        <v/>
      </c>
      <c r="BV10" s="792" t="str">
        <f t="shared" si="34"/>
        <v/>
      </c>
      <c r="BW10" s="776" t="str">
        <f t="shared" si="35"/>
        <v/>
      </c>
      <c r="BX10" s="774"/>
      <c r="BY10" s="775">
        <f>IF($B10="","",IF(INDEX(BDHK2,MATCH($C10,DiemHKII!$C$4:$C$58,0),BY$59)&lt;&gt;"",INDEX(BDHK2,MATCH($C10,DiemHKII!$C$4:$C$58,0),BY$59),""))</f>
        <v>9.8000000000000007</v>
      </c>
      <c r="BZ10" s="792">
        <f t="shared" si="36"/>
        <v>1</v>
      </c>
      <c r="CA10" s="776" t="str">
        <f>IF($B10="","",INDEX(NXetHKI!$B$3:$CL$57,MATCH(NXchung!$C10,NXetHKI!$C$3:$C$57,0),NXchung!CA$59))</f>
        <v>Em có tư duy tốt, rất tích cực, giải quyết vấn đề tốt.</v>
      </c>
      <c r="CB10" s="775" t="str">
        <f>IF($B10="","",IF(INDEX(BDHK2,MATCH($C10,DiemHKII!$C$4:$C$58,0),CB$59)&lt;&gt;"",INDEX(BDHK2,MATCH($C10,DiemHKII!$C$4:$C$58,0),CB$59),""))</f>
        <v/>
      </c>
      <c r="CC10" s="792" t="str">
        <f t="shared" si="37"/>
        <v/>
      </c>
      <c r="CD10" s="776" t="str">
        <f t="shared" si="38"/>
        <v/>
      </c>
      <c r="CE10" s="775" t="str">
        <f>IF($B10="","",IF(INDEX(BDHK2,MATCH($C10,DiemHKII!$C$4:$C$58,0),CE$59)&lt;&gt;"",INDEX(BDHK2,MATCH($C10,DiemHKII!$C$4:$C$58,0),CE$59),""))</f>
        <v/>
      </c>
      <c r="CF10" s="792" t="str">
        <f t="shared" si="39"/>
        <v/>
      </c>
      <c r="CG10" s="776" t="str">
        <f t="shared" si="40"/>
        <v/>
      </c>
      <c r="CH10" s="774"/>
      <c r="CI10" s="775">
        <f>IF($B10="","",IF(INDEX(BDHK2,MATCH($C10,DiemHKII!$C$4:$C$58,0),CI$59)&lt;&gt;"",INDEX(BDHK2,MATCH($C10,DiemHKII!$C$4:$C$58,0),CI$59),""))</f>
        <v>9.4</v>
      </c>
      <c r="CJ10" s="792">
        <f t="shared" si="41"/>
        <v>1</v>
      </c>
      <c r="CK10" s="776" t="str">
        <f>IF($B10="","",INDEX(NXetHKI!$B$3:$CL$57,MATCH(NXchung!$C10,NXetHKI!$C$3:$C$57,0),NXchung!CK$59))</f>
        <v>Chăm chỉ, chuyên cần, rất tích cực và năng động.</v>
      </c>
      <c r="CL10" s="775" t="str">
        <f>IF($B10="","",IF(INDEX(BDHK2,MATCH($C10,DiemHKII!$C$4:$C$58,0),CL$59)&lt;&gt;"",INDEX(BDHK2,MATCH($C10,DiemHKII!$C$4:$C$58,0),CL$59),""))</f>
        <v/>
      </c>
      <c r="CM10" s="792" t="str">
        <f t="shared" si="42"/>
        <v/>
      </c>
      <c r="CN10" s="776" t="str">
        <f t="shared" si="43"/>
        <v/>
      </c>
      <c r="CO10" s="775" t="str">
        <f>IF($B10="","",IF(INDEX(BDHK2,MATCH($C10,DiemHKII!$C$4:$C$58,0),CO$59)&lt;&gt;"",INDEX(BDHK2,MATCH($C10,DiemHKII!$C$4:$C$58,0),CO$59),""))</f>
        <v/>
      </c>
      <c r="CP10" s="792" t="str">
        <f t="shared" si="44"/>
        <v/>
      </c>
      <c r="CQ10" s="776" t="str">
        <f t="shared" si="45"/>
        <v/>
      </c>
      <c r="CR10" s="774"/>
      <c r="CS10" s="775">
        <f>IF($B10="","",IF(INDEX(BDHK2,MATCH($C10,DiemHKII!$C$4:$C$58,0),CS$59)&lt;&gt;"",INDEX(BDHK2,MATCH($C10,DiemHKII!$C$4:$C$58,0),CS$59),""))</f>
        <v>9.1</v>
      </c>
      <c r="CT10" s="792">
        <f t="shared" si="46"/>
        <v>1</v>
      </c>
      <c r="CU10" s="776" t="str">
        <f>IF($B10="","",INDEX(NXetHKI!$B$3:$CL$57,MATCH(NXchung!$C10,NXetHKI!$C$3:$C$57,0),NXchung!CU$59))</f>
        <v>Chăm chỉ, học giỏi.</v>
      </c>
      <c r="CV10" s="775" t="str">
        <f>IF($B10="","",IF(INDEX(BDHK2,MATCH($C10,DiemHKII!$C$4:$C$58,0),CV$59)&lt;&gt;"",INDEX(BDHK2,MATCH($C10,DiemHKII!$C$4:$C$58,0),CV$59),""))</f>
        <v/>
      </c>
      <c r="CW10" s="792" t="str">
        <f t="shared" si="47"/>
        <v/>
      </c>
      <c r="CX10" s="776" t="str">
        <f t="shared" si="48"/>
        <v/>
      </c>
      <c r="CY10" s="775" t="str">
        <f>IF($B10="","",IF(INDEX(BDHK2,MATCH($C10,DiemHKII!$C$4:$C$58,0),CY$59)&lt;&gt;"",INDEX(BDHK2,MATCH($C10,DiemHKII!$C$4:$C$58,0),CY$59),""))</f>
        <v/>
      </c>
      <c r="CZ10" s="792" t="str">
        <f t="shared" si="49"/>
        <v/>
      </c>
      <c r="DA10" s="776" t="str">
        <f t="shared" si="50"/>
        <v/>
      </c>
      <c r="DB10" s="774"/>
      <c r="DC10" s="775">
        <f>IF($B10="","",IF(INDEX(BDHK2,MATCH($C10,DiemHKII!$C$4:$C$58,0),DC$59)&lt;&gt;"",INDEX(BDHK2,MATCH($C10,DiemHKII!$C$4:$C$58,0),DC$59),""))</f>
        <v>9.9</v>
      </c>
      <c r="DD10" s="792">
        <f t="shared" si="51"/>
        <v>1</v>
      </c>
      <c r="DE10" s="776" t="str">
        <f>IF($B10="","",INDEX(NXetHKI!$B$3:$CL$57,MATCH(NXchung!$C10,NXetHKI!$C$3:$C$57,0),NXchung!DE$59))</f>
        <v>Năng động, sáng tạo trong học tập.</v>
      </c>
      <c r="DF10" s="775" t="str">
        <f>IF($B10="","",IF(INDEX(BDHK2,MATCH($C10,DiemHKII!$C$4:$C$58,0),DF$59)&lt;&gt;"",INDEX(BDHK2,MATCH($C10,DiemHKII!$C$4:$C$58,0),DF$59),""))</f>
        <v/>
      </c>
      <c r="DG10" s="792" t="str">
        <f t="shared" si="52"/>
        <v/>
      </c>
      <c r="DH10" s="776" t="str">
        <f t="shared" si="53"/>
        <v/>
      </c>
      <c r="DI10" s="775" t="str">
        <f>IF($B10="","",IF(INDEX(BDHK2,MATCH($C10,DiemHKII!$C$4:$C$58,0),DI$59)&lt;&gt;"",INDEX(BDHK2,MATCH($C10,DiemHKII!$C$4:$C$58,0),DI$59),""))</f>
        <v/>
      </c>
      <c r="DJ10" s="792" t="str">
        <f t="shared" si="54"/>
        <v/>
      </c>
      <c r="DK10" s="776" t="str">
        <f t="shared" si="55"/>
        <v/>
      </c>
      <c r="DL10" s="774"/>
      <c r="DM10" s="775" t="str">
        <f>IF($B10="","",IF(INDEX(BDHK2,MATCH($C10,DiemHKII!$C$4:$C$58,0),DM$59)&lt;&gt;"",INDEX(BDHK2,MATCH($C10,DiemHKII!$C$4:$C$58,0),DM$59),""))</f>
        <v>Đ</v>
      </c>
      <c r="DN10" s="792">
        <f t="shared" si="56"/>
        <v>1</v>
      </c>
      <c r="DO10" s="776" t="str">
        <f>IF($B10="","",INDEX(NXetHKI!$B$3:$CL$57,MATCH(NXchung!$C10,NXetHKI!$C$3:$C$57,0),NXchung!DO$59))</f>
        <v>Giỏi, có nhiều tiến bộ trong học tập.</v>
      </c>
      <c r="DP10" s="775" t="str">
        <f>IF($B10="","",IF(INDEX(BDHK2,MATCH($C10,DiemHKII!$C$4:$C$58,0),DP$59)&lt;&gt;"",INDEX(BDHK2,MATCH($C10,DiemHKII!$C$4:$C$58,0),DP$59),""))</f>
        <v/>
      </c>
      <c r="DQ10" s="792" t="str">
        <f t="shared" si="57"/>
        <v/>
      </c>
      <c r="DR10" s="776" t="str">
        <f t="shared" si="58"/>
        <v/>
      </c>
      <c r="DS10" s="775" t="str">
        <f>IF($B10="","",IF(INDEX(BDHK2,MATCH($C10,DiemHKII!$C$4:$C$58,0),DS$59)&lt;&gt;"",INDEX(BDHK2,MATCH($C10,DiemHKII!$C$4:$C$58,0),DS$59),""))</f>
        <v>Đ</v>
      </c>
      <c r="DT10" s="792">
        <f t="shared" si="59"/>
        <v>1</v>
      </c>
      <c r="DU10" s="776" t="str">
        <f t="shared" si="60"/>
        <v>Chăm chỉ, cố gắng, rất ngoan.</v>
      </c>
      <c r="DV10" s="774"/>
      <c r="DW10" s="775">
        <f>IF($B10="","",IF(INDEX(BDHK2,MATCH($C10,DiemHKII!$C$4:$C$58,0),DW$59)&lt;&gt;"",INDEX(BDHK2,MATCH($C10,DiemHKII!$C$4:$C$58,0),DW$59),""))</f>
        <v>9.9</v>
      </c>
      <c r="DX10" s="792">
        <f t="shared" si="61"/>
        <v>1</v>
      </c>
      <c r="DY10" s="776" t="str">
        <f>IF($B10="","",INDEX(NXetHKI!$B$3:$CL$57,MATCH(NXchung!$C10,NXetHKI!$C$3:$C$57,0),NXchung!DY$59))</f>
        <v>Tích cực, năng động, nắm bài tốt, học giỏi.</v>
      </c>
      <c r="DZ10" s="775" t="str">
        <f>IF($B10="","",IF(INDEX(BDHK2,MATCH($C10,DiemHKII!$C$4:$C$58,0),DZ$59)&lt;&gt;"",INDEX(BDHK2,MATCH($C10,DiemHKII!$C$4:$C$58,0),DZ$59),""))</f>
        <v/>
      </c>
      <c r="EA10" s="792" t="str">
        <f t="shared" si="62"/>
        <v/>
      </c>
      <c r="EB10" s="776" t="str">
        <f t="shared" si="63"/>
        <v/>
      </c>
      <c r="EC10" s="775" t="str">
        <f>IF($B10="","",IF(INDEX(BDHK2,MATCH($C10,DiemHKII!$C$4:$C$58,0),EC$59)&lt;&gt;"",INDEX(BDHK2,MATCH($C10,DiemHKII!$C$4:$C$58,0),EC$59),""))</f>
        <v/>
      </c>
      <c r="ED10" s="792" t="str">
        <f t="shared" si="64"/>
        <v/>
      </c>
      <c r="EE10" s="776" t="str">
        <f t="shared" si="65"/>
        <v/>
      </c>
      <c r="EF10" s="774"/>
      <c r="EG10" s="775" t="str">
        <f>IF($B10="","",IF(INDEX(BDHK2,MATCH($C10,DiemHKII!$C$4:$C$58,0),EG$59)&lt;&gt;"",INDEX(BDHK2,MATCH($C10,DiemHKII!$C$4:$C$58,0),EG$59),""))</f>
        <v/>
      </c>
      <c r="EH10" s="792" t="str">
        <f t="shared" si="66"/>
        <v/>
      </c>
      <c r="EI10" s="776" t="str">
        <f>IF($B10="","",INDEX(NXetHKI!$B$3:$CL$57,MATCH(NXchung!$C10,NXetHKI!$C$3:$C$57,0),NXchung!EI$59))</f>
        <v/>
      </c>
      <c r="EJ10" s="775" t="str">
        <f>IF($B10="","",IF(INDEX(BDHK2,MATCH($C10,DiemHKII!$C$4:$C$58,0),EJ$59)&lt;&gt;"",INDEX(BDHK2,MATCH($C10,DiemHKII!$C$4:$C$58,0),EJ$59),""))</f>
        <v/>
      </c>
      <c r="EK10" s="792" t="str">
        <f t="shared" si="67"/>
        <v/>
      </c>
      <c r="EL10" s="776" t="str">
        <f t="shared" si="68"/>
        <v/>
      </c>
      <c r="EM10" s="775" t="str">
        <f>IF($B10="","",IF(INDEX(BDHK2,MATCH($C10,DiemHKII!$C$4:$C$58,0),EM$59)&lt;&gt;"",INDEX(BDHK2,MATCH($C10,DiemHKII!$C$4:$C$58,0),EM$59),""))</f>
        <v/>
      </c>
      <c r="EN10" s="792" t="str">
        <f t="shared" si="69"/>
        <v/>
      </c>
      <c r="EO10" s="776" t="str">
        <f t="shared" si="70"/>
        <v/>
      </c>
      <c r="EP10" s="774"/>
      <c r="ER10" s="816">
        <v>9</v>
      </c>
      <c r="ES10" s="816">
        <v>3</v>
      </c>
    </row>
    <row r="11" spans="1:149" ht="15" customHeight="1">
      <c r="A11" s="764"/>
      <c r="B11" s="771">
        <f>IF(B10&lt;MAX(DiemHKII!$B$4:$B$58),B10+1,"")</f>
        <v>9</v>
      </c>
      <c r="C11" s="771" t="str">
        <f t="shared" si="0"/>
        <v>12A1Nguyễn ThanhDuyên16/11/2004</v>
      </c>
      <c r="D11" s="772" t="str">
        <f>IF($B11&lt;&gt;"",PROPER(INDEX(DiemHKII!$B$4:$K$58,MATCH($B11,DiemHKII!$B$4:$B$58,0),4)),"")</f>
        <v>Nguyễn Thanh</v>
      </c>
      <c r="E11" s="773" t="str">
        <f>IF($B11&lt;&gt;"",PROPER(INDEX(DiemHKII!$B$4:$K$58,MATCH($B11,DiemHKII!$B$4:$B$58,0),5)),"")</f>
        <v>Duyên</v>
      </c>
      <c r="F11" s="774" t="str">
        <f>IF($B11&lt;&gt;"",PROPER(INDEX(DiemHKII!$B$4:$K$58,MATCH($B11,DiemHKII!$B$4:$B$58,0),6)),"")</f>
        <v>16/11/2004</v>
      </c>
      <c r="G11" s="775">
        <f>IF($B11="","",IF(INDEX(BDHK2,MATCH($C11,DiemHKII!$C$4:$C$58,0),G$59)&lt;&gt;"",INDEX(BDHK2,MATCH($C11,DiemHKII!$C$4:$C$58,0),G$59),""))</f>
        <v>9.4</v>
      </c>
      <c r="H11" s="792">
        <f t="shared" si="1"/>
        <v>1</v>
      </c>
      <c r="I11" s="776" t="str">
        <f>IF($B11="","",INDEX(NXetHKI!$B$3:$CL$57,MATCH(NXchung!$C11,NXetHKI!$C$3:$C$57,0),NXchung!I$59))</f>
        <v>Em ngoan, tích cực, năng động, rất đáng khen.</v>
      </c>
      <c r="J11" s="775" t="str">
        <f>IF($B11="","",IF(INDEX(BDHK2,MATCH($C11,DiemHKII!$C$4:$C$58,0),J$59)&lt;&gt;"",INDEX(BDHK2,MATCH($C11,DiemHKII!$C$4:$C$58,0),J$59),""))</f>
        <v/>
      </c>
      <c r="K11" s="792" t="str">
        <f t="shared" si="2"/>
        <v/>
      </c>
      <c r="L11" s="776" t="str">
        <f t="shared" si="3"/>
        <v/>
      </c>
      <c r="M11" s="775" t="str">
        <f>IF($B11="","",IF(INDEX(BDHK2,MATCH($C11,DiemHKII!$C$4:$C$58,0),M$59)&lt;&gt;"",INDEX(BDHK2,MATCH($C11,DiemHKII!$C$4:$C$58,0),M$59),""))</f>
        <v/>
      </c>
      <c r="N11" s="792" t="str">
        <f t="shared" si="4"/>
        <v/>
      </c>
      <c r="O11" s="776" t="str">
        <f t="shared" si="5"/>
        <v/>
      </c>
      <c r="P11" s="774"/>
      <c r="Q11" s="775">
        <f>IF($B11="","",IF(INDEX(BDHK2,MATCH($C11,DiemHKII!$C$4:$C$58,0),Q$59)&lt;&gt;"",INDEX(BDHK2,MATCH($C11,DiemHKII!$C$4:$C$58,0),Q$59),""))</f>
        <v>9.8000000000000007</v>
      </c>
      <c r="R11" s="792">
        <f t="shared" si="6"/>
        <v>1</v>
      </c>
      <c r="S11" s="776" t="str">
        <f>IF($B11="","",INDEX(NXetHKI!$B$3:$CL$57,MATCH(NXchung!$C11,NXetHKI!$C$3:$C$57,0),NXchung!S$59))</f>
        <v>Em ngoan, tích cực, năng động, rất đáng khen.</v>
      </c>
      <c r="T11" s="775" t="str">
        <f>IF($B11="","",IF(INDEX(BDHK2,MATCH($C11,DiemHKII!$C$4:$C$58,0),T$59)&lt;&gt;"",INDEX(BDHK2,MATCH($C11,DiemHKII!$C$4:$C$58,0),T$59),""))</f>
        <v/>
      </c>
      <c r="U11" s="792" t="str">
        <f t="shared" si="7"/>
        <v/>
      </c>
      <c r="V11" s="776" t="str">
        <f t="shared" si="8"/>
        <v/>
      </c>
      <c r="W11" s="775" t="str">
        <f>IF($B11="","",IF(INDEX(BDHK2,MATCH($C11,DiemHKII!$C$4:$C$58,0),W$59)&lt;&gt;"",INDEX(BDHK2,MATCH($C11,DiemHKII!$C$4:$C$58,0),W$59),""))</f>
        <v/>
      </c>
      <c r="X11" s="792" t="str">
        <f t="shared" si="9"/>
        <v/>
      </c>
      <c r="Y11" s="776" t="str">
        <f t="shared" si="10"/>
        <v/>
      </c>
      <c r="Z11" s="774"/>
      <c r="AA11" s="775">
        <f>IF($B11="","",IF(INDEX(BDHK2,MATCH($C11,DiemHKII!$C$4:$C$58,0),AA$59)&lt;&gt;"",INDEX(BDHK2,MATCH($C11,DiemHKII!$C$4:$C$58,0),AA$59),""))</f>
        <v>9.5</v>
      </c>
      <c r="AB11" s="792">
        <f t="shared" si="11"/>
        <v>1</v>
      </c>
      <c r="AC11" s="776" t="str">
        <f>IF($B11="","",INDEX(NXetHKI!$B$3:$CL$57,MATCH(NXchung!$C11,NXetHKI!$C$3:$C$57,0),NXchung!AC$59))</f>
        <v>Kiến thức vững, sáng tạo, tự học tốt.</v>
      </c>
      <c r="AD11" s="775" t="str">
        <f>IF($B11="","",IF(INDEX(BDHK2,MATCH($C11,DiemHKII!$C$4:$C$58,0),AD$59)&lt;&gt;"",INDEX(BDHK2,MATCH($C11,DiemHKII!$C$4:$C$58,0),AD$59),""))</f>
        <v/>
      </c>
      <c r="AE11" s="792" t="str">
        <f t="shared" si="12"/>
        <v/>
      </c>
      <c r="AF11" s="776" t="str">
        <f t="shared" si="13"/>
        <v/>
      </c>
      <c r="AG11" s="775" t="str">
        <f>IF($B11="","",IF(INDEX(BDHK2,MATCH($C11,DiemHKII!$C$4:$C$58,0),AG$59)&lt;&gt;"",INDEX(BDHK2,MATCH($C11,DiemHKII!$C$4:$C$58,0),AG$59),""))</f>
        <v/>
      </c>
      <c r="AH11" s="792" t="str">
        <f t="shared" si="14"/>
        <v/>
      </c>
      <c r="AI11" s="776" t="str">
        <f t="shared" si="15"/>
        <v/>
      </c>
      <c r="AJ11" s="774"/>
      <c r="AK11" s="775">
        <f>IF($B11="","",IF(INDEX(BDHK2,MATCH($C11,DiemHKII!$C$4:$C$58,0),AK$59)&lt;&gt;"",INDEX(BDHK2,MATCH($C11,DiemHKII!$C$4:$C$58,0),AK$59),""))</f>
        <v>9.5</v>
      </c>
      <c r="AL11" s="792">
        <f t="shared" si="16"/>
        <v>1</v>
      </c>
      <c r="AM11" s="776" t="str">
        <f>IF($B11="","",INDEX(NXetHKI!$B$3:$CL$57,MATCH(NXchung!$C11,NXetHKI!$C$3:$C$57,0),NXchung!AM$59))</f>
        <v>Ý thức học tập tốt, vận dụng tốt kiến thức học tập</v>
      </c>
      <c r="AN11" s="775" t="str">
        <f>IF($B11="","",IF(INDEX(BDHK2,MATCH($C11,DiemHKII!$C$4:$C$58,0),AN$59)&lt;&gt;"",INDEX(BDHK2,MATCH($C11,DiemHKII!$C$4:$C$58,0),AN$59),""))</f>
        <v/>
      </c>
      <c r="AO11" s="792" t="str">
        <f t="shared" si="17"/>
        <v/>
      </c>
      <c r="AP11" s="776" t="str">
        <f t="shared" si="18"/>
        <v/>
      </c>
      <c r="AQ11" s="775" t="str">
        <f>IF($B11="","",IF(INDEX(BDHK2,MATCH($C11,DiemHKII!$C$4:$C$58,0),AQ$59)&lt;&gt;"",INDEX(BDHK2,MATCH($C11,DiemHKII!$C$4:$C$58,0),AQ$59),""))</f>
        <v/>
      </c>
      <c r="AR11" s="792" t="str">
        <f t="shared" si="19"/>
        <v/>
      </c>
      <c r="AS11" s="776" t="str">
        <f t="shared" si="20"/>
        <v/>
      </c>
      <c r="AT11" s="774"/>
      <c r="AU11" s="775">
        <f>IF($B11="","",IF(INDEX(BDHK2,MATCH($C11,DiemHKII!$C$4:$C$58,0),AU$59)&lt;&gt;"",INDEX(BDHK2,MATCH($C11,DiemHKII!$C$4:$C$58,0),AU$59),""))</f>
        <v>9.8000000000000007</v>
      </c>
      <c r="AV11" s="792">
        <f t="shared" si="21"/>
        <v>1</v>
      </c>
      <c r="AW11" s="776" t="str">
        <f>IF($B11="","",INDEX(NXetHKI!$B$3:$CL$57,MATCH(NXchung!$C11,NXetHKI!$C$3:$C$57,0),NXchung!AW$59))</f>
        <v>Học giỏi, năng động và sáng tạo trong học tập.</v>
      </c>
      <c r="AX11" s="775" t="str">
        <f>IF($B11="","",IF(INDEX(BDHK2,MATCH($C11,DiemHKII!$C$4:$C$58,0),AX$59)&lt;&gt;"",INDEX(BDHK2,MATCH($C11,DiemHKII!$C$4:$C$58,0),AX$59),""))</f>
        <v/>
      </c>
      <c r="AY11" s="792" t="str">
        <f t="shared" si="22"/>
        <v/>
      </c>
      <c r="AZ11" s="776" t="str">
        <f t="shared" si="23"/>
        <v/>
      </c>
      <c r="BA11" s="775" t="str">
        <f>IF($B11="","",IF(INDEX(BDHK2,MATCH($C11,DiemHKII!$C$4:$C$58,0),BA$59)&lt;&gt;"",INDEX(BDHK2,MATCH($C11,DiemHKII!$C$4:$C$58,0),BA$59),""))</f>
        <v/>
      </c>
      <c r="BB11" s="792" t="str">
        <f t="shared" si="24"/>
        <v/>
      </c>
      <c r="BC11" s="776" t="str">
        <f t="shared" si="25"/>
        <v/>
      </c>
      <c r="BD11" s="774"/>
      <c r="BE11" s="775">
        <f>IF($B11="","",IF(INDEX(BDHK2,MATCH($C11,DiemHKII!$C$4:$C$58,0),BE$59)&lt;&gt;"",INDEX(BDHK2,MATCH($C11,DiemHKII!$C$4:$C$58,0),BE$59),""))</f>
        <v>7.6</v>
      </c>
      <c r="BF11" s="792">
        <f t="shared" si="26"/>
        <v>4</v>
      </c>
      <c r="BG11" s="776" t="str">
        <f>IF($B11="","",INDEX(NXetHKI!$B$3:$CL$57,MATCH(NXchung!$C11,NXetHKI!$C$3:$C$57,0),NXchung!BG$59))</f>
        <v>Cần chủ động hơn trong giờ học, rèn thêm kỹ năng viết.</v>
      </c>
      <c r="BH11" s="775" t="str">
        <f>IF($B11="","",IF(INDEX(BDHK2,MATCH($C11,DiemHKII!$C$4:$C$58,0),BH$59)&lt;&gt;"",INDEX(BDHK2,MATCH($C11,DiemHKII!$C$4:$C$58,0),BH$59),""))</f>
        <v/>
      </c>
      <c r="BI11" s="792" t="str">
        <f t="shared" si="27"/>
        <v/>
      </c>
      <c r="BJ11" s="776" t="str">
        <f t="shared" si="28"/>
        <v/>
      </c>
      <c r="BK11" s="775" t="str">
        <f>IF($B11="","",IF(INDEX(BDHK2,MATCH($C11,DiemHKII!$C$4:$C$58,0),BK$59)&lt;&gt;"",INDEX(BDHK2,MATCH($C11,DiemHKII!$C$4:$C$58,0),BK$59),""))</f>
        <v/>
      </c>
      <c r="BL11" s="792" t="str">
        <f t="shared" si="29"/>
        <v/>
      </c>
      <c r="BM11" s="776" t="str">
        <f t="shared" si="30"/>
        <v/>
      </c>
      <c r="BN11" s="774"/>
      <c r="BO11" s="775">
        <f>IF($B11="","",IF(INDEX(BDHK2,MATCH($C11,DiemHKII!$C$4:$C$58,0),BO$59)&lt;&gt;"",INDEX(BDHK2,MATCH($C11,DiemHKII!$C$4:$C$58,0),BO$59),""))</f>
        <v>9.6</v>
      </c>
      <c r="BP11" s="792">
        <f t="shared" si="31"/>
        <v>1</v>
      </c>
      <c r="BQ11" s="776" t="str">
        <f>IF($B11="","",INDEX(NXetHKI!$B$3:$CL$57,MATCH(NXchung!$C11,NXetHKI!$C$3:$C$57,0),NXchung!BQ$59))</f>
        <v>Chăm học, tích cực phát biểu xây dựng bài.</v>
      </c>
      <c r="BR11" s="775" t="str">
        <f>IF($B11="","",IF(INDEX(BDHK2,MATCH($C11,DiemHKII!$C$4:$C$58,0),BR$59)&lt;&gt;"",INDEX(BDHK2,MATCH($C11,DiemHKII!$C$4:$C$58,0),BR$59),""))</f>
        <v/>
      </c>
      <c r="BS11" s="792" t="str">
        <f t="shared" si="32"/>
        <v/>
      </c>
      <c r="BT11" s="776" t="str">
        <f t="shared" si="33"/>
        <v/>
      </c>
      <c r="BU11" s="775" t="str">
        <f>IF($B11="","",IF(INDEX(BDHK2,MATCH($C11,DiemHKII!$C$4:$C$58,0),BU$59)&lt;&gt;"",INDEX(BDHK2,MATCH($C11,DiemHKII!$C$4:$C$58,0),BU$59),""))</f>
        <v/>
      </c>
      <c r="BV11" s="792" t="str">
        <f t="shared" si="34"/>
        <v/>
      </c>
      <c r="BW11" s="776" t="str">
        <f t="shared" si="35"/>
        <v/>
      </c>
      <c r="BX11" s="774"/>
      <c r="BY11" s="775">
        <f>IF($B11="","",IF(INDEX(BDHK2,MATCH($C11,DiemHKII!$C$4:$C$58,0),BY$59)&lt;&gt;"",INDEX(BDHK2,MATCH($C11,DiemHKII!$C$4:$C$58,0),BY$59),""))</f>
        <v>9.6</v>
      </c>
      <c r="BZ11" s="792">
        <f t="shared" si="36"/>
        <v>1</v>
      </c>
      <c r="CA11" s="776" t="str">
        <f>IF($B11="","",INDEX(NXetHKI!$B$3:$CL$57,MATCH(NXchung!$C11,NXetHKI!$C$3:$C$57,0),NXchung!CA$59))</f>
        <v>Em có tư duy tốt, tích cực, vận dụng thực tế tốt.</v>
      </c>
      <c r="CB11" s="775" t="str">
        <f>IF($B11="","",IF(INDEX(BDHK2,MATCH($C11,DiemHKII!$C$4:$C$58,0),CB$59)&lt;&gt;"",INDEX(BDHK2,MATCH($C11,DiemHKII!$C$4:$C$58,0),CB$59),""))</f>
        <v/>
      </c>
      <c r="CC11" s="792" t="str">
        <f t="shared" si="37"/>
        <v/>
      </c>
      <c r="CD11" s="776" t="str">
        <f t="shared" si="38"/>
        <v/>
      </c>
      <c r="CE11" s="775" t="str">
        <f>IF($B11="","",IF(INDEX(BDHK2,MATCH($C11,DiemHKII!$C$4:$C$58,0),CE$59)&lt;&gt;"",INDEX(BDHK2,MATCH($C11,DiemHKII!$C$4:$C$58,0),CE$59),""))</f>
        <v/>
      </c>
      <c r="CF11" s="792" t="str">
        <f t="shared" si="39"/>
        <v/>
      </c>
      <c r="CG11" s="776" t="str">
        <f t="shared" si="40"/>
        <v/>
      </c>
      <c r="CH11" s="774"/>
      <c r="CI11" s="775">
        <f>IF($B11="","",IF(INDEX(BDHK2,MATCH($C11,DiemHKII!$C$4:$C$58,0),CI$59)&lt;&gt;"",INDEX(BDHK2,MATCH($C11,DiemHKII!$C$4:$C$58,0),CI$59),""))</f>
        <v>9.8000000000000007</v>
      </c>
      <c r="CJ11" s="792">
        <f t="shared" si="41"/>
        <v>1</v>
      </c>
      <c r="CK11" s="776" t="str">
        <f>IF($B11="","",INDEX(NXetHKI!$B$3:$CL$57,MATCH(NXchung!$C11,NXetHKI!$C$3:$C$57,0),NXchung!CK$59))</f>
        <v>Tích cực phát biểu trong giờ học, tương tác tốt với giáo viên và bạn bè.</v>
      </c>
      <c r="CL11" s="775" t="str">
        <f>IF($B11="","",IF(INDEX(BDHK2,MATCH($C11,DiemHKII!$C$4:$C$58,0),CL$59)&lt;&gt;"",INDEX(BDHK2,MATCH($C11,DiemHKII!$C$4:$C$58,0),CL$59),""))</f>
        <v/>
      </c>
      <c r="CM11" s="792" t="str">
        <f t="shared" si="42"/>
        <v/>
      </c>
      <c r="CN11" s="776" t="str">
        <f t="shared" si="43"/>
        <v/>
      </c>
      <c r="CO11" s="775" t="str">
        <f>IF($B11="","",IF(INDEX(BDHK2,MATCH($C11,DiemHKII!$C$4:$C$58,0),CO$59)&lt;&gt;"",INDEX(BDHK2,MATCH($C11,DiemHKII!$C$4:$C$58,0),CO$59),""))</f>
        <v/>
      </c>
      <c r="CP11" s="792" t="str">
        <f t="shared" si="44"/>
        <v/>
      </c>
      <c r="CQ11" s="776" t="str">
        <f t="shared" si="45"/>
        <v/>
      </c>
      <c r="CR11" s="774"/>
      <c r="CS11" s="775">
        <f>IF($B11="","",IF(INDEX(BDHK2,MATCH($C11,DiemHKII!$C$4:$C$58,0),CS$59)&lt;&gt;"",INDEX(BDHK2,MATCH($C11,DiemHKII!$C$4:$C$58,0),CS$59),""))</f>
        <v>9.1</v>
      </c>
      <c r="CT11" s="792">
        <f t="shared" si="46"/>
        <v>1</v>
      </c>
      <c r="CU11" s="776" t="str">
        <f>IF($B11="","",INDEX(NXetHKI!$B$3:$CL$57,MATCH(NXchung!$C11,NXetHKI!$C$3:$C$57,0),NXchung!CU$59))</f>
        <v>Hứng thú, tích cực, học giỏi.</v>
      </c>
      <c r="CV11" s="775" t="str">
        <f>IF($B11="","",IF(INDEX(BDHK2,MATCH($C11,DiemHKII!$C$4:$C$58,0),CV$59)&lt;&gt;"",INDEX(BDHK2,MATCH($C11,DiemHKII!$C$4:$C$58,0),CV$59),""))</f>
        <v/>
      </c>
      <c r="CW11" s="792" t="str">
        <f t="shared" si="47"/>
        <v/>
      </c>
      <c r="CX11" s="776" t="str">
        <f t="shared" si="48"/>
        <v/>
      </c>
      <c r="CY11" s="775" t="str">
        <f>IF($B11="","",IF(INDEX(BDHK2,MATCH($C11,DiemHKII!$C$4:$C$58,0),CY$59)&lt;&gt;"",INDEX(BDHK2,MATCH($C11,DiemHKII!$C$4:$C$58,0),CY$59),""))</f>
        <v/>
      </c>
      <c r="CZ11" s="792" t="str">
        <f t="shared" si="49"/>
        <v/>
      </c>
      <c r="DA11" s="776" t="str">
        <f t="shared" si="50"/>
        <v/>
      </c>
      <c r="DB11" s="774"/>
      <c r="DC11" s="775">
        <f>IF($B11="","",IF(INDEX(BDHK2,MATCH($C11,DiemHKII!$C$4:$C$58,0),DC$59)&lt;&gt;"",INDEX(BDHK2,MATCH($C11,DiemHKII!$C$4:$C$58,0),DC$59),""))</f>
        <v>9.9</v>
      </c>
      <c r="DD11" s="792">
        <f t="shared" si="51"/>
        <v>1</v>
      </c>
      <c r="DE11" s="776" t="str">
        <f>IF($B11="","",INDEX(NXetHKI!$B$3:$CL$57,MATCH(NXchung!$C11,NXetHKI!$C$3:$C$57,0),NXchung!DE$59))</f>
        <v>Học giỏi, tiếp thu nhanh, chăm ngoan.</v>
      </c>
      <c r="DF11" s="775" t="str">
        <f>IF($B11="","",IF(INDEX(BDHK2,MATCH($C11,DiemHKII!$C$4:$C$58,0),DF$59)&lt;&gt;"",INDEX(BDHK2,MATCH($C11,DiemHKII!$C$4:$C$58,0),DF$59),""))</f>
        <v/>
      </c>
      <c r="DG11" s="792" t="str">
        <f t="shared" si="52"/>
        <v/>
      </c>
      <c r="DH11" s="776" t="str">
        <f t="shared" si="53"/>
        <v/>
      </c>
      <c r="DI11" s="775" t="str">
        <f>IF($B11="","",IF(INDEX(BDHK2,MATCH($C11,DiemHKII!$C$4:$C$58,0),DI$59)&lt;&gt;"",INDEX(BDHK2,MATCH($C11,DiemHKII!$C$4:$C$58,0),DI$59),""))</f>
        <v/>
      </c>
      <c r="DJ11" s="792" t="str">
        <f t="shared" si="54"/>
        <v/>
      </c>
      <c r="DK11" s="776" t="str">
        <f t="shared" si="55"/>
        <v/>
      </c>
      <c r="DL11" s="774"/>
      <c r="DM11" s="775" t="str">
        <f>IF($B11="","",IF(INDEX(BDHK2,MATCH($C11,DiemHKII!$C$4:$C$58,0),DM$59)&lt;&gt;"",INDEX(BDHK2,MATCH($C11,DiemHKII!$C$4:$C$58,0),DM$59),""))</f>
        <v>Đ</v>
      </c>
      <c r="DN11" s="792">
        <f t="shared" si="56"/>
        <v>1</v>
      </c>
      <c r="DO11" s="776" t="str">
        <f>IF($B11="","",INDEX(NXetHKI!$B$3:$CL$57,MATCH(NXchung!$C11,NXetHKI!$C$3:$C$57,0),NXchung!DO$59))</f>
        <v>Rất ngoan, học có hiệu quả tốt.</v>
      </c>
      <c r="DP11" s="775" t="str">
        <f>IF($B11="","",IF(INDEX(BDHK2,MATCH($C11,DiemHKII!$C$4:$C$58,0),DP$59)&lt;&gt;"",INDEX(BDHK2,MATCH($C11,DiemHKII!$C$4:$C$58,0),DP$59),""))</f>
        <v/>
      </c>
      <c r="DQ11" s="792" t="str">
        <f t="shared" si="57"/>
        <v/>
      </c>
      <c r="DR11" s="776" t="str">
        <f t="shared" si="58"/>
        <v/>
      </c>
      <c r="DS11" s="775" t="str">
        <f>IF($B11="","",IF(INDEX(BDHK2,MATCH($C11,DiemHKII!$C$4:$C$58,0),DS$59)&lt;&gt;"",INDEX(BDHK2,MATCH($C11,DiemHKII!$C$4:$C$58,0),DS$59),""))</f>
        <v>Đ</v>
      </c>
      <c r="DT11" s="792">
        <f t="shared" si="59"/>
        <v>1</v>
      </c>
      <c r="DU11" s="776" t="str">
        <f t="shared" si="60"/>
        <v>Giỏi, có nhiều tiến bộ trong học tập.</v>
      </c>
      <c r="DV11" s="774"/>
      <c r="DW11" s="775">
        <f>IF($B11="","",IF(INDEX(BDHK2,MATCH($C11,DiemHKII!$C$4:$C$58,0),DW$59)&lt;&gt;"",INDEX(BDHK2,MATCH($C11,DiemHKII!$C$4:$C$58,0),DW$59),""))</f>
        <v>9.9</v>
      </c>
      <c r="DX11" s="792">
        <f t="shared" si="61"/>
        <v>1</v>
      </c>
      <c r="DY11" s="776" t="str">
        <f>IF($B11="","",INDEX(NXetHKI!$B$3:$CL$57,MATCH(NXchung!$C11,NXetHKI!$C$3:$C$57,0),NXchung!DY$59))</f>
        <v>Ngoan, tích cực xây dựng bài, nắm chắc thực hành, học giỏi.</v>
      </c>
      <c r="DZ11" s="775" t="str">
        <f>IF($B11="","",IF(INDEX(BDHK2,MATCH($C11,DiemHKII!$C$4:$C$58,0),DZ$59)&lt;&gt;"",INDEX(BDHK2,MATCH($C11,DiemHKII!$C$4:$C$58,0),DZ$59),""))</f>
        <v/>
      </c>
      <c r="EA11" s="792" t="str">
        <f t="shared" si="62"/>
        <v/>
      </c>
      <c r="EB11" s="776" t="str">
        <f t="shared" si="63"/>
        <v/>
      </c>
      <c r="EC11" s="775" t="str">
        <f>IF($B11="","",IF(INDEX(BDHK2,MATCH($C11,DiemHKII!$C$4:$C$58,0),EC$59)&lt;&gt;"",INDEX(BDHK2,MATCH($C11,DiemHKII!$C$4:$C$58,0),EC$59),""))</f>
        <v/>
      </c>
      <c r="ED11" s="792" t="str">
        <f t="shared" si="64"/>
        <v/>
      </c>
      <c r="EE11" s="776" t="str">
        <f t="shared" si="65"/>
        <v/>
      </c>
      <c r="EF11" s="774"/>
      <c r="EG11" s="775" t="str">
        <f>IF($B11="","",IF(INDEX(BDHK2,MATCH($C11,DiemHKII!$C$4:$C$58,0),EG$59)&lt;&gt;"",INDEX(BDHK2,MATCH($C11,DiemHKII!$C$4:$C$58,0),EG$59),""))</f>
        <v/>
      </c>
      <c r="EH11" s="792" t="str">
        <f t="shared" si="66"/>
        <v/>
      </c>
      <c r="EI11" s="776" t="str">
        <f>IF($B11="","",INDEX(NXetHKI!$B$3:$CL$57,MATCH(NXchung!$C11,NXetHKI!$C$3:$C$57,0),NXchung!EI$59))</f>
        <v/>
      </c>
      <c r="EJ11" s="775" t="str">
        <f>IF($B11="","",IF(INDEX(BDHK2,MATCH($C11,DiemHKII!$C$4:$C$58,0),EJ$59)&lt;&gt;"",INDEX(BDHK2,MATCH($C11,DiemHKII!$C$4:$C$58,0),EJ$59),""))</f>
        <v/>
      </c>
      <c r="EK11" s="792" t="str">
        <f t="shared" si="67"/>
        <v/>
      </c>
      <c r="EL11" s="776" t="str">
        <f t="shared" si="68"/>
        <v/>
      </c>
      <c r="EM11" s="775" t="str">
        <f>IF($B11="","",IF(INDEX(BDHK2,MATCH($C11,DiemHKII!$C$4:$C$58,0),EM$59)&lt;&gt;"",INDEX(BDHK2,MATCH($C11,DiemHKII!$C$4:$C$58,0),EM$59),""))</f>
        <v/>
      </c>
      <c r="EN11" s="792" t="str">
        <f t="shared" si="69"/>
        <v/>
      </c>
      <c r="EO11" s="776" t="str">
        <f t="shared" si="70"/>
        <v/>
      </c>
      <c r="EP11" s="774"/>
      <c r="ER11" s="816">
        <v>3</v>
      </c>
      <c r="ES11" s="816">
        <v>6</v>
      </c>
    </row>
    <row r="12" spans="1:149" ht="15" customHeight="1">
      <c r="A12" s="764"/>
      <c r="B12" s="777">
        <f>IF(B11&lt;MAX(DiemHKII!$B$4:$B$58),B11+1,"")</f>
        <v>10</v>
      </c>
      <c r="C12" s="777" t="str">
        <f t="shared" si="0"/>
        <v>12A1Trương ĐắcĐiền08/05/2004</v>
      </c>
      <c r="D12" s="778" t="str">
        <f>IF($B12&lt;&gt;"",PROPER(INDEX(DiemHKII!$B$4:$K$58,MATCH($B12,DiemHKII!$B$4:$B$58,0),4)),"")</f>
        <v>Trương Đắc</v>
      </c>
      <c r="E12" s="779" t="str">
        <f>IF($B12&lt;&gt;"",PROPER(INDEX(DiemHKII!$B$4:$K$58,MATCH($B12,DiemHKII!$B$4:$B$58,0),5)),"")</f>
        <v>Điền</v>
      </c>
      <c r="F12" s="780" t="str">
        <f>IF($B12&lt;&gt;"",PROPER(INDEX(DiemHKII!$B$4:$K$58,MATCH($B12,DiemHKII!$B$4:$B$58,0),6)),"")</f>
        <v>08/05/2004</v>
      </c>
      <c r="G12" s="781">
        <f>IF($B12="","",IF(INDEX(BDHK2,MATCH($C12,DiemHKII!$C$4:$C$58,0),G$59)&lt;&gt;"",INDEX(BDHK2,MATCH($C12,DiemHKII!$C$4:$C$58,0),G$59),""))</f>
        <v>9.4</v>
      </c>
      <c r="H12" s="793">
        <f t="shared" si="1"/>
        <v>1</v>
      </c>
      <c r="I12" s="782" t="str">
        <f>IF($B12="","",INDEX(NXetHKI!$B$3:$CL$57,MATCH(NXchung!$C12,NXetHKI!$C$3:$C$57,0),NXchung!I$59))</f>
        <v>Em chăm chỉ, chuyên cần, rất tích cực, rất đáng khen.</v>
      </c>
      <c r="J12" s="781" t="str">
        <f>IF($B12="","",IF(INDEX(BDHK2,MATCH($C12,DiemHKII!$C$4:$C$58,0),J$59)&lt;&gt;"",INDEX(BDHK2,MATCH($C12,DiemHKII!$C$4:$C$58,0),J$59),""))</f>
        <v/>
      </c>
      <c r="K12" s="793" t="str">
        <f t="shared" si="2"/>
        <v/>
      </c>
      <c r="L12" s="782" t="str">
        <f t="shared" si="3"/>
        <v/>
      </c>
      <c r="M12" s="781" t="str">
        <f>IF($B12="","",IF(INDEX(BDHK2,MATCH($C12,DiemHKII!$C$4:$C$58,0),M$59)&lt;&gt;"",INDEX(BDHK2,MATCH($C12,DiemHKII!$C$4:$C$58,0),M$59),""))</f>
        <v/>
      </c>
      <c r="N12" s="793" t="str">
        <f t="shared" si="4"/>
        <v/>
      </c>
      <c r="O12" s="782" t="str">
        <f t="shared" si="5"/>
        <v/>
      </c>
      <c r="P12" s="780"/>
      <c r="Q12" s="781">
        <f>IF($B12="","",IF(INDEX(BDHK2,MATCH($C12,DiemHKII!$C$4:$C$58,0),Q$59)&lt;&gt;"",INDEX(BDHK2,MATCH($C12,DiemHKII!$C$4:$C$58,0),Q$59),""))</f>
        <v>9.5</v>
      </c>
      <c r="R12" s="793">
        <f t="shared" si="6"/>
        <v>1</v>
      </c>
      <c r="S12" s="782" t="str">
        <f>IF($B12="","",INDEX(NXetHKI!$B$3:$CL$57,MATCH(NXchung!$C12,NXetHKI!$C$3:$C$57,0),NXchung!S$59))</f>
        <v>Em chăm chỉ, chuyên cần, rất tích cực, rất đáng khen.</v>
      </c>
      <c r="T12" s="781" t="str">
        <f>IF($B12="","",IF(INDEX(BDHK2,MATCH($C12,DiemHKII!$C$4:$C$58,0),T$59)&lt;&gt;"",INDEX(BDHK2,MATCH($C12,DiemHKII!$C$4:$C$58,0),T$59),""))</f>
        <v/>
      </c>
      <c r="U12" s="793" t="str">
        <f t="shared" si="7"/>
        <v/>
      </c>
      <c r="V12" s="782" t="str">
        <f t="shared" si="8"/>
        <v/>
      </c>
      <c r="W12" s="781" t="str">
        <f>IF($B12="","",IF(INDEX(BDHK2,MATCH($C12,DiemHKII!$C$4:$C$58,0),W$59)&lt;&gt;"",INDEX(BDHK2,MATCH($C12,DiemHKII!$C$4:$C$58,0),W$59),""))</f>
        <v/>
      </c>
      <c r="X12" s="793" t="str">
        <f t="shared" si="9"/>
        <v/>
      </c>
      <c r="Y12" s="782" t="str">
        <f t="shared" si="10"/>
        <v/>
      </c>
      <c r="Z12" s="780"/>
      <c r="AA12" s="781">
        <f>IF($B12="","",IF(INDEX(BDHK2,MATCH($C12,DiemHKII!$C$4:$C$58,0),AA$59)&lt;&gt;"",INDEX(BDHK2,MATCH($C12,DiemHKII!$C$4:$C$58,0),AA$59),""))</f>
        <v>9.6</v>
      </c>
      <c r="AB12" s="793">
        <f t="shared" si="11"/>
        <v>1</v>
      </c>
      <c r="AC12" s="782" t="str">
        <f>IF($B12="","",INDEX(NXetHKI!$B$3:$CL$57,MATCH(NXchung!$C12,NXetHKI!$C$3:$C$57,0),NXchung!AC$59))</f>
        <v>Học giỏi, thông minh, cần phát huy.</v>
      </c>
      <c r="AD12" s="781" t="str">
        <f>IF($B12="","",IF(INDEX(BDHK2,MATCH($C12,DiemHKII!$C$4:$C$58,0),AD$59)&lt;&gt;"",INDEX(BDHK2,MATCH($C12,DiemHKII!$C$4:$C$58,0),AD$59),""))</f>
        <v/>
      </c>
      <c r="AE12" s="793" t="str">
        <f t="shared" si="12"/>
        <v/>
      </c>
      <c r="AF12" s="782" t="str">
        <f t="shared" si="13"/>
        <v/>
      </c>
      <c r="AG12" s="781" t="str">
        <f>IF($B12="","",IF(INDEX(BDHK2,MATCH($C12,DiemHKII!$C$4:$C$58,0),AG$59)&lt;&gt;"",INDEX(BDHK2,MATCH($C12,DiemHKII!$C$4:$C$58,0),AG$59),""))</f>
        <v/>
      </c>
      <c r="AH12" s="793" t="str">
        <f t="shared" si="14"/>
        <v/>
      </c>
      <c r="AI12" s="782" t="str">
        <f t="shared" si="15"/>
        <v/>
      </c>
      <c r="AJ12" s="780"/>
      <c r="AK12" s="781">
        <f>IF($B12="","",IF(INDEX(BDHK2,MATCH($C12,DiemHKII!$C$4:$C$58,0),AK$59)&lt;&gt;"",INDEX(BDHK2,MATCH($C12,DiemHKII!$C$4:$C$58,0),AK$59),""))</f>
        <v>9.1</v>
      </c>
      <c r="AL12" s="793">
        <f t="shared" si="16"/>
        <v>1</v>
      </c>
      <c r="AM12" s="782" t="str">
        <f>IF($B12="","",INDEX(NXetHKI!$B$3:$CL$57,MATCH(NXchung!$C12,NXetHKI!$C$3:$C$57,0),NXchung!AM$59))</f>
        <v>Sáng tạo, hoạt động nhóm rất tốt, biết chia sẻ kết quả học tập với bạn.</v>
      </c>
      <c r="AN12" s="781" t="str">
        <f>IF($B12="","",IF(INDEX(BDHK2,MATCH($C12,DiemHKII!$C$4:$C$58,0),AN$59)&lt;&gt;"",INDEX(BDHK2,MATCH($C12,DiemHKII!$C$4:$C$58,0),AN$59),""))</f>
        <v/>
      </c>
      <c r="AO12" s="793" t="str">
        <f t="shared" si="17"/>
        <v/>
      </c>
      <c r="AP12" s="782" t="str">
        <f t="shared" si="18"/>
        <v/>
      </c>
      <c r="AQ12" s="781" t="str">
        <f>IF($B12="","",IF(INDEX(BDHK2,MATCH($C12,DiemHKII!$C$4:$C$58,0),AQ$59)&lt;&gt;"",INDEX(BDHK2,MATCH($C12,DiemHKII!$C$4:$C$58,0),AQ$59),""))</f>
        <v/>
      </c>
      <c r="AR12" s="793" t="str">
        <f t="shared" si="19"/>
        <v/>
      </c>
      <c r="AS12" s="782" t="str">
        <f t="shared" si="20"/>
        <v/>
      </c>
      <c r="AT12" s="780"/>
      <c r="AU12" s="781">
        <f>IF($B12="","",IF(INDEX(BDHK2,MATCH($C12,DiemHKII!$C$4:$C$58,0),AU$59)&lt;&gt;"",INDEX(BDHK2,MATCH($C12,DiemHKII!$C$4:$C$58,0),AU$59),""))</f>
        <v>9.6</v>
      </c>
      <c r="AV12" s="793">
        <f t="shared" si="21"/>
        <v>1</v>
      </c>
      <c r="AW12" s="782" t="str">
        <f>IF($B12="","",INDEX(NXetHKI!$B$3:$CL$57,MATCH(NXchung!$C12,NXetHKI!$C$3:$C$57,0),NXchung!AW$59))</f>
        <v>Rất ngoan, cố gắng có hiệu quả.</v>
      </c>
      <c r="AX12" s="781" t="str">
        <f>IF($B12="","",IF(INDEX(BDHK2,MATCH($C12,DiemHKII!$C$4:$C$58,0),AX$59)&lt;&gt;"",INDEX(BDHK2,MATCH($C12,DiemHKII!$C$4:$C$58,0),AX$59),""))</f>
        <v/>
      </c>
      <c r="AY12" s="793" t="str">
        <f t="shared" si="22"/>
        <v/>
      </c>
      <c r="AZ12" s="782" t="str">
        <f t="shared" si="23"/>
        <v/>
      </c>
      <c r="BA12" s="781" t="str">
        <f>IF($B12="","",IF(INDEX(BDHK2,MATCH($C12,DiemHKII!$C$4:$C$58,0),BA$59)&lt;&gt;"",INDEX(BDHK2,MATCH($C12,DiemHKII!$C$4:$C$58,0),BA$59),""))</f>
        <v/>
      </c>
      <c r="BB12" s="793" t="str">
        <f t="shared" si="24"/>
        <v/>
      </c>
      <c r="BC12" s="782" t="str">
        <f t="shared" si="25"/>
        <v/>
      </c>
      <c r="BD12" s="780"/>
      <c r="BE12" s="781">
        <f>IF($B12="","",IF(INDEX(BDHK2,MATCH($C12,DiemHKII!$C$4:$C$58,0),BE$59)&lt;&gt;"",INDEX(BDHK2,MATCH($C12,DiemHKII!$C$4:$C$58,0),BE$59),""))</f>
        <v>7.8</v>
      </c>
      <c r="BF12" s="793">
        <f t="shared" si="26"/>
        <v>4</v>
      </c>
      <c r="BG12" s="782" t="str">
        <f>IF($B12="","",INDEX(NXetHKI!$B$3:$CL$57,MATCH(NXchung!$C12,NXetHKI!$C$3:$C$57,0),NXchung!BG$59))</f>
        <v>Có năng khiếu, tự giác, cảm nhận được văn bản.</v>
      </c>
      <c r="BH12" s="781" t="str">
        <f>IF($B12="","",IF(INDEX(BDHK2,MATCH($C12,DiemHKII!$C$4:$C$58,0),BH$59)&lt;&gt;"",INDEX(BDHK2,MATCH($C12,DiemHKII!$C$4:$C$58,0),BH$59),""))</f>
        <v/>
      </c>
      <c r="BI12" s="793" t="str">
        <f t="shared" si="27"/>
        <v/>
      </c>
      <c r="BJ12" s="782" t="str">
        <f t="shared" si="28"/>
        <v/>
      </c>
      <c r="BK12" s="781" t="str">
        <f>IF($B12="","",IF(INDEX(BDHK2,MATCH($C12,DiemHKII!$C$4:$C$58,0),BK$59)&lt;&gt;"",INDEX(BDHK2,MATCH($C12,DiemHKII!$C$4:$C$58,0),BK$59),""))</f>
        <v/>
      </c>
      <c r="BL12" s="793" t="str">
        <f t="shared" si="29"/>
        <v/>
      </c>
      <c r="BM12" s="782" t="str">
        <f t="shared" si="30"/>
        <v/>
      </c>
      <c r="BN12" s="780"/>
      <c r="BO12" s="781">
        <f>IF($B12="","",IF(INDEX(BDHK2,MATCH($C12,DiemHKII!$C$4:$C$58,0),BO$59)&lt;&gt;"",INDEX(BDHK2,MATCH($C12,DiemHKII!$C$4:$C$58,0),BO$59),""))</f>
        <v>9.8000000000000007</v>
      </c>
      <c r="BP12" s="793">
        <f t="shared" si="31"/>
        <v>1</v>
      </c>
      <c r="BQ12" s="782" t="str">
        <f>IF($B12="","",INDEX(NXetHKI!$B$3:$CL$57,MATCH(NXchung!$C12,NXetHKI!$C$3:$C$57,0),NXchung!BQ$59))</f>
        <v>Chăm ngoan, tích cực, chủ động tiếp thu bài học.</v>
      </c>
      <c r="BR12" s="781" t="str">
        <f>IF($B12="","",IF(INDEX(BDHK2,MATCH($C12,DiemHKII!$C$4:$C$58,0),BR$59)&lt;&gt;"",INDEX(BDHK2,MATCH($C12,DiemHKII!$C$4:$C$58,0),BR$59),""))</f>
        <v/>
      </c>
      <c r="BS12" s="793" t="str">
        <f t="shared" si="32"/>
        <v/>
      </c>
      <c r="BT12" s="782" t="str">
        <f t="shared" si="33"/>
        <v/>
      </c>
      <c r="BU12" s="781" t="str">
        <f>IF($B12="","",IF(INDEX(BDHK2,MATCH($C12,DiemHKII!$C$4:$C$58,0),BU$59)&lt;&gt;"",INDEX(BDHK2,MATCH($C12,DiemHKII!$C$4:$C$58,0),BU$59),""))</f>
        <v/>
      </c>
      <c r="BV12" s="793" t="str">
        <f t="shared" si="34"/>
        <v/>
      </c>
      <c r="BW12" s="782" t="str">
        <f t="shared" si="35"/>
        <v/>
      </c>
      <c r="BX12" s="780"/>
      <c r="BY12" s="781">
        <f>IF($B12="","",IF(INDEX(BDHK2,MATCH($C12,DiemHKII!$C$4:$C$58,0),BY$59)&lt;&gt;"",INDEX(BDHK2,MATCH($C12,DiemHKII!$C$4:$C$58,0),BY$59),""))</f>
        <v>9.9</v>
      </c>
      <c r="BZ12" s="793">
        <f t="shared" si="36"/>
        <v>1</v>
      </c>
      <c r="CA12" s="782" t="str">
        <f>IF($B12="","",INDEX(NXetHKI!$B$3:$CL$57,MATCH(NXchung!$C12,NXetHKI!$C$3:$C$57,0),NXchung!CA$59))</f>
        <v>Em rất ngoan, cố gắng có hiệu quả.</v>
      </c>
      <c r="CB12" s="781" t="str">
        <f>IF($B12="","",IF(INDEX(BDHK2,MATCH($C12,DiemHKII!$C$4:$C$58,0),CB$59)&lt;&gt;"",INDEX(BDHK2,MATCH($C12,DiemHKII!$C$4:$C$58,0),CB$59),""))</f>
        <v/>
      </c>
      <c r="CC12" s="793" t="str">
        <f t="shared" si="37"/>
        <v/>
      </c>
      <c r="CD12" s="782" t="str">
        <f t="shared" si="38"/>
        <v/>
      </c>
      <c r="CE12" s="781" t="str">
        <f>IF($B12="","",IF(INDEX(BDHK2,MATCH($C12,DiemHKII!$C$4:$C$58,0),CE$59)&lt;&gt;"",INDEX(BDHK2,MATCH($C12,DiemHKII!$C$4:$C$58,0),CE$59),""))</f>
        <v/>
      </c>
      <c r="CF12" s="793" t="str">
        <f t="shared" si="39"/>
        <v/>
      </c>
      <c r="CG12" s="782" t="str">
        <f t="shared" si="40"/>
        <v/>
      </c>
      <c r="CH12" s="780"/>
      <c r="CI12" s="781">
        <f>IF($B12="","",IF(INDEX(BDHK2,MATCH($C12,DiemHKII!$C$4:$C$58,0),CI$59)&lt;&gt;"",INDEX(BDHK2,MATCH($C12,DiemHKII!$C$4:$C$58,0),CI$59),""))</f>
        <v>9.3000000000000007</v>
      </c>
      <c r="CJ12" s="793">
        <f t="shared" si="41"/>
        <v>1</v>
      </c>
      <c r="CK12" s="782" t="str">
        <f>IF($B12="","",INDEX(NXetHKI!$B$3:$CL$57,MATCH(NXchung!$C12,NXetHKI!$C$3:$C$57,0),NXchung!CK$59))</f>
        <v>Có năng khiếu, tự tin, giao tiếp tốt và có khả năng làm việc nhóm.</v>
      </c>
      <c r="CL12" s="781" t="str">
        <f>IF($B12="","",IF(INDEX(BDHK2,MATCH($C12,DiemHKII!$C$4:$C$58,0),CL$59)&lt;&gt;"",INDEX(BDHK2,MATCH($C12,DiemHKII!$C$4:$C$58,0),CL$59),""))</f>
        <v/>
      </c>
      <c r="CM12" s="793" t="str">
        <f t="shared" si="42"/>
        <v/>
      </c>
      <c r="CN12" s="782" t="str">
        <f t="shared" si="43"/>
        <v/>
      </c>
      <c r="CO12" s="781" t="str">
        <f>IF($B12="","",IF(INDEX(BDHK2,MATCH($C12,DiemHKII!$C$4:$C$58,0),CO$59)&lt;&gt;"",INDEX(BDHK2,MATCH($C12,DiemHKII!$C$4:$C$58,0),CO$59),""))</f>
        <v/>
      </c>
      <c r="CP12" s="793" t="str">
        <f t="shared" si="44"/>
        <v/>
      </c>
      <c r="CQ12" s="782" t="str">
        <f t="shared" si="45"/>
        <v/>
      </c>
      <c r="CR12" s="780"/>
      <c r="CS12" s="781">
        <f>IF($B12="","",IF(INDEX(BDHK2,MATCH($C12,DiemHKII!$C$4:$C$58,0),CS$59)&lt;&gt;"",INDEX(BDHK2,MATCH($C12,DiemHKII!$C$4:$C$58,0),CS$59),""))</f>
        <v>9.5</v>
      </c>
      <c r="CT12" s="793">
        <f t="shared" si="46"/>
        <v>1</v>
      </c>
      <c r="CU12" s="782" t="str">
        <f>IF($B12="","",INDEX(NXetHKI!$B$3:$CL$57,MATCH(NXchung!$C12,NXetHKI!$C$3:$C$57,0),NXchung!CU$59))</f>
        <v>Hứng thú, có trách nhiệm học tập tốt.</v>
      </c>
      <c r="CV12" s="781" t="str">
        <f>IF($B12="","",IF(INDEX(BDHK2,MATCH($C12,DiemHKII!$C$4:$C$58,0),CV$59)&lt;&gt;"",INDEX(BDHK2,MATCH($C12,DiemHKII!$C$4:$C$58,0),CV$59),""))</f>
        <v/>
      </c>
      <c r="CW12" s="793" t="str">
        <f t="shared" si="47"/>
        <v/>
      </c>
      <c r="CX12" s="782" t="str">
        <f t="shared" si="48"/>
        <v/>
      </c>
      <c r="CY12" s="781" t="str">
        <f>IF($B12="","",IF(INDEX(BDHK2,MATCH($C12,DiemHKII!$C$4:$C$58,0),CY$59)&lt;&gt;"",INDEX(BDHK2,MATCH($C12,DiemHKII!$C$4:$C$58,0),CY$59),""))</f>
        <v/>
      </c>
      <c r="CZ12" s="793" t="str">
        <f t="shared" si="49"/>
        <v/>
      </c>
      <c r="DA12" s="782" t="str">
        <f t="shared" si="50"/>
        <v/>
      </c>
      <c r="DB12" s="780"/>
      <c r="DC12" s="781">
        <f>IF($B12="","",IF(INDEX(BDHK2,MATCH($C12,DiemHKII!$C$4:$C$58,0),DC$59)&lt;&gt;"",INDEX(BDHK2,MATCH($C12,DiemHKII!$C$4:$C$58,0),DC$59),""))</f>
        <v>9.6</v>
      </c>
      <c r="DD12" s="793">
        <f t="shared" si="51"/>
        <v>1</v>
      </c>
      <c r="DE12" s="782" t="str">
        <f>IF($B12="","",INDEX(NXetHKI!$B$3:$CL$57,MATCH(NXchung!$C12,NXetHKI!$C$3:$C$57,0),NXchung!DE$59))</f>
        <v>Học giỏi, năng động, chăm ngoan.</v>
      </c>
      <c r="DF12" s="781" t="str">
        <f>IF($B12="","",IF(INDEX(BDHK2,MATCH($C12,DiemHKII!$C$4:$C$58,0),DF$59)&lt;&gt;"",INDEX(BDHK2,MATCH($C12,DiemHKII!$C$4:$C$58,0),DF$59),""))</f>
        <v/>
      </c>
      <c r="DG12" s="793" t="str">
        <f t="shared" si="52"/>
        <v/>
      </c>
      <c r="DH12" s="782" t="str">
        <f t="shared" si="53"/>
        <v/>
      </c>
      <c r="DI12" s="781" t="str">
        <f>IF($B12="","",IF(INDEX(BDHK2,MATCH($C12,DiemHKII!$C$4:$C$58,0),DI$59)&lt;&gt;"",INDEX(BDHK2,MATCH($C12,DiemHKII!$C$4:$C$58,0),DI$59),""))</f>
        <v/>
      </c>
      <c r="DJ12" s="793" t="str">
        <f t="shared" si="54"/>
        <v/>
      </c>
      <c r="DK12" s="782" t="str">
        <f t="shared" si="55"/>
        <v/>
      </c>
      <c r="DL12" s="780"/>
      <c r="DM12" s="781" t="str">
        <f>IF($B12="","",IF(INDEX(BDHK2,MATCH($C12,DiemHKII!$C$4:$C$58,0),DM$59)&lt;&gt;"",INDEX(BDHK2,MATCH($C12,DiemHKII!$C$4:$C$58,0),DM$59),""))</f>
        <v>Đ</v>
      </c>
      <c r="DN12" s="793">
        <f t="shared" si="56"/>
        <v>1</v>
      </c>
      <c r="DO12" s="782" t="str">
        <f>IF($B12="","",INDEX(NXetHKI!$B$3:$CL$57,MATCH(NXchung!$C12,NXetHKI!$C$3:$C$57,0),NXchung!DO$59))</f>
        <v>Chăm chỉ, cố gắng, rất ngoan.</v>
      </c>
      <c r="DP12" s="781" t="str">
        <f>IF($B12="","",IF(INDEX(BDHK2,MATCH($C12,DiemHKII!$C$4:$C$58,0),DP$59)&lt;&gt;"",INDEX(BDHK2,MATCH($C12,DiemHKII!$C$4:$C$58,0),DP$59),""))</f>
        <v/>
      </c>
      <c r="DQ12" s="793" t="str">
        <f t="shared" si="57"/>
        <v/>
      </c>
      <c r="DR12" s="782" t="str">
        <f t="shared" si="58"/>
        <v/>
      </c>
      <c r="DS12" s="781" t="str">
        <f>IF($B12="","",IF(INDEX(BDHK2,MATCH($C12,DiemHKII!$C$4:$C$58,0),DS$59)&lt;&gt;"",INDEX(BDHK2,MATCH($C12,DiemHKII!$C$4:$C$58,0),DS$59),""))</f>
        <v>Đ</v>
      </c>
      <c r="DT12" s="793">
        <f t="shared" si="59"/>
        <v>1</v>
      </c>
      <c r="DU12" s="782" t="str">
        <f t="shared" si="60"/>
        <v>Rất ngoan, học có hiệu quả tốt.</v>
      </c>
      <c r="DV12" s="780"/>
      <c r="DW12" s="781">
        <f>IF($B12="","",IF(INDEX(BDHK2,MATCH($C12,DiemHKII!$C$4:$C$58,0),DW$59)&lt;&gt;"",INDEX(BDHK2,MATCH($C12,DiemHKII!$C$4:$C$58,0),DW$59),""))</f>
        <v>9.9</v>
      </c>
      <c r="DX12" s="793">
        <f t="shared" si="61"/>
        <v>1</v>
      </c>
      <c r="DY12" s="782" t="str">
        <f>IF($B12="","",INDEX(NXetHKI!$B$3:$CL$57,MATCH(NXchung!$C12,NXetHKI!$C$3:$C$57,0),NXchung!DY$59))</f>
        <v>Siêng năng, lễ phép, thành thạo thực hành, học giỏi.</v>
      </c>
      <c r="DZ12" s="781" t="str">
        <f>IF($B12="","",IF(INDEX(BDHK2,MATCH($C12,DiemHKII!$C$4:$C$58,0),DZ$59)&lt;&gt;"",INDEX(BDHK2,MATCH($C12,DiemHKII!$C$4:$C$58,0),DZ$59),""))</f>
        <v/>
      </c>
      <c r="EA12" s="793" t="str">
        <f t="shared" si="62"/>
        <v/>
      </c>
      <c r="EB12" s="782" t="str">
        <f t="shared" si="63"/>
        <v/>
      </c>
      <c r="EC12" s="781" t="str">
        <f>IF($B12="","",IF(INDEX(BDHK2,MATCH($C12,DiemHKII!$C$4:$C$58,0),EC$59)&lt;&gt;"",INDEX(BDHK2,MATCH($C12,DiemHKII!$C$4:$C$58,0),EC$59),""))</f>
        <v/>
      </c>
      <c r="ED12" s="793" t="str">
        <f t="shared" si="64"/>
        <v/>
      </c>
      <c r="EE12" s="782" t="str">
        <f t="shared" si="65"/>
        <v/>
      </c>
      <c r="EF12" s="780"/>
      <c r="EG12" s="781" t="str">
        <f>IF($B12="","",IF(INDEX(BDHK2,MATCH($C12,DiemHKII!$C$4:$C$58,0),EG$59)&lt;&gt;"",INDEX(BDHK2,MATCH($C12,DiemHKII!$C$4:$C$58,0),EG$59),""))</f>
        <v/>
      </c>
      <c r="EH12" s="793" t="str">
        <f t="shared" si="66"/>
        <v/>
      </c>
      <c r="EI12" s="782" t="str">
        <f>IF($B12="","",INDEX(NXetHKI!$B$3:$CL$57,MATCH(NXchung!$C12,NXetHKI!$C$3:$C$57,0),NXchung!EI$59))</f>
        <v/>
      </c>
      <c r="EJ12" s="781" t="str">
        <f>IF($B12="","",IF(INDEX(BDHK2,MATCH($C12,DiemHKII!$C$4:$C$58,0),EJ$59)&lt;&gt;"",INDEX(BDHK2,MATCH($C12,DiemHKII!$C$4:$C$58,0),EJ$59),""))</f>
        <v/>
      </c>
      <c r="EK12" s="793" t="str">
        <f t="shared" si="67"/>
        <v/>
      </c>
      <c r="EL12" s="782" t="str">
        <f t="shared" si="68"/>
        <v/>
      </c>
      <c r="EM12" s="781" t="str">
        <f>IF($B12="","",IF(INDEX(BDHK2,MATCH($C12,DiemHKII!$C$4:$C$58,0),EM$59)&lt;&gt;"",INDEX(BDHK2,MATCH($C12,DiemHKII!$C$4:$C$58,0),EM$59),""))</f>
        <v/>
      </c>
      <c r="EN12" s="793" t="str">
        <f t="shared" si="69"/>
        <v/>
      </c>
      <c r="EO12" s="782" t="str">
        <f t="shared" si="70"/>
        <v/>
      </c>
      <c r="EP12" s="780"/>
      <c r="ER12" s="816">
        <v>6</v>
      </c>
      <c r="ES12" s="816">
        <v>9</v>
      </c>
    </row>
    <row r="13" spans="1:149" ht="15" customHeight="1">
      <c r="A13" s="764"/>
      <c r="B13" s="765">
        <f>IF(B12&lt;MAX(DiemHKII!$B$4:$B$58),B12+1,"")</f>
        <v>11</v>
      </c>
      <c r="C13" s="765" t="str">
        <f t="shared" si="0"/>
        <v>12A1Hồ NgọcHải25/10/2004</v>
      </c>
      <c r="D13" s="766" t="str">
        <f>IF($B13&lt;&gt;"",PROPER(INDEX(DiemHKII!$B$4:$K$58,MATCH($B13,DiemHKII!$B$4:$B$58,0),4)),"")</f>
        <v>Hồ Ngọc</v>
      </c>
      <c r="E13" s="767" t="str">
        <f>IF($B13&lt;&gt;"",PROPER(INDEX(DiemHKII!$B$4:$K$58,MATCH($B13,DiemHKII!$B$4:$B$58,0),5)),"")</f>
        <v>Hải</v>
      </c>
      <c r="F13" s="768" t="str">
        <f>IF($B13&lt;&gt;"",PROPER(INDEX(DiemHKII!$B$4:$K$58,MATCH($B13,DiemHKII!$B$4:$B$58,0),6)),"")</f>
        <v>25/10/2004</v>
      </c>
      <c r="G13" s="769">
        <f>IF($B13="","",IF(INDEX(BDHK2,MATCH($C13,DiemHKII!$C$4:$C$58,0),G$59)&lt;&gt;"",INDEX(BDHK2,MATCH($C13,DiemHKII!$C$4:$C$58,0),G$59),""))</f>
        <v>9.6</v>
      </c>
      <c r="H13" s="791">
        <f t="shared" si="1"/>
        <v>1</v>
      </c>
      <c r="I13" s="770" t="str">
        <f>IF($B13="","",INDEX(NXetHKI!$B$3:$CL$57,MATCH(NXchung!$C13,NXetHKI!$C$3:$C$57,0),NXchung!I$59))</f>
        <v>Em học giỏi, chăm ngoan, tính tự giác cao, rất tốt.</v>
      </c>
      <c r="J13" s="769" t="str">
        <f>IF($B13="","",IF(INDEX(BDHK2,MATCH($C13,DiemHKII!$C$4:$C$58,0),J$59)&lt;&gt;"",INDEX(BDHK2,MATCH($C13,DiemHKII!$C$4:$C$58,0),J$59),""))</f>
        <v/>
      </c>
      <c r="K13" s="791" t="str">
        <f t="shared" si="2"/>
        <v/>
      </c>
      <c r="L13" s="770" t="str">
        <f t="shared" si="3"/>
        <v/>
      </c>
      <c r="M13" s="769" t="str">
        <f>IF($B13="","",IF(INDEX(BDHK2,MATCH($C13,DiemHKII!$C$4:$C$58,0),M$59)&lt;&gt;"",INDEX(BDHK2,MATCH($C13,DiemHKII!$C$4:$C$58,0),M$59),""))</f>
        <v/>
      </c>
      <c r="N13" s="791" t="str">
        <f t="shared" si="4"/>
        <v/>
      </c>
      <c r="O13" s="770" t="str">
        <f t="shared" si="5"/>
        <v/>
      </c>
      <c r="P13" s="768"/>
      <c r="Q13" s="769">
        <f>IF($B13="","",IF(INDEX(BDHK2,MATCH($C13,DiemHKII!$C$4:$C$58,0),Q$59)&lt;&gt;"",INDEX(BDHK2,MATCH($C13,DiemHKII!$C$4:$C$58,0),Q$59),""))</f>
        <v>9.3000000000000007</v>
      </c>
      <c r="R13" s="791">
        <f t="shared" si="6"/>
        <v>1</v>
      </c>
      <c r="S13" s="770" t="str">
        <f>IF($B13="","",INDEX(NXetHKI!$B$3:$CL$57,MATCH(NXchung!$C13,NXetHKI!$C$3:$C$57,0),NXchung!S$59))</f>
        <v>Em học giỏi, chăm ngoan, tính tự giác cao, rất tốt.</v>
      </c>
      <c r="T13" s="769" t="str">
        <f>IF($B13="","",IF(INDEX(BDHK2,MATCH($C13,DiemHKII!$C$4:$C$58,0),T$59)&lt;&gt;"",INDEX(BDHK2,MATCH($C13,DiemHKII!$C$4:$C$58,0),T$59),""))</f>
        <v/>
      </c>
      <c r="U13" s="791" t="str">
        <f t="shared" si="7"/>
        <v/>
      </c>
      <c r="V13" s="770" t="str">
        <f t="shared" si="8"/>
        <v/>
      </c>
      <c r="W13" s="769" t="str">
        <f>IF($B13="","",IF(INDEX(BDHK2,MATCH($C13,DiemHKII!$C$4:$C$58,0),W$59)&lt;&gt;"",INDEX(BDHK2,MATCH($C13,DiemHKII!$C$4:$C$58,0),W$59),""))</f>
        <v/>
      </c>
      <c r="X13" s="791" t="str">
        <f t="shared" si="9"/>
        <v/>
      </c>
      <c r="Y13" s="770" t="str">
        <f t="shared" si="10"/>
        <v/>
      </c>
      <c r="Z13" s="768"/>
      <c r="AA13" s="769">
        <f>IF($B13="","",IF(INDEX(BDHK2,MATCH($C13,DiemHKII!$C$4:$C$58,0),AA$59)&lt;&gt;"",INDEX(BDHK2,MATCH($C13,DiemHKII!$C$4:$C$58,0),AA$59),""))</f>
        <v>8.9</v>
      </c>
      <c r="AB13" s="791">
        <f t="shared" si="11"/>
        <v>2</v>
      </c>
      <c r="AC13" s="770" t="str">
        <f>IF($B13="","",INDEX(NXetHKI!$B$3:$CL$57,MATCH(NXchung!$C13,NXetHKI!$C$3:$C$57,0),NXchung!AC$59))</f>
        <v>Kiến thức vững, ngoan, tự học tốt.</v>
      </c>
      <c r="AD13" s="769" t="str">
        <f>IF($B13="","",IF(INDEX(BDHK2,MATCH($C13,DiemHKII!$C$4:$C$58,0),AD$59)&lt;&gt;"",INDEX(BDHK2,MATCH($C13,DiemHKII!$C$4:$C$58,0),AD$59),""))</f>
        <v/>
      </c>
      <c r="AE13" s="791" t="str">
        <f t="shared" si="12"/>
        <v/>
      </c>
      <c r="AF13" s="770" t="str">
        <f t="shared" si="13"/>
        <v/>
      </c>
      <c r="AG13" s="769" t="str">
        <f>IF($B13="","",IF(INDEX(BDHK2,MATCH($C13,DiemHKII!$C$4:$C$58,0),AG$59)&lt;&gt;"",INDEX(BDHK2,MATCH($C13,DiemHKII!$C$4:$C$58,0),AG$59),""))</f>
        <v/>
      </c>
      <c r="AH13" s="791" t="str">
        <f t="shared" si="14"/>
        <v/>
      </c>
      <c r="AI13" s="770" t="str">
        <f t="shared" si="15"/>
        <v/>
      </c>
      <c r="AJ13" s="768"/>
      <c r="AK13" s="769">
        <f>IF($B13="","",IF(INDEX(BDHK2,MATCH($C13,DiemHKII!$C$4:$C$58,0),AK$59)&lt;&gt;"",INDEX(BDHK2,MATCH($C13,DiemHKII!$C$4:$C$58,0),AK$59),""))</f>
        <v>9.4</v>
      </c>
      <c r="AL13" s="791">
        <f t="shared" si="16"/>
        <v>1</v>
      </c>
      <c r="AM13" s="770" t="str">
        <f>IF($B13="","",INDEX(NXetHKI!$B$3:$CL$57,MATCH(NXchung!$C13,NXetHKI!$C$3:$C$57,0),NXchung!AM$59))</f>
        <v>Có khả năng tự học và tự chủ bản thân, tích cực trong học tập.</v>
      </c>
      <c r="AN13" s="769" t="str">
        <f>IF($B13="","",IF(INDEX(BDHK2,MATCH($C13,DiemHKII!$C$4:$C$58,0),AN$59)&lt;&gt;"",INDEX(BDHK2,MATCH($C13,DiemHKII!$C$4:$C$58,0),AN$59),""))</f>
        <v/>
      </c>
      <c r="AO13" s="791" t="str">
        <f t="shared" si="17"/>
        <v/>
      </c>
      <c r="AP13" s="770" t="str">
        <f t="shared" si="18"/>
        <v/>
      </c>
      <c r="AQ13" s="769" t="str">
        <f>IF($B13="","",IF(INDEX(BDHK2,MATCH($C13,DiemHKII!$C$4:$C$58,0),AQ$59)&lt;&gt;"",INDEX(BDHK2,MATCH($C13,DiemHKII!$C$4:$C$58,0),AQ$59),""))</f>
        <v/>
      </c>
      <c r="AR13" s="791" t="str">
        <f t="shared" si="19"/>
        <v/>
      </c>
      <c r="AS13" s="770" t="str">
        <f t="shared" si="20"/>
        <v/>
      </c>
      <c r="AT13" s="768"/>
      <c r="AU13" s="769">
        <f>IF($B13="","",IF(INDEX(BDHK2,MATCH($C13,DiemHKII!$C$4:$C$58,0),AU$59)&lt;&gt;"",INDEX(BDHK2,MATCH($C13,DiemHKII!$C$4:$C$58,0),AU$59),""))</f>
        <v>9.6</v>
      </c>
      <c r="AV13" s="791">
        <f t="shared" si="21"/>
        <v>1</v>
      </c>
      <c r="AW13" s="770" t="str">
        <f>IF($B13="","",INDEX(NXetHKI!$B$3:$CL$57,MATCH(NXchung!$C13,NXetHKI!$C$3:$C$57,0),NXchung!AW$59))</f>
        <v>Ngoan, chăm chỉ, tư duy tốt.</v>
      </c>
      <c r="AX13" s="769" t="str">
        <f>IF($B13="","",IF(INDEX(BDHK2,MATCH($C13,DiemHKII!$C$4:$C$58,0),AX$59)&lt;&gt;"",INDEX(BDHK2,MATCH($C13,DiemHKII!$C$4:$C$58,0),AX$59),""))</f>
        <v/>
      </c>
      <c r="AY13" s="791" t="str">
        <f t="shared" si="22"/>
        <v/>
      </c>
      <c r="AZ13" s="770" t="str">
        <f t="shared" si="23"/>
        <v/>
      </c>
      <c r="BA13" s="769" t="str">
        <f>IF($B13="","",IF(INDEX(BDHK2,MATCH($C13,DiemHKII!$C$4:$C$58,0),BA$59)&lt;&gt;"",INDEX(BDHK2,MATCH($C13,DiemHKII!$C$4:$C$58,0),BA$59),""))</f>
        <v/>
      </c>
      <c r="BB13" s="791" t="str">
        <f t="shared" si="24"/>
        <v/>
      </c>
      <c r="BC13" s="770" t="str">
        <f t="shared" si="25"/>
        <v/>
      </c>
      <c r="BD13" s="768"/>
      <c r="BE13" s="769">
        <f>IF($B13="","",IF(INDEX(BDHK2,MATCH($C13,DiemHKII!$C$4:$C$58,0),BE$59)&lt;&gt;"",INDEX(BDHK2,MATCH($C13,DiemHKII!$C$4:$C$58,0),BE$59),""))</f>
        <v>7.1</v>
      </c>
      <c r="BF13" s="791">
        <f t="shared" si="26"/>
        <v>5</v>
      </c>
      <c r="BG13" s="770" t="str">
        <f>IF($B13="","",INDEX(NXetHKI!$B$3:$CL$57,MATCH(NXchung!$C13,NXetHKI!$C$3:$C$57,0),NXchung!BG$59))</f>
        <v>Có ý thức học tập tốt, cần nỗ lực rèn luyện thêm các kỹ năng.</v>
      </c>
      <c r="BH13" s="769" t="str">
        <f>IF($B13="","",IF(INDEX(BDHK2,MATCH($C13,DiemHKII!$C$4:$C$58,0),BH$59)&lt;&gt;"",INDEX(BDHK2,MATCH($C13,DiemHKII!$C$4:$C$58,0),BH$59),""))</f>
        <v/>
      </c>
      <c r="BI13" s="791" t="str">
        <f t="shared" si="27"/>
        <v/>
      </c>
      <c r="BJ13" s="770" t="str">
        <f t="shared" si="28"/>
        <v/>
      </c>
      <c r="BK13" s="769" t="str">
        <f>IF($B13="","",IF(INDEX(BDHK2,MATCH($C13,DiemHKII!$C$4:$C$58,0),BK$59)&lt;&gt;"",INDEX(BDHK2,MATCH($C13,DiemHKII!$C$4:$C$58,0),BK$59),""))</f>
        <v/>
      </c>
      <c r="BL13" s="791" t="str">
        <f t="shared" si="29"/>
        <v/>
      </c>
      <c r="BM13" s="770" t="str">
        <f t="shared" si="30"/>
        <v/>
      </c>
      <c r="BN13" s="768"/>
      <c r="BO13" s="769">
        <f>IF($B13="","",IF(INDEX(BDHK2,MATCH($C13,DiemHKII!$C$4:$C$58,0),BO$59)&lt;&gt;"",INDEX(BDHK2,MATCH($C13,DiemHKII!$C$4:$C$58,0),BO$59),""))</f>
        <v>9.6</v>
      </c>
      <c r="BP13" s="791">
        <f t="shared" si="31"/>
        <v>1</v>
      </c>
      <c r="BQ13" s="770" t="str">
        <f>IF($B13="","",INDEX(NXetHKI!$B$3:$CL$57,MATCH(NXchung!$C13,NXetHKI!$C$3:$C$57,0),NXchung!BQ$59))</f>
        <v>Tiếp thu bài tốt, ghi nhớ nhanh các sự kiện lịch sử.</v>
      </c>
      <c r="BR13" s="769" t="str">
        <f>IF($B13="","",IF(INDEX(BDHK2,MATCH($C13,DiemHKII!$C$4:$C$58,0),BR$59)&lt;&gt;"",INDEX(BDHK2,MATCH($C13,DiemHKII!$C$4:$C$58,0),BR$59),""))</f>
        <v/>
      </c>
      <c r="BS13" s="791" t="str">
        <f t="shared" si="32"/>
        <v/>
      </c>
      <c r="BT13" s="770" t="str">
        <f t="shared" si="33"/>
        <v/>
      </c>
      <c r="BU13" s="769" t="str">
        <f>IF($B13="","",IF(INDEX(BDHK2,MATCH($C13,DiemHKII!$C$4:$C$58,0),BU$59)&lt;&gt;"",INDEX(BDHK2,MATCH($C13,DiemHKII!$C$4:$C$58,0),BU$59),""))</f>
        <v/>
      </c>
      <c r="BV13" s="791" t="str">
        <f t="shared" si="34"/>
        <v/>
      </c>
      <c r="BW13" s="770" t="str">
        <f t="shared" si="35"/>
        <v/>
      </c>
      <c r="BX13" s="768"/>
      <c r="BY13" s="769">
        <f>IF($B13="","",IF(INDEX(BDHK2,MATCH($C13,DiemHKII!$C$4:$C$58,0),BY$59)&lt;&gt;"",INDEX(BDHK2,MATCH($C13,DiemHKII!$C$4:$C$58,0),BY$59),""))</f>
        <v>9.3000000000000007</v>
      </c>
      <c r="BZ13" s="791">
        <f t="shared" si="36"/>
        <v>1</v>
      </c>
      <c r="CA13" s="770" t="str">
        <f>IF($B13="","",INDEX(NXetHKI!$B$3:$CL$57,MATCH(NXchung!$C13,NXetHKI!$C$3:$C$57,0),NXchung!CA$59))</f>
        <v>Em có tư duy tốt, rất tích cực, giải quyết vấn đề tốt.</v>
      </c>
      <c r="CB13" s="769" t="str">
        <f>IF($B13="","",IF(INDEX(BDHK2,MATCH($C13,DiemHKII!$C$4:$C$58,0),CB$59)&lt;&gt;"",INDEX(BDHK2,MATCH($C13,DiemHKII!$C$4:$C$58,0),CB$59),""))</f>
        <v/>
      </c>
      <c r="CC13" s="791" t="str">
        <f t="shared" si="37"/>
        <v/>
      </c>
      <c r="CD13" s="770" t="str">
        <f t="shared" si="38"/>
        <v/>
      </c>
      <c r="CE13" s="769" t="str">
        <f>IF($B13="","",IF(INDEX(BDHK2,MATCH($C13,DiemHKII!$C$4:$C$58,0),CE$59)&lt;&gt;"",INDEX(BDHK2,MATCH($C13,DiemHKII!$C$4:$C$58,0),CE$59),""))</f>
        <v/>
      </c>
      <c r="CF13" s="791" t="str">
        <f t="shared" si="39"/>
        <v/>
      </c>
      <c r="CG13" s="770" t="str">
        <f t="shared" si="40"/>
        <v/>
      </c>
      <c r="CH13" s="768"/>
      <c r="CI13" s="769">
        <f>IF($B13="","",IF(INDEX(BDHK2,MATCH($C13,DiemHKII!$C$4:$C$58,0),CI$59)&lt;&gt;"",INDEX(BDHK2,MATCH($C13,DiemHKII!$C$4:$C$58,0),CI$59),""))</f>
        <v>9.3000000000000007</v>
      </c>
      <c r="CJ13" s="791">
        <f t="shared" si="41"/>
        <v>1</v>
      </c>
      <c r="CK13" s="770" t="str">
        <f>IF($B13="","",INDEX(NXetHKI!$B$3:$CL$57,MATCH(NXchung!$C13,NXetHKI!$C$3:$C$57,0),NXchung!CK$59))</f>
        <v>Chăm chỉ, chuyên cần, rất tích cực và năng động.</v>
      </c>
      <c r="CL13" s="769" t="str">
        <f>IF($B13="","",IF(INDEX(BDHK2,MATCH($C13,DiemHKII!$C$4:$C$58,0),CL$59)&lt;&gt;"",INDEX(BDHK2,MATCH($C13,DiemHKII!$C$4:$C$58,0),CL$59),""))</f>
        <v/>
      </c>
      <c r="CM13" s="791" t="str">
        <f t="shared" si="42"/>
        <v/>
      </c>
      <c r="CN13" s="770" t="str">
        <f t="shared" si="43"/>
        <v/>
      </c>
      <c r="CO13" s="769" t="str">
        <f>IF($B13="","",IF(INDEX(BDHK2,MATCH($C13,DiemHKII!$C$4:$C$58,0),CO$59)&lt;&gt;"",INDEX(BDHK2,MATCH($C13,DiemHKII!$C$4:$C$58,0),CO$59),""))</f>
        <v/>
      </c>
      <c r="CP13" s="791" t="str">
        <f t="shared" si="44"/>
        <v/>
      </c>
      <c r="CQ13" s="770" t="str">
        <f t="shared" si="45"/>
        <v/>
      </c>
      <c r="CR13" s="768"/>
      <c r="CS13" s="769">
        <f>IF($B13="","",IF(INDEX(BDHK2,MATCH($C13,DiemHKII!$C$4:$C$58,0),CS$59)&lt;&gt;"",INDEX(BDHK2,MATCH($C13,DiemHKII!$C$4:$C$58,0),CS$59),""))</f>
        <v>9.1</v>
      </c>
      <c r="CT13" s="791">
        <f t="shared" si="46"/>
        <v>1</v>
      </c>
      <c r="CU13" s="770" t="str">
        <f>IF($B13="","",INDEX(NXetHKI!$B$3:$CL$57,MATCH(NXchung!$C13,NXetHKI!$C$3:$C$57,0),NXchung!CU$59))</f>
        <v>Chăm chỉ, học giỏi.</v>
      </c>
      <c r="CV13" s="769" t="str">
        <f>IF($B13="","",IF(INDEX(BDHK2,MATCH($C13,DiemHKII!$C$4:$C$58,0),CV$59)&lt;&gt;"",INDEX(BDHK2,MATCH($C13,DiemHKII!$C$4:$C$58,0),CV$59),""))</f>
        <v/>
      </c>
      <c r="CW13" s="791" t="str">
        <f t="shared" si="47"/>
        <v/>
      </c>
      <c r="CX13" s="770" t="str">
        <f t="shared" si="48"/>
        <v/>
      </c>
      <c r="CY13" s="769" t="str">
        <f>IF($B13="","",IF(INDEX(BDHK2,MATCH($C13,DiemHKII!$C$4:$C$58,0),CY$59)&lt;&gt;"",INDEX(BDHK2,MATCH($C13,DiemHKII!$C$4:$C$58,0),CY$59),""))</f>
        <v/>
      </c>
      <c r="CZ13" s="791" t="str">
        <f t="shared" si="49"/>
        <v/>
      </c>
      <c r="DA13" s="770" t="str">
        <f t="shared" si="50"/>
        <v/>
      </c>
      <c r="DB13" s="768"/>
      <c r="DC13" s="769">
        <f>IF($B13="","",IF(INDEX(BDHK2,MATCH($C13,DiemHKII!$C$4:$C$58,0),DC$59)&lt;&gt;"",INDEX(BDHK2,MATCH($C13,DiemHKII!$C$4:$C$58,0),DC$59),""))</f>
        <v>9.9</v>
      </c>
      <c r="DD13" s="791">
        <f t="shared" si="51"/>
        <v>1</v>
      </c>
      <c r="DE13" s="770" t="str">
        <f>IF($B13="","",INDEX(NXetHKI!$B$3:$CL$57,MATCH(NXchung!$C13,NXetHKI!$C$3:$C$57,0),NXchung!DE$59))</f>
        <v>Năng động, sáng tạo trong học tập.</v>
      </c>
      <c r="DF13" s="769" t="str">
        <f>IF($B13="","",IF(INDEX(BDHK2,MATCH($C13,DiemHKII!$C$4:$C$58,0),DF$59)&lt;&gt;"",INDEX(BDHK2,MATCH($C13,DiemHKII!$C$4:$C$58,0),DF$59),""))</f>
        <v/>
      </c>
      <c r="DG13" s="791" t="str">
        <f t="shared" si="52"/>
        <v/>
      </c>
      <c r="DH13" s="770" t="str">
        <f t="shared" si="53"/>
        <v/>
      </c>
      <c r="DI13" s="769" t="str">
        <f>IF($B13="","",IF(INDEX(BDHK2,MATCH($C13,DiemHKII!$C$4:$C$58,0),DI$59)&lt;&gt;"",INDEX(BDHK2,MATCH($C13,DiemHKII!$C$4:$C$58,0),DI$59),""))</f>
        <v/>
      </c>
      <c r="DJ13" s="791" t="str">
        <f t="shared" si="54"/>
        <v/>
      </c>
      <c r="DK13" s="770" t="str">
        <f t="shared" si="55"/>
        <v/>
      </c>
      <c r="DL13" s="768"/>
      <c r="DM13" s="769" t="str">
        <f>IF($B13="","",IF(INDEX(BDHK2,MATCH($C13,DiemHKII!$C$4:$C$58,0),DM$59)&lt;&gt;"",INDEX(BDHK2,MATCH($C13,DiemHKII!$C$4:$C$58,0),DM$59),""))</f>
        <v>Đ</v>
      </c>
      <c r="DN13" s="791">
        <f t="shared" si="56"/>
        <v>1</v>
      </c>
      <c r="DO13" s="770" t="str">
        <f>IF($B13="","",INDEX(NXetHKI!$B$3:$CL$57,MATCH(NXchung!$C13,NXetHKI!$C$3:$C$57,0),NXchung!DO$59))</f>
        <v>Giỏi, có nhiều tiến bộ trong học tập.</v>
      </c>
      <c r="DP13" s="769" t="str">
        <f>IF($B13="","",IF(INDEX(BDHK2,MATCH($C13,DiemHKII!$C$4:$C$58,0),DP$59)&lt;&gt;"",INDEX(BDHK2,MATCH($C13,DiemHKII!$C$4:$C$58,0),DP$59),""))</f>
        <v/>
      </c>
      <c r="DQ13" s="791" t="str">
        <f t="shared" si="57"/>
        <v/>
      </c>
      <c r="DR13" s="770" t="str">
        <f t="shared" si="58"/>
        <v/>
      </c>
      <c r="DS13" s="769" t="str">
        <f>IF($B13="","",IF(INDEX(BDHK2,MATCH($C13,DiemHKII!$C$4:$C$58,0),DS$59)&lt;&gt;"",INDEX(BDHK2,MATCH($C13,DiemHKII!$C$4:$C$58,0),DS$59),""))</f>
        <v>Đ</v>
      </c>
      <c r="DT13" s="791">
        <f t="shared" si="59"/>
        <v>1</v>
      </c>
      <c r="DU13" s="770" t="str">
        <f t="shared" si="60"/>
        <v>Chăm chỉ, cố gắng, rất ngoan.</v>
      </c>
      <c r="DV13" s="768"/>
      <c r="DW13" s="769">
        <f>IF($B13="","",IF(INDEX(BDHK2,MATCH($C13,DiemHKII!$C$4:$C$58,0),DW$59)&lt;&gt;"",INDEX(BDHK2,MATCH($C13,DiemHKII!$C$4:$C$58,0),DW$59),""))</f>
        <v>9.4</v>
      </c>
      <c r="DX13" s="791">
        <f t="shared" si="61"/>
        <v>1</v>
      </c>
      <c r="DY13" s="770" t="str">
        <f>IF($B13="","",INDEX(NXetHKI!$B$3:$CL$57,MATCH(NXchung!$C13,NXetHKI!$C$3:$C$57,0),NXchung!DY$59))</f>
        <v>Tích cực, năng động, nắm bài tốt, học giỏi.</v>
      </c>
      <c r="DZ13" s="769" t="str">
        <f>IF($B13="","",IF(INDEX(BDHK2,MATCH($C13,DiemHKII!$C$4:$C$58,0),DZ$59)&lt;&gt;"",INDEX(BDHK2,MATCH($C13,DiemHKII!$C$4:$C$58,0),DZ$59),""))</f>
        <v/>
      </c>
      <c r="EA13" s="791" t="str">
        <f t="shared" si="62"/>
        <v/>
      </c>
      <c r="EB13" s="770" t="str">
        <f t="shared" si="63"/>
        <v/>
      </c>
      <c r="EC13" s="769" t="str">
        <f>IF($B13="","",IF(INDEX(BDHK2,MATCH($C13,DiemHKII!$C$4:$C$58,0),EC$59)&lt;&gt;"",INDEX(BDHK2,MATCH($C13,DiemHKII!$C$4:$C$58,0),EC$59),""))</f>
        <v/>
      </c>
      <c r="ED13" s="791" t="str">
        <f t="shared" si="64"/>
        <v/>
      </c>
      <c r="EE13" s="770" t="str">
        <f t="shared" si="65"/>
        <v/>
      </c>
      <c r="EF13" s="768"/>
      <c r="EG13" s="769" t="str">
        <f>IF($B13="","",IF(INDEX(BDHK2,MATCH($C13,DiemHKII!$C$4:$C$58,0),EG$59)&lt;&gt;"",INDEX(BDHK2,MATCH($C13,DiemHKII!$C$4:$C$58,0),EG$59),""))</f>
        <v/>
      </c>
      <c r="EH13" s="791" t="str">
        <f t="shared" si="66"/>
        <v/>
      </c>
      <c r="EI13" s="770" t="str">
        <f>IF($B13="","",INDEX(NXetHKI!$B$3:$CL$57,MATCH(NXchung!$C13,NXetHKI!$C$3:$C$57,0),NXchung!EI$59))</f>
        <v/>
      </c>
      <c r="EJ13" s="769" t="str">
        <f>IF($B13="","",IF(INDEX(BDHK2,MATCH($C13,DiemHKII!$C$4:$C$58,0),EJ$59)&lt;&gt;"",INDEX(BDHK2,MATCH($C13,DiemHKII!$C$4:$C$58,0),EJ$59),""))</f>
        <v/>
      </c>
      <c r="EK13" s="791" t="str">
        <f t="shared" si="67"/>
        <v/>
      </c>
      <c r="EL13" s="770" t="str">
        <f t="shared" si="68"/>
        <v/>
      </c>
      <c r="EM13" s="769" t="str">
        <f>IF($B13="","",IF(INDEX(BDHK2,MATCH($C13,DiemHKII!$C$4:$C$58,0),EM$59)&lt;&gt;"",INDEX(BDHK2,MATCH($C13,DiemHKII!$C$4:$C$58,0),EM$59),""))</f>
        <v/>
      </c>
      <c r="EN13" s="791" t="str">
        <f t="shared" si="69"/>
        <v/>
      </c>
      <c r="EO13" s="770" t="str">
        <f t="shared" si="70"/>
        <v/>
      </c>
      <c r="EP13" s="768"/>
      <c r="ER13" s="816">
        <v>9</v>
      </c>
      <c r="ES13" s="816">
        <v>3</v>
      </c>
    </row>
    <row r="14" spans="1:149" ht="15" customHeight="1">
      <c r="A14" s="764"/>
      <c r="B14" s="771">
        <f>IF(B13&lt;MAX(DiemHKII!$B$4:$B$58),B13+1,"")</f>
        <v>12</v>
      </c>
      <c r="C14" s="771" t="str">
        <f t="shared" si="0"/>
        <v>12A1Hồ SơnHậu08/01/2004</v>
      </c>
      <c r="D14" s="772" t="str">
        <f>IF($B14&lt;&gt;"",PROPER(INDEX(DiemHKII!$B$4:$K$58,MATCH($B14,DiemHKII!$B$4:$B$58,0),4)),"")</f>
        <v>Hồ Sơn</v>
      </c>
      <c r="E14" s="773" t="str">
        <f>IF($B14&lt;&gt;"",PROPER(INDEX(DiemHKII!$B$4:$K$58,MATCH($B14,DiemHKII!$B$4:$B$58,0),5)),"")</f>
        <v>Hậu</v>
      </c>
      <c r="F14" s="774" t="str">
        <f>IF($B14&lt;&gt;"",PROPER(INDEX(DiemHKII!$B$4:$K$58,MATCH($B14,DiemHKII!$B$4:$B$58,0),6)),"")</f>
        <v>08/01/2004</v>
      </c>
      <c r="G14" s="775">
        <f>IF($B14="","",IF(INDEX(BDHK2,MATCH($C14,DiemHKII!$C$4:$C$58,0),G$59)&lt;&gt;"",INDEX(BDHK2,MATCH($C14,DiemHKII!$C$4:$C$58,0),G$59),""))</f>
        <v>9.4</v>
      </c>
      <c r="H14" s="792">
        <f t="shared" si="1"/>
        <v>1</v>
      </c>
      <c r="I14" s="776" t="str">
        <f>IF($B14="","",INDEX(NXetHKI!$B$3:$CL$57,MATCH(NXchung!$C14,NXetHKI!$C$3:$C$57,0),NXchung!I$59))</f>
        <v>Em ngoan, tích cực, năng động, rất đáng khen.</v>
      </c>
      <c r="J14" s="775" t="str">
        <f>IF($B14="","",IF(INDEX(BDHK2,MATCH($C14,DiemHKII!$C$4:$C$58,0),J$59)&lt;&gt;"",INDEX(BDHK2,MATCH($C14,DiemHKII!$C$4:$C$58,0),J$59),""))</f>
        <v/>
      </c>
      <c r="K14" s="792" t="str">
        <f t="shared" si="2"/>
        <v/>
      </c>
      <c r="L14" s="776" t="str">
        <f t="shared" si="3"/>
        <v/>
      </c>
      <c r="M14" s="775" t="str">
        <f>IF($B14="","",IF(INDEX(BDHK2,MATCH($C14,DiemHKII!$C$4:$C$58,0),M$59)&lt;&gt;"",INDEX(BDHK2,MATCH($C14,DiemHKII!$C$4:$C$58,0),M$59),""))</f>
        <v/>
      </c>
      <c r="N14" s="792" t="str">
        <f t="shared" si="4"/>
        <v/>
      </c>
      <c r="O14" s="776" t="str">
        <f t="shared" si="5"/>
        <v/>
      </c>
      <c r="P14" s="774"/>
      <c r="Q14" s="775">
        <f>IF($B14="","",IF(INDEX(BDHK2,MATCH($C14,DiemHKII!$C$4:$C$58,0),Q$59)&lt;&gt;"",INDEX(BDHK2,MATCH($C14,DiemHKII!$C$4:$C$58,0),Q$59),""))</f>
        <v>9.6</v>
      </c>
      <c r="R14" s="792">
        <f t="shared" si="6"/>
        <v>1</v>
      </c>
      <c r="S14" s="776" t="str">
        <f>IF($B14="","",INDEX(NXetHKI!$B$3:$CL$57,MATCH(NXchung!$C14,NXetHKI!$C$3:$C$57,0),NXchung!S$59))</f>
        <v>Em ngoan, tích cực, năng động, rất đáng khen.</v>
      </c>
      <c r="T14" s="775" t="str">
        <f>IF($B14="","",IF(INDEX(BDHK2,MATCH($C14,DiemHKII!$C$4:$C$58,0),T$59)&lt;&gt;"",INDEX(BDHK2,MATCH($C14,DiemHKII!$C$4:$C$58,0),T$59),""))</f>
        <v/>
      </c>
      <c r="U14" s="792" t="str">
        <f t="shared" si="7"/>
        <v/>
      </c>
      <c r="V14" s="776" t="str">
        <f t="shared" si="8"/>
        <v/>
      </c>
      <c r="W14" s="775" t="str">
        <f>IF($B14="","",IF(INDEX(BDHK2,MATCH($C14,DiemHKII!$C$4:$C$58,0),W$59)&lt;&gt;"",INDEX(BDHK2,MATCH($C14,DiemHKII!$C$4:$C$58,0),W$59),""))</f>
        <v/>
      </c>
      <c r="X14" s="792" t="str">
        <f t="shared" si="9"/>
        <v/>
      </c>
      <c r="Y14" s="776" t="str">
        <f t="shared" si="10"/>
        <v/>
      </c>
      <c r="Z14" s="774"/>
      <c r="AA14" s="775">
        <f>IF($B14="","",IF(INDEX(BDHK2,MATCH($C14,DiemHKII!$C$4:$C$58,0),AA$59)&lt;&gt;"",INDEX(BDHK2,MATCH($C14,DiemHKII!$C$4:$C$58,0),AA$59),""))</f>
        <v>9.1</v>
      </c>
      <c r="AB14" s="792">
        <f t="shared" si="11"/>
        <v>1</v>
      </c>
      <c r="AC14" s="776" t="str">
        <f>IF($B14="","",INDEX(NXetHKI!$B$3:$CL$57,MATCH(NXchung!$C14,NXetHKI!$C$3:$C$57,0),NXchung!AC$59))</f>
        <v>Kiến thức vững, sáng tạo, tự học tốt.</v>
      </c>
      <c r="AD14" s="775" t="str">
        <f>IF($B14="","",IF(INDEX(BDHK2,MATCH($C14,DiemHKII!$C$4:$C$58,0),AD$59)&lt;&gt;"",INDEX(BDHK2,MATCH($C14,DiemHKII!$C$4:$C$58,0),AD$59),""))</f>
        <v/>
      </c>
      <c r="AE14" s="792" t="str">
        <f t="shared" si="12"/>
        <v/>
      </c>
      <c r="AF14" s="776" t="str">
        <f t="shared" si="13"/>
        <v/>
      </c>
      <c r="AG14" s="775" t="str">
        <f>IF($B14="","",IF(INDEX(BDHK2,MATCH($C14,DiemHKII!$C$4:$C$58,0),AG$59)&lt;&gt;"",INDEX(BDHK2,MATCH($C14,DiemHKII!$C$4:$C$58,0),AG$59),""))</f>
        <v/>
      </c>
      <c r="AH14" s="792" t="str">
        <f t="shared" si="14"/>
        <v/>
      </c>
      <c r="AI14" s="776" t="str">
        <f t="shared" si="15"/>
        <v/>
      </c>
      <c r="AJ14" s="774"/>
      <c r="AK14" s="775">
        <f>IF($B14="","",IF(INDEX(BDHK2,MATCH($C14,DiemHKII!$C$4:$C$58,0),AK$59)&lt;&gt;"",INDEX(BDHK2,MATCH($C14,DiemHKII!$C$4:$C$58,0),AK$59),""))</f>
        <v>9.1</v>
      </c>
      <c r="AL14" s="792">
        <f t="shared" si="16"/>
        <v>1</v>
      </c>
      <c r="AM14" s="776" t="str">
        <f>IF($B14="","",INDEX(NXetHKI!$B$3:$CL$57,MATCH(NXchung!$C14,NXetHKI!$C$3:$C$57,0),NXchung!AM$59))</f>
        <v>Ý thức học tập tốt, vận dụng tốt kiến thức học tập</v>
      </c>
      <c r="AN14" s="775" t="str">
        <f>IF($B14="","",IF(INDEX(BDHK2,MATCH($C14,DiemHKII!$C$4:$C$58,0),AN$59)&lt;&gt;"",INDEX(BDHK2,MATCH($C14,DiemHKII!$C$4:$C$58,0),AN$59),""))</f>
        <v/>
      </c>
      <c r="AO14" s="792" t="str">
        <f t="shared" si="17"/>
        <v/>
      </c>
      <c r="AP14" s="776" t="str">
        <f t="shared" si="18"/>
        <v/>
      </c>
      <c r="AQ14" s="775" t="str">
        <f>IF($B14="","",IF(INDEX(BDHK2,MATCH($C14,DiemHKII!$C$4:$C$58,0),AQ$59)&lt;&gt;"",INDEX(BDHK2,MATCH($C14,DiemHKII!$C$4:$C$58,0),AQ$59),""))</f>
        <v/>
      </c>
      <c r="AR14" s="792" t="str">
        <f t="shared" si="19"/>
        <v/>
      </c>
      <c r="AS14" s="776" t="str">
        <f t="shared" si="20"/>
        <v/>
      </c>
      <c r="AT14" s="774"/>
      <c r="AU14" s="775">
        <f>IF($B14="","",IF(INDEX(BDHK2,MATCH($C14,DiemHKII!$C$4:$C$58,0),AU$59)&lt;&gt;"",INDEX(BDHK2,MATCH($C14,DiemHKII!$C$4:$C$58,0),AU$59),""))</f>
        <v>9.6</v>
      </c>
      <c r="AV14" s="792">
        <f t="shared" si="21"/>
        <v>1</v>
      </c>
      <c r="AW14" s="776" t="str">
        <f>IF($B14="","",INDEX(NXetHKI!$B$3:$CL$57,MATCH(NXchung!$C14,NXetHKI!$C$3:$C$57,0),NXchung!AW$59))</f>
        <v>Học giỏi, năng động và sáng tạo trong học tập.</v>
      </c>
      <c r="AX14" s="775" t="str">
        <f>IF($B14="","",IF(INDEX(BDHK2,MATCH($C14,DiemHKII!$C$4:$C$58,0),AX$59)&lt;&gt;"",INDEX(BDHK2,MATCH($C14,DiemHKII!$C$4:$C$58,0),AX$59),""))</f>
        <v/>
      </c>
      <c r="AY14" s="792" t="str">
        <f t="shared" si="22"/>
        <v/>
      </c>
      <c r="AZ14" s="776" t="str">
        <f t="shared" si="23"/>
        <v/>
      </c>
      <c r="BA14" s="775" t="str">
        <f>IF($B14="","",IF(INDEX(BDHK2,MATCH($C14,DiemHKII!$C$4:$C$58,0),BA$59)&lt;&gt;"",INDEX(BDHK2,MATCH($C14,DiemHKII!$C$4:$C$58,0),BA$59),""))</f>
        <v/>
      </c>
      <c r="BB14" s="792" t="str">
        <f t="shared" si="24"/>
        <v/>
      </c>
      <c r="BC14" s="776" t="str">
        <f t="shared" si="25"/>
        <v/>
      </c>
      <c r="BD14" s="774"/>
      <c r="BE14" s="775">
        <f>IF($B14="","",IF(INDEX(BDHK2,MATCH($C14,DiemHKII!$C$4:$C$58,0),BE$59)&lt;&gt;"",INDEX(BDHK2,MATCH($C14,DiemHKII!$C$4:$C$58,0),BE$59),""))</f>
        <v>7.4</v>
      </c>
      <c r="BF14" s="792">
        <f t="shared" si="26"/>
        <v>5</v>
      </c>
      <c r="BG14" s="776" t="str">
        <f>IF($B14="","",INDEX(NXetHKI!$B$3:$CL$57,MATCH(NXchung!$C14,NXetHKI!$C$3:$C$57,0),NXchung!BG$59))</f>
        <v>Cần tích cực rèn thêm kỹ năng đọc, viết.</v>
      </c>
      <c r="BH14" s="775" t="str">
        <f>IF($B14="","",IF(INDEX(BDHK2,MATCH($C14,DiemHKII!$C$4:$C$58,0),BH$59)&lt;&gt;"",INDEX(BDHK2,MATCH($C14,DiemHKII!$C$4:$C$58,0),BH$59),""))</f>
        <v/>
      </c>
      <c r="BI14" s="792" t="str">
        <f t="shared" si="27"/>
        <v/>
      </c>
      <c r="BJ14" s="776" t="str">
        <f t="shared" si="28"/>
        <v/>
      </c>
      <c r="BK14" s="775" t="str">
        <f>IF($B14="","",IF(INDEX(BDHK2,MATCH($C14,DiemHKII!$C$4:$C$58,0),BK$59)&lt;&gt;"",INDEX(BDHK2,MATCH($C14,DiemHKII!$C$4:$C$58,0),BK$59),""))</f>
        <v/>
      </c>
      <c r="BL14" s="792" t="str">
        <f t="shared" si="29"/>
        <v/>
      </c>
      <c r="BM14" s="776" t="str">
        <f t="shared" si="30"/>
        <v/>
      </c>
      <c r="BN14" s="774"/>
      <c r="BO14" s="775">
        <f>IF($B14="","",IF(INDEX(BDHK2,MATCH($C14,DiemHKII!$C$4:$C$58,0),BO$59)&lt;&gt;"",INDEX(BDHK2,MATCH($C14,DiemHKII!$C$4:$C$58,0),BO$59),""))</f>
        <v>9.8000000000000007</v>
      </c>
      <c r="BP14" s="792">
        <f t="shared" si="31"/>
        <v>1</v>
      </c>
      <c r="BQ14" s="776" t="str">
        <f>IF($B14="","",INDEX(NXetHKI!$B$3:$CL$57,MATCH(NXchung!$C14,NXetHKI!$C$3:$C$57,0),NXchung!BQ$59))</f>
        <v>Chăm học, tích cực phát biểu xây dựng bài.</v>
      </c>
      <c r="BR14" s="775" t="str">
        <f>IF($B14="","",IF(INDEX(BDHK2,MATCH($C14,DiemHKII!$C$4:$C$58,0),BR$59)&lt;&gt;"",INDEX(BDHK2,MATCH($C14,DiemHKII!$C$4:$C$58,0),BR$59),""))</f>
        <v/>
      </c>
      <c r="BS14" s="792" t="str">
        <f t="shared" si="32"/>
        <v/>
      </c>
      <c r="BT14" s="776" t="str">
        <f t="shared" si="33"/>
        <v/>
      </c>
      <c r="BU14" s="775" t="str">
        <f>IF($B14="","",IF(INDEX(BDHK2,MATCH($C14,DiemHKII!$C$4:$C$58,0),BU$59)&lt;&gt;"",INDEX(BDHK2,MATCH($C14,DiemHKII!$C$4:$C$58,0),BU$59),""))</f>
        <v/>
      </c>
      <c r="BV14" s="792" t="str">
        <f t="shared" si="34"/>
        <v/>
      </c>
      <c r="BW14" s="776" t="str">
        <f t="shared" si="35"/>
        <v/>
      </c>
      <c r="BX14" s="774"/>
      <c r="BY14" s="775">
        <f>IF($B14="","",IF(INDEX(BDHK2,MATCH($C14,DiemHKII!$C$4:$C$58,0),BY$59)&lt;&gt;"",INDEX(BDHK2,MATCH($C14,DiemHKII!$C$4:$C$58,0),BY$59),""))</f>
        <v>9.9</v>
      </c>
      <c r="BZ14" s="792">
        <f t="shared" si="36"/>
        <v>1</v>
      </c>
      <c r="CA14" s="776" t="str">
        <f>IF($B14="","",INDEX(NXetHKI!$B$3:$CL$57,MATCH(NXchung!$C14,NXetHKI!$C$3:$C$57,0),NXchung!CA$59))</f>
        <v>Em có tư duy tốt, tích cực, vận dụng thực tế tốt.</v>
      </c>
      <c r="CB14" s="775" t="str">
        <f>IF($B14="","",IF(INDEX(BDHK2,MATCH($C14,DiemHKII!$C$4:$C$58,0),CB$59)&lt;&gt;"",INDEX(BDHK2,MATCH($C14,DiemHKII!$C$4:$C$58,0),CB$59),""))</f>
        <v/>
      </c>
      <c r="CC14" s="792" t="str">
        <f t="shared" si="37"/>
        <v/>
      </c>
      <c r="CD14" s="776" t="str">
        <f t="shared" si="38"/>
        <v/>
      </c>
      <c r="CE14" s="775" t="str">
        <f>IF($B14="","",IF(INDEX(BDHK2,MATCH($C14,DiemHKII!$C$4:$C$58,0),CE$59)&lt;&gt;"",INDEX(BDHK2,MATCH($C14,DiemHKII!$C$4:$C$58,0),CE$59),""))</f>
        <v/>
      </c>
      <c r="CF14" s="792" t="str">
        <f t="shared" si="39"/>
        <v/>
      </c>
      <c r="CG14" s="776" t="str">
        <f t="shared" si="40"/>
        <v/>
      </c>
      <c r="CH14" s="774"/>
      <c r="CI14" s="775">
        <f>IF($B14="","",IF(INDEX(BDHK2,MATCH($C14,DiemHKII!$C$4:$C$58,0),CI$59)&lt;&gt;"",INDEX(BDHK2,MATCH($C14,DiemHKII!$C$4:$C$58,0),CI$59),""))</f>
        <v>7.6</v>
      </c>
      <c r="CJ14" s="792">
        <f t="shared" si="41"/>
        <v>4</v>
      </c>
      <c r="CK14" s="776" t="str">
        <f>IF($B14="","",INDEX(NXetHKI!$B$3:$CL$57,MATCH(NXchung!$C14,NXetHKI!$C$3:$C$57,0),NXchung!CK$59))</f>
        <v>Biết sử dụng vốn từ phong phú để viết thành câu, đoạn văn ngắn.</v>
      </c>
      <c r="CL14" s="775" t="str">
        <f>IF($B14="","",IF(INDEX(BDHK2,MATCH($C14,DiemHKII!$C$4:$C$58,0),CL$59)&lt;&gt;"",INDEX(BDHK2,MATCH($C14,DiemHKII!$C$4:$C$58,0),CL$59),""))</f>
        <v/>
      </c>
      <c r="CM14" s="792" t="str">
        <f t="shared" si="42"/>
        <v/>
      </c>
      <c r="CN14" s="776" t="str">
        <f t="shared" si="43"/>
        <v/>
      </c>
      <c r="CO14" s="775" t="str">
        <f>IF($B14="","",IF(INDEX(BDHK2,MATCH($C14,DiemHKII!$C$4:$C$58,0),CO$59)&lt;&gt;"",INDEX(BDHK2,MATCH($C14,DiemHKII!$C$4:$C$58,0),CO$59),""))</f>
        <v/>
      </c>
      <c r="CP14" s="792" t="str">
        <f t="shared" si="44"/>
        <v/>
      </c>
      <c r="CQ14" s="776" t="str">
        <f t="shared" si="45"/>
        <v/>
      </c>
      <c r="CR14" s="774"/>
      <c r="CS14" s="775">
        <f>IF($B14="","",IF(INDEX(BDHK2,MATCH($C14,DiemHKII!$C$4:$C$58,0),CS$59)&lt;&gt;"",INDEX(BDHK2,MATCH($C14,DiemHKII!$C$4:$C$58,0),CS$59),""))</f>
        <v>9.1</v>
      </c>
      <c r="CT14" s="792">
        <f t="shared" si="46"/>
        <v>1</v>
      </c>
      <c r="CU14" s="776" t="str">
        <f>IF($B14="","",INDEX(NXetHKI!$B$3:$CL$57,MATCH(NXchung!$C14,NXetHKI!$C$3:$C$57,0),NXchung!CU$59))</f>
        <v>Hứng thú, tích cực, học giỏi.</v>
      </c>
      <c r="CV14" s="775" t="str">
        <f>IF($B14="","",IF(INDEX(BDHK2,MATCH($C14,DiemHKII!$C$4:$C$58,0),CV$59)&lt;&gt;"",INDEX(BDHK2,MATCH($C14,DiemHKII!$C$4:$C$58,0),CV$59),""))</f>
        <v/>
      </c>
      <c r="CW14" s="792" t="str">
        <f t="shared" si="47"/>
        <v/>
      </c>
      <c r="CX14" s="776" t="str">
        <f t="shared" si="48"/>
        <v/>
      </c>
      <c r="CY14" s="775" t="str">
        <f>IF($B14="","",IF(INDEX(BDHK2,MATCH($C14,DiemHKII!$C$4:$C$58,0),CY$59)&lt;&gt;"",INDEX(BDHK2,MATCH($C14,DiemHKII!$C$4:$C$58,0),CY$59),""))</f>
        <v/>
      </c>
      <c r="CZ14" s="792" t="str">
        <f t="shared" si="49"/>
        <v/>
      </c>
      <c r="DA14" s="776" t="str">
        <f t="shared" si="50"/>
        <v/>
      </c>
      <c r="DB14" s="774"/>
      <c r="DC14" s="775">
        <f>IF($B14="","",IF(INDEX(BDHK2,MATCH($C14,DiemHKII!$C$4:$C$58,0),DC$59)&lt;&gt;"",INDEX(BDHK2,MATCH($C14,DiemHKII!$C$4:$C$58,0),DC$59),""))</f>
        <v>9.9</v>
      </c>
      <c r="DD14" s="792">
        <f t="shared" si="51"/>
        <v>1</v>
      </c>
      <c r="DE14" s="776" t="str">
        <f>IF($B14="","",INDEX(NXetHKI!$B$3:$CL$57,MATCH(NXchung!$C14,NXetHKI!$C$3:$C$57,0),NXchung!DE$59))</f>
        <v>Học giỏi, tiếp thu nhanh, chăm ngoan.</v>
      </c>
      <c r="DF14" s="775" t="str">
        <f>IF($B14="","",IF(INDEX(BDHK2,MATCH($C14,DiemHKII!$C$4:$C$58,0),DF$59)&lt;&gt;"",INDEX(BDHK2,MATCH($C14,DiemHKII!$C$4:$C$58,0),DF$59),""))</f>
        <v/>
      </c>
      <c r="DG14" s="792" t="str">
        <f t="shared" si="52"/>
        <v/>
      </c>
      <c r="DH14" s="776" t="str">
        <f t="shared" si="53"/>
        <v/>
      </c>
      <c r="DI14" s="775" t="str">
        <f>IF($B14="","",IF(INDEX(BDHK2,MATCH($C14,DiemHKII!$C$4:$C$58,0),DI$59)&lt;&gt;"",INDEX(BDHK2,MATCH($C14,DiemHKII!$C$4:$C$58,0),DI$59),""))</f>
        <v/>
      </c>
      <c r="DJ14" s="792" t="str">
        <f t="shared" si="54"/>
        <v/>
      </c>
      <c r="DK14" s="776" t="str">
        <f t="shared" si="55"/>
        <v/>
      </c>
      <c r="DL14" s="774"/>
      <c r="DM14" s="775" t="str">
        <f>IF($B14="","",IF(INDEX(BDHK2,MATCH($C14,DiemHKII!$C$4:$C$58,0),DM$59)&lt;&gt;"",INDEX(BDHK2,MATCH($C14,DiemHKII!$C$4:$C$58,0),DM$59),""))</f>
        <v>Đ</v>
      </c>
      <c r="DN14" s="792">
        <f t="shared" si="56"/>
        <v>1</v>
      </c>
      <c r="DO14" s="776" t="str">
        <f>IF($B14="","",INDEX(NXetHKI!$B$3:$CL$57,MATCH(NXchung!$C14,NXetHKI!$C$3:$C$57,0),NXchung!DO$59))</f>
        <v>Rất ngoan, học có hiệu quả tốt.</v>
      </c>
      <c r="DP14" s="775" t="str">
        <f>IF($B14="","",IF(INDEX(BDHK2,MATCH($C14,DiemHKII!$C$4:$C$58,0),DP$59)&lt;&gt;"",INDEX(BDHK2,MATCH($C14,DiemHKII!$C$4:$C$58,0),DP$59),""))</f>
        <v/>
      </c>
      <c r="DQ14" s="792" t="str">
        <f t="shared" si="57"/>
        <v/>
      </c>
      <c r="DR14" s="776" t="str">
        <f t="shared" si="58"/>
        <v/>
      </c>
      <c r="DS14" s="775" t="str">
        <f>IF($B14="","",IF(INDEX(BDHK2,MATCH($C14,DiemHKII!$C$4:$C$58,0),DS$59)&lt;&gt;"",INDEX(BDHK2,MATCH($C14,DiemHKII!$C$4:$C$58,0),DS$59),""))</f>
        <v>Đ</v>
      </c>
      <c r="DT14" s="792">
        <f t="shared" si="59"/>
        <v>1</v>
      </c>
      <c r="DU14" s="776" t="str">
        <f t="shared" si="60"/>
        <v>Giỏi, có nhiều tiến bộ trong học tập.</v>
      </c>
      <c r="DV14" s="774"/>
      <c r="DW14" s="775">
        <f>IF($B14="","",IF(INDEX(BDHK2,MATCH($C14,DiemHKII!$C$4:$C$58,0),DW$59)&lt;&gt;"",INDEX(BDHK2,MATCH($C14,DiemHKII!$C$4:$C$58,0),DW$59),""))</f>
        <v>9.9</v>
      </c>
      <c r="DX14" s="792">
        <f t="shared" si="61"/>
        <v>1</v>
      </c>
      <c r="DY14" s="776" t="str">
        <f>IF($B14="","",INDEX(NXetHKI!$B$3:$CL$57,MATCH(NXchung!$C14,NXetHKI!$C$3:$C$57,0),NXchung!DY$59))</f>
        <v>Ngoan, tích cực xây dựng bài, nắm chắc thực hành, học giỏi.</v>
      </c>
      <c r="DZ14" s="775" t="str">
        <f>IF($B14="","",IF(INDEX(BDHK2,MATCH($C14,DiemHKII!$C$4:$C$58,0),DZ$59)&lt;&gt;"",INDEX(BDHK2,MATCH($C14,DiemHKII!$C$4:$C$58,0),DZ$59),""))</f>
        <v/>
      </c>
      <c r="EA14" s="792" t="str">
        <f t="shared" si="62"/>
        <v/>
      </c>
      <c r="EB14" s="776" t="str">
        <f t="shared" si="63"/>
        <v/>
      </c>
      <c r="EC14" s="775" t="str">
        <f>IF($B14="","",IF(INDEX(BDHK2,MATCH($C14,DiemHKII!$C$4:$C$58,0),EC$59)&lt;&gt;"",INDEX(BDHK2,MATCH($C14,DiemHKII!$C$4:$C$58,0),EC$59),""))</f>
        <v/>
      </c>
      <c r="ED14" s="792" t="str">
        <f t="shared" si="64"/>
        <v/>
      </c>
      <c r="EE14" s="776" t="str">
        <f t="shared" si="65"/>
        <v/>
      </c>
      <c r="EF14" s="774"/>
      <c r="EG14" s="775" t="str">
        <f>IF($B14="","",IF(INDEX(BDHK2,MATCH($C14,DiemHKII!$C$4:$C$58,0),EG$59)&lt;&gt;"",INDEX(BDHK2,MATCH($C14,DiemHKII!$C$4:$C$58,0),EG$59),""))</f>
        <v/>
      </c>
      <c r="EH14" s="792" t="str">
        <f t="shared" si="66"/>
        <v/>
      </c>
      <c r="EI14" s="776" t="str">
        <f>IF($B14="","",INDEX(NXetHKI!$B$3:$CL$57,MATCH(NXchung!$C14,NXetHKI!$C$3:$C$57,0),NXchung!EI$59))</f>
        <v/>
      </c>
      <c r="EJ14" s="775" t="str">
        <f>IF($B14="","",IF(INDEX(BDHK2,MATCH($C14,DiemHKII!$C$4:$C$58,0),EJ$59)&lt;&gt;"",INDEX(BDHK2,MATCH($C14,DiemHKII!$C$4:$C$58,0),EJ$59),""))</f>
        <v/>
      </c>
      <c r="EK14" s="792" t="str">
        <f t="shared" si="67"/>
        <v/>
      </c>
      <c r="EL14" s="776" t="str">
        <f t="shared" si="68"/>
        <v/>
      </c>
      <c r="EM14" s="775" t="str">
        <f>IF($B14="","",IF(INDEX(BDHK2,MATCH($C14,DiemHKII!$C$4:$C$58,0),EM$59)&lt;&gt;"",INDEX(BDHK2,MATCH($C14,DiemHKII!$C$4:$C$58,0),EM$59),""))</f>
        <v/>
      </c>
      <c r="EN14" s="792" t="str">
        <f t="shared" si="69"/>
        <v/>
      </c>
      <c r="EO14" s="776" t="str">
        <f t="shared" si="70"/>
        <v/>
      </c>
      <c r="EP14" s="774"/>
      <c r="ER14" s="816">
        <v>3</v>
      </c>
      <c r="ES14" s="816">
        <v>6</v>
      </c>
    </row>
    <row r="15" spans="1:149" ht="15" customHeight="1">
      <c r="A15" s="764"/>
      <c r="B15" s="771">
        <f>IF(B14&lt;MAX(DiemHKII!$B$4:$B$58),B14+1,"")</f>
        <v>13</v>
      </c>
      <c r="C15" s="771" t="str">
        <f t="shared" si="0"/>
        <v>12A1Nguyễn Thị ThuHiền20/05/2004</v>
      </c>
      <c r="D15" s="772" t="str">
        <f>IF($B15&lt;&gt;"",PROPER(INDEX(DiemHKII!$B$4:$K$58,MATCH($B15,DiemHKII!$B$4:$B$58,0),4)),"")</f>
        <v xml:space="preserve">Nguyễn Thị Thu </v>
      </c>
      <c r="E15" s="773" t="str">
        <f>IF($B15&lt;&gt;"",PROPER(INDEX(DiemHKII!$B$4:$K$58,MATCH($B15,DiemHKII!$B$4:$B$58,0),5)),"")</f>
        <v>Hiền</v>
      </c>
      <c r="F15" s="774" t="str">
        <f>IF($B15&lt;&gt;"",PROPER(INDEX(DiemHKII!$B$4:$K$58,MATCH($B15,DiemHKII!$B$4:$B$58,0),6)),"")</f>
        <v>20/05/2004</v>
      </c>
      <c r="G15" s="775">
        <f>IF($B15="","",IF(INDEX(BDHK2,MATCH($C15,DiemHKII!$C$4:$C$58,0),G$59)&lt;&gt;"",INDEX(BDHK2,MATCH($C15,DiemHKII!$C$4:$C$58,0),G$59),""))</f>
        <v>9.8000000000000007</v>
      </c>
      <c r="H15" s="792">
        <f t="shared" si="1"/>
        <v>1</v>
      </c>
      <c r="I15" s="776" t="str">
        <f>IF($B15="","",INDEX(NXetHKI!$B$3:$CL$57,MATCH(NXchung!$C15,NXetHKI!$C$3:$C$57,0),NXchung!I$59))</f>
        <v>Em chăm chỉ, chuyên cần, rất tích cực, rất đáng khen.</v>
      </c>
      <c r="J15" s="775" t="str">
        <f>IF($B15="","",IF(INDEX(BDHK2,MATCH($C15,DiemHKII!$C$4:$C$58,0),J$59)&lt;&gt;"",INDEX(BDHK2,MATCH($C15,DiemHKII!$C$4:$C$58,0),J$59),""))</f>
        <v/>
      </c>
      <c r="K15" s="792" t="str">
        <f t="shared" si="2"/>
        <v/>
      </c>
      <c r="L15" s="776" t="str">
        <f t="shared" si="3"/>
        <v/>
      </c>
      <c r="M15" s="775" t="str">
        <f>IF($B15="","",IF(INDEX(BDHK2,MATCH($C15,DiemHKII!$C$4:$C$58,0),M$59)&lt;&gt;"",INDEX(BDHK2,MATCH($C15,DiemHKII!$C$4:$C$58,0),M$59),""))</f>
        <v/>
      </c>
      <c r="N15" s="792" t="str">
        <f t="shared" si="4"/>
        <v/>
      </c>
      <c r="O15" s="776" t="str">
        <f t="shared" si="5"/>
        <v/>
      </c>
      <c r="P15" s="774"/>
      <c r="Q15" s="775">
        <f>IF($B15="","",IF(INDEX(BDHK2,MATCH($C15,DiemHKII!$C$4:$C$58,0),Q$59)&lt;&gt;"",INDEX(BDHK2,MATCH($C15,DiemHKII!$C$4:$C$58,0),Q$59),""))</f>
        <v>9.9</v>
      </c>
      <c r="R15" s="792">
        <f t="shared" si="6"/>
        <v>1</v>
      </c>
      <c r="S15" s="776" t="str">
        <f>IF($B15="","",INDEX(NXetHKI!$B$3:$CL$57,MATCH(NXchung!$C15,NXetHKI!$C$3:$C$57,0),NXchung!S$59))</f>
        <v>Em chăm chỉ, chuyên cần, rất tích cực, rất đáng khen.</v>
      </c>
      <c r="T15" s="775" t="str">
        <f>IF($B15="","",IF(INDEX(BDHK2,MATCH($C15,DiemHKII!$C$4:$C$58,0),T$59)&lt;&gt;"",INDEX(BDHK2,MATCH($C15,DiemHKII!$C$4:$C$58,0),T$59),""))</f>
        <v/>
      </c>
      <c r="U15" s="792" t="str">
        <f t="shared" si="7"/>
        <v/>
      </c>
      <c r="V15" s="776" t="str">
        <f t="shared" si="8"/>
        <v/>
      </c>
      <c r="W15" s="775" t="str">
        <f>IF($B15="","",IF(INDEX(BDHK2,MATCH($C15,DiemHKII!$C$4:$C$58,0),W$59)&lt;&gt;"",INDEX(BDHK2,MATCH($C15,DiemHKII!$C$4:$C$58,0),W$59),""))</f>
        <v/>
      </c>
      <c r="X15" s="792" t="str">
        <f t="shared" si="9"/>
        <v/>
      </c>
      <c r="Y15" s="776" t="str">
        <f t="shared" si="10"/>
        <v/>
      </c>
      <c r="Z15" s="774"/>
      <c r="AA15" s="775">
        <f>IF($B15="","",IF(INDEX(BDHK2,MATCH($C15,DiemHKII!$C$4:$C$58,0),AA$59)&lt;&gt;"",INDEX(BDHK2,MATCH($C15,DiemHKII!$C$4:$C$58,0),AA$59),""))</f>
        <v>9.6</v>
      </c>
      <c r="AB15" s="792">
        <f t="shared" si="11"/>
        <v>1</v>
      </c>
      <c r="AC15" s="776" t="str">
        <f>IF($B15="","",INDEX(NXetHKI!$B$3:$CL$57,MATCH(NXchung!$C15,NXetHKI!$C$3:$C$57,0),NXchung!AC$59))</f>
        <v>Học giỏi, thông minh, cần phát huy.</v>
      </c>
      <c r="AD15" s="775" t="str">
        <f>IF($B15="","",IF(INDEX(BDHK2,MATCH($C15,DiemHKII!$C$4:$C$58,0),AD$59)&lt;&gt;"",INDEX(BDHK2,MATCH($C15,DiemHKII!$C$4:$C$58,0),AD$59),""))</f>
        <v/>
      </c>
      <c r="AE15" s="792" t="str">
        <f t="shared" si="12"/>
        <v/>
      </c>
      <c r="AF15" s="776" t="str">
        <f t="shared" si="13"/>
        <v/>
      </c>
      <c r="AG15" s="775" t="str">
        <f>IF($B15="","",IF(INDEX(BDHK2,MATCH($C15,DiemHKII!$C$4:$C$58,0),AG$59)&lt;&gt;"",INDEX(BDHK2,MATCH($C15,DiemHKII!$C$4:$C$58,0),AG$59),""))</f>
        <v/>
      </c>
      <c r="AH15" s="792" t="str">
        <f t="shared" si="14"/>
        <v/>
      </c>
      <c r="AI15" s="776" t="str">
        <f t="shared" si="15"/>
        <v/>
      </c>
      <c r="AJ15" s="774"/>
      <c r="AK15" s="775">
        <f>IF($B15="","",IF(INDEX(BDHK2,MATCH($C15,DiemHKII!$C$4:$C$58,0),AK$59)&lt;&gt;"",INDEX(BDHK2,MATCH($C15,DiemHKII!$C$4:$C$58,0),AK$59),""))</f>
        <v>9.3000000000000007</v>
      </c>
      <c r="AL15" s="792">
        <f t="shared" si="16"/>
        <v>1</v>
      </c>
      <c r="AM15" s="776" t="str">
        <f>IF($B15="","",INDEX(NXetHKI!$B$3:$CL$57,MATCH(NXchung!$C15,NXetHKI!$C$3:$C$57,0),NXchung!AM$59))</f>
        <v>Sáng tạo, hoạt động nhóm rất tốt, biết chia sẻ kết quả học tập với bạn.</v>
      </c>
      <c r="AN15" s="775" t="str">
        <f>IF($B15="","",IF(INDEX(BDHK2,MATCH($C15,DiemHKII!$C$4:$C$58,0),AN$59)&lt;&gt;"",INDEX(BDHK2,MATCH($C15,DiemHKII!$C$4:$C$58,0),AN$59),""))</f>
        <v/>
      </c>
      <c r="AO15" s="792" t="str">
        <f t="shared" si="17"/>
        <v/>
      </c>
      <c r="AP15" s="776" t="str">
        <f t="shared" si="18"/>
        <v/>
      </c>
      <c r="AQ15" s="775" t="str">
        <f>IF($B15="","",IF(INDEX(BDHK2,MATCH($C15,DiemHKII!$C$4:$C$58,0),AQ$59)&lt;&gt;"",INDEX(BDHK2,MATCH($C15,DiemHKII!$C$4:$C$58,0),AQ$59),""))</f>
        <v/>
      </c>
      <c r="AR15" s="792" t="str">
        <f t="shared" si="19"/>
        <v/>
      </c>
      <c r="AS15" s="776" t="str">
        <f t="shared" si="20"/>
        <v/>
      </c>
      <c r="AT15" s="774"/>
      <c r="AU15" s="775">
        <f>IF($B15="","",IF(INDEX(BDHK2,MATCH($C15,DiemHKII!$C$4:$C$58,0),AU$59)&lt;&gt;"",INDEX(BDHK2,MATCH($C15,DiemHKII!$C$4:$C$58,0),AU$59),""))</f>
        <v>9.6</v>
      </c>
      <c r="AV15" s="792">
        <f t="shared" si="21"/>
        <v>1</v>
      </c>
      <c r="AW15" s="776" t="str">
        <f>IF($B15="","",INDEX(NXetHKI!$B$3:$CL$57,MATCH(NXchung!$C15,NXetHKI!$C$3:$C$57,0),NXchung!AW$59))</f>
        <v>Rất ngoan, cố gắng có hiệu quả.</v>
      </c>
      <c r="AX15" s="775" t="str">
        <f>IF($B15="","",IF(INDEX(BDHK2,MATCH($C15,DiemHKII!$C$4:$C$58,0),AX$59)&lt;&gt;"",INDEX(BDHK2,MATCH($C15,DiemHKII!$C$4:$C$58,0),AX$59),""))</f>
        <v/>
      </c>
      <c r="AY15" s="792" t="str">
        <f t="shared" si="22"/>
        <v/>
      </c>
      <c r="AZ15" s="776" t="str">
        <f t="shared" si="23"/>
        <v/>
      </c>
      <c r="BA15" s="775" t="str">
        <f>IF($B15="","",IF(INDEX(BDHK2,MATCH($C15,DiemHKII!$C$4:$C$58,0),BA$59)&lt;&gt;"",INDEX(BDHK2,MATCH($C15,DiemHKII!$C$4:$C$58,0),BA$59),""))</f>
        <v/>
      </c>
      <c r="BB15" s="792" t="str">
        <f t="shared" si="24"/>
        <v/>
      </c>
      <c r="BC15" s="776" t="str">
        <f t="shared" si="25"/>
        <v/>
      </c>
      <c r="BD15" s="774"/>
      <c r="BE15" s="775">
        <f>IF($B15="","",IF(INDEX(BDHK2,MATCH($C15,DiemHKII!$C$4:$C$58,0),BE$59)&lt;&gt;"",INDEX(BDHK2,MATCH($C15,DiemHKII!$C$4:$C$58,0),BE$59),""))</f>
        <v>8.3000000000000007</v>
      </c>
      <c r="BF15" s="792">
        <f t="shared" si="26"/>
        <v>3</v>
      </c>
      <c r="BG15" s="776" t="str">
        <f>IF($B15="","",INDEX(NXetHKI!$B$3:$CL$57,MATCH(NXchung!$C15,NXetHKI!$C$3:$C$57,0),NXchung!BG$59))</f>
        <v>Học giỏi, chăm chỉ, cảm nhận tốt văn bản.</v>
      </c>
      <c r="BH15" s="775" t="str">
        <f>IF($B15="","",IF(INDEX(BDHK2,MATCH($C15,DiemHKII!$C$4:$C$58,0),BH$59)&lt;&gt;"",INDEX(BDHK2,MATCH($C15,DiemHKII!$C$4:$C$58,0),BH$59),""))</f>
        <v/>
      </c>
      <c r="BI15" s="792" t="str">
        <f t="shared" si="27"/>
        <v/>
      </c>
      <c r="BJ15" s="776" t="str">
        <f t="shared" si="28"/>
        <v/>
      </c>
      <c r="BK15" s="775" t="str">
        <f>IF($B15="","",IF(INDEX(BDHK2,MATCH($C15,DiemHKII!$C$4:$C$58,0),BK$59)&lt;&gt;"",INDEX(BDHK2,MATCH($C15,DiemHKII!$C$4:$C$58,0),BK$59),""))</f>
        <v/>
      </c>
      <c r="BL15" s="792" t="str">
        <f t="shared" si="29"/>
        <v/>
      </c>
      <c r="BM15" s="776" t="str">
        <f t="shared" si="30"/>
        <v/>
      </c>
      <c r="BN15" s="774"/>
      <c r="BO15" s="775">
        <f>IF($B15="","",IF(INDEX(BDHK2,MATCH($C15,DiemHKII!$C$4:$C$58,0),BO$59)&lt;&gt;"",INDEX(BDHK2,MATCH($C15,DiemHKII!$C$4:$C$58,0),BO$59),""))</f>
        <v>9.9</v>
      </c>
      <c r="BP15" s="792">
        <f t="shared" si="31"/>
        <v>1</v>
      </c>
      <c r="BQ15" s="776" t="str">
        <f>IF($B15="","",INDEX(NXetHKI!$B$3:$CL$57,MATCH(NXchung!$C15,NXetHKI!$C$3:$C$57,0),NXchung!BQ$59))</f>
        <v>Chăm ngoan, tích cực, chủ động tiếp thu bài học.</v>
      </c>
      <c r="BR15" s="775" t="str">
        <f>IF($B15="","",IF(INDEX(BDHK2,MATCH($C15,DiemHKII!$C$4:$C$58,0),BR$59)&lt;&gt;"",INDEX(BDHK2,MATCH($C15,DiemHKII!$C$4:$C$58,0),BR$59),""))</f>
        <v/>
      </c>
      <c r="BS15" s="792" t="str">
        <f t="shared" si="32"/>
        <v/>
      </c>
      <c r="BT15" s="776" t="str">
        <f t="shared" si="33"/>
        <v/>
      </c>
      <c r="BU15" s="775" t="str">
        <f>IF($B15="","",IF(INDEX(BDHK2,MATCH($C15,DiemHKII!$C$4:$C$58,0),BU$59)&lt;&gt;"",INDEX(BDHK2,MATCH($C15,DiemHKII!$C$4:$C$58,0),BU$59),""))</f>
        <v/>
      </c>
      <c r="BV15" s="792" t="str">
        <f t="shared" si="34"/>
        <v/>
      </c>
      <c r="BW15" s="776" t="str">
        <f t="shared" si="35"/>
        <v/>
      </c>
      <c r="BX15" s="774"/>
      <c r="BY15" s="775">
        <f>IF($B15="","",IF(INDEX(BDHK2,MATCH($C15,DiemHKII!$C$4:$C$58,0),BY$59)&lt;&gt;"",INDEX(BDHK2,MATCH($C15,DiemHKII!$C$4:$C$58,0),BY$59),""))</f>
        <v>9.9</v>
      </c>
      <c r="BZ15" s="792">
        <f t="shared" si="36"/>
        <v>1</v>
      </c>
      <c r="CA15" s="776" t="str">
        <f>IF($B15="","",INDEX(NXetHKI!$B$3:$CL$57,MATCH(NXchung!$C15,NXetHKI!$C$3:$C$57,0),NXchung!CA$59))</f>
        <v>Em rất ngoan, cố gắng có hiệu quả.</v>
      </c>
      <c r="CB15" s="775" t="str">
        <f>IF($B15="","",IF(INDEX(BDHK2,MATCH($C15,DiemHKII!$C$4:$C$58,0),CB$59)&lt;&gt;"",INDEX(BDHK2,MATCH($C15,DiemHKII!$C$4:$C$58,0),CB$59),""))</f>
        <v/>
      </c>
      <c r="CC15" s="792" t="str">
        <f t="shared" si="37"/>
        <v/>
      </c>
      <c r="CD15" s="776" t="str">
        <f t="shared" si="38"/>
        <v/>
      </c>
      <c r="CE15" s="775" t="str">
        <f>IF($B15="","",IF(INDEX(BDHK2,MATCH($C15,DiemHKII!$C$4:$C$58,0),CE$59)&lt;&gt;"",INDEX(BDHK2,MATCH($C15,DiemHKII!$C$4:$C$58,0),CE$59),""))</f>
        <v/>
      </c>
      <c r="CF15" s="792" t="str">
        <f t="shared" si="39"/>
        <v/>
      </c>
      <c r="CG15" s="776" t="str">
        <f t="shared" si="40"/>
        <v/>
      </c>
      <c r="CH15" s="774"/>
      <c r="CI15" s="775">
        <f>IF($B15="","",IF(INDEX(BDHK2,MATCH($C15,DiemHKII!$C$4:$C$58,0),CI$59)&lt;&gt;"",INDEX(BDHK2,MATCH($C15,DiemHKII!$C$4:$C$58,0),CI$59),""))</f>
        <v>9.4</v>
      </c>
      <c r="CJ15" s="792">
        <f t="shared" si="41"/>
        <v>1</v>
      </c>
      <c r="CK15" s="776" t="str">
        <f>IF($B15="","",INDEX(NXetHKI!$B$3:$CL$57,MATCH(NXchung!$C15,NXetHKI!$C$3:$C$57,0),NXchung!CK$59))</f>
        <v>Có năng khiếu, tự tin, giao tiếp tốt và có khả năng làm việc nhóm.</v>
      </c>
      <c r="CL15" s="775" t="str">
        <f>IF($B15="","",IF(INDEX(BDHK2,MATCH($C15,DiemHKII!$C$4:$C$58,0),CL$59)&lt;&gt;"",INDEX(BDHK2,MATCH($C15,DiemHKII!$C$4:$C$58,0),CL$59),""))</f>
        <v/>
      </c>
      <c r="CM15" s="792" t="str">
        <f t="shared" si="42"/>
        <v/>
      </c>
      <c r="CN15" s="776" t="str">
        <f t="shared" si="43"/>
        <v/>
      </c>
      <c r="CO15" s="775" t="str">
        <f>IF($B15="","",IF(INDEX(BDHK2,MATCH($C15,DiemHKII!$C$4:$C$58,0),CO$59)&lt;&gt;"",INDEX(BDHK2,MATCH($C15,DiemHKII!$C$4:$C$58,0),CO$59),""))</f>
        <v/>
      </c>
      <c r="CP15" s="792" t="str">
        <f t="shared" si="44"/>
        <v/>
      </c>
      <c r="CQ15" s="776" t="str">
        <f t="shared" si="45"/>
        <v/>
      </c>
      <c r="CR15" s="774"/>
      <c r="CS15" s="775">
        <f>IF($B15="","",IF(INDEX(BDHK2,MATCH($C15,DiemHKII!$C$4:$C$58,0),CS$59)&lt;&gt;"",INDEX(BDHK2,MATCH($C15,DiemHKII!$C$4:$C$58,0),CS$59),""))</f>
        <v>9.4</v>
      </c>
      <c r="CT15" s="792">
        <f t="shared" si="46"/>
        <v>1</v>
      </c>
      <c r="CU15" s="776" t="str">
        <f>IF($B15="","",INDEX(NXetHKI!$B$3:$CL$57,MATCH(NXchung!$C15,NXetHKI!$C$3:$C$57,0),NXchung!CU$59))</f>
        <v>Hứng thú, có trách nhiệm học tập tốt.</v>
      </c>
      <c r="CV15" s="775" t="str">
        <f>IF($B15="","",IF(INDEX(BDHK2,MATCH($C15,DiemHKII!$C$4:$C$58,0),CV$59)&lt;&gt;"",INDEX(BDHK2,MATCH($C15,DiemHKII!$C$4:$C$58,0),CV$59),""))</f>
        <v/>
      </c>
      <c r="CW15" s="792" t="str">
        <f t="shared" si="47"/>
        <v/>
      </c>
      <c r="CX15" s="776" t="str">
        <f t="shared" si="48"/>
        <v/>
      </c>
      <c r="CY15" s="775" t="str">
        <f>IF($B15="","",IF(INDEX(BDHK2,MATCH($C15,DiemHKII!$C$4:$C$58,0),CY$59)&lt;&gt;"",INDEX(BDHK2,MATCH($C15,DiemHKII!$C$4:$C$58,0),CY$59),""))</f>
        <v/>
      </c>
      <c r="CZ15" s="792" t="str">
        <f t="shared" si="49"/>
        <v/>
      </c>
      <c r="DA15" s="776" t="str">
        <f t="shared" si="50"/>
        <v/>
      </c>
      <c r="DB15" s="774"/>
      <c r="DC15" s="775">
        <f>IF($B15="","",IF(INDEX(BDHK2,MATCH($C15,DiemHKII!$C$4:$C$58,0),DC$59)&lt;&gt;"",INDEX(BDHK2,MATCH($C15,DiemHKII!$C$4:$C$58,0),DC$59),""))</f>
        <v>9.9</v>
      </c>
      <c r="DD15" s="792">
        <f t="shared" si="51"/>
        <v>1</v>
      </c>
      <c r="DE15" s="776" t="str">
        <f>IF($B15="","",INDEX(NXetHKI!$B$3:$CL$57,MATCH(NXchung!$C15,NXetHKI!$C$3:$C$57,0),NXchung!DE$59))</f>
        <v>Học giỏi, năng động, chăm ngoan.</v>
      </c>
      <c r="DF15" s="775" t="str">
        <f>IF($B15="","",IF(INDEX(BDHK2,MATCH($C15,DiemHKII!$C$4:$C$58,0),DF$59)&lt;&gt;"",INDEX(BDHK2,MATCH($C15,DiemHKII!$C$4:$C$58,0),DF$59),""))</f>
        <v/>
      </c>
      <c r="DG15" s="792" t="str">
        <f t="shared" si="52"/>
        <v/>
      </c>
      <c r="DH15" s="776" t="str">
        <f t="shared" si="53"/>
        <v/>
      </c>
      <c r="DI15" s="775" t="str">
        <f>IF($B15="","",IF(INDEX(BDHK2,MATCH($C15,DiemHKII!$C$4:$C$58,0),DI$59)&lt;&gt;"",INDEX(BDHK2,MATCH($C15,DiemHKII!$C$4:$C$58,0),DI$59),""))</f>
        <v/>
      </c>
      <c r="DJ15" s="792" t="str">
        <f t="shared" si="54"/>
        <v/>
      </c>
      <c r="DK15" s="776" t="str">
        <f t="shared" si="55"/>
        <v/>
      </c>
      <c r="DL15" s="774"/>
      <c r="DM15" s="775" t="str">
        <f>IF($B15="","",IF(INDEX(BDHK2,MATCH($C15,DiemHKII!$C$4:$C$58,0),DM$59)&lt;&gt;"",INDEX(BDHK2,MATCH($C15,DiemHKII!$C$4:$C$58,0),DM$59),""))</f>
        <v>Đ</v>
      </c>
      <c r="DN15" s="792">
        <f t="shared" si="56"/>
        <v>1</v>
      </c>
      <c r="DO15" s="776" t="str">
        <f>IF($B15="","",INDEX(NXetHKI!$B$3:$CL$57,MATCH(NXchung!$C15,NXetHKI!$C$3:$C$57,0),NXchung!DO$59))</f>
        <v>Chăm chỉ, cố gắng, rất ngoan.</v>
      </c>
      <c r="DP15" s="775" t="str">
        <f>IF($B15="","",IF(INDEX(BDHK2,MATCH($C15,DiemHKII!$C$4:$C$58,0),DP$59)&lt;&gt;"",INDEX(BDHK2,MATCH($C15,DiemHKII!$C$4:$C$58,0),DP$59),""))</f>
        <v/>
      </c>
      <c r="DQ15" s="792" t="str">
        <f t="shared" si="57"/>
        <v/>
      </c>
      <c r="DR15" s="776" t="str">
        <f t="shared" si="58"/>
        <v/>
      </c>
      <c r="DS15" s="775" t="str">
        <f>IF($B15="","",IF(INDEX(BDHK2,MATCH($C15,DiemHKII!$C$4:$C$58,0),DS$59)&lt;&gt;"",INDEX(BDHK2,MATCH($C15,DiemHKII!$C$4:$C$58,0),DS$59),""))</f>
        <v>Đ</v>
      </c>
      <c r="DT15" s="792">
        <f t="shared" si="59"/>
        <v>1</v>
      </c>
      <c r="DU15" s="776" t="str">
        <f t="shared" si="60"/>
        <v>Rất ngoan, học có hiệu quả tốt.</v>
      </c>
      <c r="DV15" s="774"/>
      <c r="DW15" s="775">
        <f>IF($B15="","",IF(INDEX(BDHK2,MATCH($C15,DiemHKII!$C$4:$C$58,0),DW$59)&lt;&gt;"",INDEX(BDHK2,MATCH($C15,DiemHKII!$C$4:$C$58,0),DW$59),""))</f>
        <v>9.4</v>
      </c>
      <c r="DX15" s="792">
        <f t="shared" si="61"/>
        <v>1</v>
      </c>
      <c r="DY15" s="776" t="str">
        <f>IF($B15="","",INDEX(NXetHKI!$B$3:$CL$57,MATCH(NXchung!$C15,NXetHKI!$C$3:$C$57,0),NXchung!DY$59))</f>
        <v>Siêng năng, lễ phép, thành thạo thực hành, học giỏi.</v>
      </c>
      <c r="DZ15" s="775" t="str">
        <f>IF($B15="","",IF(INDEX(BDHK2,MATCH($C15,DiemHKII!$C$4:$C$58,0),DZ$59)&lt;&gt;"",INDEX(BDHK2,MATCH($C15,DiemHKII!$C$4:$C$58,0),DZ$59),""))</f>
        <v/>
      </c>
      <c r="EA15" s="792" t="str">
        <f t="shared" si="62"/>
        <v/>
      </c>
      <c r="EB15" s="776" t="str">
        <f t="shared" si="63"/>
        <v/>
      </c>
      <c r="EC15" s="775" t="str">
        <f>IF($B15="","",IF(INDEX(BDHK2,MATCH($C15,DiemHKII!$C$4:$C$58,0),EC$59)&lt;&gt;"",INDEX(BDHK2,MATCH($C15,DiemHKII!$C$4:$C$58,0),EC$59),""))</f>
        <v/>
      </c>
      <c r="ED15" s="792" t="str">
        <f t="shared" si="64"/>
        <v/>
      </c>
      <c r="EE15" s="776" t="str">
        <f t="shared" si="65"/>
        <v/>
      </c>
      <c r="EF15" s="774"/>
      <c r="EG15" s="775" t="str">
        <f>IF($B15="","",IF(INDEX(BDHK2,MATCH($C15,DiemHKII!$C$4:$C$58,0),EG$59)&lt;&gt;"",INDEX(BDHK2,MATCH($C15,DiemHKII!$C$4:$C$58,0),EG$59),""))</f>
        <v/>
      </c>
      <c r="EH15" s="792" t="str">
        <f t="shared" si="66"/>
        <v/>
      </c>
      <c r="EI15" s="776" t="str">
        <f>IF($B15="","",INDEX(NXetHKI!$B$3:$CL$57,MATCH(NXchung!$C15,NXetHKI!$C$3:$C$57,0),NXchung!EI$59))</f>
        <v/>
      </c>
      <c r="EJ15" s="775" t="str">
        <f>IF($B15="","",IF(INDEX(BDHK2,MATCH($C15,DiemHKII!$C$4:$C$58,0),EJ$59)&lt;&gt;"",INDEX(BDHK2,MATCH($C15,DiemHKII!$C$4:$C$58,0),EJ$59),""))</f>
        <v/>
      </c>
      <c r="EK15" s="792" t="str">
        <f t="shared" si="67"/>
        <v/>
      </c>
      <c r="EL15" s="776" t="str">
        <f t="shared" si="68"/>
        <v/>
      </c>
      <c r="EM15" s="775" t="str">
        <f>IF($B15="","",IF(INDEX(BDHK2,MATCH($C15,DiemHKII!$C$4:$C$58,0),EM$59)&lt;&gt;"",INDEX(BDHK2,MATCH($C15,DiemHKII!$C$4:$C$58,0),EM$59),""))</f>
        <v/>
      </c>
      <c r="EN15" s="792" t="str">
        <f t="shared" si="69"/>
        <v/>
      </c>
      <c r="EO15" s="776" t="str">
        <f t="shared" si="70"/>
        <v/>
      </c>
      <c r="EP15" s="774"/>
      <c r="ER15" s="816">
        <v>6</v>
      </c>
      <c r="ES15" s="816">
        <v>9</v>
      </c>
    </row>
    <row r="16" spans="1:149" ht="15" customHeight="1">
      <c r="A16" s="764"/>
      <c r="B16" s="771">
        <f>IF(B15&lt;MAX(DiemHKII!$B$4:$B$58),B15+1,"")</f>
        <v>14</v>
      </c>
      <c r="C16" s="771" t="str">
        <f t="shared" si="0"/>
        <v>12A1Lê Phan NgọcHiếu01/02/2004</v>
      </c>
      <c r="D16" s="772" t="str">
        <f>IF($B16&lt;&gt;"",PROPER(INDEX(DiemHKII!$B$4:$K$58,MATCH($B16,DiemHKII!$B$4:$B$58,0),4)),"")</f>
        <v>Lê Phan Ngọc</v>
      </c>
      <c r="E16" s="773" t="str">
        <f>IF($B16&lt;&gt;"",PROPER(INDEX(DiemHKII!$B$4:$K$58,MATCH($B16,DiemHKII!$B$4:$B$58,0),5)),"")</f>
        <v>Hiếu</v>
      </c>
      <c r="F16" s="774" t="str">
        <f>IF($B16&lt;&gt;"",PROPER(INDEX(DiemHKII!$B$4:$K$58,MATCH($B16,DiemHKII!$B$4:$B$58,0),6)),"")</f>
        <v>01/02/2004</v>
      </c>
      <c r="G16" s="775">
        <f>IF($B16="","",IF(INDEX(BDHK2,MATCH($C16,DiemHKII!$C$4:$C$58,0),G$59)&lt;&gt;"",INDEX(BDHK2,MATCH($C16,DiemHKII!$C$4:$C$58,0),G$59),""))</f>
        <v>9.9</v>
      </c>
      <c r="H16" s="792">
        <f t="shared" si="1"/>
        <v>1</v>
      </c>
      <c r="I16" s="776" t="str">
        <f>IF($B16="","",INDEX(NXetHKI!$B$3:$CL$57,MATCH(NXchung!$C16,NXetHKI!$C$3:$C$57,0),NXchung!I$59))</f>
        <v>Em học giỏi, chăm ngoan, tính tự giác cao, rất tốt.</v>
      </c>
      <c r="J16" s="775" t="str">
        <f>IF($B16="","",IF(INDEX(BDHK2,MATCH($C16,DiemHKII!$C$4:$C$58,0),J$59)&lt;&gt;"",INDEX(BDHK2,MATCH($C16,DiemHKII!$C$4:$C$58,0),J$59),""))</f>
        <v/>
      </c>
      <c r="K16" s="792" t="str">
        <f t="shared" si="2"/>
        <v/>
      </c>
      <c r="L16" s="776" t="str">
        <f t="shared" si="3"/>
        <v/>
      </c>
      <c r="M16" s="775" t="str">
        <f>IF($B16="","",IF(INDEX(BDHK2,MATCH($C16,DiemHKII!$C$4:$C$58,0),M$59)&lt;&gt;"",INDEX(BDHK2,MATCH($C16,DiemHKII!$C$4:$C$58,0),M$59),""))</f>
        <v/>
      </c>
      <c r="N16" s="792" t="str">
        <f t="shared" si="4"/>
        <v/>
      </c>
      <c r="O16" s="776" t="str">
        <f t="shared" si="5"/>
        <v/>
      </c>
      <c r="P16" s="774"/>
      <c r="Q16" s="775">
        <f>IF($B16="","",IF(INDEX(BDHK2,MATCH($C16,DiemHKII!$C$4:$C$58,0),Q$59)&lt;&gt;"",INDEX(BDHK2,MATCH($C16,DiemHKII!$C$4:$C$58,0),Q$59),""))</f>
        <v>9.9</v>
      </c>
      <c r="R16" s="792">
        <f t="shared" si="6"/>
        <v>1</v>
      </c>
      <c r="S16" s="776" t="str">
        <f>IF($B16="","",INDEX(NXetHKI!$B$3:$CL$57,MATCH(NXchung!$C16,NXetHKI!$C$3:$C$57,0),NXchung!S$59))</f>
        <v>Em học giỏi, chăm ngoan, tính tự giác cao, rất tốt.</v>
      </c>
      <c r="T16" s="775" t="str">
        <f>IF($B16="","",IF(INDEX(BDHK2,MATCH($C16,DiemHKII!$C$4:$C$58,0),T$59)&lt;&gt;"",INDEX(BDHK2,MATCH($C16,DiemHKII!$C$4:$C$58,0),T$59),""))</f>
        <v/>
      </c>
      <c r="U16" s="792" t="str">
        <f t="shared" si="7"/>
        <v/>
      </c>
      <c r="V16" s="776" t="str">
        <f t="shared" si="8"/>
        <v/>
      </c>
      <c r="W16" s="775" t="str">
        <f>IF($B16="","",IF(INDEX(BDHK2,MATCH($C16,DiemHKII!$C$4:$C$58,0),W$59)&lt;&gt;"",INDEX(BDHK2,MATCH($C16,DiemHKII!$C$4:$C$58,0),W$59),""))</f>
        <v/>
      </c>
      <c r="X16" s="792" t="str">
        <f t="shared" si="9"/>
        <v/>
      </c>
      <c r="Y16" s="776" t="str">
        <f t="shared" si="10"/>
        <v/>
      </c>
      <c r="Z16" s="774"/>
      <c r="AA16" s="775">
        <f>IF($B16="","",IF(INDEX(BDHK2,MATCH($C16,DiemHKII!$C$4:$C$58,0),AA$59)&lt;&gt;"",INDEX(BDHK2,MATCH($C16,DiemHKII!$C$4:$C$58,0),AA$59),""))</f>
        <v>9.1999999999999993</v>
      </c>
      <c r="AB16" s="792">
        <f t="shared" si="11"/>
        <v>1</v>
      </c>
      <c r="AC16" s="776" t="str">
        <f>IF($B16="","",INDEX(NXetHKI!$B$3:$CL$57,MATCH(NXchung!$C16,NXetHKI!$C$3:$C$57,0),NXchung!AC$59))</f>
        <v>Kiến thức vững, tự học tốt, ngoan.</v>
      </c>
      <c r="AD16" s="775" t="str">
        <f>IF($B16="","",IF(INDEX(BDHK2,MATCH($C16,DiemHKII!$C$4:$C$58,0),AD$59)&lt;&gt;"",INDEX(BDHK2,MATCH($C16,DiemHKII!$C$4:$C$58,0),AD$59),""))</f>
        <v/>
      </c>
      <c r="AE16" s="792" t="str">
        <f t="shared" si="12"/>
        <v/>
      </c>
      <c r="AF16" s="776" t="str">
        <f t="shared" si="13"/>
        <v/>
      </c>
      <c r="AG16" s="775" t="str">
        <f>IF($B16="","",IF(INDEX(BDHK2,MATCH($C16,DiemHKII!$C$4:$C$58,0),AG$59)&lt;&gt;"",INDEX(BDHK2,MATCH($C16,DiemHKII!$C$4:$C$58,0),AG$59),""))</f>
        <v/>
      </c>
      <c r="AH16" s="792" t="str">
        <f t="shared" si="14"/>
        <v/>
      </c>
      <c r="AI16" s="776" t="str">
        <f t="shared" si="15"/>
        <v/>
      </c>
      <c r="AJ16" s="774"/>
      <c r="AK16" s="775">
        <f>IF($B16="","",IF(INDEX(BDHK2,MATCH($C16,DiemHKII!$C$4:$C$58,0),AK$59)&lt;&gt;"",INDEX(BDHK2,MATCH($C16,DiemHKII!$C$4:$C$58,0),AK$59),""))</f>
        <v>9</v>
      </c>
      <c r="AL16" s="792">
        <f t="shared" si="16"/>
        <v>1</v>
      </c>
      <c r="AM16" s="776" t="str">
        <f>IF($B16="","",INDEX(NXetHKI!$B$3:$CL$57,MATCH(NXchung!$C16,NXetHKI!$C$3:$C$57,0),NXchung!AM$59))</f>
        <v>Có khả năng tự học và tự chủ bản thân, tích cực trong học tập.</v>
      </c>
      <c r="AN16" s="775" t="str">
        <f>IF($B16="","",IF(INDEX(BDHK2,MATCH($C16,DiemHKII!$C$4:$C$58,0),AN$59)&lt;&gt;"",INDEX(BDHK2,MATCH($C16,DiemHKII!$C$4:$C$58,0),AN$59),""))</f>
        <v/>
      </c>
      <c r="AO16" s="792" t="str">
        <f t="shared" si="17"/>
        <v/>
      </c>
      <c r="AP16" s="776" t="str">
        <f t="shared" si="18"/>
        <v/>
      </c>
      <c r="AQ16" s="775" t="str">
        <f>IF($B16="","",IF(INDEX(BDHK2,MATCH($C16,DiemHKII!$C$4:$C$58,0),AQ$59)&lt;&gt;"",INDEX(BDHK2,MATCH($C16,DiemHKII!$C$4:$C$58,0),AQ$59),""))</f>
        <v/>
      </c>
      <c r="AR16" s="792" t="str">
        <f t="shared" si="19"/>
        <v/>
      </c>
      <c r="AS16" s="776" t="str">
        <f t="shared" si="20"/>
        <v/>
      </c>
      <c r="AT16" s="774"/>
      <c r="AU16" s="775">
        <f>IF($B16="","",IF(INDEX(BDHK2,MATCH($C16,DiemHKII!$C$4:$C$58,0),AU$59)&lt;&gt;"",INDEX(BDHK2,MATCH($C16,DiemHKII!$C$4:$C$58,0),AU$59),""))</f>
        <v>9.6</v>
      </c>
      <c r="AV16" s="792">
        <f t="shared" si="21"/>
        <v>1</v>
      </c>
      <c r="AW16" s="776" t="str">
        <f>IF($B16="","",INDEX(NXetHKI!$B$3:$CL$57,MATCH(NXchung!$C16,NXetHKI!$C$3:$C$57,0),NXchung!AW$59))</f>
        <v>Ngoan, chăm chỉ, tư duy tốt.</v>
      </c>
      <c r="AX16" s="775" t="str">
        <f>IF($B16="","",IF(INDEX(BDHK2,MATCH($C16,DiemHKII!$C$4:$C$58,0),AX$59)&lt;&gt;"",INDEX(BDHK2,MATCH($C16,DiemHKII!$C$4:$C$58,0),AX$59),""))</f>
        <v/>
      </c>
      <c r="AY16" s="792" t="str">
        <f t="shared" si="22"/>
        <v/>
      </c>
      <c r="AZ16" s="776" t="str">
        <f t="shared" si="23"/>
        <v/>
      </c>
      <c r="BA16" s="775" t="str">
        <f>IF($B16="","",IF(INDEX(BDHK2,MATCH($C16,DiemHKII!$C$4:$C$58,0),BA$59)&lt;&gt;"",INDEX(BDHK2,MATCH($C16,DiemHKII!$C$4:$C$58,0),BA$59),""))</f>
        <v/>
      </c>
      <c r="BB16" s="792" t="str">
        <f t="shared" si="24"/>
        <v/>
      </c>
      <c r="BC16" s="776" t="str">
        <f t="shared" si="25"/>
        <v/>
      </c>
      <c r="BD16" s="774"/>
      <c r="BE16" s="775">
        <f>IF($B16="","",IF(INDEX(BDHK2,MATCH($C16,DiemHKII!$C$4:$C$58,0),BE$59)&lt;&gt;"",INDEX(BDHK2,MATCH($C16,DiemHKII!$C$4:$C$58,0),BE$59),""))</f>
        <v>7.2</v>
      </c>
      <c r="BF16" s="792">
        <f t="shared" si="26"/>
        <v>5</v>
      </c>
      <c r="BG16" s="776" t="str">
        <f>IF($B16="","",INDEX(NXetHKI!$B$3:$CL$57,MATCH(NXchung!$C16,NXetHKI!$C$3:$C$57,0),NXchung!BG$59))</f>
        <v>Có ý thức học tập tốt, cần nỗ lực rèn luyện thêm các kỹ năng.</v>
      </c>
      <c r="BH16" s="775" t="str">
        <f>IF($B16="","",IF(INDEX(BDHK2,MATCH($C16,DiemHKII!$C$4:$C$58,0),BH$59)&lt;&gt;"",INDEX(BDHK2,MATCH($C16,DiemHKII!$C$4:$C$58,0),BH$59),""))</f>
        <v/>
      </c>
      <c r="BI16" s="792" t="str">
        <f t="shared" si="27"/>
        <v/>
      </c>
      <c r="BJ16" s="776" t="str">
        <f t="shared" si="28"/>
        <v/>
      </c>
      <c r="BK16" s="775" t="str">
        <f>IF($B16="","",IF(INDEX(BDHK2,MATCH($C16,DiemHKII!$C$4:$C$58,0),BK$59)&lt;&gt;"",INDEX(BDHK2,MATCH($C16,DiemHKII!$C$4:$C$58,0),BK$59),""))</f>
        <v/>
      </c>
      <c r="BL16" s="792" t="str">
        <f t="shared" si="29"/>
        <v/>
      </c>
      <c r="BM16" s="776" t="str">
        <f t="shared" si="30"/>
        <v/>
      </c>
      <c r="BN16" s="774"/>
      <c r="BO16" s="775">
        <f>IF($B16="","",IF(INDEX(BDHK2,MATCH($C16,DiemHKII!$C$4:$C$58,0),BO$59)&lt;&gt;"",INDEX(BDHK2,MATCH($C16,DiemHKII!$C$4:$C$58,0),BO$59),""))</f>
        <v>9.4</v>
      </c>
      <c r="BP16" s="792">
        <f t="shared" si="31"/>
        <v>1</v>
      </c>
      <c r="BQ16" s="776" t="str">
        <f>IF($B16="","",INDEX(NXetHKI!$B$3:$CL$57,MATCH(NXchung!$C16,NXetHKI!$C$3:$C$57,0),NXchung!BQ$59))</f>
        <v>Tiếp thu bài tốt, ghi nhớ nhanh các sự kiện lịch sử.</v>
      </c>
      <c r="BR16" s="775" t="str">
        <f>IF($B16="","",IF(INDEX(BDHK2,MATCH($C16,DiemHKII!$C$4:$C$58,0),BR$59)&lt;&gt;"",INDEX(BDHK2,MATCH($C16,DiemHKII!$C$4:$C$58,0),BR$59),""))</f>
        <v/>
      </c>
      <c r="BS16" s="792" t="str">
        <f t="shared" si="32"/>
        <v/>
      </c>
      <c r="BT16" s="776" t="str">
        <f t="shared" si="33"/>
        <v/>
      </c>
      <c r="BU16" s="775" t="str">
        <f>IF($B16="","",IF(INDEX(BDHK2,MATCH($C16,DiemHKII!$C$4:$C$58,0),BU$59)&lt;&gt;"",INDEX(BDHK2,MATCH($C16,DiemHKII!$C$4:$C$58,0),BU$59),""))</f>
        <v/>
      </c>
      <c r="BV16" s="792" t="str">
        <f t="shared" si="34"/>
        <v/>
      </c>
      <c r="BW16" s="776" t="str">
        <f t="shared" si="35"/>
        <v/>
      </c>
      <c r="BX16" s="774"/>
      <c r="BY16" s="775">
        <f>IF($B16="","",IF(INDEX(BDHK2,MATCH($C16,DiemHKII!$C$4:$C$58,0),BY$59)&lt;&gt;"",INDEX(BDHK2,MATCH($C16,DiemHKII!$C$4:$C$58,0),BY$59),""))</f>
        <v>9.3000000000000007</v>
      </c>
      <c r="BZ16" s="792">
        <f t="shared" si="36"/>
        <v>1</v>
      </c>
      <c r="CA16" s="776" t="str">
        <f>IF($B16="","",INDEX(NXetHKI!$B$3:$CL$57,MATCH(NXchung!$C16,NXetHKI!$C$3:$C$57,0),NXchung!CA$59))</f>
        <v>Em có tư duy tốt, rất tích cực, giải quyết vấn đề tốt.</v>
      </c>
      <c r="CB16" s="775" t="str">
        <f>IF($B16="","",IF(INDEX(BDHK2,MATCH($C16,DiemHKII!$C$4:$C$58,0),CB$59)&lt;&gt;"",INDEX(BDHK2,MATCH($C16,DiemHKII!$C$4:$C$58,0),CB$59),""))</f>
        <v/>
      </c>
      <c r="CC16" s="792" t="str">
        <f t="shared" si="37"/>
        <v/>
      </c>
      <c r="CD16" s="776" t="str">
        <f t="shared" si="38"/>
        <v/>
      </c>
      <c r="CE16" s="775" t="str">
        <f>IF($B16="","",IF(INDEX(BDHK2,MATCH($C16,DiemHKII!$C$4:$C$58,0),CE$59)&lt;&gt;"",INDEX(BDHK2,MATCH($C16,DiemHKII!$C$4:$C$58,0),CE$59),""))</f>
        <v/>
      </c>
      <c r="CF16" s="792" t="str">
        <f t="shared" si="39"/>
        <v/>
      </c>
      <c r="CG16" s="776" t="str">
        <f t="shared" si="40"/>
        <v/>
      </c>
      <c r="CH16" s="774"/>
      <c r="CI16" s="775">
        <f>IF($B16="","",IF(INDEX(BDHK2,MATCH($C16,DiemHKII!$C$4:$C$58,0),CI$59)&lt;&gt;"",INDEX(BDHK2,MATCH($C16,DiemHKII!$C$4:$C$58,0),CI$59),""))</f>
        <v>8.1999999999999993</v>
      </c>
      <c r="CJ16" s="792">
        <f t="shared" si="41"/>
        <v>3</v>
      </c>
      <c r="CK16" s="776" t="str">
        <f>IF($B16="","",INDEX(NXetHKI!$B$3:$CL$57,MATCH(NXchung!$C16,NXetHKI!$C$3:$C$57,0),NXchung!CK$59))</f>
        <v>Chăm chỉ và tích cực trong hoạt động thảo luận nhóm.</v>
      </c>
      <c r="CL16" s="775" t="str">
        <f>IF($B16="","",IF(INDEX(BDHK2,MATCH($C16,DiemHKII!$C$4:$C$58,0),CL$59)&lt;&gt;"",INDEX(BDHK2,MATCH($C16,DiemHKII!$C$4:$C$58,0),CL$59),""))</f>
        <v/>
      </c>
      <c r="CM16" s="792" t="str">
        <f t="shared" si="42"/>
        <v/>
      </c>
      <c r="CN16" s="776" t="str">
        <f t="shared" si="43"/>
        <v/>
      </c>
      <c r="CO16" s="775" t="str">
        <f>IF($B16="","",IF(INDEX(BDHK2,MATCH($C16,DiemHKII!$C$4:$C$58,0),CO$59)&lt;&gt;"",INDEX(BDHK2,MATCH($C16,DiemHKII!$C$4:$C$58,0),CO$59),""))</f>
        <v/>
      </c>
      <c r="CP16" s="792" t="str">
        <f t="shared" si="44"/>
        <v/>
      </c>
      <c r="CQ16" s="776" t="str">
        <f t="shared" si="45"/>
        <v/>
      </c>
      <c r="CR16" s="774"/>
      <c r="CS16" s="775">
        <f>IF($B16="","",IF(INDEX(BDHK2,MATCH($C16,DiemHKII!$C$4:$C$58,0),CS$59)&lt;&gt;"",INDEX(BDHK2,MATCH($C16,DiemHKII!$C$4:$C$58,0),CS$59),""))</f>
        <v>9.4</v>
      </c>
      <c r="CT16" s="792">
        <f t="shared" si="46"/>
        <v>1</v>
      </c>
      <c r="CU16" s="776" t="str">
        <f>IF($B16="","",INDEX(NXetHKI!$B$3:$CL$57,MATCH(NXchung!$C16,NXetHKI!$C$3:$C$57,0),NXchung!CU$59))</f>
        <v>Chăm chỉ, học giỏi.</v>
      </c>
      <c r="CV16" s="775" t="str">
        <f>IF($B16="","",IF(INDEX(BDHK2,MATCH($C16,DiemHKII!$C$4:$C$58,0),CV$59)&lt;&gt;"",INDEX(BDHK2,MATCH($C16,DiemHKII!$C$4:$C$58,0),CV$59),""))</f>
        <v/>
      </c>
      <c r="CW16" s="792" t="str">
        <f t="shared" si="47"/>
        <v/>
      </c>
      <c r="CX16" s="776" t="str">
        <f t="shared" si="48"/>
        <v/>
      </c>
      <c r="CY16" s="775" t="str">
        <f>IF($B16="","",IF(INDEX(BDHK2,MATCH($C16,DiemHKII!$C$4:$C$58,0),CY$59)&lt;&gt;"",INDEX(BDHK2,MATCH($C16,DiemHKII!$C$4:$C$58,0),CY$59),""))</f>
        <v/>
      </c>
      <c r="CZ16" s="792" t="str">
        <f t="shared" si="49"/>
        <v/>
      </c>
      <c r="DA16" s="776" t="str">
        <f t="shared" si="50"/>
        <v/>
      </c>
      <c r="DB16" s="774"/>
      <c r="DC16" s="775">
        <f>IF($B16="","",IF(INDEX(BDHK2,MATCH($C16,DiemHKII!$C$4:$C$58,0),DC$59)&lt;&gt;"",INDEX(BDHK2,MATCH($C16,DiemHKII!$C$4:$C$58,0),DC$59),""))</f>
        <v>9.9</v>
      </c>
      <c r="DD16" s="792">
        <f t="shared" si="51"/>
        <v>1</v>
      </c>
      <c r="DE16" s="776" t="str">
        <f>IF($B16="","",INDEX(NXetHKI!$B$3:$CL$57,MATCH(NXchung!$C16,NXetHKI!$C$3:$C$57,0),NXchung!DE$59))</f>
        <v>Năng động, sáng tạo trong học tập.</v>
      </c>
      <c r="DF16" s="775" t="str">
        <f>IF($B16="","",IF(INDEX(BDHK2,MATCH($C16,DiemHKII!$C$4:$C$58,0),DF$59)&lt;&gt;"",INDEX(BDHK2,MATCH($C16,DiemHKII!$C$4:$C$58,0),DF$59),""))</f>
        <v/>
      </c>
      <c r="DG16" s="792" t="str">
        <f t="shared" si="52"/>
        <v/>
      </c>
      <c r="DH16" s="776" t="str">
        <f t="shared" si="53"/>
        <v/>
      </c>
      <c r="DI16" s="775" t="str">
        <f>IF($B16="","",IF(INDEX(BDHK2,MATCH($C16,DiemHKII!$C$4:$C$58,0),DI$59)&lt;&gt;"",INDEX(BDHK2,MATCH($C16,DiemHKII!$C$4:$C$58,0),DI$59),""))</f>
        <v/>
      </c>
      <c r="DJ16" s="792" t="str">
        <f t="shared" si="54"/>
        <v/>
      </c>
      <c r="DK16" s="776" t="str">
        <f t="shared" si="55"/>
        <v/>
      </c>
      <c r="DL16" s="774"/>
      <c r="DM16" s="775" t="str">
        <f>IF($B16="","",IF(INDEX(BDHK2,MATCH($C16,DiemHKII!$C$4:$C$58,0),DM$59)&lt;&gt;"",INDEX(BDHK2,MATCH($C16,DiemHKII!$C$4:$C$58,0),DM$59),""))</f>
        <v>Đ</v>
      </c>
      <c r="DN16" s="792">
        <f t="shared" si="56"/>
        <v>1</v>
      </c>
      <c r="DO16" s="776" t="str">
        <f>IF($B16="","",INDEX(NXetHKI!$B$3:$CL$57,MATCH(NXchung!$C16,NXetHKI!$C$3:$C$57,0),NXchung!DO$59))</f>
        <v>Giỏi, có nhiều tiến bộ trong học tập.</v>
      </c>
      <c r="DP16" s="775" t="str">
        <f>IF($B16="","",IF(INDEX(BDHK2,MATCH($C16,DiemHKII!$C$4:$C$58,0),DP$59)&lt;&gt;"",INDEX(BDHK2,MATCH($C16,DiemHKII!$C$4:$C$58,0),DP$59),""))</f>
        <v/>
      </c>
      <c r="DQ16" s="792" t="str">
        <f t="shared" si="57"/>
        <v/>
      </c>
      <c r="DR16" s="776" t="str">
        <f t="shared" si="58"/>
        <v/>
      </c>
      <c r="DS16" s="775" t="str">
        <f>IF($B16="","",IF(INDEX(BDHK2,MATCH($C16,DiemHKII!$C$4:$C$58,0),DS$59)&lt;&gt;"",INDEX(BDHK2,MATCH($C16,DiemHKII!$C$4:$C$58,0),DS$59),""))</f>
        <v>Đ</v>
      </c>
      <c r="DT16" s="792">
        <f t="shared" si="59"/>
        <v>1</v>
      </c>
      <c r="DU16" s="776" t="str">
        <f t="shared" si="60"/>
        <v>Chăm chỉ, cố gắng, rất ngoan.</v>
      </c>
      <c r="DV16" s="774"/>
      <c r="DW16" s="775">
        <f>IF($B16="","",IF(INDEX(BDHK2,MATCH($C16,DiemHKII!$C$4:$C$58,0),DW$59)&lt;&gt;"",INDEX(BDHK2,MATCH($C16,DiemHKII!$C$4:$C$58,0),DW$59),""))</f>
        <v>9.9</v>
      </c>
      <c r="DX16" s="792">
        <f t="shared" si="61"/>
        <v>1</v>
      </c>
      <c r="DY16" s="776" t="str">
        <f>IF($B16="","",INDEX(NXetHKI!$B$3:$CL$57,MATCH(NXchung!$C16,NXetHKI!$C$3:$C$57,0),NXchung!DY$59))</f>
        <v>Tích cực, năng động, nắm bài tốt, học giỏi.</v>
      </c>
      <c r="DZ16" s="775" t="str">
        <f>IF($B16="","",IF(INDEX(BDHK2,MATCH($C16,DiemHKII!$C$4:$C$58,0),DZ$59)&lt;&gt;"",INDEX(BDHK2,MATCH($C16,DiemHKII!$C$4:$C$58,0),DZ$59),""))</f>
        <v/>
      </c>
      <c r="EA16" s="792" t="str">
        <f t="shared" si="62"/>
        <v/>
      </c>
      <c r="EB16" s="776" t="str">
        <f t="shared" si="63"/>
        <v/>
      </c>
      <c r="EC16" s="775" t="str">
        <f>IF($B16="","",IF(INDEX(BDHK2,MATCH($C16,DiemHKII!$C$4:$C$58,0),EC$59)&lt;&gt;"",INDEX(BDHK2,MATCH($C16,DiemHKII!$C$4:$C$58,0),EC$59),""))</f>
        <v/>
      </c>
      <c r="ED16" s="792" t="str">
        <f t="shared" si="64"/>
        <v/>
      </c>
      <c r="EE16" s="776" t="str">
        <f t="shared" si="65"/>
        <v/>
      </c>
      <c r="EF16" s="774"/>
      <c r="EG16" s="775" t="str">
        <f>IF($B16="","",IF(INDEX(BDHK2,MATCH($C16,DiemHKII!$C$4:$C$58,0),EG$59)&lt;&gt;"",INDEX(BDHK2,MATCH($C16,DiemHKII!$C$4:$C$58,0),EG$59),""))</f>
        <v/>
      </c>
      <c r="EH16" s="792" t="str">
        <f t="shared" si="66"/>
        <v/>
      </c>
      <c r="EI16" s="776" t="str">
        <f>IF($B16="","",INDEX(NXetHKI!$B$3:$CL$57,MATCH(NXchung!$C16,NXetHKI!$C$3:$C$57,0),NXchung!EI$59))</f>
        <v/>
      </c>
      <c r="EJ16" s="775" t="str">
        <f>IF($B16="","",IF(INDEX(BDHK2,MATCH($C16,DiemHKII!$C$4:$C$58,0),EJ$59)&lt;&gt;"",INDEX(BDHK2,MATCH($C16,DiemHKII!$C$4:$C$58,0),EJ$59),""))</f>
        <v/>
      </c>
      <c r="EK16" s="792" t="str">
        <f t="shared" si="67"/>
        <v/>
      </c>
      <c r="EL16" s="776" t="str">
        <f t="shared" si="68"/>
        <v/>
      </c>
      <c r="EM16" s="775" t="str">
        <f>IF($B16="","",IF(INDEX(BDHK2,MATCH($C16,DiemHKII!$C$4:$C$58,0),EM$59)&lt;&gt;"",INDEX(BDHK2,MATCH($C16,DiemHKII!$C$4:$C$58,0),EM$59),""))</f>
        <v/>
      </c>
      <c r="EN16" s="792" t="str">
        <f t="shared" si="69"/>
        <v/>
      </c>
      <c r="EO16" s="776" t="str">
        <f t="shared" si="70"/>
        <v/>
      </c>
      <c r="EP16" s="774"/>
      <c r="ER16" s="816">
        <v>9</v>
      </c>
      <c r="ES16" s="816">
        <v>3</v>
      </c>
    </row>
    <row r="17" spans="1:149" ht="15" customHeight="1">
      <c r="A17" s="764"/>
      <c r="B17" s="777">
        <f>IF(B16&lt;MAX(DiemHKII!$B$4:$B$58),B16+1,"")</f>
        <v>15</v>
      </c>
      <c r="C17" s="777" t="str">
        <f t="shared" si="0"/>
        <v>12A1Trần HoàngHưng11/06/2004</v>
      </c>
      <c r="D17" s="778" t="str">
        <f>IF($B17&lt;&gt;"",PROPER(INDEX(DiemHKII!$B$4:$K$58,MATCH($B17,DiemHKII!$B$4:$B$58,0),4)),"")</f>
        <v>Trần Hoàng</v>
      </c>
      <c r="E17" s="779" t="str">
        <f>IF($B17&lt;&gt;"",PROPER(INDEX(DiemHKII!$B$4:$K$58,MATCH($B17,DiemHKII!$B$4:$B$58,0),5)),"")</f>
        <v>Hưng</v>
      </c>
      <c r="F17" s="780" t="str">
        <f>IF($B17&lt;&gt;"",PROPER(INDEX(DiemHKII!$B$4:$K$58,MATCH($B17,DiemHKII!$B$4:$B$58,0),6)),"")</f>
        <v>11/06/2004</v>
      </c>
      <c r="G17" s="781">
        <f>IF($B17="","",IF(INDEX(BDHK2,MATCH($C17,DiemHKII!$C$4:$C$58,0),G$59)&lt;&gt;"",INDEX(BDHK2,MATCH($C17,DiemHKII!$C$4:$C$58,0),G$59),""))</f>
        <v>9.6999999999999993</v>
      </c>
      <c r="H17" s="793">
        <f t="shared" si="1"/>
        <v>1</v>
      </c>
      <c r="I17" s="782" t="str">
        <f>IF($B17="","",INDEX(NXetHKI!$B$3:$CL$57,MATCH(NXchung!$C17,NXetHKI!$C$3:$C$57,0),NXchung!I$59))</f>
        <v>Em ngoan, tích cực, năng động, rất đáng khen.</v>
      </c>
      <c r="J17" s="781" t="str">
        <f>IF($B17="","",IF(INDEX(BDHK2,MATCH($C17,DiemHKII!$C$4:$C$58,0),J$59)&lt;&gt;"",INDEX(BDHK2,MATCH($C17,DiemHKII!$C$4:$C$58,0),J$59),""))</f>
        <v/>
      </c>
      <c r="K17" s="793" t="str">
        <f t="shared" si="2"/>
        <v/>
      </c>
      <c r="L17" s="782" t="str">
        <f t="shared" si="3"/>
        <v/>
      </c>
      <c r="M17" s="781" t="str">
        <f>IF($B17="","",IF(INDEX(BDHK2,MATCH($C17,DiemHKII!$C$4:$C$58,0),M$59)&lt;&gt;"",INDEX(BDHK2,MATCH($C17,DiemHKII!$C$4:$C$58,0),M$59),""))</f>
        <v/>
      </c>
      <c r="N17" s="793" t="str">
        <f t="shared" si="4"/>
        <v/>
      </c>
      <c r="O17" s="782" t="str">
        <f t="shared" si="5"/>
        <v/>
      </c>
      <c r="P17" s="780"/>
      <c r="Q17" s="781">
        <f>IF($B17="","",IF(INDEX(BDHK2,MATCH($C17,DiemHKII!$C$4:$C$58,0),Q$59)&lt;&gt;"",INDEX(BDHK2,MATCH($C17,DiemHKII!$C$4:$C$58,0),Q$59),""))</f>
        <v>9.8000000000000007</v>
      </c>
      <c r="R17" s="793">
        <f t="shared" si="6"/>
        <v>1</v>
      </c>
      <c r="S17" s="782" t="str">
        <f>IF($B17="","",INDEX(NXetHKI!$B$3:$CL$57,MATCH(NXchung!$C17,NXetHKI!$C$3:$C$57,0),NXchung!S$59))</f>
        <v>Em ngoan, tích cực, năng động, rất đáng khen.</v>
      </c>
      <c r="T17" s="781" t="str">
        <f>IF($B17="","",IF(INDEX(BDHK2,MATCH($C17,DiemHKII!$C$4:$C$58,0),T$59)&lt;&gt;"",INDEX(BDHK2,MATCH($C17,DiemHKII!$C$4:$C$58,0),T$59),""))</f>
        <v/>
      </c>
      <c r="U17" s="793" t="str">
        <f t="shared" si="7"/>
        <v/>
      </c>
      <c r="V17" s="782" t="str">
        <f t="shared" si="8"/>
        <v/>
      </c>
      <c r="W17" s="781" t="str">
        <f>IF($B17="","",IF(INDEX(BDHK2,MATCH($C17,DiemHKII!$C$4:$C$58,0),W$59)&lt;&gt;"",INDEX(BDHK2,MATCH($C17,DiemHKII!$C$4:$C$58,0),W$59),""))</f>
        <v/>
      </c>
      <c r="X17" s="793" t="str">
        <f t="shared" si="9"/>
        <v/>
      </c>
      <c r="Y17" s="782" t="str">
        <f t="shared" si="10"/>
        <v/>
      </c>
      <c r="Z17" s="780"/>
      <c r="AA17" s="781">
        <f>IF($B17="","",IF(INDEX(BDHK2,MATCH($C17,DiemHKII!$C$4:$C$58,0),AA$59)&lt;&gt;"",INDEX(BDHK2,MATCH($C17,DiemHKII!$C$4:$C$58,0),AA$59),""))</f>
        <v>9</v>
      </c>
      <c r="AB17" s="793">
        <f t="shared" si="11"/>
        <v>1</v>
      </c>
      <c r="AC17" s="782" t="str">
        <f>IF($B17="","",INDEX(NXetHKI!$B$3:$CL$57,MATCH(NXchung!$C17,NXetHKI!$C$3:$C$57,0),NXchung!AC$59))</f>
        <v>Kiến thức vững, sáng tạo, tự học tốt.</v>
      </c>
      <c r="AD17" s="781" t="str">
        <f>IF($B17="","",IF(INDEX(BDHK2,MATCH($C17,DiemHKII!$C$4:$C$58,0),AD$59)&lt;&gt;"",INDEX(BDHK2,MATCH($C17,DiemHKII!$C$4:$C$58,0),AD$59),""))</f>
        <v/>
      </c>
      <c r="AE17" s="793" t="str">
        <f t="shared" si="12"/>
        <v/>
      </c>
      <c r="AF17" s="782" t="str">
        <f t="shared" si="13"/>
        <v/>
      </c>
      <c r="AG17" s="781" t="str">
        <f>IF($B17="","",IF(INDEX(BDHK2,MATCH($C17,DiemHKII!$C$4:$C$58,0),AG$59)&lt;&gt;"",INDEX(BDHK2,MATCH($C17,DiemHKII!$C$4:$C$58,0),AG$59),""))</f>
        <v/>
      </c>
      <c r="AH17" s="793" t="str">
        <f t="shared" si="14"/>
        <v/>
      </c>
      <c r="AI17" s="782" t="str">
        <f t="shared" si="15"/>
        <v/>
      </c>
      <c r="AJ17" s="780"/>
      <c r="AK17" s="781">
        <f>IF($B17="","",IF(INDEX(BDHK2,MATCH($C17,DiemHKII!$C$4:$C$58,0),AK$59)&lt;&gt;"",INDEX(BDHK2,MATCH($C17,DiemHKII!$C$4:$C$58,0),AK$59),""))</f>
        <v>8.8000000000000007</v>
      </c>
      <c r="AL17" s="793">
        <f t="shared" si="16"/>
        <v>2</v>
      </c>
      <c r="AM17" s="782" t="str">
        <f>IF($B17="","",INDEX(NXetHKI!$B$3:$CL$57,MATCH(NXchung!$C17,NXetHKI!$C$3:$C$57,0),NXchung!AM$59))</f>
        <v>Ngoan, khả năng tư duy tốt, có trách nhiệm, trình bày tốt.</v>
      </c>
      <c r="AN17" s="781" t="str">
        <f>IF($B17="","",IF(INDEX(BDHK2,MATCH($C17,DiemHKII!$C$4:$C$58,0),AN$59)&lt;&gt;"",INDEX(BDHK2,MATCH($C17,DiemHKII!$C$4:$C$58,0),AN$59),""))</f>
        <v/>
      </c>
      <c r="AO17" s="793" t="str">
        <f t="shared" si="17"/>
        <v/>
      </c>
      <c r="AP17" s="782" t="str">
        <f t="shared" si="18"/>
        <v/>
      </c>
      <c r="AQ17" s="781" t="str">
        <f>IF($B17="","",IF(INDEX(BDHK2,MATCH($C17,DiemHKII!$C$4:$C$58,0),AQ$59)&lt;&gt;"",INDEX(BDHK2,MATCH($C17,DiemHKII!$C$4:$C$58,0),AQ$59),""))</f>
        <v/>
      </c>
      <c r="AR17" s="793" t="str">
        <f t="shared" si="19"/>
        <v/>
      </c>
      <c r="AS17" s="782" t="str">
        <f t="shared" si="20"/>
        <v/>
      </c>
      <c r="AT17" s="780"/>
      <c r="AU17" s="781">
        <f>IF($B17="","",IF(INDEX(BDHK2,MATCH($C17,DiemHKII!$C$4:$C$58,0),AU$59)&lt;&gt;"",INDEX(BDHK2,MATCH($C17,DiemHKII!$C$4:$C$58,0),AU$59),""))</f>
        <v>9.8000000000000007</v>
      </c>
      <c r="AV17" s="793">
        <f t="shared" si="21"/>
        <v>1</v>
      </c>
      <c r="AW17" s="782" t="str">
        <f>IF($B17="","",INDEX(NXetHKI!$B$3:$CL$57,MATCH(NXchung!$C17,NXetHKI!$C$3:$C$57,0),NXchung!AW$59))</f>
        <v>Học giỏi, năng động và sáng tạo trong học tập.</v>
      </c>
      <c r="AX17" s="781" t="str">
        <f>IF($B17="","",IF(INDEX(BDHK2,MATCH($C17,DiemHKII!$C$4:$C$58,0),AX$59)&lt;&gt;"",INDEX(BDHK2,MATCH($C17,DiemHKII!$C$4:$C$58,0),AX$59),""))</f>
        <v/>
      </c>
      <c r="AY17" s="793" t="str">
        <f t="shared" si="22"/>
        <v/>
      </c>
      <c r="AZ17" s="782" t="str">
        <f t="shared" si="23"/>
        <v/>
      </c>
      <c r="BA17" s="781" t="str">
        <f>IF($B17="","",IF(INDEX(BDHK2,MATCH($C17,DiemHKII!$C$4:$C$58,0),BA$59)&lt;&gt;"",INDEX(BDHK2,MATCH($C17,DiemHKII!$C$4:$C$58,0),BA$59),""))</f>
        <v/>
      </c>
      <c r="BB17" s="793" t="str">
        <f t="shared" si="24"/>
        <v/>
      </c>
      <c r="BC17" s="782" t="str">
        <f t="shared" si="25"/>
        <v/>
      </c>
      <c r="BD17" s="780"/>
      <c r="BE17" s="781">
        <f>IF($B17="","",IF(INDEX(BDHK2,MATCH($C17,DiemHKII!$C$4:$C$58,0),BE$59)&lt;&gt;"",INDEX(BDHK2,MATCH($C17,DiemHKII!$C$4:$C$58,0),BE$59),""))</f>
        <v>7.5</v>
      </c>
      <c r="BF17" s="793">
        <f t="shared" si="26"/>
        <v>4</v>
      </c>
      <c r="BG17" s="782" t="str">
        <f>IF($B17="","",INDEX(NXetHKI!$B$3:$CL$57,MATCH(NXchung!$C17,NXetHKI!$C$3:$C$57,0),NXchung!BG$59))</f>
        <v>Cần chủ động hơn trong giờ học, rèn thêm kỹ năng viết.</v>
      </c>
      <c r="BH17" s="781" t="str">
        <f>IF($B17="","",IF(INDEX(BDHK2,MATCH($C17,DiemHKII!$C$4:$C$58,0),BH$59)&lt;&gt;"",INDEX(BDHK2,MATCH($C17,DiemHKII!$C$4:$C$58,0),BH$59),""))</f>
        <v/>
      </c>
      <c r="BI17" s="793" t="str">
        <f t="shared" si="27"/>
        <v/>
      </c>
      <c r="BJ17" s="782" t="str">
        <f t="shared" si="28"/>
        <v/>
      </c>
      <c r="BK17" s="781" t="str">
        <f>IF($B17="","",IF(INDEX(BDHK2,MATCH($C17,DiemHKII!$C$4:$C$58,0),BK$59)&lt;&gt;"",INDEX(BDHK2,MATCH($C17,DiemHKII!$C$4:$C$58,0),BK$59),""))</f>
        <v/>
      </c>
      <c r="BL17" s="793" t="str">
        <f t="shared" si="29"/>
        <v/>
      </c>
      <c r="BM17" s="782" t="str">
        <f t="shared" si="30"/>
        <v/>
      </c>
      <c r="BN17" s="780"/>
      <c r="BO17" s="781">
        <f>IF($B17="","",IF(INDEX(BDHK2,MATCH($C17,DiemHKII!$C$4:$C$58,0),BO$59)&lt;&gt;"",INDEX(BDHK2,MATCH($C17,DiemHKII!$C$4:$C$58,0),BO$59),""))</f>
        <v>9.8000000000000007</v>
      </c>
      <c r="BP17" s="793">
        <f t="shared" si="31"/>
        <v>1</v>
      </c>
      <c r="BQ17" s="782" t="str">
        <f>IF($B17="","",INDEX(NXetHKI!$B$3:$CL$57,MATCH(NXchung!$C17,NXetHKI!$C$3:$C$57,0),NXchung!BQ$59))</f>
        <v>Chăm học, tích cực phát biểu xây dựng bài.</v>
      </c>
      <c r="BR17" s="781" t="str">
        <f>IF($B17="","",IF(INDEX(BDHK2,MATCH($C17,DiemHKII!$C$4:$C$58,0),BR$59)&lt;&gt;"",INDEX(BDHK2,MATCH($C17,DiemHKII!$C$4:$C$58,0),BR$59),""))</f>
        <v/>
      </c>
      <c r="BS17" s="793" t="str">
        <f t="shared" si="32"/>
        <v/>
      </c>
      <c r="BT17" s="782" t="str">
        <f t="shared" si="33"/>
        <v/>
      </c>
      <c r="BU17" s="781" t="str">
        <f>IF($B17="","",IF(INDEX(BDHK2,MATCH($C17,DiemHKII!$C$4:$C$58,0),BU$59)&lt;&gt;"",INDEX(BDHK2,MATCH($C17,DiemHKII!$C$4:$C$58,0),BU$59),""))</f>
        <v/>
      </c>
      <c r="BV17" s="793" t="str">
        <f t="shared" si="34"/>
        <v/>
      </c>
      <c r="BW17" s="782" t="str">
        <f t="shared" si="35"/>
        <v/>
      </c>
      <c r="BX17" s="780"/>
      <c r="BY17" s="781">
        <f>IF($B17="","",IF(INDEX(BDHK2,MATCH($C17,DiemHKII!$C$4:$C$58,0),BY$59)&lt;&gt;"",INDEX(BDHK2,MATCH($C17,DiemHKII!$C$4:$C$58,0),BY$59),""))</f>
        <v>9.1</v>
      </c>
      <c r="BZ17" s="793">
        <f t="shared" si="36"/>
        <v>1</v>
      </c>
      <c r="CA17" s="782" t="str">
        <f>IF($B17="","",INDEX(NXetHKI!$B$3:$CL$57,MATCH(NXchung!$C17,NXetHKI!$C$3:$C$57,0),NXchung!CA$59))</f>
        <v>Em có tư duy tốt, tích cực, vận dụng thực tế tốt.</v>
      </c>
      <c r="CB17" s="781" t="str">
        <f>IF($B17="","",IF(INDEX(BDHK2,MATCH($C17,DiemHKII!$C$4:$C$58,0),CB$59)&lt;&gt;"",INDEX(BDHK2,MATCH($C17,DiemHKII!$C$4:$C$58,0),CB$59),""))</f>
        <v/>
      </c>
      <c r="CC17" s="793" t="str">
        <f t="shared" si="37"/>
        <v/>
      </c>
      <c r="CD17" s="782" t="str">
        <f t="shared" si="38"/>
        <v/>
      </c>
      <c r="CE17" s="781" t="str">
        <f>IF($B17="","",IF(INDEX(BDHK2,MATCH($C17,DiemHKII!$C$4:$C$58,0),CE$59)&lt;&gt;"",INDEX(BDHK2,MATCH($C17,DiemHKII!$C$4:$C$58,0),CE$59),""))</f>
        <v/>
      </c>
      <c r="CF17" s="793" t="str">
        <f t="shared" si="39"/>
        <v/>
      </c>
      <c r="CG17" s="782" t="str">
        <f t="shared" si="40"/>
        <v/>
      </c>
      <c r="CH17" s="780"/>
      <c r="CI17" s="781">
        <f>IF($B17="","",IF(INDEX(BDHK2,MATCH($C17,DiemHKII!$C$4:$C$58,0),CI$59)&lt;&gt;"",INDEX(BDHK2,MATCH($C17,DiemHKII!$C$4:$C$58,0),CI$59),""))</f>
        <v>9.5</v>
      </c>
      <c r="CJ17" s="793">
        <f t="shared" si="41"/>
        <v>1</v>
      </c>
      <c r="CK17" s="782" t="str">
        <f>IF($B17="","",INDEX(NXetHKI!$B$3:$CL$57,MATCH(NXchung!$C17,NXetHKI!$C$3:$C$57,0),NXchung!CK$59))</f>
        <v>Tích cực phát biểu trong giờ học, tương tác tốt với giáo viên và bạn bè.</v>
      </c>
      <c r="CL17" s="781" t="str">
        <f>IF($B17="","",IF(INDEX(BDHK2,MATCH($C17,DiemHKII!$C$4:$C$58,0),CL$59)&lt;&gt;"",INDEX(BDHK2,MATCH($C17,DiemHKII!$C$4:$C$58,0),CL$59),""))</f>
        <v/>
      </c>
      <c r="CM17" s="793" t="str">
        <f t="shared" si="42"/>
        <v/>
      </c>
      <c r="CN17" s="782" t="str">
        <f t="shared" si="43"/>
        <v/>
      </c>
      <c r="CO17" s="781" t="str">
        <f>IF($B17="","",IF(INDEX(BDHK2,MATCH($C17,DiemHKII!$C$4:$C$58,0),CO$59)&lt;&gt;"",INDEX(BDHK2,MATCH($C17,DiemHKII!$C$4:$C$58,0),CO$59),""))</f>
        <v/>
      </c>
      <c r="CP17" s="793" t="str">
        <f t="shared" si="44"/>
        <v/>
      </c>
      <c r="CQ17" s="782" t="str">
        <f t="shared" si="45"/>
        <v/>
      </c>
      <c r="CR17" s="780"/>
      <c r="CS17" s="781">
        <f>IF($B17="","",IF(INDEX(BDHK2,MATCH($C17,DiemHKII!$C$4:$C$58,0),CS$59)&lt;&gt;"",INDEX(BDHK2,MATCH($C17,DiemHKII!$C$4:$C$58,0),CS$59),""))</f>
        <v>9.1</v>
      </c>
      <c r="CT17" s="793">
        <f t="shared" si="46"/>
        <v>1</v>
      </c>
      <c r="CU17" s="782" t="str">
        <f>IF($B17="","",INDEX(NXetHKI!$B$3:$CL$57,MATCH(NXchung!$C17,NXetHKI!$C$3:$C$57,0),NXchung!CU$59))</f>
        <v>Hứng thú, tích cực, học giỏi.</v>
      </c>
      <c r="CV17" s="781" t="str">
        <f>IF($B17="","",IF(INDEX(BDHK2,MATCH($C17,DiemHKII!$C$4:$C$58,0),CV$59)&lt;&gt;"",INDEX(BDHK2,MATCH($C17,DiemHKII!$C$4:$C$58,0),CV$59),""))</f>
        <v/>
      </c>
      <c r="CW17" s="793" t="str">
        <f t="shared" si="47"/>
        <v/>
      </c>
      <c r="CX17" s="782" t="str">
        <f t="shared" si="48"/>
        <v/>
      </c>
      <c r="CY17" s="781" t="str">
        <f>IF($B17="","",IF(INDEX(BDHK2,MATCH($C17,DiemHKII!$C$4:$C$58,0),CY$59)&lt;&gt;"",INDEX(BDHK2,MATCH($C17,DiemHKII!$C$4:$C$58,0),CY$59),""))</f>
        <v/>
      </c>
      <c r="CZ17" s="793" t="str">
        <f t="shared" si="49"/>
        <v/>
      </c>
      <c r="DA17" s="782" t="str">
        <f t="shared" si="50"/>
        <v/>
      </c>
      <c r="DB17" s="780"/>
      <c r="DC17" s="781">
        <f>IF($B17="","",IF(INDEX(BDHK2,MATCH($C17,DiemHKII!$C$4:$C$58,0),DC$59)&lt;&gt;"",INDEX(BDHK2,MATCH($C17,DiemHKII!$C$4:$C$58,0),DC$59),""))</f>
        <v>9.9</v>
      </c>
      <c r="DD17" s="793">
        <f t="shared" si="51"/>
        <v>1</v>
      </c>
      <c r="DE17" s="782" t="str">
        <f>IF($B17="","",INDEX(NXetHKI!$B$3:$CL$57,MATCH(NXchung!$C17,NXetHKI!$C$3:$C$57,0),NXchung!DE$59))</f>
        <v>Học giỏi, tiếp thu nhanh, chăm ngoan.</v>
      </c>
      <c r="DF17" s="781" t="str">
        <f>IF($B17="","",IF(INDEX(BDHK2,MATCH($C17,DiemHKII!$C$4:$C$58,0),DF$59)&lt;&gt;"",INDEX(BDHK2,MATCH($C17,DiemHKII!$C$4:$C$58,0),DF$59),""))</f>
        <v/>
      </c>
      <c r="DG17" s="793" t="str">
        <f t="shared" si="52"/>
        <v/>
      </c>
      <c r="DH17" s="782" t="str">
        <f t="shared" si="53"/>
        <v/>
      </c>
      <c r="DI17" s="781" t="str">
        <f>IF($B17="","",IF(INDEX(BDHK2,MATCH($C17,DiemHKII!$C$4:$C$58,0),DI$59)&lt;&gt;"",INDEX(BDHK2,MATCH($C17,DiemHKII!$C$4:$C$58,0),DI$59),""))</f>
        <v/>
      </c>
      <c r="DJ17" s="793" t="str">
        <f t="shared" si="54"/>
        <v/>
      </c>
      <c r="DK17" s="782" t="str">
        <f t="shared" si="55"/>
        <v/>
      </c>
      <c r="DL17" s="780"/>
      <c r="DM17" s="781" t="str">
        <f>IF($B17="","",IF(INDEX(BDHK2,MATCH($C17,DiemHKII!$C$4:$C$58,0),DM$59)&lt;&gt;"",INDEX(BDHK2,MATCH($C17,DiemHKII!$C$4:$C$58,0),DM$59),""))</f>
        <v>Đ</v>
      </c>
      <c r="DN17" s="793">
        <f t="shared" si="56"/>
        <v>1</v>
      </c>
      <c r="DO17" s="782" t="str">
        <f>IF($B17="","",INDEX(NXetHKI!$B$3:$CL$57,MATCH(NXchung!$C17,NXetHKI!$C$3:$C$57,0),NXchung!DO$59))</f>
        <v>Rất ngoan, học có hiệu quả tốt.</v>
      </c>
      <c r="DP17" s="781" t="str">
        <f>IF($B17="","",IF(INDEX(BDHK2,MATCH($C17,DiemHKII!$C$4:$C$58,0),DP$59)&lt;&gt;"",INDEX(BDHK2,MATCH($C17,DiemHKII!$C$4:$C$58,0),DP$59),""))</f>
        <v/>
      </c>
      <c r="DQ17" s="793" t="str">
        <f t="shared" si="57"/>
        <v/>
      </c>
      <c r="DR17" s="782" t="str">
        <f t="shared" si="58"/>
        <v/>
      </c>
      <c r="DS17" s="781" t="str">
        <f>IF($B17="","",IF(INDEX(BDHK2,MATCH($C17,DiemHKII!$C$4:$C$58,0),DS$59)&lt;&gt;"",INDEX(BDHK2,MATCH($C17,DiemHKII!$C$4:$C$58,0),DS$59),""))</f>
        <v>Đ</v>
      </c>
      <c r="DT17" s="793">
        <f t="shared" si="59"/>
        <v>1</v>
      </c>
      <c r="DU17" s="782" t="str">
        <f t="shared" si="60"/>
        <v>Giỏi, có nhiều tiến bộ trong học tập.</v>
      </c>
      <c r="DV17" s="780"/>
      <c r="DW17" s="781">
        <f>IF($B17="","",IF(INDEX(BDHK2,MATCH($C17,DiemHKII!$C$4:$C$58,0),DW$59)&lt;&gt;"",INDEX(BDHK2,MATCH($C17,DiemHKII!$C$4:$C$58,0),DW$59),""))</f>
        <v>9.9</v>
      </c>
      <c r="DX17" s="793">
        <f t="shared" si="61"/>
        <v>1</v>
      </c>
      <c r="DY17" s="782" t="str">
        <f>IF($B17="","",INDEX(NXetHKI!$B$3:$CL$57,MATCH(NXchung!$C17,NXetHKI!$C$3:$C$57,0),NXchung!DY$59))</f>
        <v>Ngoan, tích cực xây dựng bài, nắm chắc thực hành, học giỏi.</v>
      </c>
      <c r="DZ17" s="781" t="str">
        <f>IF($B17="","",IF(INDEX(BDHK2,MATCH($C17,DiemHKII!$C$4:$C$58,0),DZ$59)&lt;&gt;"",INDEX(BDHK2,MATCH($C17,DiemHKII!$C$4:$C$58,0),DZ$59),""))</f>
        <v/>
      </c>
      <c r="EA17" s="793" t="str">
        <f t="shared" si="62"/>
        <v/>
      </c>
      <c r="EB17" s="782" t="str">
        <f t="shared" si="63"/>
        <v/>
      </c>
      <c r="EC17" s="781" t="str">
        <f>IF($B17="","",IF(INDEX(BDHK2,MATCH($C17,DiemHKII!$C$4:$C$58,0),EC$59)&lt;&gt;"",INDEX(BDHK2,MATCH($C17,DiemHKII!$C$4:$C$58,0),EC$59),""))</f>
        <v/>
      </c>
      <c r="ED17" s="793" t="str">
        <f t="shared" si="64"/>
        <v/>
      </c>
      <c r="EE17" s="782" t="str">
        <f t="shared" si="65"/>
        <v/>
      </c>
      <c r="EF17" s="780"/>
      <c r="EG17" s="781" t="str">
        <f>IF($B17="","",IF(INDEX(BDHK2,MATCH($C17,DiemHKII!$C$4:$C$58,0),EG$59)&lt;&gt;"",INDEX(BDHK2,MATCH($C17,DiemHKII!$C$4:$C$58,0),EG$59),""))</f>
        <v/>
      </c>
      <c r="EH17" s="793" t="str">
        <f t="shared" si="66"/>
        <v/>
      </c>
      <c r="EI17" s="782" t="str">
        <f>IF($B17="","",INDEX(NXetHKI!$B$3:$CL$57,MATCH(NXchung!$C17,NXetHKI!$C$3:$C$57,0),NXchung!EI$59))</f>
        <v/>
      </c>
      <c r="EJ17" s="781" t="str">
        <f>IF($B17="","",IF(INDEX(BDHK2,MATCH($C17,DiemHKII!$C$4:$C$58,0),EJ$59)&lt;&gt;"",INDEX(BDHK2,MATCH($C17,DiemHKII!$C$4:$C$58,0),EJ$59),""))</f>
        <v/>
      </c>
      <c r="EK17" s="793" t="str">
        <f t="shared" si="67"/>
        <v/>
      </c>
      <c r="EL17" s="782" t="str">
        <f t="shared" si="68"/>
        <v/>
      </c>
      <c r="EM17" s="781" t="str">
        <f>IF($B17="","",IF(INDEX(BDHK2,MATCH($C17,DiemHKII!$C$4:$C$58,0),EM$59)&lt;&gt;"",INDEX(BDHK2,MATCH($C17,DiemHKII!$C$4:$C$58,0),EM$59),""))</f>
        <v/>
      </c>
      <c r="EN17" s="793" t="str">
        <f t="shared" si="69"/>
        <v/>
      </c>
      <c r="EO17" s="782" t="str">
        <f t="shared" si="70"/>
        <v/>
      </c>
      <c r="EP17" s="780"/>
      <c r="ER17" s="816">
        <v>3</v>
      </c>
      <c r="ES17" s="816">
        <v>6</v>
      </c>
    </row>
    <row r="18" spans="1:149" ht="15" customHeight="1">
      <c r="A18" s="764"/>
      <c r="B18" s="765">
        <f>IF(B17&lt;MAX(DiemHKII!$B$4:$B$58),B17+1,"")</f>
        <v>16</v>
      </c>
      <c r="C18" s="765" t="str">
        <f t="shared" si="0"/>
        <v>12A1Trần ĐăngKhải22/04/2004</v>
      </c>
      <c r="D18" s="766" t="str">
        <f>IF($B18&lt;&gt;"",PROPER(INDEX(DiemHKII!$B$4:$K$58,MATCH($B18,DiemHKII!$B$4:$B$58,0),4)),"")</f>
        <v>Trần Đăng</v>
      </c>
      <c r="E18" s="767" t="str">
        <f>IF($B18&lt;&gt;"",PROPER(INDEX(DiemHKII!$B$4:$K$58,MATCH($B18,DiemHKII!$B$4:$B$58,0),5)),"")</f>
        <v>Khải</v>
      </c>
      <c r="F18" s="768" t="str">
        <f>IF($B18&lt;&gt;"",PROPER(INDEX(DiemHKII!$B$4:$K$58,MATCH($B18,DiemHKII!$B$4:$B$58,0),6)),"")</f>
        <v>22/04/2004</v>
      </c>
      <c r="G18" s="783">
        <f>IF($B18="","",IF(INDEX(BDHK2,MATCH($C18,DiemHKII!$C$4:$C$58,0),G$59)&lt;&gt;"",INDEX(BDHK2,MATCH($C18,DiemHKII!$C$4:$C$58,0),G$59),""))</f>
        <v>9.6</v>
      </c>
      <c r="H18" s="794">
        <f t="shared" si="1"/>
        <v>1</v>
      </c>
      <c r="I18" s="770" t="str">
        <f>IF($B18="","",INDEX(NXetHKI!$B$3:$CL$57,MATCH(NXchung!$C18,NXetHKI!$C$3:$C$57,0),NXchung!I$59))</f>
        <v>Em chăm chỉ, chuyên cần, rất tích cực, rất đáng khen.</v>
      </c>
      <c r="J18" s="783" t="str">
        <f>IF($B18="","",IF(INDEX(BDHK2,MATCH($C18,DiemHKII!$C$4:$C$58,0),J$59)&lt;&gt;"",INDEX(BDHK2,MATCH($C18,DiemHKII!$C$4:$C$58,0),J$59),""))</f>
        <v/>
      </c>
      <c r="K18" s="794" t="str">
        <f t="shared" si="2"/>
        <v/>
      </c>
      <c r="L18" s="770" t="str">
        <f t="shared" si="3"/>
        <v/>
      </c>
      <c r="M18" s="783" t="str">
        <f>IF($B18="","",IF(INDEX(BDHK2,MATCH($C18,DiemHKII!$C$4:$C$58,0),M$59)&lt;&gt;"",INDEX(BDHK2,MATCH($C18,DiemHKII!$C$4:$C$58,0),M$59),""))</f>
        <v/>
      </c>
      <c r="N18" s="794" t="str">
        <f t="shared" si="4"/>
        <v/>
      </c>
      <c r="O18" s="770" t="str">
        <f t="shared" si="5"/>
        <v/>
      </c>
      <c r="P18" s="768"/>
      <c r="Q18" s="783">
        <f>IF($B18="","",IF(INDEX(BDHK2,MATCH($C18,DiemHKII!$C$4:$C$58,0),Q$59)&lt;&gt;"",INDEX(BDHK2,MATCH($C18,DiemHKII!$C$4:$C$58,0),Q$59),""))</f>
        <v>9.4</v>
      </c>
      <c r="R18" s="794">
        <f t="shared" si="6"/>
        <v>1</v>
      </c>
      <c r="S18" s="770" t="str">
        <f>IF($B18="","",INDEX(NXetHKI!$B$3:$CL$57,MATCH(NXchung!$C18,NXetHKI!$C$3:$C$57,0),NXchung!S$59))</f>
        <v>Em chăm chỉ, chuyên cần, rất tích cực, rất đáng khen.</v>
      </c>
      <c r="T18" s="783" t="str">
        <f>IF($B18="","",IF(INDEX(BDHK2,MATCH($C18,DiemHKII!$C$4:$C$58,0),T$59)&lt;&gt;"",INDEX(BDHK2,MATCH($C18,DiemHKII!$C$4:$C$58,0),T$59),""))</f>
        <v/>
      </c>
      <c r="U18" s="794" t="str">
        <f t="shared" si="7"/>
        <v/>
      </c>
      <c r="V18" s="770" t="str">
        <f t="shared" si="8"/>
        <v/>
      </c>
      <c r="W18" s="783" t="str">
        <f>IF($B18="","",IF(INDEX(BDHK2,MATCH($C18,DiemHKII!$C$4:$C$58,0),W$59)&lt;&gt;"",INDEX(BDHK2,MATCH($C18,DiemHKII!$C$4:$C$58,0),W$59),""))</f>
        <v/>
      </c>
      <c r="X18" s="794" t="str">
        <f t="shared" si="9"/>
        <v/>
      </c>
      <c r="Y18" s="770" t="str">
        <f t="shared" si="10"/>
        <v/>
      </c>
      <c r="Z18" s="768"/>
      <c r="AA18" s="783">
        <f>IF($B18="","",IF(INDEX(BDHK2,MATCH($C18,DiemHKII!$C$4:$C$58,0),AA$59)&lt;&gt;"",INDEX(BDHK2,MATCH($C18,DiemHKII!$C$4:$C$58,0),AA$59),""))</f>
        <v>9.6</v>
      </c>
      <c r="AB18" s="794">
        <f t="shared" si="11"/>
        <v>1</v>
      </c>
      <c r="AC18" s="770" t="str">
        <f>IF($B18="","",INDEX(NXetHKI!$B$3:$CL$57,MATCH(NXchung!$C18,NXetHKI!$C$3:$C$57,0),NXchung!AC$59))</f>
        <v>Học giỏi, thông minh, cần phát huy.</v>
      </c>
      <c r="AD18" s="783" t="str">
        <f>IF($B18="","",IF(INDEX(BDHK2,MATCH($C18,DiemHKII!$C$4:$C$58,0),AD$59)&lt;&gt;"",INDEX(BDHK2,MATCH($C18,DiemHKII!$C$4:$C$58,0),AD$59),""))</f>
        <v/>
      </c>
      <c r="AE18" s="794" t="str">
        <f t="shared" si="12"/>
        <v/>
      </c>
      <c r="AF18" s="770" t="str">
        <f t="shared" si="13"/>
        <v/>
      </c>
      <c r="AG18" s="783" t="str">
        <f>IF($B18="","",IF(INDEX(BDHK2,MATCH($C18,DiemHKII!$C$4:$C$58,0),AG$59)&lt;&gt;"",INDEX(BDHK2,MATCH($C18,DiemHKII!$C$4:$C$58,0),AG$59),""))</f>
        <v/>
      </c>
      <c r="AH18" s="794" t="str">
        <f t="shared" si="14"/>
        <v/>
      </c>
      <c r="AI18" s="770" t="str">
        <f t="shared" si="15"/>
        <v/>
      </c>
      <c r="AJ18" s="768"/>
      <c r="AK18" s="783">
        <f>IF($B18="","",IF(INDEX(BDHK2,MATCH($C18,DiemHKII!$C$4:$C$58,0),AK$59)&lt;&gt;"",INDEX(BDHK2,MATCH($C18,DiemHKII!$C$4:$C$58,0),AK$59),""))</f>
        <v>9</v>
      </c>
      <c r="AL18" s="794">
        <f t="shared" si="16"/>
        <v>1</v>
      </c>
      <c r="AM18" s="770" t="str">
        <f>IF($B18="","",INDEX(NXetHKI!$B$3:$CL$57,MATCH(NXchung!$C18,NXetHKI!$C$3:$C$57,0),NXchung!AM$59))</f>
        <v>Sáng tạo, hoạt động nhóm rất tốt, biết chia sẻ kết quả học tập với bạn.</v>
      </c>
      <c r="AN18" s="783" t="str">
        <f>IF($B18="","",IF(INDEX(BDHK2,MATCH($C18,DiemHKII!$C$4:$C$58,0),AN$59)&lt;&gt;"",INDEX(BDHK2,MATCH($C18,DiemHKII!$C$4:$C$58,0),AN$59),""))</f>
        <v/>
      </c>
      <c r="AO18" s="794" t="str">
        <f t="shared" si="17"/>
        <v/>
      </c>
      <c r="AP18" s="770" t="str">
        <f t="shared" si="18"/>
        <v/>
      </c>
      <c r="AQ18" s="783" t="str">
        <f>IF($B18="","",IF(INDEX(BDHK2,MATCH($C18,DiemHKII!$C$4:$C$58,0),AQ$59)&lt;&gt;"",INDEX(BDHK2,MATCH($C18,DiemHKII!$C$4:$C$58,0),AQ$59),""))</f>
        <v/>
      </c>
      <c r="AR18" s="794" t="str">
        <f t="shared" si="19"/>
        <v/>
      </c>
      <c r="AS18" s="770" t="str">
        <f t="shared" si="20"/>
        <v/>
      </c>
      <c r="AT18" s="768"/>
      <c r="AU18" s="783">
        <f>IF($B18="","",IF(INDEX(BDHK2,MATCH($C18,DiemHKII!$C$4:$C$58,0),AU$59)&lt;&gt;"",INDEX(BDHK2,MATCH($C18,DiemHKII!$C$4:$C$58,0),AU$59),""))</f>
        <v>9.8000000000000007</v>
      </c>
      <c r="AV18" s="794">
        <f t="shared" si="21"/>
        <v>1</v>
      </c>
      <c r="AW18" s="770" t="str">
        <f>IF($B18="","",INDEX(NXetHKI!$B$3:$CL$57,MATCH(NXchung!$C18,NXetHKI!$C$3:$C$57,0),NXchung!AW$59))</f>
        <v>Rất ngoan, cố gắng có hiệu quả.</v>
      </c>
      <c r="AX18" s="783" t="str">
        <f>IF($B18="","",IF(INDEX(BDHK2,MATCH($C18,DiemHKII!$C$4:$C$58,0),AX$59)&lt;&gt;"",INDEX(BDHK2,MATCH($C18,DiemHKII!$C$4:$C$58,0),AX$59),""))</f>
        <v/>
      </c>
      <c r="AY18" s="794" t="str">
        <f t="shared" si="22"/>
        <v/>
      </c>
      <c r="AZ18" s="770" t="str">
        <f t="shared" si="23"/>
        <v/>
      </c>
      <c r="BA18" s="783" t="str">
        <f>IF($B18="","",IF(INDEX(BDHK2,MATCH($C18,DiemHKII!$C$4:$C$58,0),BA$59)&lt;&gt;"",INDEX(BDHK2,MATCH($C18,DiemHKII!$C$4:$C$58,0),BA$59),""))</f>
        <v/>
      </c>
      <c r="BB18" s="794" t="str">
        <f t="shared" si="24"/>
        <v/>
      </c>
      <c r="BC18" s="770" t="str">
        <f t="shared" si="25"/>
        <v/>
      </c>
      <c r="BD18" s="768"/>
      <c r="BE18" s="783">
        <f>IF($B18="","",IF(INDEX(BDHK2,MATCH($C18,DiemHKII!$C$4:$C$58,0),BE$59)&lt;&gt;"",INDEX(BDHK2,MATCH($C18,DiemHKII!$C$4:$C$58,0),BE$59),""))</f>
        <v>7.3</v>
      </c>
      <c r="BF18" s="794">
        <f t="shared" si="26"/>
        <v>5</v>
      </c>
      <c r="BG18" s="770" t="str">
        <f>IF($B18="","",INDEX(NXetHKI!$B$3:$CL$57,MATCH(NXchung!$C18,NXetHKI!$C$3:$C$57,0),NXchung!BG$59))</f>
        <v>Học khá, cần chủ động rèn thêm kỹ năng diễn đạt.</v>
      </c>
      <c r="BH18" s="783" t="str">
        <f>IF($B18="","",IF(INDEX(BDHK2,MATCH($C18,DiemHKII!$C$4:$C$58,0),BH$59)&lt;&gt;"",INDEX(BDHK2,MATCH($C18,DiemHKII!$C$4:$C$58,0),BH$59),""))</f>
        <v/>
      </c>
      <c r="BI18" s="794" t="str">
        <f t="shared" si="27"/>
        <v/>
      </c>
      <c r="BJ18" s="770" t="str">
        <f t="shared" si="28"/>
        <v/>
      </c>
      <c r="BK18" s="783" t="str">
        <f>IF($B18="","",IF(INDEX(BDHK2,MATCH($C18,DiemHKII!$C$4:$C$58,0),BK$59)&lt;&gt;"",INDEX(BDHK2,MATCH($C18,DiemHKII!$C$4:$C$58,0),BK$59),""))</f>
        <v/>
      </c>
      <c r="BL18" s="794" t="str">
        <f t="shared" si="29"/>
        <v/>
      </c>
      <c r="BM18" s="770" t="str">
        <f t="shared" si="30"/>
        <v/>
      </c>
      <c r="BN18" s="768"/>
      <c r="BO18" s="783">
        <f>IF($B18="","",IF(INDEX(BDHK2,MATCH($C18,DiemHKII!$C$4:$C$58,0),BO$59)&lt;&gt;"",INDEX(BDHK2,MATCH($C18,DiemHKII!$C$4:$C$58,0),BO$59),""))</f>
        <v>9.9</v>
      </c>
      <c r="BP18" s="794">
        <f t="shared" si="31"/>
        <v>1</v>
      </c>
      <c r="BQ18" s="770" t="str">
        <f>IF($B18="","",INDEX(NXetHKI!$B$3:$CL$57,MATCH(NXchung!$C18,NXetHKI!$C$3:$C$57,0),NXchung!BQ$59))</f>
        <v>Chăm ngoan, tích cực, chủ động tiếp thu bài học.</v>
      </c>
      <c r="BR18" s="783" t="str">
        <f>IF($B18="","",IF(INDEX(BDHK2,MATCH($C18,DiemHKII!$C$4:$C$58,0),BR$59)&lt;&gt;"",INDEX(BDHK2,MATCH($C18,DiemHKII!$C$4:$C$58,0),BR$59),""))</f>
        <v/>
      </c>
      <c r="BS18" s="794" t="str">
        <f t="shared" si="32"/>
        <v/>
      </c>
      <c r="BT18" s="770" t="str">
        <f t="shared" si="33"/>
        <v/>
      </c>
      <c r="BU18" s="783" t="str">
        <f>IF($B18="","",IF(INDEX(BDHK2,MATCH($C18,DiemHKII!$C$4:$C$58,0),BU$59)&lt;&gt;"",INDEX(BDHK2,MATCH($C18,DiemHKII!$C$4:$C$58,0),BU$59),""))</f>
        <v/>
      </c>
      <c r="BV18" s="794" t="str">
        <f t="shared" si="34"/>
        <v/>
      </c>
      <c r="BW18" s="770" t="str">
        <f t="shared" si="35"/>
        <v/>
      </c>
      <c r="BX18" s="768"/>
      <c r="BY18" s="783">
        <f>IF($B18="","",IF(INDEX(BDHK2,MATCH($C18,DiemHKII!$C$4:$C$58,0),BY$59)&lt;&gt;"",INDEX(BDHK2,MATCH($C18,DiemHKII!$C$4:$C$58,0),BY$59),""))</f>
        <v>9.9</v>
      </c>
      <c r="BZ18" s="794">
        <f t="shared" si="36"/>
        <v>1</v>
      </c>
      <c r="CA18" s="770" t="str">
        <f>IF($B18="","",INDEX(NXetHKI!$B$3:$CL$57,MATCH(NXchung!$C18,NXetHKI!$C$3:$C$57,0),NXchung!CA$59))</f>
        <v>Em rất ngoan, cố gắng có hiệu quả.</v>
      </c>
      <c r="CB18" s="783" t="str">
        <f>IF($B18="","",IF(INDEX(BDHK2,MATCH($C18,DiemHKII!$C$4:$C$58,0),CB$59)&lt;&gt;"",INDEX(BDHK2,MATCH($C18,DiemHKII!$C$4:$C$58,0),CB$59),""))</f>
        <v/>
      </c>
      <c r="CC18" s="794" t="str">
        <f t="shared" si="37"/>
        <v/>
      </c>
      <c r="CD18" s="770" t="str">
        <f t="shared" si="38"/>
        <v/>
      </c>
      <c r="CE18" s="783" t="str">
        <f>IF($B18="","",IF(INDEX(BDHK2,MATCH($C18,DiemHKII!$C$4:$C$58,0),CE$59)&lt;&gt;"",INDEX(BDHK2,MATCH($C18,DiemHKII!$C$4:$C$58,0),CE$59),""))</f>
        <v/>
      </c>
      <c r="CF18" s="794" t="str">
        <f t="shared" si="39"/>
        <v/>
      </c>
      <c r="CG18" s="770" t="str">
        <f t="shared" si="40"/>
        <v/>
      </c>
      <c r="CH18" s="768"/>
      <c r="CI18" s="783">
        <f>IF($B18="","",IF(INDEX(BDHK2,MATCH($C18,DiemHKII!$C$4:$C$58,0),CI$59)&lt;&gt;"",INDEX(BDHK2,MATCH($C18,DiemHKII!$C$4:$C$58,0),CI$59),""))</f>
        <v>9.6999999999999993</v>
      </c>
      <c r="CJ18" s="794">
        <f t="shared" si="41"/>
        <v>1</v>
      </c>
      <c r="CK18" s="770" t="str">
        <f>IF($B18="","",INDEX(NXetHKI!$B$3:$CL$57,MATCH(NXchung!$C18,NXetHKI!$C$3:$C$57,0),NXchung!CK$59))</f>
        <v>Có năng khiếu, tự tin, giao tiếp tốt và có khả năng làm việc nhóm.</v>
      </c>
      <c r="CL18" s="783" t="str">
        <f>IF($B18="","",IF(INDEX(BDHK2,MATCH($C18,DiemHKII!$C$4:$C$58,0),CL$59)&lt;&gt;"",INDEX(BDHK2,MATCH($C18,DiemHKII!$C$4:$C$58,0),CL$59),""))</f>
        <v/>
      </c>
      <c r="CM18" s="794" t="str">
        <f t="shared" si="42"/>
        <v/>
      </c>
      <c r="CN18" s="770" t="str">
        <f t="shared" si="43"/>
        <v/>
      </c>
      <c r="CO18" s="783" t="str">
        <f>IF($B18="","",IF(INDEX(BDHK2,MATCH($C18,DiemHKII!$C$4:$C$58,0),CO$59)&lt;&gt;"",INDEX(BDHK2,MATCH($C18,DiemHKII!$C$4:$C$58,0),CO$59),""))</f>
        <v/>
      </c>
      <c r="CP18" s="794" t="str">
        <f t="shared" si="44"/>
        <v/>
      </c>
      <c r="CQ18" s="770" t="str">
        <f t="shared" si="45"/>
        <v/>
      </c>
      <c r="CR18" s="768"/>
      <c r="CS18" s="783">
        <f>IF($B18="","",IF(INDEX(BDHK2,MATCH($C18,DiemHKII!$C$4:$C$58,0),CS$59)&lt;&gt;"",INDEX(BDHK2,MATCH($C18,DiemHKII!$C$4:$C$58,0),CS$59),""))</f>
        <v>9.1</v>
      </c>
      <c r="CT18" s="794">
        <f t="shared" si="46"/>
        <v>1</v>
      </c>
      <c r="CU18" s="770" t="str">
        <f>IF($B18="","",INDEX(NXetHKI!$B$3:$CL$57,MATCH(NXchung!$C18,NXetHKI!$C$3:$C$57,0),NXchung!CU$59))</f>
        <v>Hứng thú, có trách nhiệm học tập tốt.</v>
      </c>
      <c r="CV18" s="783" t="str">
        <f>IF($B18="","",IF(INDEX(BDHK2,MATCH($C18,DiemHKII!$C$4:$C$58,0),CV$59)&lt;&gt;"",INDEX(BDHK2,MATCH($C18,DiemHKII!$C$4:$C$58,0),CV$59),""))</f>
        <v/>
      </c>
      <c r="CW18" s="794" t="str">
        <f t="shared" si="47"/>
        <v/>
      </c>
      <c r="CX18" s="770" t="str">
        <f t="shared" si="48"/>
        <v/>
      </c>
      <c r="CY18" s="783" t="str">
        <f>IF($B18="","",IF(INDEX(BDHK2,MATCH($C18,DiemHKII!$C$4:$C$58,0),CY$59)&lt;&gt;"",INDEX(BDHK2,MATCH($C18,DiemHKII!$C$4:$C$58,0),CY$59),""))</f>
        <v/>
      </c>
      <c r="CZ18" s="794" t="str">
        <f t="shared" si="49"/>
        <v/>
      </c>
      <c r="DA18" s="770" t="str">
        <f t="shared" si="50"/>
        <v/>
      </c>
      <c r="DB18" s="768"/>
      <c r="DC18" s="783">
        <f>IF($B18="","",IF(INDEX(BDHK2,MATCH($C18,DiemHKII!$C$4:$C$58,0),DC$59)&lt;&gt;"",INDEX(BDHK2,MATCH($C18,DiemHKII!$C$4:$C$58,0),DC$59),""))</f>
        <v>9.9</v>
      </c>
      <c r="DD18" s="794">
        <f t="shared" si="51"/>
        <v>1</v>
      </c>
      <c r="DE18" s="770" t="str">
        <f>IF($B18="","",INDEX(NXetHKI!$B$3:$CL$57,MATCH(NXchung!$C18,NXetHKI!$C$3:$C$57,0),NXchung!DE$59))</f>
        <v>Học giỏi, năng động, chăm ngoan.</v>
      </c>
      <c r="DF18" s="783" t="str">
        <f>IF($B18="","",IF(INDEX(BDHK2,MATCH($C18,DiemHKII!$C$4:$C$58,0),DF$59)&lt;&gt;"",INDEX(BDHK2,MATCH($C18,DiemHKII!$C$4:$C$58,0),DF$59),""))</f>
        <v/>
      </c>
      <c r="DG18" s="794" t="str">
        <f t="shared" si="52"/>
        <v/>
      </c>
      <c r="DH18" s="770" t="str">
        <f t="shared" si="53"/>
        <v/>
      </c>
      <c r="DI18" s="783" t="str">
        <f>IF($B18="","",IF(INDEX(BDHK2,MATCH($C18,DiemHKII!$C$4:$C$58,0),DI$59)&lt;&gt;"",INDEX(BDHK2,MATCH($C18,DiemHKII!$C$4:$C$58,0),DI$59),""))</f>
        <v/>
      </c>
      <c r="DJ18" s="794" t="str">
        <f t="shared" si="54"/>
        <v/>
      </c>
      <c r="DK18" s="770" t="str">
        <f t="shared" si="55"/>
        <v/>
      </c>
      <c r="DL18" s="768"/>
      <c r="DM18" s="783" t="str">
        <f>IF($B18="","",IF(INDEX(BDHK2,MATCH($C18,DiemHKII!$C$4:$C$58,0),DM$59)&lt;&gt;"",INDEX(BDHK2,MATCH($C18,DiemHKII!$C$4:$C$58,0),DM$59),""))</f>
        <v>Đ</v>
      </c>
      <c r="DN18" s="794">
        <f t="shared" si="56"/>
        <v>1</v>
      </c>
      <c r="DO18" s="770" t="str">
        <f>IF($B18="","",INDEX(NXetHKI!$B$3:$CL$57,MATCH(NXchung!$C18,NXetHKI!$C$3:$C$57,0),NXchung!DO$59))</f>
        <v>Chăm chỉ, cố gắng, rất ngoan.</v>
      </c>
      <c r="DP18" s="783" t="str">
        <f>IF($B18="","",IF(INDEX(BDHK2,MATCH($C18,DiemHKII!$C$4:$C$58,0),DP$59)&lt;&gt;"",INDEX(BDHK2,MATCH($C18,DiemHKII!$C$4:$C$58,0),DP$59),""))</f>
        <v/>
      </c>
      <c r="DQ18" s="794" t="str">
        <f t="shared" si="57"/>
        <v/>
      </c>
      <c r="DR18" s="770" t="str">
        <f t="shared" si="58"/>
        <v/>
      </c>
      <c r="DS18" s="783" t="str">
        <f>IF($B18="","",IF(INDEX(BDHK2,MATCH($C18,DiemHKII!$C$4:$C$58,0),DS$59)&lt;&gt;"",INDEX(BDHK2,MATCH($C18,DiemHKII!$C$4:$C$58,0),DS$59),""))</f>
        <v>Đ</v>
      </c>
      <c r="DT18" s="794">
        <f t="shared" si="59"/>
        <v>1</v>
      </c>
      <c r="DU18" s="770" t="str">
        <f t="shared" si="60"/>
        <v>Rất ngoan, học có hiệu quả tốt.</v>
      </c>
      <c r="DV18" s="768"/>
      <c r="DW18" s="783">
        <f>IF($B18="","",IF(INDEX(BDHK2,MATCH($C18,DiemHKII!$C$4:$C$58,0),DW$59)&lt;&gt;"",INDEX(BDHK2,MATCH($C18,DiemHKII!$C$4:$C$58,0),DW$59),""))</f>
        <v>9.9</v>
      </c>
      <c r="DX18" s="794">
        <f t="shared" si="61"/>
        <v>1</v>
      </c>
      <c r="DY18" s="770" t="str">
        <f>IF($B18="","",INDEX(NXetHKI!$B$3:$CL$57,MATCH(NXchung!$C18,NXetHKI!$C$3:$C$57,0),NXchung!DY$59))</f>
        <v>Siêng năng, lễ phép, thành thạo thực hành, học giỏi.</v>
      </c>
      <c r="DZ18" s="783" t="str">
        <f>IF($B18="","",IF(INDEX(BDHK2,MATCH($C18,DiemHKII!$C$4:$C$58,0),DZ$59)&lt;&gt;"",INDEX(BDHK2,MATCH($C18,DiemHKII!$C$4:$C$58,0),DZ$59),""))</f>
        <v/>
      </c>
      <c r="EA18" s="794" t="str">
        <f t="shared" si="62"/>
        <v/>
      </c>
      <c r="EB18" s="770" t="str">
        <f t="shared" si="63"/>
        <v/>
      </c>
      <c r="EC18" s="783" t="str">
        <f>IF($B18="","",IF(INDEX(BDHK2,MATCH($C18,DiemHKII!$C$4:$C$58,0),EC$59)&lt;&gt;"",INDEX(BDHK2,MATCH($C18,DiemHKII!$C$4:$C$58,0),EC$59),""))</f>
        <v/>
      </c>
      <c r="ED18" s="794" t="str">
        <f t="shared" si="64"/>
        <v/>
      </c>
      <c r="EE18" s="770" t="str">
        <f t="shared" si="65"/>
        <v/>
      </c>
      <c r="EF18" s="768"/>
      <c r="EG18" s="783" t="str">
        <f>IF($B18="","",IF(INDEX(BDHK2,MATCH($C18,DiemHKII!$C$4:$C$58,0),EG$59)&lt;&gt;"",INDEX(BDHK2,MATCH($C18,DiemHKII!$C$4:$C$58,0),EG$59),""))</f>
        <v/>
      </c>
      <c r="EH18" s="794" t="str">
        <f t="shared" si="66"/>
        <v/>
      </c>
      <c r="EI18" s="770" t="str">
        <f>IF($B18="","",INDEX(NXetHKI!$B$3:$CL$57,MATCH(NXchung!$C18,NXetHKI!$C$3:$C$57,0),NXchung!EI$59))</f>
        <v/>
      </c>
      <c r="EJ18" s="783" t="str">
        <f>IF($B18="","",IF(INDEX(BDHK2,MATCH($C18,DiemHKII!$C$4:$C$58,0),EJ$59)&lt;&gt;"",INDEX(BDHK2,MATCH($C18,DiemHKII!$C$4:$C$58,0),EJ$59),""))</f>
        <v/>
      </c>
      <c r="EK18" s="794" t="str">
        <f t="shared" si="67"/>
        <v/>
      </c>
      <c r="EL18" s="770" t="str">
        <f t="shared" si="68"/>
        <v/>
      </c>
      <c r="EM18" s="783" t="str">
        <f>IF($B18="","",IF(INDEX(BDHK2,MATCH($C18,DiemHKII!$C$4:$C$58,0),EM$59)&lt;&gt;"",INDEX(BDHK2,MATCH($C18,DiemHKII!$C$4:$C$58,0),EM$59),""))</f>
        <v/>
      </c>
      <c r="EN18" s="794" t="str">
        <f t="shared" si="69"/>
        <v/>
      </c>
      <c r="EO18" s="770" t="str">
        <f t="shared" si="70"/>
        <v/>
      </c>
      <c r="EP18" s="768"/>
      <c r="ER18" s="816">
        <v>6</v>
      </c>
      <c r="ES18" s="816">
        <v>9</v>
      </c>
    </row>
    <row r="19" spans="1:149" ht="15" customHeight="1">
      <c r="A19" s="764"/>
      <c r="B19" s="771">
        <f>IF(B18&lt;MAX(DiemHKII!$B$4:$B$58),B18+1,"")</f>
        <v>17</v>
      </c>
      <c r="C19" s="771" t="str">
        <f t="shared" si="0"/>
        <v>12A1Nguyễn Huỳnh PhúcKhang14/12/2004</v>
      </c>
      <c r="D19" s="772" t="str">
        <f>IF($B19&lt;&gt;"",PROPER(INDEX(DiemHKII!$B$4:$K$58,MATCH($B19,DiemHKII!$B$4:$B$58,0),4)),"")</f>
        <v>Nguyễn Huỳnh Phúc</v>
      </c>
      <c r="E19" s="773" t="str">
        <f>IF($B19&lt;&gt;"",PROPER(INDEX(DiemHKII!$B$4:$K$58,MATCH($B19,DiemHKII!$B$4:$B$58,0),5)),"")</f>
        <v>Khang</v>
      </c>
      <c r="F19" s="774" t="str">
        <f>IF($B19&lt;&gt;"",PROPER(INDEX(DiemHKII!$B$4:$K$58,MATCH($B19,DiemHKII!$B$4:$B$58,0),6)),"")</f>
        <v>14/12/2004</v>
      </c>
      <c r="G19" s="775">
        <f>IF($B19="","",IF(INDEX(BDHK2,MATCH($C19,DiemHKII!$C$4:$C$58,0),G$59)&lt;&gt;"",INDEX(BDHK2,MATCH($C19,DiemHKII!$C$4:$C$58,0),G$59),""))</f>
        <v>9</v>
      </c>
      <c r="H19" s="792">
        <f t="shared" si="1"/>
        <v>1</v>
      </c>
      <c r="I19" s="776" t="str">
        <f>IF($B19="","",INDEX(NXetHKI!$B$3:$CL$57,MATCH(NXchung!$C19,NXetHKI!$C$3:$C$57,0),NXchung!I$59))</f>
        <v>Em học giỏi, chăm ngoan, tính tự giác cao, rất tốt.</v>
      </c>
      <c r="J19" s="775" t="str">
        <f>IF($B19="","",IF(INDEX(BDHK2,MATCH($C19,DiemHKII!$C$4:$C$58,0),J$59)&lt;&gt;"",INDEX(BDHK2,MATCH($C19,DiemHKII!$C$4:$C$58,0),J$59),""))</f>
        <v/>
      </c>
      <c r="K19" s="792" t="str">
        <f t="shared" si="2"/>
        <v/>
      </c>
      <c r="L19" s="776" t="str">
        <f t="shared" si="3"/>
        <v/>
      </c>
      <c r="M19" s="775" t="str">
        <f>IF($B19="","",IF(INDEX(BDHK2,MATCH($C19,DiemHKII!$C$4:$C$58,0),M$59)&lt;&gt;"",INDEX(BDHK2,MATCH($C19,DiemHKII!$C$4:$C$58,0),M$59),""))</f>
        <v/>
      </c>
      <c r="N19" s="792" t="str">
        <f t="shared" si="4"/>
        <v/>
      </c>
      <c r="O19" s="776" t="str">
        <f t="shared" si="5"/>
        <v/>
      </c>
      <c r="P19" s="774"/>
      <c r="Q19" s="775">
        <f>IF($B19="","",IF(INDEX(BDHK2,MATCH($C19,DiemHKII!$C$4:$C$58,0),Q$59)&lt;&gt;"",INDEX(BDHK2,MATCH($C19,DiemHKII!$C$4:$C$58,0),Q$59),""))</f>
        <v>9.3000000000000007</v>
      </c>
      <c r="R19" s="792">
        <f t="shared" si="6"/>
        <v>1</v>
      </c>
      <c r="S19" s="776" t="str">
        <f>IF($B19="","",INDEX(NXetHKI!$B$3:$CL$57,MATCH(NXchung!$C19,NXetHKI!$C$3:$C$57,0),NXchung!S$59))</f>
        <v>Em học giỏi, chăm ngoan, tính tự giác cao, rất tốt.</v>
      </c>
      <c r="T19" s="775" t="str">
        <f>IF($B19="","",IF(INDEX(BDHK2,MATCH($C19,DiemHKII!$C$4:$C$58,0),T$59)&lt;&gt;"",INDEX(BDHK2,MATCH($C19,DiemHKII!$C$4:$C$58,0),T$59),""))</f>
        <v/>
      </c>
      <c r="U19" s="792" t="str">
        <f t="shared" si="7"/>
        <v/>
      </c>
      <c r="V19" s="776" t="str">
        <f t="shared" si="8"/>
        <v/>
      </c>
      <c r="W19" s="775" t="str">
        <f>IF($B19="","",IF(INDEX(BDHK2,MATCH($C19,DiemHKII!$C$4:$C$58,0),W$59)&lt;&gt;"",INDEX(BDHK2,MATCH($C19,DiemHKII!$C$4:$C$58,0),W$59),""))</f>
        <v/>
      </c>
      <c r="X19" s="792" t="str">
        <f t="shared" si="9"/>
        <v/>
      </c>
      <c r="Y19" s="776" t="str">
        <f t="shared" si="10"/>
        <v/>
      </c>
      <c r="Z19" s="774"/>
      <c r="AA19" s="775">
        <f>IF($B19="","",IF(INDEX(BDHK2,MATCH($C19,DiemHKII!$C$4:$C$58,0),AA$59)&lt;&gt;"",INDEX(BDHK2,MATCH($C19,DiemHKII!$C$4:$C$58,0),AA$59),""))</f>
        <v>8.3000000000000007</v>
      </c>
      <c r="AB19" s="792">
        <f t="shared" si="11"/>
        <v>3</v>
      </c>
      <c r="AC19" s="776" t="str">
        <f>IF($B19="","",INDEX(NXetHKI!$B$3:$CL$57,MATCH(NXchung!$C19,NXetHKI!$C$3:$C$57,0),NXchung!AC$59))</f>
        <v>Học giỏi, cầu tiến.</v>
      </c>
      <c r="AD19" s="775" t="str">
        <f>IF($B19="","",IF(INDEX(BDHK2,MATCH($C19,DiemHKII!$C$4:$C$58,0),AD$59)&lt;&gt;"",INDEX(BDHK2,MATCH($C19,DiemHKII!$C$4:$C$58,0),AD$59),""))</f>
        <v/>
      </c>
      <c r="AE19" s="792" t="str">
        <f t="shared" si="12"/>
        <v/>
      </c>
      <c r="AF19" s="776" t="str">
        <f t="shared" si="13"/>
        <v/>
      </c>
      <c r="AG19" s="775" t="str">
        <f>IF($B19="","",IF(INDEX(BDHK2,MATCH($C19,DiemHKII!$C$4:$C$58,0),AG$59)&lt;&gt;"",INDEX(BDHK2,MATCH($C19,DiemHKII!$C$4:$C$58,0),AG$59),""))</f>
        <v/>
      </c>
      <c r="AH19" s="792" t="str">
        <f t="shared" si="14"/>
        <v/>
      </c>
      <c r="AI19" s="776" t="str">
        <f t="shared" si="15"/>
        <v/>
      </c>
      <c r="AJ19" s="774"/>
      <c r="AK19" s="775">
        <f>IF($B19="","",IF(INDEX(BDHK2,MATCH($C19,DiemHKII!$C$4:$C$58,0),AK$59)&lt;&gt;"",INDEX(BDHK2,MATCH($C19,DiemHKII!$C$4:$C$58,0),AK$59),""))</f>
        <v>9.1999999999999993</v>
      </c>
      <c r="AL19" s="792">
        <f t="shared" si="16"/>
        <v>1</v>
      </c>
      <c r="AM19" s="776" t="str">
        <f>IF($B19="","",INDEX(NXetHKI!$B$3:$CL$57,MATCH(NXchung!$C19,NXetHKI!$C$3:$C$57,0),NXchung!AM$59))</f>
        <v>Có khả năng tự học và tự chủ bản thân, tích cực trong học tập.</v>
      </c>
      <c r="AN19" s="775" t="str">
        <f>IF($B19="","",IF(INDEX(BDHK2,MATCH($C19,DiemHKII!$C$4:$C$58,0),AN$59)&lt;&gt;"",INDEX(BDHK2,MATCH($C19,DiemHKII!$C$4:$C$58,0),AN$59),""))</f>
        <v/>
      </c>
      <c r="AO19" s="792" t="str">
        <f t="shared" si="17"/>
        <v/>
      </c>
      <c r="AP19" s="776" t="str">
        <f t="shared" si="18"/>
        <v/>
      </c>
      <c r="AQ19" s="775" t="str">
        <f>IF($B19="","",IF(INDEX(BDHK2,MATCH($C19,DiemHKII!$C$4:$C$58,0),AQ$59)&lt;&gt;"",INDEX(BDHK2,MATCH($C19,DiemHKII!$C$4:$C$58,0),AQ$59),""))</f>
        <v/>
      </c>
      <c r="AR19" s="792" t="str">
        <f t="shared" si="19"/>
        <v/>
      </c>
      <c r="AS19" s="776" t="str">
        <f t="shared" si="20"/>
        <v/>
      </c>
      <c r="AT19" s="774"/>
      <c r="AU19" s="775">
        <f>IF($B19="","",IF(INDEX(BDHK2,MATCH($C19,DiemHKII!$C$4:$C$58,0),AU$59)&lt;&gt;"",INDEX(BDHK2,MATCH($C19,DiemHKII!$C$4:$C$58,0),AU$59),""))</f>
        <v>9.6</v>
      </c>
      <c r="AV19" s="792">
        <f t="shared" si="21"/>
        <v>1</v>
      </c>
      <c r="AW19" s="776" t="str">
        <f>IF($B19="","",INDEX(NXetHKI!$B$3:$CL$57,MATCH(NXchung!$C19,NXetHKI!$C$3:$C$57,0),NXchung!AW$59))</f>
        <v>Ngoan, chăm chỉ, tư duy tốt.</v>
      </c>
      <c r="AX19" s="775" t="str">
        <f>IF($B19="","",IF(INDEX(BDHK2,MATCH($C19,DiemHKII!$C$4:$C$58,0),AX$59)&lt;&gt;"",INDEX(BDHK2,MATCH($C19,DiemHKII!$C$4:$C$58,0),AX$59),""))</f>
        <v/>
      </c>
      <c r="AY19" s="792" t="str">
        <f t="shared" si="22"/>
        <v/>
      </c>
      <c r="AZ19" s="776" t="str">
        <f t="shared" si="23"/>
        <v/>
      </c>
      <c r="BA19" s="775" t="str">
        <f>IF($B19="","",IF(INDEX(BDHK2,MATCH($C19,DiemHKII!$C$4:$C$58,0),BA$59)&lt;&gt;"",INDEX(BDHK2,MATCH($C19,DiemHKII!$C$4:$C$58,0),BA$59),""))</f>
        <v/>
      </c>
      <c r="BB19" s="792" t="str">
        <f t="shared" si="24"/>
        <v/>
      </c>
      <c r="BC19" s="776" t="str">
        <f t="shared" si="25"/>
        <v/>
      </c>
      <c r="BD19" s="774"/>
      <c r="BE19" s="775">
        <f>IF($B19="","",IF(INDEX(BDHK2,MATCH($C19,DiemHKII!$C$4:$C$58,0),BE$59)&lt;&gt;"",INDEX(BDHK2,MATCH($C19,DiemHKII!$C$4:$C$58,0),BE$59),""))</f>
        <v>7.9</v>
      </c>
      <c r="BF19" s="792">
        <f t="shared" si="26"/>
        <v>4</v>
      </c>
      <c r="BG19" s="776" t="str">
        <f>IF($B19="","",INDEX(NXetHKI!$B$3:$CL$57,MATCH(NXchung!$C19,NXetHKI!$C$3:$C$57,0),NXchung!BG$59))</f>
        <v>Có tinh thần học tập tốt, cần cố gắng rèn luyện thêm các kỹ năng.</v>
      </c>
      <c r="BH19" s="775" t="str">
        <f>IF($B19="","",IF(INDEX(BDHK2,MATCH($C19,DiemHKII!$C$4:$C$58,0),BH$59)&lt;&gt;"",INDEX(BDHK2,MATCH($C19,DiemHKII!$C$4:$C$58,0),BH$59),""))</f>
        <v/>
      </c>
      <c r="BI19" s="792" t="str">
        <f t="shared" si="27"/>
        <v/>
      </c>
      <c r="BJ19" s="776" t="str">
        <f t="shared" si="28"/>
        <v/>
      </c>
      <c r="BK19" s="775" t="str">
        <f>IF($B19="","",IF(INDEX(BDHK2,MATCH($C19,DiemHKII!$C$4:$C$58,0),BK$59)&lt;&gt;"",INDEX(BDHK2,MATCH($C19,DiemHKII!$C$4:$C$58,0),BK$59),""))</f>
        <v/>
      </c>
      <c r="BL19" s="792" t="str">
        <f t="shared" si="29"/>
        <v/>
      </c>
      <c r="BM19" s="776" t="str">
        <f t="shared" si="30"/>
        <v/>
      </c>
      <c r="BN19" s="774"/>
      <c r="BO19" s="775">
        <f>IF($B19="","",IF(INDEX(BDHK2,MATCH($C19,DiemHKII!$C$4:$C$58,0),BO$59)&lt;&gt;"",INDEX(BDHK2,MATCH($C19,DiemHKII!$C$4:$C$58,0),BO$59),""))</f>
        <v>9.6</v>
      </c>
      <c r="BP19" s="792">
        <f t="shared" si="31"/>
        <v>1</v>
      </c>
      <c r="BQ19" s="776" t="str">
        <f>IF($B19="","",INDEX(NXetHKI!$B$3:$CL$57,MATCH(NXchung!$C19,NXetHKI!$C$3:$C$57,0),NXchung!BQ$59))</f>
        <v>Tiếp thu bài tốt, ghi nhớ nhanh các sự kiện lịch sử.</v>
      </c>
      <c r="BR19" s="775" t="str">
        <f>IF($B19="","",IF(INDEX(BDHK2,MATCH($C19,DiemHKII!$C$4:$C$58,0),BR$59)&lt;&gt;"",INDEX(BDHK2,MATCH($C19,DiemHKII!$C$4:$C$58,0),BR$59),""))</f>
        <v/>
      </c>
      <c r="BS19" s="792" t="str">
        <f t="shared" si="32"/>
        <v/>
      </c>
      <c r="BT19" s="776" t="str">
        <f t="shared" si="33"/>
        <v/>
      </c>
      <c r="BU19" s="775" t="str">
        <f>IF($B19="","",IF(INDEX(BDHK2,MATCH($C19,DiemHKII!$C$4:$C$58,0),BU$59)&lt;&gt;"",INDEX(BDHK2,MATCH($C19,DiemHKII!$C$4:$C$58,0),BU$59),""))</f>
        <v/>
      </c>
      <c r="BV19" s="792" t="str">
        <f t="shared" si="34"/>
        <v/>
      </c>
      <c r="BW19" s="776" t="str">
        <f t="shared" si="35"/>
        <v/>
      </c>
      <c r="BX19" s="774"/>
      <c r="BY19" s="775">
        <f>IF($B19="","",IF(INDEX(BDHK2,MATCH($C19,DiemHKII!$C$4:$C$58,0),BY$59)&lt;&gt;"",INDEX(BDHK2,MATCH($C19,DiemHKII!$C$4:$C$58,0),BY$59),""))</f>
        <v>9.9</v>
      </c>
      <c r="BZ19" s="792">
        <f t="shared" si="36"/>
        <v>1</v>
      </c>
      <c r="CA19" s="776" t="str">
        <f>IF($B19="","",INDEX(NXetHKI!$B$3:$CL$57,MATCH(NXchung!$C19,NXetHKI!$C$3:$C$57,0),NXchung!CA$59))</f>
        <v>Em có tư duy tốt, rất tích cực, giải quyết vấn đề tốt.</v>
      </c>
      <c r="CB19" s="775" t="str">
        <f>IF($B19="","",IF(INDEX(BDHK2,MATCH($C19,DiemHKII!$C$4:$C$58,0),CB$59)&lt;&gt;"",INDEX(BDHK2,MATCH($C19,DiemHKII!$C$4:$C$58,0),CB$59),""))</f>
        <v/>
      </c>
      <c r="CC19" s="792" t="str">
        <f t="shared" si="37"/>
        <v/>
      </c>
      <c r="CD19" s="776" t="str">
        <f t="shared" si="38"/>
        <v/>
      </c>
      <c r="CE19" s="775" t="str">
        <f>IF($B19="","",IF(INDEX(BDHK2,MATCH($C19,DiemHKII!$C$4:$C$58,0),CE$59)&lt;&gt;"",INDEX(BDHK2,MATCH($C19,DiemHKII!$C$4:$C$58,0),CE$59),""))</f>
        <v/>
      </c>
      <c r="CF19" s="792" t="str">
        <f t="shared" si="39"/>
        <v/>
      </c>
      <c r="CG19" s="776" t="str">
        <f t="shared" si="40"/>
        <v/>
      </c>
      <c r="CH19" s="774"/>
      <c r="CI19" s="775">
        <f>IF($B19="","",IF(INDEX(BDHK2,MATCH($C19,DiemHKII!$C$4:$C$58,0),CI$59)&lt;&gt;"",INDEX(BDHK2,MATCH($C19,DiemHKII!$C$4:$C$58,0),CI$59),""))</f>
        <v>9.1999999999999993</v>
      </c>
      <c r="CJ19" s="792">
        <f t="shared" si="41"/>
        <v>1</v>
      </c>
      <c r="CK19" s="776" t="str">
        <f>IF($B19="","",INDEX(NXetHKI!$B$3:$CL$57,MATCH(NXchung!$C19,NXetHKI!$C$3:$C$57,0),NXchung!CK$59))</f>
        <v>Chăm chỉ, chuyên cần, rất tích cực và năng động.</v>
      </c>
      <c r="CL19" s="775" t="str">
        <f>IF($B19="","",IF(INDEX(BDHK2,MATCH($C19,DiemHKII!$C$4:$C$58,0),CL$59)&lt;&gt;"",INDEX(BDHK2,MATCH($C19,DiemHKII!$C$4:$C$58,0),CL$59),""))</f>
        <v/>
      </c>
      <c r="CM19" s="792" t="str">
        <f t="shared" si="42"/>
        <v/>
      </c>
      <c r="CN19" s="776" t="str">
        <f t="shared" si="43"/>
        <v/>
      </c>
      <c r="CO19" s="775" t="str">
        <f>IF($B19="","",IF(INDEX(BDHK2,MATCH($C19,DiemHKII!$C$4:$C$58,0),CO$59)&lt;&gt;"",INDEX(BDHK2,MATCH($C19,DiemHKII!$C$4:$C$58,0),CO$59),""))</f>
        <v/>
      </c>
      <c r="CP19" s="792" t="str">
        <f t="shared" si="44"/>
        <v/>
      </c>
      <c r="CQ19" s="776" t="str">
        <f t="shared" si="45"/>
        <v/>
      </c>
      <c r="CR19" s="774"/>
      <c r="CS19" s="775">
        <f>IF($B19="","",IF(INDEX(BDHK2,MATCH($C19,DiemHKII!$C$4:$C$58,0),CS$59)&lt;&gt;"",INDEX(BDHK2,MATCH($C19,DiemHKII!$C$4:$C$58,0),CS$59),""))</f>
        <v>9.5</v>
      </c>
      <c r="CT19" s="792">
        <f t="shared" si="46"/>
        <v>1</v>
      </c>
      <c r="CU19" s="776" t="str">
        <f>IF($B19="","",INDEX(NXetHKI!$B$3:$CL$57,MATCH(NXchung!$C19,NXetHKI!$C$3:$C$57,0),NXchung!CU$59))</f>
        <v>Chăm chỉ, học giỏi.</v>
      </c>
      <c r="CV19" s="775" t="str">
        <f>IF($B19="","",IF(INDEX(BDHK2,MATCH($C19,DiemHKII!$C$4:$C$58,0),CV$59)&lt;&gt;"",INDEX(BDHK2,MATCH($C19,DiemHKII!$C$4:$C$58,0),CV$59),""))</f>
        <v/>
      </c>
      <c r="CW19" s="792" t="str">
        <f t="shared" si="47"/>
        <v/>
      </c>
      <c r="CX19" s="776" t="str">
        <f t="shared" si="48"/>
        <v/>
      </c>
      <c r="CY19" s="775" t="str">
        <f>IF($B19="","",IF(INDEX(BDHK2,MATCH($C19,DiemHKII!$C$4:$C$58,0),CY$59)&lt;&gt;"",INDEX(BDHK2,MATCH($C19,DiemHKII!$C$4:$C$58,0),CY$59),""))</f>
        <v/>
      </c>
      <c r="CZ19" s="792" t="str">
        <f t="shared" si="49"/>
        <v/>
      </c>
      <c r="DA19" s="776" t="str">
        <f t="shared" si="50"/>
        <v/>
      </c>
      <c r="DB19" s="774"/>
      <c r="DC19" s="775">
        <f>IF($B19="","",IF(INDEX(BDHK2,MATCH($C19,DiemHKII!$C$4:$C$58,0),DC$59)&lt;&gt;"",INDEX(BDHK2,MATCH($C19,DiemHKII!$C$4:$C$58,0),DC$59),""))</f>
        <v>9.8000000000000007</v>
      </c>
      <c r="DD19" s="792">
        <f t="shared" si="51"/>
        <v>1</v>
      </c>
      <c r="DE19" s="776" t="str">
        <f>IF($B19="","",INDEX(NXetHKI!$B$3:$CL$57,MATCH(NXchung!$C19,NXetHKI!$C$3:$C$57,0),NXchung!DE$59))</f>
        <v>Năng động, sáng tạo trong học tập.</v>
      </c>
      <c r="DF19" s="775" t="str">
        <f>IF($B19="","",IF(INDEX(BDHK2,MATCH($C19,DiemHKII!$C$4:$C$58,0),DF$59)&lt;&gt;"",INDEX(BDHK2,MATCH($C19,DiemHKII!$C$4:$C$58,0),DF$59),""))</f>
        <v/>
      </c>
      <c r="DG19" s="792" t="str">
        <f t="shared" si="52"/>
        <v/>
      </c>
      <c r="DH19" s="776" t="str">
        <f t="shared" si="53"/>
        <v/>
      </c>
      <c r="DI19" s="775" t="str">
        <f>IF($B19="","",IF(INDEX(BDHK2,MATCH($C19,DiemHKII!$C$4:$C$58,0),DI$59)&lt;&gt;"",INDEX(BDHK2,MATCH($C19,DiemHKII!$C$4:$C$58,0),DI$59),""))</f>
        <v/>
      </c>
      <c r="DJ19" s="792" t="str">
        <f t="shared" si="54"/>
        <v/>
      </c>
      <c r="DK19" s="776" t="str">
        <f t="shared" si="55"/>
        <v/>
      </c>
      <c r="DL19" s="774"/>
      <c r="DM19" s="775" t="str">
        <f>IF($B19="","",IF(INDEX(BDHK2,MATCH($C19,DiemHKII!$C$4:$C$58,0),DM$59)&lt;&gt;"",INDEX(BDHK2,MATCH($C19,DiemHKII!$C$4:$C$58,0),DM$59),""))</f>
        <v>Đ</v>
      </c>
      <c r="DN19" s="792">
        <f t="shared" si="56"/>
        <v>1</v>
      </c>
      <c r="DO19" s="776" t="str">
        <f>IF($B19="","",INDEX(NXetHKI!$B$3:$CL$57,MATCH(NXchung!$C19,NXetHKI!$C$3:$C$57,0),NXchung!DO$59))</f>
        <v>Giỏi, có nhiều tiến bộ trong học tập.</v>
      </c>
      <c r="DP19" s="775" t="str">
        <f>IF($B19="","",IF(INDEX(BDHK2,MATCH($C19,DiemHKII!$C$4:$C$58,0),DP$59)&lt;&gt;"",INDEX(BDHK2,MATCH($C19,DiemHKII!$C$4:$C$58,0),DP$59),""))</f>
        <v/>
      </c>
      <c r="DQ19" s="792" t="str">
        <f t="shared" si="57"/>
        <v/>
      </c>
      <c r="DR19" s="776" t="str">
        <f t="shared" si="58"/>
        <v/>
      </c>
      <c r="DS19" s="775" t="str">
        <f>IF($B19="","",IF(INDEX(BDHK2,MATCH($C19,DiemHKII!$C$4:$C$58,0),DS$59)&lt;&gt;"",INDEX(BDHK2,MATCH($C19,DiemHKII!$C$4:$C$58,0),DS$59),""))</f>
        <v>Đ</v>
      </c>
      <c r="DT19" s="792">
        <f t="shared" si="59"/>
        <v>1</v>
      </c>
      <c r="DU19" s="776" t="str">
        <f t="shared" si="60"/>
        <v>Chăm chỉ, cố gắng, rất ngoan.</v>
      </c>
      <c r="DV19" s="774"/>
      <c r="DW19" s="775">
        <f>IF($B19="","",IF(INDEX(BDHK2,MATCH($C19,DiemHKII!$C$4:$C$58,0),DW$59)&lt;&gt;"",INDEX(BDHK2,MATCH($C19,DiemHKII!$C$4:$C$58,0),DW$59),""))</f>
        <v>9.9</v>
      </c>
      <c r="DX19" s="792">
        <f t="shared" si="61"/>
        <v>1</v>
      </c>
      <c r="DY19" s="776" t="str">
        <f>IF($B19="","",INDEX(NXetHKI!$B$3:$CL$57,MATCH(NXchung!$C19,NXetHKI!$C$3:$C$57,0),NXchung!DY$59))</f>
        <v>Tích cực, năng động, nắm bài tốt, học giỏi.</v>
      </c>
      <c r="DZ19" s="775" t="str">
        <f>IF($B19="","",IF(INDEX(BDHK2,MATCH($C19,DiemHKII!$C$4:$C$58,0),DZ$59)&lt;&gt;"",INDEX(BDHK2,MATCH($C19,DiemHKII!$C$4:$C$58,0),DZ$59),""))</f>
        <v/>
      </c>
      <c r="EA19" s="792" t="str">
        <f t="shared" si="62"/>
        <v/>
      </c>
      <c r="EB19" s="776" t="str">
        <f t="shared" si="63"/>
        <v/>
      </c>
      <c r="EC19" s="775" t="str">
        <f>IF($B19="","",IF(INDEX(BDHK2,MATCH($C19,DiemHKII!$C$4:$C$58,0),EC$59)&lt;&gt;"",INDEX(BDHK2,MATCH($C19,DiemHKII!$C$4:$C$58,0),EC$59),""))</f>
        <v/>
      </c>
      <c r="ED19" s="792" t="str">
        <f t="shared" si="64"/>
        <v/>
      </c>
      <c r="EE19" s="776" t="str">
        <f t="shared" si="65"/>
        <v/>
      </c>
      <c r="EF19" s="774"/>
      <c r="EG19" s="775" t="str">
        <f>IF($B19="","",IF(INDEX(BDHK2,MATCH($C19,DiemHKII!$C$4:$C$58,0),EG$59)&lt;&gt;"",INDEX(BDHK2,MATCH($C19,DiemHKII!$C$4:$C$58,0),EG$59),""))</f>
        <v/>
      </c>
      <c r="EH19" s="792" t="str">
        <f t="shared" si="66"/>
        <v/>
      </c>
      <c r="EI19" s="776" t="str">
        <f>IF($B19="","",INDEX(NXetHKI!$B$3:$CL$57,MATCH(NXchung!$C19,NXetHKI!$C$3:$C$57,0),NXchung!EI$59))</f>
        <v/>
      </c>
      <c r="EJ19" s="775" t="str">
        <f>IF($B19="","",IF(INDEX(BDHK2,MATCH($C19,DiemHKII!$C$4:$C$58,0),EJ$59)&lt;&gt;"",INDEX(BDHK2,MATCH($C19,DiemHKII!$C$4:$C$58,0),EJ$59),""))</f>
        <v/>
      </c>
      <c r="EK19" s="792" t="str">
        <f t="shared" si="67"/>
        <v/>
      </c>
      <c r="EL19" s="776" t="str">
        <f t="shared" si="68"/>
        <v/>
      </c>
      <c r="EM19" s="775" t="str">
        <f>IF($B19="","",IF(INDEX(BDHK2,MATCH($C19,DiemHKII!$C$4:$C$58,0),EM$59)&lt;&gt;"",INDEX(BDHK2,MATCH($C19,DiemHKII!$C$4:$C$58,0),EM$59),""))</f>
        <v/>
      </c>
      <c r="EN19" s="792" t="str">
        <f t="shared" si="69"/>
        <v/>
      </c>
      <c r="EO19" s="776" t="str">
        <f t="shared" si="70"/>
        <v/>
      </c>
      <c r="EP19" s="774"/>
      <c r="ER19" s="816">
        <v>9</v>
      </c>
      <c r="ES19" s="816">
        <v>3</v>
      </c>
    </row>
    <row r="20" spans="1:149" ht="15" customHeight="1">
      <c r="A20" s="764"/>
      <c r="B20" s="771">
        <f>IF(B19&lt;MAX(DiemHKII!$B$4:$B$58),B19+1,"")</f>
        <v>18</v>
      </c>
      <c r="C20" s="771" t="str">
        <f t="shared" si="0"/>
        <v>12A1Nguyễn ĐăngKhoa07/11/2004</v>
      </c>
      <c r="D20" s="772" t="str">
        <f>IF($B20&lt;&gt;"",PROPER(INDEX(DiemHKII!$B$4:$K$58,MATCH($B20,DiemHKII!$B$4:$B$58,0),4)),"")</f>
        <v>Nguyễn Đăng</v>
      </c>
      <c r="E20" s="773" t="str">
        <f>IF($B20&lt;&gt;"",PROPER(INDEX(DiemHKII!$B$4:$K$58,MATCH($B20,DiemHKII!$B$4:$B$58,0),5)),"")</f>
        <v>Khoa</v>
      </c>
      <c r="F20" s="774" t="str">
        <f>IF($B20&lt;&gt;"",PROPER(INDEX(DiemHKII!$B$4:$K$58,MATCH($B20,DiemHKII!$B$4:$B$58,0),6)),"")</f>
        <v>07/11/2004</v>
      </c>
      <c r="G20" s="775">
        <f>IF($B20="","",IF(INDEX(BDHK2,MATCH($C20,DiemHKII!$C$4:$C$58,0),G$59)&lt;&gt;"",INDEX(BDHK2,MATCH($C20,DiemHKII!$C$4:$C$58,0),G$59),""))</f>
        <v>9.9</v>
      </c>
      <c r="H20" s="792">
        <f t="shared" si="1"/>
        <v>1</v>
      </c>
      <c r="I20" s="776" t="str">
        <f>IF($B20="","",INDEX(NXetHKI!$B$3:$CL$57,MATCH(NXchung!$C20,NXetHKI!$C$3:$C$57,0),NXchung!I$59))</f>
        <v>Em ngoan, tích cực, năng động, rất đáng khen.</v>
      </c>
      <c r="J20" s="775" t="str">
        <f>IF($B20="","",IF(INDEX(BDHK2,MATCH($C20,DiemHKII!$C$4:$C$58,0),J$59)&lt;&gt;"",INDEX(BDHK2,MATCH($C20,DiemHKII!$C$4:$C$58,0),J$59),""))</f>
        <v/>
      </c>
      <c r="K20" s="792" t="str">
        <f t="shared" si="2"/>
        <v/>
      </c>
      <c r="L20" s="776" t="str">
        <f t="shared" si="3"/>
        <v/>
      </c>
      <c r="M20" s="775" t="str">
        <f>IF($B20="","",IF(INDEX(BDHK2,MATCH($C20,DiemHKII!$C$4:$C$58,0),M$59)&lt;&gt;"",INDEX(BDHK2,MATCH($C20,DiemHKII!$C$4:$C$58,0),M$59),""))</f>
        <v/>
      </c>
      <c r="N20" s="792" t="str">
        <f t="shared" si="4"/>
        <v/>
      </c>
      <c r="O20" s="776" t="str">
        <f t="shared" si="5"/>
        <v/>
      </c>
      <c r="P20" s="774"/>
      <c r="Q20" s="775">
        <f>IF($B20="","",IF(INDEX(BDHK2,MATCH($C20,DiemHKII!$C$4:$C$58,0),Q$59)&lt;&gt;"",INDEX(BDHK2,MATCH($C20,DiemHKII!$C$4:$C$58,0),Q$59),""))</f>
        <v>10</v>
      </c>
      <c r="R20" s="792">
        <f t="shared" si="6"/>
        <v>1</v>
      </c>
      <c r="S20" s="776" t="str">
        <f>IF($B20="","",INDEX(NXetHKI!$B$3:$CL$57,MATCH(NXchung!$C20,NXetHKI!$C$3:$C$57,0),NXchung!S$59))</f>
        <v>Em ngoan, tích cực, năng động, rất đáng khen.</v>
      </c>
      <c r="T20" s="775" t="str">
        <f>IF($B20="","",IF(INDEX(BDHK2,MATCH($C20,DiemHKII!$C$4:$C$58,0),T$59)&lt;&gt;"",INDEX(BDHK2,MATCH($C20,DiemHKII!$C$4:$C$58,0),T$59),""))</f>
        <v/>
      </c>
      <c r="U20" s="792" t="str">
        <f t="shared" si="7"/>
        <v/>
      </c>
      <c r="V20" s="776" t="str">
        <f t="shared" si="8"/>
        <v/>
      </c>
      <c r="W20" s="775" t="str">
        <f>IF($B20="","",IF(INDEX(BDHK2,MATCH($C20,DiemHKII!$C$4:$C$58,0),W$59)&lt;&gt;"",INDEX(BDHK2,MATCH($C20,DiemHKII!$C$4:$C$58,0),W$59),""))</f>
        <v/>
      </c>
      <c r="X20" s="792" t="str">
        <f t="shared" si="9"/>
        <v/>
      </c>
      <c r="Y20" s="776" t="str">
        <f t="shared" si="10"/>
        <v/>
      </c>
      <c r="Z20" s="774"/>
      <c r="AA20" s="775">
        <f>IF($B20="","",IF(INDEX(BDHK2,MATCH($C20,DiemHKII!$C$4:$C$58,0),AA$59)&lt;&gt;"",INDEX(BDHK2,MATCH($C20,DiemHKII!$C$4:$C$58,0),AA$59),""))</f>
        <v>9.9</v>
      </c>
      <c r="AB20" s="792">
        <f t="shared" si="11"/>
        <v>1</v>
      </c>
      <c r="AC20" s="776" t="str">
        <f>IF($B20="","",INDEX(NXetHKI!$B$3:$CL$57,MATCH(NXchung!$C20,NXetHKI!$C$3:$C$57,0),NXchung!AC$59))</f>
        <v>Kiến thức vững, sáng tạo, tự học tốt.</v>
      </c>
      <c r="AD20" s="775" t="str">
        <f>IF($B20="","",IF(INDEX(BDHK2,MATCH($C20,DiemHKII!$C$4:$C$58,0),AD$59)&lt;&gt;"",INDEX(BDHK2,MATCH($C20,DiemHKII!$C$4:$C$58,0),AD$59),""))</f>
        <v/>
      </c>
      <c r="AE20" s="792" t="str">
        <f t="shared" si="12"/>
        <v/>
      </c>
      <c r="AF20" s="776" t="str">
        <f t="shared" si="13"/>
        <v/>
      </c>
      <c r="AG20" s="775" t="str">
        <f>IF($B20="","",IF(INDEX(BDHK2,MATCH($C20,DiemHKII!$C$4:$C$58,0),AG$59)&lt;&gt;"",INDEX(BDHK2,MATCH($C20,DiemHKII!$C$4:$C$58,0),AG$59),""))</f>
        <v/>
      </c>
      <c r="AH20" s="792" t="str">
        <f t="shared" si="14"/>
        <v/>
      </c>
      <c r="AI20" s="776" t="str">
        <f t="shared" si="15"/>
        <v/>
      </c>
      <c r="AJ20" s="774"/>
      <c r="AK20" s="775">
        <f>IF($B20="","",IF(INDEX(BDHK2,MATCH($C20,DiemHKII!$C$4:$C$58,0),AK$59)&lt;&gt;"",INDEX(BDHK2,MATCH($C20,DiemHKII!$C$4:$C$58,0),AK$59),""))</f>
        <v>9.5</v>
      </c>
      <c r="AL20" s="792">
        <f t="shared" si="16"/>
        <v>1</v>
      </c>
      <c r="AM20" s="776" t="str">
        <f>IF($B20="","",INDEX(NXetHKI!$B$3:$CL$57,MATCH(NXchung!$C20,NXetHKI!$C$3:$C$57,0),NXchung!AM$59))</f>
        <v>Ý thức học tập tốt, vận dụng tốt kiến thức học tập</v>
      </c>
      <c r="AN20" s="775" t="str">
        <f>IF($B20="","",IF(INDEX(BDHK2,MATCH($C20,DiemHKII!$C$4:$C$58,0),AN$59)&lt;&gt;"",INDEX(BDHK2,MATCH($C20,DiemHKII!$C$4:$C$58,0),AN$59),""))</f>
        <v/>
      </c>
      <c r="AO20" s="792" t="str">
        <f t="shared" si="17"/>
        <v/>
      </c>
      <c r="AP20" s="776" t="str">
        <f t="shared" si="18"/>
        <v/>
      </c>
      <c r="AQ20" s="775" t="str">
        <f>IF($B20="","",IF(INDEX(BDHK2,MATCH($C20,DiemHKII!$C$4:$C$58,0),AQ$59)&lt;&gt;"",INDEX(BDHK2,MATCH($C20,DiemHKII!$C$4:$C$58,0),AQ$59),""))</f>
        <v/>
      </c>
      <c r="AR20" s="792" t="str">
        <f t="shared" si="19"/>
        <v/>
      </c>
      <c r="AS20" s="776" t="str">
        <f t="shared" si="20"/>
        <v/>
      </c>
      <c r="AT20" s="774"/>
      <c r="AU20" s="775">
        <f>IF($B20="","",IF(INDEX(BDHK2,MATCH($C20,DiemHKII!$C$4:$C$58,0),AU$59)&lt;&gt;"",INDEX(BDHK2,MATCH($C20,DiemHKII!$C$4:$C$58,0),AU$59),""))</f>
        <v>9.8000000000000007</v>
      </c>
      <c r="AV20" s="792">
        <f t="shared" si="21"/>
        <v>1</v>
      </c>
      <c r="AW20" s="776" t="str">
        <f>IF($B20="","",INDEX(NXetHKI!$B$3:$CL$57,MATCH(NXchung!$C20,NXetHKI!$C$3:$C$57,0),NXchung!AW$59))</f>
        <v>Học giỏi, năng động và sáng tạo trong học tập.</v>
      </c>
      <c r="AX20" s="775" t="str">
        <f>IF($B20="","",IF(INDEX(BDHK2,MATCH($C20,DiemHKII!$C$4:$C$58,0),AX$59)&lt;&gt;"",INDEX(BDHK2,MATCH($C20,DiemHKII!$C$4:$C$58,0),AX$59),""))</f>
        <v/>
      </c>
      <c r="AY20" s="792" t="str">
        <f t="shared" si="22"/>
        <v/>
      </c>
      <c r="AZ20" s="776" t="str">
        <f t="shared" si="23"/>
        <v/>
      </c>
      <c r="BA20" s="775" t="str">
        <f>IF($B20="","",IF(INDEX(BDHK2,MATCH($C20,DiemHKII!$C$4:$C$58,0),BA$59)&lt;&gt;"",INDEX(BDHK2,MATCH($C20,DiemHKII!$C$4:$C$58,0),BA$59),""))</f>
        <v/>
      </c>
      <c r="BB20" s="792" t="str">
        <f t="shared" si="24"/>
        <v/>
      </c>
      <c r="BC20" s="776" t="str">
        <f t="shared" si="25"/>
        <v/>
      </c>
      <c r="BD20" s="774"/>
      <c r="BE20" s="775">
        <f>IF($B20="","",IF(INDEX(BDHK2,MATCH($C20,DiemHKII!$C$4:$C$58,0),BE$59)&lt;&gt;"",INDEX(BDHK2,MATCH($C20,DiemHKII!$C$4:$C$58,0),BE$59),""))</f>
        <v>8.1</v>
      </c>
      <c r="BF20" s="792">
        <f t="shared" si="26"/>
        <v>3</v>
      </c>
      <c r="BG20" s="776" t="str">
        <f>IF($B20="","",INDEX(NXetHKI!$B$3:$CL$57,MATCH(NXchung!$C20,NXetHKI!$C$3:$C$57,0),NXchung!BG$59))</f>
        <v>Chủ động, có năng khiếu cảm nhận văn bản, viết văn.</v>
      </c>
      <c r="BH20" s="775" t="str">
        <f>IF($B20="","",IF(INDEX(BDHK2,MATCH($C20,DiemHKII!$C$4:$C$58,0),BH$59)&lt;&gt;"",INDEX(BDHK2,MATCH($C20,DiemHKII!$C$4:$C$58,0),BH$59),""))</f>
        <v/>
      </c>
      <c r="BI20" s="792" t="str">
        <f t="shared" si="27"/>
        <v/>
      </c>
      <c r="BJ20" s="776" t="str">
        <f t="shared" si="28"/>
        <v/>
      </c>
      <c r="BK20" s="775" t="str">
        <f>IF($B20="","",IF(INDEX(BDHK2,MATCH($C20,DiemHKII!$C$4:$C$58,0),BK$59)&lt;&gt;"",INDEX(BDHK2,MATCH($C20,DiemHKII!$C$4:$C$58,0),BK$59),""))</f>
        <v/>
      </c>
      <c r="BL20" s="792" t="str">
        <f t="shared" si="29"/>
        <v/>
      </c>
      <c r="BM20" s="776" t="str">
        <f t="shared" si="30"/>
        <v/>
      </c>
      <c r="BN20" s="774"/>
      <c r="BO20" s="775">
        <f>IF($B20="","",IF(INDEX(BDHK2,MATCH($C20,DiemHKII!$C$4:$C$58,0),BO$59)&lt;&gt;"",INDEX(BDHK2,MATCH($C20,DiemHKII!$C$4:$C$58,0),BO$59),""))</f>
        <v>9.8000000000000007</v>
      </c>
      <c r="BP20" s="792">
        <f t="shared" si="31"/>
        <v>1</v>
      </c>
      <c r="BQ20" s="776" t="str">
        <f>IF($B20="","",INDEX(NXetHKI!$B$3:$CL$57,MATCH(NXchung!$C20,NXetHKI!$C$3:$C$57,0),NXchung!BQ$59))</f>
        <v>Chăm học, tích cực phát biểu xây dựng bài.</v>
      </c>
      <c r="BR20" s="775" t="str">
        <f>IF($B20="","",IF(INDEX(BDHK2,MATCH($C20,DiemHKII!$C$4:$C$58,0),BR$59)&lt;&gt;"",INDEX(BDHK2,MATCH($C20,DiemHKII!$C$4:$C$58,0),BR$59),""))</f>
        <v/>
      </c>
      <c r="BS20" s="792" t="str">
        <f t="shared" si="32"/>
        <v/>
      </c>
      <c r="BT20" s="776" t="str">
        <f t="shared" si="33"/>
        <v/>
      </c>
      <c r="BU20" s="775" t="str">
        <f>IF($B20="","",IF(INDEX(BDHK2,MATCH($C20,DiemHKII!$C$4:$C$58,0),BU$59)&lt;&gt;"",INDEX(BDHK2,MATCH($C20,DiemHKII!$C$4:$C$58,0),BU$59),""))</f>
        <v/>
      </c>
      <c r="BV20" s="792" t="str">
        <f t="shared" si="34"/>
        <v/>
      </c>
      <c r="BW20" s="776" t="str">
        <f t="shared" si="35"/>
        <v/>
      </c>
      <c r="BX20" s="774"/>
      <c r="BY20" s="775">
        <f>IF($B20="","",IF(INDEX(BDHK2,MATCH($C20,DiemHKII!$C$4:$C$58,0),BY$59)&lt;&gt;"",INDEX(BDHK2,MATCH($C20,DiemHKII!$C$4:$C$58,0),BY$59),""))</f>
        <v>9.9</v>
      </c>
      <c r="BZ20" s="792">
        <f t="shared" si="36"/>
        <v>1</v>
      </c>
      <c r="CA20" s="776" t="str">
        <f>IF($B20="","",INDEX(NXetHKI!$B$3:$CL$57,MATCH(NXchung!$C20,NXetHKI!$C$3:$C$57,0),NXchung!CA$59))</f>
        <v>Em có tư duy tốt, tích cực, vận dụng thực tế tốt.</v>
      </c>
      <c r="CB20" s="775" t="str">
        <f>IF($B20="","",IF(INDEX(BDHK2,MATCH($C20,DiemHKII!$C$4:$C$58,0),CB$59)&lt;&gt;"",INDEX(BDHK2,MATCH($C20,DiemHKII!$C$4:$C$58,0),CB$59),""))</f>
        <v/>
      </c>
      <c r="CC20" s="792" t="str">
        <f t="shared" si="37"/>
        <v/>
      </c>
      <c r="CD20" s="776" t="str">
        <f t="shared" si="38"/>
        <v/>
      </c>
      <c r="CE20" s="775" t="str">
        <f>IF($B20="","",IF(INDEX(BDHK2,MATCH($C20,DiemHKII!$C$4:$C$58,0),CE$59)&lt;&gt;"",INDEX(BDHK2,MATCH($C20,DiemHKII!$C$4:$C$58,0),CE$59),""))</f>
        <v/>
      </c>
      <c r="CF20" s="792" t="str">
        <f t="shared" si="39"/>
        <v/>
      </c>
      <c r="CG20" s="776" t="str">
        <f t="shared" si="40"/>
        <v/>
      </c>
      <c r="CH20" s="774"/>
      <c r="CI20" s="775">
        <f>IF($B20="","",IF(INDEX(BDHK2,MATCH($C20,DiemHKII!$C$4:$C$58,0),CI$59)&lt;&gt;"",INDEX(BDHK2,MATCH($C20,DiemHKII!$C$4:$C$58,0),CI$59),""))</f>
        <v>9.3000000000000007</v>
      </c>
      <c r="CJ20" s="792">
        <f t="shared" si="41"/>
        <v>1</v>
      </c>
      <c r="CK20" s="776" t="str">
        <f>IF($B20="","",INDEX(NXetHKI!$B$3:$CL$57,MATCH(NXchung!$C20,NXetHKI!$C$3:$C$57,0),NXchung!CK$59))</f>
        <v>Tích cực phát biểu trong giờ học, tương tác tốt với giáo viên và bạn bè.</v>
      </c>
      <c r="CL20" s="775" t="str">
        <f>IF($B20="","",IF(INDEX(BDHK2,MATCH($C20,DiemHKII!$C$4:$C$58,0),CL$59)&lt;&gt;"",INDEX(BDHK2,MATCH($C20,DiemHKII!$C$4:$C$58,0),CL$59),""))</f>
        <v/>
      </c>
      <c r="CM20" s="792" t="str">
        <f t="shared" si="42"/>
        <v/>
      </c>
      <c r="CN20" s="776" t="str">
        <f t="shared" si="43"/>
        <v/>
      </c>
      <c r="CO20" s="775" t="str">
        <f>IF($B20="","",IF(INDEX(BDHK2,MATCH($C20,DiemHKII!$C$4:$C$58,0),CO$59)&lt;&gt;"",INDEX(BDHK2,MATCH($C20,DiemHKII!$C$4:$C$58,0),CO$59),""))</f>
        <v/>
      </c>
      <c r="CP20" s="792" t="str">
        <f t="shared" si="44"/>
        <v/>
      </c>
      <c r="CQ20" s="776" t="str">
        <f t="shared" si="45"/>
        <v/>
      </c>
      <c r="CR20" s="774"/>
      <c r="CS20" s="775">
        <f>IF($B20="","",IF(INDEX(BDHK2,MATCH($C20,DiemHKII!$C$4:$C$58,0),CS$59)&lt;&gt;"",INDEX(BDHK2,MATCH($C20,DiemHKII!$C$4:$C$58,0),CS$59),""))</f>
        <v>9.3000000000000007</v>
      </c>
      <c r="CT20" s="792">
        <f t="shared" si="46"/>
        <v>1</v>
      </c>
      <c r="CU20" s="776" t="str">
        <f>IF($B20="","",INDEX(NXetHKI!$B$3:$CL$57,MATCH(NXchung!$C20,NXetHKI!$C$3:$C$57,0),NXchung!CU$59))</f>
        <v>Hứng thú, tích cực, học giỏi.</v>
      </c>
      <c r="CV20" s="775" t="str">
        <f>IF($B20="","",IF(INDEX(BDHK2,MATCH($C20,DiemHKII!$C$4:$C$58,0),CV$59)&lt;&gt;"",INDEX(BDHK2,MATCH($C20,DiemHKII!$C$4:$C$58,0),CV$59),""))</f>
        <v/>
      </c>
      <c r="CW20" s="792" t="str">
        <f t="shared" si="47"/>
        <v/>
      </c>
      <c r="CX20" s="776" t="str">
        <f t="shared" si="48"/>
        <v/>
      </c>
      <c r="CY20" s="775" t="str">
        <f>IF($B20="","",IF(INDEX(BDHK2,MATCH($C20,DiemHKII!$C$4:$C$58,0),CY$59)&lt;&gt;"",INDEX(BDHK2,MATCH($C20,DiemHKII!$C$4:$C$58,0),CY$59),""))</f>
        <v/>
      </c>
      <c r="CZ20" s="792" t="str">
        <f t="shared" si="49"/>
        <v/>
      </c>
      <c r="DA20" s="776" t="str">
        <f t="shared" si="50"/>
        <v/>
      </c>
      <c r="DB20" s="774"/>
      <c r="DC20" s="775">
        <f>IF($B20="","",IF(INDEX(BDHK2,MATCH($C20,DiemHKII!$C$4:$C$58,0),DC$59)&lt;&gt;"",INDEX(BDHK2,MATCH($C20,DiemHKII!$C$4:$C$58,0),DC$59),""))</f>
        <v>9.8000000000000007</v>
      </c>
      <c r="DD20" s="792">
        <f t="shared" si="51"/>
        <v>1</v>
      </c>
      <c r="DE20" s="776" t="str">
        <f>IF($B20="","",INDEX(NXetHKI!$B$3:$CL$57,MATCH(NXchung!$C20,NXetHKI!$C$3:$C$57,0),NXchung!DE$59))</f>
        <v>Học giỏi, tiếp thu nhanh, chăm ngoan.</v>
      </c>
      <c r="DF20" s="775" t="str">
        <f>IF($B20="","",IF(INDEX(BDHK2,MATCH($C20,DiemHKII!$C$4:$C$58,0),DF$59)&lt;&gt;"",INDEX(BDHK2,MATCH($C20,DiemHKII!$C$4:$C$58,0),DF$59),""))</f>
        <v/>
      </c>
      <c r="DG20" s="792" t="str">
        <f t="shared" si="52"/>
        <v/>
      </c>
      <c r="DH20" s="776" t="str">
        <f t="shared" si="53"/>
        <v/>
      </c>
      <c r="DI20" s="775" t="str">
        <f>IF($B20="","",IF(INDEX(BDHK2,MATCH($C20,DiemHKII!$C$4:$C$58,0),DI$59)&lt;&gt;"",INDEX(BDHK2,MATCH($C20,DiemHKII!$C$4:$C$58,0),DI$59),""))</f>
        <v/>
      </c>
      <c r="DJ20" s="792" t="str">
        <f t="shared" si="54"/>
        <v/>
      </c>
      <c r="DK20" s="776" t="str">
        <f t="shared" si="55"/>
        <v/>
      </c>
      <c r="DL20" s="774"/>
      <c r="DM20" s="775" t="str">
        <f>IF($B20="","",IF(INDEX(BDHK2,MATCH($C20,DiemHKII!$C$4:$C$58,0),DM$59)&lt;&gt;"",INDEX(BDHK2,MATCH($C20,DiemHKII!$C$4:$C$58,0),DM$59),""))</f>
        <v>Đ</v>
      </c>
      <c r="DN20" s="792">
        <f t="shared" si="56"/>
        <v>1</v>
      </c>
      <c r="DO20" s="776" t="str">
        <f>IF($B20="","",INDEX(NXetHKI!$B$3:$CL$57,MATCH(NXchung!$C20,NXetHKI!$C$3:$C$57,0),NXchung!DO$59))</f>
        <v>Rất ngoan, học có hiệu quả tốt.</v>
      </c>
      <c r="DP20" s="775" t="str">
        <f>IF($B20="","",IF(INDEX(BDHK2,MATCH($C20,DiemHKII!$C$4:$C$58,0),DP$59)&lt;&gt;"",INDEX(BDHK2,MATCH($C20,DiemHKII!$C$4:$C$58,0),DP$59),""))</f>
        <v/>
      </c>
      <c r="DQ20" s="792" t="str">
        <f t="shared" si="57"/>
        <v/>
      </c>
      <c r="DR20" s="776" t="str">
        <f t="shared" si="58"/>
        <v/>
      </c>
      <c r="DS20" s="775" t="str">
        <f>IF($B20="","",IF(INDEX(BDHK2,MATCH($C20,DiemHKII!$C$4:$C$58,0),DS$59)&lt;&gt;"",INDEX(BDHK2,MATCH($C20,DiemHKII!$C$4:$C$58,0),DS$59),""))</f>
        <v>Đ</v>
      </c>
      <c r="DT20" s="792">
        <f t="shared" si="59"/>
        <v>1</v>
      </c>
      <c r="DU20" s="776" t="str">
        <f t="shared" si="60"/>
        <v>Giỏi, có nhiều tiến bộ trong học tập.</v>
      </c>
      <c r="DV20" s="774"/>
      <c r="DW20" s="775">
        <f>IF($B20="","",IF(INDEX(BDHK2,MATCH($C20,DiemHKII!$C$4:$C$58,0),DW$59)&lt;&gt;"",INDEX(BDHK2,MATCH($C20,DiemHKII!$C$4:$C$58,0),DW$59),""))</f>
        <v>9.9</v>
      </c>
      <c r="DX20" s="792">
        <f t="shared" si="61"/>
        <v>1</v>
      </c>
      <c r="DY20" s="776" t="str">
        <f>IF($B20="","",INDEX(NXetHKI!$B$3:$CL$57,MATCH(NXchung!$C20,NXetHKI!$C$3:$C$57,0),NXchung!DY$59))</f>
        <v>Ngoan, tích cực xây dựng bài, nắm chắc thực hành, học giỏi.</v>
      </c>
      <c r="DZ20" s="775" t="str">
        <f>IF($B20="","",IF(INDEX(BDHK2,MATCH($C20,DiemHKII!$C$4:$C$58,0),DZ$59)&lt;&gt;"",INDEX(BDHK2,MATCH($C20,DiemHKII!$C$4:$C$58,0),DZ$59),""))</f>
        <v/>
      </c>
      <c r="EA20" s="792" t="str">
        <f t="shared" si="62"/>
        <v/>
      </c>
      <c r="EB20" s="776" t="str">
        <f t="shared" si="63"/>
        <v/>
      </c>
      <c r="EC20" s="775" t="str">
        <f>IF($B20="","",IF(INDEX(BDHK2,MATCH($C20,DiemHKII!$C$4:$C$58,0),EC$59)&lt;&gt;"",INDEX(BDHK2,MATCH($C20,DiemHKII!$C$4:$C$58,0),EC$59),""))</f>
        <v/>
      </c>
      <c r="ED20" s="792" t="str">
        <f t="shared" si="64"/>
        <v/>
      </c>
      <c r="EE20" s="776" t="str">
        <f t="shared" si="65"/>
        <v/>
      </c>
      <c r="EF20" s="774"/>
      <c r="EG20" s="775" t="str">
        <f>IF($B20="","",IF(INDEX(BDHK2,MATCH($C20,DiemHKII!$C$4:$C$58,0),EG$59)&lt;&gt;"",INDEX(BDHK2,MATCH($C20,DiemHKII!$C$4:$C$58,0),EG$59),""))</f>
        <v/>
      </c>
      <c r="EH20" s="792" t="str">
        <f t="shared" si="66"/>
        <v/>
      </c>
      <c r="EI20" s="776" t="str">
        <f>IF($B20="","",INDEX(NXetHKI!$B$3:$CL$57,MATCH(NXchung!$C20,NXetHKI!$C$3:$C$57,0),NXchung!EI$59))</f>
        <v/>
      </c>
      <c r="EJ20" s="775" t="str">
        <f>IF($B20="","",IF(INDEX(BDHK2,MATCH($C20,DiemHKII!$C$4:$C$58,0),EJ$59)&lt;&gt;"",INDEX(BDHK2,MATCH($C20,DiemHKII!$C$4:$C$58,0),EJ$59),""))</f>
        <v/>
      </c>
      <c r="EK20" s="792" t="str">
        <f t="shared" si="67"/>
        <v/>
      </c>
      <c r="EL20" s="776" t="str">
        <f t="shared" si="68"/>
        <v/>
      </c>
      <c r="EM20" s="775" t="str">
        <f>IF($B20="","",IF(INDEX(BDHK2,MATCH($C20,DiemHKII!$C$4:$C$58,0),EM$59)&lt;&gt;"",INDEX(BDHK2,MATCH($C20,DiemHKII!$C$4:$C$58,0),EM$59),""))</f>
        <v/>
      </c>
      <c r="EN20" s="792" t="str">
        <f t="shared" si="69"/>
        <v/>
      </c>
      <c r="EO20" s="776" t="str">
        <f t="shared" si="70"/>
        <v/>
      </c>
      <c r="EP20" s="774"/>
      <c r="ER20" s="816">
        <v>3</v>
      </c>
      <c r="ES20" s="816">
        <v>6</v>
      </c>
    </row>
    <row r="21" spans="1:149" ht="15" customHeight="1">
      <c r="A21" s="764"/>
      <c r="B21" s="771">
        <f>IF(B20&lt;MAX(DiemHKII!$B$4:$B$58),B20+1,"")</f>
        <v>19</v>
      </c>
      <c r="C21" s="771" t="str">
        <f t="shared" si="0"/>
        <v>12A1Lê TiếnKhôi14/10/2004</v>
      </c>
      <c r="D21" s="772" t="str">
        <f>IF($B21&lt;&gt;"",PROPER(INDEX(DiemHKII!$B$4:$K$58,MATCH($B21,DiemHKII!$B$4:$B$58,0),4)),"")</f>
        <v>Lê Tiến</v>
      </c>
      <c r="E21" s="773" t="str">
        <f>IF($B21&lt;&gt;"",PROPER(INDEX(DiemHKII!$B$4:$K$58,MATCH($B21,DiemHKII!$B$4:$B$58,0),5)),"")</f>
        <v>Khôi</v>
      </c>
      <c r="F21" s="774" t="str">
        <f>IF($B21&lt;&gt;"",PROPER(INDEX(DiemHKII!$B$4:$K$58,MATCH($B21,DiemHKII!$B$4:$B$58,0),6)),"")</f>
        <v>14/10/2004</v>
      </c>
      <c r="G21" s="775">
        <f>IF($B21="","",IF(INDEX(BDHK2,MATCH($C21,DiemHKII!$C$4:$C$58,0),G$59)&lt;&gt;"",INDEX(BDHK2,MATCH($C21,DiemHKII!$C$4:$C$58,0),G$59),""))</f>
        <v>10</v>
      </c>
      <c r="H21" s="792">
        <f t="shared" si="1"/>
        <v>1</v>
      </c>
      <c r="I21" s="776" t="str">
        <f>IF($B21="","",INDEX(NXetHKI!$B$3:$CL$57,MATCH(NXchung!$C21,NXetHKI!$C$3:$C$57,0),NXchung!I$59))</f>
        <v>Em chăm chỉ, chuyên cần, rất tích cực, rất đáng khen.</v>
      </c>
      <c r="J21" s="775" t="str">
        <f>IF($B21="","",IF(INDEX(BDHK2,MATCH($C21,DiemHKII!$C$4:$C$58,0),J$59)&lt;&gt;"",INDEX(BDHK2,MATCH($C21,DiemHKII!$C$4:$C$58,0),J$59),""))</f>
        <v/>
      </c>
      <c r="K21" s="792" t="str">
        <f t="shared" si="2"/>
        <v/>
      </c>
      <c r="L21" s="776" t="str">
        <f t="shared" si="3"/>
        <v/>
      </c>
      <c r="M21" s="775" t="str">
        <f>IF($B21="","",IF(INDEX(BDHK2,MATCH($C21,DiemHKII!$C$4:$C$58,0),M$59)&lt;&gt;"",INDEX(BDHK2,MATCH($C21,DiemHKII!$C$4:$C$58,0),M$59),""))</f>
        <v/>
      </c>
      <c r="N21" s="792" t="str">
        <f t="shared" si="4"/>
        <v/>
      </c>
      <c r="O21" s="776" t="str">
        <f t="shared" si="5"/>
        <v/>
      </c>
      <c r="P21" s="774"/>
      <c r="Q21" s="775">
        <f>IF($B21="","",IF(INDEX(BDHK2,MATCH($C21,DiemHKII!$C$4:$C$58,0),Q$59)&lt;&gt;"",INDEX(BDHK2,MATCH($C21,DiemHKII!$C$4:$C$58,0),Q$59),""))</f>
        <v>10</v>
      </c>
      <c r="R21" s="792">
        <f t="shared" si="6"/>
        <v>1</v>
      </c>
      <c r="S21" s="776" t="str">
        <f>IF($B21="","",INDEX(NXetHKI!$B$3:$CL$57,MATCH(NXchung!$C21,NXetHKI!$C$3:$C$57,0),NXchung!S$59))</f>
        <v>Em chăm chỉ, chuyên cần, rất tích cực, rất đáng khen.</v>
      </c>
      <c r="T21" s="775" t="str">
        <f>IF($B21="","",IF(INDEX(BDHK2,MATCH($C21,DiemHKII!$C$4:$C$58,0),T$59)&lt;&gt;"",INDEX(BDHK2,MATCH($C21,DiemHKII!$C$4:$C$58,0),T$59),""))</f>
        <v/>
      </c>
      <c r="U21" s="792" t="str">
        <f t="shared" si="7"/>
        <v/>
      </c>
      <c r="V21" s="776" t="str">
        <f t="shared" si="8"/>
        <v/>
      </c>
      <c r="W21" s="775" t="str">
        <f>IF($B21="","",IF(INDEX(BDHK2,MATCH($C21,DiemHKII!$C$4:$C$58,0),W$59)&lt;&gt;"",INDEX(BDHK2,MATCH($C21,DiemHKII!$C$4:$C$58,0),W$59),""))</f>
        <v/>
      </c>
      <c r="X21" s="792" t="str">
        <f t="shared" si="9"/>
        <v/>
      </c>
      <c r="Y21" s="776" t="str">
        <f t="shared" si="10"/>
        <v/>
      </c>
      <c r="Z21" s="774"/>
      <c r="AA21" s="775">
        <f>IF($B21="","",IF(INDEX(BDHK2,MATCH($C21,DiemHKII!$C$4:$C$58,0),AA$59)&lt;&gt;"",INDEX(BDHK2,MATCH($C21,DiemHKII!$C$4:$C$58,0),AA$59),""))</f>
        <v>9.9</v>
      </c>
      <c r="AB21" s="792">
        <f t="shared" si="11"/>
        <v>1</v>
      </c>
      <c r="AC21" s="776" t="str">
        <f>IF($B21="","",INDEX(NXetHKI!$B$3:$CL$57,MATCH(NXchung!$C21,NXetHKI!$C$3:$C$57,0),NXchung!AC$59))</f>
        <v>Học giỏi, thông minh, cần phát huy.</v>
      </c>
      <c r="AD21" s="775" t="str">
        <f>IF($B21="","",IF(INDEX(BDHK2,MATCH($C21,DiemHKII!$C$4:$C$58,0),AD$59)&lt;&gt;"",INDEX(BDHK2,MATCH($C21,DiemHKII!$C$4:$C$58,0),AD$59),""))</f>
        <v/>
      </c>
      <c r="AE21" s="792" t="str">
        <f t="shared" si="12"/>
        <v/>
      </c>
      <c r="AF21" s="776" t="str">
        <f t="shared" si="13"/>
        <v/>
      </c>
      <c r="AG21" s="775" t="str">
        <f>IF($B21="","",IF(INDEX(BDHK2,MATCH($C21,DiemHKII!$C$4:$C$58,0),AG$59)&lt;&gt;"",INDEX(BDHK2,MATCH($C21,DiemHKII!$C$4:$C$58,0),AG$59),""))</f>
        <v/>
      </c>
      <c r="AH21" s="792" t="str">
        <f t="shared" si="14"/>
        <v/>
      </c>
      <c r="AI21" s="776" t="str">
        <f t="shared" si="15"/>
        <v/>
      </c>
      <c r="AJ21" s="774"/>
      <c r="AK21" s="775">
        <f>IF($B21="","",IF(INDEX(BDHK2,MATCH($C21,DiemHKII!$C$4:$C$58,0),AK$59)&lt;&gt;"",INDEX(BDHK2,MATCH($C21,DiemHKII!$C$4:$C$58,0),AK$59),""))</f>
        <v>9.4</v>
      </c>
      <c r="AL21" s="792">
        <f t="shared" si="16"/>
        <v>1</v>
      </c>
      <c r="AM21" s="776" t="str">
        <f>IF($B21="","",INDEX(NXetHKI!$B$3:$CL$57,MATCH(NXchung!$C21,NXetHKI!$C$3:$C$57,0),NXchung!AM$59))</f>
        <v>Sáng tạo, hoạt động nhóm rất tốt, biết chia sẻ kết quả học tập với bạn.</v>
      </c>
      <c r="AN21" s="775" t="str">
        <f>IF($B21="","",IF(INDEX(BDHK2,MATCH($C21,DiemHKII!$C$4:$C$58,0),AN$59)&lt;&gt;"",INDEX(BDHK2,MATCH($C21,DiemHKII!$C$4:$C$58,0),AN$59),""))</f>
        <v/>
      </c>
      <c r="AO21" s="792" t="str">
        <f t="shared" si="17"/>
        <v/>
      </c>
      <c r="AP21" s="776" t="str">
        <f t="shared" si="18"/>
        <v/>
      </c>
      <c r="AQ21" s="775" t="str">
        <f>IF($B21="","",IF(INDEX(BDHK2,MATCH($C21,DiemHKII!$C$4:$C$58,0),AQ$59)&lt;&gt;"",INDEX(BDHK2,MATCH($C21,DiemHKII!$C$4:$C$58,0),AQ$59),""))</f>
        <v/>
      </c>
      <c r="AR21" s="792" t="str">
        <f t="shared" si="19"/>
        <v/>
      </c>
      <c r="AS21" s="776" t="str">
        <f t="shared" si="20"/>
        <v/>
      </c>
      <c r="AT21" s="774"/>
      <c r="AU21" s="775">
        <f>IF($B21="","",IF(INDEX(BDHK2,MATCH($C21,DiemHKII!$C$4:$C$58,0),AU$59)&lt;&gt;"",INDEX(BDHK2,MATCH($C21,DiemHKII!$C$4:$C$58,0),AU$59),""))</f>
        <v>9.8000000000000007</v>
      </c>
      <c r="AV21" s="792">
        <f t="shared" si="21"/>
        <v>1</v>
      </c>
      <c r="AW21" s="776" t="str">
        <f>IF($B21="","",INDEX(NXetHKI!$B$3:$CL$57,MATCH(NXchung!$C21,NXetHKI!$C$3:$C$57,0),NXchung!AW$59))</f>
        <v>Rất ngoan, cố gắng có hiệu quả.</v>
      </c>
      <c r="AX21" s="775" t="str">
        <f>IF($B21="","",IF(INDEX(BDHK2,MATCH($C21,DiemHKII!$C$4:$C$58,0),AX$59)&lt;&gt;"",INDEX(BDHK2,MATCH($C21,DiemHKII!$C$4:$C$58,0),AX$59),""))</f>
        <v/>
      </c>
      <c r="AY21" s="792" t="str">
        <f t="shared" si="22"/>
        <v/>
      </c>
      <c r="AZ21" s="776" t="str">
        <f t="shared" si="23"/>
        <v/>
      </c>
      <c r="BA21" s="775" t="str">
        <f>IF($B21="","",IF(INDEX(BDHK2,MATCH($C21,DiemHKII!$C$4:$C$58,0),BA$59)&lt;&gt;"",INDEX(BDHK2,MATCH($C21,DiemHKII!$C$4:$C$58,0),BA$59),""))</f>
        <v/>
      </c>
      <c r="BB21" s="792" t="str">
        <f t="shared" si="24"/>
        <v/>
      </c>
      <c r="BC21" s="776" t="str">
        <f t="shared" si="25"/>
        <v/>
      </c>
      <c r="BD21" s="774"/>
      <c r="BE21" s="775">
        <f>IF($B21="","",IF(INDEX(BDHK2,MATCH($C21,DiemHKII!$C$4:$C$58,0),BE$59)&lt;&gt;"",INDEX(BDHK2,MATCH($C21,DiemHKII!$C$4:$C$58,0),BE$59),""))</f>
        <v>7.5</v>
      </c>
      <c r="BF21" s="792">
        <f t="shared" si="26"/>
        <v>4</v>
      </c>
      <c r="BG21" s="776" t="str">
        <f>IF($B21="","",INDEX(NXetHKI!$B$3:$CL$57,MATCH(NXchung!$C21,NXetHKI!$C$3:$C$57,0),NXchung!BG$59))</f>
        <v>Có năng khiếu, tự giác, cảm nhận được văn bản.</v>
      </c>
      <c r="BH21" s="775" t="str">
        <f>IF($B21="","",IF(INDEX(BDHK2,MATCH($C21,DiemHKII!$C$4:$C$58,0),BH$59)&lt;&gt;"",INDEX(BDHK2,MATCH($C21,DiemHKII!$C$4:$C$58,0),BH$59),""))</f>
        <v/>
      </c>
      <c r="BI21" s="792" t="str">
        <f t="shared" si="27"/>
        <v/>
      </c>
      <c r="BJ21" s="776" t="str">
        <f t="shared" si="28"/>
        <v/>
      </c>
      <c r="BK21" s="775" t="str">
        <f>IF($B21="","",IF(INDEX(BDHK2,MATCH($C21,DiemHKII!$C$4:$C$58,0),BK$59)&lt;&gt;"",INDEX(BDHK2,MATCH($C21,DiemHKII!$C$4:$C$58,0),BK$59),""))</f>
        <v/>
      </c>
      <c r="BL21" s="792" t="str">
        <f t="shared" si="29"/>
        <v/>
      </c>
      <c r="BM21" s="776" t="str">
        <f t="shared" si="30"/>
        <v/>
      </c>
      <c r="BN21" s="774"/>
      <c r="BO21" s="775">
        <f>IF($B21="","",IF(INDEX(BDHK2,MATCH($C21,DiemHKII!$C$4:$C$58,0),BO$59)&lt;&gt;"",INDEX(BDHK2,MATCH($C21,DiemHKII!$C$4:$C$58,0),BO$59),""))</f>
        <v>9.4</v>
      </c>
      <c r="BP21" s="792">
        <f t="shared" si="31"/>
        <v>1</v>
      </c>
      <c r="BQ21" s="776" t="str">
        <f>IF($B21="","",INDEX(NXetHKI!$B$3:$CL$57,MATCH(NXchung!$C21,NXetHKI!$C$3:$C$57,0),NXchung!BQ$59))</f>
        <v>Chăm ngoan, tích cực, chủ động tiếp thu bài học.</v>
      </c>
      <c r="BR21" s="775" t="str">
        <f>IF($B21="","",IF(INDEX(BDHK2,MATCH($C21,DiemHKII!$C$4:$C$58,0),BR$59)&lt;&gt;"",INDEX(BDHK2,MATCH($C21,DiemHKII!$C$4:$C$58,0),BR$59),""))</f>
        <v/>
      </c>
      <c r="BS21" s="792" t="str">
        <f t="shared" si="32"/>
        <v/>
      </c>
      <c r="BT21" s="776" t="str">
        <f t="shared" si="33"/>
        <v/>
      </c>
      <c r="BU21" s="775" t="str">
        <f>IF($B21="","",IF(INDEX(BDHK2,MATCH($C21,DiemHKII!$C$4:$C$58,0),BU$59)&lt;&gt;"",INDEX(BDHK2,MATCH($C21,DiemHKII!$C$4:$C$58,0),BU$59),""))</f>
        <v/>
      </c>
      <c r="BV21" s="792" t="str">
        <f t="shared" si="34"/>
        <v/>
      </c>
      <c r="BW21" s="776" t="str">
        <f t="shared" si="35"/>
        <v/>
      </c>
      <c r="BX21" s="774"/>
      <c r="BY21" s="775">
        <f>IF($B21="","",IF(INDEX(BDHK2,MATCH($C21,DiemHKII!$C$4:$C$58,0),BY$59)&lt;&gt;"",INDEX(BDHK2,MATCH($C21,DiemHKII!$C$4:$C$58,0),BY$59),""))</f>
        <v>9.6</v>
      </c>
      <c r="BZ21" s="792">
        <f t="shared" si="36"/>
        <v>1</v>
      </c>
      <c r="CA21" s="776" t="str">
        <f>IF($B21="","",INDEX(NXetHKI!$B$3:$CL$57,MATCH(NXchung!$C21,NXetHKI!$C$3:$C$57,0),NXchung!CA$59))</f>
        <v>Em rất ngoan, cố gắng có hiệu quả.</v>
      </c>
      <c r="CB21" s="775" t="str">
        <f>IF($B21="","",IF(INDEX(BDHK2,MATCH($C21,DiemHKII!$C$4:$C$58,0),CB$59)&lt;&gt;"",INDEX(BDHK2,MATCH($C21,DiemHKII!$C$4:$C$58,0),CB$59),""))</f>
        <v/>
      </c>
      <c r="CC21" s="792" t="str">
        <f t="shared" si="37"/>
        <v/>
      </c>
      <c r="CD21" s="776" t="str">
        <f t="shared" si="38"/>
        <v/>
      </c>
      <c r="CE21" s="775" t="str">
        <f>IF($B21="","",IF(INDEX(BDHK2,MATCH($C21,DiemHKII!$C$4:$C$58,0),CE$59)&lt;&gt;"",INDEX(BDHK2,MATCH($C21,DiemHKII!$C$4:$C$58,0),CE$59),""))</f>
        <v/>
      </c>
      <c r="CF21" s="792" t="str">
        <f t="shared" si="39"/>
        <v/>
      </c>
      <c r="CG21" s="776" t="str">
        <f t="shared" si="40"/>
        <v/>
      </c>
      <c r="CH21" s="774"/>
      <c r="CI21" s="775">
        <f>IF($B21="","",IF(INDEX(BDHK2,MATCH($C21,DiemHKII!$C$4:$C$58,0),CI$59)&lt;&gt;"",INDEX(BDHK2,MATCH($C21,DiemHKII!$C$4:$C$58,0),CI$59),""))</f>
        <v>9.4</v>
      </c>
      <c r="CJ21" s="792">
        <f t="shared" si="41"/>
        <v>1</v>
      </c>
      <c r="CK21" s="776" t="str">
        <f>IF($B21="","",INDEX(NXetHKI!$B$3:$CL$57,MATCH(NXchung!$C21,NXetHKI!$C$3:$C$57,0),NXchung!CK$59))</f>
        <v>Có năng khiếu, tự tin, giao tiếp tốt và có khả năng làm việc nhóm.</v>
      </c>
      <c r="CL21" s="775" t="str">
        <f>IF($B21="","",IF(INDEX(BDHK2,MATCH($C21,DiemHKII!$C$4:$C$58,0),CL$59)&lt;&gt;"",INDEX(BDHK2,MATCH($C21,DiemHKII!$C$4:$C$58,0),CL$59),""))</f>
        <v/>
      </c>
      <c r="CM21" s="792" t="str">
        <f t="shared" si="42"/>
        <v/>
      </c>
      <c r="CN21" s="776" t="str">
        <f t="shared" si="43"/>
        <v/>
      </c>
      <c r="CO21" s="775" t="str">
        <f>IF($B21="","",IF(INDEX(BDHK2,MATCH($C21,DiemHKII!$C$4:$C$58,0),CO$59)&lt;&gt;"",INDEX(BDHK2,MATCH($C21,DiemHKII!$C$4:$C$58,0),CO$59),""))</f>
        <v/>
      </c>
      <c r="CP21" s="792" t="str">
        <f t="shared" si="44"/>
        <v/>
      </c>
      <c r="CQ21" s="776" t="str">
        <f t="shared" si="45"/>
        <v/>
      </c>
      <c r="CR21" s="774"/>
      <c r="CS21" s="775">
        <f>IF($B21="","",IF(INDEX(BDHK2,MATCH($C21,DiemHKII!$C$4:$C$58,0),CS$59)&lt;&gt;"",INDEX(BDHK2,MATCH($C21,DiemHKII!$C$4:$C$58,0),CS$59),""))</f>
        <v>9.6</v>
      </c>
      <c r="CT21" s="792">
        <f t="shared" si="46"/>
        <v>1</v>
      </c>
      <c r="CU21" s="776" t="str">
        <f>IF($B21="","",INDEX(NXetHKI!$B$3:$CL$57,MATCH(NXchung!$C21,NXetHKI!$C$3:$C$57,0),NXchung!CU$59))</f>
        <v>Hứng thú, có trách nhiệm học tập tốt.</v>
      </c>
      <c r="CV21" s="775" t="str">
        <f>IF($B21="","",IF(INDEX(BDHK2,MATCH($C21,DiemHKII!$C$4:$C$58,0),CV$59)&lt;&gt;"",INDEX(BDHK2,MATCH($C21,DiemHKII!$C$4:$C$58,0),CV$59),""))</f>
        <v/>
      </c>
      <c r="CW21" s="792" t="str">
        <f t="shared" si="47"/>
        <v/>
      </c>
      <c r="CX21" s="776" t="str">
        <f t="shared" si="48"/>
        <v/>
      </c>
      <c r="CY21" s="775" t="str">
        <f>IF($B21="","",IF(INDEX(BDHK2,MATCH($C21,DiemHKII!$C$4:$C$58,0),CY$59)&lt;&gt;"",INDEX(BDHK2,MATCH($C21,DiemHKII!$C$4:$C$58,0),CY$59),""))</f>
        <v/>
      </c>
      <c r="CZ21" s="792" t="str">
        <f t="shared" si="49"/>
        <v/>
      </c>
      <c r="DA21" s="776" t="str">
        <f t="shared" si="50"/>
        <v/>
      </c>
      <c r="DB21" s="774"/>
      <c r="DC21" s="775">
        <f>IF($B21="","",IF(INDEX(BDHK2,MATCH($C21,DiemHKII!$C$4:$C$58,0),DC$59)&lt;&gt;"",INDEX(BDHK2,MATCH($C21,DiemHKII!$C$4:$C$58,0),DC$59),""))</f>
        <v>9.8000000000000007</v>
      </c>
      <c r="DD21" s="792">
        <f t="shared" si="51"/>
        <v>1</v>
      </c>
      <c r="DE21" s="776" t="str">
        <f>IF($B21="","",INDEX(NXetHKI!$B$3:$CL$57,MATCH(NXchung!$C21,NXetHKI!$C$3:$C$57,0),NXchung!DE$59))</f>
        <v>Học giỏi, năng động, chăm ngoan.</v>
      </c>
      <c r="DF21" s="775" t="str">
        <f>IF($B21="","",IF(INDEX(BDHK2,MATCH($C21,DiemHKII!$C$4:$C$58,0),DF$59)&lt;&gt;"",INDEX(BDHK2,MATCH($C21,DiemHKII!$C$4:$C$58,0),DF$59),""))</f>
        <v/>
      </c>
      <c r="DG21" s="792" t="str">
        <f t="shared" si="52"/>
        <v/>
      </c>
      <c r="DH21" s="776" t="str">
        <f t="shared" si="53"/>
        <v/>
      </c>
      <c r="DI21" s="775" t="str">
        <f>IF($B21="","",IF(INDEX(BDHK2,MATCH($C21,DiemHKII!$C$4:$C$58,0),DI$59)&lt;&gt;"",INDEX(BDHK2,MATCH($C21,DiemHKII!$C$4:$C$58,0),DI$59),""))</f>
        <v/>
      </c>
      <c r="DJ21" s="792" t="str">
        <f t="shared" si="54"/>
        <v/>
      </c>
      <c r="DK21" s="776" t="str">
        <f t="shared" si="55"/>
        <v/>
      </c>
      <c r="DL21" s="774"/>
      <c r="DM21" s="775" t="str">
        <f>IF($B21="","",IF(INDEX(BDHK2,MATCH($C21,DiemHKII!$C$4:$C$58,0),DM$59)&lt;&gt;"",INDEX(BDHK2,MATCH($C21,DiemHKII!$C$4:$C$58,0),DM$59),""))</f>
        <v>Đ</v>
      </c>
      <c r="DN21" s="792">
        <f t="shared" si="56"/>
        <v>1</v>
      </c>
      <c r="DO21" s="776" t="str">
        <f>IF($B21="","",INDEX(NXetHKI!$B$3:$CL$57,MATCH(NXchung!$C21,NXetHKI!$C$3:$C$57,0),NXchung!DO$59))</f>
        <v>Chăm chỉ, cố gắng, rất ngoan.</v>
      </c>
      <c r="DP21" s="775" t="str">
        <f>IF($B21="","",IF(INDEX(BDHK2,MATCH($C21,DiemHKII!$C$4:$C$58,0),DP$59)&lt;&gt;"",INDEX(BDHK2,MATCH($C21,DiemHKII!$C$4:$C$58,0),DP$59),""))</f>
        <v/>
      </c>
      <c r="DQ21" s="792" t="str">
        <f t="shared" si="57"/>
        <v/>
      </c>
      <c r="DR21" s="776" t="str">
        <f t="shared" si="58"/>
        <v/>
      </c>
      <c r="DS21" s="775" t="str">
        <f>IF($B21="","",IF(INDEX(BDHK2,MATCH($C21,DiemHKII!$C$4:$C$58,0),DS$59)&lt;&gt;"",INDEX(BDHK2,MATCH($C21,DiemHKII!$C$4:$C$58,0),DS$59),""))</f>
        <v>Đ</v>
      </c>
      <c r="DT21" s="792">
        <f t="shared" si="59"/>
        <v>1</v>
      </c>
      <c r="DU21" s="776" t="str">
        <f t="shared" si="60"/>
        <v>Rất ngoan, học có hiệu quả tốt.</v>
      </c>
      <c r="DV21" s="774"/>
      <c r="DW21" s="775">
        <f>IF($B21="","",IF(INDEX(BDHK2,MATCH($C21,DiemHKII!$C$4:$C$58,0),DW$59)&lt;&gt;"",INDEX(BDHK2,MATCH($C21,DiemHKII!$C$4:$C$58,0),DW$59),""))</f>
        <v>9.9</v>
      </c>
      <c r="DX21" s="792">
        <f t="shared" si="61"/>
        <v>1</v>
      </c>
      <c r="DY21" s="776" t="str">
        <f>IF($B21="","",INDEX(NXetHKI!$B$3:$CL$57,MATCH(NXchung!$C21,NXetHKI!$C$3:$C$57,0),NXchung!DY$59))</f>
        <v>Siêng năng, lễ phép, thành thạo thực hành, học giỏi.</v>
      </c>
      <c r="DZ21" s="775" t="str">
        <f>IF($B21="","",IF(INDEX(BDHK2,MATCH($C21,DiemHKII!$C$4:$C$58,0),DZ$59)&lt;&gt;"",INDEX(BDHK2,MATCH($C21,DiemHKII!$C$4:$C$58,0),DZ$59),""))</f>
        <v/>
      </c>
      <c r="EA21" s="792" t="str">
        <f t="shared" si="62"/>
        <v/>
      </c>
      <c r="EB21" s="776" t="str">
        <f t="shared" si="63"/>
        <v/>
      </c>
      <c r="EC21" s="775" t="str">
        <f>IF($B21="","",IF(INDEX(BDHK2,MATCH($C21,DiemHKII!$C$4:$C$58,0),EC$59)&lt;&gt;"",INDEX(BDHK2,MATCH($C21,DiemHKII!$C$4:$C$58,0),EC$59),""))</f>
        <v/>
      </c>
      <c r="ED21" s="792" t="str">
        <f t="shared" si="64"/>
        <v/>
      </c>
      <c r="EE21" s="776" t="str">
        <f t="shared" si="65"/>
        <v/>
      </c>
      <c r="EF21" s="774"/>
      <c r="EG21" s="775" t="str">
        <f>IF($B21="","",IF(INDEX(BDHK2,MATCH($C21,DiemHKII!$C$4:$C$58,0),EG$59)&lt;&gt;"",INDEX(BDHK2,MATCH($C21,DiemHKII!$C$4:$C$58,0),EG$59),""))</f>
        <v/>
      </c>
      <c r="EH21" s="792" t="str">
        <f t="shared" si="66"/>
        <v/>
      </c>
      <c r="EI21" s="776" t="str">
        <f>IF($B21="","",INDEX(NXetHKI!$B$3:$CL$57,MATCH(NXchung!$C21,NXetHKI!$C$3:$C$57,0),NXchung!EI$59))</f>
        <v/>
      </c>
      <c r="EJ21" s="775" t="str">
        <f>IF($B21="","",IF(INDEX(BDHK2,MATCH($C21,DiemHKII!$C$4:$C$58,0),EJ$59)&lt;&gt;"",INDEX(BDHK2,MATCH($C21,DiemHKII!$C$4:$C$58,0),EJ$59),""))</f>
        <v/>
      </c>
      <c r="EK21" s="792" t="str">
        <f t="shared" si="67"/>
        <v/>
      </c>
      <c r="EL21" s="776" t="str">
        <f t="shared" si="68"/>
        <v/>
      </c>
      <c r="EM21" s="775" t="str">
        <f>IF($B21="","",IF(INDEX(BDHK2,MATCH($C21,DiemHKII!$C$4:$C$58,0),EM$59)&lt;&gt;"",INDEX(BDHK2,MATCH($C21,DiemHKII!$C$4:$C$58,0),EM$59),""))</f>
        <v/>
      </c>
      <c r="EN21" s="792" t="str">
        <f t="shared" si="69"/>
        <v/>
      </c>
      <c r="EO21" s="776" t="str">
        <f t="shared" si="70"/>
        <v/>
      </c>
      <c r="EP21" s="774"/>
      <c r="ER21" s="816">
        <v>6</v>
      </c>
      <c r="ES21" s="816">
        <v>9</v>
      </c>
    </row>
    <row r="22" spans="1:149" ht="15" customHeight="1">
      <c r="A22" s="764"/>
      <c r="B22" s="777">
        <f>IF(B21&lt;MAX(DiemHKII!$B$4:$B$58),B21+1,"")</f>
        <v>20</v>
      </c>
      <c r="C22" s="777" t="str">
        <f t="shared" si="0"/>
        <v>12A1Nguyễn PhúcLâm02/04/2004</v>
      </c>
      <c r="D22" s="778" t="str">
        <f>IF($B22&lt;&gt;"",PROPER(INDEX(DiemHKII!$B$4:$K$58,MATCH($B22,DiemHKII!$B$4:$B$58,0),4)),"")</f>
        <v>Nguyễn Phúc</v>
      </c>
      <c r="E22" s="779" t="str">
        <f>IF($B22&lt;&gt;"",PROPER(INDEX(DiemHKII!$B$4:$K$58,MATCH($B22,DiemHKII!$B$4:$B$58,0),5)),"")</f>
        <v>Lâm</v>
      </c>
      <c r="F22" s="780" t="str">
        <f>IF($B22&lt;&gt;"",PROPER(INDEX(DiemHKII!$B$4:$K$58,MATCH($B22,DiemHKII!$B$4:$B$58,0),6)),"")</f>
        <v>02/04/2004</v>
      </c>
      <c r="G22" s="781">
        <f>IF($B22="","",IF(INDEX(BDHK2,MATCH($C22,DiemHKII!$C$4:$C$58,0),G$59)&lt;&gt;"",INDEX(BDHK2,MATCH($C22,DiemHKII!$C$4:$C$58,0),G$59),""))</f>
        <v>9.3000000000000007</v>
      </c>
      <c r="H22" s="793">
        <f t="shared" si="1"/>
        <v>1</v>
      </c>
      <c r="I22" s="782" t="str">
        <f>IF($B22="","",INDEX(NXetHKI!$B$3:$CL$57,MATCH(NXchung!$C22,NXetHKI!$C$3:$C$57,0),NXchung!I$59))</f>
        <v>Em học giỏi, chăm ngoan, tính tự giác cao, rất tốt.</v>
      </c>
      <c r="J22" s="781" t="str">
        <f>IF($B22="","",IF(INDEX(BDHK2,MATCH($C22,DiemHKII!$C$4:$C$58,0),J$59)&lt;&gt;"",INDEX(BDHK2,MATCH($C22,DiemHKII!$C$4:$C$58,0),J$59),""))</f>
        <v/>
      </c>
      <c r="K22" s="793" t="str">
        <f t="shared" si="2"/>
        <v/>
      </c>
      <c r="L22" s="782" t="str">
        <f t="shared" si="3"/>
        <v/>
      </c>
      <c r="M22" s="781" t="str">
        <f>IF($B22="","",IF(INDEX(BDHK2,MATCH($C22,DiemHKII!$C$4:$C$58,0),M$59)&lt;&gt;"",INDEX(BDHK2,MATCH($C22,DiemHKII!$C$4:$C$58,0),M$59),""))</f>
        <v/>
      </c>
      <c r="N22" s="793" t="str">
        <f t="shared" si="4"/>
        <v/>
      </c>
      <c r="O22" s="782" t="str">
        <f t="shared" si="5"/>
        <v/>
      </c>
      <c r="P22" s="780"/>
      <c r="Q22" s="781">
        <f>IF($B22="","",IF(INDEX(BDHK2,MATCH($C22,DiemHKII!$C$4:$C$58,0),Q$59)&lt;&gt;"",INDEX(BDHK2,MATCH($C22,DiemHKII!$C$4:$C$58,0),Q$59),""))</f>
        <v>8.9</v>
      </c>
      <c r="R22" s="793">
        <f t="shared" si="6"/>
        <v>2</v>
      </c>
      <c r="S22" s="782" t="str">
        <f>IF($B22="","",INDEX(NXetHKI!$B$3:$CL$57,MATCH(NXchung!$C22,NXetHKI!$C$3:$C$57,0),NXchung!S$59))</f>
        <v>Em học tập tích cực, ngoan, luôn cố gắng, đáng khen.</v>
      </c>
      <c r="T22" s="781" t="str">
        <f>IF($B22="","",IF(INDEX(BDHK2,MATCH($C22,DiemHKII!$C$4:$C$58,0),T$59)&lt;&gt;"",INDEX(BDHK2,MATCH($C22,DiemHKII!$C$4:$C$58,0),T$59),""))</f>
        <v/>
      </c>
      <c r="U22" s="793" t="str">
        <f t="shared" si="7"/>
        <v/>
      </c>
      <c r="V22" s="782" t="str">
        <f t="shared" si="8"/>
        <v/>
      </c>
      <c r="W22" s="781" t="str">
        <f>IF($B22="","",IF(INDEX(BDHK2,MATCH($C22,DiemHKII!$C$4:$C$58,0),W$59)&lt;&gt;"",INDEX(BDHK2,MATCH($C22,DiemHKII!$C$4:$C$58,0),W$59),""))</f>
        <v/>
      </c>
      <c r="X22" s="793" t="str">
        <f t="shared" si="9"/>
        <v/>
      </c>
      <c r="Y22" s="782" t="str">
        <f t="shared" si="10"/>
        <v/>
      </c>
      <c r="Z22" s="780"/>
      <c r="AA22" s="781">
        <f>IF($B22="","",IF(INDEX(BDHK2,MATCH($C22,DiemHKII!$C$4:$C$58,0),AA$59)&lt;&gt;"",INDEX(BDHK2,MATCH($C22,DiemHKII!$C$4:$C$58,0),AA$59),""))</f>
        <v>9.3000000000000007</v>
      </c>
      <c r="AB22" s="793">
        <f t="shared" si="11"/>
        <v>1</v>
      </c>
      <c r="AC22" s="782" t="str">
        <f>IF($B22="","",INDEX(NXetHKI!$B$3:$CL$57,MATCH(NXchung!$C22,NXetHKI!$C$3:$C$57,0),NXchung!AC$59))</f>
        <v>Kiến thức vững, tự học tốt, ngoan.</v>
      </c>
      <c r="AD22" s="781" t="str">
        <f>IF($B22="","",IF(INDEX(BDHK2,MATCH($C22,DiemHKII!$C$4:$C$58,0),AD$59)&lt;&gt;"",INDEX(BDHK2,MATCH($C22,DiemHKII!$C$4:$C$58,0),AD$59),""))</f>
        <v/>
      </c>
      <c r="AE22" s="793" t="str">
        <f t="shared" si="12"/>
        <v/>
      </c>
      <c r="AF22" s="782" t="str">
        <f t="shared" si="13"/>
        <v/>
      </c>
      <c r="AG22" s="781" t="str">
        <f>IF($B22="","",IF(INDEX(BDHK2,MATCH($C22,DiemHKII!$C$4:$C$58,0),AG$59)&lt;&gt;"",INDEX(BDHK2,MATCH($C22,DiemHKII!$C$4:$C$58,0),AG$59),""))</f>
        <v/>
      </c>
      <c r="AH22" s="793" t="str">
        <f t="shared" si="14"/>
        <v/>
      </c>
      <c r="AI22" s="782" t="str">
        <f t="shared" si="15"/>
        <v/>
      </c>
      <c r="AJ22" s="780"/>
      <c r="AK22" s="781">
        <f>IF($B22="","",IF(INDEX(BDHK2,MATCH($C22,DiemHKII!$C$4:$C$58,0),AK$59)&lt;&gt;"",INDEX(BDHK2,MATCH($C22,DiemHKII!$C$4:$C$58,0),AK$59),""))</f>
        <v>8.6</v>
      </c>
      <c r="AL22" s="793">
        <f t="shared" si="16"/>
        <v>2</v>
      </c>
      <c r="AM22" s="782" t="str">
        <f>IF($B22="","",INDEX(NXetHKI!$B$3:$CL$57,MATCH(NXchung!$C22,NXetHKI!$C$3:$C$57,0),NXchung!AM$59))</f>
        <v>Ngoan, khă năng tiếp nhận kiến thức tốt, vận dụng tốt.</v>
      </c>
      <c r="AN22" s="781" t="str">
        <f>IF($B22="","",IF(INDEX(BDHK2,MATCH($C22,DiemHKII!$C$4:$C$58,0),AN$59)&lt;&gt;"",INDEX(BDHK2,MATCH($C22,DiemHKII!$C$4:$C$58,0),AN$59),""))</f>
        <v/>
      </c>
      <c r="AO22" s="793" t="str">
        <f t="shared" si="17"/>
        <v/>
      </c>
      <c r="AP22" s="782" t="str">
        <f t="shared" si="18"/>
        <v/>
      </c>
      <c r="AQ22" s="781" t="str">
        <f>IF($B22="","",IF(INDEX(BDHK2,MATCH($C22,DiemHKII!$C$4:$C$58,0),AQ$59)&lt;&gt;"",INDEX(BDHK2,MATCH($C22,DiemHKII!$C$4:$C$58,0),AQ$59),""))</f>
        <v/>
      </c>
      <c r="AR22" s="793" t="str">
        <f t="shared" si="19"/>
        <v/>
      </c>
      <c r="AS22" s="782" t="str">
        <f t="shared" si="20"/>
        <v/>
      </c>
      <c r="AT22" s="780"/>
      <c r="AU22" s="781">
        <f>IF($B22="","",IF(INDEX(BDHK2,MATCH($C22,DiemHKII!$C$4:$C$58,0),AU$59)&lt;&gt;"",INDEX(BDHK2,MATCH($C22,DiemHKII!$C$4:$C$58,0),AU$59),""))</f>
        <v>9.8000000000000007</v>
      </c>
      <c r="AV22" s="793">
        <f t="shared" si="21"/>
        <v>1</v>
      </c>
      <c r="AW22" s="782" t="str">
        <f>IF($B22="","",INDEX(NXetHKI!$B$3:$CL$57,MATCH(NXchung!$C22,NXetHKI!$C$3:$C$57,0),NXchung!AW$59))</f>
        <v>Ngoan, chăm chỉ, tư duy tốt.</v>
      </c>
      <c r="AX22" s="781" t="str">
        <f>IF($B22="","",IF(INDEX(BDHK2,MATCH($C22,DiemHKII!$C$4:$C$58,0),AX$59)&lt;&gt;"",INDEX(BDHK2,MATCH($C22,DiemHKII!$C$4:$C$58,0),AX$59),""))</f>
        <v/>
      </c>
      <c r="AY22" s="793" t="str">
        <f t="shared" si="22"/>
        <v/>
      </c>
      <c r="AZ22" s="782" t="str">
        <f t="shared" si="23"/>
        <v/>
      </c>
      <c r="BA22" s="781" t="str">
        <f>IF($B22="","",IF(INDEX(BDHK2,MATCH($C22,DiemHKII!$C$4:$C$58,0),BA$59)&lt;&gt;"",INDEX(BDHK2,MATCH($C22,DiemHKII!$C$4:$C$58,0),BA$59),""))</f>
        <v/>
      </c>
      <c r="BB22" s="793" t="str">
        <f t="shared" si="24"/>
        <v/>
      </c>
      <c r="BC22" s="782" t="str">
        <f t="shared" si="25"/>
        <v/>
      </c>
      <c r="BD22" s="780"/>
      <c r="BE22" s="781">
        <f>IF($B22="","",IF(INDEX(BDHK2,MATCH($C22,DiemHKII!$C$4:$C$58,0),BE$59)&lt;&gt;"",INDEX(BDHK2,MATCH($C22,DiemHKII!$C$4:$C$58,0),BE$59),""))</f>
        <v>7.4</v>
      </c>
      <c r="BF22" s="793">
        <f t="shared" si="26"/>
        <v>5</v>
      </c>
      <c r="BG22" s="782" t="str">
        <f>IF($B22="","",INDEX(NXetHKI!$B$3:$CL$57,MATCH(NXchung!$C22,NXetHKI!$C$3:$C$57,0),NXchung!BG$59))</f>
        <v>Có ý thức học tập tốt, cần nỗ lực rèn luyện thêm các kỹ năng.</v>
      </c>
      <c r="BH22" s="781" t="str">
        <f>IF($B22="","",IF(INDEX(BDHK2,MATCH($C22,DiemHKII!$C$4:$C$58,0),BH$59)&lt;&gt;"",INDEX(BDHK2,MATCH($C22,DiemHKII!$C$4:$C$58,0),BH$59),""))</f>
        <v/>
      </c>
      <c r="BI22" s="793" t="str">
        <f t="shared" si="27"/>
        <v/>
      </c>
      <c r="BJ22" s="782" t="str">
        <f t="shared" si="28"/>
        <v/>
      </c>
      <c r="BK22" s="781" t="str">
        <f>IF($B22="","",IF(INDEX(BDHK2,MATCH($C22,DiemHKII!$C$4:$C$58,0),BK$59)&lt;&gt;"",INDEX(BDHK2,MATCH($C22,DiemHKII!$C$4:$C$58,0),BK$59),""))</f>
        <v/>
      </c>
      <c r="BL22" s="793" t="str">
        <f t="shared" si="29"/>
        <v/>
      </c>
      <c r="BM22" s="782" t="str">
        <f t="shared" si="30"/>
        <v/>
      </c>
      <c r="BN22" s="780"/>
      <c r="BO22" s="781">
        <f>IF($B22="","",IF(INDEX(BDHK2,MATCH($C22,DiemHKII!$C$4:$C$58,0),BO$59)&lt;&gt;"",INDEX(BDHK2,MATCH($C22,DiemHKII!$C$4:$C$58,0),BO$59),""))</f>
        <v>9.6</v>
      </c>
      <c r="BP22" s="793">
        <f t="shared" si="31"/>
        <v>1</v>
      </c>
      <c r="BQ22" s="782" t="str">
        <f>IF($B22="","",INDEX(NXetHKI!$B$3:$CL$57,MATCH(NXchung!$C22,NXetHKI!$C$3:$C$57,0),NXchung!BQ$59))</f>
        <v>Tiếp thu bài tốt, ghi nhớ nhanh các sự kiện lịch sử.</v>
      </c>
      <c r="BR22" s="781" t="str">
        <f>IF($B22="","",IF(INDEX(BDHK2,MATCH($C22,DiemHKII!$C$4:$C$58,0),BR$59)&lt;&gt;"",INDEX(BDHK2,MATCH($C22,DiemHKII!$C$4:$C$58,0),BR$59),""))</f>
        <v/>
      </c>
      <c r="BS22" s="793" t="str">
        <f t="shared" si="32"/>
        <v/>
      </c>
      <c r="BT22" s="782" t="str">
        <f t="shared" si="33"/>
        <v/>
      </c>
      <c r="BU22" s="781" t="str">
        <f>IF($B22="","",IF(INDEX(BDHK2,MATCH($C22,DiemHKII!$C$4:$C$58,0),BU$59)&lt;&gt;"",INDEX(BDHK2,MATCH($C22,DiemHKII!$C$4:$C$58,0),BU$59),""))</f>
        <v/>
      </c>
      <c r="BV22" s="793" t="str">
        <f t="shared" si="34"/>
        <v/>
      </c>
      <c r="BW22" s="782" t="str">
        <f t="shared" si="35"/>
        <v/>
      </c>
      <c r="BX22" s="780"/>
      <c r="BY22" s="781">
        <f>IF($B22="","",IF(INDEX(BDHK2,MATCH($C22,DiemHKII!$C$4:$C$58,0),BY$59)&lt;&gt;"",INDEX(BDHK2,MATCH($C22,DiemHKII!$C$4:$C$58,0),BY$59),""))</f>
        <v>9.1</v>
      </c>
      <c r="BZ22" s="793">
        <f t="shared" si="36"/>
        <v>1</v>
      </c>
      <c r="CA22" s="782" t="str">
        <f>IF($B22="","",INDEX(NXetHKI!$B$3:$CL$57,MATCH(NXchung!$C22,NXetHKI!$C$3:$C$57,0),NXchung!CA$59))</f>
        <v>Em có tư duy tốt, rất tích cực, giải quyết vấn đề tốt.</v>
      </c>
      <c r="CB22" s="781" t="str">
        <f>IF($B22="","",IF(INDEX(BDHK2,MATCH($C22,DiemHKII!$C$4:$C$58,0),CB$59)&lt;&gt;"",INDEX(BDHK2,MATCH($C22,DiemHKII!$C$4:$C$58,0),CB$59),""))</f>
        <v/>
      </c>
      <c r="CC22" s="793" t="str">
        <f t="shared" si="37"/>
        <v/>
      </c>
      <c r="CD22" s="782" t="str">
        <f t="shared" si="38"/>
        <v/>
      </c>
      <c r="CE22" s="781" t="str">
        <f>IF($B22="","",IF(INDEX(BDHK2,MATCH($C22,DiemHKII!$C$4:$C$58,0),CE$59)&lt;&gt;"",INDEX(BDHK2,MATCH($C22,DiemHKII!$C$4:$C$58,0),CE$59),""))</f>
        <v/>
      </c>
      <c r="CF22" s="793" t="str">
        <f t="shared" si="39"/>
        <v/>
      </c>
      <c r="CG22" s="782" t="str">
        <f t="shared" si="40"/>
        <v/>
      </c>
      <c r="CH22" s="780"/>
      <c r="CI22" s="781">
        <f>IF($B22="","",IF(INDEX(BDHK2,MATCH($C22,DiemHKII!$C$4:$C$58,0),CI$59)&lt;&gt;"",INDEX(BDHK2,MATCH($C22,DiemHKII!$C$4:$C$58,0),CI$59),""))</f>
        <v>7.4</v>
      </c>
      <c r="CJ22" s="793">
        <f t="shared" si="41"/>
        <v>5</v>
      </c>
      <c r="CK22" s="782" t="str">
        <f>IF($B22="","",INDEX(NXetHKI!$B$3:$CL$57,MATCH(NXchung!$C22,NXetHKI!$C$3:$C$57,0),NXchung!CK$59))</f>
        <v>Nắm được nội dung bài học và vận dụng làm bài tập tốt.</v>
      </c>
      <c r="CL22" s="781" t="str">
        <f>IF($B22="","",IF(INDEX(BDHK2,MATCH($C22,DiemHKII!$C$4:$C$58,0),CL$59)&lt;&gt;"",INDEX(BDHK2,MATCH($C22,DiemHKII!$C$4:$C$58,0),CL$59),""))</f>
        <v/>
      </c>
      <c r="CM22" s="793" t="str">
        <f t="shared" si="42"/>
        <v/>
      </c>
      <c r="CN22" s="782" t="str">
        <f t="shared" si="43"/>
        <v/>
      </c>
      <c r="CO22" s="781" t="str">
        <f>IF($B22="","",IF(INDEX(BDHK2,MATCH($C22,DiemHKII!$C$4:$C$58,0),CO$59)&lt;&gt;"",INDEX(BDHK2,MATCH($C22,DiemHKII!$C$4:$C$58,0),CO$59),""))</f>
        <v/>
      </c>
      <c r="CP22" s="793" t="str">
        <f t="shared" si="44"/>
        <v/>
      </c>
      <c r="CQ22" s="782" t="str">
        <f t="shared" si="45"/>
        <v/>
      </c>
      <c r="CR22" s="780"/>
      <c r="CS22" s="781">
        <f>IF($B22="","",IF(INDEX(BDHK2,MATCH($C22,DiemHKII!$C$4:$C$58,0),CS$59)&lt;&gt;"",INDEX(BDHK2,MATCH($C22,DiemHKII!$C$4:$C$58,0),CS$59),""))</f>
        <v>9.1</v>
      </c>
      <c r="CT22" s="793">
        <f t="shared" si="46"/>
        <v>1</v>
      </c>
      <c r="CU22" s="782" t="str">
        <f>IF($B22="","",INDEX(NXetHKI!$B$3:$CL$57,MATCH(NXchung!$C22,NXetHKI!$C$3:$C$57,0),NXchung!CU$59))</f>
        <v>Chăm chỉ, học giỏi.</v>
      </c>
      <c r="CV22" s="781" t="str">
        <f>IF($B22="","",IF(INDEX(BDHK2,MATCH($C22,DiemHKII!$C$4:$C$58,0),CV$59)&lt;&gt;"",INDEX(BDHK2,MATCH($C22,DiemHKII!$C$4:$C$58,0),CV$59),""))</f>
        <v/>
      </c>
      <c r="CW22" s="793" t="str">
        <f t="shared" si="47"/>
        <v/>
      </c>
      <c r="CX22" s="782" t="str">
        <f t="shared" si="48"/>
        <v/>
      </c>
      <c r="CY22" s="781" t="str">
        <f>IF($B22="","",IF(INDEX(BDHK2,MATCH($C22,DiemHKII!$C$4:$C$58,0),CY$59)&lt;&gt;"",INDEX(BDHK2,MATCH($C22,DiemHKII!$C$4:$C$58,0),CY$59),""))</f>
        <v/>
      </c>
      <c r="CZ22" s="793" t="str">
        <f t="shared" si="49"/>
        <v/>
      </c>
      <c r="DA22" s="782" t="str">
        <f t="shared" si="50"/>
        <v/>
      </c>
      <c r="DB22" s="780"/>
      <c r="DC22" s="781">
        <f>IF($B22="","",IF(INDEX(BDHK2,MATCH($C22,DiemHKII!$C$4:$C$58,0),DC$59)&lt;&gt;"",INDEX(BDHK2,MATCH($C22,DiemHKII!$C$4:$C$58,0),DC$59),""))</f>
        <v>9.9</v>
      </c>
      <c r="DD22" s="793">
        <f t="shared" si="51"/>
        <v>1</v>
      </c>
      <c r="DE22" s="782" t="str">
        <f>IF($B22="","",INDEX(NXetHKI!$B$3:$CL$57,MATCH(NXchung!$C22,NXetHKI!$C$3:$C$57,0),NXchung!DE$59))</f>
        <v>Năng động, sáng tạo trong học tập.</v>
      </c>
      <c r="DF22" s="781" t="str">
        <f>IF($B22="","",IF(INDEX(BDHK2,MATCH($C22,DiemHKII!$C$4:$C$58,0),DF$59)&lt;&gt;"",INDEX(BDHK2,MATCH($C22,DiemHKII!$C$4:$C$58,0),DF$59),""))</f>
        <v/>
      </c>
      <c r="DG22" s="793" t="str">
        <f t="shared" si="52"/>
        <v/>
      </c>
      <c r="DH22" s="782" t="str">
        <f t="shared" si="53"/>
        <v/>
      </c>
      <c r="DI22" s="781" t="str">
        <f>IF($B22="","",IF(INDEX(BDHK2,MATCH($C22,DiemHKII!$C$4:$C$58,0),DI$59)&lt;&gt;"",INDEX(BDHK2,MATCH($C22,DiemHKII!$C$4:$C$58,0),DI$59),""))</f>
        <v/>
      </c>
      <c r="DJ22" s="793" t="str">
        <f t="shared" si="54"/>
        <v/>
      </c>
      <c r="DK22" s="782" t="str">
        <f t="shared" si="55"/>
        <v/>
      </c>
      <c r="DL22" s="780"/>
      <c r="DM22" s="781" t="str">
        <f>IF($B22="","",IF(INDEX(BDHK2,MATCH($C22,DiemHKII!$C$4:$C$58,0),DM$59)&lt;&gt;"",INDEX(BDHK2,MATCH($C22,DiemHKII!$C$4:$C$58,0),DM$59),""))</f>
        <v>Đ</v>
      </c>
      <c r="DN22" s="793">
        <f t="shared" si="56"/>
        <v>1</v>
      </c>
      <c r="DO22" s="782" t="str">
        <f>IF($B22="","",INDEX(NXetHKI!$B$3:$CL$57,MATCH(NXchung!$C22,NXetHKI!$C$3:$C$57,0),NXchung!DO$59))</f>
        <v>Giỏi, có nhiều tiến bộ trong học tập.</v>
      </c>
      <c r="DP22" s="781" t="str">
        <f>IF($B22="","",IF(INDEX(BDHK2,MATCH($C22,DiemHKII!$C$4:$C$58,0),DP$59)&lt;&gt;"",INDEX(BDHK2,MATCH($C22,DiemHKII!$C$4:$C$58,0),DP$59),""))</f>
        <v/>
      </c>
      <c r="DQ22" s="793" t="str">
        <f t="shared" si="57"/>
        <v/>
      </c>
      <c r="DR22" s="782" t="str">
        <f t="shared" si="58"/>
        <v/>
      </c>
      <c r="DS22" s="781" t="str">
        <f>IF($B22="","",IF(INDEX(BDHK2,MATCH($C22,DiemHKII!$C$4:$C$58,0),DS$59)&lt;&gt;"",INDEX(BDHK2,MATCH($C22,DiemHKII!$C$4:$C$58,0),DS$59),""))</f>
        <v>Đ</v>
      </c>
      <c r="DT22" s="793">
        <f t="shared" si="59"/>
        <v>1</v>
      </c>
      <c r="DU22" s="782" t="str">
        <f t="shared" si="60"/>
        <v>Chăm chỉ, cố gắng, rất ngoan.</v>
      </c>
      <c r="DV22" s="780"/>
      <c r="DW22" s="781">
        <f>IF($B22="","",IF(INDEX(BDHK2,MATCH($C22,DiemHKII!$C$4:$C$58,0),DW$59)&lt;&gt;"",INDEX(BDHK2,MATCH($C22,DiemHKII!$C$4:$C$58,0),DW$59),""))</f>
        <v>9.9</v>
      </c>
      <c r="DX22" s="793">
        <f t="shared" si="61"/>
        <v>1</v>
      </c>
      <c r="DY22" s="782" t="str">
        <f>IF($B22="","",INDEX(NXetHKI!$B$3:$CL$57,MATCH(NXchung!$C22,NXetHKI!$C$3:$C$57,0),NXchung!DY$59))</f>
        <v>Tích cực, năng động, nắm bài tốt, học giỏi.</v>
      </c>
      <c r="DZ22" s="781" t="str">
        <f>IF($B22="","",IF(INDEX(BDHK2,MATCH($C22,DiemHKII!$C$4:$C$58,0),DZ$59)&lt;&gt;"",INDEX(BDHK2,MATCH($C22,DiemHKII!$C$4:$C$58,0),DZ$59),""))</f>
        <v/>
      </c>
      <c r="EA22" s="793" t="str">
        <f t="shared" si="62"/>
        <v/>
      </c>
      <c r="EB22" s="782" t="str">
        <f t="shared" si="63"/>
        <v/>
      </c>
      <c r="EC22" s="781" t="str">
        <f>IF($B22="","",IF(INDEX(BDHK2,MATCH($C22,DiemHKII!$C$4:$C$58,0),EC$59)&lt;&gt;"",INDEX(BDHK2,MATCH($C22,DiemHKII!$C$4:$C$58,0),EC$59),""))</f>
        <v/>
      </c>
      <c r="ED22" s="793" t="str">
        <f t="shared" si="64"/>
        <v/>
      </c>
      <c r="EE22" s="782" t="str">
        <f t="shared" si="65"/>
        <v/>
      </c>
      <c r="EF22" s="780"/>
      <c r="EG22" s="781" t="str">
        <f>IF($B22="","",IF(INDEX(BDHK2,MATCH($C22,DiemHKII!$C$4:$C$58,0),EG$59)&lt;&gt;"",INDEX(BDHK2,MATCH($C22,DiemHKII!$C$4:$C$58,0),EG$59),""))</f>
        <v/>
      </c>
      <c r="EH22" s="793" t="str">
        <f t="shared" si="66"/>
        <v/>
      </c>
      <c r="EI22" s="782" t="str">
        <f>IF($B22="","",INDEX(NXetHKI!$B$3:$CL$57,MATCH(NXchung!$C22,NXetHKI!$C$3:$C$57,0),NXchung!EI$59))</f>
        <v/>
      </c>
      <c r="EJ22" s="781" t="str">
        <f>IF($B22="","",IF(INDEX(BDHK2,MATCH($C22,DiemHKII!$C$4:$C$58,0),EJ$59)&lt;&gt;"",INDEX(BDHK2,MATCH($C22,DiemHKII!$C$4:$C$58,0),EJ$59),""))</f>
        <v/>
      </c>
      <c r="EK22" s="793" t="str">
        <f t="shared" si="67"/>
        <v/>
      </c>
      <c r="EL22" s="782" t="str">
        <f t="shared" si="68"/>
        <v/>
      </c>
      <c r="EM22" s="781" t="str">
        <f>IF($B22="","",IF(INDEX(BDHK2,MATCH($C22,DiemHKII!$C$4:$C$58,0),EM$59)&lt;&gt;"",INDEX(BDHK2,MATCH($C22,DiemHKII!$C$4:$C$58,0),EM$59),""))</f>
        <v/>
      </c>
      <c r="EN22" s="793" t="str">
        <f t="shared" si="69"/>
        <v/>
      </c>
      <c r="EO22" s="782" t="str">
        <f t="shared" si="70"/>
        <v/>
      </c>
      <c r="EP22" s="780"/>
      <c r="ER22" s="816">
        <v>9</v>
      </c>
      <c r="ES22" s="816">
        <v>3</v>
      </c>
    </row>
    <row r="23" spans="1:149" ht="15" customHeight="1">
      <c r="A23" s="764"/>
      <c r="B23" s="765">
        <f>IF(B22&lt;MAX(DiemHKII!$B$4:$B$58),B22+1,"")</f>
        <v>21</v>
      </c>
      <c r="C23" s="765" t="str">
        <f t="shared" si="0"/>
        <v>12A1Phạm TấnLộc05/07/2004</v>
      </c>
      <c r="D23" s="766" t="str">
        <f>IF($B23&lt;&gt;"",PROPER(INDEX(DiemHKII!$B$4:$K$58,MATCH($B23,DiemHKII!$B$4:$B$58,0),4)),"")</f>
        <v>Phạm Tấn</v>
      </c>
      <c r="E23" s="767" t="str">
        <f>IF($B23&lt;&gt;"",PROPER(INDEX(DiemHKII!$B$4:$K$58,MATCH($B23,DiemHKII!$B$4:$B$58,0),5)),"")</f>
        <v>Lộc</v>
      </c>
      <c r="F23" s="768" t="str">
        <f>IF($B23&lt;&gt;"",PROPER(INDEX(DiemHKII!$B$4:$K$58,MATCH($B23,DiemHKII!$B$4:$B$58,0),6)),"")</f>
        <v>05/07/2004</v>
      </c>
      <c r="G23" s="769">
        <f>IF($B23="","",IF(INDEX(BDHK2,MATCH($C23,DiemHKII!$C$4:$C$58,0),G$59)&lt;&gt;"",INDEX(BDHK2,MATCH($C23,DiemHKII!$C$4:$C$58,0),G$59),""))</f>
        <v>9.5</v>
      </c>
      <c r="H23" s="791">
        <f t="shared" si="1"/>
        <v>1</v>
      </c>
      <c r="I23" s="770" t="str">
        <f>IF($B23="","",INDEX(NXetHKI!$B$3:$CL$57,MATCH(NXchung!$C23,NXetHKI!$C$3:$C$57,0),NXchung!I$59))</f>
        <v>Em ngoan, tích cực, năng động, rất đáng khen.</v>
      </c>
      <c r="J23" s="769" t="str">
        <f>IF($B23="","",IF(INDEX(BDHK2,MATCH($C23,DiemHKII!$C$4:$C$58,0),J$59)&lt;&gt;"",INDEX(BDHK2,MATCH($C23,DiemHKII!$C$4:$C$58,0),J$59),""))</f>
        <v/>
      </c>
      <c r="K23" s="791" t="str">
        <f t="shared" si="2"/>
        <v/>
      </c>
      <c r="L23" s="770" t="str">
        <f t="shared" si="3"/>
        <v/>
      </c>
      <c r="M23" s="769" t="str">
        <f>IF($B23="","",IF(INDEX(BDHK2,MATCH($C23,DiemHKII!$C$4:$C$58,0),M$59)&lt;&gt;"",INDEX(BDHK2,MATCH($C23,DiemHKII!$C$4:$C$58,0),M$59),""))</f>
        <v/>
      </c>
      <c r="N23" s="791" t="str">
        <f t="shared" si="4"/>
        <v/>
      </c>
      <c r="O23" s="770" t="str">
        <f t="shared" si="5"/>
        <v/>
      </c>
      <c r="P23" s="768"/>
      <c r="Q23" s="769">
        <f>IF($B23="","",IF(INDEX(BDHK2,MATCH($C23,DiemHKII!$C$4:$C$58,0),Q$59)&lt;&gt;"",INDEX(BDHK2,MATCH($C23,DiemHKII!$C$4:$C$58,0),Q$59),""))</f>
        <v>9.4</v>
      </c>
      <c r="R23" s="791">
        <f t="shared" si="6"/>
        <v>1</v>
      </c>
      <c r="S23" s="770" t="str">
        <f>IF($B23="","",INDEX(NXetHKI!$B$3:$CL$57,MATCH(NXchung!$C23,NXetHKI!$C$3:$C$57,0),NXchung!S$59))</f>
        <v>Em ngoan, tích cực, năng động, rất đáng khen.</v>
      </c>
      <c r="T23" s="769" t="str">
        <f>IF($B23="","",IF(INDEX(BDHK2,MATCH($C23,DiemHKII!$C$4:$C$58,0),T$59)&lt;&gt;"",INDEX(BDHK2,MATCH($C23,DiemHKII!$C$4:$C$58,0),T$59),""))</f>
        <v/>
      </c>
      <c r="U23" s="791" t="str">
        <f t="shared" si="7"/>
        <v/>
      </c>
      <c r="V23" s="770" t="str">
        <f t="shared" si="8"/>
        <v/>
      </c>
      <c r="W23" s="769" t="str">
        <f>IF($B23="","",IF(INDEX(BDHK2,MATCH($C23,DiemHKII!$C$4:$C$58,0),W$59)&lt;&gt;"",INDEX(BDHK2,MATCH($C23,DiemHKII!$C$4:$C$58,0),W$59),""))</f>
        <v/>
      </c>
      <c r="X23" s="791" t="str">
        <f t="shared" si="9"/>
        <v/>
      </c>
      <c r="Y23" s="770" t="str">
        <f t="shared" si="10"/>
        <v/>
      </c>
      <c r="Z23" s="768"/>
      <c r="AA23" s="769">
        <f>IF($B23="","",IF(INDEX(BDHK2,MATCH($C23,DiemHKII!$C$4:$C$58,0),AA$59)&lt;&gt;"",INDEX(BDHK2,MATCH($C23,DiemHKII!$C$4:$C$58,0),AA$59),""))</f>
        <v>9.1</v>
      </c>
      <c r="AB23" s="791">
        <f t="shared" si="11"/>
        <v>1</v>
      </c>
      <c r="AC23" s="770" t="str">
        <f>IF($B23="","",INDEX(NXetHKI!$B$3:$CL$57,MATCH(NXchung!$C23,NXetHKI!$C$3:$C$57,0),NXchung!AC$59))</f>
        <v>Kiến thức vững, sáng tạo, tự học tốt.</v>
      </c>
      <c r="AD23" s="769" t="str">
        <f>IF($B23="","",IF(INDEX(BDHK2,MATCH($C23,DiemHKII!$C$4:$C$58,0),AD$59)&lt;&gt;"",INDEX(BDHK2,MATCH($C23,DiemHKII!$C$4:$C$58,0),AD$59),""))</f>
        <v/>
      </c>
      <c r="AE23" s="791" t="str">
        <f t="shared" si="12"/>
        <v/>
      </c>
      <c r="AF23" s="770" t="str">
        <f t="shared" si="13"/>
        <v/>
      </c>
      <c r="AG23" s="769" t="str">
        <f>IF($B23="","",IF(INDEX(BDHK2,MATCH($C23,DiemHKII!$C$4:$C$58,0),AG$59)&lt;&gt;"",INDEX(BDHK2,MATCH($C23,DiemHKII!$C$4:$C$58,0),AG$59),""))</f>
        <v/>
      </c>
      <c r="AH23" s="791" t="str">
        <f t="shared" si="14"/>
        <v/>
      </c>
      <c r="AI23" s="770" t="str">
        <f t="shared" si="15"/>
        <v/>
      </c>
      <c r="AJ23" s="768"/>
      <c r="AK23" s="769">
        <f>IF($B23="","",IF(INDEX(BDHK2,MATCH($C23,DiemHKII!$C$4:$C$58,0),AK$59)&lt;&gt;"",INDEX(BDHK2,MATCH($C23,DiemHKII!$C$4:$C$58,0),AK$59),""))</f>
        <v>8.8000000000000007</v>
      </c>
      <c r="AL23" s="791">
        <f t="shared" si="16"/>
        <v>2</v>
      </c>
      <c r="AM23" s="770" t="str">
        <f>IF($B23="","",INDEX(NXetHKI!$B$3:$CL$57,MATCH(NXchung!$C23,NXetHKI!$C$3:$C$57,0),NXchung!AM$59))</f>
        <v>Ngoan, khả năng tư duy tốt, có trách nhiệm, trình bày tốt.</v>
      </c>
      <c r="AN23" s="769" t="str">
        <f>IF($B23="","",IF(INDEX(BDHK2,MATCH($C23,DiemHKII!$C$4:$C$58,0),AN$59)&lt;&gt;"",INDEX(BDHK2,MATCH($C23,DiemHKII!$C$4:$C$58,0),AN$59),""))</f>
        <v/>
      </c>
      <c r="AO23" s="791" t="str">
        <f t="shared" si="17"/>
        <v/>
      </c>
      <c r="AP23" s="770" t="str">
        <f t="shared" si="18"/>
        <v/>
      </c>
      <c r="AQ23" s="769" t="str">
        <f>IF($B23="","",IF(INDEX(BDHK2,MATCH($C23,DiemHKII!$C$4:$C$58,0),AQ$59)&lt;&gt;"",INDEX(BDHK2,MATCH($C23,DiemHKII!$C$4:$C$58,0),AQ$59),""))</f>
        <v/>
      </c>
      <c r="AR23" s="791" t="str">
        <f t="shared" si="19"/>
        <v/>
      </c>
      <c r="AS23" s="770" t="str">
        <f t="shared" si="20"/>
        <v/>
      </c>
      <c r="AT23" s="768"/>
      <c r="AU23" s="769">
        <f>IF($B23="","",IF(INDEX(BDHK2,MATCH($C23,DiemHKII!$C$4:$C$58,0),AU$59)&lt;&gt;"",INDEX(BDHK2,MATCH($C23,DiemHKII!$C$4:$C$58,0),AU$59),""))</f>
        <v>9.8000000000000007</v>
      </c>
      <c r="AV23" s="791">
        <f t="shared" si="21"/>
        <v>1</v>
      </c>
      <c r="AW23" s="770" t="str">
        <f>IF($B23="","",INDEX(NXetHKI!$B$3:$CL$57,MATCH(NXchung!$C23,NXetHKI!$C$3:$C$57,0),NXchung!AW$59))</f>
        <v>Học giỏi, năng động và sáng tạo trong học tập.</v>
      </c>
      <c r="AX23" s="769" t="str">
        <f>IF($B23="","",IF(INDEX(BDHK2,MATCH($C23,DiemHKII!$C$4:$C$58,0),AX$59)&lt;&gt;"",INDEX(BDHK2,MATCH($C23,DiemHKII!$C$4:$C$58,0),AX$59),""))</f>
        <v/>
      </c>
      <c r="AY23" s="791" t="str">
        <f t="shared" si="22"/>
        <v/>
      </c>
      <c r="AZ23" s="770" t="str">
        <f t="shared" si="23"/>
        <v/>
      </c>
      <c r="BA23" s="769" t="str">
        <f>IF($B23="","",IF(INDEX(BDHK2,MATCH($C23,DiemHKII!$C$4:$C$58,0),BA$59)&lt;&gt;"",INDEX(BDHK2,MATCH($C23,DiemHKII!$C$4:$C$58,0),BA$59),""))</f>
        <v/>
      </c>
      <c r="BB23" s="791" t="str">
        <f t="shared" si="24"/>
        <v/>
      </c>
      <c r="BC23" s="770" t="str">
        <f t="shared" si="25"/>
        <v/>
      </c>
      <c r="BD23" s="768"/>
      <c r="BE23" s="769">
        <f>IF($B23="","",IF(INDEX(BDHK2,MATCH($C23,DiemHKII!$C$4:$C$58,0),BE$59)&lt;&gt;"",INDEX(BDHK2,MATCH($C23,DiemHKII!$C$4:$C$58,0),BE$59),""))</f>
        <v>7.3</v>
      </c>
      <c r="BF23" s="791">
        <f t="shared" si="26"/>
        <v>5</v>
      </c>
      <c r="BG23" s="770" t="str">
        <f>IF($B23="","",INDEX(NXetHKI!$B$3:$CL$57,MATCH(NXchung!$C23,NXetHKI!$C$3:$C$57,0),NXchung!BG$59))</f>
        <v>Cần tích cực rèn thêm kỹ năng đọc, viết.</v>
      </c>
      <c r="BH23" s="769" t="str">
        <f>IF($B23="","",IF(INDEX(BDHK2,MATCH($C23,DiemHKII!$C$4:$C$58,0),BH$59)&lt;&gt;"",INDEX(BDHK2,MATCH($C23,DiemHKII!$C$4:$C$58,0),BH$59),""))</f>
        <v/>
      </c>
      <c r="BI23" s="791" t="str">
        <f t="shared" si="27"/>
        <v/>
      </c>
      <c r="BJ23" s="770" t="str">
        <f t="shared" si="28"/>
        <v/>
      </c>
      <c r="BK23" s="769" t="str">
        <f>IF($B23="","",IF(INDEX(BDHK2,MATCH($C23,DiemHKII!$C$4:$C$58,0),BK$59)&lt;&gt;"",INDEX(BDHK2,MATCH($C23,DiemHKII!$C$4:$C$58,0),BK$59),""))</f>
        <v/>
      </c>
      <c r="BL23" s="791" t="str">
        <f t="shared" si="29"/>
        <v/>
      </c>
      <c r="BM23" s="770" t="str">
        <f t="shared" si="30"/>
        <v/>
      </c>
      <c r="BN23" s="768"/>
      <c r="BO23" s="769">
        <f>IF($B23="","",IF(INDEX(BDHK2,MATCH($C23,DiemHKII!$C$4:$C$58,0),BO$59)&lt;&gt;"",INDEX(BDHK2,MATCH($C23,DiemHKII!$C$4:$C$58,0),BO$59),""))</f>
        <v>9.8000000000000007</v>
      </c>
      <c r="BP23" s="791">
        <f t="shared" si="31"/>
        <v>1</v>
      </c>
      <c r="BQ23" s="770" t="str">
        <f>IF($B23="","",INDEX(NXetHKI!$B$3:$CL$57,MATCH(NXchung!$C23,NXetHKI!$C$3:$C$57,0),NXchung!BQ$59))</f>
        <v>Chăm học, tích cực phát biểu xây dựng bài.</v>
      </c>
      <c r="BR23" s="769" t="str">
        <f>IF($B23="","",IF(INDEX(BDHK2,MATCH($C23,DiemHKII!$C$4:$C$58,0),BR$59)&lt;&gt;"",INDEX(BDHK2,MATCH($C23,DiemHKII!$C$4:$C$58,0),BR$59),""))</f>
        <v/>
      </c>
      <c r="BS23" s="791" t="str">
        <f t="shared" si="32"/>
        <v/>
      </c>
      <c r="BT23" s="770" t="str">
        <f t="shared" si="33"/>
        <v/>
      </c>
      <c r="BU23" s="769" t="str">
        <f>IF($B23="","",IF(INDEX(BDHK2,MATCH($C23,DiemHKII!$C$4:$C$58,0),BU$59)&lt;&gt;"",INDEX(BDHK2,MATCH($C23,DiemHKII!$C$4:$C$58,0),BU$59),""))</f>
        <v/>
      </c>
      <c r="BV23" s="791" t="str">
        <f t="shared" si="34"/>
        <v/>
      </c>
      <c r="BW23" s="770" t="str">
        <f t="shared" si="35"/>
        <v/>
      </c>
      <c r="BX23" s="768"/>
      <c r="BY23" s="769">
        <f>IF($B23="","",IF(INDEX(BDHK2,MATCH($C23,DiemHKII!$C$4:$C$58,0),BY$59)&lt;&gt;"",INDEX(BDHK2,MATCH($C23,DiemHKII!$C$4:$C$58,0),BY$59),""))</f>
        <v>9.9</v>
      </c>
      <c r="BZ23" s="791">
        <f t="shared" si="36"/>
        <v>1</v>
      </c>
      <c r="CA23" s="770" t="str">
        <f>IF($B23="","",INDEX(NXetHKI!$B$3:$CL$57,MATCH(NXchung!$C23,NXetHKI!$C$3:$C$57,0),NXchung!CA$59))</f>
        <v>Em có tư duy tốt, tích cực, vận dụng thực tế tốt.</v>
      </c>
      <c r="CB23" s="769" t="str">
        <f>IF($B23="","",IF(INDEX(BDHK2,MATCH($C23,DiemHKII!$C$4:$C$58,0),CB$59)&lt;&gt;"",INDEX(BDHK2,MATCH($C23,DiemHKII!$C$4:$C$58,0),CB$59),""))</f>
        <v/>
      </c>
      <c r="CC23" s="791" t="str">
        <f t="shared" si="37"/>
        <v/>
      </c>
      <c r="CD23" s="770" t="str">
        <f t="shared" si="38"/>
        <v/>
      </c>
      <c r="CE23" s="769" t="str">
        <f>IF($B23="","",IF(INDEX(BDHK2,MATCH($C23,DiemHKII!$C$4:$C$58,0),CE$59)&lt;&gt;"",INDEX(BDHK2,MATCH($C23,DiemHKII!$C$4:$C$58,0),CE$59),""))</f>
        <v/>
      </c>
      <c r="CF23" s="791" t="str">
        <f t="shared" si="39"/>
        <v/>
      </c>
      <c r="CG23" s="770" t="str">
        <f t="shared" si="40"/>
        <v/>
      </c>
      <c r="CH23" s="768"/>
      <c r="CI23" s="769">
        <f>IF($B23="","",IF(INDEX(BDHK2,MATCH($C23,DiemHKII!$C$4:$C$58,0),CI$59)&lt;&gt;"",INDEX(BDHK2,MATCH($C23,DiemHKII!$C$4:$C$58,0),CI$59),""))</f>
        <v>8.8000000000000007</v>
      </c>
      <c r="CJ23" s="791">
        <f t="shared" si="41"/>
        <v>2</v>
      </c>
      <c r="CK23" s="770" t="str">
        <f>IF($B23="","",INDEX(NXetHKI!$B$3:$CL$57,MATCH(NXchung!$C23,NXetHKI!$C$3:$C$57,0),NXchung!CK$59))</f>
        <v>Chăm chỉ, tích cực phát biểu và phát âm tốt.</v>
      </c>
      <c r="CL23" s="769" t="str">
        <f>IF($B23="","",IF(INDEX(BDHK2,MATCH($C23,DiemHKII!$C$4:$C$58,0),CL$59)&lt;&gt;"",INDEX(BDHK2,MATCH($C23,DiemHKII!$C$4:$C$58,0),CL$59),""))</f>
        <v/>
      </c>
      <c r="CM23" s="791" t="str">
        <f t="shared" si="42"/>
        <v/>
      </c>
      <c r="CN23" s="770" t="str">
        <f t="shared" si="43"/>
        <v/>
      </c>
      <c r="CO23" s="769" t="str">
        <f>IF($B23="","",IF(INDEX(BDHK2,MATCH($C23,DiemHKII!$C$4:$C$58,0),CO$59)&lt;&gt;"",INDEX(BDHK2,MATCH($C23,DiemHKII!$C$4:$C$58,0),CO$59),""))</f>
        <v/>
      </c>
      <c r="CP23" s="791" t="str">
        <f t="shared" si="44"/>
        <v/>
      </c>
      <c r="CQ23" s="770" t="str">
        <f t="shared" si="45"/>
        <v/>
      </c>
      <c r="CR23" s="768"/>
      <c r="CS23" s="769">
        <f>IF($B23="","",IF(INDEX(BDHK2,MATCH($C23,DiemHKII!$C$4:$C$58,0),CS$59)&lt;&gt;"",INDEX(BDHK2,MATCH($C23,DiemHKII!$C$4:$C$58,0),CS$59),""))</f>
        <v>8.8000000000000007</v>
      </c>
      <c r="CT23" s="791">
        <f t="shared" si="46"/>
        <v>2</v>
      </c>
      <c r="CU23" s="770" t="str">
        <f>IF($B23="","",INDEX(NXetHKI!$B$3:$CL$57,MATCH(NXchung!$C23,NXetHKI!$C$3:$C$57,0),NXchung!CU$59))</f>
        <v>Chủ động, nhân ái, học giỏi.</v>
      </c>
      <c r="CV23" s="769" t="str">
        <f>IF($B23="","",IF(INDEX(BDHK2,MATCH($C23,DiemHKII!$C$4:$C$58,0),CV$59)&lt;&gt;"",INDEX(BDHK2,MATCH($C23,DiemHKII!$C$4:$C$58,0),CV$59),""))</f>
        <v/>
      </c>
      <c r="CW23" s="791" t="str">
        <f t="shared" si="47"/>
        <v/>
      </c>
      <c r="CX23" s="770" t="str">
        <f t="shared" si="48"/>
        <v/>
      </c>
      <c r="CY23" s="769" t="str">
        <f>IF($B23="","",IF(INDEX(BDHK2,MATCH($C23,DiemHKII!$C$4:$C$58,0),CY$59)&lt;&gt;"",INDEX(BDHK2,MATCH($C23,DiemHKII!$C$4:$C$58,0),CY$59),""))</f>
        <v/>
      </c>
      <c r="CZ23" s="791" t="str">
        <f t="shared" si="49"/>
        <v/>
      </c>
      <c r="DA23" s="770" t="str">
        <f t="shared" si="50"/>
        <v/>
      </c>
      <c r="DB23" s="768"/>
      <c r="DC23" s="769">
        <f>IF($B23="","",IF(INDEX(BDHK2,MATCH($C23,DiemHKII!$C$4:$C$58,0),DC$59)&lt;&gt;"",INDEX(BDHK2,MATCH($C23,DiemHKII!$C$4:$C$58,0),DC$59),""))</f>
        <v>9.8000000000000007</v>
      </c>
      <c r="DD23" s="791">
        <f t="shared" si="51"/>
        <v>1</v>
      </c>
      <c r="DE23" s="770" t="str">
        <f>IF($B23="","",INDEX(NXetHKI!$B$3:$CL$57,MATCH(NXchung!$C23,NXetHKI!$C$3:$C$57,0),NXchung!DE$59))</f>
        <v>Học giỏi, tiếp thu nhanh, chăm ngoan.</v>
      </c>
      <c r="DF23" s="769" t="str">
        <f>IF($B23="","",IF(INDEX(BDHK2,MATCH($C23,DiemHKII!$C$4:$C$58,0),DF$59)&lt;&gt;"",INDEX(BDHK2,MATCH($C23,DiemHKII!$C$4:$C$58,0),DF$59),""))</f>
        <v/>
      </c>
      <c r="DG23" s="791" t="str">
        <f t="shared" si="52"/>
        <v/>
      </c>
      <c r="DH23" s="770" t="str">
        <f t="shared" si="53"/>
        <v/>
      </c>
      <c r="DI23" s="769" t="str">
        <f>IF($B23="","",IF(INDEX(BDHK2,MATCH($C23,DiemHKII!$C$4:$C$58,0),DI$59)&lt;&gt;"",INDEX(BDHK2,MATCH($C23,DiemHKII!$C$4:$C$58,0),DI$59),""))</f>
        <v/>
      </c>
      <c r="DJ23" s="791" t="str">
        <f t="shared" si="54"/>
        <v/>
      </c>
      <c r="DK23" s="770" t="str">
        <f t="shared" si="55"/>
        <v/>
      </c>
      <c r="DL23" s="768"/>
      <c r="DM23" s="769" t="str">
        <f>IF($B23="","",IF(INDEX(BDHK2,MATCH($C23,DiemHKII!$C$4:$C$58,0),DM$59)&lt;&gt;"",INDEX(BDHK2,MATCH($C23,DiemHKII!$C$4:$C$58,0),DM$59),""))</f>
        <v>Đ</v>
      </c>
      <c r="DN23" s="791">
        <f t="shared" si="56"/>
        <v>1</v>
      </c>
      <c r="DO23" s="770" t="str">
        <f>IF($B23="","",INDEX(NXetHKI!$B$3:$CL$57,MATCH(NXchung!$C23,NXetHKI!$C$3:$C$57,0),NXchung!DO$59))</f>
        <v>Rất ngoan, học có hiệu quả tốt.</v>
      </c>
      <c r="DP23" s="769" t="str">
        <f>IF($B23="","",IF(INDEX(BDHK2,MATCH($C23,DiemHKII!$C$4:$C$58,0),DP$59)&lt;&gt;"",INDEX(BDHK2,MATCH($C23,DiemHKII!$C$4:$C$58,0),DP$59),""))</f>
        <v/>
      </c>
      <c r="DQ23" s="791" t="str">
        <f t="shared" si="57"/>
        <v/>
      </c>
      <c r="DR23" s="770" t="str">
        <f t="shared" si="58"/>
        <v/>
      </c>
      <c r="DS23" s="769" t="str">
        <f>IF($B23="","",IF(INDEX(BDHK2,MATCH($C23,DiemHKII!$C$4:$C$58,0),DS$59)&lt;&gt;"",INDEX(BDHK2,MATCH($C23,DiemHKII!$C$4:$C$58,0),DS$59),""))</f>
        <v>Đ</v>
      </c>
      <c r="DT23" s="791">
        <f t="shared" si="59"/>
        <v>1</v>
      </c>
      <c r="DU23" s="770" t="str">
        <f t="shared" si="60"/>
        <v>Giỏi, có nhiều tiến bộ trong học tập.</v>
      </c>
      <c r="DV23" s="768"/>
      <c r="DW23" s="769">
        <f>IF($B23="","",IF(INDEX(BDHK2,MATCH($C23,DiemHKII!$C$4:$C$58,0),DW$59)&lt;&gt;"",INDEX(BDHK2,MATCH($C23,DiemHKII!$C$4:$C$58,0),DW$59),""))</f>
        <v>9.9</v>
      </c>
      <c r="DX23" s="791">
        <f t="shared" si="61"/>
        <v>1</v>
      </c>
      <c r="DY23" s="770" t="str">
        <f>IF($B23="","",INDEX(NXetHKI!$B$3:$CL$57,MATCH(NXchung!$C23,NXetHKI!$C$3:$C$57,0),NXchung!DY$59))</f>
        <v>Ngoan, tích cực xây dựng bài, nắm chắc thực hành, học giỏi.</v>
      </c>
      <c r="DZ23" s="769" t="str">
        <f>IF($B23="","",IF(INDEX(BDHK2,MATCH($C23,DiemHKII!$C$4:$C$58,0),DZ$59)&lt;&gt;"",INDEX(BDHK2,MATCH($C23,DiemHKII!$C$4:$C$58,0),DZ$59),""))</f>
        <v/>
      </c>
      <c r="EA23" s="791" t="str">
        <f t="shared" si="62"/>
        <v/>
      </c>
      <c r="EB23" s="770" t="str">
        <f t="shared" si="63"/>
        <v/>
      </c>
      <c r="EC23" s="769" t="str">
        <f>IF($B23="","",IF(INDEX(BDHK2,MATCH($C23,DiemHKII!$C$4:$C$58,0),EC$59)&lt;&gt;"",INDEX(BDHK2,MATCH($C23,DiemHKII!$C$4:$C$58,0),EC$59),""))</f>
        <v/>
      </c>
      <c r="ED23" s="791" t="str">
        <f t="shared" si="64"/>
        <v/>
      </c>
      <c r="EE23" s="770" t="str">
        <f t="shared" si="65"/>
        <v/>
      </c>
      <c r="EF23" s="768"/>
      <c r="EG23" s="769" t="str">
        <f>IF($B23="","",IF(INDEX(BDHK2,MATCH($C23,DiemHKII!$C$4:$C$58,0),EG$59)&lt;&gt;"",INDEX(BDHK2,MATCH($C23,DiemHKII!$C$4:$C$58,0),EG$59),""))</f>
        <v/>
      </c>
      <c r="EH23" s="791" t="str">
        <f t="shared" si="66"/>
        <v/>
      </c>
      <c r="EI23" s="770" t="str">
        <f>IF($B23="","",INDEX(NXetHKI!$B$3:$CL$57,MATCH(NXchung!$C23,NXetHKI!$C$3:$C$57,0),NXchung!EI$59))</f>
        <v/>
      </c>
      <c r="EJ23" s="769" t="str">
        <f>IF($B23="","",IF(INDEX(BDHK2,MATCH($C23,DiemHKII!$C$4:$C$58,0),EJ$59)&lt;&gt;"",INDEX(BDHK2,MATCH($C23,DiemHKII!$C$4:$C$58,0),EJ$59),""))</f>
        <v/>
      </c>
      <c r="EK23" s="791" t="str">
        <f t="shared" si="67"/>
        <v/>
      </c>
      <c r="EL23" s="770" t="str">
        <f t="shared" si="68"/>
        <v/>
      </c>
      <c r="EM23" s="769" t="str">
        <f>IF($B23="","",IF(INDEX(BDHK2,MATCH($C23,DiemHKII!$C$4:$C$58,0),EM$59)&lt;&gt;"",INDEX(BDHK2,MATCH($C23,DiemHKII!$C$4:$C$58,0),EM$59),""))</f>
        <v/>
      </c>
      <c r="EN23" s="791" t="str">
        <f t="shared" si="69"/>
        <v/>
      </c>
      <c r="EO23" s="770" t="str">
        <f t="shared" si="70"/>
        <v/>
      </c>
      <c r="EP23" s="768"/>
      <c r="ER23" s="816">
        <v>3</v>
      </c>
      <c r="ES23" s="816">
        <v>6</v>
      </c>
    </row>
    <row r="24" spans="1:149" ht="15" customHeight="1">
      <c r="A24" s="764"/>
      <c r="B24" s="771">
        <f>IF(B23&lt;MAX(DiemHKII!$B$4:$B$58),B23+1,"")</f>
        <v>22</v>
      </c>
      <c r="C24" s="771" t="str">
        <f t="shared" si="0"/>
        <v>12A1Phạm Thị KhảMy28/02/2004</v>
      </c>
      <c r="D24" s="772" t="str">
        <f>IF($B24&lt;&gt;"",PROPER(INDEX(DiemHKII!$B$4:$K$58,MATCH($B24,DiemHKII!$B$4:$B$58,0),4)),"")</f>
        <v xml:space="preserve">Phạm Thị Khả </v>
      </c>
      <c r="E24" s="773" t="str">
        <f>IF($B24&lt;&gt;"",PROPER(INDEX(DiemHKII!$B$4:$K$58,MATCH($B24,DiemHKII!$B$4:$B$58,0),5)),"")</f>
        <v>My</v>
      </c>
      <c r="F24" s="774" t="str">
        <f>IF($B24&lt;&gt;"",PROPER(INDEX(DiemHKII!$B$4:$K$58,MATCH($B24,DiemHKII!$B$4:$B$58,0),6)),"")</f>
        <v>28/02/2004</v>
      </c>
      <c r="G24" s="775">
        <f>IF($B24="","",IF(INDEX(BDHK2,MATCH($C24,DiemHKII!$C$4:$C$58,0),G$59)&lt;&gt;"",INDEX(BDHK2,MATCH($C24,DiemHKII!$C$4:$C$58,0),G$59),""))</f>
        <v>9.5</v>
      </c>
      <c r="H24" s="792">
        <f t="shared" si="1"/>
        <v>1</v>
      </c>
      <c r="I24" s="776" t="str">
        <f>IF($B24="","",INDEX(NXetHKI!$B$3:$CL$57,MATCH(NXchung!$C24,NXetHKI!$C$3:$C$57,0),NXchung!I$59))</f>
        <v>Em chăm chỉ, chuyên cần, rất tích cực, rất đáng khen.</v>
      </c>
      <c r="J24" s="775" t="str">
        <f>IF($B24="","",IF(INDEX(BDHK2,MATCH($C24,DiemHKII!$C$4:$C$58,0),J$59)&lt;&gt;"",INDEX(BDHK2,MATCH($C24,DiemHKII!$C$4:$C$58,0),J$59),""))</f>
        <v/>
      </c>
      <c r="K24" s="792" t="str">
        <f t="shared" si="2"/>
        <v/>
      </c>
      <c r="L24" s="776" t="str">
        <f t="shared" si="3"/>
        <v/>
      </c>
      <c r="M24" s="775" t="str">
        <f>IF($B24="","",IF(INDEX(BDHK2,MATCH($C24,DiemHKII!$C$4:$C$58,0),M$59)&lt;&gt;"",INDEX(BDHK2,MATCH($C24,DiemHKII!$C$4:$C$58,0),M$59),""))</f>
        <v/>
      </c>
      <c r="N24" s="792" t="str">
        <f t="shared" si="4"/>
        <v/>
      </c>
      <c r="O24" s="776" t="str">
        <f t="shared" si="5"/>
        <v/>
      </c>
      <c r="P24" s="774"/>
      <c r="Q24" s="775">
        <f>IF($B24="","",IF(INDEX(BDHK2,MATCH($C24,DiemHKII!$C$4:$C$58,0),Q$59)&lt;&gt;"",INDEX(BDHK2,MATCH($C24,DiemHKII!$C$4:$C$58,0),Q$59),""))</f>
        <v>9.5</v>
      </c>
      <c r="R24" s="792">
        <f t="shared" si="6"/>
        <v>1</v>
      </c>
      <c r="S24" s="776" t="str">
        <f>IF($B24="","",INDEX(NXetHKI!$B$3:$CL$57,MATCH(NXchung!$C24,NXetHKI!$C$3:$C$57,0),NXchung!S$59))</f>
        <v>Em chăm chỉ, chuyên cần, rất tích cực, rất đáng khen.</v>
      </c>
      <c r="T24" s="775" t="str">
        <f>IF($B24="","",IF(INDEX(BDHK2,MATCH($C24,DiemHKII!$C$4:$C$58,0),T$59)&lt;&gt;"",INDEX(BDHK2,MATCH($C24,DiemHKII!$C$4:$C$58,0),T$59),""))</f>
        <v/>
      </c>
      <c r="U24" s="792" t="str">
        <f t="shared" si="7"/>
        <v/>
      </c>
      <c r="V24" s="776" t="str">
        <f t="shared" si="8"/>
        <v/>
      </c>
      <c r="W24" s="775" t="str">
        <f>IF($B24="","",IF(INDEX(BDHK2,MATCH($C24,DiemHKII!$C$4:$C$58,0),W$59)&lt;&gt;"",INDEX(BDHK2,MATCH($C24,DiemHKII!$C$4:$C$58,0),W$59),""))</f>
        <v/>
      </c>
      <c r="X24" s="792" t="str">
        <f t="shared" si="9"/>
        <v/>
      </c>
      <c r="Y24" s="776" t="str">
        <f t="shared" si="10"/>
        <v/>
      </c>
      <c r="Z24" s="774"/>
      <c r="AA24" s="775">
        <f>IF($B24="","",IF(INDEX(BDHK2,MATCH($C24,DiemHKII!$C$4:$C$58,0),AA$59)&lt;&gt;"",INDEX(BDHK2,MATCH($C24,DiemHKII!$C$4:$C$58,0),AA$59),""))</f>
        <v>9.4</v>
      </c>
      <c r="AB24" s="792">
        <f t="shared" si="11"/>
        <v>1</v>
      </c>
      <c r="AC24" s="776" t="str">
        <f>IF($B24="","",INDEX(NXetHKI!$B$3:$CL$57,MATCH(NXchung!$C24,NXetHKI!$C$3:$C$57,0),NXchung!AC$59))</f>
        <v>Học giỏi, thông minh, cần phát huy.</v>
      </c>
      <c r="AD24" s="775" t="str">
        <f>IF($B24="","",IF(INDEX(BDHK2,MATCH($C24,DiemHKII!$C$4:$C$58,0),AD$59)&lt;&gt;"",INDEX(BDHK2,MATCH($C24,DiemHKII!$C$4:$C$58,0),AD$59),""))</f>
        <v/>
      </c>
      <c r="AE24" s="792" t="str">
        <f t="shared" si="12"/>
        <v/>
      </c>
      <c r="AF24" s="776" t="str">
        <f t="shared" si="13"/>
        <v/>
      </c>
      <c r="AG24" s="775" t="str">
        <f>IF($B24="","",IF(INDEX(BDHK2,MATCH($C24,DiemHKII!$C$4:$C$58,0),AG$59)&lt;&gt;"",INDEX(BDHK2,MATCH($C24,DiemHKII!$C$4:$C$58,0),AG$59),""))</f>
        <v/>
      </c>
      <c r="AH24" s="792" t="str">
        <f t="shared" si="14"/>
        <v/>
      </c>
      <c r="AI24" s="776" t="str">
        <f t="shared" si="15"/>
        <v/>
      </c>
      <c r="AJ24" s="774"/>
      <c r="AK24" s="775">
        <f>IF($B24="","",IF(INDEX(BDHK2,MATCH($C24,DiemHKII!$C$4:$C$58,0),AK$59)&lt;&gt;"",INDEX(BDHK2,MATCH($C24,DiemHKII!$C$4:$C$58,0),AK$59),""))</f>
        <v>9.5</v>
      </c>
      <c r="AL24" s="792">
        <f t="shared" si="16"/>
        <v>1</v>
      </c>
      <c r="AM24" s="776" t="str">
        <f>IF($B24="","",INDEX(NXetHKI!$B$3:$CL$57,MATCH(NXchung!$C24,NXetHKI!$C$3:$C$57,0),NXchung!AM$59))</f>
        <v>Sáng tạo, hoạt động nhóm rất tốt, biết chia sẻ kết quả học tập với bạn.</v>
      </c>
      <c r="AN24" s="775" t="str">
        <f>IF($B24="","",IF(INDEX(BDHK2,MATCH($C24,DiemHKII!$C$4:$C$58,0),AN$59)&lt;&gt;"",INDEX(BDHK2,MATCH($C24,DiemHKII!$C$4:$C$58,0),AN$59),""))</f>
        <v/>
      </c>
      <c r="AO24" s="792" t="str">
        <f t="shared" si="17"/>
        <v/>
      </c>
      <c r="AP24" s="776" t="str">
        <f t="shared" si="18"/>
        <v/>
      </c>
      <c r="AQ24" s="775" t="str">
        <f>IF($B24="","",IF(INDEX(BDHK2,MATCH($C24,DiemHKII!$C$4:$C$58,0),AQ$59)&lt;&gt;"",INDEX(BDHK2,MATCH($C24,DiemHKII!$C$4:$C$58,0),AQ$59),""))</f>
        <v/>
      </c>
      <c r="AR24" s="792" t="str">
        <f t="shared" si="19"/>
        <v/>
      </c>
      <c r="AS24" s="776" t="str">
        <f t="shared" si="20"/>
        <v/>
      </c>
      <c r="AT24" s="774"/>
      <c r="AU24" s="775">
        <f>IF($B24="","",IF(INDEX(BDHK2,MATCH($C24,DiemHKII!$C$4:$C$58,0),AU$59)&lt;&gt;"",INDEX(BDHK2,MATCH($C24,DiemHKII!$C$4:$C$58,0),AU$59),""))</f>
        <v>9.8000000000000007</v>
      </c>
      <c r="AV24" s="792">
        <f t="shared" si="21"/>
        <v>1</v>
      </c>
      <c r="AW24" s="776" t="str">
        <f>IF($B24="","",INDEX(NXetHKI!$B$3:$CL$57,MATCH(NXchung!$C24,NXetHKI!$C$3:$C$57,0),NXchung!AW$59))</f>
        <v>Rất ngoan, cố gắng có hiệu quả.</v>
      </c>
      <c r="AX24" s="775" t="str">
        <f>IF($B24="","",IF(INDEX(BDHK2,MATCH($C24,DiemHKII!$C$4:$C$58,0),AX$59)&lt;&gt;"",INDEX(BDHK2,MATCH($C24,DiemHKII!$C$4:$C$58,0),AX$59),""))</f>
        <v/>
      </c>
      <c r="AY24" s="792" t="str">
        <f t="shared" si="22"/>
        <v/>
      </c>
      <c r="AZ24" s="776" t="str">
        <f t="shared" si="23"/>
        <v/>
      </c>
      <c r="BA24" s="775" t="str">
        <f>IF($B24="","",IF(INDEX(BDHK2,MATCH($C24,DiemHKII!$C$4:$C$58,0),BA$59)&lt;&gt;"",INDEX(BDHK2,MATCH($C24,DiemHKII!$C$4:$C$58,0),BA$59),""))</f>
        <v/>
      </c>
      <c r="BB24" s="792" t="str">
        <f t="shared" si="24"/>
        <v/>
      </c>
      <c r="BC24" s="776" t="str">
        <f t="shared" si="25"/>
        <v/>
      </c>
      <c r="BD24" s="774"/>
      <c r="BE24" s="775">
        <f>IF($B24="","",IF(INDEX(BDHK2,MATCH($C24,DiemHKII!$C$4:$C$58,0),BE$59)&lt;&gt;"",INDEX(BDHK2,MATCH($C24,DiemHKII!$C$4:$C$58,0),BE$59),""))</f>
        <v>7.4</v>
      </c>
      <c r="BF24" s="792">
        <f t="shared" si="26"/>
        <v>5</v>
      </c>
      <c r="BG24" s="776" t="str">
        <f>IF($B24="","",INDEX(NXetHKI!$B$3:$CL$57,MATCH(NXchung!$C24,NXetHKI!$C$3:$C$57,0),NXchung!BG$59))</f>
        <v>Học khá, cần chủ động rèn thêm kỹ năng diễn đạt.</v>
      </c>
      <c r="BH24" s="775" t="str">
        <f>IF($B24="","",IF(INDEX(BDHK2,MATCH($C24,DiemHKII!$C$4:$C$58,0),BH$59)&lt;&gt;"",INDEX(BDHK2,MATCH($C24,DiemHKII!$C$4:$C$58,0),BH$59),""))</f>
        <v/>
      </c>
      <c r="BI24" s="792" t="str">
        <f t="shared" si="27"/>
        <v/>
      </c>
      <c r="BJ24" s="776" t="str">
        <f t="shared" si="28"/>
        <v/>
      </c>
      <c r="BK24" s="775" t="str">
        <f>IF($B24="","",IF(INDEX(BDHK2,MATCH($C24,DiemHKII!$C$4:$C$58,0),BK$59)&lt;&gt;"",INDEX(BDHK2,MATCH($C24,DiemHKII!$C$4:$C$58,0),BK$59),""))</f>
        <v/>
      </c>
      <c r="BL24" s="792" t="str">
        <f t="shared" si="29"/>
        <v/>
      </c>
      <c r="BM24" s="776" t="str">
        <f t="shared" si="30"/>
        <v/>
      </c>
      <c r="BN24" s="774"/>
      <c r="BO24" s="775">
        <f>IF($B24="","",IF(INDEX(BDHK2,MATCH($C24,DiemHKII!$C$4:$C$58,0),BO$59)&lt;&gt;"",INDEX(BDHK2,MATCH($C24,DiemHKII!$C$4:$C$58,0),BO$59),""))</f>
        <v>9.6</v>
      </c>
      <c r="BP24" s="792">
        <f t="shared" si="31"/>
        <v>1</v>
      </c>
      <c r="BQ24" s="776" t="str">
        <f>IF($B24="","",INDEX(NXetHKI!$B$3:$CL$57,MATCH(NXchung!$C24,NXetHKI!$C$3:$C$57,0),NXchung!BQ$59))</f>
        <v>Chăm ngoan, tích cực, chủ động tiếp thu bài học.</v>
      </c>
      <c r="BR24" s="775" t="str">
        <f>IF($B24="","",IF(INDEX(BDHK2,MATCH($C24,DiemHKII!$C$4:$C$58,0),BR$59)&lt;&gt;"",INDEX(BDHK2,MATCH($C24,DiemHKII!$C$4:$C$58,0),BR$59),""))</f>
        <v/>
      </c>
      <c r="BS24" s="792" t="str">
        <f t="shared" si="32"/>
        <v/>
      </c>
      <c r="BT24" s="776" t="str">
        <f t="shared" si="33"/>
        <v/>
      </c>
      <c r="BU24" s="775" t="str">
        <f>IF($B24="","",IF(INDEX(BDHK2,MATCH($C24,DiemHKII!$C$4:$C$58,0),BU$59)&lt;&gt;"",INDEX(BDHK2,MATCH($C24,DiemHKII!$C$4:$C$58,0),BU$59),""))</f>
        <v/>
      </c>
      <c r="BV24" s="792" t="str">
        <f t="shared" si="34"/>
        <v/>
      </c>
      <c r="BW24" s="776" t="str">
        <f t="shared" si="35"/>
        <v/>
      </c>
      <c r="BX24" s="774"/>
      <c r="BY24" s="775">
        <f>IF($B24="","",IF(INDEX(BDHK2,MATCH($C24,DiemHKII!$C$4:$C$58,0),BY$59)&lt;&gt;"",INDEX(BDHK2,MATCH($C24,DiemHKII!$C$4:$C$58,0),BY$59),""))</f>
        <v>9.8000000000000007</v>
      </c>
      <c r="BZ24" s="792">
        <f t="shared" si="36"/>
        <v>1</v>
      </c>
      <c r="CA24" s="776" t="str">
        <f>IF($B24="","",INDEX(NXetHKI!$B$3:$CL$57,MATCH(NXchung!$C24,NXetHKI!$C$3:$C$57,0),NXchung!CA$59))</f>
        <v>Em rất ngoan, cố gắng có hiệu quả.</v>
      </c>
      <c r="CB24" s="775" t="str">
        <f>IF($B24="","",IF(INDEX(BDHK2,MATCH($C24,DiemHKII!$C$4:$C$58,0),CB$59)&lt;&gt;"",INDEX(BDHK2,MATCH($C24,DiemHKII!$C$4:$C$58,0),CB$59),""))</f>
        <v/>
      </c>
      <c r="CC24" s="792" t="str">
        <f t="shared" si="37"/>
        <v/>
      </c>
      <c r="CD24" s="776" t="str">
        <f t="shared" si="38"/>
        <v/>
      </c>
      <c r="CE24" s="775" t="str">
        <f>IF($B24="","",IF(INDEX(BDHK2,MATCH($C24,DiemHKII!$C$4:$C$58,0),CE$59)&lt;&gt;"",INDEX(BDHK2,MATCH($C24,DiemHKII!$C$4:$C$58,0),CE$59),""))</f>
        <v/>
      </c>
      <c r="CF24" s="792" t="str">
        <f t="shared" si="39"/>
        <v/>
      </c>
      <c r="CG24" s="776" t="str">
        <f t="shared" si="40"/>
        <v/>
      </c>
      <c r="CH24" s="774"/>
      <c r="CI24" s="775">
        <f>IF($B24="","",IF(INDEX(BDHK2,MATCH($C24,DiemHKII!$C$4:$C$58,0),CI$59)&lt;&gt;"",INDEX(BDHK2,MATCH($C24,DiemHKII!$C$4:$C$58,0),CI$59),""))</f>
        <v>9.1999999999999993</v>
      </c>
      <c r="CJ24" s="792">
        <f t="shared" si="41"/>
        <v>1</v>
      </c>
      <c r="CK24" s="776" t="str">
        <f>IF($B24="","",INDEX(NXetHKI!$B$3:$CL$57,MATCH(NXchung!$C24,NXetHKI!$C$3:$C$57,0),NXchung!CK$59))</f>
        <v>Có năng khiếu, tự tin, giao tiếp tốt và có khả năng làm việc nhóm.</v>
      </c>
      <c r="CL24" s="775" t="str">
        <f>IF($B24="","",IF(INDEX(BDHK2,MATCH($C24,DiemHKII!$C$4:$C$58,0),CL$59)&lt;&gt;"",INDEX(BDHK2,MATCH($C24,DiemHKII!$C$4:$C$58,0),CL$59),""))</f>
        <v/>
      </c>
      <c r="CM24" s="792" t="str">
        <f t="shared" si="42"/>
        <v/>
      </c>
      <c r="CN24" s="776" t="str">
        <f t="shared" si="43"/>
        <v/>
      </c>
      <c r="CO24" s="775" t="str">
        <f>IF($B24="","",IF(INDEX(BDHK2,MATCH($C24,DiemHKII!$C$4:$C$58,0),CO$59)&lt;&gt;"",INDEX(BDHK2,MATCH($C24,DiemHKII!$C$4:$C$58,0),CO$59),""))</f>
        <v/>
      </c>
      <c r="CP24" s="792" t="str">
        <f t="shared" si="44"/>
        <v/>
      </c>
      <c r="CQ24" s="776" t="str">
        <f t="shared" si="45"/>
        <v/>
      </c>
      <c r="CR24" s="774"/>
      <c r="CS24" s="775">
        <f>IF($B24="","",IF(INDEX(BDHK2,MATCH($C24,DiemHKII!$C$4:$C$58,0),CS$59)&lt;&gt;"",INDEX(BDHK2,MATCH($C24,DiemHKII!$C$4:$C$58,0),CS$59),""))</f>
        <v>9.8000000000000007</v>
      </c>
      <c r="CT24" s="792">
        <f t="shared" si="46"/>
        <v>1</v>
      </c>
      <c r="CU24" s="776" t="str">
        <f>IF($B24="","",INDEX(NXetHKI!$B$3:$CL$57,MATCH(NXchung!$C24,NXetHKI!$C$3:$C$57,0),NXchung!CU$59))</f>
        <v>Hứng thú, có trách nhiệm học tập tốt.</v>
      </c>
      <c r="CV24" s="775" t="str">
        <f>IF($B24="","",IF(INDEX(BDHK2,MATCH($C24,DiemHKII!$C$4:$C$58,0),CV$59)&lt;&gt;"",INDEX(BDHK2,MATCH($C24,DiemHKII!$C$4:$C$58,0),CV$59),""))</f>
        <v/>
      </c>
      <c r="CW24" s="792" t="str">
        <f t="shared" si="47"/>
        <v/>
      </c>
      <c r="CX24" s="776" t="str">
        <f t="shared" si="48"/>
        <v/>
      </c>
      <c r="CY24" s="775" t="str">
        <f>IF($B24="","",IF(INDEX(BDHK2,MATCH($C24,DiemHKII!$C$4:$C$58,0),CY$59)&lt;&gt;"",INDEX(BDHK2,MATCH($C24,DiemHKII!$C$4:$C$58,0),CY$59),""))</f>
        <v/>
      </c>
      <c r="CZ24" s="792" t="str">
        <f t="shared" si="49"/>
        <v/>
      </c>
      <c r="DA24" s="776" t="str">
        <f t="shared" si="50"/>
        <v/>
      </c>
      <c r="DB24" s="774"/>
      <c r="DC24" s="775">
        <f>IF($B24="","",IF(INDEX(BDHK2,MATCH($C24,DiemHKII!$C$4:$C$58,0),DC$59)&lt;&gt;"",INDEX(BDHK2,MATCH($C24,DiemHKII!$C$4:$C$58,0),DC$59),""))</f>
        <v>9.8000000000000007</v>
      </c>
      <c r="DD24" s="792">
        <f t="shared" si="51"/>
        <v>1</v>
      </c>
      <c r="DE24" s="776" t="str">
        <f>IF($B24="","",INDEX(NXetHKI!$B$3:$CL$57,MATCH(NXchung!$C24,NXetHKI!$C$3:$C$57,0),NXchung!DE$59))</f>
        <v>Học giỏi, năng động, chăm ngoan.</v>
      </c>
      <c r="DF24" s="775" t="str">
        <f>IF($B24="","",IF(INDEX(BDHK2,MATCH($C24,DiemHKII!$C$4:$C$58,0),DF$59)&lt;&gt;"",INDEX(BDHK2,MATCH($C24,DiemHKII!$C$4:$C$58,0),DF$59),""))</f>
        <v/>
      </c>
      <c r="DG24" s="792" t="str">
        <f t="shared" si="52"/>
        <v/>
      </c>
      <c r="DH24" s="776" t="str">
        <f t="shared" si="53"/>
        <v/>
      </c>
      <c r="DI24" s="775" t="str">
        <f>IF($B24="","",IF(INDEX(BDHK2,MATCH($C24,DiemHKII!$C$4:$C$58,0),DI$59)&lt;&gt;"",INDEX(BDHK2,MATCH($C24,DiemHKII!$C$4:$C$58,0),DI$59),""))</f>
        <v/>
      </c>
      <c r="DJ24" s="792" t="str">
        <f t="shared" si="54"/>
        <v/>
      </c>
      <c r="DK24" s="776" t="str">
        <f t="shared" si="55"/>
        <v/>
      </c>
      <c r="DL24" s="774"/>
      <c r="DM24" s="775" t="str">
        <f>IF($B24="","",IF(INDEX(BDHK2,MATCH($C24,DiemHKII!$C$4:$C$58,0),DM$59)&lt;&gt;"",INDEX(BDHK2,MATCH($C24,DiemHKII!$C$4:$C$58,0),DM$59),""))</f>
        <v>Đ</v>
      </c>
      <c r="DN24" s="792">
        <f t="shared" si="56"/>
        <v>1</v>
      </c>
      <c r="DO24" s="776" t="str">
        <f>IF($B24="","",INDEX(NXetHKI!$B$3:$CL$57,MATCH(NXchung!$C24,NXetHKI!$C$3:$C$57,0),NXchung!DO$59))</f>
        <v>Chăm chỉ, cố gắng, rất ngoan.</v>
      </c>
      <c r="DP24" s="775" t="str">
        <f>IF($B24="","",IF(INDEX(BDHK2,MATCH($C24,DiemHKII!$C$4:$C$58,0),DP$59)&lt;&gt;"",INDEX(BDHK2,MATCH($C24,DiemHKII!$C$4:$C$58,0),DP$59),""))</f>
        <v/>
      </c>
      <c r="DQ24" s="792" t="str">
        <f t="shared" si="57"/>
        <v/>
      </c>
      <c r="DR24" s="776" t="str">
        <f t="shared" si="58"/>
        <v/>
      </c>
      <c r="DS24" s="775" t="str">
        <f>IF($B24="","",IF(INDEX(BDHK2,MATCH($C24,DiemHKII!$C$4:$C$58,0),DS$59)&lt;&gt;"",INDEX(BDHK2,MATCH($C24,DiemHKII!$C$4:$C$58,0),DS$59),""))</f>
        <v>Đ</v>
      </c>
      <c r="DT24" s="792">
        <f t="shared" si="59"/>
        <v>1</v>
      </c>
      <c r="DU24" s="776" t="str">
        <f t="shared" si="60"/>
        <v>Rất ngoan, học có hiệu quả tốt.</v>
      </c>
      <c r="DV24" s="774"/>
      <c r="DW24" s="775">
        <f>IF($B24="","",IF(INDEX(BDHK2,MATCH($C24,DiemHKII!$C$4:$C$58,0),DW$59)&lt;&gt;"",INDEX(BDHK2,MATCH($C24,DiemHKII!$C$4:$C$58,0),DW$59),""))</f>
        <v>9.9</v>
      </c>
      <c r="DX24" s="792">
        <f t="shared" si="61"/>
        <v>1</v>
      </c>
      <c r="DY24" s="776" t="str">
        <f>IF($B24="","",INDEX(NXetHKI!$B$3:$CL$57,MATCH(NXchung!$C24,NXetHKI!$C$3:$C$57,0),NXchung!DY$59))</f>
        <v>Siêng năng, lễ phép, thành thạo thực hành, học giỏi.</v>
      </c>
      <c r="DZ24" s="775" t="str">
        <f>IF($B24="","",IF(INDEX(BDHK2,MATCH($C24,DiemHKII!$C$4:$C$58,0),DZ$59)&lt;&gt;"",INDEX(BDHK2,MATCH($C24,DiemHKII!$C$4:$C$58,0),DZ$59),""))</f>
        <v/>
      </c>
      <c r="EA24" s="792" t="str">
        <f t="shared" si="62"/>
        <v/>
      </c>
      <c r="EB24" s="776" t="str">
        <f t="shared" si="63"/>
        <v/>
      </c>
      <c r="EC24" s="775" t="str">
        <f>IF($B24="","",IF(INDEX(BDHK2,MATCH($C24,DiemHKII!$C$4:$C$58,0),EC$59)&lt;&gt;"",INDEX(BDHK2,MATCH($C24,DiemHKII!$C$4:$C$58,0),EC$59),""))</f>
        <v/>
      </c>
      <c r="ED24" s="792" t="str">
        <f t="shared" si="64"/>
        <v/>
      </c>
      <c r="EE24" s="776" t="str">
        <f t="shared" si="65"/>
        <v/>
      </c>
      <c r="EF24" s="774"/>
      <c r="EG24" s="775" t="str">
        <f>IF($B24="","",IF(INDEX(BDHK2,MATCH($C24,DiemHKII!$C$4:$C$58,0),EG$59)&lt;&gt;"",INDEX(BDHK2,MATCH($C24,DiemHKII!$C$4:$C$58,0),EG$59),""))</f>
        <v/>
      </c>
      <c r="EH24" s="792" t="str">
        <f t="shared" si="66"/>
        <v/>
      </c>
      <c r="EI24" s="776" t="str">
        <f>IF($B24="","",INDEX(NXetHKI!$B$3:$CL$57,MATCH(NXchung!$C24,NXetHKI!$C$3:$C$57,0),NXchung!EI$59))</f>
        <v/>
      </c>
      <c r="EJ24" s="775" t="str">
        <f>IF($B24="","",IF(INDEX(BDHK2,MATCH($C24,DiemHKII!$C$4:$C$58,0),EJ$59)&lt;&gt;"",INDEX(BDHK2,MATCH($C24,DiemHKII!$C$4:$C$58,0),EJ$59),""))</f>
        <v/>
      </c>
      <c r="EK24" s="792" t="str">
        <f t="shared" si="67"/>
        <v/>
      </c>
      <c r="EL24" s="776" t="str">
        <f t="shared" si="68"/>
        <v/>
      </c>
      <c r="EM24" s="775" t="str">
        <f>IF($B24="","",IF(INDEX(BDHK2,MATCH($C24,DiemHKII!$C$4:$C$58,0),EM$59)&lt;&gt;"",INDEX(BDHK2,MATCH($C24,DiemHKII!$C$4:$C$58,0),EM$59),""))</f>
        <v/>
      </c>
      <c r="EN24" s="792" t="str">
        <f t="shared" si="69"/>
        <v/>
      </c>
      <c r="EO24" s="776" t="str">
        <f t="shared" si="70"/>
        <v/>
      </c>
      <c r="EP24" s="774"/>
      <c r="ER24" s="816">
        <v>6</v>
      </c>
      <c r="ES24" s="816">
        <v>9</v>
      </c>
    </row>
    <row r="25" spans="1:149" ht="15" customHeight="1">
      <c r="A25" s="764"/>
      <c r="B25" s="771">
        <f>IF(B24&lt;MAX(DiemHKII!$B$4:$B$58),B24+1,"")</f>
        <v>23</v>
      </c>
      <c r="C25" s="771" t="str">
        <f t="shared" si="0"/>
        <v>12A1LêNa29/02/2004</v>
      </c>
      <c r="D25" s="772" t="str">
        <f>IF($B25&lt;&gt;"",PROPER(INDEX(DiemHKII!$B$4:$K$58,MATCH($B25,DiemHKII!$B$4:$B$58,0),4)),"")</f>
        <v>Lê</v>
      </c>
      <c r="E25" s="773" t="str">
        <f>IF($B25&lt;&gt;"",PROPER(INDEX(DiemHKII!$B$4:$K$58,MATCH($B25,DiemHKII!$B$4:$B$58,0),5)),"")</f>
        <v>Na</v>
      </c>
      <c r="F25" s="774" t="str">
        <f>IF($B25&lt;&gt;"",PROPER(INDEX(DiemHKII!$B$4:$K$58,MATCH($B25,DiemHKII!$B$4:$B$58,0),6)),"")</f>
        <v>29/02/2004</v>
      </c>
      <c r="G25" s="775">
        <f>IF($B25="","",IF(INDEX(BDHK2,MATCH($C25,DiemHKII!$C$4:$C$58,0),G$59)&lt;&gt;"",INDEX(BDHK2,MATCH($C25,DiemHKII!$C$4:$C$58,0),G$59),""))</f>
        <v>9.4</v>
      </c>
      <c r="H25" s="792">
        <f t="shared" si="1"/>
        <v>1</v>
      </c>
      <c r="I25" s="776" t="str">
        <f>IF($B25="","",INDEX(NXetHKI!$B$3:$CL$57,MATCH(NXchung!$C25,NXetHKI!$C$3:$C$57,0),NXchung!I$59))</f>
        <v>Em học giỏi, chăm ngoan, tính tự giác cao, rất tốt.</v>
      </c>
      <c r="J25" s="775" t="str">
        <f>IF($B25="","",IF(INDEX(BDHK2,MATCH($C25,DiemHKII!$C$4:$C$58,0),J$59)&lt;&gt;"",INDEX(BDHK2,MATCH($C25,DiemHKII!$C$4:$C$58,0),J$59),""))</f>
        <v/>
      </c>
      <c r="K25" s="792" t="str">
        <f t="shared" si="2"/>
        <v/>
      </c>
      <c r="L25" s="776" t="str">
        <f t="shared" si="3"/>
        <v/>
      </c>
      <c r="M25" s="775" t="str">
        <f>IF($B25="","",IF(INDEX(BDHK2,MATCH($C25,DiemHKII!$C$4:$C$58,0),M$59)&lt;&gt;"",INDEX(BDHK2,MATCH($C25,DiemHKII!$C$4:$C$58,0),M$59),""))</f>
        <v/>
      </c>
      <c r="N25" s="792" t="str">
        <f t="shared" si="4"/>
        <v/>
      </c>
      <c r="O25" s="776" t="str">
        <f t="shared" si="5"/>
        <v/>
      </c>
      <c r="P25" s="774"/>
      <c r="Q25" s="775">
        <f>IF($B25="","",IF(INDEX(BDHK2,MATCH($C25,DiemHKII!$C$4:$C$58,0),Q$59)&lt;&gt;"",INDEX(BDHK2,MATCH($C25,DiemHKII!$C$4:$C$58,0),Q$59),""))</f>
        <v>9.6999999999999993</v>
      </c>
      <c r="R25" s="792">
        <f t="shared" si="6"/>
        <v>1</v>
      </c>
      <c r="S25" s="776" t="str">
        <f>IF($B25="","",INDEX(NXetHKI!$B$3:$CL$57,MATCH(NXchung!$C25,NXetHKI!$C$3:$C$57,0),NXchung!S$59))</f>
        <v>Em học giỏi, chăm ngoan, tính tự giác cao, rất tốt.</v>
      </c>
      <c r="T25" s="775" t="str">
        <f>IF($B25="","",IF(INDEX(BDHK2,MATCH($C25,DiemHKII!$C$4:$C$58,0),T$59)&lt;&gt;"",INDEX(BDHK2,MATCH($C25,DiemHKII!$C$4:$C$58,0),T$59),""))</f>
        <v/>
      </c>
      <c r="U25" s="792" t="str">
        <f t="shared" si="7"/>
        <v/>
      </c>
      <c r="V25" s="776" t="str">
        <f t="shared" si="8"/>
        <v/>
      </c>
      <c r="W25" s="775" t="str">
        <f>IF($B25="","",IF(INDEX(BDHK2,MATCH($C25,DiemHKII!$C$4:$C$58,0),W$59)&lt;&gt;"",INDEX(BDHK2,MATCH($C25,DiemHKII!$C$4:$C$58,0),W$59),""))</f>
        <v/>
      </c>
      <c r="X25" s="792" t="str">
        <f t="shared" si="9"/>
        <v/>
      </c>
      <c r="Y25" s="776" t="str">
        <f t="shared" si="10"/>
        <v/>
      </c>
      <c r="Z25" s="774"/>
      <c r="AA25" s="775">
        <f>IF($B25="","",IF(INDEX(BDHK2,MATCH($C25,DiemHKII!$C$4:$C$58,0),AA$59)&lt;&gt;"",INDEX(BDHK2,MATCH($C25,DiemHKII!$C$4:$C$58,0),AA$59),""))</f>
        <v>9</v>
      </c>
      <c r="AB25" s="792">
        <f t="shared" si="11"/>
        <v>1</v>
      </c>
      <c r="AC25" s="776" t="str">
        <f>IF($B25="","",INDEX(NXetHKI!$B$3:$CL$57,MATCH(NXchung!$C25,NXetHKI!$C$3:$C$57,0),NXchung!AC$59))</f>
        <v>Kiến thức vững, tự học tốt, ngoan.</v>
      </c>
      <c r="AD25" s="775" t="str">
        <f>IF($B25="","",IF(INDEX(BDHK2,MATCH($C25,DiemHKII!$C$4:$C$58,0),AD$59)&lt;&gt;"",INDEX(BDHK2,MATCH($C25,DiemHKII!$C$4:$C$58,0),AD$59),""))</f>
        <v/>
      </c>
      <c r="AE25" s="792" t="str">
        <f t="shared" si="12"/>
        <v/>
      </c>
      <c r="AF25" s="776" t="str">
        <f t="shared" si="13"/>
        <v/>
      </c>
      <c r="AG25" s="775" t="str">
        <f>IF($B25="","",IF(INDEX(BDHK2,MATCH($C25,DiemHKII!$C$4:$C$58,0),AG$59)&lt;&gt;"",INDEX(BDHK2,MATCH($C25,DiemHKII!$C$4:$C$58,0),AG$59),""))</f>
        <v/>
      </c>
      <c r="AH25" s="792" t="str">
        <f t="shared" si="14"/>
        <v/>
      </c>
      <c r="AI25" s="776" t="str">
        <f t="shared" si="15"/>
        <v/>
      </c>
      <c r="AJ25" s="774"/>
      <c r="AK25" s="775">
        <f>IF($B25="","",IF(INDEX(BDHK2,MATCH($C25,DiemHKII!$C$4:$C$58,0),AK$59)&lt;&gt;"",INDEX(BDHK2,MATCH($C25,DiemHKII!$C$4:$C$58,0),AK$59),""))</f>
        <v>9.1</v>
      </c>
      <c r="AL25" s="792">
        <f t="shared" si="16"/>
        <v>1</v>
      </c>
      <c r="AM25" s="776" t="str">
        <f>IF($B25="","",INDEX(NXetHKI!$B$3:$CL$57,MATCH(NXchung!$C25,NXetHKI!$C$3:$C$57,0),NXchung!AM$59))</f>
        <v>Có khả năng tự học và tự chủ bản thân, tích cực trong học tập.</v>
      </c>
      <c r="AN25" s="775" t="str">
        <f>IF($B25="","",IF(INDEX(BDHK2,MATCH($C25,DiemHKII!$C$4:$C$58,0),AN$59)&lt;&gt;"",INDEX(BDHK2,MATCH($C25,DiemHKII!$C$4:$C$58,0),AN$59),""))</f>
        <v/>
      </c>
      <c r="AO25" s="792" t="str">
        <f t="shared" si="17"/>
        <v/>
      </c>
      <c r="AP25" s="776" t="str">
        <f t="shared" si="18"/>
        <v/>
      </c>
      <c r="AQ25" s="775" t="str">
        <f>IF($B25="","",IF(INDEX(BDHK2,MATCH($C25,DiemHKII!$C$4:$C$58,0),AQ$59)&lt;&gt;"",INDEX(BDHK2,MATCH($C25,DiemHKII!$C$4:$C$58,0),AQ$59),""))</f>
        <v/>
      </c>
      <c r="AR25" s="792" t="str">
        <f t="shared" si="19"/>
        <v/>
      </c>
      <c r="AS25" s="776" t="str">
        <f t="shared" si="20"/>
        <v/>
      </c>
      <c r="AT25" s="774"/>
      <c r="AU25" s="775">
        <f>IF($B25="","",IF(INDEX(BDHK2,MATCH($C25,DiemHKII!$C$4:$C$58,0),AU$59)&lt;&gt;"",INDEX(BDHK2,MATCH($C25,DiemHKII!$C$4:$C$58,0),AU$59),""))</f>
        <v>9.6</v>
      </c>
      <c r="AV25" s="792">
        <f t="shared" si="21"/>
        <v>1</v>
      </c>
      <c r="AW25" s="776" t="str">
        <f>IF($B25="","",INDEX(NXetHKI!$B$3:$CL$57,MATCH(NXchung!$C25,NXetHKI!$C$3:$C$57,0),NXchung!AW$59))</f>
        <v>Ngoan, chăm chỉ, tư duy tốt.</v>
      </c>
      <c r="AX25" s="775" t="str">
        <f>IF($B25="","",IF(INDEX(BDHK2,MATCH($C25,DiemHKII!$C$4:$C$58,0),AX$59)&lt;&gt;"",INDEX(BDHK2,MATCH($C25,DiemHKII!$C$4:$C$58,0),AX$59),""))</f>
        <v/>
      </c>
      <c r="AY25" s="792" t="str">
        <f t="shared" si="22"/>
        <v/>
      </c>
      <c r="AZ25" s="776" t="str">
        <f t="shared" si="23"/>
        <v/>
      </c>
      <c r="BA25" s="775" t="str">
        <f>IF($B25="","",IF(INDEX(BDHK2,MATCH($C25,DiemHKII!$C$4:$C$58,0),BA$59)&lt;&gt;"",INDEX(BDHK2,MATCH($C25,DiemHKII!$C$4:$C$58,0),BA$59),""))</f>
        <v/>
      </c>
      <c r="BB25" s="792" t="str">
        <f t="shared" si="24"/>
        <v/>
      </c>
      <c r="BC25" s="776" t="str">
        <f t="shared" si="25"/>
        <v/>
      </c>
      <c r="BD25" s="774"/>
      <c r="BE25" s="775">
        <f>IF($B25="","",IF(INDEX(BDHK2,MATCH($C25,DiemHKII!$C$4:$C$58,0),BE$59)&lt;&gt;"",INDEX(BDHK2,MATCH($C25,DiemHKII!$C$4:$C$58,0),BE$59),""))</f>
        <v>7.7</v>
      </c>
      <c r="BF25" s="792">
        <f t="shared" si="26"/>
        <v>4</v>
      </c>
      <c r="BG25" s="776" t="str">
        <f>IF($B25="","",INDEX(NXetHKI!$B$3:$CL$57,MATCH(NXchung!$C25,NXetHKI!$C$3:$C$57,0),NXchung!BG$59))</f>
        <v>Có tinh thần học tập tốt, cần cố gắng rèn luyện thêm các kỹ năng.</v>
      </c>
      <c r="BH25" s="775" t="str">
        <f>IF($B25="","",IF(INDEX(BDHK2,MATCH($C25,DiemHKII!$C$4:$C$58,0),BH$59)&lt;&gt;"",INDEX(BDHK2,MATCH($C25,DiemHKII!$C$4:$C$58,0),BH$59),""))</f>
        <v/>
      </c>
      <c r="BI25" s="792" t="str">
        <f t="shared" si="27"/>
        <v/>
      </c>
      <c r="BJ25" s="776" t="str">
        <f t="shared" si="28"/>
        <v/>
      </c>
      <c r="BK25" s="775" t="str">
        <f>IF($B25="","",IF(INDEX(BDHK2,MATCH($C25,DiemHKII!$C$4:$C$58,0),BK$59)&lt;&gt;"",INDEX(BDHK2,MATCH($C25,DiemHKII!$C$4:$C$58,0),BK$59),""))</f>
        <v/>
      </c>
      <c r="BL25" s="792" t="str">
        <f t="shared" si="29"/>
        <v/>
      </c>
      <c r="BM25" s="776" t="str">
        <f t="shared" si="30"/>
        <v/>
      </c>
      <c r="BN25" s="774"/>
      <c r="BO25" s="775">
        <f>IF($B25="","",IF(INDEX(BDHK2,MATCH($C25,DiemHKII!$C$4:$C$58,0),BO$59)&lt;&gt;"",INDEX(BDHK2,MATCH($C25,DiemHKII!$C$4:$C$58,0),BO$59),""))</f>
        <v>9.8000000000000007</v>
      </c>
      <c r="BP25" s="792">
        <f t="shared" si="31"/>
        <v>1</v>
      </c>
      <c r="BQ25" s="776" t="str">
        <f>IF($B25="","",INDEX(NXetHKI!$B$3:$CL$57,MATCH(NXchung!$C25,NXetHKI!$C$3:$C$57,0),NXchung!BQ$59))</f>
        <v>Tiếp thu bài tốt, ghi nhớ nhanh các sự kiện lịch sử.</v>
      </c>
      <c r="BR25" s="775" t="str">
        <f>IF($B25="","",IF(INDEX(BDHK2,MATCH($C25,DiemHKII!$C$4:$C$58,0),BR$59)&lt;&gt;"",INDEX(BDHK2,MATCH($C25,DiemHKII!$C$4:$C$58,0),BR$59),""))</f>
        <v/>
      </c>
      <c r="BS25" s="792" t="str">
        <f t="shared" si="32"/>
        <v/>
      </c>
      <c r="BT25" s="776" t="str">
        <f t="shared" si="33"/>
        <v/>
      </c>
      <c r="BU25" s="775" t="str">
        <f>IF($B25="","",IF(INDEX(BDHK2,MATCH($C25,DiemHKII!$C$4:$C$58,0),BU$59)&lt;&gt;"",INDEX(BDHK2,MATCH($C25,DiemHKII!$C$4:$C$58,0),BU$59),""))</f>
        <v/>
      </c>
      <c r="BV25" s="792" t="str">
        <f t="shared" si="34"/>
        <v/>
      </c>
      <c r="BW25" s="776" t="str">
        <f t="shared" si="35"/>
        <v/>
      </c>
      <c r="BX25" s="774"/>
      <c r="BY25" s="775">
        <f>IF($B25="","",IF(INDEX(BDHK2,MATCH($C25,DiemHKII!$C$4:$C$58,0),BY$59)&lt;&gt;"",INDEX(BDHK2,MATCH($C25,DiemHKII!$C$4:$C$58,0),BY$59),""))</f>
        <v>9.9</v>
      </c>
      <c r="BZ25" s="792">
        <f t="shared" si="36"/>
        <v>1</v>
      </c>
      <c r="CA25" s="776" t="str">
        <f>IF($B25="","",INDEX(NXetHKI!$B$3:$CL$57,MATCH(NXchung!$C25,NXetHKI!$C$3:$C$57,0),NXchung!CA$59))</f>
        <v>Em có tư duy tốt, rất tích cực, giải quyết vấn đề tốt.</v>
      </c>
      <c r="CB25" s="775" t="str">
        <f>IF($B25="","",IF(INDEX(BDHK2,MATCH($C25,DiemHKII!$C$4:$C$58,0),CB$59)&lt;&gt;"",INDEX(BDHK2,MATCH($C25,DiemHKII!$C$4:$C$58,0),CB$59),""))</f>
        <v/>
      </c>
      <c r="CC25" s="792" t="str">
        <f t="shared" si="37"/>
        <v/>
      </c>
      <c r="CD25" s="776" t="str">
        <f t="shared" si="38"/>
        <v/>
      </c>
      <c r="CE25" s="775" t="str">
        <f>IF($B25="","",IF(INDEX(BDHK2,MATCH($C25,DiemHKII!$C$4:$C$58,0),CE$59)&lt;&gt;"",INDEX(BDHK2,MATCH($C25,DiemHKII!$C$4:$C$58,0),CE$59),""))</f>
        <v/>
      </c>
      <c r="CF25" s="792" t="str">
        <f t="shared" si="39"/>
        <v/>
      </c>
      <c r="CG25" s="776" t="str">
        <f t="shared" si="40"/>
        <v/>
      </c>
      <c r="CH25" s="774"/>
      <c r="CI25" s="775">
        <f>IF($B25="","",IF(INDEX(BDHK2,MATCH($C25,DiemHKII!$C$4:$C$58,0),CI$59)&lt;&gt;"",INDEX(BDHK2,MATCH($C25,DiemHKII!$C$4:$C$58,0),CI$59),""))</f>
        <v>8.6</v>
      </c>
      <c r="CJ25" s="792">
        <f t="shared" si="41"/>
        <v>2</v>
      </c>
      <c r="CK25" s="776" t="str">
        <f>IF($B25="","",INDEX(NXetHKI!$B$3:$CL$57,MATCH(NXchung!$C25,NXetHKI!$C$3:$C$57,0),NXchung!CK$59))</f>
        <v>Có khả năng nghe, nói và ngữ pháp vững.</v>
      </c>
      <c r="CL25" s="775" t="str">
        <f>IF($B25="","",IF(INDEX(BDHK2,MATCH($C25,DiemHKII!$C$4:$C$58,0),CL$59)&lt;&gt;"",INDEX(BDHK2,MATCH($C25,DiemHKII!$C$4:$C$58,0),CL$59),""))</f>
        <v/>
      </c>
      <c r="CM25" s="792" t="str">
        <f t="shared" si="42"/>
        <v/>
      </c>
      <c r="CN25" s="776" t="str">
        <f t="shared" si="43"/>
        <v/>
      </c>
      <c r="CO25" s="775" t="str">
        <f>IF($B25="","",IF(INDEX(BDHK2,MATCH($C25,DiemHKII!$C$4:$C$58,0),CO$59)&lt;&gt;"",INDEX(BDHK2,MATCH($C25,DiemHKII!$C$4:$C$58,0),CO$59),""))</f>
        <v/>
      </c>
      <c r="CP25" s="792" t="str">
        <f t="shared" si="44"/>
        <v/>
      </c>
      <c r="CQ25" s="776" t="str">
        <f t="shared" si="45"/>
        <v/>
      </c>
      <c r="CR25" s="774"/>
      <c r="CS25" s="775">
        <f>IF($B25="","",IF(INDEX(BDHK2,MATCH($C25,DiemHKII!$C$4:$C$58,0),CS$59)&lt;&gt;"",INDEX(BDHK2,MATCH($C25,DiemHKII!$C$4:$C$58,0),CS$59),""))</f>
        <v>9.4</v>
      </c>
      <c r="CT25" s="792">
        <f t="shared" si="46"/>
        <v>1</v>
      </c>
      <c r="CU25" s="776" t="str">
        <f>IF($B25="","",INDEX(NXetHKI!$B$3:$CL$57,MATCH(NXchung!$C25,NXetHKI!$C$3:$C$57,0),NXchung!CU$59))</f>
        <v>Chăm chỉ, học giỏi.</v>
      </c>
      <c r="CV25" s="775" t="str">
        <f>IF($B25="","",IF(INDEX(BDHK2,MATCH($C25,DiemHKII!$C$4:$C$58,0),CV$59)&lt;&gt;"",INDEX(BDHK2,MATCH($C25,DiemHKII!$C$4:$C$58,0),CV$59),""))</f>
        <v/>
      </c>
      <c r="CW25" s="792" t="str">
        <f t="shared" si="47"/>
        <v/>
      </c>
      <c r="CX25" s="776" t="str">
        <f t="shared" si="48"/>
        <v/>
      </c>
      <c r="CY25" s="775" t="str">
        <f>IF($B25="","",IF(INDEX(BDHK2,MATCH($C25,DiemHKII!$C$4:$C$58,0),CY$59)&lt;&gt;"",INDEX(BDHK2,MATCH($C25,DiemHKII!$C$4:$C$58,0),CY$59),""))</f>
        <v/>
      </c>
      <c r="CZ25" s="792" t="str">
        <f t="shared" si="49"/>
        <v/>
      </c>
      <c r="DA25" s="776" t="str">
        <f t="shared" si="50"/>
        <v/>
      </c>
      <c r="DB25" s="774"/>
      <c r="DC25" s="775">
        <f>IF($B25="","",IF(INDEX(BDHK2,MATCH($C25,DiemHKII!$C$4:$C$58,0),DC$59)&lt;&gt;"",INDEX(BDHK2,MATCH($C25,DiemHKII!$C$4:$C$58,0),DC$59),""))</f>
        <v>9.9</v>
      </c>
      <c r="DD25" s="792">
        <f t="shared" si="51"/>
        <v>1</v>
      </c>
      <c r="DE25" s="776" t="str">
        <f>IF($B25="","",INDEX(NXetHKI!$B$3:$CL$57,MATCH(NXchung!$C25,NXetHKI!$C$3:$C$57,0),NXchung!DE$59))</f>
        <v>Năng động, sáng tạo trong học tập.</v>
      </c>
      <c r="DF25" s="775" t="str">
        <f>IF($B25="","",IF(INDEX(BDHK2,MATCH($C25,DiemHKII!$C$4:$C$58,0),DF$59)&lt;&gt;"",INDEX(BDHK2,MATCH($C25,DiemHKII!$C$4:$C$58,0),DF$59),""))</f>
        <v/>
      </c>
      <c r="DG25" s="792" t="str">
        <f t="shared" si="52"/>
        <v/>
      </c>
      <c r="DH25" s="776" t="str">
        <f t="shared" si="53"/>
        <v/>
      </c>
      <c r="DI25" s="775" t="str">
        <f>IF($B25="","",IF(INDEX(BDHK2,MATCH($C25,DiemHKII!$C$4:$C$58,0),DI$59)&lt;&gt;"",INDEX(BDHK2,MATCH($C25,DiemHKII!$C$4:$C$58,0),DI$59),""))</f>
        <v/>
      </c>
      <c r="DJ25" s="792" t="str">
        <f t="shared" si="54"/>
        <v/>
      </c>
      <c r="DK25" s="776" t="str">
        <f t="shared" si="55"/>
        <v/>
      </c>
      <c r="DL25" s="774"/>
      <c r="DM25" s="775" t="str">
        <f>IF($B25="","",IF(INDEX(BDHK2,MATCH($C25,DiemHKII!$C$4:$C$58,0),DM$59)&lt;&gt;"",INDEX(BDHK2,MATCH($C25,DiemHKII!$C$4:$C$58,0),DM$59),""))</f>
        <v>Đ</v>
      </c>
      <c r="DN25" s="792">
        <f t="shared" si="56"/>
        <v>1</v>
      </c>
      <c r="DO25" s="776" t="str">
        <f>IF($B25="","",INDEX(NXetHKI!$B$3:$CL$57,MATCH(NXchung!$C25,NXetHKI!$C$3:$C$57,0),NXchung!DO$59))</f>
        <v>Giỏi, có nhiều tiến bộ trong học tập.</v>
      </c>
      <c r="DP25" s="775" t="str">
        <f>IF($B25="","",IF(INDEX(BDHK2,MATCH($C25,DiemHKII!$C$4:$C$58,0),DP$59)&lt;&gt;"",INDEX(BDHK2,MATCH($C25,DiemHKII!$C$4:$C$58,0),DP$59),""))</f>
        <v/>
      </c>
      <c r="DQ25" s="792" t="str">
        <f t="shared" si="57"/>
        <v/>
      </c>
      <c r="DR25" s="776" t="str">
        <f t="shared" si="58"/>
        <v/>
      </c>
      <c r="DS25" s="775" t="str">
        <f>IF($B25="","",IF(INDEX(BDHK2,MATCH($C25,DiemHKII!$C$4:$C$58,0),DS$59)&lt;&gt;"",INDEX(BDHK2,MATCH($C25,DiemHKII!$C$4:$C$58,0),DS$59),""))</f>
        <v>Đ</v>
      </c>
      <c r="DT25" s="792">
        <f t="shared" si="59"/>
        <v>1</v>
      </c>
      <c r="DU25" s="776" t="str">
        <f t="shared" si="60"/>
        <v>Chăm chỉ, cố gắng, rất ngoan.</v>
      </c>
      <c r="DV25" s="774"/>
      <c r="DW25" s="775">
        <f>IF($B25="","",IF(INDEX(BDHK2,MATCH($C25,DiemHKII!$C$4:$C$58,0),DW$59)&lt;&gt;"",INDEX(BDHK2,MATCH($C25,DiemHKII!$C$4:$C$58,0),DW$59),""))</f>
        <v>9.4</v>
      </c>
      <c r="DX25" s="792">
        <f t="shared" si="61"/>
        <v>1</v>
      </c>
      <c r="DY25" s="776" t="str">
        <f>IF($B25="","",INDEX(NXetHKI!$B$3:$CL$57,MATCH(NXchung!$C25,NXetHKI!$C$3:$C$57,0),NXchung!DY$59))</f>
        <v>Tích cực, năng động, nắm bài tốt, học giỏi.</v>
      </c>
      <c r="DZ25" s="775" t="str">
        <f>IF($B25="","",IF(INDEX(BDHK2,MATCH($C25,DiemHKII!$C$4:$C$58,0),DZ$59)&lt;&gt;"",INDEX(BDHK2,MATCH($C25,DiemHKII!$C$4:$C$58,0),DZ$59),""))</f>
        <v/>
      </c>
      <c r="EA25" s="792" t="str">
        <f t="shared" si="62"/>
        <v/>
      </c>
      <c r="EB25" s="776" t="str">
        <f t="shared" si="63"/>
        <v/>
      </c>
      <c r="EC25" s="775" t="str">
        <f>IF($B25="","",IF(INDEX(BDHK2,MATCH($C25,DiemHKII!$C$4:$C$58,0),EC$59)&lt;&gt;"",INDEX(BDHK2,MATCH($C25,DiemHKII!$C$4:$C$58,0),EC$59),""))</f>
        <v/>
      </c>
      <c r="ED25" s="792" t="str">
        <f t="shared" si="64"/>
        <v/>
      </c>
      <c r="EE25" s="776" t="str">
        <f t="shared" si="65"/>
        <v/>
      </c>
      <c r="EF25" s="774"/>
      <c r="EG25" s="775" t="str">
        <f>IF($B25="","",IF(INDEX(BDHK2,MATCH($C25,DiemHKII!$C$4:$C$58,0),EG$59)&lt;&gt;"",INDEX(BDHK2,MATCH($C25,DiemHKII!$C$4:$C$58,0),EG$59),""))</f>
        <v/>
      </c>
      <c r="EH25" s="792" t="str">
        <f t="shared" si="66"/>
        <v/>
      </c>
      <c r="EI25" s="776" t="str">
        <f>IF($B25="","",INDEX(NXetHKI!$B$3:$CL$57,MATCH(NXchung!$C25,NXetHKI!$C$3:$C$57,0),NXchung!EI$59))</f>
        <v/>
      </c>
      <c r="EJ25" s="775" t="str">
        <f>IF($B25="","",IF(INDEX(BDHK2,MATCH($C25,DiemHKII!$C$4:$C$58,0),EJ$59)&lt;&gt;"",INDEX(BDHK2,MATCH($C25,DiemHKII!$C$4:$C$58,0),EJ$59),""))</f>
        <v/>
      </c>
      <c r="EK25" s="792" t="str">
        <f t="shared" si="67"/>
        <v/>
      </c>
      <c r="EL25" s="776" t="str">
        <f t="shared" si="68"/>
        <v/>
      </c>
      <c r="EM25" s="775" t="str">
        <f>IF($B25="","",IF(INDEX(BDHK2,MATCH($C25,DiemHKII!$C$4:$C$58,0),EM$59)&lt;&gt;"",INDEX(BDHK2,MATCH($C25,DiemHKII!$C$4:$C$58,0),EM$59),""))</f>
        <v/>
      </c>
      <c r="EN25" s="792" t="str">
        <f t="shared" si="69"/>
        <v/>
      </c>
      <c r="EO25" s="776" t="str">
        <f t="shared" si="70"/>
        <v/>
      </c>
      <c r="EP25" s="774"/>
      <c r="ER25" s="816">
        <v>9</v>
      </c>
      <c r="ES25" s="816">
        <v>3</v>
      </c>
    </row>
    <row r="26" spans="1:149" ht="15" customHeight="1">
      <c r="A26" s="764"/>
      <c r="B26" s="771">
        <f>IF(B25&lt;MAX(DiemHKII!$B$4:$B$58),B25+1,"")</f>
        <v>24</v>
      </c>
      <c r="C26" s="771" t="str">
        <f t="shared" si="0"/>
        <v>12A1Quách Tống MinhNhật01/12/2004</v>
      </c>
      <c r="D26" s="772" t="str">
        <f>IF($B26&lt;&gt;"",PROPER(INDEX(DiemHKII!$B$4:$K$58,MATCH($B26,DiemHKII!$B$4:$B$58,0),4)),"")</f>
        <v>Quách Tống Minh</v>
      </c>
      <c r="E26" s="773" t="str">
        <f>IF($B26&lt;&gt;"",PROPER(INDEX(DiemHKII!$B$4:$K$58,MATCH($B26,DiemHKII!$B$4:$B$58,0),5)),"")</f>
        <v>Nhật</v>
      </c>
      <c r="F26" s="774" t="str">
        <f>IF($B26&lt;&gt;"",PROPER(INDEX(DiemHKII!$B$4:$K$58,MATCH($B26,DiemHKII!$B$4:$B$58,0),6)),"")</f>
        <v>01/12/2004</v>
      </c>
      <c r="G26" s="775">
        <f>IF($B26="","",IF(INDEX(BDHK2,MATCH($C26,DiemHKII!$C$4:$C$58,0),G$59)&lt;&gt;"",INDEX(BDHK2,MATCH($C26,DiemHKII!$C$4:$C$58,0),G$59),""))</f>
        <v>9.3000000000000007</v>
      </c>
      <c r="H26" s="792">
        <f t="shared" si="1"/>
        <v>1</v>
      </c>
      <c r="I26" s="776" t="str">
        <f>IF($B26="","",INDEX(NXetHKI!$B$3:$CL$57,MATCH(NXchung!$C26,NXetHKI!$C$3:$C$57,0),NXchung!I$59))</f>
        <v>Em ngoan, tích cực, năng động, rất đáng khen.</v>
      </c>
      <c r="J26" s="775" t="str">
        <f>IF($B26="","",IF(INDEX(BDHK2,MATCH($C26,DiemHKII!$C$4:$C$58,0),J$59)&lt;&gt;"",INDEX(BDHK2,MATCH($C26,DiemHKII!$C$4:$C$58,0),J$59),""))</f>
        <v/>
      </c>
      <c r="K26" s="792" t="str">
        <f t="shared" si="2"/>
        <v/>
      </c>
      <c r="L26" s="776" t="str">
        <f t="shared" si="3"/>
        <v/>
      </c>
      <c r="M26" s="775" t="str">
        <f>IF($B26="","",IF(INDEX(BDHK2,MATCH($C26,DiemHKII!$C$4:$C$58,0),M$59)&lt;&gt;"",INDEX(BDHK2,MATCH($C26,DiemHKII!$C$4:$C$58,0),M$59),""))</f>
        <v/>
      </c>
      <c r="N26" s="792" t="str">
        <f t="shared" si="4"/>
        <v/>
      </c>
      <c r="O26" s="776" t="str">
        <f t="shared" si="5"/>
        <v/>
      </c>
      <c r="P26" s="774"/>
      <c r="Q26" s="775">
        <f>IF($B26="","",IF(INDEX(BDHK2,MATCH($C26,DiemHKII!$C$4:$C$58,0),Q$59)&lt;&gt;"",INDEX(BDHK2,MATCH($C26,DiemHKII!$C$4:$C$58,0),Q$59),""))</f>
        <v>9.1999999999999993</v>
      </c>
      <c r="R26" s="792">
        <f t="shared" si="6"/>
        <v>1</v>
      </c>
      <c r="S26" s="776" t="str">
        <f>IF($B26="","",INDEX(NXetHKI!$B$3:$CL$57,MATCH(NXchung!$C26,NXetHKI!$C$3:$C$57,0),NXchung!S$59))</f>
        <v>Em ngoan, tích cực, năng động, rất đáng khen.</v>
      </c>
      <c r="T26" s="775" t="str">
        <f>IF($B26="","",IF(INDEX(BDHK2,MATCH($C26,DiemHKII!$C$4:$C$58,0),T$59)&lt;&gt;"",INDEX(BDHK2,MATCH($C26,DiemHKII!$C$4:$C$58,0),T$59),""))</f>
        <v/>
      </c>
      <c r="U26" s="792" t="str">
        <f t="shared" si="7"/>
        <v/>
      </c>
      <c r="V26" s="776" t="str">
        <f t="shared" si="8"/>
        <v/>
      </c>
      <c r="W26" s="775" t="str">
        <f>IF($B26="","",IF(INDEX(BDHK2,MATCH($C26,DiemHKII!$C$4:$C$58,0),W$59)&lt;&gt;"",INDEX(BDHK2,MATCH($C26,DiemHKII!$C$4:$C$58,0),W$59),""))</f>
        <v/>
      </c>
      <c r="X26" s="792" t="str">
        <f t="shared" si="9"/>
        <v/>
      </c>
      <c r="Y26" s="776" t="str">
        <f t="shared" si="10"/>
        <v/>
      </c>
      <c r="Z26" s="774"/>
      <c r="AA26" s="775">
        <f>IF($B26="","",IF(INDEX(BDHK2,MATCH($C26,DiemHKII!$C$4:$C$58,0),AA$59)&lt;&gt;"",INDEX(BDHK2,MATCH($C26,DiemHKII!$C$4:$C$58,0),AA$59),""))</f>
        <v>8.9</v>
      </c>
      <c r="AB26" s="792">
        <f t="shared" si="11"/>
        <v>2</v>
      </c>
      <c r="AC26" s="776" t="str">
        <f>IF($B26="","",INDEX(NXetHKI!$B$3:$CL$57,MATCH(NXchung!$C26,NXetHKI!$C$3:$C$57,0),NXchung!AC$59))</f>
        <v>Kiến thức vững, chăm ngoan.</v>
      </c>
      <c r="AD26" s="775" t="str">
        <f>IF($B26="","",IF(INDEX(BDHK2,MATCH($C26,DiemHKII!$C$4:$C$58,0),AD$59)&lt;&gt;"",INDEX(BDHK2,MATCH($C26,DiemHKII!$C$4:$C$58,0),AD$59),""))</f>
        <v/>
      </c>
      <c r="AE26" s="792" t="str">
        <f t="shared" si="12"/>
        <v/>
      </c>
      <c r="AF26" s="776" t="str">
        <f t="shared" si="13"/>
        <v/>
      </c>
      <c r="AG26" s="775" t="str">
        <f>IF($B26="","",IF(INDEX(BDHK2,MATCH($C26,DiemHKII!$C$4:$C$58,0),AG$59)&lt;&gt;"",INDEX(BDHK2,MATCH($C26,DiemHKII!$C$4:$C$58,0),AG$59),""))</f>
        <v/>
      </c>
      <c r="AH26" s="792" t="str">
        <f t="shared" si="14"/>
        <v/>
      </c>
      <c r="AI26" s="776" t="str">
        <f t="shared" si="15"/>
        <v/>
      </c>
      <c r="AJ26" s="774"/>
      <c r="AK26" s="775">
        <f>IF($B26="","",IF(INDEX(BDHK2,MATCH($C26,DiemHKII!$C$4:$C$58,0),AK$59)&lt;&gt;"",INDEX(BDHK2,MATCH($C26,DiemHKII!$C$4:$C$58,0),AK$59),""))</f>
        <v>8.4</v>
      </c>
      <c r="AL26" s="792">
        <f t="shared" si="16"/>
        <v>3</v>
      </c>
      <c r="AM26" s="776" t="str">
        <f>IF($B26="","",INDEX(NXetHKI!$B$3:$CL$57,MATCH(NXchung!$C26,NXetHKI!$C$3:$C$57,0),NXchung!AM$59))</f>
        <v>Tinh thần học tập tốt, năng động, sáng tạo.</v>
      </c>
      <c r="AN26" s="775" t="str">
        <f>IF($B26="","",IF(INDEX(BDHK2,MATCH($C26,DiemHKII!$C$4:$C$58,0),AN$59)&lt;&gt;"",INDEX(BDHK2,MATCH($C26,DiemHKII!$C$4:$C$58,0),AN$59),""))</f>
        <v/>
      </c>
      <c r="AO26" s="792" t="str">
        <f t="shared" si="17"/>
        <v/>
      </c>
      <c r="AP26" s="776" t="str">
        <f t="shared" si="18"/>
        <v/>
      </c>
      <c r="AQ26" s="775" t="str">
        <f>IF($B26="","",IF(INDEX(BDHK2,MATCH($C26,DiemHKII!$C$4:$C$58,0),AQ$59)&lt;&gt;"",INDEX(BDHK2,MATCH($C26,DiemHKII!$C$4:$C$58,0),AQ$59),""))</f>
        <v/>
      </c>
      <c r="AR26" s="792" t="str">
        <f t="shared" si="19"/>
        <v/>
      </c>
      <c r="AS26" s="776" t="str">
        <f t="shared" si="20"/>
        <v/>
      </c>
      <c r="AT26" s="774"/>
      <c r="AU26" s="775">
        <f>IF($B26="","",IF(INDEX(BDHK2,MATCH($C26,DiemHKII!$C$4:$C$58,0),AU$59)&lt;&gt;"",INDEX(BDHK2,MATCH($C26,DiemHKII!$C$4:$C$58,0),AU$59),""))</f>
        <v>9.8000000000000007</v>
      </c>
      <c r="AV26" s="792">
        <f t="shared" si="21"/>
        <v>1</v>
      </c>
      <c r="AW26" s="776" t="str">
        <f>IF($B26="","",INDEX(NXetHKI!$B$3:$CL$57,MATCH(NXchung!$C26,NXetHKI!$C$3:$C$57,0),NXchung!AW$59))</f>
        <v>Học giỏi, năng động và sáng tạo trong học tập.</v>
      </c>
      <c r="AX26" s="775" t="str">
        <f>IF($B26="","",IF(INDEX(BDHK2,MATCH($C26,DiemHKII!$C$4:$C$58,0),AX$59)&lt;&gt;"",INDEX(BDHK2,MATCH($C26,DiemHKII!$C$4:$C$58,0),AX$59),""))</f>
        <v/>
      </c>
      <c r="AY26" s="792" t="str">
        <f t="shared" si="22"/>
        <v/>
      </c>
      <c r="AZ26" s="776" t="str">
        <f t="shared" si="23"/>
        <v/>
      </c>
      <c r="BA26" s="775" t="str">
        <f>IF($B26="","",IF(INDEX(BDHK2,MATCH($C26,DiemHKII!$C$4:$C$58,0),BA$59)&lt;&gt;"",INDEX(BDHK2,MATCH($C26,DiemHKII!$C$4:$C$58,0),BA$59),""))</f>
        <v/>
      </c>
      <c r="BB26" s="792" t="str">
        <f t="shared" si="24"/>
        <v/>
      </c>
      <c r="BC26" s="776" t="str">
        <f t="shared" si="25"/>
        <v/>
      </c>
      <c r="BD26" s="774"/>
      <c r="BE26" s="775">
        <f>IF($B26="","",IF(INDEX(BDHK2,MATCH($C26,DiemHKII!$C$4:$C$58,0),BE$59)&lt;&gt;"",INDEX(BDHK2,MATCH($C26,DiemHKII!$C$4:$C$58,0),BE$59),""))</f>
        <v>6.9</v>
      </c>
      <c r="BF26" s="792">
        <f t="shared" si="26"/>
        <v>6</v>
      </c>
      <c r="BG26" s="776" t="str">
        <f>IF($B26="","",INDEX(NXetHKI!$B$3:$CL$57,MATCH(NXchung!$C26,NXetHKI!$C$3:$C$57,0),NXchung!BG$59))</f>
        <v>Cần chủ động hơn trong học tập, rèn thêm.</v>
      </c>
      <c r="BH26" s="775" t="str">
        <f>IF($B26="","",IF(INDEX(BDHK2,MATCH($C26,DiemHKII!$C$4:$C$58,0),BH$59)&lt;&gt;"",INDEX(BDHK2,MATCH($C26,DiemHKII!$C$4:$C$58,0),BH$59),""))</f>
        <v/>
      </c>
      <c r="BI26" s="792" t="str">
        <f t="shared" si="27"/>
        <v/>
      </c>
      <c r="BJ26" s="776" t="str">
        <f t="shared" si="28"/>
        <v/>
      </c>
      <c r="BK26" s="775" t="str">
        <f>IF($B26="","",IF(INDEX(BDHK2,MATCH($C26,DiemHKII!$C$4:$C$58,0),BK$59)&lt;&gt;"",INDEX(BDHK2,MATCH($C26,DiemHKII!$C$4:$C$58,0),BK$59),""))</f>
        <v/>
      </c>
      <c r="BL26" s="792" t="str">
        <f t="shared" si="29"/>
        <v/>
      </c>
      <c r="BM26" s="776" t="str">
        <f t="shared" si="30"/>
        <v/>
      </c>
      <c r="BN26" s="774"/>
      <c r="BO26" s="775">
        <f>IF($B26="","",IF(INDEX(BDHK2,MATCH($C26,DiemHKII!$C$4:$C$58,0),BO$59)&lt;&gt;"",INDEX(BDHK2,MATCH($C26,DiemHKII!$C$4:$C$58,0),BO$59),""))</f>
        <v>9.8000000000000007</v>
      </c>
      <c r="BP26" s="792">
        <f t="shared" si="31"/>
        <v>1</v>
      </c>
      <c r="BQ26" s="776" t="str">
        <f>IF($B26="","",INDEX(NXetHKI!$B$3:$CL$57,MATCH(NXchung!$C26,NXetHKI!$C$3:$C$57,0),NXchung!BQ$59))</f>
        <v>Chăm học, tích cực phát biểu xây dựng bài.</v>
      </c>
      <c r="BR26" s="775" t="str">
        <f>IF($B26="","",IF(INDEX(BDHK2,MATCH($C26,DiemHKII!$C$4:$C$58,0),BR$59)&lt;&gt;"",INDEX(BDHK2,MATCH($C26,DiemHKII!$C$4:$C$58,0),BR$59),""))</f>
        <v/>
      </c>
      <c r="BS26" s="792" t="str">
        <f t="shared" si="32"/>
        <v/>
      </c>
      <c r="BT26" s="776" t="str">
        <f t="shared" si="33"/>
        <v/>
      </c>
      <c r="BU26" s="775" t="str">
        <f>IF($B26="","",IF(INDEX(BDHK2,MATCH($C26,DiemHKII!$C$4:$C$58,0),BU$59)&lt;&gt;"",INDEX(BDHK2,MATCH($C26,DiemHKII!$C$4:$C$58,0),BU$59),""))</f>
        <v/>
      </c>
      <c r="BV26" s="792" t="str">
        <f t="shared" si="34"/>
        <v/>
      </c>
      <c r="BW26" s="776" t="str">
        <f t="shared" si="35"/>
        <v/>
      </c>
      <c r="BX26" s="774"/>
      <c r="BY26" s="775">
        <f>IF($B26="","",IF(INDEX(BDHK2,MATCH($C26,DiemHKII!$C$4:$C$58,0),BY$59)&lt;&gt;"",INDEX(BDHK2,MATCH($C26,DiemHKII!$C$4:$C$58,0),BY$59),""))</f>
        <v>9.6</v>
      </c>
      <c r="BZ26" s="792">
        <f t="shared" si="36"/>
        <v>1</v>
      </c>
      <c r="CA26" s="776" t="str">
        <f>IF($B26="","",INDEX(NXetHKI!$B$3:$CL$57,MATCH(NXchung!$C26,NXetHKI!$C$3:$C$57,0),NXchung!CA$59))</f>
        <v>Em có tư duy tốt, tích cực, vận dụng thực tế tốt.</v>
      </c>
      <c r="CB26" s="775" t="str">
        <f>IF($B26="","",IF(INDEX(BDHK2,MATCH($C26,DiemHKII!$C$4:$C$58,0),CB$59)&lt;&gt;"",INDEX(BDHK2,MATCH($C26,DiemHKII!$C$4:$C$58,0),CB$59),""))</f>
        <v/>
      </c>
      <c r="CC26" s="792" t="str">
        <f t="shared" si="37"/>
        <v/>
      </c>
      <c r="CD26" s="776" t="str">
        <f t="shared" si="38"/>
        <v/>
      </c>
      <c r="CE26" s="775" t="str">
        <f>IF($B26="","",IF(INDEX(BDHK2,MATCH($C26,DiemHKII!$C$4:$C$58,0),CE$59)&lt;&gt;"",INDEX(BDHK2,MATCH($C26,DiemHKII!$C$4:$C$58,0),CE$59),""))</f>
        <v/>
      </c>
      <c r="CF26" s="792" t="str">
        <f t="shared" si="39"/>
        <v/>
      </c>
      <c r="CG26" s="776" t="str">
        <f t="shared" si="40"/>
        <v/>
      </c>
      <c r="CH26" s="774"/>
      <c r="CI26" s="775">
        <f>IF($B26="","",IF(INDEX(BDHK2,MATCH($C26,DiemHKII!$C$4:$C$58,0),CI$59)&lt;&gt;"",INDEX(BDHK2,MATCH($C26,DiemHKII!$C$4:$C$58,0),CI$59),""))</f>
        <v>9.4</v>
      </c>
      <c r="CJ26" s="792">
        <f t="shared" si="41"/>
        <v>1</v>
      </c>
      <c r="CK26" s="776" t="str">
        <f>IF($B26="","",INDEX(NXetHKI!$B$3:$CL$57,MATCH(NXchung!$C26,NXetHKI!$C$3:$C$57,0),NXchung!CK$59))</f>
        <v>Tích cực phát biểu trong giờ học, tương tác tốt với giáo viên và bạn bè.</v>
      </c>
      <c r="CL26" s="775" t="str">
        <f>IF($B26="","",IF(INDEX(BDHK2,MATCH($C26,DiemHKII!$C$4:$C$58,0),CL$59)&lt;&gt;"",INDEX(BDHK2,MATCH($C26,DiemHKII!$C$4:$C$58,0),CL$59),""))</f>
        <v/>
      </c>
      <c r="CM26" s="792" t="str">
        <f t="shared" si="42"/>
        <v/>
      </c>
      <c r="CN26" s="776" t="str">
        <f t="shared" si="43"/>
        <v/>
      </c>
      <c r="CO26" s="775" t="str">
        <f>IF($B26="","",IF(INDEX(BDHK2,MATCH($C26,DiemHKII!$C$4:$C$58,0),CO$59)&lt;&gt;"",INDEX(BDHK2,MATCH($C26,DiemHKII!$C$4:$C$58,0),CO$59),""))</f>
        <v/>
      </c>
      <c r="CP26" s="792" t="str">
        <f t="shared" si="44"/>
        <v/>
      </c>
      <c r="CQ26" s="776" t="str">
        <f t="shared" si="45"/>
        <v/>
      </c>
      <c r="CR26" s="774"/>
      <c r="CS26" s="775">
        <f>IF($B26="","",IF(INDEX(BDHK2,MATCH($C26,DiemHKII!$C$4:$C$58,0),CS$59)&lt;&gt;"",INDEX(BDHK2,MATCH($C26,DiemHKII!$C$4:$C$58,0),CS$59),""))</f>
        <v>9.4</v>
      </c>
      <c r="CT26" s="792">
        <f t="shared" si="46"/>
        <v>1</v>
      </c>
      <c r="CU26" s="776" t="str">
        <f>IF($B26="","",INDEX(NXetHKI!$B$3:$CL$57,MATCH(NXchung!$C26,NXetHKI!$C$3:$C$57,0),NXchung!CU$59))</f>
        <v>Hứng thú, tích cực, học giỏi.</v>
      </c>
      <c r="CV26" s="775" t="str">
        <f>IF($B26="","",IF(INDEX(BDHK2,MATCH($C26,DiemHKII!$C$4:$C$58,0),CV$59)&lt;&gt;"",INDEX(BDHK2,MATCH($C26,DiemHKII!$C$4:$C$58,0),CV$59),""))</f>
        <v/>
      </c>
      <c r="CW26" s="792" t="str">
        <f t="shared" si="47"/>
        <v/>
      </c>
      <c r="CX26" s="776" t="str">
        <f t="shared" si="48"/>
        <v/>
      </c>
      <c r="CY26" s="775" t="str">
        <f>IF($B26="","",IF(INDEX(BDHK2,MATCH($C26,DiemHKII!$C$4:$C$58,0),CY$59)&lt;&gt;"",INDEX(BDHK2,MATCH($C26,DiemHKII!$C$4:$C$58,0),CY$59),""))</f>
        <v/>
      </c>
      <c r="CZ26" s="792" t="str">
        <f t="shared" si="49"/>
        <v/>
      </c>
      <c r="DA26" s="776" t="str">
        <f t="shared" si="50"/>
        <v/>
      </c>
      <c r="DB26" s="774"/>
      <c r="DC26" s="775">
        <f>IF($B26="","",IF(INDEX(BDHK2,MATCH($C26,DiemHKII!$C$4:$C$58,0),DC$59)&lt;&gt;"",INDEX(BDHK2,MATCH($C26,DiemHKII!$C$4:$C$58,0),DC$59),""))</f>
        <v>9.8000000000000007</v>
      </c>
      <c r="DD26" s="792">
        <f t="shared" si="51"/>
        <v>1</v>
      </c>
      <c r="DE26" s="776" t="str">
        <f>IF($B26="","",INDEX(NXetHKI!$B$3:$CL$57,MATCH(NXchung!$C26,NXetHKI!$C$3:$C$57,0),NXchung!DE$59))</f>
        <v>Học giỏi, tiếp thu nhanh, chăm ngoan.</v>
      </c>
      <c r="DF26" s="775" t="str">
        <f>IF($B26="","",IF(INDEX(BDHK2,MATCH($C26,DiemHKII!$C$4:$C$58,0),DF$59)&lt;&gt;"",INDEX(BDHK2,MATCH($C26,DiemHKII!$C$4:$C$58,0),DF$59),""))</f>
        <v/>
      </c>
      <c r="DG26" s="792" t="str">
        <f t="shared" si="52"/>
        <v/>
      </c>
      <c r="DH26" s="776" t="str">
        <f t="shared" si="53"/>
        <v/>
      </c>
      <c r="DI26" s="775" t="str">
        <f>IF($B26="","",IF(INDEX(BDHK2,MATCH($C26,DiemHKII!$C$4:$C$58,0),DI$59)&lt;&gt;"",INDEX(BDHK2,MATCH($C26,DiemHKII!$C$4:$C$58,0),DI$59),""))</f>
        <v/>
      </c>
      <c r="DJ26" s="792" t="str">
        <f t="shared" si="54"/>
        <v/>
      </c>
      <c r="DK26" s="776" t="str">
        <f t="shared" si="55"/>
        <v/>
      </c>
      <c r="DL26" s="774"/>
      <c r="DM26" s="775" t="str">
        <f>IF($B26="","",IF(INDEX(BDHK2,MATCH($C26,DiemHKII!$C$4:$C$58,0),DM$59)&lt;&gt;"",INDEX(BDHK2,MATCH($C26,DiemHKII!$C$4:$C$58,0),DM$59),""))</f>
        <v>Đ</v>
      </c>
      <c r="DN26" s="792">
        <f t="shared" si="56"/>
        <v>1</v>
      </c>
      <c r="DO26" s="776" t="str">
        <f>IF($B26="","",INDEX(NXetHKI!$B$3:$CL$57,MATCH(NXchung!$C26,NXetHKI!$C$3:$C$57,0),NXchung!DO$59))</f>
        <v>Rất ngoan, học có hiệu quả tốt.</v>
      </c>
      <c r="DP26" s="775" t="str">
        <f>IF($B26="","",IF(INDEX(BDHK2,MATCH($C26,DiemHKII!$C$4:$C$58,0),DP$59)&lt;&gt;"",INDEX(BDHK2,MATCH($C26,DiemHKII!$C$4:$C$58,0),DP$59),""))</f>
        <v/>
      </c>
      <c r="DQ26" s="792" t="str">
        <f t="shared" si="57"/>
        <v/>
      </c>
      <c r="DR26" s="776" t="str">
        <f t="shared" si="58"/>
        <v/>
      </c>
      <c r="DS26" s="775" t="str">
        <f>IF($B26="","",IF(INDEX(BDHK2,MATCH($C26,DiemHKII!$C$4:$C$58,0),DS$59)&lt;&gt;"",INDEX(BDHK2,MATCH($C26,DiemHKII!$C$4:$C$58,0),DS$59),""))</f>
        <v>Đ</v>
      </c>
      <c r="DT26" s="792">
        <f t="shared" si="59"/>
        <v>1</v>
      </c>
      <c r="DU26" s="776" t="str">
        <f t="shared" si="60"/>
        <v>Giỏi, có nhiều tiến bộ trong học tập.</v>
      </c>
      <c r="DV26" s="774"/>
      <c r="DW26" s="775">
        <f>IF($B26="","",IF(INDEX(BDHK2,MATCH($C26,DiemHKII!$C$4:$C$58,0),DW$59)&lt;&gt;"",INDEX(BDHK2,MATCH($C26,DiemHKII!$C$4:$C$58,0),DW$59),""))</f>
        <v>9.9</v>
      </c>
      <c r="DX26" s="792">
        <f t="shared" si="61"/>
        <v>1</v>
      </c>
      <c r="DY26" s="776" t="str">
        <f>IF($B26="","",INDEX(NXetHKI!$B$3:$CL$57,MATCH(NXchung!$C26,NXetHKI!$C$3:$C$57,0),NXchung!DY$59))</f>
        <v>Ngoan, tích cực xây dựng bài, nắm chắc thực hành, học giỏi.</v>
      </c>
      <c r="DZ26" s="775" t="str">
        <f>IF($B26="","",IF(INDEX(BDHK2,MATCH($C26,DiemHKII!$C$4:$C$58,0),DZ$59)&lt;&gt;"",INDEX(BDHK2,MATCH($C26,DiemHKII!$C$4:$C$58,0),DZ$59),""))</f>
        <v/>
      </c>
      <c r="EA26" s="792" t="str">
        <f t="shared" si="62"/>
        <v/>
      </c>
      <c r="EB26" s="776" t="str">
        <f t="shared" si="63"/>
        <v/>
      </c>
      <c r="EC26" s="775" t="str">
        <f>IF($B26="","",IF(INDEX(BDHK2,MATCH($C26,DiemHKII!$C$4:$C$58,0),EC$59)&lt;&gt;"",INDEX(BDHK2,MATCH($C26,DiemHKII!$C$4:$C$58,0),EC$59),""))</f>
        <v/>
      </c>
      <c r="ED26" s="792" t="str">
        <f t="shared" si="64"/>
        <v/>
      </c>
      <c r="EE26" s="776" t="str">
        <f t="shared" si="65"/>
        <v/>
      </c>
      <c r="EF26" s="774"/>
      <c r="EG26" s="775" t="str">
        <f>IF($B26="","",IF(INDEX(BDHK2,MATCH($C26,DiemHKII!$C$4:$C$58,0),EG$59)&lt;&gt;"",INDEX(BDHK2,MATCH($C26,DiemHKII!$C$4:$C$58,0),EG$59),""))</f>
        <v/>
      </c>
      <c r="EH26" s="792" t="str">
        <f t="shared" si="66"/>
        <v/>
      </c>
      <c r="EI26" s="776" t="str">
        <f>IF($B26="","",INDEX(NXetHKI!$B$3:$CL$57,MATCH(NXchung!$C26,NXetHKI!$C$3:$C$57,0),NXchung!EI$59))</f>
        <v/>
      </c>
      <c r="EJ26" s="775" t="str">
        <f>IF($B26="","",IF(INDEX(BDHK2,MATCH($C26,DiemHKII!$C$4:$C$58,0),EJ$59)&lt;&gt;"",INDEX(BDHK2,MATCH($C26,DiemHKII!$C$4:$C$58,0),EJ$59),""))</f>
        <v/>
      </c>
      <c r="EK26" s="792" t="str">
        <f t="shared" si="67"/>
        <v/>
      </c>
      <c r="EL26" s="776" t="str">
        <f t="shared" si="68"/>
        <v/>
      </c>
      <c r="EM26" s="775" t="str">
        <f>IF($B26="","",IF(INDEX(BDHK2,MATCH($C26,DiemHKII!$C$4:$C$58,0),EM$59)&lt;&gt;"",INDEX(BDHK2,MATCH($C26,DiemHKII!$C$4:$C$58,0),EM$59),""))</f>
        <v/>
      </c>
      <c r="EN26" s="792" t="str">
        <f t="shared" si="69"/>
        <v/>
      </c>
      <c r="EO26" s="776" t="str">
        <f t="shared" si="70"/>
        <v/>
      </c>
      <c r="EP26" s="774"/>
      <c r="ER26" s="816">
        <v>3</v>
      </c>
      <c r="ES26" s="816">
        <v>6</v>
      </c>
    </row>
    <row r="27" spans="1:149" ht="15" customHeight="1">
      <c r="A27" s="764"/>
      <c r="B27" s="777">
        <f>IF(B26&lt;MAX(DiemHKII!$B$4:$B$58),B26+1,"")</f>
        <v>25</v>
      </c>
      <c r="C27" s="777" t="str">
        <f t="shared" si="0"/>
        <v>12A1Nguyễn ThụcNhi04/10/2004</v>
      </c>
      <c r="D27" s="778" t="str">
        <f>IF($B27&lt;&gt;"",PROPER(INDEX(DiemHKII!$B$4:$K$58,MATCH($B27,DiemHKII!$B$4:$B$58,0),4)),"")</f>
        <v>Nguyễn Thục</v>
      </c>
      <c r="E27" s="779" t="str">
        <f>IF($B27&lt;&gt;"",PROPER(INDEX(DiemHKII!$B$4:$K$58,MATCH($B27,DiemHKII!$B$4:$B$58,0),5)),"")</f>
        <v>Nhi</v>
      </c>
      <c r="F27" s="780" t="str">
        <f>IF($B27&lt;&gt;"",PROPER(INDEX(DiemHKII!$B$4:$K$58,MATCH($B27,DiemHKII!$B$4:$B$58,0),6)),"")</f>
        <v>04/10/2004</v>
      </c>
      <c r="G27" s="781">
        <f>IF($B27="","",IF(INDEX(BDHK2,MATCH($C27,DiemHKII!$C$4:$C$58,0),G$59)&lt;&gt;"",INDEX(BDHK2,MATCH($C27,DiemHKII!$C$4:$C$58,0),G$59),""))</f>
        <v>9.8000000000000007</v>
      </c>
      <c r="H27" s="793">
        <f t="shared" si="1"/>
        <v>1</v>
      </c>
      <c r="I27" s="782" t="str">
        <f>IF($B27="","",INDEX(NXetHKI!$B$3:$CL$57,MATCH(NXchung!$C27,NXetHKI!$C$3:$C$57,0),NXchung!I$59))</f>
        <v>Em chăm chỉ, chuyên cần, rất tích cực, rất đáng khen.</v>
      </c>
      <c r="J27" s="781" t="str">
        <f>IF($B27="","",IF(INDEX(BDHK2,MATCH($C27,DiemHKII!$C$4:$C$58,0),J$59)&lt;&gt;"",INDEX(BDHK2,MATCH($C27,DiemHKII!$C$4:$C$58,0),J$59),""))</f>
        <v/>
      </c>
      <c r="K27" s="793" t="str">
        <f t="shared" si="2"/>
        <v/>
      </c>
      <c r="L27" s="782" t="str">
        <f t="shared" si="3"/>
        <v/>
      </c>
      <c r="M27" s="781" t="str">
        <f>IF($B27="","",IF(INDEX(BDHK2,MATCH($C27,DiemHKII!$C$4:$C$58,0),M$59)&lt;&gt;"",INDEX(BDHK2,MATCH($C27,DiemHKII!$C$4:$C$58,0),M$59),""))</f>
        <v/>
      </c>
      <c r="N27" s="793" t="str">
        <f t="shared" si="4"/>
        <v/>
      </c>
      <c r="O27" s="782" t="str">
        <f t="shared" si="5"/>
        <v/>
      </c>
      <c r="P27" s="780"/>
      <c r="Q27" s="781">
        <f>IF($B27="","",IF(INDEX(BDHK2,MATCH($C27,DiemHKII!$C$4:$C$58,0),Q$59)&lt;&gt;"",INDEX(BDHK2,MATCH($C27,DiemHKII!$C$4:$C$58,0),Q$59),""))</f>
        <v>9.6999999999999993</v>
      </c>
      <c r="R27" s="793">
        <f t="shared" si="6"/>
        <v>1</v>
      </c>
      <c r="S27" s="782" t="str">
        <f>IF($B27="","",INDEX(NXetHKI!$B$3:$CL$57,MATCH(NXchung!$C27,NXetHKI!$C$3:$C$57,0),NXchung!S$59))</f>
        <v>Em chăm chỉ, chuyên cần, rất tích cực, rất đáng khen.</v>
      </c>
      <c r="T27" s="781" t="str">
        <f>IF($B27="","",IF(INDEX(BDHK2,MATCH($C27,DiemHKII!$C$4:$C$58,0),T$59)&lt;&gt;"",INDEX(BDHK2,MATCH($C27,DiemHKII!$C$4:$C$58,0),T$59),""))</f>
        <v/>
      </c>
      <c r="U27" s="793" t="str">
        <f t="shared" si="7"/>
        <v/>
      </c>
      <c r="V27" s="782" t="str">
        <f t="shared" si="8"/>
        <v/>
      </c>
      <c r="W27" s="781" t="str">
        <f>IF($B27="","",IF(INDEX(BDHK2,MATCH($C27,DiemHKII!$C$4:$C$58,0),W$59)&lt;&gt;"",INDEX(BDHK2,MATCH($C27,DiemHKII!$C$4:$C$58,0),W$59),""))</f>
        <v/>
      </c>
      <c r="X27" s="793" t="str">
        <f t="shared" si="9"/>
        <v/>
      </c>
      <c r="Y27" s="782" t="str">
        <f t="shared" si="10"/>
        <v/>
      </c>
      <c r="Z27" s="780"/>
      <c r="AA27" s="781">
        <f>IF($B27="","",IF(INDEX(BDHK2,MATCH($C27,DiemHKII!$C$4:$C$58,0),AA$59)&lt;&gt;"",INDEX(BDHK2,MATCH($C27,DiemHKII!$C$4:$C$58,0),AA$59),""))</f>
        <v>9.8000000000000007</v>
      </c>
      <c r="AB27" s="793">
        <f t="shared" si="11"/>
        <v>1</v>
      </c>
      <c r="AC27" s="782" t="str">
        <f>IF($B27="","",INDEX(NXetHKI!$B$3:$CL$57,MATCH(NXchung!$C27,NXetHKI!$C$3:$C$57,0),NXchung!AC$59))</f>
        <v>Học giỏi, thông minh, cần phát huy.</v>
      </c>
      <c r="AD27" s="781" t="str">
        <f>IF($B27="","",IF(INDEX(BDHK2,MATCH($C27,DiemHKII!$C$4:$C$58,0),AD$59)&lt;&gt;"",INDEX(BDHK2,MATCH($C27,DiemHKII!$C$4:$C$58,0),AD$59),""))</f>
        <v/>
      </c>
      <c r="AE27" s="793" t="str">
        <f t="shared" si="12"/>
        <v/>
      </c>
      <c r="AF27" s="782" t="str">
        <f t="shared" si="13"/>
        <v/>
      </c>
      <c r="AG27" s="781" t="str">
        <f>IF($B27="","",IF(INDEX(BDHK2,MATCH($C27,DiemHKII!$C$4:$C$58,0),AG$59)&lt;&gt;"",INDEX(BDHK2,MATCH($C27,DiemHKII!$C$4:$C$58,0),AG$59),""))</f>
        <v/>
      </c>
      <c r="AH27" s="793" t="str">
        <f t="shared" si="14"/>
        <v/>
      </c>
      <c r="AI27" s="782" t="str">
        <f t="shared" si="15"/>
        <v/>
      </c>
      <c r="AJ27" s="780"/>
      <c r="AK27" s="781">
        <f>IF($B27="","",IF(INDEX(BDHK2,MATCH($C27,DiemHKII!$C$4:$C$58,0),AK$59)&lt;&gt;"",INDEX(BDHK2,MATCH($C27,DiemHKII!$C$4:$C$58,0),AK$59),""))</f>
        <v>8.9</v>
      </c>
      <c r="AL27" s="793">
        <f t="shared" si="16"/>
        <v>2</v>
      </c>
      <c r="AM27" s="782" t="str">
        <f>IF($B27="","",INDEX(NXetHKI!$B$3:$CL$57,MATCH(NXchung!$C27,NXetHKI!$C$3:$C$57,0),NXchung!AM$59))</f>
        <v>Chăm chỉ, năng động và có hiệu quả, có năng khiếu về bộ môn Sinh học.</v>
      </c>
      <c r="AN27" s="781" t="str">
        <f>IF($B27="","",IF(INDEX(BDHK2,MATCH($C27,DiemHKII!$C$4:$C$58,0),AN$59)&lt;&gt;"",INDEX(BDHK2,MATCH($C27,DiemHKII!$C$4:$C$58,0),AN$59),""))</f>
        <v/>
      </c>
      <c r="AO27" s="793" t="str">
        <f t="shared" si="17"/>
        <v/>
      </c>
      <c r="AP27" s="782" t="str">
        <f t="shared" si="18"/>
        <v/>
      </c>
      <c r="AQ27" s="781" t="str">
        <f>IF($B27="","",IF(INDEX(BDHK2,MATCH($C27,DiemHKII!$C$4:$C$58,0),AQ$59)&lt;&gt;"",INDEX(BDHK2,MATCH($C27,DiemHKII!$C$4:$C$58,0),AQ$59),""))</f>
        <v/>
      </c>
      <c r="AR27" s="793" t="str">
        <f t="shared" si="19"/>
        <v/>
      </c>
      <c r="AS27" s="782" t="str">
        <f t="shared" si="20"/>
        <v/>
      </c>
      <c r="AT27" s="780"/>
      <c r="AU27" s="781">
        <f>IF($B27="","",IF(INDEX(BDHK2,MATCH($C27,DiemHKII!$C$4:$C$58,0),AU$59)&lt;&gt;"",INDEX(BDHK2,MATCH($C27,DiemHKII!$C$4:$C$58,0),AU$59),""))</f>
        <v>9.8000000000000007</v>
      </c>
      <c r="AV27" s="793">
        <f t="shared" si="21"/>
        <v>1</v>
      </c>
      <c r="AW27" s="782" t="str">
        <f>IF($B27="","",INDEX(NXetHKI!$B$3:$CL$57,MATCH(NXchung!$C27,NXetHKI!$C$3:$C$57,0),NXchung!AW$59))</f>
        <v>Rất ngoan, cố gắng có hiệu quả.</v>
      </c>
      <c r="AX27" s="781" t="str">
        <f>IF($B27="","",IF(INDEX(BDHK2,MATCH($C27,DiemHKII!$C$4:$C$58,0),AX$59)&lt;&gt;"",INDEX(BDHK2,MATCH($C27,DiemHKII!$C$4:$C$58,0),AX$59),""))</f>
        <v/>
      </c>
      <c r="AY27" s="793" t="str">
        <f t="shared" si="22"/>
        <v/>
      </c>
      <c r="AZ27" s="782" t="str">
        <f t="shared" si="23"/>
        <v/>
      </c>
      <c r="BA27" s="781" t="str">
        <f>IF($B27="","",IF(INDEX(BDHK2,MATCH($C27,DiemHKII!$C$4:$C$58,0),BA$59)&lt;&gt;"",INDEX(BDHK2,MATCH($C27,DiemHKII!$C$4:$C$58,0),BA$59),""))</f>
        <v/>
      </c>
      <c r="BB27" s="793" t="str">
        <f t="shared" si="24"/>
        <v/>
      </c>
      <c r="BC27" s="782" t="str">
        <f t="shared" si="25"/>
        <v/>
      </c>
      <c r="BD27" s="780"/>
      <c r="BE27" s="781">
        <f>IF($B27="","",IF(INDEX(BDHK2,MATCH($C27,DiemHKII!$C$4:$C$58,0),BE$59)&lt;&gt;"",INDEX(BDHK2,MATCH($C27,DiemHKII!$C$4:$C$58,0),BE$59),""))</f>
        <v>7.9</v>
      </c>
      <c r="BF27" s="793">
        <f t="shared" si="26"/>
        <v>4</v>
      </c>
      <c r="BG27" s="782" t="str">
        <f>IF($B27="","",INDEX(NXetHKI!$B$3:$CL$57,MATCH(NXchung!$C27,NXetHKI!$C$3:$C$57,0),NXchung!BG$59))</f>
        <v>Có năng khiếu, tự giác, cảm nhận được văn bản.</v>
      </c>
      <c r="BH27" s="781" t="str">
        <f>IF($B27="","",IF(INDEX(BDHK2,MATCH($C27,DiemHKII!$C$4:$C$58,0),BH$59)&lt;&gt;"",INDEX(BDHK2,MATCH($C27,DiemHKII!$C$4:$C$58,0),BH$59),""))</f>
        <v/>
      </c>
      <c r="BI27" s="793" t="str">
        <f t="shared" si="27"/>
        <v/>
      </c>
      <c r="BJ27" s="782" t="str">
        <f t="shared" si="28"/>
        <v/>
      </c>
      <c r="BK27" s="781" t="str">
        <f>IF($B27="","",IF(INDEX(BDHK2,MATCH($C27,DiemHKII!$C$4:$C$58,0),BK$59)&lt;&gt;"",INDEX(BDHK2,MATCH($C27,DiemHKII!$C$4:$C$58,0),BK$59),""))</f>
        <v/>
      </c>
      <c r="BL27" s="793" t="str">
        <f t="shared" si="29"/>
        <v/>
      </c>
      <c r="BM27" s="782" t="str">
        <f t="shared" si="30"/>
        <v/>
      </c>
      <c r="BN27" s="780"/>
      <c r="BO27" s="781">
        <f>IF($B27="","",IF(INDEX(BDHK2,MATCH($C27,DiemHKII!$C$4:$C$58,0),BO$59)&lt;&gt;"",INDEX(BDHK2,MATCH($C27,DiemHKII!$C$4:$C$58,0),BO$59),""))</f>
        <v>9.8000000000000007</v>
      </c>
      <c r="BP27" s="793">
        <f t="shared" si="31"/>
        <v>1</v>
      </c>
      <c r="BQ27" s="782" t="str">
        <f>IF($B27="","",INDEX(NXetHKI!$B$3:$CL$57,MATCH(NXchung!$C27,NXetHKI!$C$3:$C$57,0),NXchung!BQ$59))</f>
        <v>Chăm ngoan, tích cực, chủ động tiếp thu bài học.</v>
      </c>
      <c r="BR27" s="781" t="str">
        <f>IF($B27="","",IF(INDEX(BDHK2,MATCH($C27,DiemHKII!$C$4:$C$58,0),BR$59)&lt;&gt;"",INDEX(BDHK2,MATCH($C27,DiemHKII!$C$4:$C$58,0),BR$59),""))</f>
        <v/>
      </c>
      <c r="BS27" s="793" t="str">
        <f t="shared" si="32"/>
        <v/>
      </c>
      <c r="BT27" s="782" t="str">
        <f t="shared" si="33"/>
        <v/>
      </c>
      <c r="BU27" s="781" t="str">
        <f>IF($B27="","",IF(INDEX(BDHK2,MATCH($C27,DiemHKII!$C$4:$C$58,0),BU$59)&lt;&gt;"",INDEX(BDHK2,MATCH($C27,DiemHKII!$C$4:$C$58,0),BU$59),""))</f>
        <v/>
      </c>
      <c r="BV27" s="793" t="str">
        <f t="shared" si="34"/>
        <v/>
      </c>
      <c r="BW27" s="782" t="str">
        <f t="shared" si="35"/>
        <v/>
      </c>
      <c r="BX27" s="780"/>
      <c r="BY27" s="781">
        <f>IF($B27="","",IF(INDEX(BDHK2,MATCH($C27,DiemHKII!$C$4:$C$58,0),BY$59)&lt;&gt;"",INDEX(BDHK2,MATCH($C27,DiemHKII!$C$4:$C$58,0),BY$59),""))</f>
        <v>9.8000000000000007</v>
      </c>
      <c r="BZ27" s="793">
        <f t="shared" si="36"/>
        <v>1</v>
      </c>
      <c r="CA27" s="782" t="str">
        <f>IF($B27="","",INDEX(NXetHKI!$B$3:$CL$57,MATCH(NXchung!$C27,NXetHKI!$C$3:$C$57,0),NXchung!CA$59))</f>
        <v>Em rất ngoan, cố gắng có hiệu quả.</v>
      </c>
      <c r="CB27" s="781" t="str">
        <f>IF($B27="","",IF(INDEX(BDHK2,MATCH($C27,DiemHKII!$C$4:$C$58,0),CB$59)&lt;&gt;"",INDEX(BDHK2,MATCH($C27,DiemHKII!$C$4:$C$58,0),CB$59),""))</f>
        <v/>
      </c>
      <c r="CC27" s="793" t="str">
        <f t="shared" si="37"/>
        <v/>
      </c>
      <c r="CD27" s="782" t="str">
        <f t="shared" si="38"/>
        <v/>
      </c>
      <c r="CE27" s="781" t="str">
        <f>IF($B27="","",IF(INDEX(BDHK2,MATCH($C27,DiemHKII!$C$4:$C$58,0),CE$59)&lt;&gt;"",INDEX(BDHK2,MATCH($C27,DiemHKII!$C$4:$C$58,0),CE$59),""))</f>
        <v/>
      </c>
      <c r="CF27" s="793" t="str">
        <f t="shared" si="39"/>
        <v/>
      </c>
      <c r="CG27" s="782" t="str">
        <f t="shared" si="40"/>
        <v/>
      </c>
      <c r="CH27" s="780"/>
      <c r="CI27" s="781">
        <f>IF($B27="","",IF(INDEX(BDHK2,MATCH($C27,DiemHKII!$C$4:$C$58,0),CI$59)&lt;&gt;"",INDEX(BDHK2,MATCH($C27,DiemHKII!$C$4:$C$58,0),CI$59),""))</f>
        <v>9.6</v>
      </c>
      <c r="CJ27" s="793">
        <f t="shared" si="41"/>
        <v>1</v>
      </c>
      <c r="CK27" s="782" t="str">
        <f>IF($B27="","",INDEX(NXetHKI!$B$3:$CL$57,MATCH(NXchung!$C27,NXetHKI!$C$3:$C$57,0),NXchung!CK$59))</f>
        <v>Có năng khiếu, tự tin, giao tiếp tốt và có khả năng làm việc nhóm.</v>
      </c>
      <c r="CL27" s="781" t="str">
        <f>IF($B27="","",IF(INDEX(BDHK2,MATCH($C27,DiemHKII!$C$4:$C$58,0),CL$59)&lt;&gt;"",INDEX(BDHK2,MATCH($C27,DiemHKII!$C$4:$C$58,0),CL$59),""))</f>
        <v/>
      </c>
      <c r="CM27" s="793" t="str">
        <f t="shared" si="42"/>
        <v/>
      </c>
      <c r="CN27" s="782" t="str">
        <f t="shared" si="43"/>
        <v/>
      </c>
      <c r="CO27" s="781" t="str">
        <f>IF($B27="","",IF(INDEX(BDHK2,MATCH($C27,DiemHKII!$C$4:$C$58,0),CO$59)&lt;&gt;"",INDEX(BDHK2,MATCH($C27,DiemHKII!$C$4:$C$58,0),CO$59),""))</f>
        <v/>
      </c>
      <c r="CP27" s="793" t="str">
        <f t="shared" si="44"/>
        <v/>
      </c>
      <c r="CQ27" s="782" t="str">
        <f t="shared" si="45"/>
        <v/>
      </c>
      <c r="CR27" s="780"/>
      <c r="CS27" s="781">
        <f>IF($B27="","",IF(INDEX(BDHK2,MATCH($C27,DiemHKII!$C$4:$C$58,0),CS$59)&lt;&gt;"",INDEX(BDHK2,MATCH($C27,DiemHKII!$C$4:$C$58,0),CS$59),""))</f>
        <v>9.1</v>
      </c>
      <c r="CT27" s="793">
        <f t="shared" si="46"/>
        <v>1</v>
      </c>
      <c r="CU27" s="782" t="str">
        <f>IF($B27="","",INDEX(NXetHKI!$B$3:$CL$57,MATCH(NXchung!$C27,NXetHKI!$C$3:$C$57,0),NXchung!CU$59))</f>
        <v>Hứng thú, có trách nhiệm học tập tốt.</v>
      </c>
      <c r="CV27" s="781" t="str">
        <f>IF($B27="","",IF(INDEX(BDHK2,MATCH($C27,DiemHKII!$C$4:$C$58,0),CV$59)&lt;&gt;"",INDEX(BDHK2,MATCH($C27,DiemHKII!$C$4:$C$58,0),CV$59),""))</f>
        <v/>
      </c>
      <c r="CW27" s="793" t="str">
        <f t="shared" si="47"/>
        <v/>
      </c>
      <c r="CX27" s="782" t="str">
        <f t="shared" si="48"/>
        <v/>
      </c>
      <c r="CY27" s="781" t="str">
        <f>IF($B27="","",IF(INDEX(BDHK2,MATCH($C27,DiemHKII!$C$4:$C$58,0),CY$59)&lt;&gt;"",INDEX(BDHK2,MATCH($C27,DiemHKII!$C$4:$C$58,0),CY$59),""))</f>
        <v/>
      </c>
      <c r="CZ27" s="793" t="str">
        <f t="shared" si="49"/>
        <v/>
      </c>
      <c r="DA27" s="782" t="str">
        <f t="shared" si="50"/>
        <v/>
      </c>
      <c r="DB27" s="780"/>
      <c r="DC27" s="781">
        <f>IF($B27="","",IF(INDEX(BDHK2,MATCH($C27,DiemHKII!$C$4:$C$58,0),DC$59)&lt;&gt;"",INDEX(BDHK2,MATCH($C27,DiemHKII!$C$4:$C$58,0),DC$59),""))</f>
        <v>9.5</v>
      </c>
      <c r="DD27" s="793">
        <f t="shared" si="51"/>
        <v>1</v>
      </c>
      <c r="DE27" s="782" t="str">
        <f>IF($B27="","",INDEX(NXetHKI!$B$3:$CL$57,MATCH(NXchung!$C27,NXetHKI!$C$3:$C$57,0),NXchung!DE$59))</f>
        <v>Học giỏi, năng động, chăm ngoan.</v>
      </c>
      <c r="DF27" s="781" t="str">
        <f>IF($B27="","",IF(INDEX(BDHK2,MATCH($C27,DiemHKII!$C$4:$C$58,0),DF$59)&lt;&gt;"",INDEX(BDHK2,MATCH($C27,DiemHKII!$C$4:$C$58,0),DF$59),""))</f>
        <v/>
      </c>
      <c r="DG27" s="793" t="str">
        <f t="shared" si="52"/>
        <v/>
      </c>
      <c r="DH27" s="782" t="str">
        <f t="shared" si="53"/>
        <v/>
      </c>
      <c r="DI27" s="781" t="str">
        <f>IF($B27="","",IF(INDEX(BDHK2,MATCH($C27,DiemHKII!$C$4:$C$58,0),DI$59)&lt;&gt;"",INDEX(BDHK2,MATCH($C27,DiemHKII!$C$4:$C$58,0),DI$59),""))</f>
        <v/>
      </c>
      <c r="DJ27" s="793" t="str">
        <f t="shared" si="54"/>
        <v/>
      </c>
      <c r="DK27" s="782" t="str">
        <f t="shared" si="55"/>
        <v/>
      </c>
      <c r="DL27" s="780"/>
      <c r="DM27" s="781" t="str">
        <f>IF($B27="","",IF(INDEX(BDHK2,MATCH($C27,DiemHKII!$C$4:$C$58,0),DM$59)&lt;&gt;"",INDEX(BDHK2,MATCH($C27,DiemHKII!$C$4:$C$58,0),DM$59),""))</f>
        <v>Đ</v>
      </c>
      <c r="DN27" s="793">
        <f t="shared" si="56"/>
        <v>1</v>
      </c>
      <c r="DO27" s="782" t="str">
        <f>IF($B27="","",INDEX(NXetHKI!$B$3:$CL$57,MATCH(NXchung!$C27,NXetHKI!$C$3:$C$57,0),NXchung!DO$59))</f>
        <v>Chăm chỉ, cố gắng, rất ngoan.</v>
      </c>
      <c r="DP27" s="781" t="str">
        <f>IF($B27="","",IF(INDEX(BDHK2,MATCH($C27,DiemHKII!$C$4:$C$58,0),DP$59)&lt;&gt;"",INDEX(BDHK2,MATCH($C27,DiemHKII!$C$4:$C$58,0),DP$59),""))</f>
        <v/>
      </c>
      <c r="DQ27" s="793" t="str">
        <f t="shared" si="57"/>
        <v/>
      </c>
      <c r="DR27" s="782" t="str">
        <f t="shared" si="58"/>
        <v/>
      </c>
      <c r="DS27" s="781" t="str">
        <f>IF($B27="","",IF(INDEX(BDHK2,MATCH($C27,DiemHKII!$C$4:$C$58,0),DS$59)&lt;&gt;"",INDEX(BDHK2,MATCH($C27,DiemHKII!$C$4:$C$58,0),DS$59),""))</f>
        <v>Đ</v>
      </c>
      <c r="DT27" s="793">
        <f t="shared" si="59"/>
        <v>1</v>
      </c>
      <c r="DU27" s="782" t="str">
        <f t="shared" si="60"/>
        <v>Rất ngoan, học có hiệu quả tốt.</v>
      </c>
      <c r="DV27" s="780"/>
      <c r="DW27" s="781">
        <f>IF($B27="","",IF(INDEX(BDHK2,MATCH($C27,DiemHKII!$C$4:$C$58,0),DW$59)&lt;&gt;"",INDEX(BDHK2,MATCH($C27,DiemHKII!$C$4:$C$58,0),DW$59),""))</f>
        <v>9.9</v>
      </c>
      <c r="DX27" s="793">
        <f t="shared" si="61"/>
        <v>1</v>
      </c>
      <c r="DY27" s="782" t="str">
        <f>IF($B27="","",INDEX(NXetHKI!$B$3:$CL$57,MATCH(NXchung!$C27,NXetHKI!$C$3:$C$57,0),NXchung!DY$59))</f>
        <v>Siêng năng, lễ phép, thành thạo thực hành, học giỏi.</v>
      </c>
      <c r="DZ27" s="781" t="str">
        <f>IF($B27="","",IF(INDEX(BDHK2,MATCH($C27,DiemHKII!$C$4:$C$58,0),DZ$59)&lt;&gt;"",INDEX(BDHK2,MATCH($C27,DiemHKII!$C$4:$C$58,0),DZ$59),""))</f>
        <v/>
      </c>
      <c r="EA27" s="793" t="str">
        <f t="shared" si="62"/>
        <v/>
      </c>
      <c r="EB27" s="782" t="str">
        <f t="shared" si="63"/>
        <v/>
      </c>
      <c r="EC27" s="781" t="str">
        <f>IF($B27="","",IF(INDEX(BDHK2,MATCH($C27,DiemHKII!$C$4:$C$58,0),EC$59)&lt;&gt;"",INDEX(BDHK2,MATCH($C27,DiemHKII!$C$4:$C$58,0),EC$59),""))</f>
        <v/>
      </c>
      <c r="ED27" s="793" t="str">
        <f t="shared" si="64"/>
        <v/>
      </c>
      <c r="EE27" s="782" t="str">
        <f t="shared" si="65"/>
        <v/>
      </c>
      <c r="EF27" s="780"/>
      <c r="EG27" s="781" t="str">
        <f>IF($B27="","",IF(INDEX(BDHK2,MATCH($C27,DiemHKII!$C$4:$C$58,0),EG$59)&lt;&gt;"",INDEX(BDHK2,MATCH($C27,DiemHKII!$C$4:$C$58,0),EG$59),""))</f>
        <v/>
      </c>
      <c r="EH27" s="793" t="str">
        <f t="shared" si="66"/>
        <v/>
      </c>
      <c r="EI27" s="782" t="str">
        <f>IF($B27="","",INDEX(NXetHKI!$B$3:$CL$57,MATCH(NXchung!$C27,NXetHKI!$C$3:$C$57,0),NXchung!EI$59))</f>
        <v/>
      </c>
      <c r="EJ27" s="781" t="str">
        <f>IF($B27="","",IF(INDEX(BDHK2,MATCH($C27,DiemHKII!$C$4:$C$58,0),EJ$59)&lt;&gt;"",INDEX(BDHK2,MATCH($C27,DiemHKII!$C$4:$C$58,0),EJ$59),""))</f>
        <v/>
      </c>
      <c r="EK27" s="793" t="str">
        <f t="shared" si="67"/>
        <v/>
      </c>
      <c r="EL27" s="782" t="str">
        <f t="shared" si="68"/>
        <v/>
      </c>
      <c r="EM27" s="781" t="str">
        <f>IF($B27="","",IF(INDEX(BDHK2,MATCH($C27,DiemHKII!$C$4:$C$58,0),EM$59)&lt;&gt;"",INDEX(BDHK2,MATCH($C27,DiemHKII!$C$4:$C$58,0),EM$59),""))</f>
        <v/>
      </c>
      <c r="EN27" s="793" t="str">
        <f t="shared" si="69"/>
        <v/>
      </c>
      <c r="EO27" s="782" t="str">
        <f t="shared" si="70"/>
        <v/>
      </c>
      <c r="EP27" s="780"/>
      <c r="ER27" s="816">
        <v>6</v>
      </c>
      <c r="ES27" s="816">
        <v>9</v>
      </c>
    </row>
    <row r="28" spans="1:149" ht="15" customHeight="1">
      <c r="A28" s="764"/>
      <c r="B28" s="765">
        <f>IF(B27&lt;MAX(DiemHKII!$B$4:$B$58),B27+1,"")</f>
        <v>26</v>
      </c>
      <c r="C28" s="765" t="str">
        <f t="shared" si="0"/>
        <v>12A1Trần Thị HảiNhư17/08/2004</v>
      </c>
      <c r="D28" s="766" t="str">
        <f>IF($B28&lt;&gt;"",PROPER(INDEX(DiemHKII!$B$4:$K$58,MATCH($B28,DiemHKII!$B$4:$B$58,0),4)),"")</f>
        <v>Trần Thị Hải</v>
      </c>
      <c r="E28" s="767" t="str">
        <f>IF($B28&lt;&gt;"",PROPER(INDEX(DiemHKII!$B$4:$K$58,MATCH($B28,DiemHKII!$B$4:$B$58,0),5)),"")</f>
        <v>Như</v>
      </c>
      <c r="F28" s="768" t="str">
        <f>IF($B28&lt;&gt;"",PROPER(INDEX(DiemHKII!$B$4:$K$58,MATCH($B28,DiemHKII!$B$4:$B$58,0),6)),"")</f>
        <v>17/08/2004</v>
      </c>
      <c r="G28" s="783">
        <f>IF($B28="","",IF(INDEX(BDHK2,MATCH($C28,DiemHKII!$C$4:$C$58,0),G$59)&lt;&gt;"",INDEX(BDHK2,MATCH($C28,DiemHKII!$C$4:$C$58,0),G$59),""))</f>
        <v>9.3000000000000007</v>
      </c>
      <c r="H28" s="794">
        <f t="shared" si="1"/>
        <v>1</v>
      </c>
      <c r="I28" s="770" t="str">
        <f>IF($B28="","",INDEX(NXetHKI!$B$3:$CL$57,MATCH(NXchung!$C28,NXetHKI!$C$3:$C$57,0),NXchung!I$59))</f>
        <v>Em học giỏi, chăm ngoan, tính tự giác cao, rất tốt.</v>
      </c>
      <c r="J28" s="783" t="str">
        <f>IF($B28="","",IF(INDEX(BDHK2,MATCH($C28,DiemHKII!$C$4:$C$58,0),J$59)&lt;&gt;"",INDEX(BDHK2,MATCH($C28,DiemHKII!$C$4:$C$58,0),J$59),""))</f>
        <v/>
      </c>
      <c r="K28" s="794" t="str">
        <f t="shared" si="2"/>
        <v/>
      </c>
      <c r="L28" s="770" t="str">
        <f t="shared" si="3"/>
        <v/>
      </c>
      <c r="M28" s="783" t="str">
        <f>IF($B28="","",IF(INDEX(BDHK2,MATCH($C28,DiemHKII!$C$4:$C$58,0),M$59)&lt;&gt;"",INDEX(BDHK2,MATCH($C28,DiemHKII!$C$4:$C$58,0),M$59),""))</f>
        <v/>
      </c>
      <c r="N28" s="794" t="str">
        <f t="shared" si="4"/>
        <v/>
      </c>
      <c r="O28" s="770" t="str">
        <f t="shared" si="5"/>
        <v/>
      </c>
      <c r="P28" s="768"/>
      <c r="Q28" s="783">
        <f>IF($B28="","",IF(INDEX(BDHK2,MATCH($C28,DiemHKII!$C$4:$C$58,0),Q$59)&lt;&gt;"",INDEX(BDHK2,MATCH($C28,DiemHKII!$C$4:$C$58,0),Q$59),""))</f>
        <v>9.6999999999999993</v>
      </c>
      <c r="R28" s="794">
        <f t="shared" si="6"/>
        <v>1</v>
      </c>
      <c r="S28" s="770" t="str">
        <f>IF($B28="","",INDEX(NXetHKI!$B$3:$CL$57,MATCH(NXchung!$C28,NXetHKI!$C$3:$C$57,0),NXchung!S$59))</f>
        <v>Em học giỏi, chăm ngoan, tính tự giác cao, rất tốt.</v>
      </c>
      <c r="T28" s="783" t="str">
        <f>IF($B28="","",IF(INDEX(BDHK2,MATCH($C28,DiemHKII!$C$4:$C$58,0),T$59)&lt;&gt;"",INDEX(BDHK2,MATCH($C28,DiemHKII!$C$4:$C$58,0),T$59),""))</f>
        <v/>
      </c>
      <c r="U28" s="794" t="str">
        <f t="shared" si="7"/>
        <v/>
      </c>
      <c r="V28" s="770" t="str">
        <f t="shared" si="8"/>
        <v/>
      </c>
      <c r="W28" s="783" t="str">
        <f>IF($B28="","",IF(INDEX(BDHK2,MATCH($C28,DiemHKII!$C$4:$C$58,0),W$59)&lt;&gt;"",INDEX(BDHK2,MATCH($C28,DiemHKII!$C$4:$C$58,0),W$59),""))</f>
        <v/>
      </c>
      <c r="X28" s="794" t="str">
        <f t="shared" si="9"/>
        <v/>
      </c>
      <c r="Y28" s="770" t="str">
        <f t="shared" si="10"/>
        <v/>
      </c>
      <c r="Z28" s="768"/>
      <c r="AA28" s="783">
        <f>IF($B28="","",IF(INDEX(BDHK2,MATCH($C28,DiemHKII!$C$4:$C$58,0),AA$59)&lt;&gt;"",INDEX(BDHK2,MATCH($C28,DiemHKII!$C$4:$C$58,0),AA$59),""))</f>
        <v>9.5</v>
      </c>
      <c r="AB28" s="794">
        <f t="shared" si="11"/>
        <v>1</v>
      </c>
      <c r="AC28" s="770" t="str">
        <f>IF($B28="","",INDEX(NXetHKI!$B$3:$CL$57,MATCH(NXchung!$C28,NXetHKI!$C$3:$C$57,0),NXchung!AC$59))</f>
        <v>Kiến thức vững, tự học tốt, ngoan.</v>
      </c>
      <c r="AD28" s="783" t="str">
        <f>IF($B28="","",IF(INDEX(BDHK2,MATCH($C28,DiemHKII!$C$4:$C$58,0),AD$59)&lt;&gt;"",INDEX(BDHK2,MATCH($C28,DiemHKII!$C$4:$C$58,0),AD$59),""))</f>
        <v/>
      </c>
      <c r="AE28" s="794" t="str">
        <f t="shared" si="12"/>
        <v/>
      </c>
      <c r="AF28" s="770" t="str">
        <f t="shared" si="13"/>
        <v/>
      </c>
      <c r="AG28" s="783" t="str">
        <f>IF($B28="","",IF(INDEX(BDHK2,MATCH($C28,DiemHKII!$C$4:$C$58,0),AG$59)&lt;&gt;"",INDEX(BDHK2,MATCH($C28,DiemHKII!$C$4:$C$58,0),AG$59),""))</f>
        <v/>
      </c>
      <c r="AH28" s="794" t="str">
        <f t="shared" si="14"/>
        <v/>
      </c>
      <c r="AI28" s="770" t="str">
        <f t="shared" si="15"/>
        <v/>
      </c>
      <c r="AJ28" s="768"/>
      <c r="AK28" s="783">
        <f>IF($B28="","",IF(INDEX(BDHK2,MATCH($C28,DiemHKII!$C$4:$C$58,0),AK$59)&lt;&gt;"",INDEX(BDHK2,MATCH($C28,DiemHKII!$C$4:$C$58,0),AK$59),""))</f>
        <v>9</v>
      </c>
      <c r="AL28" s="794">
        <f t="shared" si="16"/>
        <v>1</v>
      </c>
      <c r="AM28" s="770" t="str">
        <f>IF($B28="","",INDEX(NXetHKI!$B$3:$CL$57,MATCH(NXchung!$C28,NXetHKI!$C$3:$C$57,0),NXchung!AM$59))</f>
        <v>Có khả năng tự học và tự chủ bản thân, tích cực trong học tập.</v>
      </c>
      <c r="AN28" s="783" t="str">
        <f>IF($B28="","",IF(INDEX(BDHK2,MATCH($C28,DiemHKII!$C$4:$C$58,0),AN$59)&lt;&gt;"",INDEX(BDHK2,MATCH($C28,DiemHKII!$C$4:$C$58,0),AN$59),""))</f>
        <v/>
      </c>
      <c r="AO28" s="794" t="str">
        <f t="shared" si="17"/>
        <v/>
      </c>
      <c r="AP28" s="770" t="str">
        <f t="shared" si="18"/>
        <v/>
      </c>
      <c r="AQ28" s="783" t="str">
        <f>IF($B28="","",IF(INDEX(BDHK2,MATCH($C28,DiemHKII!$C$4:$C$58,0),AQ$59)&lt;&gt;"",INDEX(BDHK2,MATCH($C28,DiemHKII!$C$4:$C$58,0),AQ$59),""))</f>
        <v/>
      </c>
      <c r="AR28" s="794" t="str">
        <f t="shared" si="19"/>
        <v/>
      </c>
      <c r="AS28" s="770" t="str">
        <f t="shared" si="20"/>
        <v/>
      </c>
      <c r="AT28" s="768"/>
      <c r="AU28" s="783">
        <f>IF($B28="","",IF(INDEX(BDHK2,MATCH($C28,DiemHKII!$C$4:$C$58,0),AU$59)&lt;&gt;"",INDEX(BDHK2,MATCH($C28,DiemHKII!$C$4:$C$58,0),AU$59),""))</f>
        <v>9.6</v>
      </c>
      <c r="AV28" s="794">
        <f t="shared" si="21"/>
        <v>1</v>
      </c>
      <c r="AW28" s="770" t="str">
        <f>IF($B28="","",INDEX(NXetHKI!$B$3:$CL$57,MATCH(NXchung!$C28,NXetHKI!$C$3:$C$57,0),NXchung!AW$59))</f>
        <v>Ngoan, chăm chỉ, tư duy tốt.</v>
      </c>
      <c r="AX28" s="783" t="str">
        <f>IF($B28="","",IF(INDEX(BDHK2,MATCH($C28,DiemHKII!$C$4:$C$58,0),AX$59)&lt;&gt;"",INDEX(BDHK2,MATCH($C28,DiemHKII!$C$4:$C$58,0),AX$59),""))</f>
        <v/>
      </c>
      <c r="AY28" s="794" t="str">
        <f t="shared" si="22"/>
        <v/>
      </c>
      <c r="AZ28" s="770" t="str">
        <f t="shared" si="23"/>
        <v/>
      </c>
      <c r="BA28" s="783" t="str">
        <f>IF($B28="","",IF(INDEX(BDHK2,MATCH($C28,DiemHKII!$C$4:$C$58,0),BA$59)&lt;&gt;"",INDEX(BDHK2,MATCH($C28,DiemHKII!$C$4:$C$58,0),BA$59),""))</f>
        <v/>
      </c>
      <c r="BB28" s="794" t="str">
        <f t="shared" si="24"/>
        <v/>
      </c>
      <c r="BC28" s="770" t="str">
        <f t="shared" si="25"/>
        <v/>
      </c>
      <c r="BD28" s="768"/>
      <c r="BE28" s="783">
        <f>IF($B28="","",IF(INDEX(BDHK2,MATCH($C28,DiemHKII!$C$4:$C$58,0),BE$59)&lt;&gt;"",INDEX(BDHK2,MATCH($C28,DiemHKII!$C$4:$C$58,0),BE$59),""))</f>
        <v>7.3</v>
      </c>
      <c r="BF28" s="794">
        <f t="shared" si="26"/>
        <v>5</v>
      </c>
      <c r="BG28" s="770" t="str">
        <f>IF($B28="","",INDEX(NXetHKI!$B$3:$CL$57,MATCH(NXchung!$C28,NXetHKI!$C$3:$C$57,0),NXchung!BG$59))</f>
        <v>Có ý thức học tập tốt, cần nỗ lực rèn luyện thêm các kỹ năng.</v>
      </c>
      <c r="BH28" s="783" t="str">
        <f>IF($B28="","",IF(INDEX(BDHK2,MATCH($C28,DiemHKII!$C$4:$C$58,0),BH$59)&lt;&gt;"",INDEX(BDHK2,MATCH($C28,DiemHKII!$C$4:$C$58,0),BH$59),""))</f>
        <v/>
      </c>
      <c r="BI28" s="794" t="str">
        <f t="shared" si="27"/>
        <v/>
      </c>
      <c r="BJ28" s="770" t="str">
        <f t="shared" si="28"/>
        <v/>
      </c>
      <c r="BK28" s="783" t="str">
        <f>IF($B28="","",IF(INDEX(BDHK2,MATCH($C28,DiemHKII!$C$4:$C$58,0),BK$59)&lt;&gt;"",INDEX(BDHK2,MATCH($C28,DiemHKII!$C$4:$C$58,0),BK$59),""))</f>
        <v/>
      </c>
      <c r="BL28" s="794" t="str">
        <f t="shared" si="29"/>
        <v/>
      </c>
      <c r="BM28" s="770" t="str">
        <f t="shared" si="30"/>
        <v/>
      </c>
      <c r="BN28" s="768"/>
      <c r="BO28" s="783">
        <f>IF($B28="","",IF(INDEX(BDHK2,MATCH($C28,DiemHKII!$C$4:$C$58,0),BO$59)&lt;&gt;"",INDEX(BDHK2,MATCH($C28,DiemHKII!$C$4:$C$58,0),BO$59),""))</f>
        <v>9.4</v>
      </c>
      <c r="BP28" s="794">
        <f t="shared" si="31"/>
        <v>1</v>
      </c>
      <c r="BQ28" s="770" t="str">
        <f>IF($B28="","",INDEX(NXetHKI!$B$3:$CL$57,MATCH(NXchung!$C28,NXetHKI!$C$3:$C$57,0),NXchung!BQ$59))</f>
        <v>Tiếp thu bài tốt, ghi nhớ nhanh các sự kiện lịch sử.</v>
      </c>
      <c r="BR28" s="783" t="str">
        <f>IF($B28="","",IF(INDEX(BDHK2,MATCH($C28,DiemHKII!$C$4:$C$58,0),BR$59)&lt;&gt;"",INDEX(BDHK2,MATCH($C28,DiemHKII!$C$4:$C$58,0),BR$59),""))</f>
        <v/>
      </c>
      <c r="BS28" s="794" t="str">
        <f t="shared" si="32"/>
        <v/>
      </c>
      <c r="BT28" s="770" t="str">
        <f t="shared" si="33"/>
        <v/>
      </c>
      <c r="BU28" s="783" t="str">
        <f>IF($B28="","",IF(INDEX(BDHK2,MATCH($C28,DiemHKII!$C$4:$C$58,0),BU$59)&lt;&gt;"",INDEX(BDHK2,MATCH($C28,DiemHKII!$C$4:$C$58,0),BU$59),""))</f>
        <v/>
      </c>
      <c r="BV28" s="794" t="str">
        <f t="shared" si="34"/>
        <v/>
      </c>
      <c r="BW28" s="770" t="str">
        <f t="shared" si="35"/>
        <v/>
      </c>
      <c r="BX28" s="768"/>
      <c r="BY28" s="783">
        <f>IF($B28="","",IF(INDEX(BDHK2,MATCH($C28,DiemHKII!$C$4:$C$58,0),BY$59)&lt;&gt;"",INDEX(BDHK2,MATCH($C28,DiemHKII!$C$4:$C$58,0),BY$59),""))</f>
        <v>9.8000000000000007</v>
      </c>
      <c r="BZ28" s="794">
        <f t="shared" si="36"/>
        <v>1</v>
      </c>
      <c r="CA28" s="770" t="str">
        <f>IF($B28="","",INDEX(NXetHKI!$B$3:$CL$57,MATCH(NXchung!$C28,NXetHKI!$C$3:$C$57,0),NXchung!CA$59))</f>
        <v>Em có tư duy tốt, rất tích cực, giải quyết vấn đề tốt.</v>
      </c>
      <c r="CB28" s="783" t="str">
        <f>IF($B28="","",IF(INDEX(BDHK2,MATCH($C28,DiemHKII!$C$4:$C$58,0),CB$59)&lt;&gt;"",INDEX(BDHK2,MATCH($C28,DiemHKII!$C$4:$C$58,0),CB$59),""))</f>
        <v/>
      </c>
      <c r="CC28" s="794" t="str">
        <f t="shared" si="37"/>
        <v/>
      </c>
      <c r="CD28" s="770" t="str">
        <f t="shared" si="38"/>
        <v/>
      </c>
      <c r="CE28" s="783" t="str">
        <f>IF($B28="","",IF(INDEX(BDHK2,MATCH($C28,DiemHKII!$C$4:$C$58,0),CE$59)&lt;&gt;"",INDEX(BDHK2,MATCH($C28,DiemHKII!$C$4:$C$58,0),CE$59),""))</f>
        <v/>
      </c>
      <c r="CF28" s="794" t="str">
        <f t="shared" si="39"/>
        <v/>
      </c>
      <c r="CG28" s="770" t="str">
        <f t="shared" si="40"/>
        <v/>
      </c>
      <c r="CH28" s="768"/>
      <c r="CI28" s="783">
        <f>IF($B28="","",IF(INDEX(BDHK2,MATCH($C28,DiemHKII!$C$4:$C$58,0),CI$59)&lt;&gt;"",INDEX(BDHK2,MATCH($C28,DiemHKII!$C$4:$C$58,0),CI$59),""))</f>
        <v>9.3000000000000007</v>
      </c>
      <c r="CJ28" s="794">
        <f t="shared" si="41"/>
        <v>1</v>
      </c>
      <c r="CK28" s="770" t="str">
        <f>IF($B28="","",INDEX(NXetHKI!$B$3:$CL$57,MATCH(NXchung!$C28,NXetHKI!$C$3:$C$57,0),NXchung!CK$59))</f>
        <v>Chăm chỉ, chuyên cần, rất tích cực và năng động.</v>
      </c>
      <c r="CL28" s="783" t="str">
        <f>IF($B28="","",IF(INDEX(BDHK2,MATCH($C28,DiemHKII!$C$4:$C$58,0),CL$59)&lt;&gt;"",INDEX(BDHK2,MATCH($C28,DiemHKII!$C$4:$C$58,0),CL$59),""))</f>
        <v/>
      </c>
      <c r="CM28" s="794" t="str">
        <f t="shared" si="42"/>
        <v/>
      </c>
      <c r="CN28" s="770" t="str">
        <f t="shared" si="43"/>
        <v/>
      </c>
      <c r="CO28" s="783" t="str">
        <f>IF($B28="","",IF(INDEX(BDHK2,MATCH($C28,DiemHKII!$C$4:$C$58,0),CO$59)&lt;&gt;"",INDEX(BDHK2,MATCH($C28,DiemHKII!$C$4:$C$58,0),CO$59),""))</f>
        <v/>
      </c>
      <c r="CP28" s="794" t="str">
        <f t="shared" si="44"/>
        <v/>
      </c>
      <c r="CQ28" s="770" t="str">
        <f t="shared" si="45"/>
        <v/>
      </c>
      <c r="CR28" s="768"/>
      <c r="CS28" s="783">
        <f>IF($B28="","",IF(INDEX(BDHK2,MATCH($C28,DiemHKII!$C$4:$C$58,0),CS$59)&lt;&gt;"",INDEX(BDHK2,MATCH($C28,DiemHKII!$C$4:$C$58,0),CS$59),""))</f>
        <v>8.8000000000000007</v>
      </c>
      <c r="CT28" s="794">
        <f t="shared" si="46"/>
        <v>2</v>
      </c>
      <c r="CU28" s="770" t="str">
        <f>IF($B28="","",INDEX(NXetHKI!$B$3:$CL$57,MATCH(NXchung!$C28,NXetHKI!$C$3:$C$57,0),NXchung!CU$59))</f>
        <v>Tích cực, trách nhiệm học tốt.</v>
      </c>
      <c r="CV28" s="783" t="str">
        <f>IF($B28="","",IF(INDEX(BDHK2,MATCH($C28,DiemHKII!$C$4:$C$58,0),CV$59)&lt;&gt;"",INDEX(BDHK2,MATCH($C28,DiemHKII!$C$4:$C$58,0),CV$59),""))</f>
        <v/>
      </c>
      <c r="CW28" s="794" t="str">
        <f t="shared" si="47"/>
        <v/>
      </c>
      <c r="CX28" s="770" t="str">
        <f t="shared" si="48"/>
        <v/>
      </c>
      <c r="CY28" s="783" t="str">
        <f>IF($B28="","",IF(INDEX(BDHK2,MATCH($C28,DiemHKII!$C$4:$C$58,0),CY$59)&lt;&gt;"",INDEX(BDHK2,MATCH($C28,DiemHKII!$C$4:$C$58,0),CY$59),""))</f>
        <v/>
      </c>
      <c r="CZ28" s="794" t="str">
        <f t="shared" si="49"/>
        <v/>
      </c>
      <c r="DA28" s="770" t="str">
        <f t="shared" si="50"/>
        <v/>
      </c>
      <c r="DB28" s="768"/>
      <c r="DC28" s="783">
        <f>IF($B28="","",IF(INDEX(BDHK2,MATCH($C28,DiemHKII!$C$4:$C$58,0),DC$59)&lt;&gt;"",INDEX(BDHK2,MATCH($C28,DiemHKII!$C$4:$C$58,0),DC$59),""))</f>
        <v>9.4</v>
      </c>
      <c r="DD28" s="794">
        <f t="shared" si="51"/>
        <v>1</v>
      </c>
      <c r="DE28" s="770" t="str">
        <f>IF($B28="","",INDEX(NXetHKI!$B$3:$CL$57,MATCH(NXchung!$C28,NXetHKI!$C$3:$C$57,0),NXchung!DE$59))</f>
        <v>Năng động, sáng tạo trong học tập.</v>
      </c>
      <c r="DF28" s="783" t="str">
        <f>IF($B28="","",IF(INDEX(BDHK2,MATCH($C28,DiemHKII!$C$4:$C$58,0),DF$59)&lt;&gt;"",INDEX(BDHK2,MATCH($C28,DiemHKII!$C$4:$C$58,0),DF$59),""))</f>
        <v/>
      </c>
      <c r="DG28" s="794" t="str">
        <f t="shared" si="52"/>
        <v/>
      </c>
      <c r="DH28" s="770" t="str">
        <f t="shared" si="53"/>
        <v/>
      </c>
      <c r="DI28" s="783" t="str">
        <f>IF($B28="","",IF(INDEX(BDHK2,MATCH($C28,DiemHKII!$C$4:$C$58,0),DI$59)&lt;&gt;"",INDEX(BDHK2,MATCH($C28,DiemHKII!$C$4:$C$58,0),DI$59),""))</f>
        <v/>
      </c>
      <c r="DJ28" s="794" t="str">
        <f t="shared" si="54"/>
        <v/>
      </c>
      <c r="DK28" s="770" t="str">
        <f t="shared" si="55"/>
        <v/>
      </c>
      <c r="DL28" s="768"/>
      <c r="DM28" s="783" t="str">
        <f>IF($B28="","",IF(INDEX(BDHK2,MATCH($C28,DiemHKII!$C$4:$C$58,0),DM$59)&lt;&gt;"",INDEX(BDHK2,MATCH($C28,DiemHKII!$C$4:$C$58,0),DM$59),""))</f>
        <v>Đ</v>
      </c>
      <c r="DN28" s="794">
        <f t="shared" si="56"/>
        <v>1</v>
      </c>
      <c r="DO28" s="770" t="str">
        <f>IF($B28="","",INDEX(NXetHKI!$B$3:$CL$57,MATCH(NXchung!$C28,NXetHKI!$C$3:$C$57,0),NXchung!DO$59))</f>
        <v>Giỏi, có nhiều tiến bộ trong học tập.</v>
      </c>
      <c r="DP28" s="783" t="str">
        <f>IF($B28="","",IF(INDEX(BDHK2,MATCH($C28,DiemHKII!$C$4:$C$58,0),DP$59)&lt;&gt;"",INDEX(BDHK2,MATCH($C28,DiemHKII!$C$4:$C$58,0),DP$59),""))</f>
        <v/>
      </c>
      <c r="DQ28" s="794" t="str">
        <f t="shared" si="57"/>
        <v/>
      </c>
      <c r="DR28" s="770" t="str">
        <f t="shared" si="58"/>
        <v/>
      </c>
      <c r="DS28" s="783" t="str">
        <f>IF($B28="","",IF(INDEX(BDHK2,MATCH($C28,DiemHKII!$C$4:$C$58,0),DS$59)&lt;&gt;"",INDEX(BDHK2,MATCH($C28,DiemHKII!$C$4:$C$58,0),DS$59),""))</f>
        <v>Đ</v>
      </c>
      <c r="DT28" s="794">
        <f t="shared" si="59"/>
        <v>1</v>
      </c>
      <c r="DU28" s="770" t="str">
        <f t="shared" si="60"/>
        <v>Chăm chỉ, cố gắng, rất ngoan.</v>
      </c>
      <c r="DV28" s="768"/>
      <c r="DW28" s="783">
        <f>IF($B28="","",IF(INDEX(BDHK2,MATCH($C28,DiemHKII!$C$4:$C$58,0),DW$59)&lt;&gt;"",INDEX(BDHK2,MATCH($C28,DiemHKII!$C$4:$C$58,0),DW$59),""))</f>
        <v>9.9</v>
      </c>
      <c r="DX28" s="794">
        <f t="shared" si="61"/>
        <v>1</v>
      </c>
      <c r="DY28" s="770" t="str">
        <f>IF($B28="","",INDEX(NXetHKI!$B$3:$CL$57,MATCH(NXchung!$C28,NXetHKI!$C$3:$C$57,0),NXchung!DY$59))</f>
        <v>Tích cực, năng động, nắm bài tốt, học giỏi.</v>
      </c>
      <c r="DZ28" s="783" t="str">
        <f>IF($B28="","",IF(INDEX(BDHK2,MATCH($C28,DiemHKII!$C$4:$C$58,0),DZ$59)&lt;&gt;"",INDEX(BDHK2,MATCH($C28,DiemHKII!$C$4:$C$58,0),DZ$59),""))</f>
        <v/>
      </c>
      <c r="EA28" s="794" t="str">
        <f t="shared" si="62"/>
        <v/>
      </c>
      <c r="EB28" s="770" t="str">
        <f t="shared" si="63"/>
        <v/>
      </c>
      <c r="EC28" s="783" t="str">
        <f>IF($B28="","",IF(INDEX(BDHK2,MATCH($C28,DiemHKII!$C$4:$C$58,0),EC$59)&lt;&gt;"",INDEX(BDHK2,MATCH($C28,DiemHKII!$C$4:$C$58,0),EC$59),""))</f>
        <v/>
      </c>
      <c r="ED28" s="794" t="str">
        <f t="shared" si="64"/>
        <v/>
      </c>
      <c r="EE28" s="770" t="str">
        <f t="shared" si="65"/>
        <v/>
      </c>
      <c r="EF28" s="768"/>
      <c r="EG28" s="783" t="str">
        <f>IF($B28="","",IF(INDEX(BDHK2,MATCH($C28,DiemHKII!$C$4:$C$58,0),EG$59)&lt;&gt;"",INDEX(BDHK2,MATCH($C28,DiemHKII!$C$4:$C$58,0),EG$59),""))</f>
        <v/>
      </c>
      <c r="EH28" s="794" t="str">
        <f t="shared" si="66"/>
        <v/>
      </c>
      <c r="EI28" s="770" t="str">
        <f>IF($B28="","",INDEX(NXetHKI!$B$3:$CL$57,MATCH(NXchung!$C28,NXetHKI!$C$3:$C$57,0),NXchung!EI$59))</f>
        <v/>
      </c>
      <c r="EJ28" s="783" t="str">
        <f>IF($B28="","",IF(INDEX(BDHK2,MATCH($C28,DiemHKII!$C$4:$C$58,0),EJ$59)&lt;&gt;"",INDEX(BDHK2,MATCH($C28,DiemHKII!$C$4:$C$58,0),EJ$59),""))</f>
        <v/>
      </c>
      <c r="EK28" s="794" t="str">
        <f t="shared" si="67"/>
        <v/>
      </c>
      <c r="EL28" s="770" t="str">
        <f t="shared" si="68"/>
        <v/>
      </c>
      <c r="EM28" s="783" t="str">
        <f>IF($B28="","",IF(INDEX(BDHK2,MATCH($C28,DiemHKII!$C$4:$C$58,0),EM$59)&lt;&gt;"",INDEX(BDHK2,MATCH($C28,DiemHKII!$C$4:$C$58,0),EM$59),""))</f>
        <v/>
      </c>
      <c r="EN28" s="794" t="str">
        <f t="shared" si="69"/>
        <v/>
      </c>
      <c r="EO28" s="770" t="str">
        <f t="shared" si="70"/>
        <v/>
      </c>
      <c r="EP28" s="768"/>
      <c r="ER28" s="816">
        <v>9</v>
      </c>
      <c r="ES28" s="816">
        <v>3</v>
      </c>
    </row>
    <row r="29" spans="1:149" ht="15" customHeight="1">
      <c r="A29" s="764"/>
      <c r="B29" s="771">
        <f>IF(B28&lt;MAX(DiemHKII!$B$4:$B$58),B28+1,"")</f>
        <v>27</v>
      </c>
      <c r="C29" s="771" t="str">
        <f t="shared" si="0"/>
        <v>12A1Nguyễn Bá NhậtQuang18/07/2004</v>
      </c>
      <c r="D29" s="772" t="str">
        <f>IF($B29&lt;&gt;"",PROPER(INDEX(DiemHKII!$B$4:$K$58,MATCH($B29,DiemHKII!$B$4:$B$58,0),4)),"")</f>
        <v>Nguyễn Bá Nhật</v>
      </c>
      <c r="E29" s="773" t="str">
        <f>IF($B29&lt;&gt;"",PROPER(INDEX(DiemHKII!$B$4:$K$58,MATCH($B29,DiemHKII!$B$4:$B$58,0),5)),"")</f>
        <v>Quang</v>
      </c>
      <c r="F29" s="774" t="str">
        <f>IF($B29&lt;&gt;"",PROPER(INDEX(DiemHKII!$B$4:$K$58,MATCH($B29,DiemHKII!$B$4:$B$58,0),6)),"")</f>
        <v>18/07/2004</v>
      </c>
      <c r="G29" s="775">
        <f>IF($B29="","",IF(INDEX(BDHK2,MATCH($C29,DiemHKII!$C$4:$C$58,0),G$59)&lt;&gt;"",INDEX(BDHK2,MATCH($C29,DiemHKII!$C$4:$C$58,0),G$59),""))</f>
        <v>9.6</v>
      </c>
      <c r="H29" s="792">
        <f t="shared" si="1"/>
        <v>1</v>
      </c>
      <c r="I29" s="776" t="str">
        <f>IF($B29="","",INDEX(NXetHKI!$B$3:$CL$57,MATCH(NXchung!$C29,NXetHKI!$C$3:$C$57,0),NXchung!I$59))</f>
        <v>Em ngoan, tích cực, năng động, rất đáng khen.</v>
      </c>
      <c r="J29" s="775" t="str">
        <f>IF($B29="","",IF(INDEX(BDHK2,MATCH($C29,DiemHKII!$C$4:$C$58,0),J$59)&lt;&gt;"",INDEX(BDHK2,MATCH($C29,DiemHKII!$C$4:$C$58,0),J$59),""))</f>
        <v/>
      </c>
      <c r="K29" s="792" t="str">
        <f t="shared" si="2"/>
        <v/>
      </c>
      <c r="L29" s="776" t="str">
        <f t="shared" si="3"/>
        <v/>
      </c>
      <c r="M29" s="775" t="str">
        <f>IF($B29="","",IF(INDEX(BDHK2,MATCH($C29,DiemHKII!$C$4:$C$58,0),M$59)&lt;&gt;"",INDEX(BDHK2,MATCH($C29,DiemHKII!$C$4:$C$58,0),M$59),""))</f>
        <v/>
      </c>
      <c r="N29" s="792" t="str">
        <f t="shared" si="4"/>
        <v/>
      </c>
      <c r="O29" s="776" t="str">
        <f t="shared" si="5"/>
        <v/>
      </c>
      <c r="P29" s="774"/>
      <c r="Q29" s="775">
        <f>IF($B29="","",IF(INDEX(BDHK2,MATCH($C29,DiemHKII!$C$4:$C$58,0),Q$59)&lt;&gt;"",INDEX(BDHK2,MATCH($C29,DiemHKII!$C$4:$C$58,0),Q$59),""))</f>
        <v>9.9</v>
      </c>
      <c r="R29" s="792">
        <f t="shared" si="6"/>
        <v>1</v>
      </c>
      <c r="S29" s="776" t="str">
        <f>IF($B29="","",INDEX(NXetHKI!$B$3:$CL$57,MATCH(NXchung!$C29,NXetHKI!$C$3:$C$57,0),NXchung!S$59))</f>
        <v>Em ngoan, tích cực, năng động, rất đáng khen.</v>
      </c>
      <c r="T29" s="775" t="str">
        <f>IF($B29="","",IF(INDEX(BDHK2,MATCH($C29,DiemHKII!$C$4:$C$58,0),T$59)&lt;&gt;"",INDEX(BDHK2,MATCH($C29,DiemHKII!$C$4:$C$58,0),T$59),""))</f>
        <v/>
      </c>
      <c r="U29" s="792" t="str">
        <f t="shared" si="7"/>
        <v/>
      </c>
      <c r="V29" s="776" t="str">
        <f t="shared" si="8"/>
        <v/>
      </c>
      <c r="W29" s="775" t="str">
        <f>IF($B29="","",IF(INDEX(BDHK2,MATCH($C29,DiemHKII!$C$4:$C$58,0),W$59)&lt;&gt;"",INDEX(BDHK2,MATCH($C29,DiemHKII!$C$4:$C$58,0),W$59),""))</f>
        <v/>
      </c>
      <c r="X29" s="792" t="str">
        <f t="shared" si="9"/>
        <v/>
      </c>
      <c r="Y29" s="776" t="str">
        <f t="shared" si="10"/>
        <v/>
      </c>
      <c r="Z29" s="774"/>
      <c r="AA29" s="775">
        <f>IF($B29="","",IF(INDEX(BDHK2,MATCH($C29,DiemHKII!$C$4:$C$58,0),AA$59)&lt;&gt;"",INDEX(BDHK2,MATCH($C29,DiemHKII!$C$4:$C$58,0),AA$59),""))</f>
        <v>9.4</v>
      </c>
      <c r="AB29" s="792">
        <f t="shared" si="11"/>
        <v>1</v>
      </c>
      <c r="AC29" s="776" t="str">
        <f>IF($B29="","",INDEX(NXetHKI!$B$3:$CL$57,MATCH(NXchung!$C29,NXetHKI!$C$3:$C$57,0),NXchung!AC$59))</f>
        <v>Kiến thức vững, sáng tạo, tự học tốt.</v>
      </c>
      <c r="AD29" s="775" t="str">
        <f>IF($B29="","",IF(INDEX(BDHK2,MATCH($C29,DiemHKII!$C$4:$C$58,0),AD$59)&lt;&gt;"",INDEX(BDHK2,MATCH($C29,DiemHKII!$C$4:$C$58,0),AD$59),""))</f>
        <v/>
      </c>
      <c r="AE29" s="792" t="str">
        <f t="shared" si="12"/>
        <v/>
      </c>
      <c r="AF29" s="776" t="str">
        <f t="shared" si="13"/>
        <v/>
      </c>
      <c r="AG29" s="775" t="str">
        <f>IF($B29="","",IF(INDEX(BDHK2,MATCH($C29,DiemHKII!$C$4:$C$58,0),AG$59)&lt;&gt;"",INDEX(BDHK2,MATCH($C29,DiemHKII!$C$4:$C$58,0),AG$59),""))</f>
        <v/>
      </c>
      <c r="AH29" s="792" t="str">
        <f t="shared" si="14"/>
        <v/>
      </c>
      <c r="AI29" s="776" t="str">
        <f t="shared" si="15"/>
        <v/>
      </c>
      <c r="AJ29" s="774"/>
      <c r="AK29" s="775">
        <f>IF($B29="","",IF(INDEX(BDHK2,MATCH($C29,DiemHKII!$C$4:$C$58,0),AK$59)&lt;&gt;"",INDEX(BDHK2,MATCH($C29,DiemHKII!$C$4:$C$58,0),AK$59),""))</f>
        <v>8.9</v>
      </c>
      <c r="AL29" s="792">
        <f t="shared" si="16"/>
        <v>2</v>
      </c>
      <c r="AM29" s="776" t="str">
        <f>IF($B29="","",INDEX(NXetHKI!$B$3:$CL$57,MATCH(NXchung!$C29,NXetHKI!$C$3:$C$57,0),NXchung!AM$59))</f>
        <v>Ngoan, khả năng tư duy tốt, có trách nhiệm, trình bày tốt.</v>
      </c>
      <c r="AN29" s="775" t="str">
        <f>IF($B29="","",IF(INDEX(BDHK2,MATCH($C29,DiemHKII!$C$4:$C$58,0),AN$59)&lt;&gt;"",INDEX(BDHK2,MATCH($C29,DiemHKII!$C$4:$C$58,0),AN$59),""))</f>
        <v/>
      </c>
      <c r="AO29" s="792" t="str">
        <f t="shared" si="17"/>
        <v/>
      </c>
      <c r="AP29" s="776" t="str">
        <f t="shared" si="18"/>
        <v/>
      </c>
      <c r="AQ29" s="775" t="str">
        <f>IF($B29="","",IF(INDEX(BDHK2,MATCH($C29,DiemHKII!$C$4:$C$58,0),AQ$59)&lt;&gt;"",INDEX(BDHK2,MATCH($C29,DiemHKII!$C$4:$C$58,0),AQ$59),""))</f>
        <v/>
      </c>
      <c r="AR29" s="792" t="str">
        <f t="shared" si="19"/>
        <v/>
      </c>
      <c r="AS29" s="776" t="str">
        <f t="shared" si="20"/>
        <v/>
      </c>
      <c r="AT29" s="774"/>
      <c r="AU29" s="775">
        <f>IF($B29="","",IF(INDEX(BDHK2,MATCH($C29,DiemHKII!$C$4:$C$58,0),AU$59)&lt;&gt;"",INDEX(BDHK2,MATCH($C29,DiemHKII!$C$4:$C$58,0),AU$59),""))</f>
        <v>9.8000000000000007</v>
      </c>
      <c r="AV29" s="792">
        <f t="shared" si="21"/>
        <v>1</v>
      </c>
      <c r="AW29" s="776" t="str">
        <f>IF($B29="","",INDEX(NXetHKI!$B$3:$CL$57,MATCH(NXchung!$C29,NXetHKI!$C$3:$C$57,0),NXchung!AW$59))</f>
        <v>Học giỏi, năng động và sáng tạo trong học tập.</v>
      </c>
      <c r="AX29" s="775" t="str">
        <f>IF($B29="","",IF(INDEX(BDHK2,MATCH($C29,DiemHKII!$C$4:$C$58,0),AX$59)&lt;&gt;"",INDEX(BDHK2,MATCH($C29,DiemHKII!$C$4:$C$58,0),AX$59),""))</f>
        <v/>
      </c>
      <c r="AY29" s="792" t="str">
        <f t="shared" si="22"/>
        <v/>
      </c>
      <c r="AZ29" s="776" t="str">
        <f t="shared" si="23"/>
        <v/>
      </c>
      <c r="BA29" s="775" t="str">
        <f>IF($B29="","",IF(INDEX(BDHK2,MATCH($C29,DiemHKII!$C$4:$C$58,0),BA$59)&lt;&gt;"",INDEX(BDHK2,MATCH($C29,DiemHKII!$C$4:$C$58,0),BA$59),""))</f>
        <v/>
      </c>
      <c r="BB29" s="792" t="str">
        <f t="shared" si="24"/>
        <v/>
      </c>
      <c r="BC29" s="776" t="str">
        <f t="shared" si="25"/>
        <v/>
      </c>
      <c r="BD29" s="774"/>
      <c r="BE29" s="775">
        <f>IF($B29="","",IF(INDEX(BDHK2,MATCH($C29,DiemHKII!$C$4:$C$58,0),BE$59)&lt;&gt;"",INDEX(BDHK2,MATCH($C29,DiemHKII!$C$4:$C$58,0),BE$59),""))</f>
        <v>7.6</v>
      </c>
      <c r="BF29" s="792">
        <f t="shared" si="26"/>
        <v>4</v>
      </c>
      <c r="BG29" s="776" t="str">
        <f>IF($B29="","",INDEX(NXetHKI!$B$3:$CL$57,MATCH(NXchung!$C29,NXetHKI!$C$3:$C$57,0),NXchung!BG$59))</f>
        <v>Cần chủ động hơn trong giờ học, rèn thêm kỹ năng viết.</v>
      </c>
      <c r="BH29" s="775" t="str">
        <f>IF($B29="","",IF(INDEX(BDHK2,MATCH($C29,DiemHKII!$C$4:$C$58,0),BH$59)&lt;&gt;"",INDEX(BDHK2,MATCH($C29,DiemHKII!$C$4:$C$58,0),BH$59),""))</f>
        <v/>
      </c>
      <c r="BI29" s="792" t="str">
        <f t="shared" si="27"/>
        <v/>
      </c>
      <c r="BJ29" s="776" t="str">
        <f t="shared" si="28"/>
        <v/>
      </c>
      <c r="BK29" s="775" t="str">
        <f>IF($B29="","",IF(INDEX(BDHK2,MATCH($C29,DiemHKII!$C$4:$C$58,0),BK$59)&lt;&gt;"",INDEX(BDHK2,MATCH($C29,DiemHKII!$C$4:$C$58,0),BK$59),""))</f>
        <v/>
      </c>
      <c r="BL29" s="792" t="str">
        <f t="shared" si="29"/>
        <v/>
      </c>
      <c r="BM29" s="776" t="str">
        <f t="shared" si="30"/>
        <v/>
      </c>
      <c r="BN29" s="774"/>
      <c r="BO29" s="775">
        <f>IF($B29="","",IF(INDEX(BDHK2,MATCH($C29,DiemHKII!$C$4:$C$58,0),BO$59)&lt;&gt;"",INDEX(BDHK2,MATCH($C29,DiemHKII!$C$4:$C$58,0),BO$59),""))</f>
        <v>9.9</v>
      </c>
      <c r="BP29" s="792">
        <f t="shared" si="31"/>
        <v>1</v>
      </c>
      <c r="BQ29" s="776" t="str">
        <f>IF($B29="","",INDEX(NXetHKI!$B$3:$CL$57,MATCH(NXchung!$C29,NXetHKI!$C$3:$C$57,0),NXchung!BQ$59))</f>
        <v>Chăm học, tích cực phát biểu xây dựng bài.</v>
      </c>
      <c r="BR29" s="775" t="str">
        <f>IF($B29="","",IF(INDEX(BDHK2,MATCH($C29,DiemHKII!$C$4:$C$58,0),BR$59)&lt;&gt;"",INDEX(BDHK2,MATCH($C29,DiemHKII!$C$4:$C$58,0),BR$59),""))</f>
        <v/>
      </c>
      <c r="BS29" s="792" t="str">
        <f t="shared" si="32"/>
        <v/>
      </c>
      <c r="BT29" s="776" t="str">
        <f t="shared" si="33"/>
        <v/>
      </c>
      <c r="BU29" s="775" t="str">
        <f>IF($B29="","",IF(INDEX(BDHK2,MATCH($C29,DiemHKII!$C$4:$C$58,0),BU$59)&lt;&gt;"",INDEX(BDHK2,MATCH($C29,DiemHKII!$C$4:$C$58,0),BU$59),""))</f>
        <v/>
      </c>
      <c r="BV29" s="792" t="str">
        <f t="shared" si="34"/>
        <v/>
      </c>
      <c r="BW29" s="776" t="str">
        <f t="shared" si="35"/>
        <v/>
      </c>
      <c r="BX29" s="774"/>
      <c r="BY29" s="775">
        <f>IF($B29="","",IF(INDEX(BDHK2,MATCH($C29,DiemHKII!$C$4:$C$58,0),BY$59)&lt;&gt;"",INDEX(BDHK2,MATCH($C29,DiemHKII!$C$4:$C$58,0),BY$59),""))</f>
        <v>9.9</v>
      </c>
      <c r="BZ29" s="792">
        <f t="shared" si="36"/>
        <v>1</v>
      </c>
      <c r="CA29" s="776" t="str">
        <f>IF($B29="","",INDEX(NXetHKI!$B$3:$CL$57,MATCH(NXchung!$C29,NXetHKI!$C$3:$C$57,0),NXchung!CA$59))</f>
        <v>Em có tư duy tốt, tích cực, vận dụng thực tế tốt.</v>
      </c>
      <c r="CB29" s="775" t="str">
        <f>IF($B29="","",IF(INDEX(BDHK2,MATCH($C29,DiemHKII!$C$4:$C$58,0),CB$59)&lt;&gt;"",INDEX(BDHK2,MATCH($C29,DiemHKII!$C$4:$C$58,0),CB$59),""))</f>
        <v/>
      </c>
      <c r="CC29" s="792" t="str">
        <f t="shared" si="37"/>
        <v/>
      </c>
      <c r="CD29" s="776" t="str">
        <f t="shared" si="38"/>
        <v/>
      </c>
      <c r="CE29" s="775" t="str">
        <f>IF($B29="","",IF(INDEX(BDHK2,MATCH($C29,DiemHKII!$C$4:$C$58,0),CE$59)&lt;&gt;"",INDEX(BDHK2,MATCH($C29,DiemHKII!$C$4:$C$58,0),CE$59),""))</f>
        <v/>
      </c>
      <c r="CF29" s="792" t="str">
        <f t="shared" si="39"/>
        <v/>
      </c>
      <c r="CG29" s="776" t="str">
        <f t="shared" si="40"/>
        <v/>
      </c>
      <c r="CH29" s="774"/>
      <c r="CI29" s="775">
        <f>IF($B29="","",IF(INDEX(BDHK2,MATCH($C29,DiemHKII!$C$4:$C$58,0),CI$59)&lt;&gt;"",INDEX(BDHK2,MATCH($C29,DiemHKII!$C$4:$C$58,0),CI$59),""))</f>
        <v>9.1999999999999993</v>
      </c>
      <c r="CJ29" s="792">
        <f t="shared" si="41"/>
        <v>1</v>
      </c>
      <c r="CK29" s="776" t="str">
        <f>IF($B29="","",INDEX(NXetHKI!$B$3:$CL$57,MATCH(NXchung!$C29,NXetHKI!$C$3:$C$57,0),NXchung!CK$59))</f>
        <v>Tích cực phát biểu trong giờ học, tương tác tốt với giáo viên và bạn bè.</v>
      </c>
      <c r="CL29" s="775" t="str">
        <f>IF($B29="","",IF(INDEX(BDHK2,MATCH($C29,DiemHKII!$C$4:$C$58,0),CL$59)&lt;&gt;"",INDEX(BDHK2,MATCH($C29,DiemHKII!$C$4:$C$58,0),CL$59),""))</f>
        <v/>
      </c>
      <c r="CM29" s="792" t="str">
        <f t="shared" si="42"/>
        <v/>
      </c>
      <c r="CN29" s="776" t="str">
        <f t="shared" si="43"/>
        <v/>
      </c>
      <c r="CO29" s="775" t="str">
        <f>IF($B29="","",IF(INDEX(BDHK2,MATCH($C29,DiemHKII!$C$4:$C$58,0),CO$59)&lt;&gt;"",INDEX(BDHK2,MATCH($C29,DiemHKII!$C$4:$C$58,0),CO$59),""))</f>
        <v/>
      </c>
      <c r="CP29" s="792" t="str">
        <f t="shared" si="44"/>
        <v/>
      </c>
      <c r="CQ29" s="776" t="str">
        <f t="shared" si="45"/>
        <v/>
      </c>
      <c r="CR29" s="774"/>
      <c r="CS29" s="775">
        <f>IF($B29="","",IF(INDEX(BDHK2,MATCH($C29,DiemHKII!$C$4:$C$58,0),CS$59)&lt;&gt;"",INDEX(BDHK2,MATCH($C29,DiemHKII!$C$4:$C$58,0),CS$59),""))</f>
        <v>9.5</v>
      </c>
      <c r="CT29" s="792">
        <f t="shared" si="46"/>
        <v>1</v>
      </c>
      <c r="CU29" s="776" t="str">
        <f>IF($B29="","",INDEX(NXetHKI!$B$3:$CL$57,MATCH(NXchung!$C29,NXetHKI!$C$3:$C$57,0),NXchung!CU$59))</f>
        <v>Hứng thú, tích cực, học giỏi.</v>
      </c>
      <c r="CV29" s="775" t="str">
        <f>IF($B29="","",IF(INDEX(BDHK2,MATCH($C29,DiemHKII!$C$4:$C$58,0),CV$59)&lt;&gt;"",INDEX(BDHK2,MATCH($C29,DiemHKII!$C$4:$C$58,0),CV$59),""))</f>
        <v/>
      </c>
      <c r="CW29" s="792" t="str">
        <f t="shared" si="47"/>
        <v/>
      </c>
      <c r="CX29" s="776" t="str">
        <f t="shared" si="48"/>
        <v/>
      </c>
      <c r="CY29" s="775" t="str">
        <f>IF($B29="","",IF(INDEX(BDHK2,MATCH($C29,DiemHKII!$C$4:$C$58,0),CY$59)&lt;&gt;"",INDEX(BDHK2,MATCH($C29,DiemHKII!$C$4:$C$58,0),CY$59),""))</f>
        <v/>
      </c>
      <c r="CZ29" s="792" t="str">
        <f t="shared" si="49"/>
        <v/>
      </c>
      <c r="DA29" s="776" t="str">
        <f t="shared" si="50"/>
        <v/>
      </c>
      <c r="DB29" s="774"/>
      <c r="DC29" s="775">
        <f>IF($B29="","",IF(INDEX(BDHK2,MATCH($C29,DiemHKII!$C$4:$C$58,0),DC$59)&lt;&gt;"",INDEX(BDHK2,MATCH($C29,DiemHKII!$C$4:$C$58,0),DC$59),""))</f>
        <v>9.9</v>
      </c>
      <c r="DD29" s="792">
        <f t="shared" si="51"/>
        <v>1</v>
      </c>
      <c r="DE29" s="776" t="str">
        <f>IF($B29="","",INDEX(NXetHKI!$B$3:$CL$57,MATCH(NXchung!$C29,NXetHKI!$C$3:$C$57,0),NXchung!DE$59))</f>
        <v>Học giỏi, tiếp thu nhanh, chăm ngoan.</v>
      </c>
      <c r="DF29" s="775" t="str">
        <f>IF($B29="","",IF(INDEX(BDHK2,MATCH($C29,DiemHKII!$C$4:$C$58,0),DF$59)&lt;&gt;"",INDEX(BDHK2,MATCH($C29,DiemHKII!$C$4:$C$58,0),DF$59),""))</f>
        <v/>
      </c>
      <c r="DG29" s="792" t="str">
        <f t="shared" si="52"/>
        <v/>
      </c>
      <c r="DH29" s="776" t="str">
        <f t="shared" si="53"/>
        <v/>
      </c>
      <c r="DI29" s="775" t="str">
        <f>IF($B29="","",IF(INDEX(BDHK2,MATCH($C29,DiemHKII!$C$4:$C$58,0),DI$59)&lt;&gt;"",INDEX(BDHK2,MATCH($C29,DiemHKII!$C$4:$C$58,0),DI$59),""))</f>
        <v/>
      </c>
      <c r="DJ29" s="792" t="str">
        <f t="shared" si="54"/>
        <v/>
      </c>
      <c r="DK29" s="776" t="str">
        <f t="shared" si="55"/>
        <v/>
      </c>
      <c r="DL29" s="774"/>
      <c r="DM29" s="775" t="str">
        <f>IF($B29="","",IF(INDEX(BDHK2,MATCH($C29,DiemHKII!$C$4:$C$58,0),DM$59)&lt;&gt;"",INDEX(BDHK2,MATCH($C29,DiemHKII!$C$4:$C$58,0),DM$59),""))</f>
        <v>Đ</v>
      </c>
      <c r="DN29" s="792">
        <f t="shared" si="56"/>
        <v>1</v>
      </c>
      <c r="DO29" s="776" t="str">
        <f>IF($B29="","",INDEX(NXetHKI!$B$3:$CL$57,MATCH(NXchung!$C29,NXetHKI!$C$3:$C$57,0),NXchung!DO$59))</f>
        <v>Rất ngoan, học có hiệu quả tốt.</v>
      </c>
      <c r="DP29" s="775" t="str">
        <f>IF($B29="","",IF(INDEX(BDHK2,MATCH($C29,DiemHKII!$C$4:$C$58,0),DP$59)&lt;&gt;"",INDEX(BDHK2,MATCH($C29,DiemHKII!$C$4:$C$58,0),DP$59),""))</f>
        <v/>
      </c>
      <c r="DQ29" s="792" t="str">
        <f t="shared" si="57"/>
        <v/>
      </c>
      <c r="DR29" s="776" t="str">
        <f t="shared" si="58"/>
        <v/>
      </c>
      <c r="DS29" s="775" t="str">
        <f>IF($B29="","",IF(INDEX(BDHK2,MATCH($C29,DiemHKII!$C$4:$C$58,0),DS$59)&lt;&gt;"",INDEX(BDHK2,MATCH($C29,DiemHKII!$C$4:$C$58,0),DS$59),""))</f>
        <v>Đ</v>
      </c>
      <c r="DT29" s="792">
        <f t="shared" si="59"/>
        <v>1</v>
      </c>
      <c r="DU29" s="776" t="str">
        <f t="shared" si="60"/>
        <v>Giỏi, có nhiều tiến bộ trong học tập.</v>
      </c>
      <c r="DV29" s="774"/>
      <c r="DW29" s="775">
        <f>IF($B29="","",IF(INDEX(BDHK2,MATCH($C29,DiemHKII!$C$4:$C$58,0),DW$59)&lt;&gt;"",INDEX(BDHK2,MATCH($C29,DiemHKII!$C$4:$C$58,0),DW$59),""))</f>
        <v>9.9</v>
      </c>
      <c r="DX29" s="792">
        <f t="shared" si="61"/>
        <v>1</v>
      </c>
      <c r="DY29" s="776" t="str">
        <f>IF($B29="","",INDEX(NXetHKI!$B$3:$CL$57,MATCH(NXchung!$C29,NXetHKI!$C$3:$C$57,0),NXchung!DY$59))</f>
        <v>Ngoan, tích cực xây dựng bài, nắm chắc thực hành, học giỏi.</v>
      </c>
      <c r="DZ29" s="775" t="str">
        <f>IF($B29="","",IF(INDEX(BDHK2,MATCH($C29,DiemHKII!$C$4:$C$58,0),DZ$59)&lt;&gt;"",INDEX(BDHK2,MATCH($C29,DiemHKII!$C$4:$C$58,0),DZ$59),""))</f>
        <v/>
      </c>
      <c r="EA29" s="792" t="str">
        <f t="shared" si="62"/>
        <v/>
      </c>
      <c r="EB29" s="776" t="str">
        <f t="shared" si="63"/>
        <v/>
      </c>
      <c r="EC29" s="775" t="str">
        <f>IF($B29="","",IF(INDEX(BDHK2,MATCH($C29,DiemHKII!$C$4:$C$58,0),EC$59)&lt;&gt;"",INDEX(BDHK2,MATCH($C29,DiemHKII!$C$4:$C$58,0),EC$59),""))</f>
        <v/>
      </c>
      <c r="ED29" s="792" t="str">
        <f t="shared" si="64"/>
        <v/>
      </c>
      <c r="EE29" s="776" t="str">
        <f t="shared" si="65"/>
        <v/>
      </c>
      <c r="EF29" s="774"/>
      <c r="EG29" s="775" t="str">
        <f>IF($B29="","",IF(INDEX(BDHK2,MATCH($C29,DiemHKII!$C$4:$C$58,0),EG$59)&lt;&gt;"",INDEX(BDHK2,MATCH($C29,DiemHKII!$C$4:$C$58,0),EG$59),""))</f>
        <v/>
      </c>
      <c r="EH29" s="792" t="str">
        <f t="shared" si="66"/>
        <v/>
      </c>
      <c r="EI29" s="776" t="str">
        <f>IF($B29="","",INDEX(NXetHKI!$B$3:$CL$57,MATCH(NXchung!$C29,NXetHKI!$C$3:$C$57,0),NXchung!EI$59))</f>
        <v/>
      </c>
      <c r="EJ29" s="775" t="str">
        <f>IF($B29="","",IF(INDEX(BDHK2,MATCH($C29,DiemHKII!$C$4:$C$58,0),EJ$59)&lt;&gt;"",INDEX(BDHK2,MATCH($C29,DiemHKII!$C$4:$C$58,0),EJ$59),""))</f>
        <v/>
      </c>
      <c r="EK29" s="792" t="str">
        <f t="shared" si="67"/>
        <v/>
      </c>
      <c r="EL29" s="776" t="str">
        <f t="shared" si="68"/>
        <v/>
      </c>
      <c r="EM29" s="775" t="str">
        <f>IF($B29="","",IF(INDEX(BDHK2,MATCH($C29,DiemHKII!$C$4:$C$58,0),EM$59)&lt;&gt;"",INDEX(BDHK2,MATCH($C29,DiemHKII!$C$4:$C$58,0),EM$59),""))</f>
        <v/>
      </c>
      <c r="EN29" s="792" t="str">
        <f t="shared" si="69"/>
        <v/>
      </c>
      <c r="EO29" s="776" t="str">
        <f t="shared" si="70"/>
        <v/>
      </c>
      <c r="EP29" s="774"/>
      <c r="ER29" s="816">
        <v>3</v>
      </c>
      <c r="ES29" s="816">
        <v>6</v>
      </c>
    </row>
    <row r="30" spans="1:149" ht="15" customHeight="1">
      <c r="A30" s="764"/>
      <c r="B30" s="771">
        <f>IF(B29&lt;MAX(DiemHKII!$B$4:$B$58),B29+1,"")</f>
        <v>28</v>
      </c>
      <c r="C30" s="771" t="str">
        <f t="shared" si="0"/>
        <v>12A1Phan Trương KiếnQuốc03/12/2004</v>
      </c>
      <c r="D30" s="772" t="str">
        <f>IF($B30&lt;&gt;"",PROPER(INDEX(DiemHKII!$B$4:$K$58,MATCH($B30,DiemHKII!$B$4:$B$58,0),4)),"")</f>
        <v>Phan Trương Kiến</v>
      </c>
      <c r="E30" s="773" t="str">
        <f>IF($B30&lt;&gt;"",PROPER(INDEX(DiemHKII!$B$4:$K$58,MATCH($B30,DiemHKII!$B$4:$B$58,0),5)),"")</f>
        <v>Quốc</v>
      </c>
      <c r="F30" s="774" t="str">
        <f>IF($B30&lt;&gt;"",PROPER(INDEX(DiemHKII!$B$4:$K$58,MATCH($B30,DiemHKII!$B$4:$B$58,0),6)),"")</f>
        <v>03/12/2004</v>
      </c>
      <c r="G30" s="775">
        <f>IF($B30="","",IF(INDEX(BDHK2,MATCH($C30,DiemHKII!$C$4:$C$58,0),G$59)&lt;&gt;"",INDEX(BDHK2,MATCH($C30,DiemHKII!$C$4:$C$58,0),G$59),""))</f>
        <v>9.5</v>
      </c>
      <c r="H30" s="792">
        <f t="shared" si="1"/>
        <v>1</v>
      </c>
      <c r="I30" s="776" t="str">
        <f>IF($B30="","",INDEX(NXetHKI!$B$3:$CL$57,MATCH(NXchung!$C30,NXetHKI!$C$3:$C$57,0),NXchung!I$59))</f>
        <v>Em chăm chỉ, chuyên cần, rất tích cực, rất đáng khen.</v>
      </c>
      <c r="J30" s="775" t="str">
        <f>IF($B30="","",IF(INDEX(BDHK2,MATCH($C30,DiemHKII!$C$4:$C$58,0),J$59)&lt;&gt;"",INDEX(BDHK2,MATCH($C30,DiemHKII!$C$4:$C$58,0),J$59),""))</f>
        <v/>
      </c>
      <c r="K30" s="792" t="str">
        <f t="shared" si="2"/>
        <v/>
      </c>
      <c r="L30" s="776" t="str">
        <f t="shared" si="3"/>
        <v/>
      </c>
      <c r="M30" s="775" t="str">
        <f>IF($B30="","",IF(INDEX(BDHK2,MATCH($C30,DiemHKII!$C$4:$C$58,0),M$59)&lt;&gt;"",INDEX(BDHK2,MATCH($C30,DiemHKII!$C$4:$C$58,0),M$59),""))</f>
        <v/>
      </c>
      <c r="N30" s="792" t="str">
        <f t="shared" si="4"/>
        <v/>
      </c>
      <c r="O30" s="776" t="str">
        <f t="shared" si="5"/>
        <v/>
      </c>
      <c r="P30" s="774"/>
      <c r="Q30" s="775">
        <f>IF($B30="","",IF(INDEX(BDHK2,MATCH($C30,DiemHKII!$C$4:$C$58,0),Q$59)&lt;&gt;"",INDEX(BDHK2,MATCH($C30,DiemHKII!$C$4:$C$58,0),Q$59),""))</f>
        <v>9.1999999999999993</v>
      </c>
      <c r="R30" s="792">
        <f t="shared" si="6"/>
        <v>1</v>
      </c>
      <c r="S30" s="776" t="str">
        <f>IF($B30="","",INDEX(NXetHKI!$B$3:$CL$57,MATCH(NXchung!$C30,NXetHKI!$C$3:$C$57,0),NXchung!S$59))</f>
        <v>Em chăm chỉ, chuyên cần, rất tích cực, rất đáng khen.</v>
      </c>
      <c r="T30" s="775" t="str">
        <f>IF($B30="","",IF(INDEX(BDHK2,MATCH($C30,DiemHKII!$C$4:$C$58,0),T$59)&lt;&gt;"",INDEX(BDHK2,MATCH($C30,DiemHKII!$C$4:$C$58,0),T$59),""))</f>
        <v/>
      </c>
      <c r="U30" s="792" t="str">
        <f t="shared" si="7"/>
        <v/>
      </c>
      <c r="V30" s="776" t="str">
        <f t="shared" si="8"/>
        <v/>
      </c>
      <c r="W30" s="775" t="str">
        <f>IF($B30="","",IF(INDEX(BDHK2,MATCH($C30,DiemHKII!$C$4:$C$58,0),W$59)&lt;&gt;"",INDEX(BDHK2,MATCH($C30,DiemHKII!$C$4:$C$58,0),W$59),""))</f>
        <v/>
      </c>
      <c r="X30" s="792" t="str">
        <f t="shared" si="9"/>
        <v/>
      </c>
      <c r="Y30" s="776" t="str">
        <f t="shared" si="10"/>
        <v/>
      </c>
      <c r="Z30" s="774"/>
      <c r="AA30" s="775">
        <f>IF($B30="","",IF(INDEX(BDHK2,MATCH($C30,DiemHKII!$C$4:$C$58,0),AA$59)&lt;&gt;"",INDEX(BDHK2,MATCH($C30,DiemHKII!$C$4:$C$58,0),AA$59),""))</f>
        <v>8.9</v>
      </c>
      <c r="AB30" s="792">
        <f t="shared" si="11"/>
        <v>2</v>
      </c>
      <c r="AC30" s="776" t="str">
        <f>IF($B30="","",INDEX(NXetHKI!$B$3:$CL$57,MATCH(NXchung!$C30,NXetHKI!$C$3:$C$57,0),NXchung!AC$59))</f>
        <v>Học giỏi, ngoan, chuyên cần.</v>
      </c>
      <c r="AD30" s="775" t="str">
        <f>IF($B30="","",IF(INDEX(BDHK2,MATCH($C30,DiemHKII!$C$4:$C$58,0),AD$59)&lt;&gt;"",INDEX(BDHK2,MATCH($C30,DiemHKII!$C$4:$C$58,0),AD$59),""))</f>
        <v/>
      </c>
      <c r="AE30" s="792" t="str">
        <f t="shared" si="12"/>
        <v/>
      </c>
      <c r="AF30" s="776" t="str">
        <f t="shared" si="13"/>
        <v/>
      </c>
      <c r="AG30" s="775" t="str">
        <f>IF($B30="","",IF(INDEX(BDHK2,MATCH($C30,DiemHKII!$C$4:$C$58,0),AG$59)&lt;&gt;"",INDEX(BDHK2,MATCH($C30,DiemHKII!$C$4:$C$58,0),AG$59),""))</f>
        <v/>
      </c>
      <c r="AH30" s="792" t="str">
        <f t="shared" si="14"/>
        <v/>
      </c>
      <c r="AI30" s="776" t="str">
        <f t="shared" si="15"/>
        <v/>
      </c>
      <c r="AJ30" s="774"/>
      <c r="AK30" s="775">
        <f>IF($B30="","",IF(INDEX(BDHK2,MATCH($C30,DiemHKII!$C$4:$C$58,0),AK$59)&lt;&gt;"",INDEX(BDHK2,MATCH($C30,DiemHKII!$C$4:$C$58,0),AK$59),""))</f>
        <v>9.5</v>
      </c>
      <c r="AL30" s="792">
        <f t="shared" si="16"/>
        <v>1</v>
      </c>
      <c r="AM30" s="776" t="str">
        <f>IF($B30="","",INDEX(NXetHKI!$B$3:$CL$57,MATCH(NXchung!$C30,NXetHKI!$C$3:$C$57,0),NXchung!AM$59))</f>
        <v>Sáng tạo, hoạt động nhóm rất tốt, biết chia sẻ kết quả học tập với bạn.</v>
      </c>
      <c r="AN30" s="775" t="str">
        <f>IF($B30="","",IF(INDEX(BDHK2,MATCH($C30,DiemHKII!$C$4:$C$58,0),AN$59)&lt;&gt;"",INDEX(BDHK2,MATCH($C30,DiemHKII!$C$4:$C$58,0),AN$59),""))</f>
        <v/>
      </c>
      <c r="AO30" s="792" t="str">
        <f t="shared" si="17"/>
        <v/>
      </c>
      <c r="AP30" s="776" t="str">
        <f t="shared" si="18"/>
        <v/>
      </c>
      <c r="AQ30" s="775" t="str">
        <f>IF($B30="","",IF(INDEX(BDHK2,MATCH($C30,DiemHKII!$C$4:$C$58,0),AQ$59)&lt;&gt;"",INDEX(BDHK2,MATCH($C30,DiemHKII!$C$4:$C$58,0),AQ$59),""))</f>
        <v/>
      </c>
      <c r="AR30" s="792" t="str">
        <f t="shared" si="19"/>
        <v/>
      </c>
      <c r="AS30" s="776" t="str">
        <f t="shared" si="20"/>
        <v/>
      </c>
      <c r="AT30" s="774"/>
      <c r="AU30" s="775">
        <f>IF($B30="","",IF(INDEX(BDHK2,MATCH($C30,DiemHKII!$C$4:$C$58,0),AU$59)&lt;&gt;"",INDEX(BDHK2,MATCH($C30,DiemHKII!$C$4:$C$58,0),AU$59),""))</f>
        <v>9.8000000000000007</v>
      </c>
      <c r="AV30" s="792">
        <f t="shared" si="21"/>
        <v>1</v>
      </c>
      <c r="AW30" s="776" t="str">
        <f>IF($B30="","",INDEX(NXetHKI!$B$3:$CL$57,MATCH(NXchung!$C30,NXetHKI!$C$3:$C$57,0),NXchung!AW$59))</f>
        <v>Rất ngoan, cố gắng có hiệu quả.</v>
      </c>
      <c r="AX30" s="775" t="str">
        <f>IF($B30="","",IF(INDEX(BDHK2,MATCH($C30,DiemHKII!$C$4:$C$58,0),AX$59)&lt;&gt;"",INDEX(BDHK2,MATCH($C30,DiemHKII!$C$4:$C$58,0),AX$59),""))</f>
        <v/>
      </c>
      <c r="AY30" s="792" t="str">
        <f t="shared" si="22"/>
        <v/>
      </c>
      <c r="AZ30" s="776" t="str">
        <f t="shared" si="23"/>
        <v/>
      </c>
      <c r="BA30" s="775" t="str">
        <f>IF($B30="","",IF(INDEX(BDHK2,MATCH($C30,DiemHKII!$C$4:$C$58,0),BA$59)&lt;&gt;"",INDEX(BDHK2,MATCH($C30,DiemHKII!$C$4:$C$58,0),BA$59),""))</f>
        <v/>
      </c>
      <c r="BB30" s="792" t="str">
        <f t="shared" si="24"/>
        <v/>
      </c>
      <c r="BC30" s="776" t="str">
        <f t="shared" si="25"/>
        <v/>
      </c>
      <c r="BD30" s="774"/>
      <c r="BE30" s="775">
        <f>IF($B30="","",IF(INDEX(BDHK2,MATCH($C30,DiemHKII!$C$4:$C$58,0),BE$59)&lt;&gt;"",INDEX(BDHK2,MATCH($C30,DiemHKII!$C$4:$C$58,0),BE$59),""))</f>
        <v>7.7</v>
      </c>
      <c r="BF30" s="792">
        <f t="shared" si="26"/>
        <v>4</v>
      </c>
      <c r="BG30" s="776" t="str">
        <f>IF($B30="","",INDEX(NXetHKI!$B$3:$CL$57,MATCH(NXchung!$C30,NXetHKI!$C$3:$C$57,0),NXchung!BG$59))</f>
        <v>Có năng khiếu, tự giác, cảm nhận được văn bản.</v>
      </c>
      <c r="BH30" s="775" t="str">
        <f>IF($B30="","",IF(INDEX(BDHK2,MATCH($C30,DiemHKII!$C$4:$C$58,0),BH$59)&lt;&gt;"",INDEX(BDHK2,MATCH($C30,DiemHKII!$C$4:$C$58,0),BH$59),""))</f>
        <v/>
      </c>
      <c r="BI30" s="792" t="str">
        <f t="shared" si="27"/>
        <v/>
      </c>
      <c r="BJ30" s="776" t="str">
        <f t="shared" si="28"/>
        <v/>
      </c>
      <c r="BK30" s="775" t="str">
        <f>IF($B30="","",IF(INDEX(BDHK2,MATCH($C30,DiemHKII!$C$4:$C$58,0),BK$59)&lt;&gt;"",INDEX(BDHK2,MATCH($C30,DiemHKII!$C$4:$C$58,0),BK$59),""))</f>
        <v/>
      </c>
      <c r="BL30" s="792" t="str">
        <f t="shared" si="29"/>
        <v/>
      </c>
      <c r="BM30" s="776" t="str">
        <f t="shared" si="30"/>
        <v/>
      </c>
      <c r="BN30" s="774"/>
      <c r="BO30" s="775">
        <f>IF($B30="","",IF(INDEX(BDHK2,MATCH($C30,DiemHKII!$C$4:$C$58,0),BO$59)&lt;&gt;"",INDEX(BDHK2,MATCH($C30,DiemHKII!$C$4:$C$58,0),BO$59),""))</f>
        <v>9.6</v>
      </c>
      <c r="BP30" s="792">
        <f t="shared" si="31"/>
        <v>1</v>
      </c>
      <c r="BQ30" s="776" t="str">
        <f>IF($B30="","",INDEX(NXetHKI!$B$3:$CL$57,MATCH(NXchung!$C30,NXetHKI!$C$3:$C$57,0),NXchung!BQ$59))</f>
        <v>Chăm ngoan, tích cực, chủ động tiếp thu bài học.</v>
      </c>
      <c r="BR30" s="775" t="str">
        <f>IF($B30="","",IF(INDEX(BDHK2,MATCH($C30,DiemHKII!$C$4:$C$58,0),BR$59)&lt;&gt;"",INDEX(BDHK2,MATCH($C30,DiemHKII!$C$4:$C$58,0),BR$59),""))</f>
        <v/>
      </c>
      <c r="BS30" s="792" t="str">
        <f t="shared" si="32"/>
        <v/>
      </c>
      <c r="BT30" s="776" t="str">
        <f t="shared" si="33"/>
        <v/>
      </c>
      <c r="BU30" s="775" t="str">
        <f>IF($B30="","",IF(INDEX(BDHK2,MATCH($C30,DiemHKII!$C$4:$C$58,0),BU$59)&lt;&gt;"",INDEX(BDHK2,MATCH($C30,DiemHKII!$C$4:$C$58,0),BU$59),""))</f>
        <v/>
      </c>
      <c r="BV30" s="792" t="str">
        <f t="shared" si="34"/>
        <v/>
      </c>
      <c r="BW30" s="776" t="str">
        <f t="shared" si="35"/>
        <v/>
      </c>
      <c r="BX30" s="774"/>
      <c r="BY30" s="775">
        <f>IF($B30="","",IF(INDEX(BDHK2,MATCH($C30,DiemHKII!$C$4:$C$58,0),BY$59)&lt;&gt;"",INDEX(BDHK2,MATCH($C30,DiemHKII!$C$4:$C$58,0),BY$59),""))</f>
        <v>9.9</v>
      </c>
      <c r="BZ30" s="792">
        <f t="shared" si="36"/>
        <v>1</v>
      </c>
      <c r="CA30" s="776" t="str">
        <f>IF($B30="","",INDEX(NXetHKI!$B$3:$CL$57,MATCH(NXchung!$C30,NXetHKI!$C$3:$C$57,0),NXchung!CA$59))</f>
        <v>Em rất ngoan, cố gắng có hiệu quả.</v>
      </c>
      <c r="CB30" s="775" t="str">
        <f>IF($B30="","",IF(INDEX(BDHK2,MATCH($C30,DiemHKII!$C$4:$C$58,0),CB$59)&lt;&gt;"",INDEX(BDHK2,MATCH($C30,DiemHKII!$C$4:$C$58,0),CB$59),""))</f>
        <v/>
      </c>
      <c r="CC30" s="792" t="str">
        <f t="shared" si="37"/>
        <v/>
      </c>
      <c r="CD30" s="776" t="str">
        <f t="shared" si="38"/>
        <v/>
      </c>
      <c r="CE30" s="775" t="str">
        <f>IF($B30="","",IF(INDEX(BDHK2,MATCH($C30,DiemHKII!$C$4:$C$58,0),CE$59)&lt;&gt;"",INDEX(BDHK2,MATCH($C30,DiemHKII!$C$4:$C$58,0),CE$59),""))</f>
        <v/>
      </c>
      <c r="CF30" s="792" t="str">
        <f t="shared" si="39"/>
        <v/>
      </c>
      <c r="CG30" s="776" t="str">
        <f t="shared" si="40"/>
        <v/>
      </c>
      <c r="CH30" s="774"/>
      <c r="CI30" s="775">
        <f>IF($B30="","",IF(INDEX(BDHK2,MATCH($C30,DiemHKII!$C$4:$C$58,0),CI$59)&lt;&gt;"",INDEX(BDHK2,MATCH($C30,DiemHKII!$C$4:$C$58,0),CI$59),""))</f>
        <v>7.5</v>
      </c>
      <c r="CJ30" s="792">
        <f t="shared" si="41"/>
        <v>4</v>
      </c>
      <c r="CK30" s="776" t="str">
        <f>IF($B30="","",INDEX(NXetHKI!$B$3:$CL$57,MATCH(NXchung!$C30,NXetHKI!$C$3:$C$57,0),NXchung!CK$59))</f>
        <v>Nắm vững kiến thức căn bản, cần phát huy khả năng tự học để trau dồi thêm kiến thức.</v>
      </c>
      <c r="CL30" s="775" t="str">
        <f>IF($B30="","",IF(INDEX(BDHK2,MATCH($C30,DiemHKII!$C$4:$C$58,0),CL$59)&lt;&gt;"",INDEX(BDHK2,MATCH($C30,DiemHKII!$C$4:$C$58,0),CL$59),""))</f>
        <v/>
      </c>
      <c r="CM30" s="792" t="str">
        <f t="shared" si="42"/>
        <v/>
      </c>
      <c r="CN30" s="776" t="str">
        <f t="shared" si="43"/>
        <v/>
      </c>
      <c r="CO30" s="775" t="str">
        <f>IF($B30="","",IF(INDEX(BDHK2,MATCH($C30,DiemHKII!$C$4:$C$58,0),CO$59)&lt;&gt;"",INDEX(BDHK2,MATCH($C30,DiemHKII!$C$4:$C$58,0),CO$59),""))</f>
        <v/>
      </c>
      <c r="CP30" s="792" t="str">
        <f t="shared" si="44"/>
        <v/>
      </c>
      <c r="CQ30" s="776" t="str">
        <f t="shared" si="45"/>
        <v/>
      </c>
      <c r="CR30" s="774"/>
      <c r="CS30" s="775">
        <f>IF($B30="","",IF(INDEX(BDHK2,MATCH($C30,DiemHKII!$C$4:$C$58,0),CS$59)&lt;&gt;"",INDEX(BDHK2,MATCH($C30,DiemHKII!$C$4:$C$58,0),CS$59),""))</f>
        <v>9.1</v>
      </c>
      <c r="CT30" s="792">
        <f t="shared" si="46"/>
        <v>1</v>
      </c>
      <c r="CU30" s="776" t="str">
        <f>IF($B30="","",INDEX(NXetHKI!$B$3:$CL$57,MATCH(NXchung!$C30,NXetHKI!$C$3:$C$57,0),NXchung!CU$59))</f>
        <v>Hứng thú, có trách nhiệm học tập tốt.</v>
      </c>
      <c r="CV30" s="775" t="str">
        <f>IF($B30="","",IF(INDEX(BDHK2,MATCH($C30,DiemHKII!$C$4:$C$58,0),CV$59)&lt;&gt;"",INDEX(BDHK2,MATCH($C30,DiemHKII!$C$4:$C$58,0),CV$59),""))</f>
        <v/>
      </c>
      <c r="CW30" s="792" t="str">
        <f t="shared" si="47"/>
        <v/>
      </c>
      <c r="CX30" s="776" t="str">
        <f t="shared" si="48"/>
        <v/>
      </c>
      <c r="CY30" s="775" t="str">
        <f>IF($B30="","",IF(INDEX(BDHK2,MATCH($C30,DiemHKII!$C$4:$C$58,0),CY$59)&lt;&gt;"",INDEX(BDHK2,MATCH($C30,DiemHKII!$C$4:$C$58,0),CY$59),""))</f>
        <v/>
      </c>
      <c r="CZ30" s="792" t="str">
        <f t="shared" si="49"/>
        <v/>
      </c>
      <c r="DA30" s="776" t="str">
        <f t="shared" si="50"/>
        <v/>
      </c>
      <c r="DB30" s="774"/>
      <c r="DC30" s="775">
        <f>IF($B30="","",IF(INDEX(BDHK2,MATCH($C30,DiemHKII!$C$4:$C$58,0),DC$59)&lt;&gt;"",INDEX(BDHK2,MATCH($C30,DiemHKII!$C$4:$C$58,0),DC$59),""))</f>
        <v>9.8000000000000007</v>
      </c>
      <c r="DD30" s="792">
        <f t="shared" si="51"/>
        <v>1</v>
      </c>
      <c r="DE30" s="776" t="str">
        <f>IF($B30="","",INDEX(NXetHKI!$B$3:$CL$57,MATCH(NXchung!$C30,NXetHKI!$C$3:$C$57,0),NXchung!DE$59))</f>
        <v>Học giỏi, năng động, chăm ngoan.</v>
      </c>
      <c r="DF30" s="775" t="str">
        <f>IF($B30="","",IF(INDEX(BDHK2,MATCH($C30,DiemHKII!$C$4:$C$58,0),DF$59)&lt;&gt;"",INDEX(BDHK2,MATCH($C30,DiemHKII!$C$4:$C$58,0),DF$59),""))</f>
        <v/>
      </c>
      <c r="DG30" s="792" t="str">
        <f t="shared" si="52"/>
        <v/>
      </c>
      <c r="DH30" s="776" t="str">
        <f t="shared" si="53"/>
        <v/>
      </c>
      <c r="DI30" s="775" t="str">
        <f>IF($B30="","",IF(INDEX(BDHK2,MATCH($C30,DiemHKII!$C$4:$C$58,0),DI$59)&lt;&gt;"",INDEX(BDHK2,MATCH($C30,DiemHKII!$C$4:$C$58,0),DI$59),""))</f>
        <v/>
      </c>
      <c r="DJ30" s="792" t="str">
        <f t="shared" si="54"/>
        <v/>
      </c>
      <c r="DK30" s="776" t="str">
        <f t="shared" si="55"/>
        <v/>
      </c>
      <c r="DL30" s="774"/>
      <c r="DM30" s="775" t="str">
        <f>IF($B30="","",IF(INDEX(BDHK2,MATCH($C30,DiemHKII!$C$4:$C$58,0),DM$59)&lt;&gt;"",INDEX(BDHK2,MATCH($C30,DiemHKII!$C$4:$C$58,0),DM$59),""))</f>
        <v>Đ</v>
      </c>
      <c r="DN30" s="792">
        <f t="shared" si="56"/>
        <v>1</v>
      </c>
      <c r="DO30" s="776" t="str">
        <f>IF($B30="","",INDEX(NXetHKI!$B$3:$CL$57,MATCH(NXchung!$C30,NXetHKI!$C$3:$C$57,0),NXchung!DO$59))</f>
        <v>Chăm chỉ, cố gắng, rất ngoan.</v>
      </c>
      <c r="DP30" s="775" t="str">
        <f>IF($B30="","",IF(INDEX(BDHK2,MATCH($C30,DiemHKII!$C$4:$C$58,0),DP$59)&lt;&gt;"",INDEX(BDHK2,MATCH($C30,DiemHKII!$C$4:$C$58,0),DP$59),""))</f>
        <v/>
      </c>
      <c r="DQ30" s="792" t="str">
        <f t="shared" si="57"/>
        <v/>
      </c>
      <c r="DR30" s="776" t="str">
        <f t="shared" si="58"/>
        <v/>
      </c>
      <c r="DS30" s="775" t="str">
        <f>IF($B30="","",IF(INDEX(BDHK2,MATCH($C30,DiemHKII!$C$4:$C$58,0),DS$59)&lt;&gt;"",INDEX(BDHK2,MATCH($C30,DiemHKII!$C$4:$C$58,0),DS$59),""))</f>
        <v>Đ</v>
      </c>
      <c r="DT30" s="792">
        <f t="shared" si="59"/>
        <v>1</v>
      </c>
      <c r="DU30" s="776" t="str">
        <f t="shared" si="60"/>
        <v>Rất ngoan, học có hiệu quả tốt.</v>
      </c>
      <c r="DV30" s="774"/>
      <c r="DW30" s="775">
        <f>IF($B30="","",IF(INDEX(BDHK2,MATCH($C30,DiemHKII!$C$4:$C$58,0),DW$59)&lt;&gt;"",INDEX(BDHK2,MATCH($C30,DiemHKII!$C$4:$C$58,0),DW$59),""))</f>
        <v>9.9</v>
      </c>
      <c r="DX30" s="792">
        <f t="shared" si="61"/>
        <v>1</v>
      </c>
      <c r="DY30" s="776" t="str">
        <f>IF($B30="","",INDEX(NXetHKI!$B$3:$CL$57,MATCH(NXchung!$C30,NXetHKI!$C$3:$C$57,0),NXchung!DY$59))</f>
        <v>Siêng năng, lễ phép, thành thạo thực hành, học giỏi.</v>
      </c>
      <c r="DZ30" s="775" t="str">
        <f>IF($B30="","",IF(INDEX(BDHK2,MATCH($C30,DiemHKII!$C$4:$C$58,0),DZ$59)&lt;&gt;"",INDEX(BDHK2,MATCH($C30,DiemHKII!$C$4:$C$58,0),DZ$59),""))</f>
        <v/>
      </c>
      <c r="EA30" s="792" t="str">
        <f t="shared" si="62"/>
        <v/>
      </c>
      <c r="EB30" s="776" t="str">
        <f t="shared" si="63"/>
        <v/>
      </c>
      <c r="EC30" s="775" t="str">
        <f>IF($B30="","",IF(INDEX(BDHK2,MATCH($C30,DiemHKII!$C$4:$C$58,0),EC$59)&lt;&gt;"",INDEX(BDHK2,MATCH($C30,DiemHKII!$C$4:$C$58,0),EC$59),""))</f>
        <v/>
      </c>
      <c r="ED30" s="792" t="str">
        <f t="shared" si="64"/>
        <v/>
      </c>
      <c r="EE30" s="776" t="str">
        <f t="shared" si="65"/>
        <v/>
      </c>
      <c r="EF30" s="774"/>
      <c r="EG30" s="775" t="str">
        <f>IF($B30="","",IF(INDEX(BDHK2,MATCH($C30,DiemHKII!$C$4:$C$58,0),EG$59)&lt;&gt;"",INDEX(BDHK2,MATCH($C30,DiemHKII!$C$4:$C$58,0),EG$59),""))</f>
        <v/>
      </c>
      <c r="EH30" s="792" t="str">
        <f t="shared" si="66"/>
        <v/>
      </c>
      <c r="EI30" s="776" t="str">
        <f>IF($B30="","",INDEX(NXetHKI!$B$3:$CL$57,MATCH(NXchung!$C30,NXetHKI!$C$3:$C$57,0),NXchung!EI$59))</f>
        <v/>
      </c>
      <c r="EJ30" s="775" t="str">
        <f>IF($B30="","",IF(INDEX(BDHK2,MATCH($C30,DiemHKII!$C$4:$C$58,0),EJ$59)&lt;&gt;"",INDEX(BDHK2,MATCH($C30,DiemHKII!$C$4:$C$58,0),EJ$59),""))</f>
        <v/>
      </c>
      <c r="EK30" s="792" t="str">
        <f t="shared" si="67"/>
        <v/>
      </c>
      <c r="EL30" s="776" t="str">
        <f t="shared" si="68"/>
        <v/>
      </c>
      <c r="EM30" s="775" t="str">
        <f>IF($B30="","",IF(INDEX(BDHK2,MATCH($C30,DiemHKII!$C$4:$C$58,0),EM$59)&lt;&gt;"",INDEX(BDHK2,MATCH($C30,DiemHKII!$C$4:$C$58,0),EM$59),""))</f>
        <v/>
      </c>
      <c r="EN30" s="792" t="str">
        <f t="shared" si="69"/>
        <v/>
      </c>
      <c r="EO30" s="776" t="str">
        <f t="shared" si="70"/>
        <v/>
      </c>
      <c r="EP30" s="774"/>
      <c r="ER30" s="816">
        <v>6</v>
      </c>
      <c r="ES30" s="816">
        <v>9</v>
      </c>
    </row>
    <row r="31" spans="1:149" ht="15" customHeight="1">
      <c r="B31" s="771">
        <f>IF(B30&lt;MAX(DiemHKII!$B$4:$B$58),B30+1,"")</f>
        <v>29</v>
      </c>
      <c r="C31" s="771" t="str">
        <f t="shared" si="0"/>
        <v>12A1Trần Thị NhưQuỳnh28/01/2004</v>
      </c>
      <c r="D31" s="772" t="str">
        <f>IF($B31&lt;&gt;"",PROPER(INDEX(DiemHKII!$B$4:$K$58,MATCH($B31,DiemHKII!$B$4:$B$58,0),4)),"")</f>
        <v>Trần Thị Như</v>
      </c>
      <c r="E31" s="773" t="str">
        <f>IF($B31&lt;&gt;"",PROPER(INDEX(DiemHKII!$B$4:$K$58,MATCH($B31,DiemHKII!$B$4:$B$58,0),5)),"")</f>
        <v>Quỳnh</v>
      </c>
      <c r="F31" s="774" t="str">
        <f>IF($B31&lt;&gt;"",PROPER(INDEX(DiemHKII!$B$4:$K$58,MATCH($B31,DiemHKII!$B$4:$B$58,0),6)),"")</f>
        <v>28/01/2004</v>
      </c>
      <c r="G31" s="775">
        <f>IF($B31="","",IF(INDEX(BDHK2,MATCH($C31,DiemHKII!$C$4:$C$58,0),G$59)&lt;&gt;"",INDEX(BDHK2,MATCH($C31,DiemHKII!$C$4:$C$58,0),G$59),""))</f>
        <v>9.8000000000000007</v>
      </c>
      <c r="H31" s="792">
        <f t="shared" si="1"/>
        <v>1</v>
      </c>
      <c r="I31" s="776" t="str">
        <f>IF($B31="","",INDEX(NXetHKI!$B$3:$CL$57,MATCH(NXchung!$C31,NXetHKI!$C$3:$C$57,0),NXchung!I$59))</f>
        <v>Em học giỏi, chăm ngoan, tính tự giác cao, rất tốt.</v>
      </c>
      <c r="J31" s="775" t="str">
        <f>IF($B31="","",IF(INDEX(BDHK2,MATCH($C31,DiemHKII!$C$4:$C$58,0),J$59)&lt;&gt;"",INDEX(BDHK2,MATCH($C31,DiemHKII!$C$4:$C$58,0),J$59),""))</f>
        <v/>
      </c>
      <c r="K31" s="792" t="str">
        <f t="shared" si="2"/>
        <v/>
      </c>
      <c r="L31" s="776" t="str">
        <f t="shared" si="3"/>
        <v/>
      </c>
      <c r="M31" s="775" t="str">
        <f>IF($B31="","",IF(INDEX(BDHK2,MATCH($C31,DiemHKII!$C$4:$C$58,0),M$59)&lt;&gt;"",INDEX(BDHK2,MATCH($C31,DiemHKII!$C$4:$C$58,0),M$59),""))</f>
        <v/>
      </c>
      <c r="N31" s="792" t="str">
        <f t="shared" si="4"/>
        <v/>
      </c>
      <c r="O31" s="776" t="str">
        <f t="shared" si="5"/>
        <v/>
      </c>
      <c r="P31" s="774"/>
      <c r="Q31" s="775">
        <f>IF($B31="","",IF(INDEX(BDHK2,MATCH($C31,DiemHKII!$C$4:$C$58,0),Q$59)&lt;&gt;"",INDEX(BDHK2,MATCH($C31,DiemHKII!$C$4:$C$58,0),Q$59),""))</f>
        <v>9.9</v>
      </c>
      <c r="R31" s="792">
        <f t="shared" si="6"/>
        <v>1</v>
      </c>
      <c r="S31" s="776" t="str">
        <f>IF($B31="","",INDEX(NXetHKI!$B$3:$CL$57,MATCH(NXchung!$C31,NXetHKI!$C$3:$C$57,0),NXchung!S$59))</f>
        <v>Em học giỏi, chăm ngoan, tính tự giác cao, rất tốt.</v>
      </c>
      <c r="T31" s="775" t="str">
        <f>IF($B31="","",IF(INDEX(BDHK2,MATCH($C31,DiemHKII!$C$4:$C$58,0),T$59)&lt;&gt;"",INDEX(BDHK2,MATCH($C31,DiemHKII!$C$4:$C$58,0),T$59),""))</f>
        <v/>
      </c>
      <c r="U31" s="792" t="str">
        <f t="shared" si="7"/>
        <v/>
      </c>
      <c r="V31" s="776" t="str">
        <f t="shared" si="8"/>
        <v/>
      </c>
      <c r="W31" s="775" t="str">
        <f>IF($B31="","",IF(INDEX(BDHK2,MATCH($C31,DiemHKII!$C$4:$C$58,0),W$59)&lt;&gt;"",INDEX(BDHK2,MATCH($C31,DiemHKII!$C$4:$C$58,0),W$59),""))</f>
        <v/>
      </c>
      <c r="X31" s="792" t="str">
        <f t="shared" si="9"/>
        <v/>
      </c>
      <c r="Y31" s="776" t="str">
        <f t="shared" si="10"/>
        <v/>
      </c>
      <c r="Z31" s="774"/>
      <c r="AA31" s="775">
        <f>IF($B31="","",IF(INDEX(BDHK2,MATCH($C31,DiemHKII!$C$4:$C$58,0),AA$59)&lt;&gt;"",INDEX(BDHK2,MATCH($C31,DiemHKII!$C$4:$C$58,0),AA$59),""))</f>
        <v>9.4</v>
      </c>
      <c r="AB31" s="792">
        <f t="shared" si="11"/>
        <v>1</v>
      </c>
      <c r="AC31" s="776" t="str">
        <f>IF($B31="","",INDEX(NXetHKI!$B$3:$CL$57,MATCH(NXchung!$C31,NXetHKI!$C$3:$C$57,0),NXchung!AC$59))</f>
        <v>Kiến thức vững, tự học tốt, ngoan.</v>
      </c>
      <c r="AD31" s="775" t="str">
        <f>IF($B31="","",IF(INDEX(BDHK2,MATCH($C31,DiemHKII!$C$4:$C$58,0),AD$59)&lt;&gt;"",INDEX(BDHK2,MATCH($C31,DiemHKII!$C$4:$C$58,0),AD$59),""))</f>
        <v/>
      </c>
      <c r="AE31" s="792" t="str">
        <f t="shared" si="12"/>
        <v/>
      </c>
      <c r="AF31" s="776" t="str">
        <f t="shared" si="13"/>
        <v/>
      </c>
      <c r="AG31" s="775" t="str">
        <f>IF($B31="","",IF(INDEX(BDHK2,MATCH($C31,DiemHKII!$C$4:$C$58,0),AG$59)&lt;&gt;"",INDEX(BDHK2,MATCH($C31,DiemHKII!$C$4:$C$58,0),AG$59),""))</f>
        <v/>
      </c>
      <c r="AH31" s="792" t="str">
        <f t="shared" si="14"/>
        <v/>
      </c>
      <c r="AI31" s="776" t="str">
        <f t="shared" si="15"/>
        <v/>
      </c>
      <c r="AJ31" s="774"/>
      <c r="AK31" s="775">
        <f>IF($B31="","",IF(INDEX(BDHK2,MATCH($C31,DiemHKII!$C$4:$C$58,0),AK$59)&lt;&gt;"",INDEX(BDHK2,MATCH($C31,DiemHKII!$C$4:$C$58,0),AK$59),""))</f>
        <v>9.3000000000000007</v>
      </c>
      <c r="AL31" s="792">
        <f t="shared" si="16"/>
        <v>1</v>
      </c>
      <c r="AM31" s="776" t="str">
        <f>IF($B31="","",INDEX(NXetHKI!$B$3:$CL$57,MATCH(NXchung!$C31,NXetHKI!$C$3:$C$57,0),NXchung!AM$59))</f>
        <v>Có khả năng tự học và tự chủ bản thân, tích cực trong học tập.</v>
      </c>
      <c r="AN31" s="775" t="str">
        <f>IF($B31="","",IF(INDEX(BDHK2,MATCH($C31,DiemHKII!$C$4:$C$58,0),AN$59)&lt;&gt;"",INDEX(BDHK2,MATCH($C31,DiemHKII!$C$4:$C$58,0),AN$59),""))</f>
        <v/>
      </c>
      <c r="AO31" s="792" t="str">
        <f t="shared" si="17"/>
        <v/>
      </c>
      <c r="AP31" s="776" t="str">
        <f t="shared" si="18"/>
        <v/>
      </c>
      <c r="AQ31" s="775" t="str">
        <f>IF($B31="","",IF(INDEX(BDHK2,MATCH($C31,DiemHKII!$C$4:$C$58,0),AQ$59)&lt;&gt;"",INDEX(BDHK2,MATCH($C31,DiemHKII!$C$4:$C$58,0),AQ$59),""))</f>
        <v/>
      </c>
      <c r="AR31" s="792" t="str">
        <f t="shared" si="19"/>
        <v/>
      </c>
      <c r="AS31" s="776" t="str">
        <f t="shared" si="20"/>
        <v/>
      </c>
      <c r="AT31" s="774"/>
      <c r="AU31" s="775">
        <f>IF($B31="","",IF(INDEX(BDHK2,MATCH($C31,DiemHKII!$C$4:$C$58,0),AU$59)&lt;&gt;"",INDEX(BDHK2,MATCH($C31,DiemHKII!$C$4:$C$58,0),AU$59),""))</f>
        <v>9.9</v>
      </c>
      <c r="AV31" s="792">
        <f t="shared" si="21"/>
        <v>1</v>
      </c>
      <c r="AW31" s="776" t="str">
        <f>IF($B31="","",INDEX(NXetHKI!$B$3:$CL$57,MATCH(NXchung!$C31,NXetHKI!$C$3:$C$57,0),NXchung!AW$59))</f>
        <v>Ngoan, chăm chỉ, tư duy tốt.</v>
      </c>
      <c r="AX31" s="775" t="str">
        <f>IF($B31="","",IF(INDEX(BDHK2,MATCH($C31,DiemHKII!$C$4:$C$58,0),AX$59)&lt;&gt;"",INDEX(BDHK2,MATCH($C31,DiemHKII!$C$4:$C$58,0),AX$59),""))</f>
        <v/>
      </c>
      <c r="AY31" s="792" t="str">
        <f t="shared" si="22"/>
        <v/>
      </c>
      <c r="AZ31" s="776" t="str">
        <f t="shared" si="23"/>
        <v/>
      </c>
      <c r="BA31" s="775" t="str">
        <f>IF($B31="","",IF(INDEX(BDHK2,MATCH($C31,DiemHKII!$C$4:$C$58,0),BA$59)&lt;&gt;"",INDEX(BDHK2,MATCH($C31,DiemHKII!$C$4:$C$58,0),BA$59),""))</f>
        <v/>
      </c>
      <c r="BB31" s="792" t="str">
        <f t="shared" si="24"/>
        <v/>
      </c>
      <c r="BC31" s="776" t="str">
        <f t="shared" si="25"/>
        <v/>
      </c>
      <c r="BD31" s="774"/>
      <c r="BE31" s="775">
        <f>IF($B31="","",IF(INDEX(BDHK2,MATCH($C31,DiemHKII!$C$4:$C$58,0),BE$59)&lt;&gt;"",INDEX(BDHK2,MATCH($C31,DiemHKII!$C$4:$C$58,0),BE$59),""))</f>
        <v>7.8</v>
      </c>
      <c r="BF31" s="792">
        <f t="shared" si="26"/>
        <v>4</v>
      </c>
      <c r="BG31" s="776" t="str">
        <f>IF($B31="","",INDEX(NXetHKI!$B$3:$CL$57,MATCH(NXchung!$C31,NXetHKI!$C$3:$C$57,0),NXchung!BG$59))</f>
        <v>Có tinh thần học tập tốt, cần cố gắng rèn luyện thêm các kỹ năng.</v>
      </c>
      <c r="BH31" s="775" t="str">
        <f>IF($B31="","",IF(INDEX(BDHK2,MATCH($C31,DiemHKII!$C$4:$C$58,0),BH$59)&lt;&gt;"",INDEX(BDHK2,MATCH($C31,DiemHKII!$C$4:$C$58,0),BH$59),""))</f>
        <v/>
      </c>
      <c r="BI31" s="792" t="str">
        <f t="shared" si="27"/>
        <v/>
      </c>
      <c r="BJ31" s="776" t="str">
        <f t="shared" si="28"/>
        <v/>
      </c>
      <c r="BK31" s="775" t="str">
        <f>IF($B31="","",IF(INDEX(BDHK2,MATCH($C31,DiemHKII!$C$4:$C$58,0),BK$59)&lt;&gt;"",INDEX(BDHK2,MATCH($C31,DiemHKII!$C$4:$C$58,0),BK$59),""))</f>
        <v/>
      </c>
      <c r="BL31" s="792" t="str">
        <f t="shared" si="29"/>
        <v/>
      </c>
      <c r="BM31" s="776" t="str">
        <f t="shared" si="30"/>
        <v/>
      </c>
      <c r="BN31" s="774"/>
      <c r="BO31" s="775">
        <f>IF($B31="","",IF(INDEX(BDHK2,MATCH($C31,DiemHKII!$C$4:$C$58,0),BO$59)&lt;&gt;"",INDEX(BDHK2,MATCH($C31,DiemHKII!$C$4:$C$58,0),BO$59),""))</f>
        <v>9.6</v>
      </c>
      <c r="BP31" s="792">
        <f t="shared" si="31"/>
        <v>1</v>
      </c>
      <c r="BQ31" s="776" t="str">
        <f>IF($B31="","",INDEX(NXetHKI!$B$3:$CL$57,MATCH(NXchung!$C31,NXetHKI!$C$3:$C$57,0),NXchung!BQ$59))</f>
        <v>Tiếp thu bài tốt, ghi nhớ nhanh các sự kiện lịch sử.</v>
      </c>
      <c r="BR31" s="775" t="str">
        <f>IF($B31="","",IF(INDEX(BDHK2,MATCH($C31,DiemHKII!$C$4:$C$58,0),BR$59)&lt;&gt;"",INDEX(BDHK2,MATCH($C31,DiemHKII!$C$4:$C$58,0),BR$59),""))</f>
        <v/>
      </c>
      <c r="BS31" s="792" t="str">
        <f t="shared" si="32"/>
        <v/>
      </c>
      <c r="BT31" s="776" t="str">
        <f t="shared" si="33"/>
        <v/>
      </c>
      <c r="BU31" s="775" t="str">
        <f>IF($B31="","",IF(INDEX(BDHK2,MATCH($C31,DiemHKII!$C$4:$C$58,0),BU$59)&lt;&gt;"",INDEX(BDHK2,MATCH($C31,DiemHKII!$C$4:$C$58,0),BU$59),""))</f>
        <v/>
      </c>
      <c r="BV31" s="792" t="str">
        <f t="shared" si="34"/>
        <v/>
      </c>
      <c r="BW31" s="776" t="str">
        <f t="shared" si="35"/>
        <v/>
      </c>
      <c r="BX31" s="774"/>
      <c r="BY31" s="775">
        <f>IF($B31="","",IF(INDEX(BDHK2,MATCH($C31,DiemHKII!$C$4:$C$58,0),BY$59)&lt;&gt;"",INDEX(BDHK2,MATCH($C31,DiemHKII!$C$4:$C$58,0),BY$59),""))</f>
        <v>9.6</v>
      </c>
      <c r="BZ31" s="792">
        <f t="shared" si="36"/>
        <v>1</v>
      </c>
      <c r="CA31" s="776" t="str">
        <f>IF($B31="","",INDEX(NXetHKI!$B$3:$CL$57,MATCH(NXchung!$C31,NXetHKI!$C$3:$C$57,0),NXchung!CA$59))</f>
        <v>Em có tư duy tốt, rất tích cực, giải quyết vấn đề tốt.</v>
      </c>
      <c r="CB31" s="775" t="str">
        <f>IF($B31="","",IF(INDEX(BDHK2,MATCH($C31,DiemHKII!$C$4:$C$58,0),CB$59)&lt;&gt;"",INDEX(BDHK2,MATCH($C31,DiemHKII!$C$4:$C$58,0),CB$59),""))</f>
        <v/>
      </c>
      <c r="CC31" s="792" t="str">
        <f t="shared" si="37"/>
        <v/>
      </c>
      <c r="CD31" s="776" t="str">
        <f t="shared" si="38"/>
        <v/>
      </c>
      <c r="CE31" s="775" t="str">
        <f>IF($B31="","",IF(INDEX(BDHK2,MATCH($C31,DiemHKII!$C$4:$C$58,0),CE$59)&lt;&gt;"",INDEX(BDHK2,MATCH($C31,DiemHKII!$C$4:$C$58,0),CE$59),""))</f>
        <v/>
      </c>
      <c r="CF31" s="792" t="str">
        <f t="shared" si="39"/>
        <v/>
      </c>
      <c r="CG31" s="776" t="str">
        <f t="shared" si="40"/>
        <v/>
      </c>
      <c r="CH31" s="774"/>
      <c r="CI31" s="775">
        <f>IF($B31="","",IF(INDEX(BDHK2,MATCH($C31,DiemHKII!$C$4:$C$58,0),CI$59)&lt;&gt;"",INDEX(BDHK2,MATCH($C31,DiemHKII!$C$4:$C$58,0),CI$59),""))</f>
        <v>8.6999999999999993</v>
      </c>
      <c r="CJ31" s="792">
        <f t="shared" si="41"/>
        <v>2</v>
      </c>
      <c r="CK31" s="776" t="str">
        <f>IF($B31="","",INDEX(NXetHKI!$B$3:$CL$57,MATCH(NXchung!$C31,NXetHKI!$C$3:$C$57,0),NXchung!CK$59))</f>
        <v>Có khả năng nghe, nói và ngữ pháp vững.</v>
      </c>
      <c r="CL31" s="775" t="str">
        <f>IF($B31="","",IF(INDEX(BDHK2,MATCH($C31,DiemHKII!$C$4:$C$58,0),CL$59)&lt;&gt;"",INDEX(BDHK2,MATCH($C31,DiemHKII!$C$4:$C$58,0),CL$59),""))</f>
        <v/>
      </c>
      <c r="CM31" s="792" t="str">
        <f t="shared" si="42"/>
        <v/>
      </c>
      <c r="CN31" s="776" t="str">
        <f t="shared" si="43"/>
        <v/>
      </c>
      <c r="CO31" s="775" t="str">
        <f>IF($B31="","",IF(INDEX(BDHK2,MATCH($C31,DiemHKII!$C$4:$C$58,0),CO$59)&lt;&gt;"",INDEX(BDHK2,MATCH($C31,DiemHKII!$C$4:$C$58,0),CO$59),""))</f>
        <v/>
      </c>
      <c r="CP31" s="792" t="str">
        <f t="shared" si="44"/>
        <v/>
      </c>
      <c r="CQ31" s="776" t="str">
        <f t="shared" si="45"/>
        <v/>
      </c>
      <c r="CR31" s="774"/>
      <c r="CS31" s="775">
        <f>IF($B31="","",IF(INDEX(BDHK2,MATCH($C31,DiemHKII!$C$4:$C$58,0),CS$59)&lt;&gt;"",INDEX(BDHK2,MATCH($C31,DiemHKII!$C$4:$C$58,0),CS$59),""))</f>
        <v>9.5</v>
      </c>
      <c r="CT31" s="792">
        <f t="shared" si="46"/>
        <v>1</v>
      </c>
      <c r="CU31" s="776" t="str">
        <f>IF($B31="","",INDEX(NXetHKI!$B$3:$CL$57,MATCH(NXchung!$C31,NXetHKI!$C$3:$C$57,0),NXchung!CU$59))</f>
        <v>Chăm chỉ, học giỏi.</v>
      </c>
      <c r="CV31" s="775" t="str">
        <f>IF($B31="","",IF(INDEX(BDHK2,MATCH($C31,DiemHKII!$C$4:$C$58,0),CV$59)&lt;&gt;"",INDEX(BDHK2,MATCH($C31,DiemHKII!$C$4:$C$58,0),CV$59),""))</f>
        <v/>
      </c>
      <c r="CW31" s="792" t="str">
        <f t="shared" si="47"/>
        <v/>
      </c>
      <c r="CX31" s="776" t="str">
        <f t="shared" si="48"/>
        <v/>
      </c>
      <c r="CY31" s="775" t="str">
        <f>IF($B31="","",IF(INDEX(BDHK2,MATCH($C31,DiemHKII!$C$4:$C$58,0),CY$59)&lt;&gt;"",INDEX(BDHK2,MATCH($C31,DiemHKII!$C$4:$C$58,0),CY$59),""))</f>
        <v/>
      </c>
      <c r="CZ31" s="792" t="str">
        <f t="shared" si="49"/>
        <v/>
      </c>
      <c r="DA31" s="776" t="str">
        <f t="shared" si="50"/>
        <v/>
      </c>
      <c r="DB31" s="774"/>
      <c r="DC31" s="775">
        <f>IF($B31="","",IF(INDEX(BDHK2,MATCH($C31,DiemHKII!$C$4:$C$58,0),DC$59)&lt;&gt;"",INDEX(BDHK2,MATCH($C31,DiemHKII!$C$4:$C$58,0),DC$59),""))</f>
        <v>9.8000000000000007</v>
      </c>
      <c r="DD31" s="792">
        <f t="shared" si="51"/>
        <v>1</v>
      </c>
      <c r="DE31" s="776" t="str">
        <f>IF($B31="","",INDEX(NXetHKI!$B$3:$CL$57,MATCH(NXchung!$C31,NXetHKI!$C$3:$C$57,0),NXchung!DE$59))</f>
        <v>Năng động, sáng tạo trong học tập.</v>
      </c>
      <c r="DF31" s="775" t="str">
        <f>IF($B31="","",IF(INDEX(BDHK2,MATCH($C31,DiemHKII!$C$4:$C$58,0),DF$59)&lt;&gt;"",INDEX(BDHK2,MATCH($C31,DiemHKII!$C$4:$C$58,0),DF$59),""))</f>
        <v/>
      </c>
      <c r="DG31" s="792" t="str">
        <f t="shared" si="52"/>
        <v/>
      </c>
      <c r="DH31" s="776" t="str">
        <f t="shared" si="53"/>
        <v/>
      </c>
      <c r="DI31" s="775" t="str">
        <f>IF($B31="","",IF(INDEX(BDHK2,MATCH($C31,DiemHKII!$C$4:$C$58,0),DI$59)&lt;&gt;"",INDEX(BDHK2,MATCH($C31,DiemHKII!$C$4:$C$58,0),DI$59),""))</f>
        <v/>
      </c>
      <c r="DJ31" s="792" t="str">
        <f t="shared" si="54"/>
        <v/>
      </c>
      <c r="DK31" s="776" t="str">
        <f t="shared" si="55"/>
        <v/>
      </c>
      <c r="DL31" s="774"/>
      <c r="DM31" s="775" t="str">
        <f>IF($B31="","",IF(INDEX(BDHK2,MATCH($C31,DiemHKII!$C$4:$C$58,0),DM$59)&lt;&gt;"",INDEX(BDHK2,MATCH($C31,DiemHKII!$C$4:$C$58,0),DM$59),""))</f>
        <v>Đ</v>
      </c>
      <c r="DN31" s="792">
        <f t="shared" si="56"/>
        <v>1</v>
      </c>
      <c r="DO31" s="776" t="str">
        <f>IF($B31="","",INDEX(NXetHKI!$B$3:$CL$57,MATCH(NXchung!$C31,NXetHKI!$C$3:$C$57,0),NXchung!DO$59))</f>
        <v>Giỏi, có nhiều tiến bộ trong học tập.</v>
      </c>
      <c r="DP31" s="775" t="str">
        <f>IF($B31="","",IF(INDEX(BDHK2,MATCH($C31,DiemHKII!$C$4:$C$58,0),DP$59)&lt;&gt;"",INDEX(BDHK2,MATCH($C31,DiemHKII!$C$4:$C$58,0),DP$59),""))</f>
        <v/>
      </c>
      <c r="DQ31" s="792" t="str">
        <f t="shared" si="57"/>
        <v/>
      </c>
      <c r="DR31" s="776" t="str">
        <f t="shared" si="58"/>
        <v/>
      </c>
      <c r="DS31" s="775" t="str">
        <f>IF($B31="","",IF(INDEX(BDHK2,MATCH($C31,DiemHKII!$C$4:$C$58,0),DS$59)&lt;&gt;"",INDEX(BDHK2,MATCH($C31,DiemHKII!$C$4:$C$58,0),DS$59),""))</f>
        <v>Đ</v>
      </c>
      <c r="DT31" s="792">
        <f t="shared" si="59"/>
        <v>1</v>
      </c>
      <c r="DU31" s="776" t="str">
        <f t="shared" si="60"/>
        <v>Chăm chỉ, cố gắng, rất ngoan.</v>
      </c>
      <c r="DV31" s="774"/>
      <c r="DW31" s="775">
        <f>IF($B31="","",IF(INDEX(BDHK2,MATCH($C31,DiemHKII!$C$4:$C$58,0),DW$59)&lt;&gt;"",INDEX(BDHK2,MATCH($C31,DiemHKII!$C$4:$C$58,0),DW$59),""))</f>
        <v>9.9</v>
      </c>
      <c r="DX31" s="792">
        <f t="shared" si="61"/>
        <v>1</v>
      </c>
      <c r="DY31" s="776" t="str">
        <f>IF($B31="","",INDEX(NXetHKI!$B$3:$CL$57,MATCH(NXchung!$C31,NXetHKI!$C$3:$C$57,0),NXchung!DY$59))</f>
        <v>Tích cực, năng động, nắm bài tốt, học giỏi.</v>
      </c>
      <c r="DZ31" s="775" t="str">
        <f>IF($B31="","",IF(INDEX(BDHK2,MATCH($C31,DiemHKII!$C$4:$C$58,0),DZ$59)&lt;&gt;"",INDEX(BDHK2,MATCH($C31,DiemHKII!$C$4:$C$58,0),DZ$59),""))</f>
        <v/>
      </c>
      <c r="EA31" s="792" t="str">
        <f t="shared" si="62"/>
        <v/>
      </c>
      <c r="EB31" s="776" t="str">
        <f t="shared" si="63"/>
        <v/>
      </c>
      <c r="EC31" s="775" t="str">
        <f>IF($B31="","",IF(INDEX(BDHK2,MATCH($C31,DiemHKII!$C$4:$C$58,0),EC$59)&lt;&gt;"",INDEX(BDHK2,MATCH($C31,DiemHKII!$C$4:$C$58,0),EC$59),""))</f>
        <v/>
      </c>
      <c r="ED31" s="792" t="str">
        <f t="shared" si="64"/>
        <v/>
      </c>
      <c r="EE31" s="776" t="str">
        <f t="shared" si="65"/>
        <v/>
      </c>
      <c r="EF31" s="774"/>
      <c r="EG31" s="775" t="str">
        <f>IF($B31="","",IF(INDEX(BDHK2,MATCH($C31,DiemHKII!$C$4:$C$58,0),EG$59)&lt;&gt;"",INDEX(BDHK2,MATCH($C31,DiemHKII!$C$4:$C$58,0),EG$59),""))</f>
        <v/>
      </c>
      <c r="EH31" s="792" t="str">
        <f t="shared" si="66"/>
        <v/>
      </c>
      <c r="EI31" s="776" t="str">
        <f>IF($B31="","",INDEX(NXetHKI!$B$3:$CL$57,MATCH(NXchung!$C31,NXetHKI!$C$3:$C$57,0),NXchung!EI$59))</f>
        <v/>
      </c>
      <c r="EJ31" s="775" t="str">
        <f>IF($B31="","",IF(INDEX(BDHK2,MATCH($C31,DiemHKII!$C$4:$C$58,0),EJ$59)&lt;&gt;"",INDEX(BDHK2,MATCH($C31,DiemHKII!$C$4:$C$58,0),EJ$59),""))</f>
        <v/>
      </c>
      <c r="EK31" s="792" t="str">
        <f t="shared" si="67"/>
        <v/>
      </c>
      <c r="EL31" s="776" t="str">
        <f t="shared" si="68"/>
        <v/>
      </c>
      <c r="EM31" s="775" t="str">
        <f>IF($B31="","",IF(INDEX(BDHK2,MATCH($C31,DiemHKII!$C$4:$C$58,0),EM$59)&lt;&gt;"",INDEX(BDHK2,MATCH($C31,DiemHKII!$C$4:$C$58,0),EM$59),""))</f>
        <v/>
      </c>
      <c r="EN31" s="792" t="str">
        <f t="shared" si="69"/>
        <v/>
      </c>
      <c r="EO31" s="776" t="str">
        <f t="shared" si="70"/>
        <v/>
      </c>
      <c r="EP31" s="774"/>
      <c r="ER31" s="816">
        <v>9</v>
      </c>
      <c r="ES31" s="816">
        <v>3</v>
      </c>
    </row>
    <row r="32" spans="1:149" ht="15" customHeight="1">
      <c r="B32" s="777">
        <f>IF(B31&lt;MAX(DiemHKII!$B$4:$B$58),B31+1,"")</f>
        <v>30</v>
      </c>
      <c r="C32" s="777" t="str">
        <f t="shared" si="0"/>
        <v>12A1Nguyễn TháiSơn14/04/2004</v>
      </c>
      <c r="D32" s="778" t="str">
        <f>IF($B32&lt;&gt;"",PROPER(INDEX(DiemHKII!$B$4:$K$58,MATCH($B32,DiemHKII!$B$4:$B$58,0),4)),"")</f>
        <v>Nguyễn Thái</v>
      </c>
      <c r="E32" s="779" t="str">
        <f>IF($B32&lt;&gt;"",PROPER(INDEX(DiemHKII!$B$4:$K$58,MATCH($B32,DiemHKII!$B$4:$B$58,0),5)),"")</f>
        <v>Sơn</v>
      </c>
      <c r="F32" s="780" t="str">
        <f>IF($B32&lt;&gt;"",PROPER(INDEX(DiemHKII!$B$4:$K$58,MATCH($B32,DiemHKII!$B$4:$B$58,0),6)),"")</f>
        <v>14/04/2004</v>
      </c>
      <c r="G32" s="781">
        <f>IF($B32="","",IF(INDEX(BDHK2,MATCH($C32,DiemHKII!$C$4:$C$58,0),G$59)&lt;&gt;"",INDEX(BDHK2,MATCH($C32,DiemHKII!$C$4:$C$58,0),G$59),""))</f>
        <v>9.8000000000000007</v>
      </c>
      <c r="H32" s="793">
        <f t="shared" si="1"/>
        <v>1</v>
      </c>
      <c r="I32" s="782" t="str">
        <f>IF($B32="","",INDEX(NXetHKI!$B$3:$CL$57,MATCH(NXchung!$C32,NXetHKI!$C$3:$C$57,0),NXchung!I$59))</f>
        <v>Em ngoan, tích cực, năng động, rất đáng khen.</v>
      </c>
      <c r="J32" s="781" t="str">
        <f>IF($B32="","",IF(INDEX(BDHK2,MATCH($C32,DiemHKII!$C$4:$C$58,0),J$59)&lt;&gt;"",INDEX(BDHK2,MATCH($C32,DiemHKII!$C$4:$C$58,0),J$59),""))</f>
        <v/>
      </c>
      <c r="K32" s="793" t="str">
        <f t="shared" si="2"/>
        <v/>
      </c>
      <c r="L32" s="782" t="str">
        <f t="shared" si="3"/>
        <v/>
      </c>
      <c r="M32" s="781" t="str">
        <f>IF($B32="","",IF(INDEX(BDHK2,MATCH($C32,DiemHKII!$C$4:$C$58,0),M$59)&lt;&gt;"",INDEX(BDHK2,MATCH($C32,DiemHKII!$C$4:$C$58,0),M$59),""))</f>
        <v/>
      </c>
      <c r="N32" s="793" t="str">
        <f t="shared" si="4"/>
        <v/>
      </c>
      <c r="O32" s="782" t="str">
        <f t="shared" si="5"/>
        <v/>
      </c>
      <c r="P32" s="780"/>
      <c r="Q32" s="781">
        <f>IF($B32="","",IF(INDEX(BDHK2,MATCH($C32,DiemHKII!$C$4:$C$58,0),Q$59)&lt;&gt;"",INDEX(BDHK2,MATCH($C32,DiemHKII!$C$4:$C$58,0),Q$59),""))</f>
        <v>9.6</v>
      </c>
      <c r="R32" s="793">
        <f t="shared" si="6"/>
        <v>1</v>
      </c>
      <c r="S32" s="782" t="str">
        <f>IF($B32="","",INDEX(NXetHKI!$B$3:$CL$57,MATCH(NXchung!$C32,NXetHKI!$C$3:$C$57,0),NXchung!S$59))</f>
        <v>Em ngoan, tích cực, năng động, rất đáng khen.</v>
      </c>
      <c r="T32" s="781" t="str">
        <f>IF($B32="","",IF(INDEX(BDHK2,MATCH($C32,DiemHKII!$C$4:$C$58,0),T$59)&lt;&gt;"",INDEX(BDHK2,MATCH($C32,DiemHKII!$C$4:$C$58,0),T$59),""))</f>
        <v/>
      </c>
      <c r="U32" s="793" t="str">
        <f t="shared" si="7"/>
        <v/>
      </c>
      <c r="V32" s="782" t="str">
        <f t="shared" si="8"/>
        <v/>
      </c>
      <c r="W32" s="781" t="str">
        <f>IF($B32="","",IF(INDEX(BDHK2,MATCH($C32,DiemHKII!$C$4:$C$58,0),W$59)&lt;&gt;"",INDEX(BDHK2,MATCH($C32,DiemHKII!$C$4:$C$58,0),W$59),""))</f>
        <v/>
      </c>
      <c r="X32" s="793" t="str">
        <f t="shared" si="9"/>
        <v/>
      </c>
      <c r="Y32" s="782" t="str">
        <f t="shared" si="10"/>
        <v/>
      </c>
      <c r="Z32" s="780"/>
      <c r="AA32" s="781">
        <f>IF($B32="","",IF(INDEX(BDHK2,MATCH($C32,DiemHKII!$C$4:$C$58,0),AA$59)&lt;&gt;"",INDEX(BDHK2,MATCH($C32,DiemHKII!$C$4:$C$58,0),AA$59),""))</f>
        <v>9</v>
      </c>
      <c r="AB32" s="793">
        <f t="shared" si="11"/>
        <v>1</v>
      </c>
      <c r="AC32" s="782" t="str">
        <f>IF($B32="","",INDEX(NXetHKI!$B$3:$CL$57,MATCH(NXchung!$C32,NXetHKI!$C$3:$C$57,0),NXchung!AC$59))</f>
        <v>Kiến thức vững, sáng tạo, tự học tốt.</v>
      </c>
      <c r="AD32" s="781" t="str">
        <f>IF($B32="","",IF(INDEX(BDHK2,MATCH($C32,DiemHKII!$C$4:$C$58,0),AD$59)&lt;&gt;"",INDEX(BDHK2,MATCH($C32,DiemHKII!$C$4:$C$58,0),AD$59),""))</f>
        <v/>
      </c>
      <c r="AE32" s="793" t="str">
        <f t="shared" si="12"/>
        <v/>
      </c>
      <c r="AF32" s="782" t="str">
        <f t="shared" si="13"/>
        <v/>
      </c>
      <c r="AG32" s="781" t="str">
        <f>IF($B32="","",IF(INDEX(BDHK2,MATCH($C32,DiemHKII!$C$4:$C$58,0),AG$59)&lt;&gt;"",INDEX(BDHK2,MATCH($C32,DiemHKII!$C$4:$C$58,0),AG$59),""))</f>
        <v/>
      </c>
      <c r="AH32" s="793" t="str">
        <f t="shared" si="14"/>
        <v/>
      </c>
      <c r="AI32" s="782" t="str">
        <f t="shared" si="15"/>
        <v/>
      </c>
      <c r="AJ32" s="780"/>
      <c r="AK32" s="781">
        <f>IF($B32="","",IF(INDEX(BDHK2,MATCH($C32,DiemHKII!$C$4:$C$58,0),AK$59)&lt;&gt;"",INDEX(BDHK2,MATCH($C32,DiemHKII!$C$4:$C$58,0),AK$59),""))</f>
        <v>8.5</v>
      </c>
      <c r="AL32" s="793">
        <f t="shared" si="16"/>
        <v>2</v>
      </c>
      <c r="AM32" s="782" t="str">
        <f>IF($B32="","",INDEX(NXetHKI!$B$3:$CL$57,MATCH(NXchung!$C32,NXetHKI!$C$3:$C$57,0),NXchung!AM$59))</f>
        <v>Ngoan, khả năng tư duy tốt, có trách nhiệm, trình bày tốt.</v>
      </c>
      <c r="AN32" s="781" t="str">
        <f>IF($B32="","",IF(INDEX(BDHK2,MATCH($C32,DiemHKII!$C$4:$C$58,0),AN$59)&lt;&gt;"",INDEX(BDHK2,MATCH($C32,DiemHKII!$C$4:$C$58,0),AN$59),""))</f>
        <v/>
      </c>
      <c r="AO32" s="793" t="str">
        <f t="shared" si="17"/>
        <v/>
      </c>
      <c r="AP32" s="782" t="str">
        <f t="shared" si="18"/>
        <v/>
      </c>
      <c r="AQ32" s="781" t="str">
        <f>IF($B32="","",IF(INDEX(BDHK2,MATCH($C32,DiemHKII!$C$4:$C$58,0),AQ$59)&lt;&gt;"",INDEX(BDHK2,MATCH($C32,DiemHKII!$C$4:$C$58,0),AQ$59),""))</f>
        <v/>
      </c>
      <c r="AR32" s="793" t="str">
        <f t="shared" si="19"/>
        <v/>
      </c>
      <c r="AS32" s="782" t="str">
        <f t="shared" si="20"/>
        <v/>
      </c>
      <c r="AT32" s="780"/>
      <c r="AU32" s="781">
        <f>IF($B32="","",IF(INDEX(BDHK2,MATCH($C32,DiemHKII!$C$4:$C$58,0),AU$59)&lt;&gt;"",INDEX(BDHK2,MATCH($C32,DiemHKII!$C$4:$C$58,0),AU$59),""))</f>
        <v>9.8000000000000007</v>
      </c>
      <c r="AV32" s="793">
        <f t="shared" si="21"/>
        <v>1</v>
      </c>
      <c r="AW32" s="782" t="str">
        <f>IF($B32="","",INDEX(NXetHKI!$B$3:$CL$57,MATCH(NXchung!$C32,NXetHKI!$C$3:$C$57,0),NXchung!AW$59))</f>
        <v>Học giỏi, năng động và sáng tạo trong học tập.</v>
      </c>
      <c r="AX32" s="781" t="str">
        <f>IF($B32="","",IF(INDEX(BDHK2,MATCH($C32,DiemHKII!$C$4:$C$58,0),AX$59)&lt;&gt;"",INDEX(BDHK2,MATCH($C32,DiemHKII!$C$4:$C$58,0),AX$59),""))</f>
        <v/>
      </c>
      <c r="AY32" s="793" t="str">
        <f t="shared" si="22"/>
        <v/>
      </c>
      <c r="AZ32" s="782" t="str">
        <f t="shared" si="23"/>
        <v/>
      </c>
      <c r="BA32" s="781" t="str">
        <f>IF($B32="","",IF(INDEX(BDHK2,MATCH($C32,DiemHKII!$C$4:$C$58,0),BA$59)&lt;&gt;"",INDEX(BDHK2,MATCH($C32,DiemHKII!$C$4:$C$58,0),BA$59),""))</f>
        <v/>
      </c>
      <c r="BB32" s="793" t="str">
        <f t="shared" si="24"/>
        <v/>
      </c>
      <c r="BC32" s="782" t="str">
        <f t="shared" si="25"/>
        <v/>
      </c>
      <c r="BD32" s="780"/>
      <c r="BE32" s="781">
        <f>IF($B32="","",IF(INDEX(BDHK2,MATCH($C32,DiemHKII!$C$4:$C$58,0),BE$59)&lt;&gt;"",INDEX(BDHK2,MATCH($C32,DiemHKII!$C$4:$C$58,0),BE$59),""))</f>
        <v>6.7</v>
      </c>
      <c r="BF32" s="793">
        <f t="shared" si="26"/>
        <v>6</v>
      </c>
      <c r="BG32" s="782" t="str">
        <f>IF($B32="","",INDEX(NXetHKI!$B$3:$CL$57,MATCH(NXchung!$C32,NXetHKI!$C$3:$C$57,0),NXchung!BG$59))</f>
        <v>Cần chủ động hơn trong học tập, rèn thêm.</v>
      </c>
      <c r="BH32" s="781" t="str">
        <f>IF($B32="","",IF(INDEX(BDHK2,MATCH($C32,DiemHKII!$C$4:$C$58,0),BH$59)&lt;&gt;"",INDEX(BDHK2,MATCH($C32,DiemHKII!$C$4:$C$58,0),BH$59),""))</f>
        <v/>
      </c>
      <c r="BI32" s="793" t="str">
        <f t="shared" si="27"/>
        <v/>
      </c>
      <c r="BJ32" s="782" t="str">
        <f t="shared" si="28"/>
        <v/>
      </c>
      <c r="BK32" s="781" t="str">
        <f>IF($B32="","",IF(INDEX(BDHK2,MATCH($C32,DiemHKII!$C$4:$C$58,0),BK$59)&lt;&gt;"",INDEX(BDHK2,MATCH($C32,DiemHKII!$C$4:$C$58,0),BK$59),""))</f>
        <v/>
      </c>
      <c r="BL32" s="793" t="str">
        <f t="shared" si="29"/>
        <v/>
      </c>
      <c r="BM32" s="782" t="str">
        <f t="shared" si="30"/>
        <v/>
      </c>
      <c r="BN32" s="780"/>
      <c r="BO32" s="781">
        <f>IF($B32="","",IF(INDEX(BDHK2,MATCH($C32,DiemHKII!$C$4:$C$58,0),BO$59)&lt;&gt;"",INDEX(BDHK2,MATCH($C32,DiemHKII!$C$4:$C$58,0),BO$59),""))</f>
        <v>9.4</v>
      </c>
      <c r="BP32" s="793">
        <f t="shared" si="31"/>
        <v>1</v>
      </c>
      <c r="BQ32" s="782" t="str">
        <f>IF($B32="","",INDEX(NXetHKI!$B$3:$CL$57,MATCH(NXchung!$C32,NXetHKI!$C$3:$C$57,0),NXchung!BQ$59))</f>
        <v>Chăm học, tích cực phát biểu xây dựng bài.</v>
      </c>
      <c r="BR32" s="781" t="str">
        <f>IF($B32="","",IF(INDEX(BDHK2,MATCH($C32,DiemHKII!$C$4:$C$58,0),BR$59)&lt;&gt;"",INDEX(BDHK2,MATCH($C32,DiemHKII!$C$4:$C$58,0),BR$59),""))</f>
        <v/>
      </c>
      <c r="BS32" s="793" t="str">
        <f t="shared" si="32"/>
        <v/>
      </c>
      <c r="BT32" s="782" t="str">
        <f t="shared" si="33"/>
        <v/>
      </c>
      <c r="BU32" s="781" t="str">
        <f>IF($B32="","",IF(INDEX(BDHK2,MATCH($C32,DiemHKII!$C$4:$C$58,0),BU$59)&lt;&gt;"",INDEX(BDHK2,MATCH($C32,DiemHKII!$C$4:$C$58,0),BU$59),""))</f>
        <v/>
      </c>
      <c r="BV32" s="793" t="str">
        <f t="shared" si="34"/>
        <v/>
      </c>
      <c r="BW32" s="782" t="str">
        <f t="shared" si="35"/>
        <v/>
      </c>
      <c r="BX32" s="780"/>
      <c r="BY32" s="781">
        <f>IF($B32="","",IF(INDEX(BDHK2,MATCH($C32,DiemHKII!$C$4:$C$58,0),BY$59)&lt;&gt;"",INDEX(BDHK2,MATCH($C32,DiemHKII!$C$4:$C$58,0),BY$59),""))</f>
        <v>9.8000000000000007</v>
      </c>
      <c r="BZ32" s="793">
        <f t="shared" si="36"/>
        <v>1</v>
      </c>
      <c r="CA32" s="782" t="str">
        <f>IF($B32="","",INDEX(NXetHKI!$B$3:$CL$57,MATCH(NXchung!$C32,NXetHKI!$C$3:$C$57,0),NXchung!CA$59))</f>
        <v>Em có tư duy tốt, tích cực, vận dụng thực tế tốt.</v>
      </c>
      <c r="CB32" s="781" t="str">
        <f>IF($B32="","",IF(INDEX(BDHK2,MATCH($C32,DiemHKII!$C$4:$C$58,0),CB$59)&lt;&gt;"",INDEX(BDHK2,MATCH($C32,DiemHKII!$C$4:$C$58,0),CB$59),""))</f>
        <v/>
      </c>
      <c r="CC32" s="793" t="str">
        <f t="shared" si="37"/>
        <v/>
      </c>
      <c r="CD32" s="782" t="str">
        <f t="shared" si="38"/>
        <v/>
      </c>
      <c r="CE32" s="781" t="str">
        <f>IF($B32="","",IF(INDEX(BDHK2,MATCH($C32,DiemHKII!$C$4:$C$58,0),CE$59)&lt;&gt;"",INDEX(BDHK2,MATCH($C32,DiemHKII!$C$4:$C$58,0),CE$59),""))</f>
        <v/>
      </c>
      <c r="CF32" s="793" t="str">
        <f t="shared" si="39"/>
        <v/>
      </c>
      <c r="CG32" s="782" t="str">
        <f t="shared" si="40"/>
        <v/>
      </c>
      <c r="CH32" s="780"/>
      <c r="CI32" s="781">
        <f>IF($B32="","",IF(INDEX(BDHK2,MATCH($C32,DiemHKII!$C$4:$C$58,0),CI$59)&lt;&gt;"",INDEX(BDHK2,MATCH($C32,DiemHKII!$C$4:$C$58,0),CI$59),""))</f>
        <v>8.6</v>
      </c>
      <c r="CJ32" s="793">
        <f t="shared" si="41"/>
        <v>2</v>
      </c>
      <c r="CK32" s="782" t="str">
        <f>IF($B32="","",INDEX(NXetHKI!$B$3:$CL$57,MATCH(NXchung!$C32,NXetHKI!$C$3:$C$57,0),NXchung!CK$59))</f>
        <v>Chăm chỉ, tích cực phát biểu và phát âm tốt.</v>
      </c>
      <c r="CL32" s="781" t="str">
        <f>IF($B32="","",IF(INDEX(BDHK2,MATCH($C32,DiemHKII!$C$4:$C$58,0),CL$59)&lt;&gt;"",INDEX(BDHK2,MATCH($C32,DiemHKII!$C$4:$C$58,0),CL$59),""))</f>
        <v/>
      </c>
      <c r="CM32" s="793" t="str">
        <f t="shared" si="42"/>
        <v/>
      </c>
      <c r="CN32" s="782" t="str">
        <f t="shared" si="43"/>
        <v/>
      </c>
      <c r="CO32" s="781" t="str">
        <f>IF($B32="","",IF(INDEX(BDHK2,MATCH($C32,DiemHKII!$C$4:$C$58,0),CO$59)&lt;&gt;"",INDEX(BDHK2,MATCH($C32,DiemHKII!$C$4:$C$58,0),CO$59),""))</f>
        <v/>
      </c>
      <c r="CP32" s="793" t="str">
        <f t="shared" si="44"/>
        <v/>
      </c>
      <c r="CQ32" s="782" t="str">
        <f t="shared" si="45"/>
        <v/>
      </c>
      <c r="CR32" s="780"/>
      <c r="CS32" s="781">
        <f>IF($B32="","",IF(INDEX(BDHK2,MATCH($C32,DiemHKII!$C$4:$C$58,0),CS$59)&lt;&gt;"",INDEX(BDHK2,MATCH($C32,DiemHKII!$C$4:$C$58,0),CS$59),""))</f>
        <v>9.1</v>
      </c>
      <c r="CT32" s="793">
        <f t="shared" si="46"/>
        <v>1</v>
      </c>
      <c r="CU32" s="782" t="str">
        <f>IF($B32="","",INDEX(NXetHKI!$B$3:$CL$57,MATCH(NXchung!$C32,NXetHKI!$C$3:$C$57,0),NXchung!CU$59))</f>
        <v>Hứng thú, tích cực, học giỏi.</v>
      </c>
      <c r="CV32" s="781" t="str">
        <f>IF($B32="","",IF(INDEX(BDHK2,MATCH($C32,DiemHKII!$C$4:$C$58,0),CV$59)&lt;&gt;"",INDEX(BDHK2,MATCH($C32,DiemHKII!$C$4:$C$58,0),CV$59),""))</f>
        <v/>
      </c>
      <c r="CW32" s="793" t="str">
        <f t="shared" si="47"/>
        <v/>
      </c>
      <c r="CX32" s="782" t="str">
        <f t="shared" si="48"/>
        <v/>
      </c>
      <c r="CY32" s="781" t="str">
        <f>IF($B32="","",IF(INDEX(BDHK2,MATCH($C32,DiemHKII!$C$4:$C$58,0),CY$59)&lt;&gt;"",INDEX(BDHK2,MATCH($C32,DiemHKII!$C$4:$C$58,0),CY$59),""))</f>
        <v/>
      </c>
      <c r="CZ32" s="793" t="str">
        <f t="shared" si="49"/>
        <v/>
      </c>
      <c r="DA32" s="782" t="str">
        <f t="shared" si="50"/>
        <v/>
      </c>
      <c r="DB32" s="780"/>
      <c r="DC32" s="781">
        <f>IF($B32="","",IF(INDEX(BDHK2,MATCH($C32,DiemHKII!$C$4:$C$58,0),DC$59)&lt;&gt;"",INDEX(BDHK2,MATCH($C32,DiemHKII!$C$4:$C$58,0),DC$59),""))</f>
        <v>9.8000000000000007</v>
      </c>
      <c r="DD32" s="793">
        <f t="shared" si="51"/>
        <v>1</v>
      </c>
      <c r="DE32" s="782" t="str">
        <f>IF($B32="","",INDEX(NXetHKI!$B$3:$CL$57,MATCH(NXchung!$C32,NXetHKI!$C$3:$C$57,0),NXchung!DE$59))</f>
        <v>Học giỏi, tiếp thu nhanh, chăm ngoan.</v>
      </c>
      <c r="DF32" s="781" t="str">
        <f>IF($B32="","",IF(INDEX(BDHK2,MATCH($C32,DiemHKII!$C$4:$C$58,0),DF$59)&lt;&gt;"",INDEX(BDHK2,MATCH($C32,DiemHKII!$C$4:$C$58,0),DF$59),""))</f>
        <v/>
      </c>
      <c r="DG32" s="793" t="str">
        <f t="shared" si="52"/>
        <v/>
      </c>
      <c r="DH32" s="782" t="str">
        <f t="shared" si="53"/>
        <v/>
      </c>
      <c r="DI32" s="781" t="str">
        <f>IF($B32="","",IF(INDEX(BDHK2,MATCH($C32,DiemHKII!$C$4:$C$58,0),DI$59)&lt;&gt;"",INDEX(BDHK2,MATCH($C32,DiemHKII!$C$4:$C$58,0),DI$59),""))</f>
        <v/>
      </c>
      <c r="DJ32" s="793" t="str">
        <f t="shared" si="54"/>
        <v/>
      </c>
      <c r="DK32" s="782" t="str">
        <f t="shared" si="55"/>
        <v/>
      </c>
      <c r="DL32" s="780"/>
      <c r="DM32" s="781" t="str">
        <f>IF($B32="","",IF(INDEX(BDHK2,MATCH($C32,DiemHKII!$C$4:$C$58,0),DM$59)&lt;&gt;"",INDEX(BDHK2,MATCH($C32,DiemHKII!$C$4:$C$58,0),DM$59),""))</f>
        <v>Đ</v>
      </c>
      <c r="DN32" s="793">
        <f t="shared" si="56"/>
        <v>1</v>
      </c>
      <c r="DO32" s="782" t="str">
        <f>IF($B32="","",INDEX(NXetHKI!$B$3:$CL$57,MATCH(NXchung!$C32,NXetHKI!$C$3:$C$57,0),NXchung!DO$59))</f>
        <v>Rất ngoan, học có hiệu quả tốt.</v>
      </c>
      <c r="DP32" s="781" t="str">
        <f>IF($B32="","",IF(INDEX(BDHK2,MATCH($C32,DiemHKII!$C$4:$C$58,0),DP$59)&lt;&gt;"",INDEX(BDHK2,MATCH($C32,DiemHKII!$C$4:$C$58,0),DP$59),""))</f>
        <v/>
      </c>
      <c r="DQ32" s="793" t="str">
        <f t="shared" si="57"/>
        <v/>
      </c>
      <c r="DR32" s="782" t="str">
        <f t="shared" si="58"/>
        <v/>
      </c>
      <c r="DS32" s="781" t="str">
        <f>IF($B32="","",IF(INDEX(BDHK2,MATCH($C32,DiemHKII!$C$4:$C$58,0),DS$59)&lt;&gt;"",INDEX(BDHK2,MATCH($C32,DiemHKII!$C$4:$C$58,0),DS$59),""))</f>
        <v>Đ</v>
      </c>
      <c r="DT32" s="793">
        <f t="shared" si="59"/>
        <v>1</v>
      </c>
      <c r="DU32" s="782" t="str">
        <f t="shared" si="60"/>
        <v>Giỏi, có nhiều tiến bộ trong học tập.</v>
      </c>
      <c r="DV32" s="780"/>
      <c r="DW32" s="781">
        <f>IF($B32="","",IF(INDEX(BDHK2,MATCH($C32,DiemHKII!$C$4:$C$58,0),DW$59)&lt;&gt;"",INDEX(BDHK2,MATCH($C32,DiemHKII!$C$4:$C$58,0),DW$59),""))</f>
        <v>9.9</v>
      </c>
      <c r="DX32" s="793">
        <f t="shared" si="61"/>
        <v>1</v>
      </c>
      <c r="DY32" s="782" t="str">
        <f>IF($B32="","",INDEX(NXetHKI!$B$3:$CL$57,MATCH(NXchung!$C32,NXetHKI!$C$3:$C$57,0),NXchung!DY$59))</f>
        <v>Ngoan, tích cực xây dựng bài, nắm chắc thực hành, học giỏi.</v>
      </c>
      <c r="DZ32" s="781" t="str">
        <f>IF($B32="","",IF(INDEX(BDHK2,MATCH($C32,DiemHKII!$C$4:$C$58,0),DZ$59)&lt;&gt;"",INDEX(BDHK2,MATCH($C32,DiemHKII!$C$4:$C$58,0),DZ$59),""))</f>
        <v/>
      </c>
      <c r="EA32" s="793" t="str">
        <f t="shared" si="62"/>
        <v/>
      </c>
      <c r="EB32" s="782" t="str">
        <f t="shared" si="63"/>
        <v/>
      </c>
      <c r="EC32" s="781" t="str">
        <f>IF($B32="","",IF(INDEX(BDHK2,MATCH($C32,DiemHKII!$C$4:$C$58,0),EC$59)&lt;&gt;"",INDEX(BDHK2,MATCH($C32,DiemHKII!$C$4:$C$58,0),EC$59),""))</f>
        <v/>
      </c>
      <c r="ED32" s="793" t="str">
        <f t="shared" si="64"/>
        <v/>
      </c>
      <c r="EE32" s="782" t="str">
        <f t="shared" si="65"/>
        <v/>
      </c>
      <c r="EF32" s="780"/>
      <c r="EG32" s="781" t="str">
        <f>IF($B32="","",IF(INDEX(BDHK2,MATCH($C32,DiemHKII!$C$4:$C$58,0),EG$59)&lt;&gt;"",INDEX(BDHK2,MATCH($C32,DiemHKII!$C$4:$C$58,0),EG$59),""))</f>
        <v/>
      </c>
      <c r="EH32" s="793" t="str">
        <f t="shared" si="66"/>
        <v/>
      </c>
      <c r="EI32" s="782" t="str">
        <f>IF($B32="","",INDEX(NXetHKI!$B$3:$CL$57,MATCH(NXchung!$C32,NXetHKI!$C$3:$C$57,0),NXchung!EI$59))</f>
        <v/>
      </c>
      <c r="EJ32" s="781" t="str">
        <f>IF($B32="","",IF(INDEX(BDHK2,MATCH($C32,DiemHKII!$C$4:$C$58,0),EJ$59)&lt;&gt;"",INDEX(BDHK2,MATCH($C32,DiemHKII!$C$4:$C$58,0),EJ$59),""))</f>
        <v/>
      </c>
      <c r="EK32" s="793" t="str">
        <f t="shared" si="67"/>
        <v/>
      </c>
      <c r="EL32" s="782" t="str">
        <f t="shared" si="68"/>
        <v/>
      </c>
      <c r="EM32" s="781" t="str">
        <f>IF($B32="","",IF(INDEX(BDHK2,MATCH($C32,DiemHKII!$C$4:$C$58,0),EM$59)&lt;&gt;"",INDEX(BDHK2,MATCH($C32,DiemHKII!$C$4:$C$58,0),EM$59),""))</f>
        <v/>
      </c>
      <c r="EN32" s="793" t="str">
        <f t="shared" si="69"/>
        <v/>
      </c>
      <c r="EO32" s="782" t="str">
        <f t="shared" si="70"/>
        <v/>
      </c>
      <c r="EP32" s="780"/>
      <c r="ER32" s="816">
        <v>3</v>
      </c>
      <c r="ES32" s="816">
        <v>6</v>
      </c>
    </row>
    <row r="33" spans="2:149" ht="15" customHeight="1">
      <c r="B33" s="765">
        <f>IF(B32&lt;MAX(DiemHKII!$B$4:$B$58),B32+1,"")</f>
        <v>31</v>
      </c>
      <c r="C33" s="765" t="str">
        <f t="shared" si="0"/>
        <v>12A1Đặng HoàngTân26/09/2004</v>
      </c>
      <c r="D33" s="766" t="str">
        <f>IF($B33&lt;&gt;"",PROPER(INDEX(DiemHKII!$B$4:$K$58,MATCH($B33,DiemHKII!$B$4:$B$58,0),4)),"")</f>
        <v>Đặng Hoàng</v>
      </c>
      <c r="E33" s="767" t="str">
        <f>IF($B33&lt;&gt;"",PROPER(INDEX(DiemHKII!$B$4:$K$58,MATCH($B33,DiemHKII!$B$4:$B$58,0),5)),"")</f>
        <v>Tân</v>
      </c>
      <c r="F33" s="768" t="str">
        <f>IF($B33&lt;&gt;"",PROPER(INDEX(DiemHKII!$B$4:$K$58,MATCH($B33,DiemHKII!$B$4:$B$58,0),6)),"")</f>
        <v>26/09/2004</v>
      </c>
      <c r="G33" s="769">
        <f>IF($B33="","",IF(INDEX(BDHK2,MATCH($C33,DiemHKII!$C$4:$C$58,0),G$59)&lt;&gt;"",INDEX(BDHK2,MATCH($C33,DiemHKII!$C$4:$C$58,0),G$59),""))</f>
        <v>9.4</v>
      </c>
      <c r="H33" s="791">
        <f t="shared" si="1"/>
        <v>1</v>
      </c>
      <c r="I33" s="770" t="str">
        <f>IF($B33="","",INDEX(NXetHKI!$B$3:$CL$57,MATCH(NXchung!$C33,NXetHKI!$C$3:$C$57,0),NXchung!I$59))</f>
        <v>Em chăm chỉ, chuyên cần, rất tích cực, rất đáng khen.</v>
      </c>
      <c r="J33" s="769" t="str">
        <f>IF($B33="","",IF(INDEX(BDHK2,MATCH($C33,DiemHKII!$C$4:$C$58,0),J$59)&lt;&gt;"",INDEX(BDHK2,MATCH($C33,DiemHKII!$C$4:$C$58,0),J$59),""))</f>
        <v/>
      </c>
      <c r="K33" s="791" t="str">
        <f t="shared" si="2"/>
        <v/>
      </c>
      <c r="L33" s="770" t="str">
        <f t="shared" si="3"/>
        <v/>
      </c>
      <c r="M33" s="769" t="str">
        <f>IF($B33="","",IF(INDEX(BDHK2,MATCH($C33,DiemHKII!$C$4:$C$58,0),M$59)&lt;&gt;"",INDEX(BDHK2,MATCH($C33,DiemHKII!$C$4:$C$58,0),M$59),""))</f>
        <v/>
      </c>
      <c r="N33" s="791" t="str">
        <f t="shared" si="4"/>
        <v/>
      </c>
      <c r="O33" s="770" t="str">
        <f t="shared" si="5"/>
        <v/>
      </c>
      <c r="P33" s="768"/>
      <c r="Q33" s="769">
        <f>IF($B33="","",IF(INDEX(BDHK2,MATCH($C33,DiemHKII!$C$4:$C$58,0),Q$59)&lt;&gt;"",INDEX(BDHK2,MATCH($C33,DiemHKII!$C$4:$C$58,0),Q$59),""))</f>
        <v>9.6999999999999993</v>
      </c>
      <c r="R33" s="791">
        <f t="shared" si="6"/>
        <v>1</v>
      </c>
      <c r="S33" s="770" t="str">
        <f>IF($B33="","",INDEX(NXetHKI!$B$3:$CL$57,MATCH(NXchung!$C33,NXetHKI!$C$3:$C$57,0),NXchung!S$59))</f>
        <v>Em chăm chỉ, chuyên cần, rất tích cực, rất đáng khen.</v>
      </c>
      <c r="T33" s="769" t="str">
        <f>IF($B33="","",IF(INDEX(BDHK2,MATCH($C33,DiemHKII!$C$4:$C$58,0),T$59)&lt;&gt;"",INDEX(BDHK2,MATCH($C33,DiemHKII!$C$4:$C$58,0),T$59),""))</f>
        <v/>
      </c>
      <c r="U33" s="791" t="str">
        <f t="shared" si="7"/>
        <v/>
      </c>
      <c r="V33" s="770" t="str">
        <f t="shared" si="8"/>
        <v/>
      </c>
      <c r="W33" s="769" t="str">
        <f>IF($B33="","",IF(INDEX(BDHK2,MATCH($C33,DiemHKII!$C$4:$C$58,0),W$59)&lt;&gt;"",INDEX(BDHK2,MATCH($C33,DiemHKII!$C$4:$C$58,0),W$59),""))</f>
        <v/>
      </c>
      <c r="X33" s="791" t="str">
        <f t="shared" si="9"/>
        <v/>
      </c>
      <c r="Y33" s="770" t="str">
        <f t="shared" si="10"/>
        <v/>
      </c>
      <c r="Z33" s="768"/>
      <c r="AA33" s="769">
        <f>IF($B33="","",IF(INDEX(BDHK2,MATCH($C33,DiemHKII!$C$4:$C$58,0),AA$59)&lt;&gt;"",INDEX(BDHK2,MATCH($C33,DiemHKII!$C$4:$C$58,0),AA$59),""))</f>
        <v>9.3000000000000007</v>
      </c>
      <c r="AB33" s="791">
        <f t="shared" si="11"/>
        <v>1</v>
      </c>
      <c r="AC33" s="770" t="str">
        <f>IF($B33="","",INDEX(NXetHKI!$B$3:$CL$57,MATCH(NXchung!$C33,NXetHKI!$C$3:$C$57,0),NXchung!AC$59))</f>
        <v>Học giỏi, thông minh, cần phát huy.</v>
      </c>
      <c r="AD33" s="769" t="str">
        <f>IF($B33="","",IF(INDEX(BDHK2,MATCH($C33,DiemHKII!$C$4:$C$58,0),AD$59)&lt;&gt;"",INDEX(BDHK2,MATCH($C33,DiemHKII!$C$4:$C$58,0),AD$59),""))</f>
        <v/>
      </c>
      <c r="AE33" s="791" t="str">
        <f t="shared" si="12"/>
        <v/>
      </c>
      <c r="AF33" s="770" t="str">
        <f t="shared" si="13"/>
        <v/>
      </c>
      <c r="AG33" s="769" t="str">
        <f>IF($B33="","",IF(INDEX(BDHK2,MATCH($C33,DiemHKII!$C$4:$C$58,0),AG$59)&lt;&gt;"",INDEX(BDHK2,MATCH($C33,DiemHKII!$C$4:$C$58,0),AG$59),""))</f>
        <v/>
      </c>
      <c r="AH33" s="791" t="str">
        <f t="shared" si="14"/>
        <v/>
      </c>
      <c r="AI33" s="770" t="str">
        <f t="shared" si="15"/>
        <v/>
      </c>
      <c r="AJ33" s="768"/>
      <c r="AK33" s="769">
        <f>IF($B33="","",IF(INDEX(BDHK2,MATCH($C33,DiemHKII!$C$4:$C$58,0),AK$59)&lt;&gt;"",INDEX(BDHK2,MATCH($C33,DiemHKII!$C$4:$C$58,0),AK$59),""))</f>
        <v>8.1</v>
      </c>
      <c r="AL33" s="791">
        <f t="shared" si="16"/>
        <v>3</v>
      </c>
      <c r="AM33" s="770" t="str">
        <f>IF($B33="","",INDEX(NXetHKI!$B$3:$CL$57,MATCH(NXchung!$C33,NXetHKI!$C$3:$C$57,0),NXchung!AM$59))</f>
        <v>Ngoan, có khả năng quan sát và giải quyết tốt vấn đề.</v>
      </c>
      <c r="AN33" s="769" t="str">
        <f>IF($B33="","",IF(INDEX(BDHK2,MATCH($C33,DiemHKII!$C$4:$C$58,0),AN$59)&lt;&gt;"",INDEX(BDHK2,MATCH($C33,DiemHKII!$C$4:$C$58,0),AN$59),""))</f>
        <v/>
      </c>
      <c r="AO33" s="791" t="str">
        <f t="shared" si="17"/>
        <v/>
      </c>
      <c r="AP33" s="770" t="str">
        <f t="shared" si="18"/>
        <v/>
      </c>
      <c r="AQ33" s="769" t="str">
        <f>IF($B33="","",IF(INDEX(BDHK2,MATCH($C33,DiemHKII!$C$4:$C$58,0),AQ$59)&lt;&gt;"",INDEX(BDHK2,MATCH($C33,DiemHKII!$C$4:$C$58,0),AQ$59),""))</f>
        <v/>
      </c>
      <c r="AR33" s="791" t="str">
        <f t="shared" si="19"/>
        <v/>
      </c>
      <c r="AS33" s="770" t="str">
        <f t="shared" si="20"/>
        <v/>
      </c>
      <c r="AT33" s="768"/>
      <c r="AU33" s="769">
        <f>IF($B33="","",IF(INDEX(BDHK2,MATCH($C33,DiemHKII!$C$4:$C$58,0),AU$59)&lt;&gt;"",INDEX(BDHK2,MATCH($C33,DiemHKII!$C$4:$C$58,0),AU$59),""))</f>
        <v>9.8000000000000007</v>
      </c>
      <c r="AV33" s="791">
        <f t="shared" si="21"/>
        <v>1</v>
      </c>
      <c r="AW33" s="770" t="str">
        <f>IF($B33="","",INDEX(NXetHKI!$B$3:$CL$57,MATCH(NXchung!$C33,NXetHKI!$C$3:$C$57,0),NXchung!AW$59))</f>
        <v>Rất ngoan, cố gắng có hiệu quả.</v>
      </c>
      <c r="AX33" s="769" t="str">
        <f>IF($B33="","",IF(INDEX(BDHK2,MATCH($C33,DiemHKII!$C$4:$C$58,0),AX$59)&lt;&gt;"",INDEX(BDHK2,MATCH($C33,DiemHKII!$C$4:$C$58,0),AX$59),""))</f>
        <v/>
      </c>
      <c r="AY33" s="791" t="str">
        <f t="shared" si="22"/>
        <v/>
      </c>
      <c r="AZ33" s="770" t="str">
        <f t="shared" si="23"/>
        <v/>
      </c>
      <c r="BA33" s="769" t="str">
        <f>IF($B33="","",IF(INDEX(BDHK2,MATCH($C33,DiemHKII!$C$4:$C$58,0),BA$59)&lt;&gt;"",INDEX(BDHK2,MATCH($C33,DiemHKII!$C$4:$C$58,0),BA$59),""))</f>
        <v/>
      </c>
      <c r="BB33" s="791" t="str">
        <f t="shared" si="24"/>
        <v/>
      </c>
      <c r="BC33" s="770" t="str">
        <f t="shared" si="25"/>
        <v/>
      </c>
      <c r="BD33" s="768"/>
      <c r="BE33" s="769">
        <f>IF($B33="","",IF(INDEX(BDHK2,MATCH($C33,DiemHKII!$C$4:$C$58,0),BE$59)&lt;&gt;"",INDEX(BDHK2,MATCH($C33,DiemHKII!$C$4:$C$58,0),BE$59),""))</f>
        <v>7.3</v>
      </c>
      <c r="BF33" s="791">
        <f t="shared" si="26"/>
        <v>5</v>
      </c>
      <c r="BG33" s="770" t="str">
        <f>IF($B33="","",INDEX(NXetHKI!$B$3:$CL$57,MATCH(NXchung!$C33,NXetHKI!$C$3:$C$57,0),NXchung!BG$59))</f>
        <v>Học khá, cần chủ động rèn thêm kỹ năng diễn đạt.</v>
      </c>
      <c r="BH33" s="769" t="str">
        <f>IF($B33="","",IF(INDEX(BDHK2,MATCH($C33,DiemHKII!$C$4:$C$58,0),BH$59)&lt;&gt;"",INDEX(BDHK2,MATCH($C33,DiemHKII!$C$4:$C$58,0),BH$59),""))</f>
        <v/>
      </c>
      <c r="BI33" s="791" t="str">
        <f t="shared" si="27"/>
        <v/>
      </c>
      <c r="BJ33" s="770" t="str">
        <f t="shared" si="28"/>
        <v/>
      </c>
      <c r="BK33" s="769" t="str">
        <f>IF($B33="","",IF(INDEX(BDHK2,MATCH($C33,DiemHKII!$C$4:$C$58,0),BK$59)&lt;&gt;"",INDEX(BDHK2,MATCH($C33,DiemHKII!$C$4:$C$58,0),BK$59),""))</f>
        <v/>
      </c>
      <c r="BL33" s="791" t="str">
        <f t="shared" si="29"/>
        <v/>
      </c>
      <c r="BM33" s="770" t="str">
        <f t="shared" si="30"/>
        <v/>
      </c>
      <c r="BN33" s="768"/>
      <c r="BO33" s="769">
        <f>IF($B33="","",IF(INDEX(BDHK2,MATCH($C33,DiemHKII!$C$4:$C$58,0),BO$59)&lt;&gt;"",INDEX(BDHK2,MATCH($C33,DiemHKII!$C$4:$C$58,0),BO$59),""))</f>
        <v>9.6</v>
      </c>
      <c r="BP33" s="791">
        <f t="shared" si="31"/>
        <v>1</v>
      </c>
      <c r="BQ33" s="770" t="str">
        <f>IF($B33="","",INDEX(NXetHKI!$B$3:$CL$57,MATCH(NXchung!$C33,NXetHKI!$C$3:$C$57,0),NXchung!BQ$59))</f>
        <v>Chăm ngoan, tích cực, chủ động tiếp thu bài học.</v>
      </c>
      <c r="BR33" s="769" t="str">
        <f>IF($B33="","",IF(INDEX(BDHK2,MATCH($C33,DiemHKII!$C$4:$C$58,0),BR$59)&lt;&gt;"",INDEX(BDHK2,MATCH($C33,DiemHKII!$C$4:$C$58,0),BR$59),""))</f>
        <v/>
      </c>
      <c r="BS33" s="791" t="str">
        <f t="shared" si="32"/>
        <v/>
      </c>
      <c r="BT33" s="770" t="str">
        <f t="shared" si="33"/>
        <v/>
      </c>
      <c r="BU33" s="769" t="str">
        <f>IF($B33="","",IF(INDEX(BDHK2,MATCH($C33,DiemHKII!$C$4:$C$58,0),BU$59)&lt;&gt;"",INDEX(BDHK2,MATCH($C33,DiemHKII!$C$4:$C$58,0),BU$59),""))</f>
        <v/>
      </c>
      <c r="BV33" s="791" t="str">
        <f t="shared" si="34"/>
        <v/>
      </c>
      <c r="BW33" s="770" t="str">
        <f t="shared" si="35"/>
        <v/>
      </c>
      <c r="BX33" s="768"/>
      <c r="BY33" s="769">
        <f>IF($B33="","",IF(INDEX(BDHK2,MATCH($C33,DiemHKII!$C$4:$C$58,0),BY$59)&lt;&gt;"",INDEX(BDHK2,MATCH($C33,DiemHKII!$C$4:$C$58,0),BY$59),""))</f>
        <v>9.8000000000000007</v>
      </c>
      <c r="BZ33" s="791">
        <f t="shared" si="36"/>
        <v>1</v>
      </c>
      <c r="CA33" s="770" t="str">
        <f>IF($B33="","",INDEX(NXetHKI!$B$3:$CL$57,MATCH(NXchung!$C33,NXetHKI!$C$3:$C$57,0),NXchung!CA$59))</f>
        <v>Em rất ngoan, cố gắng có hiệu quả.</v>
      </c>
      <c r="CB33" s="769" t="str">
        <f>IF($B33="","",IF(INDEX(BDHK2,MATCH($C33,DiemHKII!$C$4:$C$58,0),CB$59)&lt;&gt;"",INDEX(BDHK2,MATCH($C33,DiemHKII!$C$4:$C$58,0),CB$59),""))</f>
        <v/>
      </c>
      <c r="CC33" s="791" t="str">
        <f t="shared" si="37"/>
        <v/>
      </c>
      <c r="CD33" s="770" t="str">
        <f t="shared" si="38"/>
        <v/>
      </c>
      <c r="CE33" s="769" t="str">
        <f>IF($B33="","",IF(INDEX(BDHK2,MATCH($C33,DiemHKII!$C$4:$C$58,0),CE$59)&lt;&gt;"",INDEX(BDHK2,MATCH($C33,DiemHKII!$C$4:$C$58,0),CE$59),""))</f>
        <v/>
      </c>
      <c r="CF33" s="791" t="str">
        <f t="shared" si="39"/>
        <v/>
      </c>
      <c r="CG33" s="770" t="str">
        <f t="shared" si="40"/>
        <v/>
      </c>
      <c r="CH33" s="768"/>
      <c r="CI33" s="769">
        <f>IF($B33="","",IF(INDEX(BDHK2,MATCH($C33,DiemHKII!$C$4:$C$58,0),CI$59)&lt;&gt;"",INDEX(BDHK2,MATCH($C33,DiemHKII!$C$4:$C$58,0),CI$59),""))</f>
        <v>9.1</v>
      </c>
      <c r="CJ33" s="791">
        <f t="shared" si="41"/>
        <v>1</v>
      </c>
      <c r="CK33" s="770" t="str">
        <f>IF($B33="","",INDEX(NXetHKI!$B$3:$CL$57,MATCH(NXchung!$C33,NXetHKI!$C$3:$C$57,0),NXchung!CK$59))</f>
        <v>Có năng khiếu, tự tin, giao tiếp tốt và có khả năng làm việc nhóm.</v>
      </c>
      <c r="CL33" s="769" t="str">
        <f>IF($B33="","",IF(INDEX(BDHK2,MATCH($C33,DiemHKII!$C$4:$C$58,0),CL$59)&lt;&gt;"",INDEX(BDHK2,MATCH($C33,DiemHKII!$C$4:$C$58,0),CL$59),""))</f>
        <v/>
      </c>
      <c r="CM33" s="791" t="str">
        <f t="shared" si="42"/>
        <v/>
      </c>
      <c r="CN33" s="770" t="str">
        <f t="shared" si="43"/>
        <v/>
      </c>
      <c r="CO33" s="769" t="str">
        <f>IF($B33="","",IF(INDEX(BDHK2,MATCH($C33,DiemHKII!$C$4:$C$58,0),CO$59)&lt;&gt;"",INDEX(BDHK2,MATCH($C33,DiemHKII!$C$4:$C$58,0),CO$59),""))</f>
        <v/>
      </c>
      <c r="CP33" s="791" t="str">
        <f t="shared" si="44"/>
        <v/>
      </c>
      <c r="CQ33" s="770" t="str">
        <f t="shared" si="45"/>
        <v/>
      </c>
      <c r="CR33" s="768"/>
      <c r="CS33" s="769">
        <f>IF($B33="","",IF(INDEX(BDHK2,MATCH($C33,DiemHKII!$C$4:$C$58,0),CS$59)&lt;&gt;"",INDEX(BDHK2,MATCH($C33,DiemHKII!$C$4:$C$58,0),CS$59),""))</f>
        <v>8.8000000000000007</v>
      </c>
      <c r="CT33" s="791">
        <f t="shared" si="46"/>
        <v>2</v>
      </c>
      <c r="CU33" s="770" t="str">
        <f>IF($B33="","",INDEX(NXetHKI!$B$3:$CL$57,MATCH(NXchung!$C33,NXetHKI!$C$3:$C$57,0),NXchung!CU$59))</f>
        <v>Tích cực, chăm chỉ, học tốt.</v>
      </c>
      <c r="CV33" s="769" t="str">
        <f>IF($B33="","",IF(INDEX(BDHK2,MATCH($C33,DiemHKII!$C$4:$C$58,0),CV$59)&lt;&gt;"",INDEX(BDHK2,MATCH($C33,DiemHKII!$C$4:$C$58,0),CV$59),""))</f>
        <v/>
      </c>
      <c r="CW33" s="791" t="str">
        <f t="shared" si="47"/>
        <v/>
      </c>
      <c r="CX33" s="770" t="str">
        <f t="shared" si="48"/>
        <v/>
      </c>
      <c r="CY33" s="769" t="str">
        <f>IF($B33="","",IF(INDEX(BDHK2,MATCH($C33,DiemHKII!$C$4:$C$58,0),CY$59)&lt;&gt;"",INDEX(BDHK2,MATCH($C33,DiemHKII!$C$4:$C$58,0),CY$59),""))</f>
        <v/>
      </c>
      <c r="CZ33" s="791" t="str">
        <f t="shared" si="49"/>
        <v/>
      </c>
      <c r="DA33" s="770" t="str">
        <f t="shared" si="50"/>
        <v/>
      </c>
      <c r="DB33" s="768"/>
      <c r="DC33" s="769">
        <f>IF($B33="","",IF(INDEX(BDHK2,MATCH($C33,DiemHKII!$C$4:$C$58,0),DC$59)&lt;&gt;"",INDEX(BDHK2,MATCH($C33,DiemHKII!$C$4:$C$58,0),DC$59),""))</f>
        <v>9.9</v>
      </c>
      <c r="DD33" s="791">
        <f t="shared" si="51"/>
        <v>1</v>
      </c>
      <c r="DE33" s="770" t="str">
        <f>IF($B33="","",INDEX(NXetHKI!$B$3:$CL$57,MATCH(NXchung!$C33,NXetHKI!$C$3:$C$57,0),NXchung!DE$59))</f>
        <v>Học giỏi, năng động, chăm ngoan.</v>
      </c>
      <c r="DF33" s="769" t="str">
        <f>IF($B33="","",IF(INDEX(BDHK2,MATCH($C33,DiemHKII!$C$4:$C$58,0),DF$59)&lt;&gt;"",INDEX(BDHK2,MATCH($C33,DiemHKII!$C$4:$C$58,0),DF$59),""))</f>
        <v/>
      </c>
      <c r="DG33" s="791" t="str">
        <f t="shared" si="52"/>
        <v/>
      </c>
      <c r="DH33" s="770" t="str">
        <f t="shared" si="53"/>
        <v/>
      </c>
      <c r="DI33" s="769" t="str">
        <f>IF($B33="","",IF(INDEX(BDHK2,MATCH($C33,DiemHKII!$C$4:$C$58,0),DI$59)&lt;&gt;"",INDEX(BDHK2,MATCH($C33,DiemHKII!$C$4:$C$58,0),DI$59),""))</f>
        <v/>
      </c>
      <c r="DJ33" s="791" t="str">
        <f t="shared" si="54"/>
        <v/>
      </c>
      <c r="DK33" s="770" t="str">
        <f t="shared" si="55"/>
        <v/>
      </c>
      <c r="DL33" s="768"/>
      <c r="DM33" s="769" t="str">
        <f>IF($B33="","",IF(INDEX(BDHK2,MATCH($C33,DiemHKII!$C$4:$C$58,0),DM$59)&lt;&gt;"",INDEX(BDHK2,MATCH($C33,DiemHKII!$C$4:$C$58,0),DM$59),""))</f>
        <v>Đ</v>
      </c>
      <c r="DN33" s="791">
        <f t="shared" si="56"/>
        <v>1</v>
      </c>
      <c r="DO33" s="770" t="str">
        <f>IF($B33="","",INDEX(NXetHKI!$B$3:$CL$57,MATCH(NXchung!$C33,NXetHKI!$C$3:$C$57,0),NXchung!DO$59))</f>
        <v>Chăm chỉ, cố gắng, rất ngoan.</v>
      </c>
      <c r="DP33" s="769" t="str">
        <f>IF($B33="","",IF(INDEX(BDHK2,MATCH($C33,DiemHKII!$C$4:$C$58,0),DP$59)&lt;&gt;"",INDEX(BDHK2,MATCH($C33,DiemHKII!$C$4:$C$58,0),DP$59),""))</f>
        <v/>
      </c>
      <c r="DQ33" s="791" t="str">
        <f t="shared" si="57"/>
        <v/>
      </c>
      <c r="DR33" s="770" t="str">
        <f t="shared" si="58"/>
        <v/>
      </c>
      <c r="DS33" s="769" t="str">
        <f>IF($B33="","",IF(INDEX(BDHK2,MATCH($C33,DiemHKII!$C$4:$C$58,0),DS$59)&lt;&gt;"",INDEX(BDHK2,MATCH($C33,DiemHKII!$C$4:$C$58,0),DS$59),""))</f>
        <v>Đ</v>
      </c>
      <c r="DT33" s="791">
        <f t="shared" si="59"/>
        <v>1</v>
      </c>
      <c r="DU33" s="770" t="str">
        <f t="shared" si="60"/>
        <v>Rất ngoan, học có hiệu quả tốt.</v>
      </c>
      <c r="DV33" s="768"/>
      <c r="DW33" s="769">
        <f>IF($B33="","",IF(INDEX(BDHK2,MATCH($C33,DiemHKII!$C$4:$C$58,0),DW$59)&lt;&gt;"",INDEX(BDHK2,MATCH($C33,DiemHKII!$C$4:$C$58,0),DW$59),""))</f>
        <v>9.9</v>
      </c>
      <c r="DX33" s="791">
        <f t="shared" si="61"/>
        <v>1</v>
      </c>
      <c r="DY33" s="770" t="str">
        <f>IF($B33="","",INDEX(NXetHKI!$B$3:$CL$57,MATCH(NXchung!$C33,NXetHKI!$C$3:$C$57,0),NXchung!DY$59))</f>
        <v>Siêng năng, lễ phép, thành thạo thực hành, học giỏi.</v>
      </c>
      <c r="DZ33" s="769" t="str">
        <f>IF($B33="","",IF(INDEX(BDHK2,MATCH($C33,DiemHKII!$C$4:$C$58,0),DZ$59)&lt;&gt;"",INDEX(BDHK2,MATCH($C33,DiemHKII!$C$4:$C$58,0),DZ$59),""))</f>
        <v/>
      </c>
      <c r="EA33" s="791" t="str">
        <f t="shared" si="62"/>
        <v/>
      </c>
      <c r="EB33" s="770" t="str">
        <f t="shared" si="63"/>
        <v/>
      </c>
      <c r="EC33" s="769" t="str">
        <f>IF($B33="","",IF(INDEX(BDHK2,MATCH($C33,DiemHKII!$C$4:$C$58,0),EC$59)&lt;&gt;"",INDEX(BDHK2,MATCH($C33,DiemHKII!$C$4:$C$58,0),EC$59),""))</f>
        <v/>
      </c>
      <c r="ED33" s="791" t="str">
        <f t="shared" si="64"/>
        <v/>
      </c>
      <c r="EE33" s="770" t="str">
        <f t="shared" si="65"/>
        <v/>
      </c>
      <c r="EF33" s="768"/>
      <c r="EG33" s="769" t="str">
        <f>IF($B33="","",IF(INDEX(BDHK2,MATCH($C33,DiemHKII!$C$4:$C$58,0),EG$59)&lt;&gt;"",INDEX(BDHK2,MATCH($C33,DiemHKII!$C$4:$C$58,0),EG$59),""))</f>
        <v/>
      </c>
      <c r="EH33" s="791" t="str">
        <f t="shared" si="66"/>
        <v/>
      </c>
      <c r="EI33" s="770" t="str">
        <f>IF($B33="","",INDEX(NXetHKI!$B$3:$CL$57,MATCH(NXchung!$C33,NXetHKI!$C$3:$C$57,0),NXchung!EI$59))</f>
        <v/>
      </c>
      <c r="EJ33" s="769" t="str">
        <f>IF($B33="","",IF(INDEX(BDHK2,MATCH($C33,DiemHKII!$C$4:$C$58,0),EJ$59)&lt;&gt;"",INDEX(BDHK2,MATCH($C33,DiemHKII!$C$4:$C$58,0),EJ$59),""))</f>
        <v/>
      </c>
      <c r="EK33" s="791" t="str">
        <f t="shared" si="67"/>
        <v/>
      </c>
      <c r="EL33" s="770" t="str">
        <f t="shared" si="68"/>
        <v/>
      </c>
      <c r="EM33" s="769" t="str">
        <f>IF($B33="","",IF(INDEX(BDHK2,MATCH($C33,DiemHKII!$C$4:$C$58,0),EM$59)&lt;&gt;"",INDEX(BDHK2,MATCH($C33,DiemHKII!$C$4:$C$58,0),EM$59),""))</f>
        <v/>
      </c>
      <c r="EN33" s="791" t="str">
        <f t="shared" si="69"/>
        <v/>
      </c>
      <c r="EO33" s="770" t="str">
        <f t="shared" si="70"/>
        <v/>
      </c>
      <c r="EP33" s="768"/>
      <c r="ER33" s="816">
        <v>6</v>
      </c>
      <c r="ES33" s="816">
        <v>9</v>
      </c>
    </row>
    <row r="34" spans="2:149" ht="15" customHeight="1">
      <c r="B34" s="771">
        <f>IF(B33&lt;MAX(DiemHKII!$B$4:$B$58),B33+1,"")</f>
        <v>32</v>
      </c>
      <c r="C34" s="771" t="str">
        <f t="shared" si="0"/>
        <v>12A1Hồ QuangThành28/02/2004</v>
      </c>
      <c r="D34" s="772" t="str">
        <f>IF($B34&lt;&gt;"",PROPER(INDEX(DiemHKII!$B$4:$K$58,MATCH($B34,DiemHKII!$B$4:$B$58,0),4)),"")</f>
        <v>Hồ Quang</v>
      </c>
      <c r="E34" s="773" t="str">
        <f>IF($B34&lt;&gt;"",PROPER(INDEX(DiemHKII!$B$4:$K$58,MATCH($B34,DiemHKII!$B$4:$B$58,0),5)),"")</f>
        <v>Thành</v>
      </c>
      <c r="F34" s="774" t="str">
        <f>IF($B34&lt;&gt;"",PROPER(INDEX(DiemHKII!$B$4:$K$58,MATCH($B34,DiemHKII!$B$4:$B$58,0),6)),"")</f>
        <v>28/02/2004</v>
      </c>
      <c r="G34" s="775">
        <f>IF($B34="","",IF(INDEX(BDHK2,MATCH($C34,DiemHKII!$C$4:$C$58,0),G$59)&lt;&gt;"",INDEX(BDHK2,MATCH($C34,DiemHKII!$C$4:$C$58,0),G$59),""))</f>
        <v>9.5</v>
      </c>
      <c r="H34" s="792">
        <f t="shared" si="1"/>
        <v>1</v>
      </c>
      <c r="I34" s="776" t="str">
        <f>IF($B34="","",INDEX(NXetHKI!$B$3:$CL$57,MATCH(NXchung!$C34,NXetHKI!$C$3:$C$57,0),NXchung!I$59))</f>
        <v>Em học giỏi, chăm ngoan, tính tự giác cao, rất tốt.</v>
      </c>
      <c r="J34" s="775" t="str">
        <f>IF($B34="","",IF(INDEX(BDHK2,MATCH($C34,DiemHKII!$C$4:$C$58,0),J$59)&lt;&gt;"",INDEX(BDHK2,MATCH($C34,DiemHKII!$C$4:$C$58,0),J$59),""))</f>
        <v/>
      </c>
      <c r="K34" s="792" t="str">
        <f t="shared" si="2"/>
        <v/>
      </c>
      <c r="L34" s="776" t="str">
        <f t="shared" si="3"/>
        <v/>
      </c>
      <c r="M34" s="775" t="str">
        <f>IF($B34="","",IF(INDEX(BDHK2,MATCH($C34,DiemHKII!$C$4:$C$58,0),M$59)&lt;&gt;"",INDEX(BDHK2,MATCH($C34,DiemHKII!$C$4:$C$58,0),M$59),""))</f>
        <v/>
      </c>
      <c r="N34" s="792" t="str">
        <f t="shared" si="4"/>
        <v/>
      </c>
      <c r="O34" s="776" t="str">
        <f t="shared" si="5"/>
        <v/>
      </c>
      <c r="P34" s="774"/>
      <c r="Q34" s="775">
        <f>IF($B34="","",IF(INDEX(BDHK2,MATCH($C34,DiemHKII!$C$4:$C$58,0),Q$59)&lt;&gt;"",INDEX(BDHK2,MATCH($C34,DiemHKII!$C$4:$C$58,0),Q$59),""))</f>
        <v>9.5</v>
      </c>
      <c r="R34" s="792">
        <f t="shared" si="6"/>
        <v>1</v>
      </c>
      <c r="S34" s="776" t="str">
        <f>IF($B34="","",INDEX(NXetHKI!$B$3:$CL$57,MATCH(NXchung!$C34,NXetHKI!$C$3:$C$57,0),NXchung!S$59))</f>
        <v>Em học giỏi, chăm ngoan, tính tự giác cao, rất tốt.</v>
      </c>
      <c r="T34" s="775" t="str">
        <f>IF($B34="","",IF(INDEX(BDHK2,MATCH($C34,DiemHKII!$C$4:$C$58,0),T$59)&lt;&gt;"",INDEX(BDHK2,MATCH($C34,DiemHKII!$C$4:$C$58,0),T$59),""))</f>
        <v/>
      </c>
      <c r="U34" s="792" t="str">
        <f t="shared" si="7"/>
        <v/>
      </c>
      <c r="V34" s="776" t="str">
        <f t="shared" si="8"/>
        <v/>
      </c>
      <c r="W34" s="775" t="str">
        <f>IF($B34="","",IF(INDEX(BDHK2,MATCH($C34,DiemHKII!$C$4:$C$58,0),W$59)&lt;&gt;"",INDEX(BDHK2,MATCH($C34,DiemHKII!$C$4:$C$58,0),W$59),""))</f>
        <v/>
      </c>
      <c r="X34" s="792" t="str">
        <f t="shared" si="9"/>
        <v/>
      </c>
      <c r="Y34" s="776" t="str">
        <f t="shared" si="10"/>
        <v/>
      </c>
      <c r="Z34" s="774"/>
      <c r="AA34" s="775">
        <f>IF($B34="","",IF(INDEX(BDHK2,MATCH($C34,DiemHKII!$C$4:$C$58,0),AA$59)&lt;&gt;"",INDEX(BDHK2,MATCH($C34,DiemHKII!$C$4:$C$58,0),AA$59),""))</f>
        <v>8.8000000000000007</v>
      </c>
      <c r="AB34" s="792">
        <f t="shared" si="11"/>
        <v>2</v>
      </c>
      <c r="AC34" s="776" t="str">
        <f>IF($B34="","",INDEX(NXetHKI!$B$3:$CL$57,MATCH(NXchung!$C34,NXetHKI!$C$3:$C$57,0),NXchung!AC$59))</f>
        <v>Kiến thức vững, ngoan, tự học tốt.</v>
      </c>
      <c r="AD34" s="775" t="str">
        <f>IF($B34="","",IF(INDEX(BDHK2,MATCH($C34,DiemHKII!$C$4:$C$58,0),AD$59)&lt;&gt;"",INDEX(BDHK2,MATCH($C34,DiemHKII!$C$4:$C$58,0),AD$59),""))</f>
        <v/>
      </c>
      <c r="AE34" s="792" t="str">
        <f t="shared" si="12"/>
        <v/>
      </c>
      <c r="AF34" s="776" t="str">
        <f t="shared" si="13"/>
        <v/>
      </c>
      <c r="AG34" s="775" t="str">
        <f>IF($B34="","",IF(INDEX(BDHK2,MATCH($C34,DiemHKII!$C$4:$C$58,0),AG$59)&lt;&gt;"",INDEX(BDHK2,MATCH($C34,DiemHKII!$C$4:$C$58,0),AG$59),""))</f>
        <v/>
      </c>
      <c r="AH34" s="792" t="str">
        <f t="shared" si="14"/>
        <v/>
      </c>
      <c r="AI34" s="776" t="str">
        <f t="shared" si="15"/>
        <v/>
      </c>
      <c r="AJ34" s="774"/>
      <c r="AK34" s="775">
        <f>IF($B34="","",IF(INDEX(BDHK2,MATCH($C34,DiemHKII!$C$4:$C$58,0),AK$59)&lt;&gt;"",INDEX(BDHK2,MATCH($C34,DiemHKII!$C$4:$C$58,0),AK$59),""))</f>
        <v>9.8000000000000007</v>
      </c>
      <c r="AL34" s="792">
        <f t="shared" si="16"/>
        <v>1</v>
      </c>
      <c r="AM34" s="776" t="str">
        <f>IF($B34="","",INDEX(NXetHKI!$B$3:$CL$57,MATCH(NXchung!$C34,NXetHKI!$C$3:$C$57,0),NXchung!AM$59))</f>
        <v>Có khả năng tự học và tự chủ bản thân, tích cực trong học tập.</v>
      </c>
      <c r="AN34" s="775" t="str">
        <f>IF($B34="","",IF(INDEX(BDHK2,MATCH($C34,DiemHKII!$C$4:$C$58,0),AN$59)&lt;&gt;"",INDEX(BDHK2,MATCH($C34,DiemHKII!$C$4:$C$58,0),AN$59),""))</f>
        <v/>
      </c>
      <c r="AO34" s="792" t="str">
        <f t="shared" si="17"/>
        <v/>
      </c>
      <c r="AP34" s="776" t="str">
        <f t="shared" si="18"/>
        <v/>
      </c>
      <c r="AQ34" s="775" t="str">
        <f>IF($B34="","",IF(INDEX(BDHK2,MATCH($C34,DiemHKII!$C$4:$C$58,0),AQ$59)&lt;&gt;"",INDEX(BDHK2,MATCH($C34,DiemHKII!$C$4:$C$58,0),AQ$59),""))</f>
        <v/>
      </c>
      <c r="AR34" s="792" t="str">
        <f t="shared" si="19"/>
        <v/>
      </c>
      <c r="AS34" s="776" t="str">
        <f t="shared" si="20"/>
        <v/>
      </c>
      <c r="AT34" s="774"/>
      <c r="AU34" s="775">
        <f>IF($B34="","",IF(INDEX(BDHK2,MATCH($C34,DiemHKII!$C$4:$C$58,0),AU$59)&lt;&gt;"",INDEX(BDHK2,MATCH($C34,DiemHKII!$C$4:$C$58,0),AU$59),""))</f>
        <v>9.8000000000000007</v>
      </c>
      <c r="AV34" s="792">
        <f t="shared" si="21"/>
        <v>1</v>
      </c>
      <c r="AW34" s="776" t="str">
        <f>IF($B34="","",INDEX(NXetHKI!$B$3:$CL$57,MATCH(NXchung!$C34,NXetHKI!$C$3:$C$57,0),NXchung!AW$59))</f>
        <v>Ngoan, chăm chỉ, tư duy tốt.</v>
      </c>
      <c r="AX34" s="775" t="str">
        <f>IF($B34="","",IF(INDEX(BDHK2,MATCH($C34,DiemHKII!$C$4:$C$58,0),AX$59)&lt;&gt;"",INDEX(BDHK2,MATCH($C34,DiemHKII!$C$4:$C$58,0),AX$59),""))</f>
        <v/>
      </c>
      <c r="AY34" s="792" t="str">
        <f t="shared" si="22"/>
        <v/>
      </c>
      <c r="AZ34" s="776" t="str">
        <f t="shared" si="23"/>
        <v/>
      </c>
      <c r="BA34" s="775" t="str">
        <f>IF($B34="","",IF(INDEX(BDHK2,MATCH($C34,DiemHKII!$C$4:$C$58,0),BA$59)&lt;&gt;"",INDEX(BDHK2,MATCH($C34,DiemHKII!$C$4:$C$58,0),BA$59),""))</f>
        <v/>
      </c>
      <c r="BB34" s="792" t="str">
        <f t="shared" si="24"/>
        <v/>
      </c>
      <c r="BC34" s="776" t="str">
        <f t="shared" si="25"/>
        <v/>
      </c>
      <c r="BD34" s="774"/>
      <c r="BE34" s="775">
        <f>IF($B34="","",IF(INDEX(BDHK2,MATCH($C34,DiemHKII!$C$4:$C$58,0),BE$59)&lt;&gt;"",INDEX(BDHK2,MATCH($C34,DiemHKII!$C$4:$C$58,0),BE$59),""))</f>
        <v>7.9</v>
      </c>
      <c r="BF34" s="792">
        <f t="shared" si="26"/>
        <v>4</v>
      </c>
      <c r="BG34" s="776" t="str">
        <f>IF($B34="","",INDEX(NXetHKI!$B$3:$CL$57,MATCH(NXchung!$C34,NXetHKI!$C$3:$C$57,0),NXchung!BG$59))</f>
        <v>Có tinh thần học tập tốt, cần cố gắng rèn luyện thêm các kỹ năng.</v>
      </c>
      <c r="BH34" s="775" t="str">
        <f>IF($B34="","",IF(INDEX(BDHK2,MATCH($C34,DiemHKII!$C$4:$C$58,0),BH$59)&lt;&gt;"",INDEX(BDHK2,MATCH($C34,DiemHKII!$C$4:$C$58,0),BH$59),""))</f>
        <v/>
      </c>
      <c r="BI34" s="792" t="str">
        <f t="shared" si="27"/>
        <v/>
      </c>
      <c r="BJ34" s="776" t="str">
        <f t="shared" si="28"/>
        <v/>
      </c>
      <c r="BK34" s="775" t="str">
        <f>IF($B34="","",IF(INDEX(BDHK2,MATCH($C34,DiemHKII!$C$4:$C$58,0),BK$59)&lt;&gt;"",INDEX(BDHK2,MATCH($C34,DiemHKII!$C$4:$C$58,0),BK$59),""))</f>
        <v/>
      </c>
      <c r="BL34" s="792" t="str">
        <f t="shared" si="29"/>
        <v/>
      </c>
      <c r="BM34" s="776" t="str">
        <f t="shared" si="30"/>
        <v/>
      </c>
      <c r="BN34" s="774"/>
      <c r="BO34" s="775">
        <f>IF($B34="","",IF(INDEX(BDHK2,MATCH($C34,DiemHKII!$C$4:$C$58,0),BO$59)&lt;&gt;"",INDEX(BDHK2,MATCH($C34,DiemHKII!$C$4:$C$58,0),BO$59),""))</f>
        <v>9.6</v>
      </c>
      <c r="BP34" s="792">
        <f t="shared" si="31"/>
        <v>1</v>
      </c>
      <c r="BQ34" s="776" t="str">
        <f>IF($B34="","",INDEX(NXetHKI!$B$3:$CL$57,MATCH(NXchung!$C34,NXetHKI!$C$3:$C$57,0),NXchung!BQ$59))</f>
        <v>Tiếp thu bài tốt, ghi nhớ nhanh các sự kiện lịch sử.</v>
      </c>
      <c r="BR34" s="775" t="str">
        <f>IF($B34="","",IF(INDEX(BDHK2,MATCH($C34,DiemHKII!$C$4:$C$58,0),BR$59)&lt;&gt;"",INDEX(BDHK2,MATCH($C34,DiemHKII!$C$4:$C$58,0),BR$59),""))</f>
        <v/>
      </c>
      <c r="BS34" s="792" t="str">
        <f t="shared" si="32"/>
        <v/>
      </c>
      <c r="BT34" s="776" t="str">
        <f t="shared" si="33"/>
        <v/>
      </c>
      <c r="BU34" s="775" t="str">
        <f>IF($B34="","",IF(INDEX(BDHK2,MATCH($C34,DiemHKII!$C$4:$C$58,0),BU$59)&lt;&gt;"",INDEX(BDHK2,MATCH($C34,DiemHKII!$C$4:$C$58,0),BU$59),""))</f>
        <v/>
      </c>
      <c r="BV34" s="792" t="str">
        <f t="shared" si="34"/>
        <v/>
      </c>
      <c r="BW34" s="776" t="str">
        <f t="shared" si="35"/>
        <v/>
      </c>
      <c r="BX34" s="774"/>
      <c r="BY34" s="775">
        <f>IF($B34="","",IF(INDEX(BDHK2,MATCH($C34,DiemHKII!$C$4:$C$58,0),BY$59)&lt;&gt;"",INDEX(BDHK2,MATCH($C34,DiemHKII!$C$4:$C$58,0),BY$59),""))</f>
        <v>9.8000000000000007</v>
      </c>
      <c r="BZ34" s="792">
        <f t="shared" si="36"/>
        <v>1</v>
      </c>
      <c r="CA34" s="776" t="str">
        <f>IF($B34="","",INDEX(NXetHKI!$B$3:$CL$57,MATCH(NXchung!$C34,NXetHKI!$C$3:$C$57,0),NXchung!CA$59))</f>
        <v>Em có tư duy tốt, rất tích cực, giải quyết vấn đề tốt.</v>
      </c>
      <c r="CB34" s="775" t="str">
        <f>IF($B34="","",IF(INDEX(BDHK2,MATCH($C34,DiemHKII!$C$4:$C$58,0),CB$59)&lt;&gt;"",INDEX(BDHK2,MATCH($C34,DiemHKII!$C$4:$C$58,0),CB$59),""))</f>
        <v/>
      </c>
      <c r="CC34" s="792" t="str">
        <f t="shared" si="37"/>
        <v/>
      </c>
      <c r="CD34" s="776" t="str">
        <f t="shared" si="38"/>
        <v/>
      </c>
      <c r="CE34" s="775" t="str">
        <f>IF($B34="","",IF(INDEX(BDHK2,MATCH($C34,DiemHKII!$C$4:$C$58,0),CE$59)&lt;&gt;"",INDEX(BDHK2,MATCH($C34,DiemHKII!$C$4:$C$58,0),CE$59),""))</f>
        <v/>
      </c>
      <c r="CF34" s="792" t="str">
        <f t="shared" si="39"/>
        <v/>
      </c>
      <c r="CG34" s="776" t="str">
        <f t="shared" si="40"/>
        <v/>
      </c>
      <c r="CH34" s="774"/>
      <c r="CI34" s="775">
        <f>IF($B34="","",IF(INDEX(BDHK2,MATCH($C34,DiemHKII!$C$4:$C$58,0),CI$59)&lt;&gt;"",INDEX(BDHK2,MATCH($C34,DiemHKII!$C$4:$C$58,0),CI$59),""))</f>
        <v>9</v>
      </c>
      <c r="CJ34" s="792">
        <f t="shared" si="41"/>
        <v>1</v>
      </c>
      <c r="CK34" s="776" t="str">
        <f>IF($B34="","",INDEX(NXetHKI!$B$3:$CL$57,MATCH(NXchung!$C34,NXetHKI!$C$3:$C$57,0),NXchung!CK$59))</f>
        <v>Chăm chỉ, chuyên cần, rất tích cực và năng động.</v>
      </c>
      <c r="CL34" s="775" t="str">
        <f>IF($B34="","",IF(INDEX(BDHK2,MATCH($C34,DiemHKII!$C$4:$C$58,0),CL$59)&lt;&gt;"",INDEX(BDHK2,MATCH($C34,DiemHKII!$C$4:$C$58,0),CL$59),""))</f>
        <v/>
      </c>
      <c r="CM34" s="792" t="str">
        <f t="shared" si="42"/>
        <v/>
      </c>
      <c r="CN34" s="776" t="str">
        <f t="shared" si="43"/>
        <v/>
      </c>
      <c r="CO34" s="775" t="str">
        <f>IF($B34="","",IF(INDEX(BDHK2,MATCH($C34,DiemHKII!$C$4:$C$58,0),CO$59)&lt;&gt;"",INDEX(BDHK2,MATCH($C34,DiemHKII!$C$4:$C$58,0),CO$59),""))</f>
        <v/>
      </c>
      <c r="CP34" s="792" t="str">
        <f t="shared" si="44"/>
        <v/>
      </c>
      <c r="CQ34" s="776" t="str">
        <f t="shared" si="45"/>
        <v/>
      </c>
      <c r="CR34" s="774"/>
      <c r="CS34" s="775">
        <f>IF($B34="","",IF(INDEX(BDHK2,MATCH($C34,DiemHKII!$C$4:$C$58,0),CS$59)&lt;&gt;"",INDEX(BDHK2,MATCH($C34,DiemHKII!$C$4:$C$58,0),CS$59),""))</f>
        <v>9.8000000000000007</v>
      </c>
      <c r="CT34" s="792">
        <f t="shared" si="46"/>
        <v>1</v>
      </c>
      <c r="CU34" s="776" t="str">
        <f>IF($B34="","",INDEX(NXetHKI!$B$3:$CL$57,MATCH(NXchung!$C34,NXetHKI!$C$3:$C$57,0),NXchung!CU$59))</f>
        <v>Chăm chỉ, học giỏi.</v>
      </c>
      <c r="CV34" s="775" t="str">
        <f>IF($B34="","",IF(INDEX(BDHK2,MATCH($C34,DiemHKII!$C$4:$C$58,0),CV$59)&lt;&gt;"",INDEX(BDHK2,MATCH($C34,DiemHKII!$C$4:$C$58,0),CV$59),""))</f>
        <v/>
      </c>
      <c r="CW34" s="792" t="str">
        <f t="shared" si="47"/>
        <v/>
      </c>
      <c r="CX34" s="776" t="str">
        <f t="shared" si="48"/>
        <v/>
      </c>
      <c r="CY34" s="775" t="str">
        <f>IF($B34="","",IF(INDEX(BDHK2,MATCH($C34,DiemHKII!$C$4:$C$58,0),CY$59)&lt;&gt;"",INDEX(BDHK2,MATCH($C34,DiemHKII!$C$4:$C$58,0),CY$59),""))</f>
        <v/>
      </c>
      <c r="CZ34" s="792" t="str">
        <f t="shared" si="49"/>
        <v/>
      </c>
      <c r="DA34" s="776" t="str">
        <f t="shared" si="50"/>
        <v/>
      </c>
      <c r="DB34" s="774"/>
      <c r="DC34" s="775">
        <f>IF($B34="","",IF(INDEX(BDHK2,MATCH($C34,DiemHKII!$C$4:$C$58,0),DC$59)&lt;&gt;"",INDEX(BDHK2,MATCH($C34,DiemHKII!$C$4:$C$58,0),DC$59),""))</f>
        <v>9.4</v>
      </c>
      <c r="DD34" s="792">
        <f t="shared" si="51"/>
        <v>1</v>
      </c>
      <c r="DE34" s="776" t="str">
        <f>IF($B34="","",INDEX(NXetHKI!$B$3:$CL$57,MATCH(NXchung!$C34,NXetHKI!$C$3:$C$57,0),NXchung!DE$59))</f>
        <v>Năng động, sáng tạo trong học tập.</v>
      </c>
      <c r="DF34" s="775" t="str">
        <f>IF($B34="","",IF(INDEX(BDHK2,MATCH($C34,DiemHKII!$C$4:$C$58,0),DF$59)&lt;&gt;"",INDEX(BDHK2,MATCH($C34,DiemHKII!$C$4:$C$58,0),DF$59),""))</f>
        <v/>
      </c>
      <c r="DG34" s="792" t="str">
        <f t="shared" si="52"/>
        <v/>
      </c>
      <c r="DH34" s="776" t="str">
        <f t="shared" si="53"/>
        <v/>
      </c>
      <c r="DI34" s="775" t="str">
        <f>IF($B34="","",IF(INDEX(BDHK2,MATCH($C34,DiemHKII!$C$4:$C$58,0),DI$59)&lt;&gt;"",INDEX(BDHK2,MATCH($C34,DiemHKII!$C$4:$C$58,0),DI$59),""))</f>
        <v/>
      </c>
      <c r="DJ34" s="792" t="str">
        <f t="shared" si="54"/>
        <v/>
      </c>
      <c r="DK34" s="776" t="str">
        <f t="shared" si="55"/>
        <v/>
      </c>
      <c r="DL34" s="774"/>
      <c r="DM34" s="775" t="str">
        <f>IF($B34="","",IF(INDEX(BDHK2,MATCH($C34,DiemHKII!$C$4:$C$58,0),DM$59)&lt;&gt;"",INDEX(BDHK2,MATCH($C34,DiemHKII!$C$4:$C$58,0),DM$59),""))</f>
        <v>Đ</v>
      </c>
      <c r="DN34" s="792">
        <f t="shared" si="56"/>
        <v>1</v>
      </c>
      <c r="DO34" s="776" t="str">
        <f>IF($B34="","",INDEX(NXetHKI!$B$3:$CL$57,MATCH(NXchung!$C34,NXetHKI!$C$3:$C$57,0),NXchung!DO$59))</f>
        <v>Giỏi, có nhiều tiến bộ trong học tập.</v>
      </c>
      <c r="DP34" s="775" t="str">
        <f>IF($B34="","",IF(INDEX(BDHK2,MATCH($C34,DiemHKII!$C$4:$C$58,0),DP$59)&lt;&gt;"",INDEX(BDHK2,MATCH($C34,DiemHKII!$C$4:$C$58,0),DP$59),""))</f>
        <v/>
      </c>
      <c r="DQ34" s="792" t="str">
        <f t="shared" si="57"/>
        <v/>
      </c>
      <c r="DR34" s="776" t="str">
        <f t="shared" si="58"/>
        <v/>
      </c>
      <c r="DS34" s="775" t="str">
        <f>IF($B34="","",IF(INDEX(BDHK2,MATCH($C34,DiemHKII!$C$4:$C$58,0),DS$59)&lt;&gt;"",INDEX(BDHK2,MATCH($C34,DiemHKII!$C$4:$C$58,0),DS$59),""))</f>
        <v>Đ</v>
      </c>
      <c r="DT34" s="792">
        <f t="shared" si="59"/>
        <v>1</v>
      </c>
      <c r="DU34" s="776" t="str">
        <f t="shared" si="60"/>
        <v>Chăm chỉ, cố gắng, rất ngoan.</v>
      </c>
      <c r="DV34" s="774"/>
      <c r="DW34" s="775">
        <f>IF($B34="","",IF(INDEX(BDHK2,MATCH($C34,DiemHKII!$C$4:$C$58,0),DW$59)&lt;&gt;"",INDEX(BDHK2,MATCH($C34,DiemHKII!$C$4:$C$58,0),DW$59),""))</f>
        <v>9.9</v>
      </c>
      <c r="DX34" s="792">
        <f t="shared" si="61"/>
        <v>1</v>
      </c>
      <c r="DY34" s="776" t="str">
        <f>IF($B34="","",INDEX(NXetHKI!$B$3:$CL$57,MATCH(NXchung!$C34,NXetHKI!$C$3:$C$57,0),NXchung!DY$59))</f>
        <v>Tích cực, năng động, nắm bài tốt, học giỏi.</v>
      </c>
      <c r="DZ34" s="775" t="str">
        <f>IF($B34="","",IF(INDEX(BDHK2,MATCH($C34,DiemHKII!$C$4:$C$58,0),DZ$59)&lt;&gt;"",INDEX(BDHK2,MATCH($C34,DiemHKII!$C$4:$C$58,0),DZ$59),""))</f>
        <v/>
      </c>
      <c r="EA34" s="792" t="str">
        <f t="shared" si="62"/>
        <v/>
      </c>
      <c r="EB34" s="776" t="str">
        <f t="shared" si="63"/>
        <v/>
      </c>
      <c r="EC34" s="775" t="str">
        <f>IF($B34="","",IF(INDEX(BDHK2,MATCH($C34,DiemHKII!$C$4:$C$58,0),EC$59)&lt;&gt;"",INDEX(BDHK2,MATCH($C34,DiemHKII!$C$4:$C$58,0),EC$59),""))</f>
        <v/>
      </c>
      <c r="ED34" s="792" t="str">
        <f t="shared" si="64"/>
        <v/>
      </c>
      <c r="EE34" s="776" t="str">
        <f t="shared" si="65"/>
        <v/>
      </c>
      <c r="EF34" s="774"/>
      <c r="EG34" s="775" t="str">
        <f>IF($B34="","",IF(INDEX(BDHK2,MATCH($C34,DiemHKII!$C$4:$C$58,0),EG$59)&lt;&gt;"",INDEX(BDHK2,MATCH($C34,DiemHKII!$C$4:$C$58,0),EG$59),""))</f>
        <v/>
      </c>
      <c r="EH34" s="792" t="str">
        <f t="shared" si="66"/>
        <v/>
      </c>
      <c r="EI34" s="776" t="str">
        <f>IF($B34="","",INDEX(NXetHKI!$B$3:$CL$57,MATCH(NXchung!$C34,NXetHKI!$C$3:$C$57,0),NXchung!EI$59))</f>
        <v/>
      </c>
      <c r="EJ34" s="775" t="str">
        <f>IF($B34="","",IF(INDEX(BDHK2,MATCH($C34,DiemHKII!$C$4:$C$58,0),EJ$59)&lt;&gt;"",INDEX(BDHK2,MATCH($C34,DiemHKII!$C$4:$C$58,0),EJ$59),""))</f>
        <v/>
      </c>
      <c r="EK34" s="792" t="str">
        <f t="shared" si="67"/>
        <v/>
      </c>
      <c r="EL34" s="776" t="str">
        <f t="shared" si="68"/>
        <v/>
      </c>
      <c r="EM34" s="775" t="str">
        <f>IF($B34="","",IF(INDEX(BDHK2,MATCH($C34,DiemHKII!$C$4:$C$58,0),EM$59)&lt;&gt;"",INDEX(BDHK2,MATCH($C34,DiemHKII!$C$4:$C$58,0),EM$59),""))</f>
        <v/>
      </c>
      <c r="EN34" s="792" t="str">
        <f t="shared" si="69"/>
        <v/>
      </c>
      <c r="EO34" s="776" t="str">
        <f t="shared" si="70"/>
        <v/>
      </c>
      <c r="EP34" s="774"/>
      <c r="ER34" s="816">
        <v>9</v>
      </c>
      <c r="ES34" s="816">
        <v>3</v>
      </c>
    </row>
    <row r="35" spans="2:149" ht="15" customHeight="1">
      <c r="B35" s="771">
        <f>IF(B34&lt;MAX(DiemHKII!$B$4:$B$58),B34+1,"")</f>
        <v>33</v>
      </c>
      <c r="C35" s="771" t="str">
        <f t="shared" si="0"/>
        <v>12A1Trần ThịnhThịnh18/08/2004</v>
      </c>
      <c r="D35" s="772" t="str">
        <f>IF($B35&lt;&gt;"",PROPER(INDEX(DiemHKII!$B$4:$K$58,MATCH($B35,DiemHKII!$B$4:$B$58,0),4)),"")</f>
        <v>Trần Thịnh</v>
      </c>
      <c r="E35" s="773" t="str">
        <f>IF($B35&lt;&gt;"",PROPER(INDEX(DiemHKII!$B$4:$K$58,MATCH($B35,DiemHKII!$B$4:$B$58,0),5)),"")</f>
        <v>Thịnh</v>
      </c>
      <c r="F35" s="774" t="str">
        <f>IF($B35&lt;&gt;"",PROPER(INDEX(DiemHKII!$B$4:$K$58,MATCH($B35,DiemHKII!$B$4:$B$58,0),6)),"")</f>
        <v>18/08/2004</v>
      </c>
      <c r="G35" s="775">
        <f>IF($B35="","",IF(INDEX(BDHK2,MATCH($C35,DiemHKII!$C$4:$C$58,0),G$59)&lt;&gt;"",INDEX(BDHK2,MATCH($C35,DiemHKII!$C$4:$C$58,0),G$59),""))</f>
        <v>9.8000000000000007</v>
      </c>
      <c r="H35" s="792">
        <f t="shared" si="1"/>
        <v>1</v>
      </c>
      <c r="I35" s="776" t="str">
        <f>IF($B35="","",INDEX(NXetHKI!$B$3:$CL$57,MATCH(NXchung!$C35,NXetHKI!$C$3:$C$57,0),NXchung!I$59))</f>
        <v>Em ngoan, tích cực, năng động, rất đáng khen.</v>
      </c>
      <c r="J35" s="775" t="str">
        <f>IF($B35="","",IF(INDEX(BDHK2,MATCH($C35,DiemHKII!$C$4:$C$58,0),J$59)&lt;&gt;"",INDEX(BDHK2,MATCH($C35,DiemHKII!$C$4:$C$58,0),J$59),""))</f>
        <v/>
      </c>
      <c r="K35" s="792" t="str">
        <f t="shared" si="2"/>
        <v/>
      </c>
      <c r="L35" s="776" t="str">
        <f t="shared" si="3"/>
        <v/>
      </c>
      <c r="M35" s="775" t="str">
        <f>IF($B35="","",IF(INDEX(BDHK2,MATCH($C35,DiemHKII!$C$4:$C$58,0),M$59)&lt;&gt;"",INDEX(BDHK2,MATCH($C35,DiemHKII!$C$4:$C$58,0),M$59),""))</f>
        <v/>
      </c>
      <c r="N35" s="792" t="str">
        <f t="shared" si="4"/>
        <v/>
      </c>
      <c r="O35" s="776" t="str">
        <f t="shared" si="5"/>
        <v/>
      </c>
      <c r="P35" s="774"/>
      <c r="Q35" s="775">
        <f>IF($B35="","",IF(INDEX(BDHK2,MATCH($C35,DiemHKII!$C$4:$C$58,0),Q$59)&lt;&gt;"",INDEX(BDHK2,MATCH($C35,DiemHKII!$C$4:$C$58,0),Q$59),""))</f>
        <v>9.6</v>
      </c>
      <c r="R35" s="792">
        <f t="shared" si="6"/>
        <v>1</v>
      </c>
      <c r="S35" s="776" t="str">
        <f>IF($B35="","",INDEX(NXetHKI!$B$3:$CL$57,MATCH(NXchung!$C35,NXetHKI!$C$3:$C$57,0),NXchung!S$59))</f>
        <v>Em ngoan, tích cực, năng động, rất đáng khen.</v>
      </c>
      <c r="T35" s="775" t="str">
        <f>IF($B35="","",IF(INDEX(BDHK2,MATCH($C35,DiemHKII!$C$4:$C$58,0),T$59)&lt;&gt;"",INDEX(BDHK2,MATCH($C35,DiemHKII!$C$4:$C$58,0),T$59),""))</f>
        <v/>
      </c>
      <c r="U35" s="792" t="str">
        <f t="shared" si="7"/>
        <v/>
      </c>
      <c r="V35" s="776" t="str">
        <f t="shared" si="8"/>
        <v/>
      </c>
      <c r="W35" s="775" t="str">
        <f>IF($B35="","",IF(INDEX(BDHK2,MATCH($C35,DiemHKII!$C$4:$C$58,0),W$59)&lt;&gt;"",INDEX(BDHK2,MATCH($C35,DiemHKII!$C$4:$C$58,0),W$59),""))</f>
        <v/>
      </c>
      <c r="X35" s="792" t="str">
        <f t="shared" si="9"/>
        <v/>
      </c>
      <c r="Y35" s="776" t="str">
        <f t="shared" si="10"/>
        <v/>
      </c>
      <c r="Z35" s="774"/>
      <c r="AA35" s="775">
        <f>IF($B35="","",IF(INDEX(BDHK2,MATCH($C35,DiemHKII!$C$4:$C$58,0),AA$59)&lt;&gt;"",INDEX(BDHK2,MATCH($C35,DiemHKII!$C$4:$C$58,0),AA$59),""))</f>
        <v>9.5</v>
      </c>
      <c r="AB35" s="792">
        <f t="shared" si="11"/>
        <v>1</v>
      </c>
      <c r="AC35" s="776" t="str">
        <f>IF($B35="","",INDEX(NXetHKI!$B$3:$CL$57,MATCH(NXchung!$C35,NXetHKI!$C$3:$C$57,0),NXchung!AC$59))</f>
        <v>Kiến thức vững, sáng tạo, tự học tốt.</v>
      </c>
      <c r="AD35" s="775" t="str">
        <f>IF($B35="","",IF(INDEX(BDHK2,MATCH($C35,DiemHKII!$C$4:$C$58,0),AD$59)&lt;&gt;"",INDEX(BDHK2,MATCH($C35,DiemHKII!$C$4:$C$58,0),AD$59),""))</f>
        <v/>
      </c>
      <c r="AE35" s="792" t="str">
        <f t="shared" si="12"/>
        <v/>
      </c>
      <c r="AF35" s="776" t="str">
        <f t="shared" si="13"/>
        <v/>
      </c>
      <c r="AG35" s="775" t="str">
        <f>IF($B35="","",IF(INDEX(BDHK2,MATCH($C35,DiemHKII!$C$4:$C$58,0),AG$59)&lt;&gt;"",INDEX(BDHK2,MATCH($C35,DiemHKII!$C$4:$C$58,0),AG$59),""))</f>
        <v/>
      </c>
      <c r="AH35" s="792" t="str">
        <f t="shared" si="14"/>
        <v/>
      </c>
      <c r="AI35" s="776" t="str">
        <f t="shared" si="15"/>
        <v/>
      </c>
      <c r="AJ35" s="774"/>
      <c r="AK35" s="775">
        <f>IF($B35="","",IF(INDEX(BDHK2,MATCH($C35,DiemHKII!$C$4:$C$58,0),AK$59)&lt;&gt;"",INDEX(BDHK2,MATCH($C35,DiemHKII!$C$4:$C$58,0),AK$59),""))</f>
        <v>9.3000000000000007</v>
      </c>
      <c r="AL35" s="792">
        <f t="shared" si="16"/>
        <v>1</v>
      </c>
      <c r="AM35" s="776" t="str">
        <f>IF($B35="","",INDEX(NXetHKI!$B$3:$CL$57,MATCH(NXchung!$C35,NXetHKI!$C$3:$C$57,0),NXchung!AM$59))</f>
        <v>Ý thức học tập tốt, vận dụng tốt kiến thức học tập</v>
      </c>
      <c r="AN35" s="775" t="str">
        <f>IF($B35="","",IF(INDEX(BDHK2,MATCH($C35,DiemHKII!$C$4:$C$58,0),AN$59)&lt;&gt;"",INDEX(BDHK2,MATCH($C35,DiemHKII!$C$4:$C$58,0),AN$59),""))</f>
        <v/>
      </c>
      <c r="AO35" s="792" t="str">
        <f t="shared" si="17"/>
        <v/>
      </c>
      <c r="AP35" s="776" t="str">
        <f t="shared" si="18"/>
        <v/>
      </c>
      <c r="AQ35" s="775" t="str">
        <f>IF($B35="","",IF(INDEX(BDHK2,MATCH($C35,DiemHKII!$C$4:$C$58,0),AQ$59)&lt;&gt;"",INDEX(BDHK2,MATCH($C35,DiemHKII!$C$4:$C$58,0),AQ$59),""))</f>
        <v/>
      </c>
      <c r="AR35" s="792" t="str">
        <f t="shared" si="19"/>
        <v/>
      </c>
      <c r="AS35" s="776" t="str">
        <f t="shared" si="20"/>
        <v/>
      </c>
      <c r="AT35" s="774"/>
      <c r="AU35" s="775">
        <f>IF($B35="","",IF(INDEX(BDHK2,MATCH($C35,DiemHKII!$C$4:$C$58,0),AU$59)&lt;&gt;"",INDEX(BDHK2,MATCH($C35,DiemHKII!$C$4:$C$58,0),AU$59),""))</f>
        <v>9.6</v>
      </c>
      <c r="AV35" s="792">
        <f t="shared" si="21"/>
        <v>1</v>
      </c>
      <c r="AW35" s="776" t="str">
        <f>IF($B35="","",INDEX(NXetHKI!$B$3:$CL$57,MATCH(NXchung!$C35,NXetHKI!$C$3:$C$57,0),NXchung!AW$59))</f>
        <v>Học giỏi, năng động và sáng tạo trong học tập.</v>
      </c>
      <c r="AX35" s="775" t="str">
        <f>IF($B35="","",IF(INDEX(BDHK2,MATCH($C35,DiemHKII!$C$4:$C$58,0),AX$59)&lt;&gt;"",INDEX(BDHK2,MATCH($C35,DiemHKII!$C$4:$C$58,0),AX$59),""))</f>
        <v/>
      </c>
      <c r="AY35" s="792" t="str">
        <f t="shared" si="22"/>
        <v/>
      </c>
      <c r="AZ35" s="776" t="str">
        <f t="shared" si="23"/>
        <v/>
      </c>
      <c r="BA35" s="775" t="str">
        <f>IF($B35="","",IF(INDEX(BDHK2,MATCH($C35,DiemHKII!$C$4:$C$58,0),BA$59)&lt;&gt;"",INDEX(BDHK2,MATCH($C35,DiemHKII!$C$4:$C$58,0),BA$59),""))</f>
        <v/>
      </c>
      <c r="BB35" s="792" t="str">
        <f t="shared" si="24"/>
        <v/>
      </c>
      <c r="BC35" s="776" t="str">
        <f t="shared" si="25"/>
        <v/>
      </c>
      <c r="BD35" s="774"/>
      <c r="BE35" s="775">
        <f>IF($B35="","",IF(INDEX(BDHK2,MATCH($C35,DiemHKII!$C$4:$C$58,0),BE$59)&lt;&gt;"",INDEX(BDHK2,MATCH($C35,DiemHKII!$C$4:$C$58,0),BE$59),""))</f>
        <v>7.3</v>
      </c>
      <c r="BF35" s="792">
        <f t="shared" si="26"/>
        <v>5</v>
      </c>
      <c r="BG35" s="776" t="str">
        <f>IF($B35="","",INDEX(NXetHKI!$B$3:$CL$57,MATCH(NXchung!$C35,NXetHKI!$C$3:$C$57,0),NXchung!BG$59))</f>
        <v>Cần tích cực rèn thêm kỹ năng đọc, viết.</v>
      </c>
      <c r="BH35" s="775" t="str">
        <f>IF($B35="","",IF(INDEX(BDHK2,MATCH($C35,DiemHKII!$C$4:$C$58,0),BH$59)&lt;&gt;"",INDEX(BDHK2,MATCH($C35,DiemHKII!$C$4:$C$58,0),BH$59),""))</f>
        <v/>
      </c>
      <c r="BI35" s="792" t="str">
        <f t="shared" si="27"/>
        <v/>
      </c>
      <c r="BJ35" s="776" t="str">
        <f t="shared" si="28"/>
        <v/>
      </c>
      <c r="BK35" s="775" t="str">
        <f>IF($B35="","",IF(INDEX(BDHK2,MATCH($C35,DiemHKII!$C$4:$C$58,0),BK$59)&lt;&gt;"",INDEX(BDHK2,MATCH($C35,DiemHKII!$C$4:$C$58,0),BK$59),""))</f>
        <v/>
      </c>
      <c r="BL35" s="792" t="str">
        <f t="shared" si="29"/>
        <v/>
      </c>
      <c r="BM35" s="776" t="str">
        <f t="shared" si="30"/>
        <v/>
      </c>
      <c r="BN35" s="774"/>
      <c r="BO35" s="775">
        <f>IF($B35="","",IF(INDEX(BDHK2,MATCH($C35,DiemHKII!$C$4:$C$58,0),BO$59)&lt;&gt;"",INDEX(BDHK2,MATCH($C35,DiemHKII!$C$4:$C$58,0),BO$59),""))</f>
        <v>9.1</v>
      </c>
      <c r="BP35" s="792">
        <f t="shared" si="31"/>
        <v>1</v>
      </c>
      <c r="BQ35" s="776" t="str">
        <f>IF($B35="","",INDEX(NXetHKI!$B$3:$CL$57,MATCH(NXchung!$C35,NXetHKI!$C$3:$C$57,0),NXchung!BQ$59))</f>
        <v>Chăm học, tích cực phát biểu xây dựng bài.</v>
      </c>
      <c r="BR35" s="775" t="str">
        <f>IF($B35="","",IF(INDEX(BDHK2,MATCH($C35,DiemHKII!$C$4:$C$58,0),BR$59)&lt;&gt;"",INDEX(BDHK2,MATCH($C35,DiemHKII!$C$4:$C$58,0),BR$59),""))</f>
        <v/>
      </c>
      <c r="BS35" s="792" t="str">
        <f t="shared" si="32"/>
        <v/>
      </c>
      <c r="BT35" s="776" t="str">
        <f t="shared" si="33"/>
        <v/>
      </c>
      <c r="BU35" s="775" t="str">
        <f>IF($B35="","",IF(INDEX(BDHK2,MATCH($C35,DiemHKII!$C$4:$C$58,0),BU$59)&lt;&gt;"",INDEX(BDHK2,MATCH($C35,DiemHKII!$C$4:$C$58,0),BU$59),""))</f>
        <v/>
      </c>
      <c r="BV35" s="792" t="str">
        <f t="shared" si="34"/>
        <v/>
      </c>
      <c r="BW35" s="776" t="str">
        <f t="shared" si="35"/>
        <v/>
      </c>
      <c r="BX35" s="774"/>
      <c r="BY35" s="775">
        <f>IF($B35="","",IF(INDEX(BDHK2,MATCH($C35,DiemHKII!$C$4:$C$58,0),BY$59)&lt;&gt;"",INDEX(BDHK2,MATCH($C35,DiemHKII!$C$4:$C$58,0),BY$59),""))</f>
        <v>9.1</v>
      </c>
      <c r="BZ35" s="792">
        <f t="shared" si="36"/>
        <v>1</v>
      </c>
      <c r="CA35" s="776" t="str">
        <f>IF($B35="","",INDEX(NXetHKI!$B$3:$CL$57,MATCH(NXchung!$C35,NXetHKI!$C$3:$C$57,0),NXchung!CA$59))</f>
        <v>Em có tư duy tốt, tích cực, vận dụng thực tế tốt.</v>
      </c>
      <c r="CB35" s="775" t="str">
        <f>IF($B35="","",IF(INDEX(BDHK2,MATCH($C35,DiemHKII!$C$4:$C$58,0),CB$59)&lt;&gt;"",INDEX(BDHK2,MATCH($C35,DiemHKII!$C$4:$C$58,0),CB$59),""))</f>
        <v/>
      </c>
      <c r="CC35" s="792" t="str">
        <f t="shared" si="37"/>
        <v/>
      </c>
      <c r="CD35" s="776" t="str">
        <f t="shared" si="38"/>
        <v/>
      </c>
      <c r="CE35" s="775" t="str">
        <f>IF($B35="","",IF(INDEX(BDHK2,MATCH($C35,DiemHKII!$C$4:$C$58,0),CE$59)&lt;&gt;"",INDEX(BDHK2,MATCH($C35,DiemHKII!$C$4:$C$58,0),CE$59),""))</f>
        <v/>
      </c>
      <c r="CF35" s="792" t="str">
        <f t="shared" si="39"/>
        <v/>
      </c>
      <c r="CG35" s="776" t="str">
        <f t="shared" si="40"/>
        <v/>
      </c>
      <c r="CH35" s="774"/>
      <c r="CI35" s="775">
        <f>IF($B35="","",IF(INDEX(BDHK2,MATCH($C35,DiemHKII!$C$4:$C$58,0),CI$59)&lt;&gt;"",INDEX(BDHK2,MATCH($C35,DiemHKII!$C$4:$C$58,0),CI$59),""))</f>
        <v>8.9</v>
      </c>
      <c r="CJ35" s="792">
        <f t="shared" si="41"/>
        <v>2</v>
      </c>
      <c r="CK35" s="776" t="str">
        <f>IF($B35="","",INDEX(NXetHKI!$B$3:$CL$57,MATCH(NXchung!$C35,NXetHKI!$C$3:$C$57,0),NXchung!CK$59))</f>
        <v>Chăm chỉ, tích cực phát biểu và phát âm tốt.</v>
      </c>
      <c r="CL35" s="775" t="str">
        <f>IF($B35="","",IF(INDEX(BDHK2,MATCH($C35,DiemHKII!$C$4:$C$58,0),CL$59)&lt;&gt;"",INDEX(BDHK2,MATCH($C35,DiemHKII!$C$4:$C$58,0),CL$59),""))</f>
        <v/>
      </c>
      <c r="CM35" s="792" t="str">
        <f t="shared" si="42"/>
        <v/>
      </c>
      <c r="CN35" s="776" t="str">
        <f t="shared" si="43"/>
        <v/>
      </c>
      <c r="CO35" s="775" t="str">
        <f>IF($B35="","",IF(INDEX(BDHK2,MATCH($C35,DiemHKII!$C$4:$C$58,0),CO$59)&lt;&gt;"",INDEX(BDHK2,MATCH($C35,DiemHKII!$C$4:$C$58,0),CO$59),""))</f>
        <v/>
      </c>
      <c r="CP35" s="792" t="str">
        <f t="shared" si="44"/>
        <v/>
      </c>
      <c r="CQ35" s="776" t="str">
        <f t="shared" si="45"/>
        <v/>
      </c>
      <c r="CR35" s="774"/>
      <c r="CS35" s="775">
        <f>IF($B35="","",IF(INDEX(BDHK2,MATCH($C35,DiemHKII!$C$4:$C$58,0),CS$59)&lt;&gt;"",INDEX(BDHK2,MATCH($C35,DiemHKII!$C$4:$C$58,0),CS$59),""))</f>
        <v>9.1</v>
      </c>
      <c r="CT35" s="792">
        <f t="shared" si="46"/>
        <v>1</v>
      </c>
      <c r="CU35" s="776" t="str">
        <f>IF($B35="","",INDEX(NXetHKI!$B$3:$CL$57,MATCH(NXchung!$C35,NXetHKI!$C$3:$C$57,0),NXchung!CU$59))</f>
        <v>Hứng thú, tích cực, học giỏi.</v>
      </c>
      <c r="CV35" s="775" t="str">
        <f>IF($B35="","",IF(INDEX(BDHK2,MATCH($C35,DiemHKII!$C$4:$C$58,0),CV$59)&lt;&gt;"",INDEX(BDHK2,MATCH($C35,DiemHKII!$C$4:$C$58,0),CV$59),""))</f>
        <v/>
      </c>
      <c r="CW35" s="792" t="str">
        <f t="shared" si="47"/>
        <v/>
      </c>
      <c r="CX35" s="776" t="str">
        <f t="shared" si="48"/>
        <v/>
      </c>
      <c r="CY35" s="775" t="str">
        <f>IF($B35="","",IF(INDEX(BDHK2,MATCH($C35,DiemHKII!$C$4:$C$58,0),CY$59)&lt;&gt;"",INDEX(BDHK2,MATCH($C35,DiemHKII!$C$4:$C$58,0),CY$59),""))</f>
        <v/>
      </c>
      <c r="CZ35" s="792" t="str">
        <f t="shared" si="49"/>
        <v/>
      </c>
      <c r="DA35" s="776" t="str">
        <f t="shared" si="50"/>
        <v/>
      </c>
      <c r="DB35" s="774"/>
      <c r="DC35" s="775">
        <f>IF($B35="","",IF(INDEX(BDHK2,MATCH($C35,DiemHKII!$C$4:$C$58,0),DC$59)&lt;&gt;"",INDEX(BDHK2,MATCH($C35,DiemHKII!$C$4:$C$58,0),DC$59),""))</f>
        <v>9.8000000000000007</v>
      </c>
      <c r="DD35" s="792">
        <f t="shared" si="51"/>
        <v>1</v>
      </c>
      <c r="DE35" s="776" t="str">
        <f>IF($B35="","",INDEX(NXetHKI!$B$3:$CL$57,MATCH(NXchung!$C35,NXetHKI!$C$3:$C$57,0),NXchung!DE$59))</f>
        <v>Học giỏi, tiếp thu nhanh, chăm ngoan.</v>
      </c>
      <c r="DF35" s="775" t="str">
        <f>IF($B35="","",IF(INDEX(BDHK2,MATCH($C35,DiemHKII!$C$4:$C$58,0),DF$59)&lt;&gt;"",INDEX(BDHK2,MATCH($C35,DiemHKII!$C$4:$C$58,0),DF$59),""))</f>
        <v/>
      </c>
      <c r="DG35" s="792" t="str">
        <f t="shared" si="52"/>
        <v/>
      </c>
      <c r="DH35" s="776" t="str">
        <f t="shared" si="53"/>
        <v/>
      </c>
      <c r="DI35" s="775" t="str">
        <f>IF($B35="","",IF(INDEX(BDHK2,MATCH($C35,DiemHKII!$C$4:$C$58,0),DI$59)&lt;&gt;"",INDEX(BDHK2,MATCH($C35,DiemHKII!$C$4:$C$58,0),DI$59),""))</f>
        <v/>
      </c>
      <c r="DJ35" s="792" t="str">
        <f t="shared" si="54"/>
        <v/>
      </c>
      <c r="DK35" s="776" t="str">
        <f t="shared" si="55"/>
        <v/>
      </c>
      <c r="DL35" s="774"/>
      <c r="DM35" s="775" t="str">
        <f>IF($B35="","",IF(INDEX(BDHK2,MATCH($C35,DiemHKII!$C$4:$C$58,0),DM$59)&lt;&gt;"",INDEX(BDHK2,MATCH($C35,DiemHKII!$C$4:$C$58,0),DM$59),""))</f>
        <v>Đ</v>
      </c>
      <c r="DN35" s="792">
        <f t="shared" si="56"/>
        <v>1</v>
      </c>
      <c r="DO35" s="776" t="str">
        <f>IF($B35="","",INDEX(NXetHKI!$B$3:$CL$57,MATCH(NXchung!$C35,NXetHKI!$C$3:$C$57,0),NXchung!DO$59))</f>
        <v>Rất ngoan, học có hiệu quả tốt.</v>
      </c>
      <c r="DP35" s="775" t="str">
        <f>IF($B35="","",IF(INDEX(BDHK2,MATCH($C35,DiemHKII!$C$4:$C$58,0),DP$59)&lt;&gt;"",INDEX(BDHK2,MATCH($C35,DiemHKII!$C$4:$C$58,0),DP$59),""))</f>
        <v/>
      </c>
      <c r="DQ35" s="792" t="str">
        <f t="shared" si="57"/>
        <v/>
      </c>
      <c r="DR35" s="776" t="str">
        <f t="shared" si="58"/>
        <v/>
      </c>
      <c r="DS35" s="775" t="str">
        <f>IF($B35="","",IF(INDEX(BDHK2,MATCH($C35,DiemHKII!$C$4:$C$58,0),DS$59)&lt;&gt;"",INDEX(BDHK2,MATCH($C35,DiemHKII!$C$4:$C$58,0),DS$59),""))</f>
        <v>Đ</v>
      </c>
      <c r="DT35" s="792">
        <f t="shared" si="59"/>
        <v>1</v>
      </c>
      <c r="DU35" s="776" t="str">
        <f t="shared" si="60"/>
        <v>Giỏi, có nhiều tiến bộ trong học tập.</v>
      </c>
      <c r="DV35" s="774"/>
      <c r="DW35" s="775">
        <f>IF($B35="","",IF(INDEX(BDHK2,MATCH($C35,DiemHKII!$C$4:$C$58,0),DW$59)&lt;&gt;"",INDEX(BDHK2,MATCH($C35,DiemHKII!$C$4:$C$58,0),DW$59),""))</f>
        <v>9.9</v>
      </c>
      <c r="DX35" s="792">
        <f t="shared" si="61"/>
        <v>1</v>
      </c>
      <c r="DY35" s="776" t="str">
        <f>IF($B35="","",INDEX(NXetHKI!$B$3:$CL$57,MATCH(NXchung!$C35,NXetHKI!$C$3:$C$57,0),NXchung!DY$59))</f>
        <v>Ngoan, tích cực xây dựng bài, nắm chắc thực hành, học giỏi.</v>
      </c>
      <c r="DZ35" s="775" t="str">
        <f>IF($B35="","",IF(INDEX(BDHK2,MATCH($C35,DiemHKII!$C$4:$C$58,0),DZ$59)&lt;&gt;"",INDEX(BDHK2,MATCH($C35,DiemHKII!$C$4:$C$58,0),DZ$59),""))</f>
        <v/>
      </c>
      <c r="EA35" s="792" t="str">
        <f t="shared" si="62"/>
        <v/>
      </c>
      <c r="EB35" s="776" t="str">
        <f t="shared" si="63"/>
        <v/>
      </c>
      <c r="EC35" s="775" t="str">
        <f>IF($B35="","",IF(INDEX(BDHK2,MATCH($C35,DiemHKII!$C$4:$C$58,0),EC$59)&lt;&gt;"",INDEX(BDHK2,MATCH($C35,DiemHKII!$C$4:$C$58,0),EC$59),""))</f>
        <v/>
      </c>
      <c r="ED35" s="792" t="str">
        <f t="shared" si="64"/>
        <v/>
      </c>
      <c r="EE35" s="776" t="str">
        <f t="shared" si="65"/>
        <v/>
      </c>
      <c r="EF35" s="774"/>
      <c r="EG35" s="775" t="str">
        <f>IF($B35="","",IF(INDEX(BDHK2,MATCH($C35,DiemHKII!$C$4:$C$58,0),EG$59)&lt;&gt;"",INDEX(BDHK2,MATCH($C35,DiemHKII!$C$4:$C$58,0),EG$59),""))</f>
        <v/>
      </c>
      <c r="EH35" s="792" t="str">
        <f t="shared" si="66"/>
        <v/>
      </c>
      <c r="EI35" s="776" t="str">
        <f>IF($B35="","",INDEX(NXetHKI!$B$3:$CL$57,MATCH(NXchung!$C35,NXetHKI!$C$3:$C$57,0),NXchung!EI$59))</f>
        <v/>
      </c>
      <c r="EJ35" s="775" t="str">
        <f>IF($B35="","",IF(INDEX(BDHK2,MATCH($C35,DiemHKII!$C$4:$C$58,0),EJ$59)&lt;&gt;"",INDEX(BDHK2,MATCH($C35,DiemHKII!$C$4:$C$58,0),EJ$59),""))</f>
        <v/>
      </c>
      <c r="EK35" s="792" t="str">
        <f t="shared" si="67"/>
        <v/>
      </c>
      <c r="EL35" s="776" t="str">
        <f t="shared" si="68"/>
        <v/>
      </c>
      <c r="EM35" s="775" t="str">
        <f>IF($B35="","",IF(INDEX(BDHK2,MATCH($C35,DiemHKII!$C$4:$C$58,0),EM$59)&lt;&gt;"",INDEX(BDHK2,MATCH($C35,DiemHKII!$C$4:$C$58,0),EM$59),""))</f>
        <v/>
      </c>
      <c r="EN35" s="792" t="str">
        <f t="shared" si="69"/>
        <v/>
      </c>
      <c r="EO35" s="776" t="str">
        <f t="shared" si="70"/>
        <v/>
      </c>
      <c r="EP35" s="774"/>
      <c r="ER35" s="816">
        <v>3</v>
      </c>
      <c r="ES35" s="816">
        <v>6</v>
      </c>
    </row>
    <row r="36" spans="2:149" ht="15" customHeight="1">
      <c r="B36" s="771">
        <f>IF(B35&lt;MAX(DiemHKII!$B$4:$B$58),B35+1,"")</f>
        <v>34</v>
      </c>
      <c r="C36" s="771" t="str">
        <f t="shared" si="0"/>
        <v>12A1Trần Kim BảoTrân05/06/2004</v>
      </c>
      <c r="D36" s="772" t="str">
        <f>IF($B36&lt;&gt;"",PROPER(INDEX(DiemHKII!$B$4:$K$58,MATCH($B36,DiemHKII!$B$4:$B$58,0),4)),"")</f>
        <v>Trần Kim Bảo</v>
      </c>
      <c r="E36" s="773" t="str">
        <f>IF($B36&lt;&gt;"",PROPER(INDEX(DiemHKII!$B$4:$K$58,MATCH($B36,DiemHKII!$B$4:$B$58,0),5)),"")</f>
        <v>Trân</v>
      </c>
      <c r="F36" s="774" t="str">
        <f>IF($B36&lt;&gt;"",PROPER(INDEX(DiemHKII!$B$4:$K$58,MATCH($B36,DiemHKII!$B$4:$B$58,0),6)),"")</f>
        <v>05/06/2004</v>
      </c>
      <c r="G36" s="775">
        <f>IF($B36="","",IF(INDEX(BDHK2,MATCH($C36,DiemHKII!$C$4:$C$58,0),G$59)&lt;&gt;"",INDEX(BDHK2,MATCH($C36,DiemHKII!$C$4:$C$58,0),G$59),""))</f>
        <v>9.1999999999999993</v>
      </c>
      <c r="H36" s="792">
        <f t="shared" si="1"/>
        <v>1</v>
      </c>
      <c r="I36" s="776" t="str">
        <f>IF($B36="","",INDEX(NXetHKI!$B$3:$CL$57,MATCH(NXchung!$C36,NXetHKI!$C$3:$C$57,0),NXchung!I$59))</f>
        <v>Em chăm chỉ, chuyên cần, rất tích cực, rất đáng khen.</v>
      </c>
      <c r="J36" s="775" t="str">
        <f>IF($B36="","",IF(INDEX(BDHK2,MATCH($C36,DiemHKII!$C$4:$C$58,0),J$59)&lt;&gt;"",INDEX(BDHK2,MATCH($C36,DiemHKII!$C$4:$C$58,0),J$59),""))</f>
        <v/>
      </c>
      <c r="K36" s="792" t="str">
        <f t="shared" si="2"/>
        <v/>
      </c>
      <c r="L36" s="776" t="str">
        <f t="shared" si="3"/>
        <v/>
      </c>
      <c r="M36" s="775" t="str">
        <f>IF($B36="","",IF(INDEX(BDHK2,MATCH($C36,DiemHKII!$C$4:$C$58,0),M$59)&lt;&gt;"",INDEX(BDHK2,MATCH($C36,DiemHKII!$C$4:$C$58,0),M$59),""))</f>
        <v/>
      </c>
      <c r="N36" s="792" t="str">
        <f t="shared" si="4"/>
        <v/>
      </c>
      <c r="O36" s="776" t="str">
        <f t="shared" si="5"/>
        <v/>
      </c>
      <c r="P36" s="774"/>
      <c r="Q36" s="775">
        <f>IF($B36="","",IF(INDEX(BDHK2,MATCH($C36,DiemHKII!$C$4:$C$58,0),Q$59)&lt;&gt;"",INDEX(BDHK2,MATCH($C36,DiemHKII!$C$4:$C$58,0),Q$59),""))</f>
        <v>8.6999999999999993</v>
      </c>
      <c r="R36" s="792">
        <f t="shared" si="6"/>
        <v>2</v>
      </c>
      <c r="S36" s="776" t="str">
        <f>IF($B36="","",INDEX(NXetHKI!$B$3:$CL$57,MATCH(NXchung!$C36,NXetHKI!$C$3:$C$57,0),NXchung!S$59))</f>
        <v>Em siêng năng, chủ động trong học tập, kết quả tốt.</v>
      </c>
      <c r="T36" s="775" t="str">
        <f>IF($B36="","",IF(INDEX(BDHK2,MATCH($C36,DiemHKII!$C$4:$C$58,0),T$59)&lt;&gt;"",INDEX(BDHK2,MATCH($C36,DiemHKII!$C$4:$C$58,0),T$59),""))</f>
        <v/>
      </c>
      <c r="U36" s="792" t="str">
        <f t="shared" si="7"/>
        <v/>
      </c>
      <c r="V36" s="776" t="str">
        <f t="shared" si="8"/>
        <v/>
      </c>
      <c r="W36" s="775" t="str">
        <f>IF($B36="","",IF(INDEX(BDHK2,MATCH($C36,DiemHKII!$C$4:$C$58,0),W$59)&lt;&gt;"",INDEX(BDHK2,MATCH($C36,DiemHKII!$C$4:$C$58,0),W$59),""))</f>
        <v/>
      </c>
      <c r="X36" s="792" t="str">
        <f t="shared" si="9"/>
        <v/>
      </c>
      <c r="Y36" s="776" t="str">
        <f t="shared" si="10"/>
        <v/>
      </c>
      <c r="Z36" s="774"/>
      <c r="AA36" s="775">
        <f>IF($B36="","",IF(INDEX(BDHK2,MATCH($C36,DiemHKII!$C$4:$C$58,0),AA$59)&lt;&gt;"",INDEX(BDHK2,MATCH($C36,DiemHKII!$C$4:$C$58,0),AA$59),""))</f>
        <v>9.1999999999999993</v>
      </c>
      <c r="AB36" s="792">
        <f t="shared" si="11"/>
        <v>1</v>
      </c>
      <c r="AC36" s="776" t="str">
        <f>IF($B36="","",INDEX(NXetHKI!$B$3:$CL$57,MATCH(NXchung!$C36,NXetHKI!$C$3:$C$57,0),NXchung!AC$59))</f>
        <v>Học giỏi, thông minh, cần phát huy.</v>
      </c>
      <c r="AD36" s="775" t="str">
        <f>IF($B36="","",IF(INDEX(BDHK2,MATCH($C36,DiemHKII!$C$4:$C$58,0),AD$59)&lt;&gt;"",INDEX(BDHK2,MATCH($C36,DiemHKII!$C$4:$C$58,0),AD$59),""))</f>
        <v/>
      </c>
      <c r="AE36" s="792" t="str">
        <f t="shared" si="12"/>
        <v/>
      </c>
      <c r="AF36" s="776" t="str">
        <f t="shared" si="13"/>
        <v/>
      </c>
      <c r="AG36" s="775" t="str">
        <f>IF($B36="","",IF(INDEX(BDHK2,MATCH($C36,DiemHKII!$C$4:$C$58,0),AG$59)&lt;&gt;"",INDEX(BDHK2,MATCH($C36,DiemHKII!$C$4:$C$58,0),AG$59),""))</f>
        <v/>
      </c>
      <c r="AH36" s="792" t="str">
        <f t="shared" si="14"/>
        <v/>
      </c>
      <c r="AI36" s="776" t="str">
        <f t="shared" si="15"/>
        <v/>
      </c>
      <c r="AJ36" s="774"/>
      <c r="AK36" s="775">
        <f>IF($B36="","",IF(INDEX(BDHK2,MATCH($C36,DiemHKII!$C$4:$C$58,0),AK$59)&lt;&gt;"",INDEX(BDHK2,MATCH($C36,DiemHKII!$C$4:$C$58,0),AK$59),""))</f>
        <v>8.8000000000000007</v>
      </c>
      <c r="AL36" s="792">
        <f t="shared" si="16"/>
        <v>2</v>
      </c>
      <c r="AM36" s="776" t="str">
        <f>IF($B36="","",INDEX(NXetHKI!$B$3:$CL$57,MATCH(NXchung!$C36,NXetHKI!$C$3:$C$57,0),NXchung!AM$59))</f>
        <v>Chăm chỉ, năng động và có hiệu quả, có năng khiếu về bộ môn Sinh học.</v>
      </c>
      <c r="AN36" s="775" t="str">
        <f>IF($B36="","",IF(INDEX(BDHK2,MATCH($C36,DiemHKII!$C$4:$C$58,0),AN$59)&lt;&gt;"",INDEX(BDHK2,MATCH($C36,DiemHKII!$C$4:$C$58,0),AN$59),""))</f>
        <v/>
      </c>
      <c r="AO36" s="792" t="str">
        <f t="shared" si="17"/>
        <v/>
      </c>
      <c r="AP36" s="776" t="str">
        <f t="shared" si="18"/>
        <v/>
      </c>
      <c r="AQ36" s="775" t="str">
        <f>IF($B36="","",IF(INDEX(BDHK2,MATCH($C36,DiemHKII!$C$4:$C$58,0),AQ$59)&lt;&gt;"",INDEX(BDHK2,MATCH($C36,DiemHKII!$C$4:$C$58,0),AQ$59),""))</f>
        <v/>
      </c>
      <c r="AR36" s="792" t="str">
        <f t="shared" si="19"/>
        <v/>
      </c>
      <c r="AS36" s="776" t="str">
        <f t="shared" si="20"/>
        <v/>
      </c>
      <c r="AT36" s="774"/>
      <c r="AU36" s="775">
        <f>IF($B36="","",IF(INDEX(BDHK2,MATCH($C36,DiemHKII!$C$4:$C$58,0),AU$59)&lt;&gt;"",INDEX(BDHK2,MATCH($C36,DiemHKII!$C$4:$C$58,0),AU$59),""))</f>
        <v>9.6</v>
      </c>
      <c r="AV36" s="792">
        <f t="shared" si="21"/>
        <v>1</v>
      </c>
      <c r="AW36" s="776" t="str">
        <f>IF($B36="","",INDEX(NXetHKI!$B$3:$CL$57,MATCH(NXchung!$C36,NXetHKI!$C$3:$C$57,0),NXchung!AW$59))</f>
        <v>Rất ngoan, cố gắng có hiệu quả.</v>
      </c>
      <c r="AX36" s="775" t="str">
        <f>IF($B36="","",IF(INDEX(BDHK2,MATCH($C36,DiemHKII!$C$4:$C$58,0),AX$59)&lt;&gt;"",INDEX(BDHK2,MATCH($C36,DiemHKII!$C$4:$C$58,0),AX$59),""))</f>
        <v/>
      </c>
      <c r="AY36" s="792" t="str">
        <f t="shared" si="22"/>
        <v/>
      </c>
      <c r="AZ36" s="776" t="str">
        <f t="shared" si="23"/>
        <v/>
      </c>
      <c r="BA36" s="775" t="str">
        <f>IF($B36="","",IF(INDEX(BDHK2,MATCH($C36,DiemHKII!$C$4:$C$58,0),BA$59)&lt;&gt;"",INDEX(BDHK2,MATCH($C36,DiemHKII!$C$4:$C$58,0),BA$59),""))</f>
        <v/>
      </c>
      <c r="BB36" s="792" t="str">
        <f t="shared" si="24"/>
        <v/>
      </c>
      <c r="BC36" s="776" t="str">
        <f t="shared" si="25"/>
        <v/>
      </c>
      <c r="BD36" s="774"/>
      <c r="BE36" s="775">
        <f>IF($B36="","",IF(INDEX(BDHK2,MATCH($C36,DiemHKII!$C$4:$C$58,0),BE$59)&lt;&gt;"",INDEX(BDHK2,MATCH($C36,DiemHKII!$C$4:$C$58,0),BE$59),""))</f>
        <v>8</v>
      </c>
      <c r="BF36" s="792">
        <f t="shared" si="26"/>
        <v>3</v>
      </c>
      <c r="BG36" s="776" t="str">
        <f>IF($B36="","",INDEX(NXetHKI!$B$3:$CL$57,MATCH(NXchung!$C36,NXetHKI!$C$3:$C$57,0),NXchung!BG$59))</f>
        <v>Học giỏi, chăm chỉ, cảm nhận tốt văn bản.</v>
      </c>
      <c r="BH36" s="775" t="str">
        <f>IF($B36="","",IF(INDEX(BDHK2,MATCH($C36,DiemHKII!$C$4:$C$58,0),BH$59)&lt;&gt;"",INDEX(BDHK2,MATCH($C36,DiemHKII!$C$4:$C$58,0),BH$59),""))</f>
        <v/>
      </c>
      <c r="BI36" s="792" t="str">
        <f t="shared" si="27"/>
        <v/>
      </c>
      <c r="BJ36" s="776" t="str">
        <f t="shared" si="28"/>
        <v/>
      </c>
      <c r="BK36" s="775" t="str">
        <f>IF($B36="","",IF(INDEX(BDHK2,MATCH($C36,DiemHKII!$C$4:$C$58,0),BK$59)&lt;&gt;"",INDEX(BDHK2,MATCH($C36,DiemHKII!$C$4:$C$58,0),BK$59),""))</f>
        <v/>
      </c>
      <c r="BL36" s="792" t="str">
        <f t="shared" si="29"/>
        <v/>
      </c>
      <c r="BM36" s="776" t="str">
        <f t="shared" si="30"/>
        <v/>
      </c>
      <c r="BN36" s="774"/>
      <c r="BO36" s="775">
        <f>IF($B36="","",IF(INDEX(BDHK2,MATCH($C36,DiemHKII!$C$4:$C$58,0),BO$59)&lt;&gt;"",INDEX(BDHK2,MATCH($C36,DiemHKII!$C$4:$C$58,0),BO$59),""))</f>
        <v>9.8000000000000007</v>
      </c>
      <c r="BP36" s="792">
        <f t="shared" si="31"/>
        <v>1</v>
      </c>
      <c r="BQ36" s="776" t="str">
        <f>IF($B36="","",INDEX(NXetHKI!$B$3:$CL$57,MATCH(NXchung!$C36,NXetHKI!$C$3:$C$57,0),NXchung!BQ$59))</f>
        <v>Chăm ngoan, tích cực, chủ động tiếp thu bài học.</v>
      </c>
      <c r="BR36" s="775" t="str">
        <f>IF($B36="","",IF(INDEX(BDHK2,MATCH($C36,DiemHKII!$C$4:$C$58,0),BR$59)&lt;&gt;"",INDEX(BDHK2,MATCH($C36,DiemHKII!$C$4:$C$58,0),BR$59),""))</f>
        <v/>
      </c>
      <c r="BS36" s="792" t="str">
        <f t="shared" si="32"/>
        <v/>
      </c>
      <c r="BT36" s="776" t="str">
        <f t="shared" si="33"/>
        <v/>
      </c>
      <c r="BU36" s="775" t="str">
        <f>IF($B36="","",IF(INDEX(BDHK2,MATCH($C36,DiemHKII!$C$4:$C$58,0),BU$59)&lt;&gt;"",INDEX(BDHK2,MATCH($C36,DiemHKII!$C$4:$C$58,0),BU$59),""))</f>
        <v/>
      </c>
      <c r="BV36" s="792" t="str">
        <f t="shared" si="34"/>
        <v/>
      </c>
      <c r="BW36" s="776" t="str">
        <f t="shared" si="35"/>
        <v/>
      </c>
      <c r="BX36" s="774"/>
      <c r="BY36" s="775">
        <f>IF($B36="","",IF(INDEX(BDHK2,MATCH($C36,DiemHKII!$C$4:$C$58,0),BY$59)&lt;&gt;"",INDEX(BDHK2,MATCH($C36,DiemHKII!$C$4:$C$58,0),BY$59),""))</f>
        <v>9.9</v>
      </c>
      <c r="BZ36" s="792">
        <f t="shared" si="36"/>
        <v>1</v>
      </c>
      <c r="CA36" s="776" t="str">
        <f>IF($B36="","",INDEX(NXetHKI!$B$3:$CL$57,MATCH(NXchung!$C36,NXetHKI!$C$3:$C$57,0),NXchung!CA$59))</f>
        <v>Em rất ngoan, cố gắng có hiệu quả.</v>
      </c>
      <c r="CB36" s="775" t="str">
        <f>IF($B36="","",IF(INDEX(BDHK2,MATCH($C36,DiemHKII!$C$4:$C$58,0),CB$59)&lt;&gt;"",INDEX(BDHK2,MATCH($C36,DiemHKII!$C$4:$C$58,0),CB$59),""))</f>
        <v/>
      </c>
      <c r="CC36" s="792" t="str">
        <f t="shared" si="37"/>
        <v/>
      </c>
      <c r="CD36" s="776" t="str">
        <f t="shared" si="38"/>
        <v/>
      </c>
      <c r="CE36" s="775" t="str">
        <f>IF($B36="","",IF(INDEX(BDHK2,MATCH($C36,DiemHKII!$C$4:$C$58,0),CE$59)&lt;&gt;"",INDEX(BDHK2,MATCH($C36,DiemHKII!$C$4:$C$58,0),CE$59),""))</f>
        <v/>
      </c>
      <c r="CF36" s="792" t="str">
        <f t="shared" si="39"/>
        <v/>
      </c>
      <c r="CG36" s="776" t="str">
        <f t="shared" si="40"/>
        <v/>
      </c>
      <c r="CH36" s="774"/>
      <c r="CI36" s="775">
        <f>IF($B36="","",IF(INDEX(BDHK2,MATCH($C36,DiemHKII!$C$4:$C$58,0),CI$59)&lt;&gt;"",INDEX(BDHK2,MATCH($C36,DiemHKII!$C$4:$C$58,0),CI$59),""))</f>
        <v>8.8000000000000007</v>
      </c>
      <c r="CJ36" s="792">
        <f t="shared" si="41"/>
        <v>2</v>
      </c>
      <c r="CK36" s="776" t="str">
        <f>IF($B36="","",INDEX(NXetHKI!$B$3:$CL$57,MATCH(NXchung!$C36,NXetHKI!$C$3:$C$57,0),NXchung!CK$59))</f>
        <v>Tích cực trong hoạt động thảo luận nhóm, có kỹ năng nghe và giao tiếp tốt.</v>
      </c>
      <c r="CL36" s="775" t="str">
        <f>IF($B36="","",IF(INDEX(BDHK2,MATCH($C36,DiemHKII!$C$4:$C$58,0),CL$59)&lt;&gt;"",INDEX(BDHK2,MATCH($C36,DiemHKII!$C$4:$C$58,0),CL$59),""))</f>
        <v/>
      </c>
      <c r="CM36" s="792" t="str">
        <f t="shared" si="42"/>
        <v/>
      </c>
      <c r="CN36" s="776" t="str">
        <f t="shared" si="43"/>
        <v/>
      </c>
      <c r="CO36" s="775" t="str">
        <f>IF($B36="","",IF(INDEX(BDHK2,MATCH($C36,DiemHKII!$C$4:$C$58,0),CO$59)&lt;&gt;"",INDEX(BDHK2,MATCH($C36,DiemHKII!$C$4:$C$58,0),CO$59),""))</f>
        <v/>
      </c>
      <c r="CP36" s="792" t="str">
        <f t="shared" si="44"/>
        <v/>
      </c>
      <c r="CQ36" s="776" t="str">
        <f t="shared" si="45"/>
        <v/>
      </c>
      <c r="CR36" s="774"/>
      <c r="CS36" s="775">
        <f>IF($B36="","",IF(INDEX(BDHK2,MATCH($C36,DiemHKII!$C$4:$C$58,0),CS$59)&lt;&gt;"",INDEX(BDHK2,MATCH($C36,DiemHKII!$C$4:$C$58,0),CS$59),""))</f>
        <v>9.4</v>
      </c>
      <c r="CT36" s="792">
        <f t="shared" si="46"/>
        <v>1</v>
      </c>
      <c r="CU36" s="776" t="str">
        <f>IF($B36="","",INDEX(NXetHKI!$B$3:$CL$57,MATCH(NXchung!$C36,NXetHKI!$C$3:$C$57,0),NXchung!CU$59))</f>
        <v>Hứng thú, có trách nhiệm học tập tốt.</v>
      </c>
      <c r="CV36" s="775" t="str">
        <f>IF($B36="","",IF(INDEX(BDHK2,MATCH($C36,DiemHKII!$C$4:$C$58,0),CV$59)&lt;&gt;"",INDEX(BDHK2,MATCH($C36,DiemHKII!$C$4:$C$58,0),CV$59),""))</f>
        <v/>
      </c>
      <c r="CW36" s="792" t="str">
        <f t="shared" si="47"/>
        <v/>
      </c>
      <c r="CX36" s="776" t="str">
        <f t="shared" si="48"/>
        <v/>
      </c>
      <c r="CY36" s="775" t="str">
        <f>IF($B36="","",IF(INDEX(BDHK2,MATCH($C36,DiemHKII!$C$4:$C$58,0),CY$59)&lt;&gt;"",INDEX(BDHK2,MATCH($C36,DiemHKII!$C$4:$C$58,0),CY$59),""))</f>
        <v/>
      </c>
      <c r="CZ36" s="792" t="str">
        <f t="shared" si="49"/>
        <v/>
      </c>
      <c r="DA36" s="776" t="str">
        <f t="shared" si="50"/>
        <v/>
      </c>
      <c r="DB36" s="774"/>
      <c r="DC36" s="775">
        <f>IF($B36="","",IF(INDEX(BDHK2,MATCH($C36,DiemHKII!$C$4:$C$58,0),DC$59)&lt;&gt;"",INDEX(BDHK2,MATCH($C36,DiemHKII!$C$4:$C$58,0),DC$59),""))</f>
        <v>9.9</v>
      </c>
      <c r="DD36" s="792">
        <f t="shared" si="51"/>
        <v>1</v>
      </c>
      <c r="DE36" s="776" t="str">
        <f>IF($B36="","",INDEX(NXetHKI!$B$3:$CL$57,MATCH(NXchung!$C36,NXetHKI!$C$3:$C$57,0),NXchung!DE$59))</f>
        <v>Học giỏi, năng động, chăm ngoan.</v>
      </c>
      <c r="DF36" s="775" t="str">
        <f>IF($B36="","",IF(INDEX(BDHK2,MATCH($C36,DiemHKII!$C$4:$C$58,0),DF$59)&lt;&gt;"",INDEX(BDHK2,MATCH($C36,DiemHKII!$C$4:$C$58,0),DF$59),""))</f>
        <v/>
      </c>
      <c r="DG36" s="792" t="str">
        <f t="shared" si="52"/>
        <v/>
      </c>
      <c r="DH36" s="776" t="str">
        <f t="shared" si="53"/>
        <v/>
      </c>
      <c r="DI36" s="775" t="str">
        <f>IF($B36="","",IF(INDEX(BDHK2,MATCH($C36,DiemHKII!$C$4:$C$58,0),DI$59)&lt;&gt;"",INDEX(BDHK2,MATCH($C36,DiemHKII!$C$4:$C$58,0),DI$59),""))</f>
        <v/>
      </c>
      <c r="DJ36" s="792" t="str">
        <f t="shared" si="54"/>
        <v/>
      </c>
      <c r="DK36" s="776" t="str">
        <f t="shared" si="55"/>
        <v/>
      </c>
      <c r="DL36" s="774"/>
      <c r="DM36" s="775" t="str">
        <f>IF($B36="","",IF(INDEX(BDHK2,MATCH($C36,DiemHKII!$C$4:$C$58,0),DM$59)&lt;&gt;"",INDEX(BDHK2,MATCH($C36,DiemHKII!$C$4:$C$58,0),DM$59),""))</f>
        <v>Đ</v>
      </c>
      <c r="DN36" s="792">
        <f t="shared" si="56"/>
        <v>1</v>
      </c>
      <c r="DO36" s="776" t="str">
        <f>IF($B36="","",INDEX(NXetHKI!$B$3:$CL$57,MATCH(NXchung!$C36,NXetHKI!$C$3:$C$57,0),NXchung!DO$59))</f>
        <v>Chăm chỉ, cố gắng, rất ngoan.</v>
      </c>
      <c r="DP36" s="775" t="str">
        <f>IF($B36="","",IF(INDEX(BDHK2,MATCH($C36,DiemHKII!$C$4:$C$58,0),DP$59)&lt;&gt;"",INDEX(BDHK2,MATCH($C36,DiemHKII!$C$4:$C$58,0),DP$59),""))</f>
        <v/>
      </c>
      <c r="DQ36" s="792" t="str">
        <f t="shared" si="57"/>
        <v/>
      </c>
      <c r="DR36" s="776" t="str">
        <f t="shared" si="58"/>
        <v/>
      </c>
      <c r="DS36" s="775" t="str">
        <f>IF($B36="","",IF(INDEX(BDHK2,MATCH($C36,DiemHKII!$C$4:$C$58,0),DS$59)&lt;&gt;"",INDEX(BDHK2,MATCH($C36,DiemHKII!$C$4:$C$58,0),DS$59),""))</f>
        <v>Đ</v>
      </c>
      <c r="DT36" s="792">
        <f t="shared" si="59"/>
        <v>1</v>
      </c>
      <c r="DU36" s="776" t="str">
        <f t="shared" si="60"/>
        <v>Rất ngoan, học có hiệu quả tốt.</v>
      </c>
      <c r="DV36" s="774"/>
      <c r="DW36" s="775">
        <f>IF($B36="","",IF(INDEX(BDHK2,MATCH($C36,DiemHKII!$C$4:$C$58,0),DW$59)&lt;&gt;"",INDEX(BDHK2,MATCH($C36,DiemHKII!$C$4:$C$58,0),DW$59),""))</f>
        <v>9.9</v>
      </c>
      <c r="DX36" s="792">
        <f t="shared" si="61"/>
        <v>1</v>
      </c>
      <c r="DY36" s="776" t="str">
        <f>IF($B36="","",INDEX(NXetHKI!$B$3:$CL$57,MATCH(NXchung!$C36,NXetHKI!$C$3:$C$57,0),NXchung!DY$59))</f>
        <v>Siêng năng, lễ phép, thành thạo thực hành, học giỏi.</v>
      </c>
      <c r="DZ36" s="775" t="str">
        <f>IF($B36="","",IF(INDEX(BDHK2,MATCH($C36,DiemHKII!$C$4:$C$58,0),DZ$59)&lt;&gt;"",INDEX(BDHK2,MATCH($C36,DiemHKII!$C$4:$C$58,0),DZ$59),""))</f>
        <v/>
      </c>
      <c r="EA36" s="792" t="str">
        <f t="shared" si="62"/>
        <v/>
      </c>
      <c r="EB36" s="776" t="str">
        <f t="shared" si="63"/>
        <v/>
      </c>
      <c r="EC36" s="775" t="str">
        <f>IF($B36="","",IF(INDEX(BDHK2,MATCH($C36,DiemHKII!$C$4:$C$58,0),EC$59)&lt;&gt;"",INDEX(BDHK2,MATCH($C36,DiemHKII!$C$4:$C$58,0),EC$59),""))</f>
        <v/>
      </c>
      <c r="ED36" s="792" t="str">
        <f t="shared" si="64"/>
        <v/>
      </c>
      <c r="EE36" s="776" t="str">
        <f t="shared" si="65"/>
        <v/>
      </c>
      <c r="EF36" s="774"/>
      <c r="EG36" s="775" t="str">
        <f>IF($B36="","",IF(INDEX(BDHK2,MATCH($C36,DiemHKII!$C$4:$C$58,0),EG$59)&lt;&gt;"",INDEX(BDHK2,MATCH($C36,DiemHKII!$C$4:$C$58,0),EG$59),""))</f>
        <v/>
      </c>
      <c r="EH36" s="792" t="str">
        <f t="shared" si="66"/>
        <v/>
      </c>
      <c r="EI36" s="776" t="str">
        <f>IF($B36="","",INDEX(NXetHKI!$B$3:$CL$57,MATCH(NXchung!$C36,NXetHKI!$C$3:$C$57,0),NXchung!EI$59))</f>
        <v/>
      </c>
      <c r="EJ36" s="775" t="str">
        <f>IF($B36="","",IF(INDEX(BDHK2,MATCH($C36,DiemHKII!$C$4:$C$58,0),EJ$59)&lt;&gt;"",INDEX(BDHK2,MATCH($C36,DiemHKII!$C$4:$C$58,0),EJ$59),""))</f>
        <v/>
      </c>
      <c r="EK36" s="792" t="str">
        <f t="shared" si="67"/>
        <v/>
      </c>
      <c r="EL36" s="776" t="str">
        <f t="shared" si="68"/>
        <v/>
      </c>
      <c r="EM36" s="775" t="str">
        <f>IF($B36="","",IF(INDEX(BDHK2,MATCH($C36,DiemHKII!$C$4:$C$58,0),EM$59)&lt;&gt;"",INDEX(BDHK2,MATCH($C36,DiemHKII!$C$4:$C$58,0),EM$59),""))</f>
        <v/>
      </c>
      <c r="EN36" s="792" t="str">
        <f t="shared" si="69"/>
        <v/>
      </c>
      <c r="EO36" s="776" t="str">
        <f t="shared" si="70"/>
        <v/>
      </c>
      <c r="EP36" s="774"/>
      <c r="ER36" s="816">
        <v>6</v>
      </c>
      <c r="ES36" s="816">
        <v>9</v>
      </c>
    </row>
    <row r="37" spans="2:149" ht="15" customHeight="1">
      <c r="B37" s="777">
        <f>IF(B36&lt;MAX(DiemHKII!$B$4:$B$58),B36+1,"")</f>
        <v>35</v>
      </c>
      <c r="C37" s="777" t="str">
        <f t="shared" si="0"/>
        <v>12A1Phạm ĐứcTrung07/10/2004</v>
      </c>
      <c r="D37" s="778" t="str">
        <f>IF($B37&lt;&gt;"",PROPER(INDEX(DiemHKII!$B$4:$K$58,MATCH($B37,DiemHKII!$B$4:$B$58,0),4)),"")</f>
        <v>Phạm Đức</v>
      </c>
      <c r="E37" s="779" t="str">
        <f>IF($B37&lt;&gt;"",PROPER(INDEX(DiemHKII!$B$4:$K$58,MATCH($B37,DiemHKII!$B$4:$B$58,0),5)),"")</f>
        <v>Trung</v>
      </c>
      <c r="F37" s="780" t="str">
        <f>IF($B37&lt;&gt;"",PROPER(INDEX(DiemHKII!$B$4:$K$58,MATCH($B37,DiemHKII!$B$4:$B$58,0),6)),"")</f>
        <v>07/10/2004</v>
      </c>
      <c r="G37" s="781">
        <f>IF($B37="","",IF(INDEX(BDHK2,MATCH($C37,DiemHKII!$C$4:$C$58,0),G$59)&lt;&gt;"",INDEX(BDHK2,MATCH($C37,DiemHKII!$C$4:$C$58,0),G$59),""))</f>
        <v>9.9</v>
      </c>
      <c r="H37" s="793">
        <f t="shared" si="1"/>
        <v>1</v>
      </c>
      <c r="I37" s="782" t="str">
        <f>IF($B37="","",INDEX(NXetHKI!$B$3:$CL$57,MATCH(NXchung!$C37,NXetHKI!$C$3:$C$57,0),NXchung!I$59))</f>
        <v>Em học giỏi, chăm ngoan, tính tự giác cao, rất tốt.</v>
      </c>
      <c r="J37" s="781" t="str">
        <f>IF($B37="","",IF(INDEX(BDHK2,MATCH($C37,DiemHKII!$C$4:$C$58,0),J$59)&lt;&gt;"",INDEX(BDHK2,MATCH($C37,DiemHKII!$C$4:$C$58,0),J$59),""))</f>
        <v/>
      </c>
      <c r="K37" s="793" t="str">
        <f t="shared" si="2"/>
        <v/>
      </c>
      <c r="L37" s="782" t="str">
        <f t="shared" si="3"/>
        <v/>
      </c>
      <c r="M37" s="781" t="str">
        <f>IF($B37="","",IF(INDEX(BDHK2,MATCH($C37,DiemHKII!$C$4:$C$58,0),M$59)&lt;&gt;"",INDEX(BDHK2,MATCH($C37,DiemHKII!$C$4:$C$58,0),M$59),""))</f>
        <v/>
      </c>
      <c r="N37" s="793" t="str">
        <f t="shared" si="4"/>
        <v/>
      </c>
      <c r="O37" s="782" t="str">
        <f t="shared" si="5"/>
        <v/>
      </c>
      <c r="P37" s="780"/>
      <c r="Q37" s="781">
        <f>IF($B37="","",IF(INDEX(BDHK2,MATCH($C37,DiemHKII!$C$4:$C$58,0),Q$59)&lt;&gt;"",INDEX(BDHK2,MATCH($C37,DiemHKII!$C$4:$C$58,0),Q$59),""))</f>
        <v>9.6</v>
      </c>
      <c r="R37" s="793">
        <f t="shared" si="6"/>
        <v>1</v>
      </c>
      <c r="S37" s="782" t="str">
        <f>IF($B37="","",INDEX(NXetHKI!$B$3:$CL$57,MATCH(NXchung!$C37,NXetHKI!$C$3:$C$57,0),NXchung!S$59))</f>
        <v>Em học giỏi, chăm ngoan, tính tự giác cao, rất tốt.</v>
      </c>
      <c r="T37" s="781" t="str">
        <f>IF($B37="","",IF(INDEX(BDHK2,MATCH($C37,DiemHKII!$C$4:$C$58,0),T$59)&lt;&gt;"",INDEX(BDHK2,MATCH($C37,DiemHKII!$C$4:$C$58,0),T$59),""))</f>
        <v/>
      </c>
      <c r="U37" s="793" t="str">
        <f t="shared" si="7"/>
        <v/>
      </c>
      <c r="V37" s="782" t="str">
        <f t="shared" si="8"/>
        <v/>
      </c>
      <c r="W37" s="781" t="str">
        <f>IF($B37="","",IF(INDEX(BDHK2,MATCH($C37,DiemHKII!$C$4:$C$58,0),W$59)&lt;&gt;"",INDEX(BDHK2,MATCH($C37,DiemHKII!$C$4:$C$58,0),W$59),""))</f>
        <v/>
      </c>
      <c r="X37" s="793" t="str">
        <f t="shared" si="9"/>
        <v/>
      </c>
      <c r="Y37" s="782" t="str">
        <f t="shared" si="10"/>
        <v/>
      </c>
      <c r="Z37" s="780"/>
      <c r="AA37" s="781">
        <f>IF($B37="","",IF(INDEX(BDHK2,MATCH($C37,DiemHKII!$C$4:$C$58,0),AA$59)&lt;&gt;"",INDEX(BDHK2,MATCH($C37,DiemHKII!$C$4:$C$58,0),AA$59),""))</f>
        <v>9.8000000000000007</v>
      </c>
      <c r="AB37" s="793">
        <f t="shared" si="11"/>
        <v>1</v>
      </c>
      <c r="AC37" s="782" t="str">
        <f>IF($B37="","",INDEX(NXetHKI!$B$3:$CL$57,MATCH(NXchung!$C37,NXetHKI!$C$3:$C$57,0),NXchung!AC$59))</f>
        <v>Kiến thức vững, tự học tốt, ngoan.</v>
      </c>
      <c r="AD37" s="781" t="str">
        <f>IF($B37="","",IF(INDEX(BDHK2,MATCH($C37,DiemHKII!$C$4:$C$58,0),AD$59)&lt;&gt;"",INDEX(BDHK2,MATCH($C37,DiemHKII!$C$4:$C$58,0),AD$59),""))</f>
        <v/>
      </c>
      <c r="AE37" s="793" t="str">
        <f t="shared" si="12"/>
        <v/>
      </c>
      <c r="AF37" s="782" t="str">
        <f t="shared" si="13"/>
        <v/>
      </c>
      <c r="AG37" s="781" t="str">
        <f>IF($B37="","",IF(INDEX(BDHK2,MATCH($C37,DiemHKII!$C$4:$C$58,0),AG$59)&lt;&gt;"",INDEX(BDHK2,MATCH($C37,DiemHKII!$C$4:$C$58,0),AG$59),""))</f>
        <v/>
      </c>
      <c r="AH37" s="793" t="str">
        <f t="shared" si="14"/>
        <v/>
      </c>
      <c r="AI37" s="782" t="str">
        <f t="shared" si="15"/>
        <v/>
      </c>
      <c r="AJ37" s="780"/>
      <c r="AK37" s="781">
        <f>IF($B37="","",IF(INDEX(BDHK2,MATCH($C37,DiemHKII!$C$4:$C$58,0),AK$59)&lt;&gt;"",INDEX(BDHK2,MATCH($C37,DiemHKII!$C$4:$C$58,0),AK$59),""))</f>
        <v>9.8000000000000007</v>
      </c>
      <c r="AL37" s="793">
        <f t="shared" si="16"/>
        <v>1</v>
      </c>
      <c r="AM37" s="782" t="str">
        <f>IF($B37="","",INDEX(NXetHKI!$B$3:$CL$57,MATCH(NXchung!$C37,NXetHKI!$C$3:$C$57,0),NXchung!AM$59))</f>
        <v>Có khả năng tự học và tự chủ bản thân, tích cực trong học tập.</v>
      </c>
      <c r="AN37" s="781" t="str">
        <f>IF($B37="","",IF(INDEX(BDHK2,MATCH($C37,DiemHKII!$C$4:$C$58,0),AN$59)&lt;&gt;"",INDEX(BDHK2,MATCH($C37,DiemHKII!$C$4:$C$58,0),AN$59),""))</f>
        <v/>
      </c>
      <c r="AO37" s="793" t="str">
        <f t="shared" si="17"/>
        <v/>
      </c>
      <c r="AP37" s="782" t="str">
        <f t="shared" si="18"/>
        <v/>
      </c>
      <c r="AQ37" s="781" t="str">
        <f>IF($B37="","",IF(INDEX(BDHK2,MATCH($C37,DiemHKII!$C$4:$C$58,0),AQ$59)&lt;&gt;"",INDEX(BDHK2,MATCH($C37,DiemHKII!$C$4:$C$58,0),AQ$59),""))</f>
        <v/>
      </c>
      <c r="AR37" s="793" t="str">
        <f t="shared" si="19"/>
        <v/>
      </c>
      <c r="AS37" s="782" t="str">
        <f t="shared" si="20"/>
        <v/>
      </c>
      <c r="AT37" s="780"/>
      <c r="AU37" s="781">
        <f>IF($B37="","",IF(INDEX(BDHK2,MATCH($C37,DiemHKII!$C$4:$C$58,0),AU$59)&lt;&gt;"",INDEX(BDHK2,MATCH($C37,DiemHKII!$C$4:$C$58,0),AU$59),""))</f>
        <v>9.8000000000000007</v>
      </c>
      <c r="AV37" s="793">
        <f t="shared" si="21"/>
        <v>1</v>
      </c>
      <c r="AW37" s="782" t="str">
        <f>IF($B37="","",INDEX(NXetHKI!$B$3:$CL$57,MATCH(NXchung!$C37,NXetHKI!$C$3:$C$57,0),NXchung!AW$59))</f>
        <v>Ngoan, chăm chỉ, tư duy tốt.</v>
      </c>
      <c r="AX37" s="781" t="str">
        <f>IF($B37="","",IF(INDEX(BDHK2,MATCH($C37,DiemHKII!$C$4:$C$58,0),AX$59)&lt;&gt;"",INDEX(BDHK2,MATCH($C37,DiemHKII!$C$4:$C$58,0),AX$59),""))</f>
        <v/>
      </c>
      <c r="AY37" s="793" t="str">
        <f t="shared" si="22"/>
        <v/>
      </c>
      <c r="AZ37" s="782" t="str">
        <f t="shared" si="23"/>
        <v/>
      </c>
      <c r="BA37" s="781" t="str">
        <f>IF($B37="","",IF(INDEX(BDHK2,MATCH($C37,DiemHKII!$C$4:$C$58,0),BA$59)&lt;&gt;"",INDEX(BDHK2,MATCH($C37,DiemHKII!$C$4:$C$58,0),BA$59),""))</f>
        <v/>
      </c>
      <c r="BB37" s="793" t="str">
        <f t="shared" si="24"/>
        <v/>
      </c>
      <c r="BC37" s="782" t="str">
        <f t="shared" si="25"/>
        <v/>
      </c>
      <c r="BD37" s="780"/>
      <c r="BE37" s="781">
        <f>IF($B37="","",IF(INDEX(BDHK2,MATCH($C37,DiemHKII!$C$4:$C$58,0),BE$59)&lt;&gt;"",INDEX(BDHK2,MATCH($C37,DiemHKII!$C$4:$C$58,0),BE$59),""))</f>
        <v>7.5</v>
      </c>
      <c r="BF37" s="793">
        <f t="shared" si="26"/>
        <v>4</v>
      </c>
      <c r="BG37" s="782" t="str">
        <f>IF($B37="","",INDEX(NXetHKI!$B$3:$CL$57,MATCH(NXchung!$C37,NXetHKI!$C$3:$C$57,0),NXchung!BG$59))</f>
        <v>Có tinh thần học tập tốt, cần cố gắng rèn luyện thêm các kỹ năng.</v>
      </c>
      <c r="BH37" s="781" t="str">
        <f>IF($B37="","",IF(INDEX(BDHK2,MATCH($C37,DiemHKII!$C$4:$C$58,0),BH$59)&lt;&gt;"",INDEX(BDHK2,MATCH($C37,DiemHKII!$C$4:$C$58,0),BH$59),""))</f>
        <v/>
      </c>
      <c r="BI37" s="793" t="str">
        <f t="shared" si="27"/>
        <v/>
      </c>
      <c r="BJ37" s="782" t="str">
        <f t="shared" si="28"/>
        <v/>
      </c>
      <c r="BK37" s="781" t="str">
        <f>IF($B37="","",IF(INDEX(BDHK2,MATCH($C37,DiemHKII!$C$4:$C$58,0),BK$59)&lt;&gt;"",INDEX(BDHK2,MATCH($C37,DiemHKII!$C$4:$C$58,0),BK$59),""))</f>
        <v/>
      </c>
      <c r="BL37" s="793" t="str">
        <f t="shared" si="29"/>
        <v/>
      </c>
      <c r="BM37" s="782" t="str">
        <f t="shared" si="30"/>
        <v/>
      </c>
      <c r="BN37" s="780"/>
      <c r="BO37" s="781">
        <f>IF($B37="","",IF(INDEX(BDHK2,MATCH($C37,DiemHKII!$C$4:$C$58,0),BO$59)&lt;&gt;"",INDEX(BDHK2,MATCH($C37,DiemHKII!$C$4:$C$58,0),BO$59),""))</f>
        <v>9.8000000000000007</v>
      </c>
      <c r="BP37" s="793">
        <f t="shared" si="31"/>
        <v>1</v>
      </c>
      <c r="BQ37" s="782" t="str">
        <f>IF($B37="","",INDEX(NXetHKI!$B$3:$CL$57,MATCH(NXchung!$C37,NXetHKI!$C$3:$C$57,0),NXchung!BQ$59))</f>
        <v>Tiếp thu bài tốt, ghi nhớ nhanh các sự kiện lịch sử.</v>
      </c>
      <c r="BR37" s="781" t="str">
        <f>IF($B37="","",IF(INDEX(BDHK2,MATCH($C37,DiemHKII!$C$4:$C$58,0),BR$59)&lt;&gt;"",INDEX(BDHK2,MATCH($C37,DiemHKII!$C$4:$C$58,0),BR$59),""))</f>
        <v/>
      </c>
      <c r="BS37" s="793" t="str">
        <f t="shared" si="32"/>
        <v/>
      </c>
      <c r="BT37" s="782" t="str">
        <f t="shared" si="33"/>
        <v/>
      </c>
      <c r="BU37" s="781" t="str">
        <f>IF($B37="","",IF(INDEX(BDHK2,MATCH($C37,DiemHKII!$C$4:$C$58,0),BU$59)&lt;&gt;"",INDEX(BDHK2,MATCH($C37,DiemHKII!$C$4:$C$58,0),BU$59),""))</f>
        <v/>
      </c>
      <c r="BV37" s="793" t="str">
        <f t="shared" si="34"/>
        <v/>
      </c>
      <c r="BW37" s="782" t="str">
        <f t="shared" si="35"/>
        <v/>
      </c>
      <c r="BX37" s="780"/>
      <c r="BY37" s="781">
        <f>IF($B37="","",IF(INDEX(BDHK2,MATCH($C37,DiemHKII!$C$4:$C$58,0),BY$59)&lt;&gt;"",INDEX(BDHK2,MATCH($C37,DiemHKII!$C$4:$C$58,0),BY$59),""))</f>
        <v>9.6</v>
      </c>
      <c r="BZ37" s="793">
        <f t="shared" si="36"/>
        <v>1</v>
      </c>
      <c r="CA37" s="782" t="str">
        <f>IF($B37="","",INDEX(NXetHKI!$B$3:$CL$57,MATCH(NXchung!$C37,NXetHKI!$C$3:$C$57,0),NXchung!CA$59))</f>
        <v>Em có tư duy tốt, rất tích cực, giải quyết vấn đề tốt.</v>
      </c>
      <c r="CB37" s="781" t="str">
        <f>IF($B37="","",IF(INDEX(BDHK2,MATCH($C37,DiemHKII!$C$4:$C$58,0),CB$59)&lt;&gt;"",INDEX(BDHK2,MATCH($C37,DiemHKII!$C$4:$C$58,0),CB$59),""))</f>
        <v/>
      </c>
      <c r="CC37" s="793" t="str">
        <f t="shared" si="37"/>
        <v/>
      </c>
      <c r="CD37" s="782" t="str">
        <f t="shared" si="38"/>
        <v/>
      </c>
      <c r="CE37" s="781" t="str">
        <f>IF($B37="","",IF(INDEX(BDHK2,MATCH($C37,DiemHKII!$C$4:$C$58,0),CE$59)&lt;&gt;"",INDEX(BDHK2,MATCH($C37,DiemHKII!$C$4:$C$58,0),CE$59),""))</f>
        <v/>
      </c>
      <c r="CF37" s="793" t="str">
        <f t="shared" si="39"/>
        <v/>
      </c>
      <c r="CG37" s="782" t="str">
        <f t="shared" si="40"/>
        <v/>
      </c>
      <c r="CH37" s="780"/>
      <c r="CI37" s="781">
        <f>IF($B37="","",IF(INDEX(BDHK2,MATCH($C37,DiemHKII!$C$4:$C$58,0),CI$59)&lt;&gt;"",INDEX(BDHK2,MATCH($C37,DiemHKII!$C$4:$C$58,0),CI$59),""))</f>
        <v>8.6</v>
      </c>
      <c r="CJ37" s="793">
        <f t="shared" si="41"/>
        <v>2</v>
      </c>
      <c r="CK37" s="782" t="str">
        <f>IF($B37="","",INDEX(NXetHKI!$B$3:$CL$57,MATCH(NXchung!$C37,NXetHKI!$C$3:$C$57,0),NXchung!CK$59))</f>
        <v>Có khả năng nghe, nói và ngữ pháp vững.</v>
      </c>
      <c r="CL37" s="781" t="str">
        <f>IF($B37="","",IF(INDEX(BDHK2,MATCH($C37,DiemHKII!$C$4:$C$58,0),CL$59)&lt;&gt;"",INDEX(BDHK2,MATCH($C37,DiemHKII!$C$4:$C$58,0),CL$59),""))</f>
        <v/>
      </c>
      <c r="CM37" s="793" t="str">
        <f t="shared" si="42"/>
        <v/>
      </c>
      <c r="CN37" s="782" t="str">
        <f t="shared" si="43"/>
        <v/>
      </c>
      <c r="CO37" s="781" t="str">
        <f>IF($B37="","",IF(INDEX(BDHK2,MATCH($C37,DiemHKII!$C$4:$C$58,0),CO$59)&lt;&gt;"",INDEX(BDHK2,MATCH($C37,DiemHKII!$C$4:$C$58,0),CO$59),""))</f>
        <v/>
      </c>
      <c r="CP37" s="793" t="str">
        <f t="shared" si="44"/>
        <v/>
      </c>
      <c r="CQ37" s="782" t="str">
        <f t="shared" si="45"/>
        <v/>
      </c>
      <c r="CR37" s="780"/>
      <c r="CS37" s="781">
        <f>IF($B37="","",IF(INDEX(BDHK2,MATCH($C37,DiemHKII!$C$4:$C$58,0),CS$59)&lt;&gt;"",INDEX(BDHK2,MATCH($C37,DiemHKII!$C$4:$C$58,0),CS$59),""))</f>
        <v>9.1</v>
      </c>
      <c r="CT37" s="793">
        <f t="shared" si="46"/>
        <v>1</v>
      </c>
      <c r="CU37" s="782" t="str">
        <f>IF($B37="","",INDEX(NXetHKI!$B$3:$CL$57,MATCH(NXchung!$C37,NXetHKI!$C$3:$C$57,0),NXchung!CU$59))</f>
        <v>Chăm chỉ, học giỏi.</v>
      </c>
      <c r="CV37" s="781" t="str">
        <f>IF($B37="","",IF(INDEX(BDHK2,MATCH($C37,DiemHKII!$C$4:$C$58,0),CV$59)&lt;&gt;"",INDEX(BDHK2,MATCH($C37,DiemHKII!$C$4:$C$58,0),CV$59),""))</f>
        <v/>
      </c>
      <c r="CW37" s="793" t="str">
        <f t="shared" si="47"/>
        <v/>
      </c>
      <c r="CX37" s="782" t="str">
        <f t="shared" si="48"/>
        <v/>
      </c>
      <c r="CY37" s="781" t="str">
        <f>IF($B37="","",IF(INDEX(BDHK2,MATCH($C37,DiemHKII!$C$4:$C$58,0),CY$59)&lt;&gt;"",INDEX(BDHK2,MATCH($C37,DiemHKII!$C$4:$C$58,0),CY$59),""))</f>
        <v/>
      </c>
      <c r="CZ37" s="793" t="str">
        <f t="shared" si="49"/>
        <v/>
      </c>
      <c r="DA37" s="782" t="str">
        <f t="shared" si="50"/>
        <v/>
      </c>
      <c r="DB37" s="780"/>
      <c r="DC37" s="781">
        <f>IF($B37="","",IF(INDEX(BDHK2,MATCH($C37,DiemHKII!$C$4:$C$58,0),DC$59)&lt;&gt;"",INDEX(BDHK2,MATCH($C37,DiemHKII!$C$4:$C$58,0),DC$59),""))</f>
        <v>9.9</v>
      </c>
      <c r="DD37" s="793">
        <f t="shared" si="51"/>
        <v>1</v>
      </c>
      <c r="DE37" s="782" t="str">
        <f>IF($B37="","",INDEX(NXetHKI!$B$3:$CL$57,MATCH(NXchung!$C37,NXetHKI!$C$3:$C$57,0),NXchung!DE$59))</f>
        <v>Năng động, sáng tạo trong học tập.</v>
      </c>
      <c r="DF37" s="781" t="str">
        <f>IF($B37="","",IF(INDEX(BDHK2,MATCH($C37,DiemHKII!$C$4:$C$58,0),DF$59)&lt;&gt;"",INDEX(BDHK2,MATCH($C37,DiemHKII!$C$4:$C$58,0),DF$59),""))</f>
        <v/>
      </c>
      <c r="DG37" s="793" t="str">
        <f t="shared" si="52"/>
        <v/>
      </c>
      <c r="DH37" s="782" t="str">
        <f t="shared" si="53"/>
        <v/>
      </c>
      <c r="DI37" s="781" t="str">
        <f>IF($B37="","",IF(INDEX(BDHK2,MATCH($C37,DiemHKII!$C$4:$C$58,0),DI$59)&lt;&gt;"",INDEX(BDHK2,MATCH($C37,DiemHKII!$C$4:$C$58,0),DI$59),""))</f>
        <v/>
      </c>
      <c r="DJ37" s="793" t="str">
        <f t="shared" si="54"/>
        <v/>
      </c>
      <c r="DK37" s="782" t="str">
        <f t="shared" si="55"/>
        <v/>
      </c>
      <c r="DL37" s="780"/>
      <c r="DM37" s="781" t="str">
        <f>IF($B37="","",IF(INDEX(BDHK2,MATCH($C37,DiemHKII!$C$4:$C$58,0),DM$59)&lt;&gt;"",INDEX(BDHK2,MATCH($C37,DiemHKII!$C$4:$C$58,0),DM$59),""))</f>
        <v>Đ</v>
      </c>
      <c r="DN37" s="793">
        <f t="shared" si="56"/>
        <v>1</v>
      </c>
      <c r="DO37" s="782" t="str">
        <f>IF($B37="","",INDEX(NXetHKI!$B$3:$CL$57,MATCH(NXchung!$C37,NXetHKI!$C$3:$C$57,0),NXchung!DO$59))</f>
        <v>Giỏi, có nhiều tiến bộ trong học tập.</v>
      </c>
      <c r="DP37" s="781" t="str">
        <f>IF($B37="","",IF(INDEX(BDHK2,MATCH($C37,DiemHKII!$C$4:$C$58,0),DP$59)&lt;&gt;"",INDEX(BDHK2,MATCH($C37,DiemHKII!$C$4:$C$58,0),DP$59),""))</f>
        <v/>
      </c>
      <c r="DQ37" s="793" t="str">
        <f t="shared" si="57"/>
        <v/>
      </c>
      <c r="DR37" s="782" t="str">
        <f t="shared" si="58"/>
        <v/>
      </c>
      <c r="DS37" s="781" t="str">
        <f>IF($B37="","",IF(INDEX(BDHK2,MATCH($C37,DiemHKII!$C$4:$C$58,0),DS$59)&lt;&gt;"",INDEX(BDHK2,MATCH($C37,DiemHKII!$C$4:$C$58,0),DS$59),""))</f>
        <v>Đ</v>
      </c>
      <c r="DT37" s="793">
        <f t="shared" si="59"/>
        <v>1</v>
      </c>
      <c r="DU37" s="782" t="str">
        <f t="shared" si="60"/>
        <v>Chăm chỉ, cố gắng, rất ngoan.</v>
      </c>
      <c r="DV37" s="780"/>
      <c r="DW37" s="781">
        <f>IF($B37="","",IF(INDEX(BDHK2,MATCH($C37,DiemHKII!$C$4:$C$58,0),DW$59)&lt;&gt;"",INDEX(BDHK2,MATCH($C37,DiemHKII!$C$4:$C$58,0),DW$59),""))</f>
        <v>9.9</v>
      </c>
      <c r="DX37" s="793">
        <f t="shared" si="61"/>
        <v>1</v>
      </c>
      <c r="DY37" s="782" t="str">
        <f>IF($B37="","",INDEX(NXetHKI!$B$3:$CL$57,MATCH(NXchung!$C37,NXetHKI!$C$3:$C$57,0),NXchung!DY$59))</f>
        <v>Tích cực, năng động, nắm bài tốt, học giỏi.</v>
      </c>
      <c r="DZ37" s="781" t="str">
        <f>IF($B37="","",IF(INDEX(BDHK2,MATCH($C37,DiemHKII!$C$4:$C$58,0),DZ$59)&lt;&gt;"",INDEX(BDHK2,MATCH($C37,DiemHKII!$C$4:$C$58,0),DZ$59),""))</f>
        <v/>
      </c>
      <c r="EA37" s="793" t="str">
        <f t="shared" si="62"/>
        <v/>
      </c>
      <c r="EB37" s="782" t="str">
        <f t="shared" si="63"/>
        <v/>
      </c>
      <c r="EC37" s="781" t="str">
        <f>IF($B37="","",IF(INDEX(BDHK2,MATCH($C37,DiemHKII!$C$4:$C$58,0),EC$59)&lt;&gt;"",INDEX(BDHK2,MATCH($C37,DiemHKII!$C$4:$C$58,0),EC$59),""))</f>
        <v/>
      </c>
      <c r="ED37" s="793" t="str">
        <f t="shared" si="64"/>
        <v/>
      </c>
      <c r="EE37" s="782" t="str">
        <f t="shared" si="65"/>
        <v/>
      </c>
      <c r="EF37" s="780"/>
      <c r="EG37" s="781" t="str">
        <f>IF($B37="","",IF(INDEX(BDHK2,MATCH($C37,DiemHKII!$C$4:$C$58,0),EG$59)&lt;&gt;"",INDEX(BDHK2,MATCH($C37,DiemHKII!$C$4:$C$58,0),EG$59),""))</f>
        <v/>
      </c>
      <c r="EH37" s="793" t="str">
        <f t="shared" si="66"/>
        <v/>
      </c>
      <c r="EI37" s="782" t="str">
        <f>IF($B37="","",INDEX(NXetHKI!$B$3:$CL$57,MATCH(NXchung!$C37,NXetHKI!$C$3:$C$57,0),NXchung!EI$59))</f>
        <v/>
      </c>
      <c r="EJ37" s="781" t="str">
        <f>IF($B37="","",IF(INDEX(BDHK2,MATCH($C37,DiemHKII!$C$4:$C$58,0),EJ$59)&lt;&gt;"",INDEX(BDHK2,MATCH($C37,DiemHKII!$C$4:$C$58,0),EJ$59),""))</f>
        <v/>
      </c>
      <c r="EK37" s="793" t="str">
        <f t="shared" si="67"/>
        <v/>
      </c>
      <c r="EL37" s="782" t="str">
        <f t="shared" si="68"/>
        <v/>
      </c>
      <c r="EM37" s="781" t="str">
        <f>IF($B37="","",IF(INDEX(BDHK2,MATCH($C37,DiemHKII!$C$4:$C$58,0),EM$59)&lt;&gt;"",INDEX(BDHK2,MATCH($C37,DiemHKII!$C$4:$C$58,0),EM$59),""))</f>
        <v/>
      </c>
      <c r="EN37" s="793" t="str">
        <f t="shared" si="69"/>
        <v/>
      </c>
      <c r="EO37" s="782" t="str">
        <f t="shared" si="70"/>
        <v/>
      </c>
      <c r="EP37" s="780"/>
      <c r="ER37" s="816">
        <v>9</v>
      </c>
      <c r="ES37" s="816">
        <v>3</v>
      </c>
    </row>
    <row r="38" spans="2:149" ht="15" customHeight="1">
      <c r="B38" s="765">
        <f>IF(B37&lt;MAX(DiemHKII!$B$4:$B$58),B37+1,"")</f>
        <v>36</v>
      </c>
      <c r="C38" s="765" t="str">
        <f t="shared" si="0"/>
        <v>12A1Võ ThủyVân30/10/2004</v>
      </c>
      <c r="D38" s="766" t="str">
        <f>IF($B38&lt;&gt;"",PROPER(INDEX(DiemHKII!$B$4:$K$58,MATCH($B38,DiemHKII!$B$4:$B$58,0),4)),"")</f>
        <v>Võ Thủy</v>
      </c>
      <c r="E38" s="767" t="str">
        <f>IF($B38&lt;&gt;"",PROPER(INDEX(DiemHKII!$B$4:$K$58,MATCH($B38,DiemHKII!$B$4:$B$58,0),5)),"")</f>
        <v>Vân</v>
      </c>
      <c r="F38" s="768" t="str">
        <f>IF($B38&lt;&gt;"",PROPER(INDEX(DiemHKII!$B$4:$K$58,MATCH($B38,DiemHKII!$B$4:$B$58,0),6)),"")</f>
        <v>30/10/2004</v>
      </c>
      <c r="G38" s="783">
        <f>IF($B38="","",IF(INDEX(BDHK2,MATCH($C38,DiemHKII!$C$4:$C$58,0),G$59)&lt;&gt;"",INDEX(BDHK2,MATCH($C38,DiemHKII!$C$4:$C$58,0),G$59),""))</f>
        <v>9.6999999999999993</v>
      </c>
      <c r="H38" s="794">
        <f t="shared" si="1"/>
        <v>1</v>
      </c>
      <c r="I38" s="770" t="str">
        <f>IF($B38="","",INDEX(NXetHKI!$B$3:$CL$57,MATCH(NXchung!$C38,NXetHKI!$C$3:$C$57,0),NXchung!I$59))</f>
        <v>Em ngoan, tích cực, năng động, rất đáng khen.</v>
      </c>
      <c r="J38" s="783" t="str">
        <f>IF($B38="","",IF(INDEX(BDHK2,MATCH($C38,DiemHKII!$C$4:$C$58,0),J$59)&lt;&gt;"",INDEX(BDHK2,MATCH($C38,DiemHKII!$C$4:$C$58,0),J$59),""))</f>
        <v/>
      </c>
      <c r="K38" s="794" t="str">
        <f t="shared" si="2"/>
        <v/>
      </c>
      <c r="L38" s="770" t="str">
        <f t="shared" si="3"/>
        <v/>
      </c>
      <c r="M38" s="783" t="str">
        <f>IF($B38="","",IF(INDEX(BDHK2,MATCH($C38,DiemHKII!$C$4:$C$58,0),M$59)&lt;&gt;"",INDEX(BDHK2,MATCH($C38,DiemHKII!$C$4:$C$58,0),M$59),""))</f>
        <v/>
      </c>
      <c r="N38" s="794" t="str">
        <f t="shared" si="4"/>
        <v/>
      </c>
      <c r="O38" s="770" t="str">
        <f t="shared" si="5"/>
        <v/>
      </c>
      <c r="P38" s="768"/>
      <c r="Q38" s="783">
        <f>IF($B38="","",IF(INDEX(BDHK2,MATCH($C38,DiemHKII!$C$4:$C$58,0),Q$59)&lt;&gt;"",INDEX(BDHK2,MATCH($C38,DiemHKII!$C$4:$C$58,0),Q$59),""))</f>
        <v>9.9</v>
      </c>
      <c r="R38" s="794">
        <f t="shared" si="6"/>
        <v>1</v>
      </c>
      <c r="S38" s="770" t="str">
        <f>IF($B38="","",INDEX(NXetHKI!$B$3:$CL$57,MATCH(NXchung!$C38,NXetHKI!$C$3:$C$57,0),NXchung!S$59))</f>
        <v>Em ngoan, tích cực, năng động, rất đáng khen.</v>
      </c>
      <c r="T38" s="783" t="str">
        <f>IF($B38="","",IF(INDEX(BDHK2,MATCH($C38,DiemHKII!$C$4:$C$58,0),T$59)&lt;&gt;"",INDEX(BDHK2,MATCH($C38,DiemHKII!$C$4:$C$58,0),T$59),""))</f>
        <v/>
      </c>
      <c r="U38" s="794" t="str">
        <f t="shared" si="7"/>
        <v/>
      </c>
      <c r="V38" s="770" t="str">
        <f t="shared" si="8"/>
        <v/>
      </c>
      <c r="W38" s="783" t="str">
        <f>IF($B38="","",IF(INDEX(BDHK2,MATCH($C38,DiemHKII!$C$4:$C$58,0),W$59)&lt;&gt;"",INDEX(BDHK2,MATCH($C38,DiemHKII!$C$4:$C$58,0),W$59),""))</f>
        <v/>
      </c>
      <c r="X38" s="794" t="str">
        <f t="shared" si="9"/>
        <v/>
      </c>
      <c r="Y38" s="770" t="str">
        <f t="shared" si="10"/>
        <v/>
      </c>
      <c r="Z38" s="768"/>
      <c r="AA38" s="783">
        <f>IF($B38="","",IF(INDEX(BDHK2,MATCH($C38,DiemHKII!$C$4:$C$58,0),AA$59)&lt;&gt;"",INDEX(BDHK2,MATCH($C38,DiemHKII!$C$4:$C$58,0),AA$59),""))</f>
        <v>9.6999999999999993</v>
      </c>
      <c r="AB38" s="794">
        <f t="shared" si="11"/>
        <v>1</v>
      </c>
      <c r="AC38" s="770" t="str">
        <f>IF($B38="","",INDEX(NXetHKI!$B$3:$CL$57,MATCH(NXchung!$C38,NXetHKI!$C$3:$C$57,0),NXchung!AC$59))</f>
        <v>Kiến thức vững, sáng tạo, tự học tốt.</v>
      </c>
      <c r="AD38" s="783" t="str">
        <f>IF($B38="","",IF(INDEX(BDHK2,MATCH($C38,DiemHKII!$C$4:$C$58,0),AD$59)&lt;&gt;"",INDEX(BDHK2,MATCH($C38,DiemHKII!$C$4:$C$58,0),AD$59),""))</f>
        <v/>
      </c>
      <c r="AE38" s="794" t="str">
        <f t="shared" si="12"/>
        <v/>
      </c>
      <c r="AF38" s="770" t="str">
        <f t="shared" si="13"/>
        <v/>
      </c>
      <c r="AG38" s="783" t="str">
        <f>IF($B38="","",IF(INDEX(BDHK2,MATCH($C38,DiemHKII!$C$4:$C$58,0),AG$59)&lt;&gt;"",INDEX(BDHK2,MATCH($C38,DiemHKII!$C$4:$C$58,0),AG$59),""))</f>
        <v/>
      </c>
      <c r="AH38" s="794" t="str">
        <f t="shared" si="14"/>
        <v/>
      </c>
      <c r="AI38" s="770" t="str">
        <f t="shared" si="15"/>
        <v/>
      </c>
      <c r="AJ38" s="768"/>
      <c r="AK38" s="783">
        <f>IF($B38="","",IF(INDEX(BDHK2,MATCH($C38,DiemHKII!$C$4:$C$58,0),AK$59)&lt;&gt;"",INDEX(BDHK2,MATCH($C38,DiemHKII!$C$4:$C$58,0),AK$59),""))</f>
        <v>9.4</v>
      </c>
      <c r="AL38" s="794">
        <f t="shared" si="16"/>
        <v>1</v>
      </c>
      <c r="AM38" s="770" t="str">
        <f>IF($B38="","",INDEX(NXetHKI!$B$3:$CL$57,MATCH(NXchung!$C38,NXetHKI!$C$3:$C$57,0),NXchung!AM$59))</f>
        <v>Ý thức học tập tốt, vận dụng tốt kiến thức học tập</v>
      </c>
      <c r="AN38" s="783" t="str">
        <f>IF($B38="","",IF(INDEX(BDHK2,MATCH($C38,DiemHKII!$C$4:$C$58,0),AN$59)&lt;&gt;"",INDEX(BDHK2,MATCH($C38,DiemHKII!$C$4:$C$58,0),AN$59),""))</f>
        <v/>
      </c>
      <c r="AO38" s="794" t="str">
        <f t="shared" si="17"/>
        <v/>
      </c>
      <c r="AP38" s="770" t="str">
        <f t="shared" si="18"/>
        <v/>
      </c>
      <c r="AQ38" s="783" t="str">
        <f>IF($B38="","",IF(INDEX(BDHK2,MATCH($C38,DiemHKII!$C$4:$C$58,0),AQ$59)&lt;&gt;"",INDEX(BDHK2,MATCH($C38,DiemHKII!$C$4:$C$58,0),AQ$59),""))</f>
        <v/>
      </c>
      <c r="AR38" s="794" t="str">
        <f t="shared" si="19"/>
        <v/>
      </c>
      <c r="AS38" s="770" t="str">
        <f t="shared" si="20"/>
        <v/>
      </c>
      <c r="AT38" s="768"/>
      <c r="AU38" s="783">
        <f>IF($B38="","",IF(INDEX(BDHK2,MATCH($C38,DiemHKII!$C$4:$C$58,0),AU$59)&lt;&gt;"",INDEX(BDHK2,MATCH($C38,DiemHKII!$C$4:$C$58,0),AU$59),""))</f>
        <v>9.8000000000000007</v>
      </c>
      <c r="AV38" s="794">
        <f t="shared" si="21"/>
        <v>1</v>
      </c>
      <c r="AW38" s="770" t="str">
        <f>IF($B38="","",INDEX(NXetHKI!$B$3:$CL$57,MATCH(NXchung!$C38,NXetHKI!$C$3:$C$57,0),NXchung!AW$59))</f>
        <v>Học giỏi, năng động và sáng tạo trong học tập.</v>
      </c>
      <c r="AX38" s="783" t="str">
        <f>IF($B38="","",IF(INDEX(BDHK2,MATCH($C38,DiemHKII!$C$4:$C$58,0),AX$59)&lt;&gt;"",INDEX(BDHK2,MATCH($C38,DiemHKII!$C$4:$C$58,0),AX$59),""))</f>
        <v/>
      </c>
      <c r="AY38" s="794" t="str">
        <f t="shared" si="22"/>
        <v/>
      </c>
      <c r="AZ38" s="770" t="str">
        <f t="shared" si="23"/>
        <v/>
      </c>
      <c r="BA38" s="783" t="str">
        <f>IF($B38="","",IF(INDEX(BDHK2,MATCH($C38,DiemHKII!$C$4:$C$58,0),BA$59)&lt;&gt;"",INDEX(BDHK2,MATCH($C38,DiemHKII!$C$4:$C$58,0),BA$59),""))</f>
        <v/>
      </c>
      <c r="BB38" s="794" t="str">
        <f t="shared" si="24"/>
        <v/>
      </c>
      <c r="BC38" s="770" t="str">
        <f t="shared" si="25"/>
        <v/>
      </c>
      <c r="BD38" s="768"/>
      <c r="BE38" s="783">
        <f>IF($B38="","",IF(INDEX(BDHK2,MATCH($C38,DiemHKII!$C$4:$C$58,0),BE$59)&lt;&gt;"",INDEX(BDHK2,MATCH($C38,DiemHKII!$C$4:$C$58,0),BE$59),""))</f>
        <v>7.8</v>
      </c>
      <c r="BF38" s="794">
        <f t="shared" si="26"/>
        <v>4</v>
      </c>
      <c r="BG38" s="770" t="str">
        <f>IF($B38="","",INDEX(NXetHKI!$B$3:$CL$57,MATCH(NXchung!$C38,NXetHKI!$C$3:$C$57,0),NXchung!BG$59))</f>
        <v>Cần chủ động hơn trong giờ học, rèn thêm kỹ năng viết.</v>
      </c>
      <c r="BH38" s="783" t="str">
        <f>IF($B38="","",IF(INDEX(BDHK2,MATCH($C38,DiemHKII!$C$4:$C$58,0),BH$59)&lt;&gt;"",INDEX(BDHK2,MATCH($C38,DiemHKII!$C$4:$C$58,0),BH$59),""))</f>
        <v/>
      </c>
      <c r="BI38" s="794" t="str">
        <f t="shared" si="27"/>
        <v/>
      </c>
      <c r="BJ38" s="770" t="str">
        <f t="shared" si="28"/>
        <v/>
      </c>
      <c r="BK38" s="783" t="str">
        <f>IF($B38="","",IF(INDEX(BDHK2,MATCH($C38,DiemHKII!$C$4:$C$58,0),BK$59)&lt;&gt;"",INDEX(BDHK2,MATCH($C38,DiemHKII!$C$4:$C$58,0),BK$59),""))</f>
        <v/>
      </c>
      <c r="BL38" s="794" t="str">
        <f t="shared" si="29"/>
        <v/>
      </c>
      <c r="BM38" s="770" t="str">
        <f t="shared" si="30"/>
        <v/>
      </c>
      <c r="BN38" s="768"/>
      <c r="BO38" s="783">
        <f>IF($B38="","",IF(INDEX(BDHK2,MATCH($C38,DiemHKII!$C$4:$C$58,0),BO$59)&lt;&gt;"",INDEX(BDHK2,MATCH($C38,DiemHKII!$C$4:$C$58,0),BO$59),""))</f>
        <v>9.8000000000000007</v>
      </c>
      <c r="BP38" s="794">
        <f t="shared" si="31"/>
        <v>1</v>
      </c>
      <c r="BQ38" s="770" t="str">
        <f>IF($B38="","",INDEX(NXetHKI!$B$3:$CL$57,MATCH(NXchung!$C38,NXetHKI!$C$3:$C$57,0),NXchung!BQ$59))</f>
        <v>Chăm học, tích cực phát biểu xây dựng bài.</v>
      </c>
      <c r="BR38" s="783" t="str">
        <f>IF($B38="","",IF(INDEX(BDHK2,MATCH($C38,DiemHKII!$C$4:$C$58,0),BR$59)&lt;&gt;"",INDEX(BDHK2,MATCH($C38,DiemHKII!$C$4:$C$58,0),BR$59),""))</f>
        <v/>
      </c>
      <c r="BS38" s="794" t="str">
        <f t="shared" si="32"/>
        <v/>
      </c>
      <c r="BT38" s="770" t="str">
        <f t="shared" si="33"/>
        <v/>
      </c>
      <c r="BU38" s="783" t="str">
        <f>IF($B38="","",IF(INDEX(BDHK2,MATCH($C38,DiemHKII!$C$4:$C$58,0),BU$59)&lt;&gt;"",INDEX(BDHK2,MATCH($C38,DiemHKII!$C$4:$C$58,0),BU$59),""))</f>
        <v/>
      </c>
      <c r="BV38" s="794" t="str">
        <f t="shared" si="34"/>
        <v/>
      </c>
      <c r="BW38" s="770" t="str">
        <f t="shared" si="35"/>
        <v/>
      </c>
      <c r="BX38" s="768"/>
      <c r="BY38" s="783">
        <f>IF($B38="","",IF(INDEX(BDHK2,MATCH($C38,DiemHKII!$C$4:$C$58,0),BY$59)&lt;&gt;"",INDEX(BDHK2,MATCH($C38,DiemHKII!$C$4:$C$58,0),BY$59),""))</f>
        <v>9.9</v>
      </c>
      <c r="BZ38" s="794">
        <f t="shared" si="36"/>
        <v>1</v>
      </c>
      <c r="CA38" s="770" t="str">
        <f>IF($B38="","",INDEX(NXetHKI!$B$3:$CL$57,MATCH(NXchung!$C38,NXetHKI!$C$3:$C$57,0),NXchung!CA$59))</f>
        <v>Em có tư duy tốt, tích cực, vận dụng thực tế tốt.</v>
      </c>
      <c r="CB38" s="783" t="str">
        <f>IF($B38="","",IF(INDEX(BDHK2,MATCH($C38,DiemHKII!$C$4:$C$58,0),CB$59)&lt;&gt;"",INDEX(BDHK2,MATCH($C38,DiemHKII!$C$4:$C$58,0),CB$59),""))</f>
        <v/>
      </c>
      <c r="CC38" s="794" t="str">
        <f t="shared" si="37"/>
        <v/>
      </c>
      <c r="CD38" s="770" t="str">
        <f t="shared" si="38"/>
        <v/>
      </c>
      <c r="CE38" s="783" t="str">
        <f>IF($B38="","",IF(INDEX(BDHK2,MATCH($C38,DiemHKII!$C$4:$C$58,0),CE$59)&lt;&gt;"",INDEX(BDHK2,MATCH($C38,DiemHKII!$C$4:$C$58,0),CE$59),""))</f>
        <v/>
      </c>
      <c r="CF38" s="794" t="str">
        <f t="shared" si="39"/>
        <v/>
      </c>
      <c r="CG38" s="770" t="str">
        <f t="shared" si="40"/>
        <v/>
      </c>
      <c r="CH38" s="768"/>
      <c r="CI38" s="783">
        <f>IF($B38="","",IF(INDEX(BDHK2,MATCH($C38,DiemHKII!$C$4:$C$58,0),CI$59)&lt;&gt;"",INDEX(BDHK2,MATCH($C38,DiemHKII!$C$4:$C$58,0),CI$59),""))</f>
        <v>9.6</v>
      </c>
      <c r="CJ38" s="794">
        <f t="shared" si="41"/>
        <v>1</v>
      </c>
      <c r="CK38" s="770" t="str">
        <f>IF($B38="","",INDEX(NXetHKI!$B$3:$CL$57,MATCH(NXchung!$C38,NXetHKI!$C$3:$C$57,0),NXchung!CK$59))</f>
        <v>Tích cực phát biểu trong giờ học, tương tác tốt với giáo viên và bạn bè.</v>
      </c>
      <c r="CL38" s="783" t="str">
        <f>IF($B38="","",IF(INDEX(BDHK2,MATCH($C38,DiemHKII!$C$4:$C$58,0),CL$59)&lt;&gt;"",INDEX(BDHK2,MATCH($C38,DiemHKII!$C$4:$C$58,0),CL$59),""))</f>
        <v/>
      </c>
      <c r="CM38" s="794" t="str">
        <f t="shared" si="42"/>
        <v/>
      </c>
      <c r="CN38" s="770" t="str">
        <f t="shared" si="43"/>
        <v/>
      </c>
      <c r="CO38" s="783" t="str">
        <f>IF($B38="","",IF(INDEX(BDHK2,MATCH($C38,DiemHKII!$C$4:$C$58,0),CO$59)&lt;&gt;"",INDEX(BDHK2,MATCH($C38,DiemHKII!$C$4:$C$58,0),CO$59),""))</f>
        <v/>
      </c>
      <c r="CP38" s="794" t="str">
        <f t="shared" si="44"/>
        <v/>
      </c>
      <c r="CQ38" s="770" t="str">
        <f t="shared" si="45"/>
        <v/>
      </c>
      <c r="CR38" s="768"/>
      <c r="CS38" s="783">
        <f>IF($B38="","",IF(INDEX(BDHK2,MATCH($C38,DiemHKII!$C$4:$C$58,0),CS$59)&lt;&gt;"",INDEX(BDHK2,MATCH($C38,DiemHKII!$C$4:$C$58,0),CS$59),""))</f>
        <v>9.8000000000000007</v>
      </c>
      <c r="CT38" s="794">
        <f t="shared" si="46"/>
        <v>1</v>
      </c>
      <c r="CU38" s="770" t="str">
        <f>IF($B38="","",INDEX(NXetHKI!$B$3:$CL$57,MATCH(NXchung!$C38,NXetHKI!$C$3:$C$57,0),NXchung!CU$59))</f>
        <v>Hứng thú, tích cực, học giỏi.</v>
      </c>
      <c r="CV38" s="783" t="str">
        <f>IF($B38="","",IF(INDEX(BDHK2,MATCH($C38,DiemHKII!$C$4:$C$58,0),CV$59)&lt;&gt;"",INDEX(BDHK2,MATCH($C38,DiemHKII!$C$4:$C$58,0),CV$59),""))</f>
        <v/>
      </c>
      <c r="CW38" s="794" t="str">
        <f t="shared" si="47"/>
        <v/>
      </c>
      <c r="CX38" s="770" t="str">
        <f t="shared" si="48"/>
        <v/>
      </c>
      <c r="CY38" s="783" t="str">
        <f>IF($B38="","",IF(INDEX(BDHK2,MATCH($C38,DiemHKII!$C$4:$C$58,0),CY$59)&lt;&gt;"",INDEX(BDHK2,MATCH($C38,DiemHKII!$C$4:$C$58,0),CY$59),""))</f>
        <v/>
      </c>
      <c r="CZ38" s="794" t="str">
        <f t="shared" si="49"/>
        <v/>
      </c>
      <c r="DA38" s="770" t="str">
        <f t="shared" si="50"/>
        <v/>
      </c>
      <c r="DB38" s="768"/>
      <c r="DC38" s="783">
        <f>IF($B38="","",IF(INDEX(BDHK2,MATCH($C38,DiemHKII!$C$4:$C$58,0),DC$59)&lt;&gt;"",INDEX(BDHK2,MATCH($C38,DiemHKII!$C$4:$C$58,0),DC$59),""))</f>
        <v>9.9</v>
      </c>
      <c r="DD38" s="794">
        <f t="shared" si="51"/>
        <v>1</v>
      </c>
      <c r="DE38" s="770" t="str">
        <f>IF($B38="","",INDEX(NXetHKI!$B$3:$CL$57,MATCH(NXchung!$C38,NXetHKI!$C$3:$C$57,0),NXchung!DE$59))</f>
        <v>Học giỏi, tiếp thu nhanh, chăm ngoan.</v>
      </c>
      <c r="DF38" s="783" t="str">
        <f>IF($B38="","",IF(INDEX(BDHK2,MATCH($C38,DiemHKII!$C$4:$C$58,0),DF$59)&lt;&gt;"",INDEX(BDHK2,MATCH($C38,DiemHKII!$C$4:$C$58,0),DF$59),""))</f>
        <v/>
      </c>
      <c r="DG38" s="794" t="str">
        <f t="shared" si="52"/>
        <v/>
      </c>
      <c r="DH38" s="770" t="str">
        <f t="shared" si="53"/>
        <v/>
      </c>
      <c r="DI38" s="783" t="str">
        <f>IF($B38="","",IF(INDEX(BDHK2,MATCH($C38,DiemHKII!$C$4:$C$58,0),DI$59)&lt;&gt;"",INDEX(BDHK2,MATCH($C38,DiemHKII!$C$4:$C$58,0),DI$59),""))</f>
        <v/>
      </c>
      <c r="DJ38" s="794" t="str">
        <f t="shared" si="54"/>
        <v/>
      </c>
      <c r="DK38" s="770" t="str">
        <f t="shared" si="55"/>
        <v/>
      </c>
      <c r="DL38" s="768"/>
      <c r="DM38" s="783" t="str">
        <f>IF($B38="","",IF(INDEX(BDHK2,MATCH($C38,DiemHKII!$C$4:$C$58,0),DM$59)&lt;&gt;"",INDEX(BDHK2,MATCH($C38,DiemHKII!$C$4:$C$58,0),DM$59),""))</f>
        <v>Đ</v>
      </c>
      <c r="DN38" s="794">
        <f t="shared" si="56"/>
        <v>1</v>
      </c>
      <c r="DO38" s="770" t="str">
        <f>IF($B38="","",INDEX(NXetHKI!$B$3:$CL$57,MATCH(NXchung!$C38,NXetHKI!$C$3:$C$57,0),NXchung!DO$59))</f>
        <v>Rất ngoan, học có hiệu quả tốt.</v>
      </c>
      <c r="DP38" s="783" t="str">
        <f>IF($B38="","",IF(INDEX(BDHK2,MATCH($C38,DiemHKII!$C$4:$C$58,0),DP$59)&lt;&gt;"",INDEX(BDHK2,MATCH($C38,DiemHKII!$C$4:$C$58,0),DP$59),""))</f>
        <v/>
      </c>
      <c r="DQ38" s="794" t="str">
        <f t="shared" si="57"/>
        <v/>
      </c>
      <c r="DR38" s="770" t="str">
        <f t="shared" si="58"/>
        <v/>
      </c>
      <c r="DS38" s="783" t="str">
        <f>IF($B38="","",IF(INDEX(BDHK2,MATCH($C38,DiemHKII!$C$4:$C$58,0),DS$59)&lt;&gt;"",INDEX(BDHK2,MATCH($C38,DiemHKII!$C$4:$C$58,0),DS$59),""))</f>
        <v>Đ</v>
      </c>
      <c r="DT38" s="794">
        <f t="shared" si="59"/>
        <v>1</v>
      </c>
      <c r="DU38" s="770" t="str">
        <f t="shared" si="60"/>
        <v>Giỏi, có nhiều tiến bộ trong học tập.</v>
      </c>
      <c r="DV38" s="768"/>
      <c r="DW38" s="783">
        <f>IF($B38="","",IF(INDEX(BDHK2,MATCH($C38,DiemHKII!$C$4:$C$58,0),DW$59)&lt;&gt;"",INDEX(BDHK2,MATCH($C38,DiemHKII!$C$4:$C$58,0),DW$59),""))</f>
        <v>9.9</v>
      </c>
      <c r="DX38" s="794">
        <f t="shared" si="61"/>
        <v>1</v>
      </c>
      <c r="DY38" s="770" t="str">
        <f>IF($B38="","",INDEX(NXetHKI!$B$3:$CL$57,MATCH(NXchung!$C38,NXetHKI!$C$3:$C$57,0),NXchung!DY$59))</f>
        <v>Ngoan, tích cực xây dựng bài, nắm chắc thực hành, học giỏi.</v>
      </c>
      <c r="DZ38" s="783" t="str">
        <f>IF($B38="","",IF(INDEX(BDHK2,MATCH($C38,DiemHKII!$C$4:$C$58,0),DZ$59)&lt;&gt;"",INDEX(BDHK2,MATCH($C38,DiemHKII!$C$4:$C$58,0),DZ$59),""))</f>
        <v/>
      </c>
      <c r="EA38" s="794" t="str">
        <f t="shared" si="62"/>
        <v/>
      </c>
      <c r="EB38" s="770" t="str">
        <f t="shared" si="63"/>
        <v/>
      </c>
      <c r="EC38" s="783" t="str">
        <f>IF($B38="","",IF(INDEX(BDHK2,MATCH($C38,DiemHKII!$C$4:$C$58,0),EC$59)&lt;&gt;"",INDEX(BDHK2,MATCH($C38,DiemHKII!$C$4:$C$58,0),EC$59),""))</f>
        <v/>
      </c>
      <c r="ED38" s="794" t="str">
        <f t="shared" si="64"/>
        <v/>
      </c>
      <c r="EE38" s="770" t="str">
        <f t="shared" si="65"/>
        <v/>
      </c>
      <c r="EF38" s="768"/>
      <c r="EG38" s="783" t="str">
        <f>IF($B38="","",IF(INDEX(BDHK2,MATCH($C38,DiemHKII!$C$4:$C$58,0),EG$59)&lt;&gt;"",INDEX(BDHK2,MATCH($C38,DiemHKII!$C$4:$C$58,0),EG$59),""))</f>
        <v/>
      </c>
      <c r="EH38" s="794" t="str">
        <f t="shared" si="66"/>
        <v/>
      </c>
      <c r="EI38" s="770" t="str">
        <f>IF($B38="","",INDEX(NXetHKI!$B$3:$CL$57,MATCH(NXchung!$C38,NXetHKI!$C$3:$C$57,0),NXchung!EI$59))</f>
        <v/>
      </c>
      <c r="EJ38" s="783" t="str">
        <f>IF($B38="","",IF(INDEX(BDHK2,MATCH($C38,DiemHKII!$C$4:$C$58,0),EJ$59)&lt;&gt;"",INDEX(BDHK2,MATCH($C38,DiemHKII!$C$4:$C$58,0),EJ$59),""))</f>
        <v/>
      </c>
      <c r="EK38" s="794" t="str">
        <f t="shared" si="67"/>
        <v/>
      </c>
      <c r="EL38" s="770" t="str">
        <f t="shared" si="68"/>
        <v/>
      </c>
      <c r="EM38" s="783" t="str">
        <f>IF($B38="","",IF(INDEX(BDHK2,MATCH($C38,DiemHKII!$C$4:$C$58,0),EM$59)&lt;&gt;"",INDEX(BDHK2,MATCH($C38,DiemHKII!$C$4:$C$58,0),EM$59),""))</f>
        <v/>
      </c>
      <c r="EN38" s="794" t="str">
        <f t="shared" si="69"/>
        <v/>
      </c>
      <c r="EO38" s="770" t="str">
        <f t="shared" si="70"/>
        <v/>
      </c>
      <c r="EP38" s="768"/>
      <c r="ER38" s="816">
        <v>3</v>
      </c>
      <c r="ES38" s="816">
        <v>6</v>
      </c>
    </row>
    <row r="39" spans="2:149" ht="15" customHeight="1">
      <c r="B39" s="771" t="str">
        <f>IF(B38&lt;MAX(DiemHKII!$B$4:$B$58),B38+1,"")</f>
        <v/>
      </c>
      <c r="C39" s="771" t="str">
        <f t="shared" si="0"/>
        <v/>
      </c>
      <c r="D39" s="772" t="str">
        <f>IF($B39&lt;&gt;"",PROPER(INDEX(DiemHKII!$B$4:$K$58,MATCH($B39,DiemHKII!$B$4:$B$58,0),4)),"")</f>
        <v/>
      </c>
      <c r="E39" s="773" t="str">
        <f>IF($B39&lt;&gt;"",PROPER(INDEX(DiemHKII!$B$4:$K$58,MATCH($B39,DiemHKII!$B$4:$B$58,0),5)),"")</f>
        <v/>
      </c>
      <c r="F39" s="774" t="str">
        <f>IF($B39&lt;&gt;"",PROPER(INDEX(DiemHKII!$B$4:$K$58,MATCH($B39,DiemHKII!$B$4:$B$58,0),6)),"")</f>
        <v/>
      </c>
      <c r="G39" s="775" t="str">
        <f>IF($B39="","",IF(INDEX(BDHK2,MATCH($C39,DiemHKII!$C$4:$C$58,0),G$59)&lt;&gt;"",INDEX(BDHK2,MATCH($C39,DiemHKII!$C$4:$C$58,0),G$59),""))</f>
        <v/>
      </c>
      <c r="H39" s="792" t="str">
        <f t="shared" si="1"/>
        <v/>
      </c>
      <c r="I39" s="776" t="str">
        <f>IF($B39="","",INDEX(NXetHKI!$B$3:$CL$57,MATCH(NXchung!$C39,NXetHKI!$C$3:$C$57,0),NXchung!I$59))</f>
        <v/>
      </c>
      <c r="J39" s="775" t="str">
        <f>IF($B39="","",IF(INDEX(BDHK2,MATCH($C39,DiemHKII!$C$4:$C$58,0),J$59)&lt;&gt;"",INDEX(BDHK2,MATCH($C39,DiemHKII!$C$4:$C$58,0),J$59),""))</f>
        <v/>
      </c>
      <c r="K39" s="792" t="str">
        <f t="shared" si="2"/>
        <v/>
      </c>
      <c r="L39" s="776" t="str">
        <f t="shared" si="3"/>
        <v/>
      </c>
      <c r="M39" s="775" t="str">
        <f>IF($B39="","",IF(INDEX(BDHK2,MATCH($C39,DiemHKII!$C$4:$C$58,0),M$59)&lt;&gt;"",INDEX(BDHK2,MATCH($C39,DiemHKII!$C$4:$C$58,0),M$59),""))</f>
        <v/>
      </c>
      <c r="N39" s="792" t="str">
        <f t="shared" si="4"/>
        <v/>
      </c>
      <c r="O39" s="776" t="str">
        <f t="shared" si="5"/>
        <v/>
      </c>
      <c r="P39" s="774"/>
      <c r="Q39" s="775" t="str">
        <f>IF($B39="","",IF(INDEX(BDHK2,MATCH($C39,DiemHKII!$C$4:$C$58,0),Q$59)&lt;&gt;"",INDEX(BDHK2,MATCH($C39,DiemHKII!$C$4:$C$58,0),Q$59),""))</f>
        <v/>
      </c>
      <c r="R39" s="792" t="str">
        <f t="shared" si="6"/>
        <v/>
      </c>
      <c r="S39" s="776" t="str">
        <f>IF($B39="","",INDEX(NXetHKI!$B$3:$CL$57,MATCH(NXchung!$C39,NXetHKI!$C$3:$C$57,0),NXchung!S$59))</f>
        <v/>
      </c>
      <c r="T39" s="775" t="str">
        <f>IF($B39="","",IF(INDEX(BDHK2,MATCH($C39,DiemHKII!$C$4:$C$58,0),T$59)&lt;&gt;"",INDEX(BDHK2,MATCH($C39,DiemHKII!$C$4:$C$58,0),T$59),""))</f>
        <v/>
      </c>
      <c r="U39" s="792" t="str">
        <f t="shared" si="7"/>
        <v/>
      </c>
      <c r="V39" s="776" t="str">
        <f t="shared" si="8"/>
        <v/>
      </c>
      <c r="W39" s="775" t="str">
        <f>IF($B39="","",IF(INDEX(BDHK2,MATCH($C39,DiemHKII!$C$4:$C$58,0),W$59)&lt;&gt;"",INDEX(BDHK2,MATCH($C39,DiemHKII!$C$4:$C$58,0),W$59),""))</f>
        <v/>
      </c>
      <c r="X39" s="792" t="str">
        <f t="shared" si="9"/>
        <v/>
      </c>
      <c r="Y39" s="776" t="str">
        <f t="shared" si="10"/>
        <v/>
      </c>
      <c r="Z39" s="774"/>
      <c r="AA39" s="775" t="str">
        <f>IF($B39="","",IF(INDEX(BDHK2,MATCH($C39,DiemHKII!$C$4:$C$58,0),AA$59)&lt;&gt;"",INDEX(BDHK2,MATCH($C39,DiemHKII!$C$4:$C$58,0),AA$59),""))</f>
        <v/>
      </c>
      <c r="AB39" s="792" t="str">
        <f t="shared" si="11"/>
        <v/>
      </c>
      <c r="AC39" s="776" t="str">
        <f>IF($B39="","",INDEX(NXetHKI!$B$3:$CL$57,MATCH(NXchung!$C39,NXetHKI!$C$3:$C$57,0),NXchung!AC$59))</f>
        <v/>
      </c>
      <c r="AD39" s="775" t="str">
        <f>IF($B39="","",IF(INDEX(BDHK2,MATCH($C39,DiemHKII!$C$4:$C$58,0),AD$59)&lt;&gt;"",INDEX(BDHK2,MATCH($C39,DiemHKII!$C$4:$C$58,0),AD$59),""))</f>
        <v/>
      </c>
      <c r="AE39" s="792" t="str">
        <f t="shared" si="12"/>
        <v/>
      </c>
      <c r="AF39" s="776" t="str">
        <f t="shared" si="13"/>
        <v/>
      </c>
      <c r="AG39" s="775" t="str">
        <f>IF($B39="","",IF(INDEX(BDHK2,MATCH($C39,DiemHKII!$C$4:$C$58,0),AG$59)&lt;&gt;"",INDEX(BDHK2,MATCH($C39,DiemHKII!$C$4:$C$58,0),AG$59),""))</f>
        <v/>
      </c>
      <c r="AH39" s="792" t="str">
        <f t="shared" si="14"/>
        <v/>
      </c>
      <c r="AI39" s="776" t="str">
        <f t="shared" si="15"/>
        <v/>
      </c>
      <c r="AJ39" s="774"/>
      <c r="AK39" s="775" t="str">
        <f>IF($B39="","",IF(INDEX(BDHK2,MATCH($C39,DiemHKII!$C$4:$C$58,0),AK$59)&lt;&gt;"",INDEX(BDHK2,MATCH($C39,DiemHKII!$C$4:$C$58,0),AK$59),""))</f>
        <v/>
      </c>
      <c r="AL39" s="792" t="str">
        <f t="shared" si="16"/>
        <v/>
      </c>
      <c r="AM39" s="776" t="str">
        <f>IF($B39="","",INDEX(NXetHKI!$B$3:$CL$57,MATCH(NXchung!$C39,NXetHKI!$C$3:$C$57,0),NXchung!AM$59))</f>
        <v/>
      </c>
      <c r="AN39" s="775" t="str">
        <f>IF($B39="","",IF(INDEX(BDHK2,MATCH($C39,DiemHKII!$C$4:$C$58,0),AN$59)&lt;&gt;"",INDEX(BDHK2,MATCH($C39,DiemHKII!$C$4:$C$58,0),AN$59),""))</f>
        <v/>
      </c>
      <c r="AO39" s="792" t="str">
        <f t="shared" si="17"/>
        <v/>
      </c>
      <c r="AP39" s="776" t="str">
        <f t="shared" si="18"/>
        <v/>
      </c>
      <c r="AQ39" s="775" t="str">
        <f>IF($B39="","",IF(INDEX(BDHK2,MATCH($C39,DiemHKII!$C$4:$C$58,0),AQ$59)&lt;&gt;"",INDEX(BDHK2,MATCH($C39,DiemHKII!$C$4:$C$58,0),AQ$59),""))</f>
        <v/>
      </c>
      <c r="AR39" s="792" t="str">
        <f t="shared" si="19"/>
        <v/>
      </c>
      <c r="AS39" s="776" t="str">
        <f t="shared" si="20"/>
        <v/>
      </c>
      <c r="AT39" s="774"/>
      <c r="AU39" s="775" t="str">
        <f>IF($B39="","",IF(INDEX(BDHK2,MATCH($C39,DiemHKII!$C$4:$C$58,0),AU$59)&lt;&gt;"",INDEX(BDHK2,MATCH($C39,DiemHKII!$C$4:$C$58,0),AU$59),""))</f>
        <v/>
      </c>
      <c r="AV39" s="792" t="str">
        <f t="shared" si="21"/>
        <v/>
      </c>
      <c r="AW39" s="776" t="str">
        <f>IF($B39="","",INDEX(NXetHKI!$B$3:$CL$57,MATCH(NXchung!$C39,NXetHKI!$C$3:$C$57,0),NXchung!AW$59))</f>
        <v/>
      </c>
      <c r="AX39" s="775" t="str">
        <f>IF($B39="","",IF(INDEX(BDHK2,MATCH($C39,DiemHKII!$C$4:$C$58,0),AX$59)&lt;&gt;"",INDEX(BDHK2,MATCH($C39,DiemHKII!$C$4:$C$58,0),AX$59),""))</f>
        <v/>
      </c>
      <c r="AY39" s="792" t="str">
        <f t="shared" si="22"/>
        <v/>
      </c>
      <c r="AZ39" s="776" t="str">
        <f t="shared" si="23"/>
        <v/>
      </c>
      <c r="BA39" s="775" t="str">
        <f>IF($B39="","",IF(INDEX(BDHK2,MATCH($C39,DiemHKII!$C$4:$C$58,0),BA$59)&lt;&gt;"",INDEX(BDHK2,MATCH($C39,DiemHKII!$C$4:$C$58,0),BA$59),""))</f>
        <v/>
      </c>
      <c r="BB39" s="792" t="str">
        <f t="shared" si="24"/>
        <v/>
      </c>
      <c r="BC39" s="776" t="str">
        <f t="shared" si="25"/>
        <v/>
      </c>
      <c r="BD39" s="774"/>
      <c r="BE39" s="775" t="str">
        <f>IF($B39="","",IF(INDEX(BDHK2,MATCH($C39,DiemHKII!$C$4:$C$58,0),BE$59)&lt;&gt;"",INDEX(BDHK2,MATCH($C39,DiemHKII!$C$4:$C$58,0),BE$59),""))</f>
        <v/>
      </c>
      <c r="BF39" s="792" t="str">
        <f t="shared" si="26"/>
        <v/>
      </c>
      <c r="BG39" s="776" t="str">
        <f>IF($B39="","",INDEX(NXetHKI!$B$3:$CL$57,MATCH(NXchung!$C39,NXetHKI!$C$3:$C$57,0),NXchung!BG$59))</f>
        <v/>
      </c>
      <c r="BH39" s="775" t="str">
        <f>IF($B39="","",IF(INDEX(BDHK2,MATCH($C39,DiemHKII!$C$4:$C$58,0),BH$59)&lt;&gt;"",INDEX(BDHK2,MATCH($C39,DiemHKII!$C$4:$C$58,0),BH$59),""))</f>
        <v/>
      </c>
      <c r="BI39" s="792" t="str">
        <f t="shared" si="27"/>
        <v/>
      </c>
      <c r="BJ39" s="776" t="str">
        <f t="shared" si="28"/>
        <v/>
      </c>
      <c r="BK39" s="775" t="str">
        <f>IF($B39="","",IF(INDEX(BDHK2,MATCH($C39,DiemHKII!$C$4:$C$58,0),BK$59)&lt;&gt;"",INDEX(BDHK2,MATCH($C39,DiemHKII!$C$4:$C$58,0),BK$59),""))</f>
        <v/>
      </c>
      <c r="BL39" s="792" t="str">
        <f t="shared" si="29"/>
        <v/>
      </c>
      <c r="BM39" s="776" t="str">
        <f t="shared" si="30"/>
        <v/>
      </c>
      <c r="BN39" s="774"/>
      <c r="BO39" s="775" t="str">
        <f>IF($B39="","",IF(INDEX(BDHK2,MATCH($C39,DiemHKII!$C$4:$C$58,0),BO$59)&lt;&gt;"",INDEX(BDHK2,MATCH($C39,DiemHKII!$C$4:$C$58,0),BO$59),""))</f>
        <v/>
      </c>
      <c r="BP39" s="792" t="str">
        <f t="shared" si="31"/>
        <v/>
      </c>
      <c r="BQ39" s="776" t="str">
        <f>IF($B39="","",INDEX(NXetHKI!$B$3:$CL$57,MATCH(NXchung!$C39,NXetHKI!$C$3:$C$57,0),NXchung!BQ$59))</f>
        <v/>
      </c>
      <c r="BR39" s="775" t="str">
        <f>IF($B39="","",IF(INDEX(BDHK2,MATCH($C39,DiemHKII!$C$4:$C$58,0),BR$59)&lt;&gt;"",INDEX(BDHK2,MATCH($C39,DiemHKII!$C$4:$C$58,0),BR$59),""))</f>
        <v/>
      </c>
      <c r="BS39" s="792" t="str">
        <f t="shared" si="32"/>
        <v/>
      </c>
      <c r="BT39" s="776" t="str">
        <f t="shared" si="33"/>
        <v/>
      </c>
      <c r="BU39" s="775" t="str">
        <f>IF($B39="","",IF(INDEX(BDHK2,MATCH($C39,DiemHKII!$C$4:$C$58,0),BU$59)&lt;&gt;"",INDEX(BDHK2,MATCH($C39,DiemHKII!$C$4:$C$58,0),BU$59),""))</f>
        <v/>
      </c>
      <c r="BV39" s="792" t="str">
        <f t="shared" si="34"/>
        <v/>
      </c>
      <c r="BW39" s="776" t="str">
        <f t="shared" si="35"/>
        <v/>
      </c>
      <c r="BX39" s="774"/>
      <c r="BY39" s="775" t="str">
        <f>IF($B39="","",IF(INDEX(BDHK2,MATCH($C39,DiemHKII!$C$4:$C$58,0),BY$59)&lt;&gt;"",INDEX(BDHK2,MATCH($C39,DiemHKII!$C$4:$C$58,0),BY$59),""))</f>
        <v/>
      </c>
      <c r="BZ39" s="792" t="str">
        <f t="shared" si="36"/>
        <v/>
      </c>
      <c r="CA39" s="776" t="str">
        <f>IF($B39="","",INDEX(NXetHKI!$B$3:$CL$57,MATCH(NXchung!$C39,NXetHKI!$C$3:$C$57,0),NXchung!CA$59))</f>
        <v/>
      </c>
      <c r="CB39" s="775" t="str">
        <f>IF($B39="","",IF(INDEX(BDHK2,MATCH($C39,DiemHKII!$C$4:$C$58,0),CB$59)&lt;&gt;"",INDEX(BDHK2,MATCH($C39,DiemHKII!$C$4:$C$58,0),CB$59),""))</f>
        <v/>
      </c>
      <c r="CC39" s="792" t="str">
        <f t="shared" si="37"/>
        <v/>
      </c>
      <c r="CD39" s="776" t="str">
        <f t="shared" si="38"/>
        <v/>
      </c>
      <c r="CE39" s="775" t="str">
        <f>IF($B39="","",IF(INDEX(BDHK2,MATCH($C39,DiemHKII!$C$4:$C$58,0),CE$59)&lt;&gt;"",INDEX(BDHK2,MATCH($C39,DiemHKII!$C$4:$C$58,0),CE$59),""))</f>
        <v/>
      </c>
      <c r="CF39" s="792" t="str">
        <f t="shared" si="39"/>
        <v/>
      </c>
      <c r="CG39" s="776" t="str">
        <f t="shared" si="40"/>
        <v/>
      </c>
      <c r="CH39" s="774"/>
      <c r="CI39" s="775" t="str">
        <f>IF($B39="","",IF(INDEX(BDHK2,MATCH($C39,DiemHKII!$C$4:$C$58,0),CI$59)&lt;&gt;"",INDEX(BDHK2,MATCH($C39,DiemHKII!$C$4:$C$58,0),CI$59),""))</f>
        <v/>
      </c>
      <c r="CJ39" s="792" t="str">
        <f t="shared" si="41"/>
        <v/>
      </c>
      <c r="CK39" s="776" t="str">
        <f>IF($B39="","",INDEX(NXetHKI!$B$3:$CL$57,MATCH(NXchung!$C39,NXetHKI!$C$3:$C$57,0),NXchung!CK$59))</f>
        <v/>
      </c>
      <c r="CL39" s="775" t="str">
        <f>IF($B39="","",IF(INDEX(BDHK2,MATCH($C39,DiemHKII!$C$4:$C$58,0),CL$59)&lt;&gt;"",INDEX(BDHK2,MATCH($C39,DiemHKII!$C$4:$C$58,0),CL$59),""))</f>
        <v/>
      </c>
      <c r="CM39" s="792" t="str">
        <f t="shared" si="42"/>
        <v/>
      </c>
      <c r="CN39" s="776" t="str">
        <f t="shared" si="43"/>
        <v/>
      </c>
      <c r="CO39" s="775" t="str">
        <f>IF($B39="","",IF(INDEX(BDHK2,MATCH($C39,DiemHKII!$C$4:$C$58,0),CO$59)&lt;&gt;"",INDEX(BDHK2,MATCH($C39,DiemHKII!$C$4:$C$58,0),CO$59),""))</f>
        <v/>
      </c>
      <c r="CP39" s="792" t="str">
        <f t="shared" si="44"/>
        <v/>
      </c>
      <c r="CQ39" s="776" t="str">
        <f t="shared" si="45"/>
        <v/>
      </c>
      <c r="CR39" s="774"/>
      <c r="CS39" s="775" t="str">
        <f>IF($B39="","",IF(INDEX(BDHK2,MATCH($C39,DiemHKII!$C$4:$C$58,0),CS$59)&lt;&gt;"",INDEX(BDHK2,MATCH($C39,DiemHKII!$C$4:$C$58,0),CS$59),""))</f>
        <v/>
      </c>
      <c r="CT39" s="792" t="str">
        <f t="shared" si="46"/>
        <v/>
      </c>
      <c r="CU39" s="776" t="str">
        <f>IF($B39="","",INDEX(NXetHKI!$B$3:$CL$57,MATCH(NXchung!$C39,NXetHKI!$C$3:$C$57,0),NXchung!CU$59))</f>
        <v/>
      </c>
      <c r="CV39" s="775" t="str">
        <f>IF($B39="","",IF(INDEX(BDHK2,MATCH($C39,DiemHKII!$C$4:$C$58,0),CV$59)&lt;&gt;"",INDEX(BDHK2,MATCH($C39,DiemHKII!$C$4:$C$58,0),CV$59),""))</f>
        <v/>
      </c>
      <c r="CW39" s="792" t="str">
        <f t="shared" si="47"/>
        <v/>
      </c>
      <c r="CX39" s="776" t="str">
        <f t="shared" si="48"/>
        <v/>
      </c>
      <c r="CY39" s="775" t="str">
        <f>IF($B39="","",IF(INDEX(BDHK2,MATCH($C39,DiemHKII!$C$4:$C$58,0),CY$59)&lt;&gt;"",INDEX(BDHK2,MATCH($C39,DiemHKII!$C$4:$C$58,0),CY$59),""))</f>
        <v/>
      </c>
      <c r="CZ39" s="792" t="str">
        <f t="shared" si="49"/>
        <v/>
      </c>
      <c r="DA39" s="776" t="str">
        <f t="shared" si="50"/>
        <v/>
      </c>
      <c r="DB39" s="774"/>
      <c r="DC39" s="775" t="str">
        <f>IF($B39="","",IF(INDEX(BDHK2,MATCH($C39,DiemHKII!$C$4:$C$58,0),DC$59)&lt;&gt;"",INDEX(BDHK2,MATCH($C39,DiemHKII!$C$4:$C$58,0),DC$59),""))</f>
        <v/>
      </c>
      <c r="DD39" s="792" t="str">
        <f t="shared" si="51"/>
        <v/>
      </c>
      <c r="DE39" s="776" t="str">
        <f>IF($B39="","",INDEX(NXetHKI!$B$3:$CL$57,MATCH(NXchung!$C39,NXetHKI!$C$3:$C$57,0),NXchung!DE$59))</f>
        <v/>
      </c>
      <c r="DF39" s="775" t="str">
        <f>IF($B39="","",IF(INDEX(BDHK2,MATCH($C39,DiemHKII!$C$4:$C$58,0),DF$59)&lt;&gt;"",INDEX(BDHK2,MATCH($C39,DiemHKII!$C$4:$C$58,0),DF$59),""))</f>
        <v/>
      </c>
      <c r="DG39" s="792" t="str">
        <f t="shared" si="52"/>
        <v/>
      </c>
      <c r="DH39" s="776" t="str">
        <f t="shared" si="53"/>
        <v/>
      </c>
      <c r="DI39" s="775" t="str">
        <f>IF($B39="","",IF(INDEX(BDHK2,MATCH($C39,DiemHKII!$C$4:$C$58,0),DI$59)&lt;&gt;"",INDEX(BDHK2,MATCH($C39,DiemHKII!$C$4:$C$58,0),DI$59),""))</f>
        <v/>
      </c>
      <c r="DJ39" s="792" t="str">
        <f t="shared" si="54"/>
        <v/>
      </c>
      <c r="DK39" s="776" t="str">
        <f t="shared" si="55"/>
        <v/>
      </c>
      <c r="DL39" s="774"/>
      <c r="DM39" s="775" t="str">
        <f>IF($B39="","",IF(INDEX(BDHK2,MATCH($C39,DiemHKII!$C$4:$C$58,0),DM$59)&lt;&gt;"",INDEX(BDHK2,MATCH($C39,DiemHKII!$C$4:$C$58,0),DM$59),""))</f>
        <v/>
      </c>
      <c r="DN39" s="792" t="str">
        <f t="shared" si="56"/>
        <v/>
      </c>
      <c r="DO39" s="776" t="str">
        <f>IF($B39="","",INDEX(NXetHKI!$B$3:$CL$57,MATCH(NXchung!$C39,NXetHKI!$C$3:$C$57,0),NXchung!DO$59))</f>
        <v/>
      </c>
      <c r="DP39" s="775" t="str">
        <f>IF($B39="","",IF(INDEX(BDHK2,MATCH($C39,DiemHKII!$C$4:$C$58,0),DP$59)&lt;&gt;"",INDEX(BDHK2,MATCH($C39,DiemHKII!$C$4:$C$58,0),DP$59),""))</f>
        <v/>
      </c>
      <c r="DQ39" s="792" t="str">
        <f t="shared" si="57"/>
        <v/>
      </c>
      <c r="DR39" s="776" t="str">
        <f t="shared" si="58"/>
        <v/>
      </c>
      <c r="DS39" s="775" t="str">
        <f>IF($B39="","",IF(INDEX(BDHK2,MATCH($C39,DiemHKII!$C$4:$C$58,0),DS$59)&lt;&gt;"",INDEX(BDHK2,MATCH($C39,DiemHKII!$C$4:$C$58,0),DS$59),""))</f>
        <v/>
      </c>
      <c r="DT39" s="792" t="str">
        <f t="shared" si="59"/>
        <v/>
      </c>
      <c r="DU39" s="776" t="str">
        <f t="shared" si="60"/>
        <v/>
      </c>
      <c r="DV39" s="774"/>
      <c r="DW39" s="775" t="str">
        <f>IF($B39="","",IF(INDEX(BDHK2,MATCH($C39,DiemHKII!$C$4:$C$58,0),DW$59)&lt;&gt;"",INDEX(BDHK2,MATCH($C39,DiemHKII!$C$4:$C$58,0),DW$59),""))</f>
        <v/>
      </c>
      <c r="DX39" s="792" t="str">
        <f t="shared" si="61"/>
        <v/>
      </c>
      <c r="DY39" s="776" t="str">
        <f>IF($B39="","",INDEX(NXetHKI!$B$3:$CL$57,MATCH(NXchung!$C39,NXetHKI!$C$3:$C$57,0),NXchung!DY$59))</f>
        <v/>
      </c>
      <c r="DZ39" s="775" t="str">
        <f>IF($B39="","",IF(INDEX(BDHK2,MATCH($C39,DiemHKII!$C$4:$C$58,0),DZ$59)&lt;&gt;"",INDEX(BDHK2,MATCH($C39,DiemHKII!$C$4:$C$58,0),DZ$59),""))</f>
        <v/>
      </c>
      <c r="EA39" s="792" t="str">
        <f t="shared" si="62"/>
        <v/>
      </c>
      <c r="EB39" s="776" t="str">
        <f t="shared" si="63"/>
        <v/>
      </c>
      <c r="EC39" s="775" t="str">
        <f>IF($B39="","",IF(INDEX(BDHK2,MATCH($C39,DiemHKII!$C$4:$C$58,0),EC$59)&lt;&gt;"",INDEX(BDHK2,MATCH($C39,DiemHKII!$C$4:$C$58,0),EC$59),""))</f>
        <v/>
      </c>
      <c r="ED39" s="792" t="str">
        <f t="shared" si="64"/>
        <v/>
      </c>
      <c r="EE39" s="776" t="str">
        <f t="shared" si="65"/>
        <v/>
      </c>
      <c r="EF39" s="774"/>
      <c r="EG39" s="775" t="str">
        <f>IF($B39="","",IF(INDEX(BDHK2,MATCH($C39,DiemHKII!$C$4:$C$58,0),EG$59)&lt;&gt;"",INDEX(BDHK2,MATCH($C39,DiemHKII!$C$4:$C$58,0),EG$59),""))</f>
        <v/>
      </c>
      <c r="EH39" s="792" t="str">
        <f t="shared" si="66"/>
        <v/>
      </c>
      <c r="EI39" s="776" t="str">
        <f>IF($B39="","",INDEX(NXetHKI!$B$3:$CL$57,MATCH(NXchung!$C39,NXetHKI!$C$3:$C$57,0),NXchung!EI$59))</f>
        <v/>
      </c>
      <c r="EJ39" s="775" t="str">
        <f>IF($B39="","",IF(INDEX(BDHK2,MATCH($C39,DiemHKII!$C$4:$C$58,0),EJ$59)&lt;&gt;"",INDEX(BDHK2,MATCH($C39,DiemHKII!$C$4:$C$58,0),EJ$59),""))</f>
        <v/>
      </c>
      <c r="EK39" s="792" t="str">
        <f t="shared" si="67"/>
        <v/>
      </c>
      <c r="EL39" s="776" t="str">
        <f t="shared" si="68"/>
        <v/>
      </c>
      <c r="EM39" s="775" t="str">
        <f>IF($B39="","",IF(INDEX(BDHK2,MATCH($C39,DiemHKII!$C$4:$C$58,0),EM$59)&lt;&gt;"",INDEX(BDHK2,MATCH($C39,DiemHKII!$C$4:$C$58,0),EM$59),""))</f>
        <v/>
      </c>
      <c r="EN39" s="792" t="str">
        <f t="shared" si="69"/>
        <v/>
      </c>
      <c r="EO39" s="776" t="str">
        <f t="shared" si="70"/>
        <v/>
      </c>
      <c r="EP39" s="774"/>
      <c r="ER39" s="816">
        <v>6</v>
      </c>
      <c r="ES39" s="816">
        <v>9</v>
      </c>
    </row>
    <row r="40" spans="2:149" ht="15" customHeight="1">
      <c r="B40" s="771" t="str">
        <f>IF(B39&lt;MAX(DiemHKII!$B$4:$B$58),B39+1,"")</f>
        <v/>
      </c>
      <c r="C40" s="771" t="str">
        <f t="shared" si="0"/>
        <v/>
      </c>
      <c r="D40" s="772" t="str">
        <f>IF($B40&lt;&gt;"",PROPER(INDEX(DiemHKII!$B$4:$K$58,MATCH($B40,DiemHKII!$B$4:$B$58,0),4)),"")</f>
        <v/>
      </c>
      <c r="E40" s="773" t="str">
        <f>IF($B40&lt;&gt;"",PROPER(INDEX(DiemHKII!$B$4:$K$58,MATCH($B40,DiemHKII!$B$4:$B$58,0),5)),"")</f>
        <v/>
      </c>
      <c r="F40" s="774" t="str">
        <f>IF($B40&lt;&gt;"",PROPER(INDEX(DiemHKII!$B$4:$K$58,MATCH($B40,DiemHKII!$B$4:$B$58,0),6)),"")</f>
        <v/>
      </c>
      <c r="G40" s="775" t="str">
        <f>IF($B40="","",IF(INDEX(BDHK2,MATCH($C40,DiemHKII!$C$4:$C$58,0),G$59)&lt;&gt;"",INDEX(BDHK2,MATCH($C40,DiemHKII!$C$4:$C$58,0),G$59),""))</f>
        <v/>
      </c>
      <c r="H40" s="792" t="str">
        <f t="shared" si="1"/>
        <v/>
      </c>
      <c r="I40" s="776" t="str">
        <f>IF($B40="","",INDEX(NXetHKI!$B$3:$CL$57,MATCH(NXchung!$C40,NXetHKI!$C$3:$C$57,0),NXchung!I$59))</f>
        <v/>
      </c>
      <c r="J40" s="775" t="str">
        <f>IF($B40="","",IF(INDEX(BDHK2,MATCH($C40,DiemHKII!$C$4:$C$58,0),J$59)&lt;&gt;"",INDEX(BDHK2,MATCH($C40,DiemHKII!$C$4:$C$58,0),J$59),""))</f>
        <v/>
      </c>
      <c r="K40" s="792" t="str">
        <f t="shared" si="2"/>
        <v/>
      </c>
      <c r="L40" s="776" t="str">
        <f t="shared" si="3"/>
        <v/>
      </c>
      <c r="M40" s="775" t="str">
        <f>IF($B40="","",IF(INDEX(BDHK2,MATCH($C40,DiemHKII!$C$4:$C$58,0),M$59)&lt;&gt;"",INDEX(BDHK2,MATCH($C40,DiemHKII!$C$4:$C$58,0),M$59),""))</f>
        <v/>
      </c>
      <c r="N40" s="792" t="str">
        <f t="shared" si="4"/>
        <v/>
      </c>
      <c r="O40" s="776" t="str">
        <f t="shared" si="5"/>
        <v/>
      </c>
      <c r="P40" s="774"/>
      <c r="Q40" s="775" t="str">
        <f>IF($B40="","",IF(INDEX(BDHK2,MATCH($C40,DiemHKII!$C$4:$C$58,0),Q$59)&lt;&gt;"",INDEX(BDHK2,MATCH($C40,DiemHKII!$C$4:$C$58,0),Q$59),""))</f>
        <v/>
      </c>
      <c r="R40" s="792" t="str">
        <f t="shared" si="6"/>
        <v/>
      </c>
      <c r="S40" s="776" t="str">
        <f>IF($B40="","",INDEX(NXetHKI!$B$3:$CL$57,MATCH(NXchung!$C40,NXetHKI!$C$3:$C$57,0),NXchung!S$59))</f>
        <v/>
      </c>
      <c r="T40" s="775" t="str">
        <f>IF($B40="","",IF(INDEX(BDHK2,MATCH($C40,DiemHKII!$C$4:$C$58,0),T$59)&lt;&gt;"",INDEX(BDHK2,MATCH($C40,DiemHKII!$C$4:$C$58,0),T$59),""))</f>
        <v/>
      </c>
      <c r="U40" s="792" t="str">
        <f t="shared" si="7"/>
        <v/>
      </c>
      <c r="V40" s="776" t="str">
        <f t="shared" si="8"/>
        <v/>
      </c>
      <c r="W40" s="775" t="str">
        <f>IF($B40="","",IF(INDEX(BDHK2,MATCH($C40,DiemHKII!$C$4:$C$58,0),W$59)&lt;&gt;"",INDEX(BDHK2,MATCH($C40,DiemHKII!$C$4:$C$58,0),W$59),""))</f>
        <v/>
      </c>
      <c r="X40" s="792" t="str">
        <f t="shared" si="9"/>
        <v/>
      </c>
      <c r="Y40" s="776" t="str">
        <f t="shared" si="10"/>
        <v/>
      </c>
      <c r="Z40" s="774"/>
      <c r="AA40" s="775" t="str">
        <f>IF($B40="","",IF(INDEX(BDHK2,MATCH($C40,DiemHKII!$C$4:$C$58,0),AA$59)&lt;&gt;"",INDEX(BDHK2,MATCH($C40,DiemHKII!$C$4:$C$58,0),AA$59),""))</f>
        <v/>
      </c>
      <c r="AB40" s="792" t="str">
        <f t="shared" si="11"/>
        <v/>
      </c>
      <c r="AC40" s="776" t="str">
        <f>IF($B40="","",INDEX(NXetHKI!$B$3:$CL$57,MATCH(NXchung!$C40,NXetHKI!$C$3:$C$57,0),NXchung!AC$59))</f>
        <v/>
      </c>
      <c r="AD40" s="775" t="str">
        <f>IF($B40="","",IF(INDEX(BDHK2,MATCH($C40,DiemHKII!$C$4:$C$58,0),AD$59)&lt;&gt;"",INDEX(BDHK2,MATCH($C40,DiemHKII!$C$4:$C$58,0),AD$59),""))</f>
        <v/>
      </c>
      <c r="AE40" s="792" t="str">
        <f t="shared" si="12"/>
        <v/>
      </c>
      <c r="AF40" s="776" t="str">
        <f t="shared" si="13"/>
        <v/>
      </c>
      <c r="AG40" s="775" t="str">
        <f>IF($B40="","",IF(INDEX(BDHK2,MATCH($C40,DiemHKII!$C$4:$C$58,0),AG$59)&lt;&gt;"",INDEX(BDHK2,MATCH($C40,DiemHKII!$C$4:$C$58,0),AG$59),""))</f>
        <v/>
      </c>
      <c r="AH40" s="792" t="str">
        <f t="shared" si="14"/>
        <v/>
      </c>
      <c r="AI40" s="776" t="str">
        <f t="shared" si="15"/>
        <v/>
      </c>
      <c r="AJ40" s="774"/>
      <c r="AK40" s="775" t="str">
        <f>IF($B40="","",IF(INDEX(BDHK2,MATCH($C40,DiemHKII!$C$4:$C$58,0),AK$59)&lt;&gt;"",INDEX(BDHK2,MATCH($C40,DiemHKII!$C$4:$C$58,0),AK$59),""))</f>
        <v/>
      </c>
      <c r="AL40" s="792" t="str">
        <f t="shared" si="16"/>
        <v/>
      </c>
      <c r="AM40" s="776" t="str">
        <f>IF($B40="","",INDEX(NXetHKI!$B$3:$CL$57,MATCH(NXchung!$C40,NXetHKI!$C$3:$C$57,0),NXchung!AM$59))</f>
        <v/>
      </c>
      <c r="AN40" s="775" t="str">
        <f>IF($B40="","",IF(INDEX(BDHK2,MATCH($C40,DiemHKII!$C$4:$C$58,0),AN$59)&lt;&gt;"",INDEX(BDHK2,MATCH($C40,DiemHKII!$C$4:$C$58,0),AN$59),""))</f>
        <v/>
      </c>
      <c r="AO40" s="792" t="str">
        <f t="shared" si="17"/>
        <v/>
      </c>
      <c r="AP40" s="776" t="str">
        <f t="shared" si="18"/>
        <v/>
      </c>
      <c r="AQ40" s="775" t="str">
        <f>IF($B40="","",IF(INDEX(BDHK2,MATCH($C40,DiemHKII!$C$4:$C$58,0),AQ$59)&lt;&gt;"",INDEX(BDHK2,MATCH($C40,DiemHKII!$C$4:$C$58,0),AQ$59),""))</f>
        <v/>
      </c>
      <c r="AR40" s="792" t="str">
        <f t="shared" si="19"/>
        <v/>
      </c>
      <c r="AS40" s="776" t="str">
        <f t="shared" si="20"/>
        <v/>
      </c>
      <c r="AT40" s="774"/>
      <c r="AU40" s="775" t="str">
        <f>IF($B40="","",IF(INDEX(BDHK2,MATCH($C40,DiemHKII!$C$4:$C$58,0),AU$59)&lt;&gt;"",INDEX(BDHK2,MATCH($C40,DiemHKII!$C$4:$C$58,0),AU$59),""))</f>
        <v/>
      </c>
      <c r="AV40" s="792" t="str">
        <f t="shared" si="21"/>
        <v/>
      </c>
      <c r="AW40" s="776" t="str">
        <f>IF($B40="","",INDEX(NXetHKI!$B$3:$CL$57,MATCH(NXchung!$C40,NXetHKI!$C$3:$C$57,0),NXchung!AW$59))</f>
        <v/>
      </c>
      <c r="AX40" s="775" t="str">
        <f>IF($B40="","",IF(INDEX(BDHK2,MATCH($C40,DiemHKII!$C$4:$C$58,0),AX$59)&lt;&gt;"",INDEX(BDHK2,MATCH($C40,DiemHKII!$C$4:$C$58,0),AX$59),""))</f>
        <v/>
      </c>
      <c r="AY40" s="792" t="str">
        <f t="shared" si="22"/>
        <v/>
      </c>
      <c r="AZ40" s="776" t="str">
        <f t="shared" si="23"/>
        <v/>
      </c>
      <c r="BA40" s="775" t="str">
        <f>IF($B40="","",IF(INDEX(BDHK2,MATCH($C40,DiemHKII!$C$4:$C$58,0),BA$59)&lt;&gt;"",INDEX(BDHK2,MATCH($C40,DiemHKII!$C$4:$C$58,0),BA$59),""))</f>
        <v/>
      </c>
      <c r="BB40" s="792" t="str">
        <f t="shared" si="24"/>
        <v/>
      </c>
      <c r="BC40" s="776" t="str">
        <f t="shared" si="25"/>
        <v/>
      </c>
      <c r="BD40" s="774"/>
      <c r="BE40" s="775" t="str">
        <f>IF($B40="","",IF(INDEX(BDHK2,MATCH($C40,DiemHKII!$C$4:$C$58,0),BE$59)&lt;&gt;"",INDEX(BDHK2,MATCH($C40,DiemHKII!$C$4:$C$58,0),BE$59),""))</f>
        <v/>
      </c>
      <c r="BF40" s="792" t="str">
        <f t="shared" si="26"/>
        <v/>
      </c>
      <c r="BG40" s="776" t="str">
        <f>IF($B40="","",INDEX(NXetHKI!$B$3:$CL$57,MATCH(NXchung!$C40,NXetHKI!$C$3:$C$57,0),NXchung!BG$59))</f>
        <v/>
      </c>
      <c r="BH40" s="775" t="str">
        <f>IF($B40="","",IF(INDEX(BDHK2,MATCH($C40,DiemHKII!$C$4:$C$58,0),BH$59)&lt;&gt;"",INDEX(BDHK2,MATCH($C40,DiemHKII!$C$4:$C$58,0),BH$59),""))</f>
        <v/>
      </c>
      <c r="BI40" s="792" t="str">
        <f t="shared" si="27"/>
        <v/>
      </c>
      <c r="BJ40" s="776" t="str">
        <f t="shared" si="28"/>
        <v/>
      </c>
      <c r="BK40" s="775" t="str">
        <f>IF($B40="","",IF(INDEX(BDHK2,MATCH($C40,DiemHKII!$C$4:$C$58,0),BK$59)&lt;&gt;"",INDEX(BDHK2,MATCH($C40,DiemHKII!$C$4:$C$58,0),BK$59),""))</f>
        <v/>
      </c>
      <c r="BL40" s="792" t="str">
        <f t="shared" si="29"/>
        <v/>
      </c>
      <c r="BM40" s="776" t="str">
        <f t="shared" si="30"/>
        <v/>
      </c>
      <c r="BN40" s="774"/>
      <c r="BO40" s="775" t="str">
        <f>IF($B40="","",IF(INDEX(BDHK2,MATCH($C40,DiemHKII!$C$4:$C$58,0),BO$59)&lt;&gt;"",INDEX(BDHK2,MATCH($C40,DiemHKII!$C$4:$C$58,0),BO$59),""))</f>
        <v/>
      </c>
      <c r="BP40" s="792" t="str">
        <f t="shared" si="31"/>
        <v/>
      </c>
      <c r="BQ40" s="776" t="str">
        <f>IF($B40="","",INDEX(NXetHKI!$B$3:$CL$57,MATCH(NXchung!$C40,NXetHKI!$C$3:$C$57,0),NXchung!BQ$59))</f>
        <v/>
      </c>
      <c r="BR40" s="775" t="str">
        <f>IF($B40="","",IF(INDEX(BDHK2,MATCH($C40,DiemHKII!$C$4:$C$58,0),BR$59)&lt;&gt;"",INDEX(BDHK2,MATCH($C40,DiemHKII!$C$4:$C$58,0),BR$59),""))</f>
        <v/>
      </c>
      <c r="BS40" s="792" t="str">
        <f t="shared" si="32"/>
        <v/>
      </c>
      <c r="BT40" s="776" t="str">
        <f t="shared" si="33"/>
        <v/>
      </c>
      <c r="BU40" s="775" t="str">
        <f>IF($B40="","",IF(INDEX(BDHK2,MATCH($C40,DiemHKII!$C$4:$C$58,0),BU$59)&lt;&gt;"",INDEX(BDHK2,MATCH($C40,DiemHKII!$C$4:$C$58,0),BU$59),""))</f>
        <v/>
      </c>
      <c r="BV40" s="792" t="str">
        <f t="shared" si="34"/>
        <v/>
      </c>
      <c r="BW40" s="776" t="str">
        <f t="shared" si="35"/>
        <v/>
      </c>
      <c r="BX40" s="774"/>
      <c r="BY40" s="775" t="str">
        <f>IF($B40="","",IF(INDEX(BDHK2,MATCH($C40,DiemHKII!$C$4:$C$58,0),BY$59)&lt;&gt;"",INDEX(BDHK2,MATCH($C40,DiemHKII!$C$4:$C$58,0),BY$59),""))</f>
        <v/>
      </c>
      <c r="BZ40" s="792" t="str">
        <f t="shared" si="36"/>
        <v/>
      </c>
      <c r="CA40" s="776" t="str">
        <f>IF($B40="","",INDEX(NXetHKI!$B$3:$CL$57,MATCH(NXchung!$C40,NXetHKI!$C$3:$C$57,0),NXchung!CA$59))</f>
        <v/>
      </c>
      <c r="CB40" s="775" t="str">
        <f>IF($B40="","",IF(INDEX(BDHK2,MATCH($C40,DiemHKII!$C$4:$C$58,0),CB$59)&lt;&gt;"",INDEX(BDHK2,MATCH($C40,DiemHKII!$C$4:$C$58,0),CB$59),""))</f>
        <v/>
      </c>
      <c r="CC40" s="792" t="str">
        <f t="shared" si="37"/>
        <v/>
      </c>
      <c r="CD40" s="776" t="str">
        <f t="shared" si="38"/>
        <v/>
      </c>
      <c r="CE40" s="775" t="str">
        <f>IF($B40="","",IF(INDEX(BDHK2,MATCH($C40,DiemHKII!$C$4:$C$58,0),CE$59)&lt;&gt;"",INDEX(BDHK2,MATCH($C40,DiemHKII!$C$4:$C$58,0),CE$59),""))</f>
        <v/>
      </c>
      <c r="CF40" s="792" t="str">
        <f t="shared" si="39"/>
        <v/>
      </c>
      <c r="CG40" s="776" t="str">
        <f t="shared" si="40"/>
        <v/>
      </c>
      <c r="CH40" s="774"/>
      <c r="CI40" s="775" t="str">
        <f>IF($B40="","",IF(INDEX(BDHK2,MATCH($C40,DiemHKII!$C$4:$C$58,0),CI$59)&lt;&gt;"",INDEX(BDHK2,MATCH($C40,DiemHKII!$C$4:$C$58,0),CI$59),""))</f>
        <v/>
      </c>
      <c r="CJ40" s="792" t="str">
        <f t="shared" si="41"/>
        <v/>
      </c>
      <c r="CK40" s="776" t="str">
        <f>IF($B40="","",INDEX(NXetHKI!$B$3:$CL$57,MATCH(NXchung!$C40,NXetHKI!$C$3:$C$57,0),NXchung!CK$59))</f>
        <v/>
      </c>
      <c r="CL40" s="775" t="str">
        <f>IF($B40="","",IF(INDEX(BDHK2,MATCH($C40,DiemHKII!$C$4:$C$58,0),CL$59)&lt;&gt;"",INDEX(BDHK2,MATCH($C40,DiemHKII!$C$4:$C$58,0),CL$59),""))</f>
        <v/>
      </c>
      <c r="CM40" s="792" t="str">
        <f t="shared" si="42"/>
        <v/>
      </c>
      <c r="CN40" s="776" t="str">
        <f t="shared" si="43"/>
        <v/>
      </c>
      <c r="CO40" s="775" t="str">
        <f>IF($B40="","",IF(INDEX(BDHK2,MATCH($C40,DiemHKII!$C$4:$C$58,0),CO$59)&lt;&gt;"",INDEX(BDHK2,MATCH($C40,DiemHKII!$C$4:$C$58,0),CO$59),""))</f>
        <v/>
      </c>
      <c r="CP40" s="792" t="str">
        <f t="shared" si="44"/>
        <v/>
      </c>
      <c r="CQ40" s="776" t="str">
        <f t="shared" si="45"/>
        <v/>
      </c>
      <c r="CR40" s="774"/>
      <c r="CS40" s="775" t="str">
        <f>IF($B40="","",IF(INDEX(BDHK2,MATCH($C40,DiemHKII!$C$4:$C$58,0),CS$59)&lt;&gt;"",INDEX(BDHK2,MATCH($C40,DiemHKII!$C$4:$C$58,0),CS$59),""))</f>
        <v/>
      </c>
      <c r="CT40" s="792" t="str">
        <f t="shared" si="46"/>
        <v/>
      </c>
      <c r="CU40" s="776" t="str">
        <f>IF($B40="","",INDEX(NXetHKI!$B$3:$CL$57,MATCH(NXchung!$C40,NXetHKI!$C$3:$C$57,0),NXchung!CU$59))</f>
        <v/>
      </c>
      <c r="CV40" s="775" t="str">
        <f>IF($B40="","",IF(INDEX(BDHK2,MATCH($C40,DiemHKII!$C$4:$C$58,0),CV$59)&lt;&gt;"",INDEX(BDHK2,MATCH($C40,DiemHKII!$C$4:$C$58,0),CV$59),""))</f>
        <v/>
      </c>
      <c r="CW40" s="792" t="str">
        <f t="shared" si="47"/>
        <v/>
      </c>
      <c r="CX40" s="776" t="str">
        <f t="shared" si="48"/>
        <v/>
      </c>
      <c r="CY40" s="775" t="str">
        <f>IF($B40="","",IF(INDEX(BDHK2,MATCH($C40,DiemHKII!$C$4:$C$58,0),CY$59)&lt;&gt;"",INDEX(BDHK2,MATCH($C40,DiemHKII!$C$4:$C$58,0),CY$59),""))</f>
        <v/>
      </c>
      <c r="CZ40" s="792" t="str">
        <f t="shared" si="49"/>
        <v/>
      </c>
      <c r="DA40" s="776" t="str">
        <f t="shared" si="50"/>
        <v/>
      </c>
      <c r="DB40" s="774"/>
      <c r="DC40" s="775" t="str">
        <f>IF($B40="","",IF(INDEX(BDHK2,MATCH($C40,DiemHKII!$C$4:$C$58,0),DC$59)&lt;&gt;"",INDEX(BDHK2,MATCH($C40,DiemHKII!$C$4:$C$58,0),DC$59),""))</f>
        <v/>
      </c>
      <c r="DD40" s="792" t="str">
        <f t="shared" si="51"/>
        <v/>
      </c>
      <c r="DE40" s="776" t="str">
        <f>IF($B40="","",INDEX(NXetHKI!$B$3:$CL$57,MATCH(NXchung!$C40,NXetHKI!$C$3:$C$57,0),NXchung!DE$59))</f>
        <v/>
      </c>
      <c r="DF40" s="775" t="str">
        <f>IF($B40="","",IF(INDEX(BDHK2,MATCH($C40,DiemHKII!$C$4:$C$58,0),DF$59)&lt;&gt;"",INDEX(BDHK2,MATCH($C40,DiemHKII!$C$4:$C$58,0),DF$59),""))</f>
        <v/>
      </c>
      <c r="DG40" s="792" t="str">
        <f t="shared" si="52"/>
        <v/>
      </c>
      <c r="DH40" s="776" t="str">
        <f t="shared" si="53"/>
        <v/>
      </c>
      <c r="DI40" s="775" t="str">
        <f>IF($B40="","",IF(INDEX(BDHK2,MATCH($C40,DiemHKII!$C$4:$C$58,0),DI$59)&lt;&gt;"",INDEX(BDHK2,MATCH($C40,DiemHKII!$C$4:$C$58,0),DI$59),""))</f>
        <v/>
      </c>
      <c r="DJ40" s="792" t="str">
        <f t="shared" si="54"/>
        <v/>
      </c>
      <c r="DK40" s="776" t="str">
        <f t="shared" si="55"/>
        <v/>
      </c>
      <c r="DL40" s="774"/>
      <c r="DM40" s="775" t="str">
        <f>IF($B40="","",IF(INDEX(BDHK2,MATCH($C40,DiemHKII!$C$4:$C$58,0),DM$59)&lt;&gt;"",INDEX(BDHK2,MATCH($C40,DiemHKII!$C$4:$C$58,0),DM$59),""))</f>
        <v/>
      </c>
      <c r="DN40" s="792" t="str">
        <f t="shared" si="56"/>
        <v/>
      </c>
      <c r="DO40" s="776" t="str">
        <f>IF($B40="","",INDEX(NXetHKI!$B$3:$CL$57,MATCH(NXchung!$C40,NXetHKI!$C$3:$C$57,0),NXchung!DO$59))</f>
        <v/>
      </c>
      <c r="DP40" s="775" t="str">
        <f>IF($B40="","",IF(INDEX(BDHK2,MATCH($C40,DiemHKII!$C$4:$C$58,0),DP$59)&lt;&gt;"",INDEX(BDHK2,MATCH($C40,DiemHKII!$C$4:$C$58,0),DP$59),""))</f>
        <v/>
      </c>
      <c r="DQ40" s="792" t="str">
        <f t="shared" si="57"/>
        <v/>
      </c>
      <c r="DR40" s="776" t="str">
        <f t="shared" si="58"/>
        <v/>
      </c>
      <c r="DS40" s="775" t="str">
        <f>IF($B40="","",IF(INDEX(BDHK2,MATCH($C40,DiemHKII!$C$4:$C$58,0),DS$59)&lt;&gt;"",INDEX(BDHK2,MATCH($C40,DiemHKII!$C$4:$C$58,0),DS$59),""))</f>
        <v/>
      </c>
      <c r="DT40" s="792" t="str">
        <f t="shared" si="59"/>
        <v/>
      </c>
      <c r="DU40" s="776" t="str">
        <f t="shared" si="60"/>
        <v/>
      </c>
      <c r="DV40" s="774"/>
      <c r="DW40" s="775" t="str">
        <f>IF($B40="","",IF(INDEX(BDHK2,MATCH($C40,DiemHKII!$C$4:$C$58,0),DW$59)&lt;&gt;"",INDEX(BDHK2,MATCH($C40,DiemHKII!$C$4:$C$58,0),DW$59),""))</f>
        <v/>
      </c>
      <c r="DX40" s="792" t="str">
        <f t="shared" si="61"/>
        <v/>
      </c>
      <c r="DY40" s="776" t="str">
        <f>IF($B40="","",INDEX(NXetHKI!$B$3:$CL$57,MATCH(NXchung!$C40,NXetHKI!$C$3:$C$57,0),NXchung!DY$59))</f>
        <v/>
      </c>
      <c r="DZ40" s="775" t="str">
        <f>IF($B40="","",IF(INDEX(BDHK2,MATCH($C40,DiemHKII!$C$4:$C$58,0),DZ$59)&lt;&gt;"",INDEX(BDHK2,MATCH($C40,DiemHKII!$C$4:$C$58,0),DZ$59),""))</f>
        <v/>
      </c>
      <c r="EA40" s="792" t="str">
        <f t="shared" si="62"/>
        <v/>
      </c>
      <c r="EB40" s="776" t="str">
        <f t="shared" si="63"/>
        <v/>
      </c>
      <c r="EC40" s="775" t="str">
        <f>IF($B40="","",IF(INDEX(BDHK2,MATCH($C40,DiemHKII!$C$4:$C$58,0),EC$59)&lt;&gt;"",INDEX(BDHK2,MATCH($C40,DiemHKII!$C$4:$C$58,0),EC$59),""))</f>
        <v/>
      </c>
      <c r="ED40" s="792" t="str">
        <f t="shared" si="64"/>
        <v/>
      </c>
      <c r="EE40" s="776" t="str">
        <f t="shared" si="65"/>
        <v/>
      </c>
      <c r="EF40" s="774"/>
      <c r="EG40" s="775" t="str">
        <f>IF($B40="","",IF(INDEX(BDHK2,MATCH($C40,DiemHKII!$C$4:$C$58,0),EG$59)&lt;&gt;"",INDEX(BDHK2,MATCH($C40,DiemHKII!$C$4:$C$58,0),EG$59),""))</f>
        <v/>
      </c>
      <c r="EH40" s="792" t="str">
        <f t="shared" si="66"/>
        <v/>
      </c>
      <c r="EI40" s="776" t="str">
        <f>IF($B40="","",INDEX(NXetHKI!$B$3:$CL$57,MATCH(NXchung!$C40,NXetHKI!$C$3:$C$57,0),NXchung!EI$59))</f>
        <v/>
      </c>
      <c r="EJ40" s="775" t="str">
        <f>IF($B40="","",IF(INDEX(BDHK2,MATCH($C40,DiemHKII!$C$4:$C$58,0),EJ$59)&lt;&gt;"",INDEX(BDHK2,MATCH($C40,DiemHKII!$C$4:$C$58,0),EJ$59),""))</f>
        <v/>
      </c>
      <c r="EK40" s="792" t="str">
        <f t="shared" si="67"/>
        <v/>
      </c>
      <c r="EL40" s="776" t="str">
        <f t="shared" si="68"/>
        <v/>
      </c>
      <c r="EM40" s="775" t="str">
        <f>IF($B40="","",IF(INDEX(BDHK2,MATCH($C40,DiemHKII!$C$4:$C$58,0),EM$59)&lt;&gt;"",INDEX(BDHK2,MATCH($C40,DiemHKII!$C$4:$C$58,0),EM$59),""))</f>
        <v/>
      </c>
      <c r="EN40" s="792" t="str">
        <f t="shared" si="69"/>
        <v/>
      </c>
      <c r="EO40" s="776" t="str">
        <f t="shared" si="70"/>
        <v/>
      </c>
      <c r="EP40" s="774"/>
      <c r="ER40" s="816">
        <v>9</v>
      </c>
      <c r="ES40" s="816">
        <v>3</v>
      </c>
    </row>
    <row r="41" spans="2:149" ht="15" customHeight="1">
      <c r="B41" s="771" t="str">
        <f>IF(B40&lt;MAX(DiemHKII!$B$4:$B$58),B40+1,"")</f>
        <v/>
      </c>
      <c r="C41" s="771" t="str">
        <f t="shared" si="0"/>
        <v/>
      </c>
      <c r="D41" s="772" t="str">
        <f>IF($B41&lt;&gt;"",PROPER(INDEX(DiemHKII!$B$4:$K$58,MATCH($B41,DiemHKII!$B$4:$B$58,0),4)),"")</f>
        <v/>
      </c>
      <c r="E41" s="773" t="str">
        <f>IF($B41&lt;&gt;"",PROPER(INDEX(DiemHKII!$B$4:$K$58,MATCH($B41,DiemHKII!$B$4:$B$58,0),5)),"")</f>
        <v/>
      </c>
      <c r="F41" s="774" t="str">
        <f>IF($B41&lt;&gt;"",PROPER(INDEX(DiemHKII!$B$4:$K$58,MATCH($B41,DiemHKII!$B$4:$B$58,0),6)),"")</f>
        <v/>
      </c>
      <c r="G41" s="775" t="str">
        <f>IF($B41="","",IF(INDEX(BDHK2,MATCH($C41,DiemHKII!$C$4:$C$58,0),G$59)&lt;&gt;"",INDEX(BDHK2,MATCH($C41,DiemHKII!$C$4:$C$58,0),G$59),""))</f>
        <v/>
      </c>
      <c r="H41" s="792" t="str">
        <f t="shared" si="1"/>
        <v/>
      </c>
      <c r="I41" s="776" t="str">
        <f>IF($B41="","",INDEX(NXetHKI!$B$3:$CL$57,MATCH(NXchung!$C41,NXetHKI!$C$3:$C$57,0),NXchung!I$59))</f>
        <v/>
      </c>
      <c r="J41" s="775" t="str">
        <f>IF($B41="","",IF(INDEX(BDHK2,MATCH($C41,DiemHKII!$C$4:$C$58,0),J$59)&lt;&gt;"",INDEX(BDHK2,MATCH($C41,DiemHKII!$C$4:$C$58,0),J$59),""))</f>
        <v/>
      </c>
      <c r="K41" s="792" t="str">
        <f t="shared" si="2"/>
        <v/>
      </c>
      <c r="L41" s="776" t="str">
        <f t="shared" si="3"/>
        <v/>
      </c>
      <c r="M41" s="775" t="str">
        <f>IF($B41="","",IF(INDEX(BDHK2,MATCH($C41,DiemHKII!$C$4:$C$58,0),M$59)&lt;&gt;"",INDEX(BDHK2,MATCH($C41,DiemHKII!$C$4:$C$58,0),M$59),""))</f>
        <v/>
      </c>
      <c r="N41" s="792" t="str">
        <f t="shared" si="4"/>
        <v/>
      </c>
      <c r="O41" s="776" t="str">
        <f t="shared" si="5"/>
        <v/>
      </c>
      <c r="P41" s="774"/>
      <c r="Q41" s="775" t="str">
        <f>IF($B41="","",IF(INDEX(BDHK2,MATCH($C41,DiemHKII!$C$4:$C$58,0),Q$59)&lt;&gt;"",INDEX(BDHK2,MATCH($C41,DiemHKII!$C$4:$C$58,0),Q$59),""))</f>
        <v/>
      </c>
      <c r="R41" s="792" t="str">
        <f t="shared" si="6"/>
        <v/>
      </c>
      <c r="S41" s="776" t="str">
        <f>IF($B41="","",INDEX(NXetHKI!$B$3:$CL$57,MATCH(NXchung!$C41,NXetHKI!$C$3:$C$57,0),NXchung!S$59))</f>
        <v/>
      </c>
      <c r="T41" s="775" t="str">
        <f>IF($B41="","",IF(INDEX(BDHK2,MATCH($C41,DiemHKII!$C$4:$C$58,0),T$59)&lt;&gt;"",INDEX(BDHK2,MATCH($C41,DiemHKII!$C$4:$C$58,0),T$59),""))</f>
        <v/>
      </c>
      <c r="U41" s="792" t="str">
        <f t="shared" si="7"/>
        <v/>
      </c>
      <c r="V41" s="776" t="str">
        <f t="shared" si="8"/>
        <v/>
      </c>
      <c r="W41" s="775" t="str">
        <f>IF($B41="","",IF(INDEX(BDHK2,MATCH($C41,DiemHKII!$C$4:$C$58,0),W$59)&lt;&gt;"",INDEX(BDHK2,MATCH($C41,DiemHKII!$C$4:$C$58,0),W$59),""))</f>
        <v/>
      </c>
      <c r="X41" s="792" t="str">
        <f t="shared" si="9"/>
        <v/>
      </c>
      <c r="Y41" s="776" t="str">
        <f t="shared" si="10"/>
        <v/>
      </c>
      <c r="Z41" s="774"/>
      <c r="AA41" s="775" t="str">
        <f>IF($B41="","",IF(INDEX(BDHK2,MATCH($C41,DiemHKII!$C$4:$C$58,0),AA$59)&lt;&gt;"",INDEX(BDHK2,MATCH($C41,DiemHKII!$C$4:$C$58,0),AA$59),""))</f>
        <v/>
      </c>
      <c r="AB41" s="792" t="str">
        <f t="shared" si="11"/>
        <v/>
      </c>
      <c r="AC41" s="776" t="str">
        <f>IF($B41="","",INDEX(NXetHKI!$B$3:$CL$57,MATCH(NXchung!$C41,NXetHKI!$C$3:$C$57,0),NXchung!AC$59))</f>
        <v/>
      </c>
      <c r="AD41" s="775" t="str">
        <f>IF($B41="","",IF(INDEX(BDHK2,MATCH($C41,DiemHKII!$C$4:$C$58,0),AD$59)&lt;&gt;"",INDEX(BDHK2,MATCH($C41,DiemHKII!$C$4:$C$58,0),AD$59),""))</f>
        <v/>
      </c>
      <c r="AE41" s="792" t="str">
        <f t="shared" si="12"/>
        <v/>
      </c>
      <c r="AF41" s="776" t="str">
        <f t="shared" si="13"/>
        <v/>
      </c>
      <c r="AG41" s="775" t="str">
        <f>IF($B41="","",IF(INDEX(BDHK2,MATCH($C41,DiemHKII!$C$4:$C$58,0),AG$59)&lt;&gt;"",INDEX(BDHK2,MATCH($C41,DiemHKII!$C$4:$C$58,0),AG$59),""))</f>
        <v/>
      </c>
      <c r="AH41" s="792" t="str">
        <f t="shared" si="14"/>
        <v/>
      </c>
      <c r="AI41" s="776" t="str">
        <f t="shared" si="15"/>
        <v/>
      </c>
      <c r="AJ41" s="774"/>
      <c r="AK41" s="775" t="str">
        <f>IF($B41="","",IF(INDEX(BDHK2,MATCH($C41,DiemHKII!$C$4:$C$58,0),AK$59)&lt;&gt;"",INDEX(BDHK2,MATCH($C41,DiemHKII!$C$4:$C$58,0),AK$59),""))</f>
        <v/>
      </c>
      <c r="AL41" s="792" t="str">
        <f t="shared" si="16"/>
        <v/>
      </c>
      <c r="AM41" s="776" t="str">
        <f>IF($B41="","",INDEX(NXetHKI!$B$3:$CL$57,MATCH(NXchung!$C41,NXetHKI!$C$3:$C$57,0),NXchung!AM$59))</f>
        <v/>
      </c>
      <c r="AN41" s="775" t="str">
        <f>IF($B41="","",IF(INDEX(BDHK2,MATCH($C41,DiemHKII!$C$4:$C$58,0),AN$59)&lt;&gt;"",INDEX(BDHK2,MATCH($C41,DiemHKII!$C$4:$C$58,0),AN$59),""))</f>
        <v/>
      </c>
      <c r="AO41" s="792" t="str">
        <f t="shared" si="17"/>
        <v/>
      </c>
      <c r="AP41" s="776" t="str">
        <f t="shared" si="18"/>
        <v/>
      </c>
      <c r="AQ41" s="775" t="str">
        <f>IF($B41="","",IF(INDEX(BDHK2,MATCH($C41,DiemHKII!$C$4:$C$58,0),AQ$59)&lt;&gt;"",INDEX(BDHK2,MATCH($C41,DiemHKII!$C$4:$C$58,0),AQ$59),""))</f>
        <v/>
      </c>
      <c r="AR41" s="792" t="str">
        <f t="shared" si="19"/>
        <v/>
      </c>
      <c r="AS41" s="776" t="str">
        <f t="shared" si="20"/>
        <v/>
      </c>
      <c r="AT41" s="774"/>
      <c r="AU41" s="775" t="str">
        <f>IF($B41="","",IF(INDEX(BDHK2,MATCH($C41,DiemHKII!$C$4:$C$58,0),AU$59)&lt;&gt;"",INDEX(BDHK2,MATCH($C41,DiemHKII!$C$4:$C$58,0),AU$59),""))</f>
        <v/>
      </c>
      <c r="AV41" s="792" t="str">
        <f t="shared" si="21"/>
        <v/>
      </c>
      <c r="AW41" s="776" t="str">
        <f>IF($B41="","",INDEX(NXetHKI!$B$3:$CL$57,MATCH(NXchung!$C41,NXetHKI!$C$3:$C$57,0),NXchung!AW$59))</f>
        <v/>
      </c>
      <c r="AX41" s="775" t="str">
        <f>IF($B41="","",IF(INDEX(BDHK2,MATCH($C41,DiemHKII!$C$4:$C$58,0),AX$59)&lt;&gt;"",INDEX(BDHK2,MATCH($C41,DiemHKII!$C$4:$C$58,0),AX$59),""))</f>
        <v/>
      </c>
      <c r="AY41" s="792" t="str">
        <f t="shared" si="22"/>
        <v/>
      </c>
      <c r="AZ41" s="776" t="str">
        <f t="shared" si="23"/>
        <v/>
      </c>
      <c r="BA41" s="775" t="str">
        <f>IF($B41="","",IF(INDEX(BDHK2,MATCH($C41,DiemHKII!$C$4:$C$58,0),BA$59)&lt;&gt;"",INDEX(BDHK2,MATCH($C41,DiemHKII!$C$4:$C$58,0),BA$59),""))</f>
        <v/>
      </c>
      <c r="BB41" s="792" t="str">
        <f t="shared" si="24"/>
        <v/>
      </c>
      <c r="BC41" s="776" t="str">
        <f t="shared" si="25"/>
        <v/>
      </c>
      <c r="BD41" s="774"/>
      <c r="BE41" s="775" t="str">
        <f>IF($B41="","",IF(INDEX(BDHK2,MATCH($C41,DiemHKII!$C$4:$C$58,0),BE$59)&lt;&gt;"",INDEX(BDHK2,MATCH($C41,DiemHKII!$C$4:$C$58,0),BE$59),""))</f>
        <v/>
      </c>
      <c r="BF41" s="792" t="str">
        <f t="shared" si="26"/>
        <v/>
      </c>
      <c r="BG41" s="776" t="str">
        <f>IF($B41="","",INDEX(NXetHKI!$B$3:$CL$57,MATCH(NXchung!$C41,NXetHKI!$C$3:$C$57,0),NXchung!BG$59))</f>
        <v/>
      </c>
      <c r="BH41" s="775" t="str">
        <f>IF($B41="","",IF(INDEX(BDHK2,MATCH($C41,DiemHKII!$C$4:$C$58,0),BH$59)&lt;&gt;"",INDEX(BDHK2,MATCH($C41,DiemHKII!$C$4:$C$58,0),BH$59),""))</f>
        <v/>
      </c>
      <c r="BI41" s="792" t="str">
        <f t="shared" si="27"/>
        <v/>
      </c>
      <c r="BJ41" s="776" t="str">
        <f t="shared" si="28"/>
        <v/>
      </c>
      <c r="BK41" s="775" t="str">
        <f>IF($B41="","",IF(INDEX(BDHK2,MATCH($C41,DiemHKII!$C$4:$C$58,0),BK$59)&lt;&gt;"",INDEX(BDHK2,MATCH($C41,DiemHKII!$C$4:$C$58,0),BK$59),""))</f>
        <v/>
      </c>
      <c r="BL41" s="792" t="str">
        <f t="shared" si="29"/>
        <v/>
      </c>
      <c r="BM41" s="776" t="str">
        <f t="shared" si="30"/>
        <v/>
      </c>
      <c r="BN41" s="774"/>
      <c r="BO41" s="775" t="str">
        <f>IF($B41="","",IF(INDEX(BDHK2,MATCH($C41,DiemHKII!$C$4:$C$58,0),BO$59)&lt;&gt;"",INDEX(BDHK2,MATCH($C41,DiemHKII!$C$4:$C$58,0),BO$59),""))</f>
        <v/>
      </c>
      <c r="BP41" s="792" t="str">
        <f t="shared" si="31"/>
        <v/>
      </c>
      <c r="BQ41" s="776" t="str">
        <f>IF($B41="","",INDEX(NXetHKI!$B$3:$CL$57,MATCH(NXchung!$C41,NXetHKI!$C$3:$C$57,0),NXchung!BQ$59))</f>
        <v/>
      </c>
      <c r="BR41" s="775" t="str">
        <f>IF($B41="","",IF(INDEX(BDHK2,MATCH($C41,DiemHKII!$C$4:$C$58,0),BR$59)&lt;&gt;"",INDEX(BDHK2,MATCH($C41,DiemHKII!$C$4:$C$58,0),BR$59),""))</f>
        <v/>
      </c>
      <c r="BS41" s="792" t="str">
        <f t="shared" si="32"/>
        <v/>
      </c>
      <c r="BT41" s="776" t="str">
        <f t="shared" si="33"/>
        <v/>
      </c>
      <c r="BU41" s="775" t="str">
        <f>IF($B41="","",IF(INDEX(BDHK2,MATCH($C41,DiemHKII!$C$4:$C$58,0),BU$59)&lt;&gt;"",INDEX(BDHK2,MATCH($C41,DiemHKII!$C$4:$C$58,0),BU$59),""))</f>
        <v/>
      </c>
      <c r="BV41" s="792" t="str">
        <f t="shared" si="34"/>
        <v/>
      </c>
      <c r="BW41" s="776" t="str">
        <f t="shared" si="35"/>
        <v/>
      </c>
      <c r="BX41" s="774"/>
      <c r="BY41" s="775" t="str">
        <f>IF($B41="","",IF(INDEX(BDHK2,MATCH($C41,DiemHKII!$C$4:$C$58,0),BY$59)&lt;&gt;"",INDEX(BDHK2,MATCH($C41,DiemHKII!$C$4:$C$58,0),BY$59),""))</f>
        <v/>
      </c>
      <c r="BZ41" s="792" t="str">
        <f t="shared" si="36"/>
        <v/>
      </c>
      <c r="CA41" s="776" t="str">
        <f>IF($B41="","",INDEX(NXetHKI!$B$3:$CL$57,MATCH(NXchung!$C41,NXetHKI!$C$3:$C$57,0),NXchung!CA$59))</f>
        <v/>
      </c>
      <c r="CB41" s="775" t="str">
        <f>IF($B41="","",IF(INDEX(BDHK2,MATCH($C41,DiemHKII!$C$4:$C$58,0),CB$59)&lt;&gt;"",INDEX(BDHK2,MATCH($C41,DiemHKII!$C$4:$C$58,0),CB$59),""))</f>
        <v/>
      </c>
      <c r="CC41" s="792" t="str">
        <f t="shared" si="37"/>
        <v/>
      </c>
      <c r="CD41" s="776" t="str">
        <f t="shared" si="38"/>
        <v/>
      </c>
      <c r="CE41" s="775" t="str">
        <f>IF($B41="","",IF(INDEX(BDHK2,MATCH($C41,DiemHKII!$C$4:$C$58,0),CE$59)&lt;&gt;"",INDEX(BDHK2,MATCH($C41,DiemHKII!$C$4:$C$58,0),CE$59),""))</f>
        <v/>
      </c>
      <c r="CF41" s="792" t="str">
        <f t="shared" si="39"/>
        <v/>
      </c>
      <c r="CG41" s="776" t="str">
        <f t="shared" si="40"/>
        <v/>
      </c>
      <c r="CH41" s="774"/>
      <c r="CI41" s="775" t="str">
        <f>IF($B41="","",IF(INDEX(BDHK2,MATCH($C41,DiemHKII!$C$4:$C$58,0),CI$59)&lt;&gt;"",INDEX(BDHK2,MATCH($C41,DiemHKII!$C$4:$C$58,0),CI$59),""))</f>
        <v/>
      </c>
      <c r="CJ41" s="792" t="str">
        <f t="shared" si="41"/>
        <v/>
      </c>
      <c r="CK41" s="776" t="str">
        <f>IF($B41="","",INDEX(NXetHKI!$B$3:$CL$57,MATCH(NXchung!$C41,NXetHKI!$C$3:$C$57,0),NXchung!CK$59))</f>
        <v/>
      </c>
      <c r="CL41" s="775" t="str">
        <f>IF($B41="","",IF(INDEX(BDHK2,MATCH($C41,DiemHKII!$C$4:$C$58,0),CL$59)&lt;&gt;"",INDEX(BDHK2,MATCH($C41,DiemHKII!$C$4:$C$58,0),CL$59),""))</f>
        <v/>
      </c>
      <c r="CM41" s="792" t="str">
        <f t="shared" si="42"/>
        <v/>
      </c>
      <c r="CN41" s="776" t="str">
        <f t="shared" si="43"/>
        <v/>
      </c>
      <c r="CO41" s="775" t="str">
        <f>IF($B41="","",IF(INDEX(BDHK2,MATCH($C41,DiemHKII!$C$4:$C$58,0),CO$59)&lt;&gt;"",INDEX(BDHK2,MATCH($C41,DiemHKII!$C$4:$C$58,0),CO$59),""))</f>
        <v/>
      </c>
      <c r="CP41" s="792" t="str">
        <f t="shared" si="44"/>
        <v/>
      </c>
      <c r="CQ41" s="776" t="str">
        <f t="shared" si="45"/>
        <v/>
      </c>
      <c r="CR41" s="774"/>
      <c r="CS41" s="775" t="str">
        <f>IF($B41="","",IF(INDEX(BDHK2,MATCH($C41,DiemHKII!$C$4:$C$58,0),CS$59)&lt;&gt;"",INDEX(BDHK2,MATCH($C41,DiemHKII!$C$4:$C$58,0),CS$59),""))</f>
        <v/>
      </c>
      <c r="CT41" s="792" t="str">
        <f t="shared" si="46"/>
        <v/>
      </c>
      <c r="CU41" s="776" t="str">
        <f>IF($B41="","",INDEX(NXetHKI!$B$3:$CL$57,MATCH(NXchung!$C41,NXetHKI!$C$3:$C$57,0),NXchung!CU$59))</f>
        <v/>
      </c>
      <c r="CV41" s="775" t="str">
        <f>IF($B41="","",IF(INDEX(BDHK2,MATCH($C41,DiemHKII!$C$4:$C$58,0),CV$59)&lt;&gt;"",INDEX(BDHK2,MATCH($C41,DiemHKII!$C$4:$C$58,0),CV$59),""))</f>
        <v/>
      </c>
      <c r="CW41" s="792" t="str">
        <f t="shared" si="47"/>
        <v/>
      </c>
      <c r="CX41" s="776" t="str">
        <f t="shared" si="48"/>
        <v/>
      </c>
      <c r="CY41" s="775" t="str">
        <f>IF($B41="","",IF(INDEX(BDHK2,MATCH($C41,DiemHKII!$C$4:$C$58,0),CY$59)&lt;&gt;"",INDEX(BDHK2,MATCH($C41,DiemHKII!$C$4:$C$58,0),CY$59),""))</f>
        <v/>
      </c>
      <c r="CZ41" s="792" t="str">
        <f t="shared" si="49"/>
        <v/>
      </c>
      <c r="DA41" s="776" t="str">
        <f t="shared" si="50"/>
        <v/>
      </c>
      <c r="DB41" s="774"/>
      <c r="DC41" s="775" t="str">
        <f>IF($B41="","",IF(INDEX(BDHK2,MATCH($C41,DiemHKII!$C$4:$C$58,0),DC$59)&lt;&gt;"",INDEX(BDHK2,MATCH($C41,DiemHKII!$C$4:$C$58,0),DC$59),""))</f>
        <v/>
      </c>
      <c r="DD41" s="792" t="str">
        <f t="shared" si="51"/>
        <v/>
      </c>
      <c r="DE41" s="776" t="str">
        <f>IF($B41="","",INDEX(NXetHKI!$B$3:$CL$57,MATCH(NXchung!$C41,NXetHKI!$C$3:$C$57,0),NXchung!DE$59))</f>
        <v/>
      </c>
      <c r="DF41" s="775" t="str">
        <f>IF($B41="","",IF(INDEX(BDHK2,MATCH($C41,DiemHKII!$C$4:$C$58,0),DF$59)&lt;&gt;"",INDEX(BDHK2,MATCH($C41,DiemHKII!$C$4:$C$58,0),DF$59),""))</f>
        <v/>
      </c>
      <c r="DG41" s="792" t="str">
        <f t="shared" si="52"/>
        <v/>
      </c>
      <c r="DH41" s="776" t="str">
        <f t="shared" si="53"/>
        <v/>
      </c>
      <c r="DI41" s="775" t="str">
        <f>IF($B41="","",IF(INDEX(BDHK2,MATCH($C41,DiemHKII!$C$4:$C$58,0),DI$59)&lt;&gt;"",INDEX(BDHK2,MATCH($C41,DiemHKII!$C$4:$C$58,0),DI$59),""))</f>
        <v/>
      </c>
      <c r="DJ41" s="792" t="str">
        <f t="shared" si="54"/>
        <v/>
      </c>
      <c r="DK41" s="776" t="str">
        <f t="shared" si="55"/>
        <v/>
      </c>
      <c r="DL41" s="774"/>
      <c r="DM41" s="775" t="str">
        <f>IF($B41="","",IF(INDEX(BDHK2,MATCH($C41,DiemHKII!$C$4:$C$58,0),DM$59)&lt;&gt;"",INDEX(BDHK2,MATCH($C41,DiemHKII!$C$4:$C$58,0),DM$59),""))</f>
        <v/>
      </c>
      <c r="DN41" s="792" t="str">
        <f t="shared" si="56"/>
        <v/>
      </c>
      <c r="DO41" s="776" t="str">
        <f>IF($B41="","",INDEX(NXetHKI!$B$3:$CL$57,MATCH(NXchung!$C41,NXetHKI!$C$3:$C$57,0),NXchung!DO$59))</f>
        <v/>
      </c>
      <c r="DP41" s="775" t="str">
        <f>IF($B41="","",IF(INDEX(BDHK2,MATCH($C41,DiemHKII!$C$4:$C$58,0),DP$59)&lt;&gt;"",INDEX(BDHK2,MATCH($C41,DiemHKII!$C$4:$C$58,0),DP$59),""))</f>
        <v/>
      </c>
      <c r="DQ41" s="792" t="str">
        <f t="shared" si="57"/>
        <v/>
      </c>
      <c r="DR41" s="776" t="str">
        <f t="shared" si="58"/>
        <v/>
      </c>
      <c r="DS41" s="775" t="str">
        <f>IF($B41="","",IF(INDEX(BDHK2,MATCH($C41,DiemHKII!$C$4:$C$58,0),DS$59)&lt;&gt;"",INDEX(BDHK2,MATCH($C41,DiemHKII!$C$4:$C$58,0),DS$59),""))</f>
        <v/>
      </c>
      <c r="DT41" s="792" t="str">
        <f t="shared" si="59"/>
        <v/>
      </c>
      <c r="DU41" s="776" t="str">
        <f t="shared" si="60"/>
        <v/>
      </c>
      <c r="DV41" s="774"/>
      <c r="DW41" s="775" t="str">
        <f>IF($B41="","",IF(INDEX(BDHK2,MATCH($C41,DiemHKII!$C$4:$C$58,0),DW$59)&lt;&gt;"",INDEX(BDHK2,MATCH($C41,DiemHKII!$C$4:$C$58,0),DW$59),""))</f>
        <v/>
      </c>
      <c r="DX41" s="792" t="str">
        <f t="shared" si="61"/>
        <v/>
      </c>
      <c r="DY41" s="776" t="str">
        <f>IF($B41="","",INDEX(NXetHKI!$B$3:$CL$57,MATCH(NXchung!$C41,NXetHKI!$C$3:$C$57,0),NXchung!DY$59))</f>
        <v/>
      </c>
      <c r="DZ41" s="775" t="str">
        <f>IF($B41="","",IF(INDEX(BDHK2,MATCH($C41,DiemHKII!$C$4:$C$58,0),DZ$59)&lt;&gt;"",INDEX(BDHK2,MATCH($C41,DiemHKII!$C$4:$C$58,0),DZ$59),""))</f>
        <v/>
      </c>
      <c r="EA41" s="792" t="str">
        <f t="shared" si="62"/>
        <v/>
      </c>
      <c r="EB41" s="776" t="str">
        <f t="shared" si="63"/>
        <v/>
      </c>
      <c r="EC41" s="775" t="str">
        <f>IF($B41="","",IF(INDEX(BDHK2,MATCH($C41,DiemHKII!$C$4:$C$58,0),EC$59)&lt;&gt;"",INDEX(BDHK2,MATCH($C41,DiemHKII!$C$4:$C$58,0),EC$59),""))</f>
        <v/>
      </c>
      <c r="ED41" s="792" t="str">
        <f t="shared" si="64"/>
        <v/>
      </c>
      <c r="EE41" s="776" t="str">
        <f t="shared" si="65"/>
        <v/>
      </c>
      <c r="EF41" s="774"/>
      <c r="EG41" s="775" t="str">
        <f>IF($B41="","",IF(INDEX(BDHK2,MATCH($C41,DiemHKII!$C$4:$C$58,0),EG$59)&lt;&gt;"",INDEX(BDHK2,MATCH($C41,DiemHKII!$C$4:$C$58,0),EG$59),""))</f>
        <v/>
      </c>
      <c r="EH41" s="792" t="str">
        <f t="shared" si="66"/>
        <v/>
      </c>
      <c r="EI41" s="776" t="str">
        <f>IF($B41="","",INDEX(NXetHKI!$B$3:$CL$57,MATCH(NXchung!$C41,NXetHKI!$C$3:$C$57,0),NXchung!EI$59))</f>
        <v/>
      </c>
      <c r="EJ41" s="775" t="str">
        <f>IF($B41="","",IF(INDEX(BDHK2,MATCH($C41,DiemHKII!$C$4:$C$58,0),EJ$59)&lt;&gt;"",INDEX(BDHK2,MATCH($C41,DiemHKII!$C$4:$C$58,0),EJ$59),""))</f>
        <v/>
      </c>
      <c r="EK41" s="792" t="str">
        <f t="shared" si="67"/>
        <v/>
      </c>
      <c r="EL41" s="776" t="str">
        <f t="shared" si="68"/>
        <v/>
      </c>
      <c r="EM41" s="775" t="str">
        <f>IF($B41="","",IF(INDEX(BDHK2,MATCH($C41,DiemHKII!$C$4:$C$58,0),EM$59)&lt;&gt;"",INDEX(BDHK2,MATCH($C41,DiemHKII!$C$4:$C$58,0),EM$59),""))</f>
        <v/>
      </c>
      <c r="EN41" s="792" t="str">
        <f t="shared" si="69"/>
        <v/>
      </c>
      <c r="EO41" s="776" t="str">
        <f t="shared" si="70"/>
        <v/>
      </c>
      <c r="EP41" s="774"/>
      <c r="ER41" s="816">
        <v>3</v>
      </c>
      <c r="ES41" s="816">
        <v>6</v>
      </c>
    </row>
    <row r="42" spans="2:149" ht="15" customHeight="1">
      <c r="B42" s="777" t="str">
        <f>IF(B41&lt;MAX(DiemHKII!$B$4:$B$58),B41+1,"")</f>
        <v/>
      </c>
      <c r="C42" s="777" t="str">
        <f t="shared" si="0"/>
        <v/>
      </c>
      <c r="D42" s="778" t="str">
        <f>IF($B42&lt;&gt;"",PROPER(INDEX(DiemHKII!$B$4:$K$58,MATCH($B42,DiemHKII!$B$4:$B$58,0),4)),"")</f>
        <v/>
      </c>
      <c r="E42" s="779" t="str">
        <f>IF($B42&lt;&gt;"",PROPER(INDEX(DiemHKII!$B$4:$K$58,MATCH($B42,DiemHKII!$B$4:$B$58,0),5)),"")</f>
        <v/>
      </c>
      <c r="F42" s="780" t="str">
        <f>IF($B42&lt;&gt;"",PROPER(INDEX(DiemHKII!$B$4:$K$58,MATCH($B42,DiemHKII!$B$4:$B$58,0),6)),"")</f>
        <v/>
      </c>
      <c r="G42" s="781" t="str">
        <f>IF($B42="","",IF(INDEX(BDHK2,MATCH($C42,DiemHKII!$C$4:$C$58,0),G$59)&lt;&gt;"",INDEX(BDHK2,MATCH($C42,DiemHKII!$C$4:$C$58,0),G$59),""))</f>
        <v/>
      </c>
      <c r="H42" s="793" t="str">
        <f t="shared" si="1"/>
        <v/>
      </c>
      <c r="I42" s="782" t="str">
        <f>IF($B42="","",INDEX(NXetHKI!$B$3:$CL$57,MATCH(NXchung!$C42,NXetHKI!$C$3:$C$57,0),NXchung!I$59))</f>
        <v/>
      </c>
      <c r="J42" s="781" t="str">
        <f>IF($B42="","",IF(INDEX(BDHK2,MATCH($C42,DiemHKII!$C$4:$C$58,0),J$59)&lt;&gt;"",INDEX(BDHK2,MATCH($C42,DiemHKII!$C$4:$C$58,0),J$59),""))</f>
        <v/>
      </c>
      <c r="K42" s="793" t="str">
        <f t="shared" si="2"/>
        <v/>
      </c>
      <c r="L42" s="782" t="str">
        <f t="shared" si="3"/>
        <v/>
      </c>
      <c r="M42" s="781" t="str">
        <f>IF($B42="","",IF(INDEX(BDHK2,MATCH($C42,DiemHKII!$C$4:$C$58,0),M$59)&lt;&gt;"",INDEX(BDHK2,MATCH($C42,DiemHKII!$C$4:$C$58,0),M$59),""))</f>
        <v/>
      </c>
      <c r="N42" s="793" t="str">
        <f t="shared" si="4"/>
        <v/>
      </c>
      <c r="O42" s="782" t="str">
        <f t="shared" si="5"/>
        <v/>
      </c>
      <c r="P42" s="780"/>
      <c r="Q42" s="781" t="str">
        <f>IF($B42="","",IF(INDEX(BDHK2,MATCH($C42,DiemHKII!$C$4:$C$58,0),Q$59)&lt;&gt;"",INDEX(BDHK2,MATCH($C42,DiemHKII!$C$4:$C$58,0),Q$59),""))</f>
        <v/>
      </c>
      <c r="R42" s="793" t="str">
        <f t="shared" si="6"/>
        <v/>
      </c>
      <c r="S42" s="782" t="str">
        <f>IF($B42="","",INDEX(NXetHKI!$B$3:$CL$57,MATCH(NXchung!$C42,NXetHKI!$C$3:$C$57,0),NXchung!S$59))</f>
        <v/>
      </c>
      <c r="T42" s="781" t="str">
        <f>IF($B42="","",IF(INDEX(BDHK2,MATCH($C42,DiemHKII!$C$4:$C$58,0),T$59)&lt;&gt;"",INDEX(BDHK2,MATCH($C42,DiemHKII!$C$4:$C$58,0),T$59),""))</f>
        <v/>
      </c>
      <c r="U42" s="793" t="str">
        <f t="shared" si="7"/>
        <v/>
      </c>
      <c r="V42" s="782" t="str">
        <f t="shared" si="8"/>
        <v/>
      </c>
      <c r="W42" s="781" t="str">
        <f>IF($B42="","",IF(INDEX(BDHK2,MATCH($C42,DiemHKII!$C$4:$C$58,0),W$59)&lt;&gt;"",INDEX(BDHK2,MATCH($C42,DiemHKII!$C$4:$C$58,0),W$59),""))</f>
        <v/>
      </c>
      <c r="X42" s="793" t="str">
        <f t="shared" si="9"/>
        <v/>
      </c>
      <c r="Y42" s="782" t="str">
        <f t="shared" si="10"/>
        <v/>
      </c>
      <c r="Z42" s="780"/>
      <c r="AA42" s="781" t="str">
        <f>IF($B42="","",IF(INDEX(BDHK2,MATCH($C42,DiemHKII!$C$4:$C$58,0),AA$59)&lt;&gt;"",INDEX(BDHK2,MATCH($C42,DiemHKII!$C$4:$C$58,0),AA$59),""))</f>
        <v/>
      </c>
      <c r="AB42" s="793" t="str">
        <f t="shared" si="11"/>
        <v/>
      </c>
      <c r="AC42" s="782" t="str">
        <f>IF($B42="","",INDEX(NXetHKI!$B$3:$CL$57,MATCH(NXchung!$C42,NXetHKI!$C$3:$C$57,0),NXchung!AC$59))</f>
        <v/>
      </c>
      <c r="AD42" s="781" t="str">
        <f>IF($B42="","",IF(INDEX(BDHK2,MATCH($C42,DiemHKII!$C$4:$C$58,0),AD$59)&lt;&gt;"",INDEX(BDHK2,MATCH($C42,DiemHKII!$C$4:$C$58,0),AD$59),""))</f>
        <v/>
      </c>
      <c r="AE42" s="793" t="str">
        <f t="shared" si="12"/>
        <v/>
      </c>
      <c r="AF42" s="782" t="str">
        <f t="shared" si="13"/>
        <v/>
      </c>
      <c r="AG42" s="781" t="str">
        <f>IF($B42="","",IF(INDEX(BDHK2,MATCH($C42,DiemHKII!$C$4:$C$58,0),AG$59)&lt;&gt;"",INDEX(BDHK2,MATCH($C42,DiemHKII!$C$4:$C$58,0),AG$59),""))</f>
        <v/>
      </c>
      <c r="AH42" s="793" t="str">
        <f t="shared" si="14"/>
        <v/>
      </c>
      <c r="AI42" s="782" t="str">
        <f t="shared" si="15"/>
        <v/>
      </c>
      <c r="AJ42" s="780"/>
      <c r="AK42" s="781" t="str">
        <f>IF($B42="","",IF(INDEX(BDHK2,MATCH($C42,DiemHKII!$C$4:$C$58,0),AK$59)&lt;&gt;"",INDEX(BDHK2,MATCH($C42,DiemHKII!$C$4:$C$58,0),AK$59),""))</f>
        <v/>
      </c>
      <c r="AL42" s="793" t="str">
        <f t="shared" si="16"/>
        <v/>
      </c>
      <c r="AM42" s="782" t="str">
        <f>IF($B42="","",INDEX(NXetHKI!$B$3:$CL$57,MATCH(NXchung!$C42,NXetHKI!$C$3:$C$57,0),NXchung!AM$59))</f>
        <v/>
      </c>
      <c r="AN42" s="781" t="str">
        <f>IF($B42="","",IF(INDEX(BDHK2,MATCH($C42,DiemHKII!$C$4:$C$58,0),AN$59)&lt;&gt;"",INDEX(BDHK2,MATCH($C42,DiemHKII!$C$4:$C$58,0),AN$59),""))</f>
        <v/>
      </c>
      <c r="AO42" s="793" t="str">
        <f t="shared" si="17"/>
        <v/>
      </c>
      <c r="AP42" s="782" t="str">
        <f t="shared" si="18"/>
        <v/>
      </c>
      <c r="AQ42" s="781" t="str">
        <f>IF($B42="","",IF(INDEX(BDHK2,MATCH($C42,DiemHKII!$C$4:$C$58,0),AQ$59)&lt;&gt;"",INDEX(BDHK2,MATCH($C42,DiemHKII!$C$4:$C$58,0),AQ$59),""))</f>
        <v/>
      </c>
      <c r="AR42" s="793" t="str">
        <f t="shared" si="19"/>
        <v/>
      </c>
      <c r="AS42" s="782" t="str">
        <f t="shared" si="20"/>
        <v/>
      </c>
      <c r="AT42" s="780"/>
      <c r="AU42" s="781" t="str">
        <f>IF($B42="","",IF(INDEX(BDHK2,MATCH($C42,DiemHKII!$C$4:$C$58,0),AU$59)&lt;&gt;"",INDEX(BDHK2,MATCH($C42,DiemHKII!$C$4:$C$58,0),AU$59),""))</f>
        <v/>
      </c>
      <c r="AV42" s="793" t="str">
        <f t="shared" si="21"/>
        <v/>
      </c>
      <c r="AW42" s="782" t="str">
        <f>IF($B42="","",INDEX(NXetHKI!$B$3:$CL$57,MATCH(NXchung!$C42,NXetHKI!$C$3:$C$57,0),NXchung!AW$59))</f>
        <v/>
      </c>
      <c r="AX42" s="781" t="str">
        <f>IF($B42="","",IF(INDEX(BDHK2,MATCH($C42,DiemHKII!$C$4:$C$58,0),AX$59)&lt;&gt;"",INDEX(BDHK2,MATCH($C42,DiemHKII!$C$4:$C$58,0),AX$59),""))</f>
        <v/>
      </c>
      <c r="AY42" s="793" t="str">
        <f t="shared" si="22"/>
        <v/>
      </c>
      <c r="AZ42" s="782" t="str">
        <f t="shared" si="23"/>
        <v/>
      </c>
      <c r="BA42" s="781" t="str">
        <f>IF($B42="","",IF(INDEX(BDHK2,MATCH($C42,DiemHKII!$C$4:$C$58,0),BA$59)&lt;&gt;"",INDEX(BDHK2,MATCH($C42,DiemHKII!$C$4:$C$58,0),BA$59),""))</f>
        <v/>
      </c>
      <c r="BB42" s="793" t="str">
        <f t="shared" si="24"/>
        <v/>
      </c>
      <c r="BC42" s="782" t="str">
        <f t="shared" si="25"/>
        <v/>
      </c>
      <c r="BD42" s="780"/>
      <c r="BE42" s="781" t="str">
        <f>IF($B42="","",IF(INDEX(BDHK2,MATCH($C42,DiemHKII!$C$4:$C$58,0),BE$59)&lt;&gt;"",INDEX(BDHK2,MATCH($C42,DiemHKII!$C$4:$C$58,0),BE$59),""))</f>
        <v/>
      </c>
      <c r="BF42" s="793" t="str">
        <f t="shared" si="26"/>
        <v/>
      </c>
      <c r="BG42" s="782" t="str">
        <f>IF($B42="","",INDEX(NXetHKI!$B$3:$CL$57,MATCH(NXchung!$C42,NXetHKI!$C$3:$C$57,0),NXchung!BG$59))</f>
        <v/>
      </c>
      <c r="BH42" s="781" t="str">
        <f>IF($B42="","",IF(INDEX(BDHK2,MATCH($C42,DiemHKII!$C$4:$C$58,0),BH$59)&lt;&gt;"",INDEX(BDHK2,MATCH($C42,DiemHKII!$C$4:$C$58,0),BH$59),""))</f>
        <v/>
      </c>
      <c r="BI42" s="793" t="str">
        <f t="shared" si="27"/>
        <v/>
      </c>
      <c r="BJ42" s="782" t="str">
        <f t="shared" si="28"/>
        <v/>
      </c>
      <c r="BK42" s="781" t="str">
        <f>IF($B42="","",IF(INDEX(BDHK2,MATCH($C42,DiemHKII!$C$4:$C$58,0),BK$59)&lt;&gt;"",INDEX(BDHK2,MATCH($C42,DiemHKII!$C$4:$C$58,0),BK$59),""))</f>
        <v/>
      </c>
      <c r="BL42" s="793" t="str">
        <f t="shared" si="29"/>
        <v/>
      </c>
      <c r="BM42" s="782" t="str">
        <f t="shared" si="30"/>
        <v/>
      </c>
      <c r="BN42" s="780"/>
      <c r="BO42" s="781" t="str">
        <f>IF($B42="","",IF(INDEX(BDHK2,MATCH($C42,DiemHKII!$C$4:$C$58,0),BO$59)&lt;&gt;"",INDEX(BDHK2,MATCH($C42,DiemHKII!$C$4:$C$58,0),BO$59),""))</f>
        <v/>
      </c>
      <c r="BP42" s="793" t="str">
        <f t="shared" si="31"/>
        <v/>
      </c>
      <c r="BQ42" s="782" t="str">
        <f>IF($B42="","",INDEX(NXetHKI!$B$3:$CL$57,MATCH(NXchung!$C42,NXetHKI!$C$3:$C$57,0),NXchung!BQ$59))</f>
        <v/>
      </c>
      <c r="BR42" s="781" t="str">
        <f>IF($B42="","",IF(INDEX(BDHK2,MATCH($C42,DiemHKII!$C$4:$C$58,0),BR$59)&lt;&gt;"",INDEX(BDHK2,MATCH($C42,DiemHKII!$C$4:$C$58,0),BR$59),""))</f>
        <v/>
      </c>
      <c r="BS42" s="793" t="str">
        <f t="shared" si="32"/>
        <v/>
      </c>
      <c r="BT42" s="782" t="str">
        <f t="shared" si="33"/>
        <v/>
      </c>
      <c r="BU42" s="781" t="str">
        <f>IF($B42="","",IF(INDEX(BDHK2,MATCH($C42,DiemHKII!$C$4:$C$58,0),BU$59)&lt;&gt;"",INDEX(BDHK2,MATCH($C42,DiemHKII!$C$4:$C$58,0),BU$59),""))</f>
        <v/>
      </c>
      <c r="BV42" s="793" t="str">
        <f t="shared" si="34"/>
        <v/>
      </c>
      <c r="BW42" s="782" t="str">
        <f t="shared" si="35"/>
        <v/>
      </c>
      <c r="BX42" s="780"/>
      <c r="BY42" s="781" t="str">
        <f>IF($B42="","",IF(INDEX(BDHK2,MATCH($C42,DiemHKII!$C$4:$C$58,0),BY$59)&lt;&gt;"",INDEX(BDHK2,MATCH($C42,DiemHKII!$C$4:$C$58,0),BY$59),""))</f>
        <v/>
      </c>
      <c r="BZ42" s="793" t="str">
        <f t="shared" si="36"/>
        <v/>
      </c>
      <c r="CA42" s="782" t="str">
        <f>IF($B42="","",INDEX(NXetHKI!$B$3:$CL$57,MATCH(NXchung!$C42,NXetHKI!$C$3:$C$57,0),NXchung!CA$59))</f>
        <v/>
      </c>
      <c r="CB42" s="781" t="str">
        <f>IF($B42="","",IF(INDEX(BDHK2,MATCH($C42,DiemHKII!$C$4:$C$58,0),CB$59)&lt;&gt;"",INDEX(BDHK2,MATCH($C42,DiemHKII!$C$4:$C$58,0),CB$59),""))</f>
        <v/>
      </c>
      <c r="CC42" s="793" t="str">
        <f t="shared" si="37"/>
        <v/>
      </c>
      <c r="CD42" s="782" t="str">
        <f t="shared" si="38"/>
        <v/>
      </c>
      <c r="CE42" s="781" t="str">
        <f>IF($B42="","",IF(INDEX(BDHK2,MATCH($C42,DiemHKII!$C$4:$C$58,0),CE$59)&lt;&gt;"",INDEX(BDHK2,MATCH($C42,DiemHKII!$C$4:$C$58,0),CE$59),""))</f>
        <v/>
      </c>
      <c r="CF42" s="793" t="str">
        <f t="shared" si="39"/>
        <v/>
      </c>
      <c r="CG42" s="782" t="str">
        <f t="shared" si="40"/>
        <v/>
      </c>
      <c r="CH42" s="780"/>
      <c r="CI42" s="781" t="str">
        <f>IF($B42="","",IF(INDEX(BDHK2,MATCH($C42,DiemHKII!$C$4:$C$58,0),CI$59)&lt;&gt;"",INDEX(BDHK2,MATCH($C42,DiemHKII!$C$4:$C$58,0),CI$59),""))</f>
        <v/>
      </c>
      <c r="CJ42" s="793" t="str">
        <f t="shared" si="41"/>
        <v/>
      </c>
      <c r="CK42" s="782" t="str">
        <f>IF($B42="","",INDEX(NXetHKI!$B$3:$CL$57,MATCH(NXchung!$C42,NXetHKI!$C$3:$C$57,0),NXchung!CK$59))</f>
        <v/>
      </c>
      <c r="CL42" s="781" t="str">
        <f>IF($B42="","",IF(INDEX(BDHK2,MATCH($C42,DiemHKII!$C$4:$C$58,0),CL$59)&lt;&gt;"",INDEX(BDHK2,MATCH($C42,DiemHKII!$C$4:$C$58,0),CL$59),""))</f>
        <v/>
      </c>
      <c r="CM42" s="793" t="str">
        <f t="shared" si="42"/>
        <v/>
      </c>
      <c r="CN42" s="782" t="str">
        <f t="shared" si="43"/>
        <v/>
      </c>
      <c r="CO42" s="781" t="str">
        <f>IF($B42="","",IF(INDEX(BDHK2,MATCH($C42,DiemHKII!$C$4:$C$58,0),CO$59)&lt;&gt;"",INDEX(BDHK2,MATCH($C42,DiemHKII!$C$4:$C$58,0),CO$59),""))</f>
        <v/>
      </c>
      <c r="CP42" s="793" t="str">
        <f t="shared" si="44"/>
        <v/>
      </c>
      <c r="CQ42" s="782" t="str">
        <f t="shared" si="45"/>
        <v/>
      </c>
      <c r="CR42" s="780"/>
      <c r="CS42" s="781" t="str">
        <f>IF($B42="","",IF(INDEX(BDHK2,MATCH($C42,DiemHKII!$C$4:$C$58,0),CS$59)&lt;&gt;"",INDEX(BDHK2,MATCH($C42,DiemHKII!$C$4:$C$58,0),CS$59),""))</f>
        <v/>
      </c>
      <c r="CT42" s="793" t="str">
        <f t="shared" si="46"/>
        <v/>
      </c>
      <c r="CU42" s="782" t="str">
        <f>IF($B42="","",INDEX(NXetHKI!$B$3:$CL$57,MATCH(NXchung!$C42,NXetHKI!$C$3:$C$57,0),NXchung!CU$59))</f>
        <v/>
      </c>
      <c r="CV42" s="781" t="str">
        <f>IF($B42="","",IF(INDEX(BDHK2,MATCH($C42,DiemHKII!$C$4:$C$58,0),CV$59)&lt;&gt;"",INDEX(BDHK2,MATCH($C42,DiemHKII!$C$4:$C$58,0),CV$59),""))</f>
        <v/>
      </c>
      <c r="CW42" s="793" t="str">
        <f t="shared" si="47"/>
        <v/>
      </c>
      <c r="CX42" s="782" t="str">
        <f t="shared" si="48"/>
        <v/>
      </c>
      <c r="CY42" s="781" t="str">
        <f>IF($B42="","",IF(INDEX(BDHK2,MATCH($C42,DiemHKII!$C$4:$C$58,0),CY$59)&lt;&gt;"",INDEX(BDHK2,MATCH($C42,DiemHKII!$C$4:$C$58,0),CY$59),""))</f>
        <v/>
      </c>
      <c r="CZ42" s="793" t="str">
        <f t="shared" si="49"/>
        <v/>
      </c>
      <c r="DA42" s="782" t="str">
        <f t="shared" si="50"/>
        <v/>
      </c>
      <c r="DB42" s="780"/>
      <c r="DC42" s="781" t="str">
        <f>IF($B42="","",IF(INDEX(BDHK2,MATCH($C42,DiemHKII!$C$4:$C$58,0),DC$59)&lt;&gt;"",INDEX(BDHK2,MATCH($C42,DiemHKII!$C$4:$C$58,0),DC$59),""))</f>
        <v/>
      </c>
      <c r="DD42" s="793" t="str">
        <f t="shared" si="51"/>
        <v/>
      </c>
      <c r="DE42" s="782" t="str">
        <f>IF($B42="","",INDEX(NXetHKI!$B$3:$CL$57,MATCH(NXchung!$C42,NXetHKI!$C$3:$C$57,0),NXchung!DE$59))</f>
        <v/>
      </c>
      <c r="DF42" s="781" t="str">
        <f>IF($B42="","",IF(INDEX(BDHK2,MATCH($C42,DiemHKII!$C$4:$C$58,0),DF$59)&lt;&gt;"",INDEX(BDHK2,MATCH($C42,DiemHKII!$C$4:$C$58,0),DF$59),""))</f>
        <v/>
      </c>
      <c r="DG42" s="793" t="str">
        <f t="shared" si="52"/>
        <v/>
      </c>
      <c r="DH42" s="782" t="str">
        <f t="shared" si="53"/>
        <v/>
      </c>
      <c r="DI42" s="781" t="str">
        <f>IF($B42="","",IF(INDEX(BDHK2,MATCH($C42,DiemHKII!$C$4:$C$58,0),DI$59)&lt;&gt;"",INDEX(BDHK2,MATCH($C42,DiemHKII!$C$4:$C$58,0),DI$59),""))</f>
        <v/>
      </c>
      <c r="DJ42" s="793" t="str">
        <f t="shared" si="54"/>
        <v/>
      </c>
      <c r="DK42" s="782" t="str">
        <f t="shared" si="55"/>
        <v/>
      </c>
      <c r="DL42" s="780"/>
      <c r="DM42" s="781" t="str">
        <f>IF($B42="","",IF(INDEX(BDHK2,MATCH($C42,DiemHKII!$C$4:$C$58,0),DM$59)&lt;&gt;"",INDEX(BDHK2,MATCH($C42,DiemHKII!$C$4:$C$58,0),DM$59),""))</f>
        <v/>
      </c>
      <c r="DN42" s="793" t="str">
        <f t="shared" si="56"/>
        <v/>
      </c>
      <c r="DO42" s="782" t="str">
        <f>IF($B42="","",INDEX(NXetHKI!$B$3:$CL$57,MATCH(NXchung!$C42,NXetHKI!$C$3:$C$57,0),NXchung!DO$59))</f>
        <v/>
      </c>
      <c r="DP42" s="781" t="str">
        <f>IF($B42="","",IF(INDEX(BDHK2,MATCH($C42,DiemHKII!$C$4:$C$58,0),DP$59)&lt;&gt;"",INDEX(BDHK2,MATCH($C42,DiemHKII!$C$4:$C$58,0),DP$59),""))</f>
        <v/>
      </c>
      <c r="DQ42" s="793" t="str">
        <f t="shared" si="57"/>
        <v/>
      </c>
      <c r="DR42" s="782" t="str">
        <f t="shared" si="58"/>
        <v/>
      </c>
      <c r="DS42" s="781" t="str">
        <f>IF($B42="","",IF(INDEX(BDHK2,MATCH($C42,DiemHKII!$C$4:$C$58,0),DS$59)&lt;&gt;"",INDEX(BDHK2,MATCH($C42,DiemHKII!$C$4:$C$58,0),DS$59),""))</f>
        <v/>
      </c>
      <c r="DT42" s="793" t="str">
        <f t="shared" si="59"/>
        <v/>
      </c>
      <c r="DU42" s="782" t="str">
        <f t="shared" si="60"/>
        <v/>
      </c>
      <c r="DV42" s="780"/>
      <c r="DW42" s="781" t="str">
        <f>IF($B42="","",IF(INDEX(BDHK2,MATCH($C42,DiemHKII!$C$4:$C$58,0),DW$59)&lt;&gt;"",INDEX(BDHK2,MATCH($C42,DiemHKII!$C$4:$C$58,0),DW$59),""))</f>
        <v/>
      </c>
      <c r="DX42" s="793" t="str">
        <f t="shared" si="61"/>
        <v/>
      </c>
      <c r="DY42" s="782" t="str">
        <f>IF($B42="","",INDEX(NXetHKI!$B$3:$CL$57,MATCH(NXchung!$C42,NXetHKI!$C$3:$C$57,0),NXchung!DY$59))</f>
        <v/>
      </c>
      <c r="DZ42" s="781" t="str">
        <f>IF($B42="","",IF(INDEX(BDHK2,MATCH($C42,DiemHKII!$C$4:$C$58,0),DZ$59)&lt;&gt;"",INDEX(BDHK2,MATCH($C42,DiemHKII!$C$4:$C$58,0),DZ$59),""))</f>
        <v/>
      </c>
      <c r="EA42" s="793" t="str">
        <f t="shared" si="62"/>
        <v/>
      </c>
      <c r="EB42" s="782" t="str">
        <f t="shared" si="63"/>
        <v/>
      </c>
      <c r="EC42" s="781" t="str">
        <f>IF($B42="","",IF(INDEX(BDHK2,MATCH($C42,DiemHKII!$C$4:$C$58,0),EC$59)&lt;&gt;"",INDEX(BDHK2,MATCH($C42,DiemHKII!$C$4:$C$58,0),EC$59),""))</f>
        <v/>
      </c>
      <c r="ED42" s="793" t="str">
        <f t="shared" si="64"/>
        <v/>
      </c>
      <c r="EE42" s="782" t="str">
        <f t="shared" si="65"/>
        <v/>
      </c>
      <c r="EF42" s="780"/>
      <c r="EG42" s="781" t="str">
        <f>IF($B42="","",IF(INDEX(BDHK2,MATCH($C42,DiemHKII!$C$4:$C$58,0),EG$59)&lt;&gt;"",INDEX(BDHK2,MATCH($C42,DiemHKII!$C$4:$C$58,0),EG$59),""))</f>
        <v/>
      </c>
      <c r="EH42" s="793" t="str">
        <f t="shared" si="66"/>
        <v/>
      </c>
      <c r="EI42" s="782" t="str">
        <f>IF($B42="","",INDEX(NXetHKI!$B$3:$CL$57,MATCH(NXchung!$C42,NXetHKI!$C$3:$C$57,0),NXchung!EI$59))</f>
        <v/>
      </c>
      <c r="EJ42" s="781" t="str">
        <f>IF($B42="","",IF(INDEX(BDHK2,MATCH($C42,DiemHKII!$C$4:$C$58,0),EJ$59)&lt;&gt;"",INDEX(BDHK2,MATCH($C42,DiemHKII!$C$4:$C$58,0),EJ$59),""))</f>
        <v/>
      </c>
      <c r="EK42" s="793" t="str">
        <f t="shared" si="67"/>
        <v/>
      </c>
      <c r="EL42" s="782" t="str">
        <f t="shared" si="68"/>
        <v/>
      </c>
      <c r="EM42" s="781" t="str">
        <f>IF($B42="","",IF(INDEX(BDHK2,MATCH($C42,DiemHKII!$C$4:$C$58,0),EM$59)&lt;&gt;"",INDEX(BDHK2,MATCH($C42,DiemHKII!$C$4:$C$58,0),EM$59),""))</f>
        <v/>
      </c>
      <c r="EN42" s="793" t="str">
        <f t="shared" si="69"/>
        <v/>
      </c>
      <c r="EO42" s="782" t="str">
        <f t="shared" si="70"/>
        <v/>
      </c>
      <c r="EP42" s="780"/>
      <c r="ER42" s="816">
        <v>6</v>
      </c>
      <c r="ES42" s="816">
        <v>9</v>
      </c>
    </row>
    <row r="43" spans="2:149" ht="15" customHeight="1">
      <c r="B43" s="765" t="str">
        <f>IF(B42&lt;MAX(DiemHKII!$B$4:$B$58),B42+1,"")</f>
        <v/>
      </c>
      <c r="C43" s="765" t="str">
        <f t="shared" si="0"/>
        <v/>
      </c>
      <c r="D43" s="766" t="str">
        <f>IF($B43&lt;&gt;"",PROPER(INDEX(DiemHKII!$B$4:$K$58,MATCH($B43,DiemHKII!$B$4:$B$58,0),4)),"")</f>
        <v/>
      </c>
      <c r="E43" s="767" t="str">
        <f>IF($B43&lt;&gt;"",PROPER(INDEX(DiemHKII!$B$4:$K$58,MATCH($B43,DiemHKII!$B$4:$B$58,0),5)),"")</f>
        <v/>
      </c>
      <c r="F43" s="768" t="str">
        <f>IF($B43&lt;&gt;"",PROPER(INDEX(DiemHKII!$B$4:$K$58,MATCH($B43,DiemHKII!$B$4:$B$58,0),6)),"")</f>
        <v/>
      </c>
      <c r="G43" s="769" t="str">
        <f>IF($B43="","",IF(INDEX(BDHK2,MATCH($C43,DiemHKII!$C$4:$C$58,0),G$59)&lt;&gt;"",INDEX(BDHK2,MATCH($C43,DiemHKII!$C$4:$C$58,0),G$59),""))</f>
        <v/>
      </c>
      <c r="H43" s="791" t="str">
        <f t="shared" si="1"/>
        <v/>
      </c>
      <c r="I43" s="770" t="str">
        <f>IF($B43="","",INDEX(NXetHKI!$B$3:$CL$57,MATCH(NXchung!$C43,NXetHKI!$C$3:$C$57,0),NXchung!I$59))</f>
        <v/>
      </c>
      <c r="J43" s="769" t="str">
        <f>IF($B43="","",IF(INDEX(BDHK2,MATCH($C43,DiemHKII!$C$4:$C$58,0),J$59)&lt;&gt;"",INDEX(BDHK2,MATCH($C43,DiemHKII!$C$4:$C$58,0),J$59),""))</f>
        <v/>
      </c>
      <c r="K43" s="791" t="str">
        <f t="shared" si="2"/>
        <v/>
      </c>
      <c r="L43" s="770" t="str">
        <f t="shared" si="3"/>
        <v/>
      </c>
      <c r="M43" s="769" t="str">
        <f>IF($B43="","",IF(INDEX(BDHK2,MATCH($C43,DiemHKII!$C$4:$C$58,0),M$59)&lt;&gt;"",INDEX(BDHK2,MATCH($C43,DiemHKII!$C$4:$C$58,0),M$59),""))</f>
        <v/>
      </c>
      <c r="N43" s="791" t="str">
        <f t="shared" si="4"/>
        <v/>
      </c>
      <c r="O43" s="770" t="str">
        <f t="shared" si="5"/>
        <v/>
      </c>
      <c r="P43" s="768"/>
      <c r="Q43" s="769" t="str">
        <f>IF($B43="","",IF(INDEX(BDHK2,MATCH($C43,DiemHKII!$C$4:$C$58,0),Q$59)&lt;&gt;"",INDEX(BDHK2,MATCH($C43,DiemHKII!$C$4:$C$58,0),Q$59),""))</f>
        <v/>
      </c>
      <c r="R43" s="791" t="str">
        <f t="shared" si="6"/>
        <v/>
      </c>
      <c r="S43" s="770" t="str">
        <f>IF($B43="","",INDEX(NXetHKI!$B$3:$CL$57,MATCH(NXchung!$C43,NXetHKI!$C$3:$C$57,0),NXchung!S$59))</f>
        <v/>
      </c>
      <c r="T43" s="769" t="str">
        <f>IF($B43="","",IF(INDEX(BDHK2,MATCH($C43,DiemHKII!$C$4:$C$58,0),T$59)&lt;&gt;"",INDEX(BDHK2,MATCH($C43,DiemHKII!$C$4:$C$58,0),T$59),""))</f>
        <v/>
      </c>
      <c r="U43" s="791" t="str">
        <f t="shared" si="7"/>
        <v/>
      </c>
      <c r="V43" s="770" t="str">
        <f t="shared" si="8"/>
        <v/>
      </c>
      <c r="W43" s="769" t="str">
        <f>IF($B43="","",IF(INDEX(BDHK2,MATCH($C43,DiemHKII!$C$4:$C$58,0),W$59)&lt;&gt;"",INDEX(BDHK2,MATCH($C43,DiemHKII!$C$4:$C$58,0),W$59),""))</f>
        <v/>
      </c>
      <c r="X43" s="791" t="str">
        <f t="shared" si="9"/>
        <v/>
      </c>
      <c r="Y43" s="770" t="str">
        <f t="shared" si="10"/>
        <v/>
      </c>
      <c r="Z43" s="768"/>
      <c r="AA43" s="769" t="str">
        <f>IF($B43="","",IF(INDEX(BDHK2,MATCH($C43,DiemHKII!$C$4:$C$58,0),AA$59)&lt;&gt;"",INDEX(BDHK2,MATCH($C43,DiemHKII!$C$4:$C$58,0),AA$59),""))</f>
        <v/>
      </c>
      <c r="AB43" s="791" t="str">
        <f t="shared" si="11"/>
        <v/>
      </c>
      <c r="AC43" s="770" t="str">
        <f>IF($B43="","",INDEX(NXetHKI!$B$3:$CL$57,MATCH(NXchung!$C43,NXetHKI!$C$3:$C$57,0),NXchung!AC$59))</f>
        <v/>
      </c>
      <c r="AD43" s="769" t="str">
        <f>IF($B43="","",IF(INDEX(BDHK2,MATCH($C43,DiemHKII!$C$4:$C$58,0),AD$59)&lt;&gt;"",INDEX(BDHK2,MATCH($C43,DiemHKII!$C$4:$C$58,0),AD$59),""))</f>
        <v/>
      </c>
      <c r="AE43" s="791" t="str">
        <f t="shared" si="12"/>
        <v/>
      </c>
      <c r="AF43" s="770" t="str">
        <f t="shared" si="13"/>
        <v/>
      </c>
      <c r="AG43" s="769" t="str">
        <f>IF($B43="","",IF(INDEX(BDHK2,MATCH($C43,DiemHKII!$C$4:$C$58,0),AG$59)&lt;&gt;"",INDEX(BDHK2,MATCH($C43,DiemHKII!$C$4:$C$58,0),AG$59),""))</f>
        <v/>
      </c>
      <c r="AH43" s="791" t="str">
        <f t="shared" si="14"/>
        <v/>
      </c>
      <c r="AI43" s="770" t="str">
        <f t="shared" si="15"/>
        <v/>
      </c>
      <c r="AJ43" s="768"/>
      <c r="AK43" s="769" t="str">
        <f>IF($B43="","",IF(INDEX(BDHK2,MATCH($C43,DiemHKII!$C$4:$C$58,0),AK$59)&lt;&gt;"",INDEX(BDHK2,MATCH($C43,DiemHKII!$C$4:$C$58,0),AK$59),""))</f>
        <v/>
      </c>
      <c r="AL43" s="791" t="str">
        <f t="shared" si="16"/>
        <v/>
      </c>
      <c r="AM43" s="770" t="str">
        <f>IF($B43="","",INDEX(NXetHKI!$B$3:$CL$57,MATCH(NXchung!$C43,NXetHKI!$C$3:$C$57,0),NXchung!AM$59))</f>
        <v/>
      </c>
      <c r="AN43" s="769" t="str">
        <f>IF($B43="","",IF(INDEX(BDHK2,MATCH($C43,DiemHKII!$C$4:$C$58,0),AN$59)&lt;&gt;"",INDEX(BDHK2,MATCH($C43,DiemHKII!$C$4:$C$58,0),AN$59),""))</f>
        <v/>
      </c>
      <c r="AO43" s="791" t="str">
        <f t="shared" si="17"/>
        <v/>
      </c>
      <c r="AP43" s="770" t="str">
        <f t="shared" si="18"/>
        <v/>
      </c>
      <c r="AQ43" s="769" t="str">
        <f>IF($B43="","",IF(INDEX(BDHK2,MATCH($C43,DiemHKII!$C$4:$C$58,0),AQ$59)&lt;&gt;"",INDEX(BDHK2,MATCH($C43,DiemHKII!$C$4:$C$58,0),AQ$59),""))</f>
        <v/>
      </c>
      <c r="AR43" s="791" t="str">
        <f t="shared" si="19"/>
        <v/>
      </c>
      <c r="AS43" s="770" t="str">
        <f t="shared" si="20"/>
        <v/>
      </c>
      <c r="AT43" s="768"/>
      <c r="AU43" s="769" t="str">
        <f>IF($B43="","",IF(INDEX(BDHK2,MATCH($C43,DiemHKII!$C$4:$C$58,0),AU$59)&lt;&gt;"",INDEX(BDHK2,MATCH($C43,DiemHKII!$C$4:$C$58,0),AU$59),""))</f>
        <v/>
      </c>
      <c r="AV43" s="791" t="str">
        <f t="shared" si="21"/>
        <v/>
      </c>
      <c r="AW43" s="770" t="str">
        <f>IF($B43="","",INDEX(NXetHKI!$B$3:$CL$57,MATCH(NXchung!$C43,NXetHKI!$C$3:$C$57,0),NXchung!AW$59))</f>
        <v/>
      </c>
      <c r="AX43" s="769" t="str">
        <f>IF($B43="","",IF(INDEX(BDHK2,MATCH($C43,DiemHKII!$C$4:$C$58,0),AX$59)&lt;&gt;"",INDEX(BDHK2,MATCH($C43,DiemHKII!$C$4:$C$58,0),AX$59),""))</f>
        <v/>
      </c>
      <c r="AY43" s="791" t="str">
        <f t="shared" si="22"/>
        <v/>
      </c>
      <c r="AZ43" s="770" t="str">
        <f t="shared" si="23"/>
        <v/>
      </c>
      <c r="BA43" s="769" t="str">
        <f>IF($B43="","",IF(INDEX(BDHK2,MATCH($C43,DiemHKII!$C$4:$C$58,0),BA$59)&lt;&gt;"",INDEX(BDHK2,MATCH($C43,DiemHKII!$C$4:$C$58,0),BA$59),""))</f>
        <v/>
      </c>
      <c r="BB43" s="791" t="str">
        <f t="shared" si="24"/>
        <v/>
      </c>
      <c r="BC43" s="770" t="str">
        <f t="shared" si="25"/>
        <v/>
      </c>
      <c r="BD43" s="768"/>
      <c r="BE43" s="769" t="str">
        <f>IF($B43="","",IF(INDEX(BDHK2,MATCH($C43,DiemHKII!$C$4:$C$58,0),BE$59)&lt;&gt;"",INDEX(BDHK2,MATCH($C43,DiemHKII!$C$4:$C$58,0),BE$59),""))</f>
        <v/>
      </c>
      <c r="BF43" s="791" t="str">
        <f t="shared" si="26"/>
        <v/>
      </c>
      <c r="BG43" s="770" t="str">
        <f>IF($B43="","",INDEX(NXetHKI!$B$3:$CL$57,MATCH(NXchung!$C43,NXetHKI!$C$3:$C$57,0),NXchung!BG$59))</f>
        <v/>
      </c>
      <c r="BH43" s="769" t="str">
        <f>IF($B43="","",IF(INDEX(BDHK2,MATCH($C43,DiemHKII!$C$4:$C$58,0),BH$59)&lt;&gt;"",INDEX(BDHK2,MATCH($C43,DiemHKII!$C$4:$C$58,0),BH$59),""))</f>
        <v/>
      </c>
      <c r="BI43" s="791" t="str">
        <f t="shared" si="27"/>
        <v/>
      </c>
      <c r="BJ43" s="770" t="str">
        <f t="shared" si="28"/>
        <v/>
      </c>
      <c r="BK43" s="769" t="str">
        <f>IF($B43="","",IF(INDEX(BDHK2,MATCH($C43,DiemHKII!$C$4:$C$58,0),BK$59)&lt;&gt;"",INDEX(BDHK2,MATCH($C43,DiemHKII!$C$4:$C$58,0),BK$59),""))</f>
        <v/>
      </c>
      <c r="BL43" s="791" t="str">
        <f t="shared" si="29"/>
        <v/>
      </c>
      <c r="BM43" s="770" t="str">
        <f t="shared" si="30"/>
        <v/>
      </c>
      <c r="BN43" s="768"/>
      <c r="BO43" s="769" t="str">
        <f>IF($B43="","",IF(INDEX(BDHK2,MATCH($C43,DiemHKII!$C$4:$C$58,0),BO$59)&lt;&gt;"",INDEX(BDHK2,MATCH($C43,DiemHKII!$C$4:$C$58,0),BO$59),""))</f>
        <v/>
      </c>
      <c r="BP43" s="791" t="str">
        <f t="shared" si="31"/>
        <v/>
      </c>
      <c r="BQ43" s="770" t="str">
        <f>IF($B43="","",INDEX(NXetHKI!$B$3:$CL$57,MATCH(NXchung!$C43,NXetHKI!$C$3:$C$57,0),NXchung!BQ$59))</f>
        <v/>
      </c>
      <c r="BR43" s="769" t="str">
        <f>IF($B43="","",IF(INDEX(BDHK2,MATCH($C43,DiemHKII!$C$4:$C$58,0),BR$59)&lt;&gt;"",INDEX(BDHK2,MATCH($C43,DiemHKII!$C$4:$C$58,0),BR$59),""))</f>
        <v/>
      </c>
      <c r="BS43" s="791" t="str">
        <f t="shared" si="32"/>
        <v/>
      </c>
      <c r="BT43" s="770" t="str">
        <f t="shared" si="33"/>
        <v/>
      </c>
      <c r="BU43" s="769" t="str">
        <f>IF($B43="","",IF(INDEX(BDHK2,MATCH($C43,DiemHKII!$C$4:$C$58,0),BU$59)&lt;&gt;"",INDEX(BDHK2,MATCH($C43,DiemHKII!$C$4:$C$58,0),BU$59),""))</f>
        <v/>
      </c>
      <c r="BV43" s="791" t="str">
        <f t="shared" si="34"/>
        <v/>
      </c>
      <c r="BW43" s="770" t="str">
        <f t="shared" si="35"/>
        <v/>
      </c>
      <c r="BX43" s="768"/>
      <c r="BY43" s="769" t="str">
        <f>IF($B43="","",IF(INDEX(BDHK2,MATCH($C43,DiemHKII!$C$4:$C$58,0),BY$59)&lt;&gt;"",INDEX(BDHK2,MATCH($C43,DiemHKII!$C$4:$C$58,0),BY$59),""))</f>
        <v/>
      </c>
      <c r="BZ43" s="791" t="str">
        <f t="shared" si="36"/>
        <v/>
      </c>
      <c r="CA43" s="770" t="str">
        <f>IF($B43="","",INDEX(NXetHKI!$B$3:$CL$57,MATCH(NXchung!$C43,NXetHKI!$C$3:$C$57,0),NXchung!CA$59))</f>
        <v/>
      </c>
      <c r="CB43" s="769" t="str">
        <f>IF($B43="","",IF(INDEX(BDHK2,MATCH($C43,DiemHKII!$C$4:$C$58,0),CB$59)&lt;&gt;"",INDEX(BDHK2,MATCH($C43,DiemHKII!$C$4:$C$58,0),CB$59),""))</f>
        <v/>
      </c>
      <c r="CC43" s="791" t="str">
        <f t="shared" si="37"/>
        <v/>
      </c>
      <c r="CD43" s="770" t="str">
        <f t="shared" si="38"/>
        <v/>
      </c>
      <c r="CE43" s="769" t="str">
        <f>IF($B43="","",IF(INDEX(BDHK2,MATCH($C43,DiemHKII!$C$4:$C$58,0),CE$59)&lt;&gt;"",INDEX(BDHK2,MATCH($C43,DiemHKII!$C$4:$C$58,0),CE$59),""))</f>
        <v/>
      </c>
      <c r="CF43" s="791" t="str">
        <f t="shared" si="39"/>
        <v/>
      </c>
      <c r="CG43" s="770" t="str">
        <f t="shared" si="40"/>
        <v/>
      </c>
      <c r="CH43" s="768"/>
      <c r="CI43" s="769" t="str">
        <f>IF($B43="","",IF(INDEX(BDHK2,MATCH($C43,DiemHKII!$C$4:$C$58,0),CI$59)&lt;&gt;"",INDEX(BDHK2,MATCH($C43,DiemHKII!$C$4:$C$58,0),CI$59),""))</f>
        <v/>
      </c>
      <c r="CJ43" s="791" t="str">
        <f t="shared" si="41"/>
        <v/>
      </c>
      <c r="CK43" s="770" t="str">
        <f>IF($B43="","",INDEX(NXetHKI!$B$3:$CL$57,MATCH(NXchung!$C43,NXetHKI!$C$3:$C$57,0),NXchung!CK$59))</f>
        <v/>
      </c>
      <c r="CL43" s="769" t="str">
        <f>IF($B43="","",IF(INDEX(BDHK2,MATCH($C43,DiemHKII!$C$4:$C$58,0),CL$59)&lt;&gt;"",INDEX(BDHK2,MATCH($C43,DiemHKII!$C$4:$C$58,0),CL$59),""))</f>
        <v/>
      </c>
      <c r="CM43" s="791" t="str">
        <f t="shared" si="42"/>
        <v/>
      </c>
      <c r="CN43" s="770" t="str">
        <f t="shared" si="43"/>
        <v/>
      </c>
      <c r="CO43" s="769" t="str">
        <f>IF($B43="","",IF(INDEX(BDHK2,MATCH($C43,DiemHKII!$C$4:$C$58,0),CO$59)&lt;&gt;"",INDEX(BDHK2,MATCH($C43,DiemHKII!$C$4:$C$58,0),CO$59),""))</f>
        <v/>
      </c>
      <c r="CP43" s="791" t="str">
        <f t="shared" si="44"/>
        <v/>
      </c>
      <c r="CQ43" s="770" t="str">
        <f t="shared" si="45"/>
        <v/>
      </c>
      <c r="CR43" s="768"/>
      <c r="CS43" s="769" t="str">
        <f>IF($B43="","",IF(INDEX(BDHK2,MATCH($C43,DiemHKII!$C$4:$C$58,0),CS$59)&lt;&gt;"",INDEX(BDHK2,MATCH($C43,DiemHKII!$C$4:$C$58,0),CS$59),""))</f>
        <v/>
      </c>
      <c r="CT43" s="791" t="str">
        <f t="shared" si="46"/>
        <v/>
      </c>
      <c r="CU43" s="770" t="str">
        <f>IF($B43="","",INDEX(NXetHKI!$B$3:$CL$57,MATCH(NXchung!$C43,NXetHKI!$C$3:$C$57,0),NXchung!CU$59))</f>
        <v/>
      </c>
      <c r="CV43" s="769" t="str">
        <f>IF($B43="","",IF(INDEX(BDHK2,MATCH($C43,DiemHKII!$C$4:$C$58,0),CV$59)&lt;&gt;"",INDEX(BDHK2,MATCH($C43,DiemHKII!$C$4:$C$58,0),CV$59),""))</f>
        <v/>
      </c>
      <c r="CW43" s="791" t="str">
        <f t="shared" si="47"/>
        <v/>
      </c>
      <c r="CX43" s="770" t="str">
        <f t="shared" si="48"/>
        <v/>
      </c>
      <c r="CY43" s="769" t="str">
        <f>IF($B43="","",IF(INDEX(BDHK2,MATCH($C43,DiemHKII!$C$4:$C$58,0),CY$59)&lt;&gt;"",INDEX(BDHK2,MATCH($C43,DiemHKII!$C$4:$C$58,0),CY$59),""))</f>
        <v/>
      </c>
      <c r="CZ43" s="791" t="str">
        <f t="shared" si="49"/>
        <v/>
      </c>
      <c r="DA43" s="770" t="str">
        <f t="shared" si="50"/>
        <v/>
      </c>
      <c r="DB43" s="768"/>
      <c r="DC43" s="769" t="str">
        <f>IF($B43="","",IF(INDEX(BDHK2,MATCH($C43,DiemHKII!$C$4:$C$58,0),DC$59)&lt;&gt;"",INDEX(BDHK2,MATCH($C43,DiemHKII!$C$4:$C$58,0),DC$59),""))</f>
        <v/>
      </c>
      <c r="DD43" s="791" t="str">
        <f t="shared" si="51"/>
        <v/>
      </c>
      <c r="DE43" s="770" t="str">
        <f>IF($B43="","",INDEX(NXetHKI!$B$3:$CL$57,MATCH(NXchung!$C43,NXetHKI!$C$3:$C$57,0),NXchung!DE$59))</f>
        <v/>
      </c>
      <c r="DF43" s="769" t="str">
        <f>IF($B43="","",IF(INDEX(BDHK2,MATCH($C43,DiemHKII!$C$4:$C$58,0),DF$59)&lt;&gt;"",INDEX(BDHK2,MATCH($C43,DiemHKII!$C$4:$C$58,0),DF$59),""))</f>
        <v/>
      </c>
      <c r="DG43" s="791" t="str">
        <f t="shared" si="52"/>
        <v/>
      </c>
      <c r="DH43" s="770" t="str">
        <f t="shared" si="53"/>
        <v/>
      </c>
      <c r="DI43" s="769" t="str">
        <f>IF($B43="","",IF(INDEX(BDHK2,MATCH($C43,DiemHKII!$C$4:$C$58,0),DI$59)&lt;&gt;"",INDEX(BDHK2,MATCH($C43,DiemHKII!$C$4:$C$58,0),DI$59),""))</f>
        <v/>
      </c>
      <c r="DJ43" s="791" t="str">
        <f t="shared" si="54"/>
        <v/>
      </c>
      <c r="DK43" s="770" t="str">
        <f t="shared" si="55"/>
        <v/>
      </c>
      <c r="DL43" s="768"/>
      <c r="DM43" s="769" t="str">
        <f>IF($B43="","",IF(INDEX(BDHK2,MATCH($C43,DiemHKII!$C$4:$C$58,0),DM$59)&lt;&gt;"",INDEX(BDHK2,MATCH($C43,DiemHKII!$C$4:$C$58,0),DM$59),""))</f>
        <v/>
      </c>
      <c r="DN43" s="791" t="str">
        <f t="shared" si="56"/>
        <v/>
      </c>
      <c r="DO43" s="770" t="str">
        <f>IF($B43="","",INDEX(NXetHKI!$B$3:$CL$57,MATCH(NXchung!$C43,NXetHKI!$C$3:$C$57,0),NXchung!DO$59))</f>
        <v/>
      </c>
      <c r="DP43" s="769" t="str">
        <f>IF($B43="","",IF(INDEX(BDHK2,MATCH($C43,DiemHKII!$C$4:$C$58,0),DP$59)&lt;&gt;"",INDEX(BDHK2,MATCH($C43,DiemHKII!$C$4:$C$58,0),DP$59),""))</f>
        <v/>
      </c>
      <c r="DQ43" s="791" t="str">
        <f t="shared" si="57"/>
        <v/>
      </c>
      <c r="DR43" s="770" t="str">
        <f t="shared" si="58"/>
        <v/>
      </c>
      <c r="DS43" s="769" t="str">
        <f>IF($B43="","",IF(INDEX(BDHK2,MATCH($C43,DiemHKII!$C$4:$C$58,0),DS$59)&lt;&gt;"",INDEX(BDHK2,MATCH($C43,DiemHKII!$C$4:$C$58,0),DS$59),""))</f>
        <v/>
      </c>
      <c r="DT43" s="791" t="str">
        <f t="shared" si="59"/>
        <v/>
      </c>
      <c r="DU43" s="770" t="str">
        <f t="shared" si="60"/>
        <v/>
      </c>
      <c r="DV43" s="768"/>
      <c r="DW43" s="769" t="str">
        <f>IF($B43="","",IF(INDEX(BDHK2,MATCH($C43,DiemHKII!$C$4:$C$58,0),DW$59)&lt;&gt;"",INDEX(BDHK2,MATCH($C43,DiemHKII!$C$4:$C$58,0),DW$59),""))</f>
        <v/>
      </c>
      <c r="DX43" s="791" t="str">
        <f t="shared" si="61"/>
        <v/>
      </c>
      <c r="DY43" s="770" t="str">
        <f>IF($B43="","",INDEX(NXetHKI!$B$3:$CL$57,MATCH(NXchung!$C43,NXetHKI!$C$3:$C$57,0),NXchung!DY$59))</f>
        <v/>
      </c>
      <c r="DZ43" s="769" t="str">
        <f>IF($B43="","",IF(INDEX(BDHK2,MATCH($C43,DiemHKII!$C$4:$C$58,0),DZ$59)&lt;&gt;"",INDEX(BDHK2,MATCH($C43,DiemHKII!$C$4:$C$58,0),DZ$59),""))</f>
        <v/>
      </c>
      <c r="EA43" s="791" t="str">
        <f t="shared" si="62"/>
        <v/>
      </c>
      <c r="EB43" s="770" t="str">
        <f t="shared" si="63"/>
        <v/>
      </c>
      <c r="EC43" s="769" t="str">
        <f>IF($B43="","",IF(INDEX(BDHK2,MATCH($C43,DiemHKII!$C$4:$C$58,0),EC$59)&lt;&gt;"",INDEX(BDHK2,MATCH($C43,DiemHKII!$C$4:$C$58,0),EC$59),""))</f>
        <v/>
      </c>
      <c r="ED43" s="791" t="str">
        <f t="shared" si="64"/>
        <v/>
      </c>
      <c r="EE43" s="770" t="str">
        <f t="shared" si="65"/>
        <v/>
      </c>
      <c r="EF43" s="768"/>
      <c r="EG43" s="769" t="str">
        <f>IF($B43="","",IF(INDEX(BDHK2,MATCH($C43,DiemHKII!$C$4:$C$58,0),EG$59)&lt;&gt;"",INDEX(BDHK2,MATCH($C43,DiemHKII!$C$4:$C$58,0),EG$59),""))</f>
        <v/>
      </c>
      <c r="EH43" s="791" t="str">
        <f t="shared" si="66"/>
        <v/>
      </c>
      <c r="EI43" s="770" t="str">
        <f>IF($B43="","",INDEX(NXetHKI!$B$3:$CL$57,MATCH(NXchung!$C43,NXetHKI!$C$3:$C$57,0),NXchung!EI$59))</f>
        <v/>
      </c>
      <c r="EJ43" s="769" t="str">
        <f>IF($B43="","",IF(INDEX(BDHK2,MATCH($C43,DiemHKII!$C$4:$C$58,0),EJ$59)&lt;&gt;"",INDEX(BDHK2,MATCH($C43,DiemHKII!$C$4:$C$58,0),EJ$59),""))</f>
        <v/>
      </c>
      <c r="EK43" s="791" t="str">
        <f t="shared" si="67"/>
        <v/>
      </c>
      <c r="EL43" s="770" t="str">
        <f t="shared" si="68"/>
        <v/>
      </c>
      <c r="EM43" s="769" t="str">
        <f>IF($B43="","",IF(INDEX(BDHK2,MATCH($C43,DiemHKII!$C$4:$C$58,0),EM$59)&lt;&gt;"",INDEX(BDHK2,MATCH($C43,DiemHKII!$C$4:$C$58,0),EM$59),""))</f>
        <v/>
      </c>
      <c r="EN43" s="791" t="str">
        <f t="shared" si="69"/>
        <v/>
      </c>
      <c r="EO43" s="770" t="str">
        <f t="shared" si="70"/>
        <v/>
      </c>
      <c r="EP43" s="768"/>
      <c r="ER43" s="816">
        <v>9</v>
      </c>
      <c r="ES43" s="816">
        <v>3</v>
      </c>
    </row>
    <row r="44" spans="2:149" ht="15" customHeight="1">
      <c r="B44" s="771" t="str">
        <f>IF(B43&lt;MAX(DiemHKII!$B$4:$B$58),B43+1,"")</f>
        <v/>
      </c>
      <c r="C44" s="771" t="str">
        <f t="shared" si="0"/>
        <v/>
      </c>
      <c r="D44" s="772" t="str">
        <f>IF($B44&lt;&gt;"",PROPER(INDEX(DiemHKII!$B$4:$K$58,MATCH($B44,DiemHKII!$B$4:$B$58,0),4)),"")</f>
        <v/>
      </c>
      <c r="E44" s="773" t="str">
        <f>IF($B44&lt;&gt;"",PROPER(INDEX(DiemHKII!$B$4:$K$58,MATCH($B44,DiemHKII!$B$4:$B$58,0),5)),"")</f>
        <v/>
      </c>
      <c r="F44" s="774" t="str">
        <f>IF($B44&lt;&gt;"",PROPER(INDEX(DiemHKII!$B$4:$K$58,MATCH($B44,DiemHKII!$B$4:$B$58,0),6)),"")</f>
        <v/>
      </c>
      <c r="G44" s="775" t="str">
        <f>IF($B44="","",IF(INDEX(BDHK2,MATCH($C44,DiemHKII!$C$4:$C$58,0),G$59)&lt;&gt;"",INDEX(BDHK2,MATCH($C44,DiemHKII!$C$4:$C$58,0),G$59),""))</f>
        <v/>
      </c>
      <c r="H44" s="792" t="str">
        <f t="shared" si="1"/>
        <v/>
      </c>
      <c r="I44" s="776" t="str">
        <f>IF($B44="","",INDEX(NXetHKI!$B$3:$CL$57,MATCH(NXchung!$C44,NXetHKI!$C$3:$C$57,0),NXchung!I$59))</f>
        <v/>
      </c>
      <c r="J44" s="775" t="str">
        <f>IF($B44="","",IF(INDEX(BDHK2,MATCH($C44,DiemHKII!$C$4:$C$58,0),J$59)&lt;&gt;"",INDEX(BDHK2,MATCH($C44,DiemHKII!$C$4:$C$58,0),J$59),""))</f>
        <v/>
      </c>
      <c r="K44" s="792" t="str">
        <f t="shared" si="2"/>
        <v/>
      </c>
      <c r="L44" s="776" t="str">
        <f t="shared" si="3"/>
        <v/>
      </c>
      <c r="M44" s="775" t="str">
        <f>IF($B44="","",IF(INDEX(BDHK2,MATCH($C44,DiemHKII!$C$4:$C$58,0),M$59)&lt;&gt;"",INDEX(BDHK2,MATCH($C44,DiemHKII!$C$4:$C$58,0),M$59),""))</f>
        <v/>
      </c>
      <c r="N44" s="792" t="str">
        <f t="shared" si="4"/>
        <v/>
      </c>
      <c r="O44" s="776" t="str">
        <f t="shared" si="5"/>
        <v/>
      </c>
      <c r="P44" s="774"/>
      <c r="Q44" s="775" t="str">
        <f>IF($B44="","",IF(INDEX(BDHK2,MATCH($C44,DiemHKII!$C$4:$C$58,0),Q$59)&lt;&gt;"",INDEX(BDHK2,MATCH($C44,DiemHKII!$C$4:$C$58,0),Q$59),""))</f>
        <v/>
      </c>
      <c r="R44" s="792" t="str">
        <f t="shared" si="6"/>
        <v/>
      </c>
      <c r="S44" s="776" t="str">
        <f>IF($B44="","",INDEX(NXetHKI!$B$3:$CL$57,MATCH(NXchung!$C44,NXetHKI!$C$3:$C$57,0),NXchung!S$59))</f>
        <v/>
      </c>
      <c r="T44" s="775" t="str">
        <f>IF($B44="","",IF(INDEX(BDHK2,MATCH($C44,DiemHKII!$C$4:$C$58,0),T$59)&lt;&gt;"",INDEX(BDHK2,MATCH($C44,DiemHKII!$C$4:$C$58,0),T$59),""))</f>
        <v/>
      </c>
      <c r="U44" s="792" t="str">
        <f t="shared" si="7"/>
        <v/>
      </c>
      <c r="V44" s="776" t="str">
        <f t="shared" si="8"/>
        <v/>
      </c>
      <c r="W44" s="775" t="str">
        <f>IF($B44="","",IF(INDEX(BDHK2,MATCH($C44,DiemHKII!$C$4:$C$58,0),W$59)&lt;&gt;"",INDEX(BDHK2,MATCH($C44,DiemHKII!$C$4:$C$58,0),W$59),""))</f>
        <v/>
      </c>
      <c r="X44" s="792" t="str">
        <f t="shared" si="9"/>
        <v/>
      </c>
      <c r="Y44" s="776" t="str">
        <f t="shared" si="10"/>
        <v/>
      </c>
      <c r="Z44" s="774"/>
      <c r="AA44" s="775" t="str">
        <f>IF($B44="","",IF(INDEX(BDHK2,MATCH($C44,DiemHKII!$C$4:$C$58,0),AA$59)&lt;&gt;"",INDEX(BDHK2,MATCH($C44,DiemHKII!$C$4:$C$58,0),AA$59),""))</f>
        <v/>
      </c>
      <c r="AB44" s="792" t="str">
        <f t="shared" si="11"/>
        <v/>
      </c>
      <c r="AC44" s="776" t="str">
        <f>IF($B44="","",INDEX(NXetHKI!$B$3:$CL$57,MATCH(NXchung!$C44,NXetHKI!$C$3:$C$57,0),NXchung!AC$59))</f>
        <v/>
      </c>
      <c r="AD44" s="775" t="str">
        <f>IF($B44="","",IF(INDEX(BDHK2,MATCH($C44,DiemHKII!$C$4:$C$58,0),AD$59)&lt;&gt;"",INDEX(BDHK2,MATCH($C44,DiemHKII!$C$4:$C$58,0),AD$59),""))</f>
        <v/>
      </c>
      <c r="AE44" s="792" t="str">
        <f t="shared" si="12"/>
        <v/>
      </c>
      <c r="AF44" s="776" t="str">
        <f t="shared" si="13"/>
        <v/>
      </c>
      <c r="AG44" s="775" t="str">
        <f>IF($B44="","",IF(INDEX(BDHK2,MATCH($C44,DiemHKII!$C$4:$C$58,0),AG$59)&lt;&gt;"",INDEX(BDHK2,MATCH($C44,DiemHKII!$C$4:$C$58,0),AG$59),""))</f>
        <v/>
      </c>
      <c r="AH44" s="792" t="str">
        <f t="shared" si="14"/>
        <v/>
      </c>
      <c r="AI44" s="776" t="str">
        <f t="shared" si="15"/>
        <v/>
      </c>
      <c r="AJ44" s="774"/>
      <c r="AK44" s="775" t="str">
        <f>IF($B44="","",IF(INDEX(BDHK2,MATCH($C44,DiemHKII!$C$4:$C$58,0),AK$59)&lt;&gt;"",INDEX(BDHK2,MATCH($C44,DiemHKII!$C$4:$C$58,0),AK$59),""))</f>
        <v/>
      </c>
      <c r="AL44" s="792" t="str">
        <f t="shared" si="16"/>
        <v/>
      </c>
      <c r="AM44" s="776" t="str">
        <f>IF($B44="","",INDEX(NXetHKI!$B$3:$CL$57,MATCH(NXchung!$C44,NXetHKI!$C$3:$C$57,0),NXchung!AM$59))</f>
        <v/>
      </c>
      <c r="AN44" s="775" t="str">
        <f>IF($B44="","",IF(INDEX(BDHK2,MATCH($C44,DiemHKII!$C$4:$C$58,0),AN$59)&lt;&gt;"",INDEX(BDHK2,MATCH($C44,DiemHKII!$C$4:$C$58,0),AN$59),""))</f>
        <v/>
      </c>
      <c r="AO44" s="792" t="str">
        <f t="shared" si="17"/>
        <v/>
      </c>
      <c r="AP44" s="776" t="str">
        <f t="shared" si="18"/>
        <v/>
      </c>
      <c r="AQ44" s="775" t="str">
        <f>IF($B44="","",IF(INDEX(BDHK2,MATCH($C44,DiemHKII!$C$4:$C$58,0),AQ$59)&lt;&gt;"",INDEX(BDHK2,MATCH($C44,DiemHKII!$C$4:$C$58,0),AQ$59),""))</f>
        <v/>
      </c>
      <c r="AR44" s="792" t="str">
        <f t="shared" si="19"/>
        <v/>
      </c>
      <c r="AS44" s="776" t="str">
        <f t="shared" si="20"/>
        <v/>
      </c>
      <c r="AT44" s="774"/>
      <c r="AU44" s="775" t="str">
        <f>IF($B44="","",IF(INDEX(BDHK2,MATCH($C44,DiemHKII!$C$4:$C$58,0),AU$59)&lt;&gt;"",INDEX(BDHK2,MATCH($C44,DiemHKII!$C$4:$C$58,0),AU$59),""))</f>
        <v/>
      </c>
      <c r="AV44" s="792" t="str">
        <f t="shared" si="21"/>
        <v/>
      </c>
      <c r="AW44" s="776" t="str">
        <f>IF($B44="","",INDEX(NXetHKI!$B$3:$CL$57,MATCH(NXchung!$C44,NXetHKI!$C$3:$C$57,0),NXchung!AW$59))</f>
        <v/>
      </c>
      <c r="AX44" s="775" t="str">
        <f>IF($B44="","",IF(INDEX(BDHK2,MATCH($C44,DiemHKII!$C$4:$C$58,0),AX$59)&lt;&gt;"",INDEX(BDHK2,MATCH($C44,DiemHKII!$C$4:$C$58,0),AX$59),""))</f>
        <v/>
      </c>
      <c r="AY44" s="792" t="str">
        <f t="shared" si="22"/>
        <v/>
      </c>
      <c r="AZ44" s="776" t="str">
        <f t="shared" si="23"/>
        <v/>
      </c>
      <c r="BA44" s="775" t="str">
        <f>IF($B44="","",IF(INDEX(BDHK2,MATCH($C44,DiemHKII!$C$4:$C$58,0),BA$59)&lt;&gt;"",INDEX(BDHK2,MATCH($C44,DiemHKII!$C$4:$C$58,0),BA$59),""))</f>
        <v/>
      </c>
      <c r="BB44" s="792" t="str">
        <f t="shared" si="24"/>
        <v/>
      </c>
      <c r="BC44" s="776" t="str">
        <f t="shared" si="25"/>
        <v/>
      </c>
      <c r="BD44" s="774"/>
      <c r="BE44" s="775" t="str">
        <f>IF($B44="","",IF(INDEX(BDHK2,MATCH($C44,DiemHKII!$C$4:$C$58,0),BE$59)&lt;&gt;"",INDEX(BDHK2,MATCH($C44,DiemHKII!$C$4:$C$58,0),BE$59),""))</f>
        <v/>
      </c>
      <c r="BF44" s="792" t="str">
        <f t="shared" si="26"/>
        <v/>
      </c>
      <c r="BG44" s="776" t="str">
        <f>IF($B44="","",INDEX(NXetHKI!$B$3:$CL$57,MATCH(NXchung!$C44,NXetHKI!$C$3:$C$57,0),NXchung!BG$59))</f>
        <v/>
      </c>
      <c r="BH44" s="775" t="str">
        <f>IF($B44="","",IF(INDEX(BDHK2,MATCH($C44,DiemHKII!$C$4:$C$58,0),BH$59)&lt;&gt;"",INDEX(BDHK2,MATCH($C44,DiemHKII!$C$4:$C$58,0),BH$59),""))</f>
        <v/>
      </c>
      <c r="BI44" s="792" t="str">
        <f t="shared" si="27"/>
        <v/>
      </c>
      <c r="BJ44" s="776" t="str">
        <f t="shared" si="28"/>
        <v/>
      </c>
      <c r="BK44" s="775" t="str">
        <f>IF($B44="","",IF(INDEX(BDHK2,MATCH($C44,DiemHKII!$C$4:$C$58,0),BK$59)&lt;&gt;"",INDEX(BDHK2,MATCH($C44,DiemHKII!$C$4:$C$58,0),BK$59),""))</f>
        <v/>
      </c>
      <c r="BL44" s="792" t="str">
        <f t="shared" si="29"/>
        <v/>
      </c>
      <c r="BM44" s="776" t="str">
        <f t="shared" si="30"/>
        <v/>
      </c>
      <c r="BN44" s="774"/>
      <c r="BO44" s="775" t="str">
        <f>IF($B44="","",IF(INDEX(BDHK2,MATCH($C44,DiemHKII!$C$4:$C$58,0),BO$59)&lt;&gt;"",INDEX(BDHK2,MATCH($C44,DiemHKII!$C$4:$C$58,0),BO$59),""))</f>
        <v/>
      </c>
      <c r="BP44" s="792" t="str">
        <f t="shared" si="31"/>
        <v/>
      </c>
      <c r="BQ44" s="776" t="str">
        <f>IF($B44="","",INDEX(NXetHKI!$B$3:$CL$57,MATCH(NXchung!$C44,NXetHKI!$C$3:$C$57,0),NXchung!BQ$59))</f>
        <v/>
      </c>
      <c r="BR44" s="775" t="str">
        <f>IF($B44="","",IF(INDEX(BDHK2,MATCH($C44,DiemHKII!$C$4:$C$58,0),BR$59)&lt;&gt;"",INDEX(BDHK2,MATCH($C44,DiemHKII!$C$4:$C$58,0),BR$59),""))</f>
        <v/>
      </c>
      <c r="BS44" s="792" t="str">
        <f t="shared" si="32"/>
        <v/>
      </c>
      <c r="BT44" s="776" t="str">
        <f t="shared" si="33"/>
        <v/>
      </c>
      <c r="BU44" s="775" t="str">
        <f>IF($B44="","",IF(INDEX(BDHK2,MATCH($C44,DiemHKII!$C$4:$C$58,0),BU$59)&lt;&gt;"",INDEX(BDHK2,MATCH($C44,DiemHKII!$C$4:$C$58,0),BU$59),""))</f>
        <v/>
      </c>
      <c r="BV44" s="792" t="str">
        <f t="shared" si="34"/>
        <v/>
      </c>
      <c r="BW44" s="776" t="str">
        <f t="shared" si="35"/>
        <v/>
      </c>
      <c r="BX44" s="774"/>
      <c r="BY44" s="775" t="str">
        <f>IF($B44="","",IF(INDEX(BDHK2,MATCH($C44,DiemHKII!$C$4:$C$58,0),BY$59)&lt;&gt;"",INDEX(BDHK2,MATCH($C44,DiemHKII!$C$4:$C$58,0),BY$59),""))</f>
        <v/>
      </c>
      <c r="BZ44" s="792" t="str">
        <f t="shared" si="36"/>
        <v/>
      </c>
      <c r="CA44" s="776" t="str">
        <f>IF($B44="","",INDEX(NXetHKI!$B$3:$CL$57,MATCH(NXchung!$C44,NXetHKI!$C$3:$C$57,0),NXchung!CA$59))</f>
        <v/>
      </c>
      <c r="CB44" s="775" t="str">
        <f>IF($B44="","",IF(INDEX(BDHK2,MATCH($C44,DiemHKII!$C$4:$C$58,0),CB$59)&lt;&gt;"",INDEX(BDHK2,MATCH($C44,DiemHKII!$C$4:$C$58,0),CB$59),""))</f>
        <v/>
      </c>
      <c r="CC44" s="792" t="str">
        <f t="shared" si="37"/>
        <v/>
      </c>
      <c r="CD44" s="776" t="str">
        <f t="shared" si="38"/>
        <v/>
      </c>
      <c r="CE44" s="775" t="str">
        <f>IF($B44="","",IF(INDEX(BDHK2,MATCH($C44,DiemHKII!$C$4:$C$58,0),CE$59)&lt;&gt;"",INDEX(BDHK2,MATCH($C44,DiemHKII!$C$4:$C$58,0),CE$59),""))</f>
        <v/>
      </c>
      <c r="CF44" s="792" t="str">
        <f t="shared" si="39"/>
        <v/>
      </c>
      <c r="CG44" s="776" t="str">
        <f t="shared" si="40"/>
        <v/>
      </c>
      <c r="CH44" s="774"/>
      <c r="CI44" s="775" t="str">
        <f>IF($B44="","",IF(INDEX(BDHK2,MATCH($C44,DiemHKII!$C$4:$C$58,0),CI$59)&lt;&gt;"",INDEX(BDHK2,MATCH($C44,DiemHKII!$C$4:$C$58,0),CI$59),""))</f>
        <v/>
      </c>
      <c r="CJ44" s="792" t="str">
        <f t="shared" si="41"/>
        <v/>
      </c>
      <c r="CK44" s="776" t="str">
        <f>IF($B44="","",INDEX(NXetHKI!$B$3:$CL$57,MATCH(NXchung!$C44,NXetHKI!$C$3:$C$57,0),NXchung!CK$59))</f>
        <v/>
      </c>
      <c r="CL44" s="775" t="str">
        <f>IF($B44="","",IF(INDEX(BDHK2,MATCH($C44,DiemHKII!$C$4:$C$58,0),CL$59)&lt;&gt;"",INDEX(BDHK2,MATCH($C44,DiemHKII!$C$4:$C$58,0),CL$59),""))</f>
        <v/>
      </c>
      <c r="CM44" s="792" t="str">
        <f t="shared" si="42"/>
        <v/>
      </c>
      <c r="CN44" s="776" t="str">
        <f t="shared" si="43"/>
        <v/>
      </c>
      <c r="CO44" s="775" t="str">
        <f>IF($B44="","",IF(INDEX(BDHK2,MATCH($C44,DiemHKII!$C$4:$C$58,0),CO$59)&lt;&gt;"",INDEX(BDHK2,MATCH($C44,DiemHKII!$C$4:$C$58,0),CO$59),""))</f>
        <v/>
      </c>
      <c r="CP44" s="792" t="str">
        <f t="shared" si="44"/>
        <v/>
      </c>
      <c r="CQ44" s="776" t="str">
        <f t="shared" si="45"/>
        <v/>
      </c>
      <c r="CR44" s="774"/>
      <c r="CS44" s="775" t="str">
        <f>IF($B44="","",IF(INDEX(BDHK2,MATCH($C44,DiemHKII!$C$4:$C$58,0),CS$59)&lt;&gt;"",INDEX(BDHK2,MATCH($C44,DiemHKII!$C$4:$C$58,0),CS$59),""))</f>
        <v/>
      </c>
      <c r="CT44" s="792" t="str">
        <f t="shared" si="46"/>
        <v/>
      </c>
      <c r="CU44" s="776" t="str">
        <f>IF($B44="","",INDEX(NXetHKI!$B$3:$CL$57,MATCH(NXchung!$C44,NXetHKI!$C$3:$C$57,0),NXchung!CU$59))</f>
        <v/>
      </c>
      <c r="CV44" s="775" t="str">
        <f>IF($B44="","",IF(INDEX(BDHK2,MATCH($C44,DiemHKII!$C$4:$C$58,0),CV$59)&lt;&gt;"",INDEX(BDHK2,MATCH($C44,DiemHKII!$C$4:$C$58,0),CV$59),""))</f>
        <v/>
      </c>
      <c r="CW44" s="792" t="str">
        <f t="shared" si="47"/>
        <v/>
      </c>
      <c r="CX44" s="776" t="str">
        <f t="shared" si="48"/>
        <v/>
      </c>
      <c r="CY44" s="775" t="str">
        <f>IF($B44="","",IF(INDEX(BDHK2,MATCH($C44,DiemHKII!$C$4:$C$58,0),CY$59)&lt;&gt;"",INDEX(BDHK2,MATCH($C44,DiemHKII!$C$4:$C$58,0),CY$59),""))</f>
        <v/>
      </c>
      <c r="CZ44" s="792" t="str">
        <f t="shared" si="49"/>
        <v/>
      </c>
      <c r="DA44" s="776" t="str">
        <f t="shared" si="50"/>
        <v/>
      </c>
      <c r="DB44" s="774"/>
      <c r="DC44" s="775" t="str">
        <f>IF($B44="","",IF(INDEX(BDHK2,MATCH($C44,DiemHKII!$C$4:$C$58,0),DC$59)&lt;&gt;"",INDEX(BDHK2,MATCH($C44,DiemHKII!$C$4:$C$58,0),DC$59),""))</f>
        <v/>
      </c>
      <c r="DD44" s="792" t="str">
        <f t="shared" si="51"/>
        <v/>
      </c>
      <c r="DE44" s="776" t="str">
        <f>IF($B44="","",INDEX(NXetHKI!$B$3:$CL$57,MATCH(NXchung!$C44,NXetHKI!$C$3:$C$57,0),NXchung!DE$59))</f>
        <v/>
      </c>
      <c r="DF44" s="775" t="str">
        <f>IF($B44="","",IF(INDEX(BDHK2,MATCH($C44,DiemHKII!$C$4:$C$58,0),DF$59)&lt;&gt;"",INDEX(BDHK2,MATCH($C44,DiemHKII!$C$4:$C$58,0),DF$59),""))</f>
        <v/>
      </c>
      <c r="DG44" s="792" t="str">
        <f t="shared" si="52"/>
        <v/>
      </c>
      <c r="DH44" s="776" t="str">
        <f t="shared" si="53"/>
        <v/>
      </c>
      <c r="DI44" s="775" t="str">
        <f>IF($B44="","",IF(INDEX(BDHK2,MATCH($C44,DiemHKII!$C$4:$C$58,0),DI$59)&lt;&gt;"",INDEX(BDHK2,MATCH($C44,DiemHKII!$C$4:$C$58,0),DI$59),""))</f>
        <v/>
      </c>
      <c r="DJ44" s="792" t="str">
        <f t="shared" si="54"/>
        <v/>
      </c>
      <c r="DK44" s="776" t="str">
        <f t="shared" si="55"/>
        <v/>
      </c>
      <c r="DL44" s="774"/>
      <c r="DM44" s="775" t="str">
        <f>IF($B44="","",IF(INDEX(BDHK2,MATCH($C44,DiemHKII!$C$4:$C$58,0),DM$59)&lt;&gt;"",INDEX(BDHK2,MATCH($C44,DiemHKII!$C$4:$C$58,0),DM$59),""))</f>
        <v/>
      </c>
      <c r="DN44" s="792" t="str">
        <f t="shared" si="56"/>
        <v/>
      </c>
      <c r="DO44" s="776" t="str">
        <f>IF($B44="","",INDEX(NXetHKI!$B$3:$CL$57,MATCH(NXchung!$C44,NXetHKI!$C$3:$C$57,0),NXchung!DO$59))</f>
        <v/>
      </c>
      <c r="DP44" s="775" t="str">
        <f>IF($B44="","",IF(INDEX(BDHK2,MATCH($C44,DiemHKII!$C$4:$C$58,0),DP$59)&lt;&gt;"",INDEX(BDHK2,MATCH($C44,DiemHKII!$C$4:$C$58,0),DP$59),""))</f>
        <v/>
      </c>
      <c r="DQ44" s="792" t="str">
        <f t="shared" si="57"/>
        <v/>
      </c>
      <c r="DR44" s="776" t="str">
        <f t="shared" si="58"/>
        <v/>
      </c>
      <c r="DS44" s="775" t="str">
        <f>IF($B44="","",IF(INDEX(BDHK2,MATCH($C44,DiemHKII!$C$4:$C$58,0),DS$59)&lt;&gt;"",INDEX(BDHK2,MATCH($C44,DiemHKII!$C$4:$C$58,0),DS$59),""))</f>
        <v/>
      </c>
      <c r="DT44" s="792" t="str">
        <f t="shared" si="59"/>
        <v/>
      </c>
      <c r="DU44" s="776" t="str">
        <f t="shared" si="60"/>
        <v/>
      </c>
      <c r="DV44" s="774"/>
      <c r="DW44" s="775" t="str">
        <f>IF($B44="","",IF(INDEX(BDHK2,MATCH($C44,DiemHKII!$C$4:$C$58,0),DW$59)&lt;&gt;"",INDEX(BDHK2,MATCH($C44,DiemHKII!$C$4:$C$58,0),DW$59),""))</f>
        <v/>
      </c>
      <c r="DX44" s="792" t="str">
        <f t="shared" si="61"/>
        <v/>
      </c>
      <c r="DY44" s="776" t="str">
        <f>IF($B44="","",INDEX(NXetHKI!$B$3:$CL$57,MATCH(NXchung!$C44,NXetHKI!$C$3:$C$57,0),NXchung!DY$59))</f>
        <v/>
      </c>
      <c r="DZ44" s="775" t="str">
        <f>IF($B44="","",IF(INDEX(BDHK2,MATCH($C44,DiemHKII!$C$4:$C$58,0),DZ$59)&lt;&gt;"",INDEX(BDHK2,MATCH($C44,DiemHKII!$C$4:$C$58,0),DZ$59),""))</f>
        <v/>
      </c>
      <c r="EA44" s="792" t="str">
        <f t="shared" si="62"/>
        <v/>
      </c>
      <c r="EB44" s="776" t="str">
        <f t="shared" si="63"/>
        <v/>
      </c>
      <c r="EC44" s="775" t="str">
        <f>IF($B44="","",IF(INDEX(BDHK2,MATCH($C44,DiemHKII!$C$4:$C$58,0),EC$59)&lt;&gt;"",INDEX(BDHK2,MATCH($C44,DiemHKII!$C$4:$C$58,0),EC$59),""))</f>
        <v/>
      </c>
      <c r="ED44" s="792" t="str">
        <f t="shared" si="64"/>
        <v/>
      </c>
      <c r="EE44" s="776" t="str">
        <f t="shared" si="65"/>
        <v/>
      </c>
      <c r="EF44" s="774"/>
      <c r="EG44" s="775" t="str">
        <f>IF($B44="","",IF(INDEX(BDHK2,MATCH($C44,DiemHKII!$C$4:$C$58,0),EG$59)&lt;&gt;"",INDEX(BDHK2,MATCH($C44,DiemHKII!$C$4:$C$58,0),EG$59),""))</f>
        <v/>
      </c>
      <c r="EH44" s="792" t="str">
        <f t="shared" si="66"/>
        <v/>
      </c>
      <c r="EI44" s="776" t="str">
        <f>IF($B44="","",INDEX(NXetHKI!$B$3:$CL$57,MATCH(NXchung!$C44,NXetHKI!$C$3:$C$57,0),NXchung!EI$59))</f>
        <v/>
      </c>
      <c r="EJ44" s="775" t="str">
        <f>IF($B44="","",IF(INDEX(BDHK2,MATCH($C44,DiemHKII!$C$4:$C$58,0),EJ$59)&lt;&gt;"",INDEX(BDHK2,MATCH($C44,DiemHKII!$C$4:$C$58,0),EJ$59),""))</f>
        <v/>
      </c>
      <c r="EK44" s="792" t="str">
        <f t="shared" si="67"/>
        <v/>
      </c>
      <c r="EL44" s="776" t="str">
        <f t="shared" si="68"/>
        <v/>
      </c>
      <c r="EM44" s="775" t="str">
        <f>IF($B44="","",IF(INDEX(BDHK2,MATCH($C44,DiemHKII!$C$4:$C$58,0),EM$59)&lt;&gt;"",INDEX(BDHK2,MATCH($C44,DiemHKII!$C$4:$C$58,0),EM$59),""))</f>
        <v/>
      </c>
      <c r="EN44" s="792" t="str">
        <f t="shared" si="69"/>
        <v/>
      </c>
      <c r="EO44" s="776" t="str">
        <f t="shared" si="70"/>
        <v/>
      </c>
      <c r="EP44" s="774"/>
      <c r="ER44" s="816">
        <v>3</v>
      </c>
      <c r="ES44" s="816">
        <v>6</v>
      </c>
    </row>
    <row r="45" spans="2:149" ht="15" customHeight="1">
      <c r="B45" s="771" t="str">
        <f>IF(B44&lt;MAX(DiemHKII!$B$4:$B$58),B44+1,"")</f>
        <v/>
      </c>
      <c r="C45" s="771" t="str">
        <f t="shared" si="0"/>
        <v/>
      </c>
      <c r="D45" s="772" t="str">
        <f>IF($B45&lt;&gt;"",PROPER(INDEX(DiemHKII!$B$4:$K$58,MATCH($B45,DiemHKII!$B$4:$B$58,0),4)),"")</f>
        <v/>
      </c>
      <c r="E45" s="773" t="str">
        <f>IF($B45&lt;&gt;"",PROPER(INDEX(DiemHKII!$B$4:$K$58,MATCH($B45,DiemHKII!$B$4:$B$58,0),5)),"")</f>
        <v/>
      </c>
      <c r="F45" s="774" t="str">
        <f>IF($B45&lt;&gt;"",PROPER(INDEX(DiemHKII!$B$4:$K$58,MATCH($B45,DiemHKII!$B$4:$B$58,0),6)),"")</f>
        <v/>
      </c>
      <c r="G45" s="775" t="str">
        <f>IF($B45="","",IF(INDEX(BDHK2,MATCH($C45,DiemHKII!$C$4:$C$58,0),G$59)&lt;&gt;"",INDEX(BDHK2,MATCH($C45,DiemHKII!$C$4:$C$58,0),G$59),""))</f>
        <v/>
      </c>
      <c r="H45" s="792" t="str">
        <f t="shared" si="1"/>
        <v/>
      </c>
      <c r="I45" s="776" t="str">
        <f>IF($B45="","",INDEX(NXetHKI!$B$3:$CL$57,MATCH(NXchung!$C45,NXetHKI!$C$3:$C$57,0),NXchung!I$59))</f>
        <v/>
      </c>
      <c r="J45" s="775" t="str">
        <f>IF($B45="","",IF(INDEX(BDHK2,MATCH($C45,DiemHKII!$C$4:$C$58,0),J$59)&lt;&gt;"",INDEX(BDHK2,MATCH($C45,DiemHKII!$C$4:$C$58,0),J$59),""))</f>
        <v/>
      </c>
      <c r="K45" s="792" t="str">
        <f t="shared" si="2"/>
        <v/>
      </c>
      <c r="L45" s="776" t="str">
        <f t="shared" si="3"/>
        <v/>
      </c>
      <c r="M45" s="775" t="str">
        <f>IF($B45="","",IF(INDEX(BDHK2,MATCH($C45,DiemHKII!$C$4:$C$58,0),M$59)&lt;&gt;"",INDEX(BDHK2,MATCH($C45,DiemHKII!$C$4:$C$58,0),M$59),""))</f>
        <v/>
      </c>
      <c r="N45" s="792" t="str">
        <f t="shared" si="4"/>
        <v/>
      </c>
      <c r="O45" s="776" t="str">
        <f t="shared" si="5"/>
        <v/>
      </c>
      <c r="P45" s="774"/>
      <c r="Q45" s="775" t="str">
        <f>IF($B45="","",IF(INDEX(BDHK2,MATCH($C45,DiemHKII!$C$4:$C$58,0),Q$59)&lt;&gt;"",INDEX(BDHK2,MATCH($C45,DiemHKII!$C$4:$C$58,0),Q$59),""))</f>
        <v/>
      </c>
      <c r="R45" s="792" t="str">
        <f t="shared" si="6"/>
        <v/>
      </c>
      <c r="S45" s="776" t="str">
        <f>IF($B45="","",INDEX(NXetHKI!$B$3:$CL$57,MATCH(NXchung!$C45,NXetHKI!$C$3:$C$57,0),NXchung!S$59))</f>
        <v/>
      </c>
      <c r="T45" s="775" t="str">
        <f>IF($B45="","",IF(INDEX(BDHK2,MATCH($C45,DiemHKII!$C$4:$C$58,0),T$59)&lt;&gt;"",INDEX(BDHK2,MATCH($C45,DiemHKII!$C$4:$C$58,0),T$59),""))</f>
        <v/>
      </c>
      <c r="U45" s="792" t="str">
        <f t="shared" si="7"/>
        <v/>
      </c>
      <c r="V45" s="776" t="str">
        <f t="shared" si="8"/>
        <v/>
      </c>
      <c r="W45" s="775" t="str">
        <f>IF($B45="","",IF(INDEX(BDHK2,MATCH($C45,DiemHKII!$C$4:$C$58,0),W$59)&lt;&gt;"",INDEX(BDHK2,MATCH($C45,DiemHKII!$C$4:$C$58,0),W$59),""))</f>
        <v/>
      </c>
      <c r="X45" s="792" t="str">
        <f t="shared" si="9"/>
        <v/>
      </c>
      <c r="Y45" s="776" t="str">
        <f t="shared" si="10"/>
        <v/>
      </c>
      <c r="Z45" s="774"/>
      <c r="AA45" s="775" t="str">
        <f>IF($B45="","",IF(INDEX(BDHK2,MATCH($C45,DiemHKII!$C$4:$C$58,0),AA$59)&lt;&gt;"",INDEX(BDHK2,MATCH($C45,DiemHKII!$C$4:$C$58,0),AA$59),""))</f>
        <v/>
      </c>
      <c r="AB45" s="792" t="str">
        <f t="shared" si="11"/>
        <v/>
      </c>
      <c r="AC45" s="776" t="str">
        <f>IF($B45="","",INDEX(NXetHKI!$B$3:$CL$57,MATCH(NXchung!$C45,NXetHKI!$C$3:$C$57,0),NXchung!AC$59))</f>
        <v/>
      </c>
      <c r="AD45" s="775" t="str">
        <f>IF($B45="","",IF(INDEX(BDHK2,MATCH($C45,DiemHKII!$C$4:$C$58,0),AD$59)&lt;&gt;"",INDEX(BDHK2,MATCH($C45,DiemHKII!$C$4:$C$58,0),AD$59),""))</f>
        <v/>
      </c>
      <c r="AE45" s="792" t="str">
        <f t="shared" si="12"/>
        <v/>
      </c>
      <c r="AF45" s="776" t="str">
        <f t="shared" si="13"/>
        <v/>
      </c>
      <c r="AG45" s="775" t="str">
        <f>IF($B45="","",IF(INDEX(BDHK2,MATCH($C45,DiemHKII!$C$4:$C$58,0),AG$59)&lt;&gt;"",INDEX(BDHK2,MATCH($C45,DiemHKII!$C$4:$C$58,0),AG$59),""))</f>
        <v/>
      </c>
      <c r="AH45" s="792" t="str">
        <f t="shared" si="14"/>
        <v/>
      </c>
      <c r="AI45" s="776" t="str">
        <f t="shared" si="15"/>
        <v/>
      </c>
      <c r="AJ45" s="774"/>
      <c r="AK45" s="775" t="str">
        <f>IF($B45="","",IF(INDEX(BDHK2,MATCH($C45,DiemHKII!$C$4:$C$58,0),AK$59)&lt;&gt;"",INDEX(BDHK2,MATCH($C45,DiemHKII!$C$4:$C$58,0),AK$59),""))</f>
        <v/>
      </c>
      <c r="AL45" s="792" t="str">
        <f t="shared" si="16"/>
        <v/>
      </c>
      <c r="AM45" s="776" t="str">
        <f>IF($B45="","",INDEX(NXetHKI!$B$3:$CL$57,MATCH(NXchung!$C45,NXetHKI!$C$3:$C$57,0),NXchung!AM$59))</f>
        <v/>
      </c>
      <c r="AN45" s="775" t="str">
        <f>IF($B45="","",IF(INDEX(BDHK2,MATCH($C45,DiemHKII!$C$4:$C$58,0),AN$59)&lt;&gt;"",INDEX(BDHK2,MATCH($C45,DiemHKII!$C$4:$C$58,0),AN$59),""))</f>
        <v/>
      </c>
      <c r="AO45" s="792" t="str">
        <f t="shared" si="17"/>
        <v/>
      </c>
      <c r="AP45" s="776" t="str">
        <f t="shared" si="18"/>
        <v/>
      </c>
      <c r="AQ45" s="775" t="str">
        <f>IF($B45="","",IF(INDEX(BDHK2,MATCH($C45,DiemHKII!$C$4:$C$58,0),AQ$59)&lt;&gt;"",INDEX(BDHK2,MATCH($C45,DiemHKII!$C$4:$C$58,0),AQ$59),""))</f>
        <v/>
      </c>
      <c r="AR45" s="792" t="str">
        <f t="shared" si="19"/>
        <v/>
      </c>
      <c r="AS45" s="776" t="str">
        <f t="shared" si="20"/>
        <v/>
      </c>
      <c r="AT45" s="774"/>
      <c r="AU45" s="775" t="str">
        <f>IF($B45="","",IF(INDEX(BDHK2,MATCH($C45,DiemHKII!$C$4:$C$58,0),AU$59)&lt;&gt;"",INDEX(BDHK2,MATCH($C45,DiemHKII!$C$4:$C$58,0),AU$59),""))</f>
        <v/>
      </c>
      <c r="AV45" s="792" t="str">
        <f t="shared" si="21"/>
        <v/>
      </c>
      <c r="AW45" s="776" t="str">
        <f>IF($B45="","",INDEX(NXetHKI!$B$3:$CL$57,MATCH(NXchung!$C45,NXetHKI!$C$3:$C$57,0),NXchung!AW$59))</f>
        <v/>
      </c>
      <c r="AX45" s="775" t="str">
        <f>IF($B45="","",IF(INDEX(BDHK2,MATCH($C45,DiemHKII!$C$4:$C$58,0),AX$59)&lt;&gt;"",INDEX(BDHK2,MATCH($C45,DiemHKII!$C$4:$C$58,0),AX$59),""))</f>
        <v/>
      </c>
      <c r="AY45" s="792" t="str">
        <f t="shared" si="22"/>
        <v/>
      </c>
      <c r="AZ45" s="776" t="str">
        <f t="shared" si="23"/>
        <v/>
      </c>
      <c r="BA45" s="775" t="str">
        <f>IF($B45="","",IF(INDEX(BDHK2,MATCH($C45,DiemHKII!$C$4:$C$58,0),BA$59)&lt;&gt;"",INDEX(BDHK2,MATCH($C45,DiemHKII!$C$4:$C$58,0),BA$59),""))</f>
        <v/>
      </c>
      <c r="BB45" s="792" t="str">
        <f t="shared" si="24"/>
        <v/>
      </c>
      <c r="BC45" s="776" t="str">
        <f t="shared" si="25"/>
        <v/>
      </c>
      <c r="BD45" s="774"/>
      <c r="BE45" s="775" t="str">
        <f>IF($B45="","",IF(INDEX(BDHK2,MATCH($C45,DiemHKII!$C$4:$C$58,0),BE$59)&lt;&gt;"",INDEX(BDHK2,MATCH($C45,DiemHKII!$C$4:$C$58,0),BE$59),""))</f>
        <v/>
      </c>
      <c r="BF45" s="792" t="str">
        <f t="shared" si="26"/>
        <v/>
      </c>
      <c r="BG45" s="776" t="str">
        <f>IF($B45="","",INDEX(NXetHKI!$B$3:$CL$57,MATCH(NXchung!$C45,NXetHKI!$C$3:$C$57,0),NXchung!BG$59))</f>
        <v/>
      </c>
      <c r="BH45" s="775" t="str">
        <f>IF($B45="","",IF(INDEX(BDHK2,MATCH($C45,DiemHKII!$C$4:$C$58,0),BH$59)&lt;&gt;"",INDEX(BDHK2,MATCH($C45,DiemHKII!$C$4:$C$58,0),BH$59),""))</f>
        <v/>
      </c>
      <c r="BI45" s="792" t="str">
        <f t="shared" si="27"/>
        <v/>
      </c>
      <c r="BJ45" s="776" t="str">
        <f t="shared" si="28"/>
        <v/>
      </c>
      <c r="BK45" s="775" t="str">
        <f>IF($B45="","",IF(INDEX(BDHK2,MATCH($C45,DiemHKII!$C$4:$C$58,0),BK$59)&lt;&gt;"",INDEX(BDHK2,MATCH($C45,DiemHKII!$C$4:$C$58,0),BK$59),""))</f>
        <v/>
      </c>
      <c r="BL45" s="792" t="str">
        <f t="shared" si="29"/>
        <v/>
      </c>
      <c r="BM45" s="776" t="str">
        <f t="shared" si="30"/>
        <v/>
      </c>
      <c r="BN45" s="774"/>
      <c r="BO45" s="775" t="str">
        <f>IF($B45="","",IF(INDEX(BDHK2,MATCH($C45,DiemHKII!$C$4:$C$58,0),BO$59)&lt;&gt;"",INDEX(BDHK2,MATCH($C45,DiemHKII!$C$4:$C$58,0),BO$59),""))</f>
        <v/>
      </c>
      <c r="BP45" s="792" t="str">
        <f t="shared" si="31"/>
        <v/>
      </c>
      <c r="BQ45" s="776" t="str">
        <f>IF($B45="","",INDEX(NXetHKI!$B$3:$CL$57,MATCH(NXchung!$C45,NXetHKI!$C$3:$C$57,0),NXchung!BQ$59))</f>
        <v/>
      </c>
      <c r="BR45" s="775" t="str">
        <f>IF($B45="","",IF(INDEX(BDHK2,MATCH($C45,DiemHKII!$C$4:$C$58,0),BR$59)&lt;&gt;"",INDEX(BDHK2,MATCH($C45,DiemHKII!$C$4:$C$58,0),BR$59),""))</f>
        <v/>
      </c>
      <c r="BS45" s="792" t="str">
        <f t="shared" si="32"/>
        <v/>
      </c>
      <c r="BT45" s="776" t="str">
        <f t="shared" si="33"/>
        <v/>
      </c>
      <c r="BU45" s="775" t="str">
        <f>IF($B45="","",IF(INDEX(BDHK2,MATCH($C45,DiemHKII!$C$4:$C$58,0),BU$59)&lt;&gt;"",INDEX(BDHK2,MATCH($C45,DiemHKII!$C$4:$C$58,0),BU$59),""))</f>
        <v/>
      </c>
      <c r="BV45" s="792" t="str">
        <f t="shared" si="34"/>
        <v/>
      </c>
      <c r="BW45" s="776" t="str">
        <f t="shared" si="35"/>
        <v/>
      </c>
      <c r="BX45" s="774"/>
      <c r="BY45" s="775" t="str">
        <f>IF($B45="","",IF(INDEX(BDHK2,MATCH($C45,DiemHKII!$C$4:$C$58,0),BY$59)&lt;&gt;"",INDEX(BDHK2,MATCH($C45,DiemHKII!$C$4:$C$58,0),BY$59),""))</f>
        <v/>
      </c>
      <c r="BZ45" s="792" t="str">
        <f t="shared" si="36"/>
        <v/>
      </c>
      <c r="CA45" s="776" t="str">
        <f>IF($B45="","",INDEX(NXetHKI!$B$3:$CL$57,MATCH(NXchung!$C45,NXetHKI!$C$3:$C$57,0),NXchung!CA$59))</f>
        <v/>
      </c>
      <c r="CB45" s="775" t="str">
        <f>IF($B45="","",IF(INDEX(BDHK2,MATCH($C45,DiemHKII!$C$4:$C$58,0),CB$59)&lt;&gt;"",INDEX(BDHK2,MATCH($C45,DiemHKII!$C$4:$C$58,0),CB$59),""))</f>
        <v/>
      </c>
      <c r="CC45" s="792" t="str">
        <f t="shared" si="37"/>
        <v/>
      </c>
      <c r="CD45" s="776" t="str">
        <f t="shared" si="38"/>
        <v/>
      </c>
      <c r="CE45" s="775" t="str">
        <f>IF($B45="","",IF(INDEX(BDHK2,MATCH($C45,DiemHKII!$C$4:$C$58,0),CE$59)&lt;&gt;"",INDEX(BDHK2,MATCH($C45,DiemHKII!$C$4:$C$58,0),CE$59),""))</f>
        <v/>
      </c>
      <c r="CF45" s="792" t="str">
        <f t="shared" si="39"/>
        <v/>
      </c>
      <c r="CG45" s="776" t="str">
        <f t="shared" si="40"/>
        <v/>
      </c>
      <c r="CH45" s="774"/>
      <c r="CI45" s="775" t="str">
        <f>IF($B45="","",IF(INDEX(BDHK2,MATCH($C45,DiemHKII!$C$4:$C$58,0),CI$59)&lt;&gt;"",INDEX(BDHK2,MATCH($C45,DiemHKII!$C$4:$C$58,0),CI$59),""))</f>
        <v/>
      </c>
      <c r="CJ45" s="792" t="str">
        <f t="shared" si="41"/>
        <v/>
      </c>
      <c r="CK45" s="776" t="str">
        <f>IF($B45="","",INDEX(NXetHKI!$B$3:$CL$57,MATCH(NXchung!$C45,NXetHKI!$C$3:$C$57,0),NXchung!CK$59))</f>
        <v/>
      </c>
      <c r="CL45" s="775" t="str">
        <f>IF($B45="","",IF(INDEX(BDHK2,MATCH($C45,DiemHKII!$C$4:$C$58,0),CL$59)&lt;&gt;"",INDEX(BDHK2,MATCH($C45,DiemHKII!$C$4:$C$58,0),CL$59),""))</f>
        <v/>
      </c>
      <c r="CM45" s="792" t="str">
        <f t="shared" si="42"/>
        <v/>
      </c>
      <c r="CN45" s="776" t="str">
        <f t="shared" si="43"/>
        <v/>
      </c>
      <c r="CO45" s="775" t="str">
        <f>IF($B45="","",IF(INDEX(BDHK2,MATCH($C45,DiemHKII!$C$4:$C$58,0),CO$59)&lt;&gt;"",INDEX(BDHK2,MATCH($C45,DiemHKII!$C$4:$C$58,0),CO$59),""))</f>
        <v/>
      </c>
      <c r="CP45" s="792" t="str">
        <f t="shared" si="44"/>
        <v/>
      </c>
      <c r="CQ45" s="776" t="str">
        <f t="shared" si="45"/>
        <v/>
      </c>
      <c r="CR45" s="774"/>
      <c r="CS45" s="775" t="str">
        <f>IF($B45="","",IF(INDEX(BDHK2,MATCH($C45,DiemHKII!$C$4:$C$58,0),CS$59)&lt;&gt;"",INDEX(BDHK2,MATCH($C45,DiemHKII!$C$4:$C$58,0),CS$59),""))</f>
        <v/>
      </c>
      <c r="CT45" s="792" t="str">
        <f t="shared" si="46"/>
        <v/>
      </c>
      <c r="CU45" s="776" t="str">
        <f>IF($B45="","",INDEX(NXetHKI!$B$3:$CL$57,MATCH(NXchung!$C45,NXetHKI!$C$3:$C$57,0),NXchung!CU$59))</f>
        <v/>
      </c>
      <c r="CV45" s="775" t="str">
        <f>IF($B45="","",IF(INDEX(BDHK2,MATCH($C45,DiemHKII!$C$4:$C$58,0),CV$59)&lt;&gt;"",INDEX(BDHK2,MATCH($C45,DiemHKII!$C$4:$C$58,0),CV$59),""))</f>
        <v/>
      </c>
      <c r="CW45" s="792" t="str">
        <f t="shared" si="47"/>
        <v/>
      </c>
      <c r="CX45" s="776" t="str">
        <f t="shared" si="48"/>
        <v/>
      </c>
      <c r="CY45" s="775" t="str">
        <f>IF($B45="","",IF(INDEX(BDHK2,MATCH($C45,DiemHKII!$C$4:$C$58,0),CY$59)&lt;&gt;"",INDEX(BDHK2,MATCH($C45,DiemHKII!$C$4:$C$58,0),CY$59),""))</f>
        <v/>
      </c>
      <c r="CZ45" s="792" t="str">
        <f t="shared" si="49"/>
        <v/>
      </c>
      <c r="DA45" s="776" t="str">
        <f t="shared" si="50"/>
        <v/>
      </c>
      <c r="DB45" s="774"/>
      <c r="DC45" s="775" t="str">
        <f>IF($B45="","",IF(INDEX(BDHK2,MATCH($C45,DiemHKII!$C$4:$C$58,0),DC$59)&lt;&gt;"",INDEX(BDHK2,MATCH($C45,DiemHKII!$C$4:$C$58,0),DC$59),""))</f>
        <v/>
      </c>
      <c r="DD45" s="792" t="str">
        <f t="shared" si="51"/>
        <v/>
      </c>
      <c r="DE45" s="776" t="str">
        <f>IF($B45="","",INDEX(NXetHKI!$B$3:$CL$57,MATCH(NXchung!$C45,NXetHKI!$C$3:$C$57,0),NXchung!DE$59))</f>
        <v/>
      </c>
      <c r="DF45" s="775" t="str">
        <f>IF($B45="","",IF(INDEX(BDHK2,MATCH($C45,DiemHKII!$C$4:$C$58,0),DF$59)&lt;&gt;"",INDEX(BDHK2,MATCH($C45,DiemHKII!$C$4:$C$58,0),DF$59),""))</f>
        <v/>
      </c>
      <c r="DG45" s="792" t="str">
        <f t="shared" si="52"/>
        <v/>
      </c>
      <c r="DH45" s="776" t="str">
        <f t="shared" si="53"/>
        <v/>
      </c>
      <c r="DI45" s="775" t="str">
        <f>IF($B45="","",IF(INDEX(BDHK2,MATCH($C45,DiemHKII!$C$4:$C$58,0),DI$59)&lt;&gt;"",INDEX(BDHK2,MATCH($C45,DiemHKII!$C$4:$C$58,0),DI$59),""))</f>
        <v/>
      </c>
      <c r="DJ45" s="792" t="str">
        <f t="shared" si="54"/>
        <v/>
      </c>
      <c r="DK45" s="776" t="str">
        <f t="shared" si="55"/>
        <v/>
      </c>
      <c r="DL45" s="774"/>
      <c r="DM45" s="775" t="str">
        <f>IF($B45="","",IF(INDEX(BDHK2,MATCH($C45,DiemHKII!$C$4:$C$58,0),DM$59)&lt;&gt;"",INDEX(BDHK2,MATCH($C45,DiemHKII!$C$4:$C$58,0),DM$59),""))</f>
        <v/>
      </c>
      <c r="DN45" s="792" t="str">
        <f t="shared" si="56"/>
        <v/>
      </c>
      <c r="DO45" s="776" t="str">
        <f>IF($B45="","",INDEX(NXetHKI!$B$3:$CL$57,MATCH(NXchung!$C45,NXetHKI!$C$3:$C$57,0),NXchung!DO$59))</f>
        <v/>
      </c>
      <c r="DP45" s="775" t="str">
        <f>IF($B45="","",IF(INDEX(BDHK2,MATCH($C45,DiemHKII!$C$4:$C$58,0),DP$59)&lt;&gt;"",INDEX(BDHK2,MATCH($C45,DiemHKII!$C$4:$C$58,0),DP$59),""))</f>
        <v/>
      </c>
      <c r="DQ45" s="792" t="str">
        <f t="shared" si="57"/>
        <v/>
      </c>
      <c r="DR45" s="776" t="str">
        <f t="shared" si="58"/>
        <v/>
      </c>
      <c r="DS45" s="775" t="str">
        <f>IF($B45="","",IF(INDEX(BDHK2,MATCH($C45,DiemHKII!$C$4:$C$58,0),DS$59)&lt;&gt;"",INDEX(BDHK2,MATCH($C45,DiemHKII!$C$4:$C$58,0),DS$59),""))</f>
        <v/>
      </c>
      <c r="DT45" s="792" t="str">
        <f t="shared" si="59"/>
        <v/>
      </c>
      <c r="DU45" s="776" t="str">
        <f t="shared" si="60"/>
        <v/>
      </c>
      <c r="DV45" s="774"/>
      <c r="DW45" s="775" t="str">
        <f>IF($B45="","",IF(INDEX(BDHK2,MATCH($C45,DiemHKII!$C$4:$C$58,0),DW$59)&lt;&gt;"",INDEX(BDHK2,MATCH($C45,DiemHKII!$C$4:$C$58,0),DW$59),""))</f>
        <v/>
      </c>
      <c r="DX45" s="792" t="str">
        <f t="shared" si="61"/>
        <v/>
      </c>
      <c r="DY45" s="776" t="str">
        <f>IF($B45="","",INDEX(NXetHKI!$B$3:$CL$57,MATCH(NXchung!$C45,NXetHKI!$C$3:$C$57,0),NXchung!DY$59))</f>
        <v/>
      </c>
      <c r="DZ45" s="775" t="str">
        <f>IF($B45="","",IF(INDEX(BDHK2,MATCH($C45,DiemHKII!$C$4:$C$58,0),DZ$59)&lt;&gt;"",INDEX(BDHK2,MATCH($C45,DiemHKII!$C$4:$C$58,0),DZ$59),""))</f>
        <v/>
      </c>
      <c r="EA45" s="792" t="str">
        <f t="shared" si="62"/>
        <v/>
      </c>
      <c r="EB45" s="776" t="str">
        <f t="shared" si="63"/>
        <v/>
      </c>
      <c r="EC45" s="775" t="str">
        <f>IF($B45="","",IF(INDEX(BDHK2,MATCH($C45,DiemHKII!$C$4:$C$58,0),EC$59)&lt;&gt;"",INDEX(BDHK2,MATCH($C45,DiemHKII!$C$4:$C$58,0),EC$59),""))</f>
        <v/>
      </c>
      <c r="ED45" s="792" t="str">
        <f t="shared" si="64"/>
        <v/>
      </c>
      <c r="EE45" s="776" t="str">
        <f t="shared" si="65"/>
        <v/>
      </c>
      <c r="EF45" s="774"/>
      <c r="EG45" s="775" t="str">
        <f>IF($B45="","",IF(INDEX(BDHK2,MATCH($C45,DiemHKII!$C$4:$C$58,0),EG$59)&lt;&gt;"",INDEX(BDHK2,MATCH($C45,DiemHKII!$C$4:$C$58,0),EG$59),""))</f>
        <v/>
      </c>
      <c r="EH45" s="792" t="str">
        <f t="shared" si="66"/>
        <v/>
      </c>
      <c r="EI45" s="776" t="str">
        <f>IF($B45="","",INDEX(NXetHKI!$B$3:$CL$57,MATCH(NXchung!$C45,NXetHKI!$C$3:$C$57,0),NXchung!EI$59))</f>
        <v/>
      </c>
      <c r="EJ45" s="775" t="str">
        <f>IF($B45="","",IF(INDEX(BDHK2,MATCH($C45,DiemHKII!$C$4:$C$58,0),EJ$59)&lt;&gt;"",INDEX(BDHK2,MATCH($C45,DiemHKII!$C$4:$C$58,0),EJ$59),""))</f>
        <v/>
      </c>
      <c r="EK45" s="792" t="str">
        <f t="shared" si="67"/>
        <v/>
      </c>
      <c r="EL45" s="776" t="str">
        <f t="shared" si="68"/>
        <v/>
      </c>
      <c r="EM45" s="775" t="str">
        <f>IF($B45="","",IF(INDEX(BDHK2,MATCH($C45,DiemHKII!$C$4:$C$58,0),EM$59)&lt;&gt;"",INDEX(BDHK2,MATCH($C45,DiemHKII!$C$4:$C$58,0),EM$59),""))</f>
        <v/>
      </c>
      <c r="EN45" s="792" t="str">
        <f t="shared" si="69"/>
        <v/>
      </c>
      <c r="EO45" s="776" t="str">
        <f t="shared" si="70"/>
        <v/>
      </c>
      <c r="EP45" s="774"/>
      <c r="ER45" s="816">
        <v>6</v>
      </c>
      <c r="ES45" s="816">
        <v>9</v>
      </c>
    </row>
    <row r="46" spans="2:149" ht="15" customHeight="1">
      <c r="B46" s="771" t="str">
        <f>IF(B45&lt;MAX(DiemHKII!$B$4:$B$58),B45+1,"")</f>
        <v/>
      </c>
      <c r="C46" s="771" t="str">
        <f t="shared" si="0"/>
        <v/>
      </c>
      <c r="D46" s="772" t="str">
        <f>IF($B46&lt;&gt;"",PROPER(INDEX(DiemHKII!$B$4:$K$58,MATCH($B46,DiemHKII!$B$4:$B$58,0),4)),"")</f>
        <v/>
      </c>
      <c r="E46" s="773" t="str">
        <f>IF($B46&lt;&gt;"",PROPER(INDEX(DiemHKII!$B$4:$K$58,MATCH($B46,DiemHKII!$B$4:$B$58,0),5)),"")</f>
        <v/>
      </c>
      <c r="F46" s="774" t="str">
        <f>IF($B46&lt;&gt;"",PROPER(INDEX(DiemHKII!$B$4:$K$58,MATCH($B46,DiemHKII!$B$4:$B$58,0),6)),"")</f>
        <v/>
      </c>
      <c r="G46" s="775" t="str">
        <f>IF($B46="","",IF(INDEX(BDHK2,MATCH($C46,DiemHKII!$C$4:$C$58,0),G$59)&lt;&gt;"",INDEX(BDHK2,MATCH($C46,DiemHKII!$C$4:$C$58,0),G$59),""))</f>
        <v/>
      </c>
      <c r="H46" s="792" t="str">
        <f t="shared" si="1"/>
        <v/>
      </c>
      <c r="I46" s="776" t="str">
        <f>IF($B46="","",INDEX(NXetHKI!$B$3:$CL$57,MATCH(NXchung!$C46,NXetHKI!$C$3:$C$57,0),NXchung!I$59))</f>
        <v/>
      </c>
      <c r="J46" s="775" t="str">
        <f>IF($B46="","",IF(INDEX(BDHK2,MATCH($C46,DiemHKII!$C$4:$C$58,0),J$59)&lt;&gt;"",INDEX(BDHK2,MATCH($C46,DiemHKII!$C$4:$C$58,0),J$59),""))</f>
        <v/>
      </c>
      <c r="K46" s="792" t="str">
        <f t="shared" si="2"/>
        <v/>
      </c>
      <c r="L46" s="776" t="str">
        <f t="shared" si="3"/>
        <v/>
      </c>
      <c r="M46" s="775" t="str">
        <f>IF($B46="","",IF(INDEX(BDHK2,MATCH($C46,DiemHKII!$C$4:$C$58,0),M$59)&lt;&gt;"",INDEX(BDHK2,MATCH($C46,DiemHKII!$C$4:$C$58,0),M$59),""))</f>
        <v/>
      </c>
      <c r="N46" s="792" t="str">
        <f t="shared" si="4"/>
        <v/>
      </c>
      <c r="O46" s="776" t="str">
        <f t="shared" si="5"/>
        <v/>
      </c>
      <c r="P46" s="774"/>
      <c r="Q46" s="775" t="str">
        <f>IF($B46="","",IF(INDEX(BDHK2,MATCH($C46,DiemHKII!$C$4:$C$58,0),Q$59)&lt;&gt;"",INDEX(BDHK2,MATCH($C46,DiemHKII!$C$4:$C$58,0),Q$59),""))</f>
        <v/>
      </c>
      <c r="R46" s="792" t="str">
        <f t="shared" si="6"/>
        <v/>
      </c>
      <c r="S46" s="776" t="str">
        <f>IF($B46="","",INDEX(NXetHKI!$B$3:$CL$57,MATCH(NXchung!$C46,NXetHKI!$C$3:$C$57,0),NXchung!S$59))</f>
        <v/>
      </c>
      <c r="T46" s="775" t="str">
        <f>IF($B46="","",IF(INDEX(BDHK2,MATCH($C46,DiemHKII!$C$4:$C$58,0),T$59)&lt;&gt;"",INDEX(BDHK2,MATCH($C46,DiemHKII!$C$4:$C$58,0),T$59),""))</f>
        <v/>
      </c>
      <c r="U46" s="792" t="str">
        <f t="shared" si="7"/>
        <v/>
      </c>
      <c r="V46" s="776" t="str">
        <f t="shared" si="8"/>
        <v/>
      </c>
      <c r="W46" s="775" t="str">
        <f>IF($B46="","",IF(INDEX(BDHK2,MATCH($C46,DiemHKII!$C$4:$C$58,0),W$59)&lt;&gt;"",INDEX(BDHK2,MATCH($C46,DiemHKII!$C$4:$C$58,0),W$59),""))</f>
        <v/>
      </c>
      <c r="X46" s="792" t="str">
        <f t="shared" si="9"/>
        <v/>
      </c>
      <c r="Y46" s="776" t="str">
        <f t="shared" si="10"/>
        <v/>
      </c>
      <c r="Z46" s="774"/>
      <c r="AA46" s="775" t="str">
        <f>IF($B46="","",IF(INDEX(BDHK2,MATCH($C46,DiemHKII!$C$4:$C$58,0),AA$59)&lt;&gt;"",INDEX(BDHK2,MATCH($C46,DiemHKII!$C$4:$C$58,0),AA$59),""))</f>
        <v/>
      </c>
      <c r="AB46" s="792" t="str">
        <f t="shared" si="11"/>
        <v/>
      </c>
      <c r="AC46" s="776" t="str">
        <f>IF($B46="","",INDEX(NXetHKI!$B$3:$CL$57,MATCH(NXchung!$C46,NXetHKI!$C$3:$C$57,0),NXchung!AC$59))</f>
        <v/>
      </c>
      <c r="AD46" s="775" t="str">
        <f>IF($B46="","",IF(INDEX(BDHK2,MATCH($C46,DiemHKII!$C$4:$C$58,0),AD$59)&lt;&gt;"",INDEX(BDHK2,MATCH($C46,DiemHKII!$C$4:$C$58,0),AD$59),""))</f>
        <v/>
      </c>
      <c r="AE46" s="792" t="str">
        <f t="shared" si="12"/>
        <v/>
      </c>
      <c r="AF46" s="776" t="str">
        <f t="shared" si="13"/>
        <v/>
      </c>
      <c r="AG46" s="775" t="str">
        <f>IF($B46="","",IF(INDEX(BDHK2,MATCH($C46,DiemHKII!$C$4:$C$58,0),AG$59)&lt;&gt;"",INDEX(BDHK2,MATCH($C46,DiemHKII!$C$4:$C$58,0),AG$59),""))</f>
        <v/>
      </c>
      <c r="AH46" s="792" t="str">
        <f t="shared" si="14"/>
        <v/>
      </c>
      <c r="AI46" s="776" t="str">
        <f t="shared" si="15"/>
        <v/>
      </c>
      <c r="AJ46" s="774"/>
      <c r="AK46" s="775" t="str">
        <f>IF($B46="","",IF(INDEX(BDHK2,MATCH($C46,DiemHKII!$C$4:$C$58,0),AK$59)&lt;&gt;"",INDEX(BDHK2,MATCH($C46,DiemHKII!$C$4:$C$58,0),AK$59),""))</f>
        <v/>
      </c>
      <c r="AL46" s="792" t="str">
        <f t="shared" si="16"/>
        <v/>
      </c>
      <c r="AM46" s="776" t="str">
        <f>IF($B46="","",INDEX(NXetHKI!$B$3:$CL$57,MATCH(NXchung!$C46,NXetHKI!$C$3:$C$57,0),NXchung!AM$59))</f>
        <v/>
      </c>
      <c r="AN46" s="775" t="str">
        <f>IF($B46="","",IF(INDEX(BDHK2,MATCH($C46,DiemHKII!$C$4:$C$58,0),AN$59)&lt;&gt;"",INDEX(BDHK2,MATCH($C46,DiemHKII!$C$4:$C$58,0),AN$59),""))</f>
        <v/>
      </c>
      <c r="AO46" s="792" t="str">
        <f t="shared" si="17"/>
        <v/>
      </c>
      <c r="AP46" s="776" t="str">
        <f t="shared" si="18"/>
        <v/>
      </c>
      <c r="AQ46" s="775" t="str">
        <f>IF($B46="","",IF(INDEX(BDHK2,MATCH($C46,DiemHKII!$C$4:$C$58,0),AQ$59)&lt;&gt;"",INDEX(BDHK2,MATCH($C46,DiemHKII!$C$4:$C$58,0),AQ$59),""))</f>
        <v/>
      </c>
      <c r="AR46" s="792" t="str">
        <f t="shared" si="19"/>
        <v/>
      </c>
      <c r="AS46" s="776" t="str">
        <f t="shared" si="20"/>
        <v/>
      </c>
      <c r="AT46" s="774"/>
      <c r="AU46" s="775" t="str">
        <f>IF($B46="","",IF(INDEX(BDHK2,MATCH($C46,DiemHKII!$C$4:$C$58,0),AU$59)&lt;&gt;"",INDEX(BDHK2,MATCH($C46,DiemHKII!$C$4:$C$58,0),AU$59),""))</f>
        <v/>
      </c>
      <c r="AV46" s="792" t="str">
        <f t="shared" si="21"/>
        <v/>
      </c>
      <c r="AW46" s="776" t="str">
        <f>IF($B46="","",INDEX(NXetHKI!$B$3:$CL$57,MATCH(NXchung!$C46,NXetHKI!$C$3:$C$57,0),NXchung!AW$59))</f>
        <v/>
      </c>
      <c r="AX46" s="775" t="str">
        <f>IF($B46="","",IF(INDEX(BDHK2,MATCH($C46,DiemHKII!$C$4:$C$58,0),AX$59)&lt;&gt;"",INDEX(BDHK2,MATCH($C46,DiemHKII!$C$4:$C$58,0),AX$59),""))</f>
        <v/>
      </c>
      <c r="AY46" s="792" t="str">
        <f t="shared" si="22"/>
        <v/>
      </c>
      <c r="AZ46" s="776" t="str">
        <f t="shared" si="23"/>
        <v/>
      </c>
      <c r="BA46" s="775" t="str">
        <f>IF($B46="","",IF(INDEX(BDHK2,MATCH($C46,DiemHKII!$C$4:$C$58,0),BA$59)&lt;&gt;"",INDEX(BDHK2,MATCH($C46,DiemHKII!$C$4:$C$58,0),BA$59),""))</f>
        <v/>
      </c>
      <c r="BB46" s="792" t="str">
        <f t="shared" si="24"/>
        <v/>
      </c>
      <c r="BC46" s="776" t="str">
        <f t="shared" si="25"/>
        <v/>
      </c>
      <c r="BD46" s="774"/>
      <c r="BE46" s="775" t="str">
        <f>IF($B46="","",IF(INDEX(BDHK2,MATCH($C46,DiemHKII!$C$4:$C$58,0),BE$59)&lt;&gt;"",INDEX(BDHK2,MATCH($C46,DiemHKII!$C$4:$C$58,0),BE$59),""))</f>
        <v/>
      </c>
      <c r="BF46" s="792" t="str">
        <f t="shared" si="26"/>
        <v/>
      </c>
      <c r="BG46" s="776" t="str">
        <f>IF($B46="","",INDEX(NXetHKI!$B$3:$CL$57,MATCH(NXchung!$C46,NXetHKI!$C$3:$C$57,0),NXchung!BG$59))</f>
        <v/>
      </c>
      <c r="BH46" s="775" t="str">
        <f>IF($B46="","",IF(INDEX(BDHK2,MATCH($C46,DiemHKII!$C$4:$C$58,0),BH$59)&lt;&gt;"",INDEX(BDHK2,MATCH($C46,DiemHKII!$C$4:$C$58,0),BH$59),""))</f>
        <v/>
      </c>
      <c r="BI46" s="792" t="str">
        <f t="shared" si="27"/>
        <v/>
      </c>
      <c r="BJ46" s="776" t="str">
        <f t="shared" si="28"/>
        <v/>
      </c>
      <c r="BK46" s="775" t="str">
        <f>IF($B46="","",IF(INDEX(BDHK2,MATCH($C46,DiemHKII!$C$4:$C$58,0),BK$59)&lt;&gt;"",INDEX(BDHK2,MATCH($C46,DiemHKII!$C$4:$C$58,0),BK$59),""))</f>
        <v/>
      </c>
      <c r="BL46" s="792" t="str">
        <f t="shared" si="29"/>
        <v/>
      </c>
      <c r="BM46" s="776" t="str">
        <f t="shared" si="30"/>
        <v/>
      </c>
      <c r="BN46" s="774"/>
      <c r="BO46" s="775" t="str">
        <f>IF($B46="","",IF(INDEX(BDHK2,MATCH($C46,DiemHKII!$C$4:$C$58,0),BO$59)&lt;&gt;"",INDEX(BDHK2,MATCH($C46,DiemHKII!$C$4:$C$58,0),BO$59),""))</f>
        <v/>
      </c>
      <c r="BP46" s="792" t="str">
        <f t="shared" si="31"/>
        <v/>
      </c>
      <c r="BQ46" s="776" t="str">
        <f>IF($B46="","",INDEX(NXetHKI!$B$3:$CL$57,MATCH(NXchung!$C46,NXetHKI!$C$3:$C$57,0),NXchung!BQ$59))</f>
        <v/>
      </c>
      <c r="BR46" s="775" t="str">
        <f>IF($B46="","",IF(INDEX(BDHK2,MATCH($C46,DiemHKII!$C$4:$C$58,0),BR$59)&lt;&gt;"",INDEX(BDHK2,MATCH($C46,DiemHKII!$C$4:$C$58,0),BR$59),""))</f>
        <v/>
      </c>
      <c r="BS46" s="792" t="str">
        <f t="shared" si="32"/>
        <v/>
      </c>
      <c r="BT46" s="776" t="str">
        <f t="shared" si="33"/>
        <v/>
      </c>
      <c r="BU46" s="775" t="str">
        <f>IF($B46="","",IF(INDEX(BDHK2,MATCH($C46,DiemHKII!$C$4:$C$58,0),BU$59)&lt;&gt;"",INDEX(BDHK2,MATCH($C46,DiemHKII!$C$4:$C$58,0),BU$59),""))</f>
        <v/>
      </c>
      <c r="BV46" s="792" t="str">
        <f t="shared" si="34"/>
        <v/>
      </c>
      <c r="BW46" s="776" t="str">
        <f t="shared" si="35"/>
        <v/>
      </c>
      <c r="BX46" s="774"/>
      <c r="BY46" s="775" t="str">
        <f>IF($B46="","",IF(INDEX(BDHK2,MATCH($C46,DiemHKII!$C$4:$C$58,0),BY$59)&lt;&gt;"",INDEX(BDHK2,MATCH($C46,DiemHKII!$C$4:$C$58,0),BY$59),""))</f>
        <v/>
      </c>
      <c r="BZ46" s="792" t="str">
        <f t="shared" si="36"/>
        <v/>
      </c>
      <c r="CA46" s="776" t="str">
        <f>IF($B46="","",INDEX(NXetHKI!$B$3:$CL$57,MATCH(NXchung!$C46,NXetHKI!$C$3:$C$57,0),NXchung!CA$59))</f>
        <v/>
      </c>
      <c r="CB46" s="775" t="str">
        <f>IF($B46="","",IF(INDEX(BDHK2,MATCH($C46,DiemHKII!$C$4:$C$58,0),CB$59)&lt;&gt;"",INDEX(BDHK2,MATCH($C46,DiemHKII!$C$4:$C$58,0),CB$59),""))</f>
        <v/>
      </c>
      <c r="CC46" s="792" t="str">
        <f t="shared" si="37"/>
        <v/>
      </c>
      <c r="CD46" s="776" t="str">
        <f t="shared" si="38"/>
        <v/>
      </c>
      <c r="CE46" s="775" t="str">
        <f>IF($B46="","",IF(INDEX(BDHK2,MATCH($C46,DiemHKII!$C$4:$C$58,0),CE$59)&lt;&gt;"",INDEX(BDHK2,MATCH($C46,DiemHKII!$C$4:$C$58,0),CE$59),""))</f>
        <v/>
      </c>
      <c r="CF46" s="792" t="str">
        <f t="shared" si="39"/>
        <v/>
      </c>
      <c r="CG46" s="776" t="str">
        <f t="shared" si="40"/>
        <v/>
      </c>
      <c r="CH46" s="774"/>
      <c r="CI46" s="775" t="str">
        <f>IF($B46="","",IF(INDEX(BDHK2,MATCH($C46,DiemHKII!$C$4:$C$58,0),CI$59)&lt;&gt;"",INDEX(BDHK2,MATCH($C46,DiemHKII!$C$4:$C$58,0),CI$59),""))</f>
        <v/>
      </c>
      <c r="CJ46" s="792" t="str">
        <f t="shared" si="41"/>
        <v/>
      </c>
      <c r="CK46" s="776" t="str">
        <f>IF($B46="","",INDEX(NXetHKI!$B$3:$CL$57,MATCH(NXchung!$C46,NXetHKI!$C$3:$C$57,0),NXchung!CK$59))</f>
        <v/>
      </c>
      <c r="CL46" s="775" t="str">
        <f>IF($B46="","",IF(INDEX(BDHK2,MATCH($C46,DiemHKII!$C$4:$C$58,0),CL$59)&lt;&gt;"",INDEX(BDHK2,MATCH($C46,DiemHKII!$C$4:$C$58,0),CL$59),""))</f>
        <v/>
      </c>
      <c r="CM46" s="792" t="str">
        <f t="shared" si="42"/>
        <v/>
      </c>
      <c r="CN46" s="776" t="str">
        <f t="shared" si="43"/>
        <v/>
      </c>
      <c r="CO46" s="775" t="str">
        <f>IF($B46="","",IF(INDEX(BDHK2,MATCH($C46,DiemHKII!$C$4:$C$58,0),CO$59)&lt;&gt;"",INDEX(BDHK2,MATCH($C46,DiemHKII!$C$4:$C$58,0),CO$59),""))</f>
        <v/>
      </c>
      <c r="CP46" s="792" t="str">
        <f t="shared" si="44"/>
        <v/>
      </c>
      <c r="CQ46" s="776" t="str">
        <f t="shared" si="45"/>
        <v/>
      </c>
      <c r="CR46" s="774"/>
      <c r="CS46" s="775" t="str">
        <f>IF($B46="","",IF(INDEX(BDHK2,MATCH($C46,DiemHKII!$C$4:$C$58,0),CS$59)&lt;&gt;"",INDEX(BDHK2,MATCH($C46,DiemHKII!$C$4:$C$58,0),CS$59),""))</f>
        <v/>
      </c>
      <c r="CT46" s="792" t="str">
        <f t="shared" si="46"/>
        <v/>
      </c>
      <c r="CU46" s="776" t="str">
        <f>IF($B46="","",INDEX(NXetHKI!$B$3:$CL$57,MATCH(NXchung!$C46,NXetHKI!$C$3:$C$57,0),NXchung!CU$59))</f>
        <v/>
      </c>
      <c r="CV46" s="775" t="str">
        <f>IF($B46="","",IF(INDEX(BDHK2,MATCH($C46,DiemHKII!$C$4:$C$58,0),CV$59)&lt;&gt;"",INDEX(BDHK2,MATCH($C46,DiemHKII!$C$4:$C$58,0),CV$59),""))</f>
        <v/>
      </c>
      <c r="CW46" s="792" t="str">
        <f t="shared" si="47"/>
        <v/>
      </c>
      <c r="CX46" s="776" t="str">
        <f t="shared" si="48"/>
        <v/>
      </c>
      <c r="CY46" s="775" t="str">
        <f>IF($B46="","",IF(INDEX(BDHK2,MATCH($C46,DiemHKII!$C$4:$C$58,0),CY$59)&lt;&gt;"",INDEX(BDHK2,MATCH($C46,DiemHKII!$C$4:$C$58,0),CY$59),""))</f>
        <v/>
      </c>
      <c r="CZ46" s="792" t="str">
        <f t="shared" si="49"/>
        <v/>
      </c>
      <c r="DA46" s="776" t="str">
        <f t="shared" si="50"/>
        <v/>
      </c>
      <c r="DB46" s="774"/>
      <c r="DC46" s="775" t="str">
        <f>IF($B46="","",IF(INDEX(BDHK2,MATCH($C46,DiemHKII!$C$4:$C$58,0),DC$59)&lt;&gt;"",INDEX(BDHK2,MATCH($C46,DiemHKII!$C$4:$C$58,0),DC$59),""))</f>
        <v/>
      </c>
      <c r="DD46" s="792" t="str">
        <f t="shared" si="51"/>
        <v/>
      </c>
      <c r="DE46" s="776" t="str">
        <f>IF($B46="","",INDEX(NXetHKI!$B$3:$CL$57,MATCH(NXchung!$C46,NXetHKI!$C$3:$C$57,0),NXchung!DE$59))</f>
        <v/>
      </c>
      <c r="DF46" s="775" t="str">
        <f>IF($B46="","",IF(INDEX(BDHK2,MATCH($C46,DiemHKII!$C$4:$C$58,0),DF$59)&lt;&gt;"",INDEX(BDHK2,MATCH($C46,DiemHKII!$C$4:$C$58,0),DF$59),""))</f>
        <v/>
      </c>
      <c r="DG46" s="792" t="str">
        <f t="shared" si="52"/>
        <v/>
      </c>
      <c r="DH46" s="776" t="str">
        <f t="shared" si="53"/>
        <v/>
      </c>
      <c r="DI46" s="775" t="str">
        <f>IF($B46="","",IF(INDEX(BDHK2,MATCH($C46,DiemHKII!$C$4:$C$58,0),DI$59)&lt;&gt;"",INDEX(BDHK2,MATCH($C46,DiemHKII!$C$4:$C$58,0),DI$59),""))</f>
        <v/>
      </c>
      <c r="DJ46" s="792" t="str">
        <f t="shared" si="54"/>
        <v/>
      </c>
      <c r="DK46" s="776" t="str">
        <f t="shared" si="55"/>
        <v/>
      </c>
      <c r="DL46" s="774"/>
      <c r="DM46" s="775" t="str">
        <f>IF($B46="","",IF(INDEX(BDHK2,MATCH($C46,DiemHKII!$C$4:$C$58,0),DM$59)&lt;&gt;"",INDEX(BDHK2,MATCH($C46,DiemHKII!$C$4:$C$58,0),DM$59),""))</f>
        <v/>
      </c>
      <c r="DN46" s="792" t="str">
        <f t="shared" si="56"/>
        <v/>
      </c>
      <c r="DO46" s="776" t="str">
        <f>IF($B46="","",INDEX(NXetHKI!$B$3:$CL$57,MATCH(NXchung!$C46,NXetHKI!$C$3:$C$57,0),NXchung!DO$59))</f>
        <v/>
      </c>
      <c r="DP46" s="775" t="str">
        <f>IF($B46="","",IF(INDEX(BDHK2,MATCH($C46,DiemHKII!$C$4:$C$58,0),DP$59)&lt;&gt;"",INDEX(BDHK2,MATCH($C46,DiemHKII!$C$4:$C$58,0),DP$59),""))</f>
        <v/>
      </c>
      <c r="DQ46" s="792" t="str">
        <f t="shared" si="57"/>
        <v/>
      </c>
      <c r="DR46" s="776" t="str">
        <f t="shared" si="58"/>
        <v/>
      </c>
      <c r="DS46" s="775" t="str">
        <f>IF($B46="","",IF(INDEX(BDHK2,MATCH($C46,DiemHKII!$C$4:$C$58,0),DS$59)&lt;&gt;"",INDEX(BDHK2,MATCH($C46,DiemHKII!$C$4:$C$58,0),DS$59),""))</f>
        <v/>
      </c>
      <c r="DT46" s="792" t="str">
        <f t="shared" si="59"/>
        <v/>
      </c>
      <c r="DU46" s="776" t="str">
        <f t="shared" si="60"/>
        <v/>
      </c>
      <c r="DV46" s="774"/>
      <c r="DW46" s="775" t="str">
        <f>IF($B46="","",IF(INDEX(BDHK2,MATCH($C46,DiemHKII!$C$4:$C$58,0),DW$59)&lt;&gt;"",INDEX(BDHK2,MATCH($C46,DiemHKII!$C$4:$C$58,0),DW$59),""))</f>
        <v/>
      </c>
      <c r="DX46" s="792" t="str">
        <f t="shared" si="61"/>
        <v/>
      </c>
      <c r="DY46" s="776" t="str">
        <f>IF($B46="","",INDEX(NXetHKI!$B$3:$CL$57,MATCH(NXchung!$C46,NXetHKI!$C$3:$C$57,0),NXchung!DY$59))</f>
        <v/>
      </c>
      <c r="DZ46" s="775" t="str">
        <f>IF($B46="","",IF(INDEX(BDHK2,MATCH($C46,DiemHKII!$C$4:$C$58,0),DZ$59)&lt;&gt;"",INDEX(BDHK2,MATCH($C46,DiemHKII!$C$4:$C$58,0),DZ$59),""))</f>
        <v/>
      </c>
      <c r="EA46" s="792" t="str">
        <f t="shared" si="62"/>
        <v/>
      </c>
      <c r="EB46" s="776" t="str">
        <f t="shared" si="63"/>
        <v/>
      </c>
      <c r="EC46" s="775" t="str">
        <f>IF($B46="","",IF(INDEX(BDHK2,MATCH($C46,DiemHKII!$C$4:$C$58,0),EC$59)&lt;&gt;"",INDEX(BDHK2,MATCH($C46,DiemHKII!$C$4:$C$58,0),EC$59),""))</f>
        <v/>
      </c>
      <c r="ED46" s="792" t="str">
        <f t="shared" si="64"/>
        <v/>
      </c>
      <c r="EE46" s="776" t="str">
        <f t="shared" si="65"/>
        <v/>
      </c>
      <c r="EF46" s="774"/>
      <c r="EG46" s="775" t="str">
        <f>IF($B46="","",IF(INDEX(BDHK2,MATCH($C46,DiemHKII!$C$4:$C$58,0),EG$59)&lt;&gt;"",INDEX(BDHK2,MATCH($C46,DiemHKII!$C$4:$C$58,0),EG$59),""))</f>
        <v/>
      </c>
      <c r="EH46" s="792" t="str">
        <f t="shared" si="66"/>
        <v/>
      </c>
      <c r="EI46" s="776" t="str">
        <f>IF($B46="","",INDEX(NXetHKI!$B$3:$CL$57,MATCH(NXchung!$C46,NXetHKI!$C$3:$C$57,0),NXchung!EI$59))</f>
        <v/>
      </c>
      <c r="EJ46" s="775" t="str">
        <f>IF($B46="","",IF(INDEX(BDHK2,MATCH($C46,DiemHKII!$C$4:$C$58,0),EJ$59)&lt;&gt;"",INDEX(BDHK2,MATCH($C46,DiemHKII!$C$4:$C$58,0),EJ$59),""))</f>
        <v/>
      </c>
      <c r="EK46" s="792" t="str">
        <f t="shared" si="67"/>
        <v/>
      </c>
      <c r="EL46" s="776" t="str">
        <f t="shared" si="68"/>
        <v/>
      </c>
      <c r="EM46" s="775" t="str">
        <f>IF($B46="","",IF(INDEX(BDHK2,MATCH($C46,DiemHKII!$C$4:$C$58,0),EM$59)&lt;&gt;"",INDEX(BDHK2,MATCH($C46,DiemHKII!$C$4:$C$58,0),EM$59),""))</f>
        <v/>
      </c>
      <c r="EN46" s="792" t="str">
        <f t="shared" si="69"/>
        <v/>
      </c>
      <c r="EO46" s="776" t="str">
        <f t="shared" si="70"/>
        <v/>
      </c>
      <c r="EP46" s="774"/>
      <c r="ER46" s="816">
        <v>9</v>
      </c>
      <c r="ES46" s="816">
        <v>3</v>
      </c>
    </row>
    <row r="47" spans="2:149" ht="15" customHeight="1">
      <c r="B47" s="777" t="str">
        <f>IF(B46&lt;MAX(DiemHKII!$B$4:$B$58),B46+1,"")</f>
        <v/>
      </c>
      <c r="C47" s="777" t="str">
        <f t="shared" si="0"/>
        <v/>
      </c>
      <c r="D47" s="778" t="str">
        <f>IF($B47&lt;&gt;"",PROPER(INDEX(DiemHKII!$B$4:$K$58,MATCH($B47,DiemHKII!$B$4:$B$58,0),4)),"")</f>
        <v/>
      </c>
      <c r="E47" s="779" t="str">
        <f>IF($B47&lt;&gt;"",PROPER(INDEX(DiemHKII!$B$4:$K$58,MATCH($B47,DiemHKII!$B$4:$B$58,0),5)),"")</f>
        <v/>
      </c>
      <c r="F47" s="780" t="str">
        <f>IF($B47&lt;&gt;"",PROPER(INDEX(DiemHKII!$B$4:$K$58,MATCH($B47,DiemHKII!$B$4:$B$58,0),6)),"")</f>
        <v/>
      </c>
      <c r="G47" s="781" t="str">
        <f>IF($B47="","",IF(INDEX(BDHK2,MATCH($C47,DiemHKII!$C$4:$C$58,0),G$59)&lt;&gt;"",INDEX(BDHK2,MATCH($C47,DiemHKII!$C$4:$C$58,0),G$59),""))</f>
        <v/>
      </c>
      <c r="H47" s="793" t="str">
        <f t="shared" si="1"/>
        <v/>
      </c>
      <c r="I47" s="782" t="str">
        <f>IF($B47="","",INDEX(NXetHKI!$B$3:$CL$57,MATCH(NXchung!$C47,NXetHKI!$C$3:$C$57,0),NXchung!I$59))</f>
        <v/>
      </c>
      <c r="J47" s="781" t="str">
        <f>IF($B47="","",IF(INDEX(BDHK2,MATCH($C47,DiemHKII!$C$4:$C$58,0),J$59)&lt;&gt;"",INDEX(BDHK2,MATCH($C47,DiemHKII!$C$4:$C$58,0),J$59),""))</f>
        <v/>
      </c>
      <c r="K47" s="793" t="str">
        <f t="shared" si="2"/>
        <v/>
      </c>
      <c r="L47" s="782" t="str">
        <f t="shared" si="3"/>
        <v/>
      </c>
      <c r="M47" s="781" t="str">
        <f>IF($B47="","",IF(INDEX(BDHK2,MATCH($C47,DiemHKII!$C$4:$C$58,0),M$59)&lt;&gt;"",INDEX(BDHK2,MATCH($C47,DiemHKII!$C$4:$C$58,0),M$59),""))</f>
        <v/>
      </c>
      <c r="N47" s="793" t="str">
        <f t="shared" si="4"/>
        <v/>
      </c>
      <c r="O47" s="782" t="str">
        <f t="shared" si="5"/>
        <v/>
      </c>
      <c r="P47" s="780"/>
      <c r="Q47" s="781" t="str">
        <f>IF($B47="","",IF(INDEX(BDHK2,MATCH($C47,DiemHKII!$C$4:$C$58,0),Q$59)&lt;&gt;"",INDEX(BDHK2,MATCH($C47,DiemHKII!$C$4:$C$58,0),Q$59),""))</f>
        <v/>
      </c>
      <c r="R47" s="793" t="str">
        <f t="shared" si="6"/>
        <v/>
      </c>
      <c r="S47" s="782" t="str">
        <f>IF($B47="","",INDEX(NXetHKI!$B$3:$CL$57,MATCH(NXchung!$C47,NXetHKI!$C$3:$C$57,0),NXchung!S$59))</f>
        <v/>
      </c>
      <c r="T47" s="781" t="str">
        <f>IF($B47="","",IF(INDEX(BDHK2,MATCH($C47,DiemHKII!$C$4:$C$58,0),T$59)&lt;&gt;"",INDEX(BDHK2,MATCH($C47,DiemHKII!$C$4:$C$58,0),T$59),""))</f>
        <v/>
      </c>
      <c r="U47" s="793" t="str">
        <f t="shared" si="7"/>
        <v/>
      </c>
      <c r="V47" s="782" t="str">
        <f t="shared" si="8"/>
        <v/>
      </c>
      <c r="W47" s="781" t="str">
        <f>IF($B47="","",IF(INDEX(BDHK2,MATCH($C47,DiemHKII!$C$4:$C$58,0),W$59)&lt;&gt;"",INDEX(BDHK2,MATCH($C47,DiemHKII!$C$4:$C$58,0),W$59),""))</f>
        <v/>
      </c>
      <c r="X47" s="793" t="str">
        <f t="shared" si="9"/>
        <v/>
      </c>
      <c r="Y47" s="782" t="str">
        <f t="shared" si="10"/>
        <v/>
      </c>
      <c r="Z47" s="780"/>
      <c r="AA47" s="781" t="str">
        <f>IF($B47="","",IF(INDEX(BDHK2,MATCH($C47,DiemHKII!$C$4:$C$58,0),AA$59)&lt;&gt;"",INDEX(BDHK2,MATCH($C47,DiemHKII!$C$4:$C$58,0),AA$59),""))</f>
        <v/>
      </c>
      <c r="AB47" s="793" t="str">
        <f t="shared" si="11"/>
        <v/>
      </c>
      <c r="AC47" s="782" t="str">
        <f>IF($B47="","",INDEX(NXetHKI!$B$3:$CL$57,MATCH(NXchung!$C47,NXetHKI!$C$3:$C$57,0),NXchung!AC$59))</f>
        <v/>
      </c>
      <c r="AD47" s="781" t="str">
        <f>IF($B47="","",IF(INDEX(BDHK2,MATCH($C47,DiemHKII!$C$4:$C$58,0),AD$59)&lt;&gt;"",INDEX(BDHK2,MATCH($C47,DiemHKII!$C$4:$C$58,0),AD$59),""))</f>
        <v/>
      </c>
      <c r="AE47" s="793" t="str">
        <f t="shared" si="12"/>
        <v/>
      </c>
      <c r="AF47" s="782" t="str">
        <f t="shared" si="13"/>
        <v/>
      </c>
      <c r="AG47" s="781" t="str">
        <f>IF($B47="","",IF(INDEX(BDHK2,MATCH($C47,DiemHKII!$C$4:$C$58,0),AG$59)&lt;&gt;"",INDEX(BDHK2,MATCH($C47,DiemHKII!$C$4:$C$58,0),AG$59),""))</f>
        <v/>
      </c>
      <c r="AH47" s="793" t="str">
        <f t="shared" si="14"/>
        <v/>
      </c>
      <c r="AI47" s="782" t="str">
        <f t="shared" si="15"/>
        <v/>
      </c>
      <c r="AJ47" s="780"/>
      <c r="AK47" s="781" t="str">
        <f>IF($B47="","",IF(INDEX(BDHK2,MATCH($C47,DiemHKII!$C$4:$C$58,0),AK$59)&lt;&gt;"",INDEX(BDHK2,MATCH($C47,DiemHKII!$C$4:$C$58,0),AK$59),""))</f>
        <v/>
      </c>
      <c r="AL47" s="793" t="str">
        <f t="shared" si="16"/>
        <v/>
      </c>
      <c r="AM47" s="782" t="str">
        <f>IF($B47="","",INDEX(NXetHKI!$B$3:$CL$57,MATCH(NXchung!$C47,NXetHKI!$C$3:$C$57,0),NXchung!AM$59))</f>
        <v/>
      </c>
      <c r="AN47" s="781" t="str">
        <f>IF($B47="","",IF(INDEX(BDHK2,MATCH($C47,DiemHKII!$C$4:$C$58,0),AN$59)&lt;&gt;"",INDEX(BDHK2,MATCH($C47,DiemHKII!$C$4:$C$58,0),AN$59),""))</f>
        <v/>
      </c>
      <c r="AO47" s="793" t="str">
        <f t="shared" si="17"/>
        <v/>
      </c>
      <c r="AP47" s="782" t="str">
        <f t="shared" si="18"/>
        <v/>
      </c>
      <c r="AQ47" s="781" t="str">
        <f>IF($B47="","",IF(INDEX(BDHK2,MATCH($C47,DiemHKII!$C$4:$C$58,0),AQ$59)&lt;&gt;"",INDEX(BDHK2,MATCH($C47,DiemHKII!$C$4:$C$58,0),AQ$59),""))</f>
        <v/>
      </c>
      <c r="AR47" s="793" t="str">
        <f t="shared" si="19"/>
        <v/>
      </c>
      <c r="AS47" s="782" t="str">
        <f t="shared" si="20"/>
        <v/>
      </c>
      <c r="AT47" s="780"/>
      <c r="AU47" s="781" t="str">
        <f>IF($B47="","",IF(INDEX(BDHK2,MATCH($C47,DiemHKII!$C$4:$C$58,0),AU$59)&lt;&gt;"",INDEX(BDHK2,MATCH($C47,DiemHKII!$C$4:$C$58,0),AU$59),""))</f>
        <v/>
      </c>
      <c r="AV47" s="793" t="str">
        <f t="shared" si="21"/>
        <v/>
      </c>
      <c r="AW47" s="782" t="str">
        <f>IF($B47="","",INDEX(NXetHKI!$B$3:$CL$57,MATCH(NXchung!$C47,NXetHKI!$C$3:$C$57,0),NXchung!AW$59))</f>
        <v/>
      </c>
      <c r="AX47" s="781" t="str">
        <f>IF($B47="","",IF(INDEX(BDHK2,MATCH($C47,DiemHKII!$C$4:$C$58,0),AX$59)&lt;&gt;"",INDEX(BDHK2,MATCH($C47,DiemHKII!$C$4:$C$58,0),AX$59),""))</f>
        <v/>
      </c>
      <c r="AY47" s="793" t="str">
        <f t="shared" si="22"/>
        <v/>
      </c>
      <c r="AZ47" s="782" t="str">
        <f t="shared" si="23"/>
        <v/>
      </c>
      <c r="BA47" s="781" t="str">
        <f>IF($B47="","",IF(INDEX(BDHK2,MATCH($C47,DiemHKII!$C$4:$C$58,0),BA$59)&lt;&gt;"",INDEX(BDHK2,MATCH($C47,DiemHKII!$C$4:$C$58,0),BA$59),""))</f>
        <v/>
      </c>
      <c r="BB47" s="793" t="str">
        <f t="shared" si="24"/>
        <v/>
      </c>
      <c r="BC47" s="782" t="str">
        <f t="shared" si="25"/>
        <v/>
      </c>
      <c r="BD47" s="780"/>
      <c r="BE47" s="781" t="str">
        <f>IF($B47="","",IF(INDEX(BDHK2,MATCH($C47,DiemHKII!$C$4:$C$58,0),BE$59)&lt;&gt;"",INDEX(BDHK2,MATCH($C47,DiemHKII!$C$4:$C$58,0),BE$59),""))</f>
        <v/>
      </c>
      <c r="BF47" s="793" t="str">
        <f t="shared" si="26"/>
        <v/>
      </c>
      <c r="BG47" s="782" t="str">
        <f>IF($B47="","",INDEX(NXetHKI!$B$3:$CL$57,MATCH(NXchung!$C47,NXetHKI!$C$3:$C$57,0),NXchung!BG$59))</f>
        <v/>
      </c>
      <c r="BH47" s="781" t="str">
        <f>IF($B47="","",IF(INDEX(BDHK2,MATCH($C47,DiemHKII!$C$4:$C$58,0),BH$59)&lt;&gt;"",INDEX(BDHK2,MATCH($C47,DiemHKII!$C$4:$C$58,0),BH$59),""))</f>
        <v/>
      </c>
      <c r="BI47" s="793" t="str">
        <f t="shared" si="27"/>
        <v/>
      </c>
      <c r="BJ47" s="782" t="str">
        <f t="shared" si="28"/>
        <v/>
      </c>
      <c r="BK47" s="781" t="str">
        <f>IF($B47="","",IF(INDEX(BDHK2,MATCH($C47,DiemHKII!$C$4:$C$58,0),BK$59)&lt;&gt;"",INDEX(BDHK2,MATCH($C47,DiemHKII!$C$4:$C$58,0),BK$59),""))</f>
        <v/>
      </c>
      <c r="BL47" s="793" t="str">
        <f t="shared" si="29"/>
        <v/>
      </c>
      <c r="BM47" s="782" t="str">
        <f t="shared" si="30"/>
        <v/>
      </c>
      <c r="BN47" s="780"/>
      <c r="BO47" s="781" t="str">
        <f>IF($B47="","",IF(INDEX(BDHK2,MATCH($C47,DiemHKII!$C$4:$C$58,0),BO$59)&lt;&gt;"",INDEX(BDHK2,MATCH($C47,DiemHKII!$C$4:$C$58,0),BO$59),""))</f>
        <v/>
      </c>
      <c r="BP47" s="793" t="str">
        <f t="shared" si="31"/>
        <v/>
      </c>
      <c r="BQ47" s="782" t="str">
        <f>IF($B47="","",INDEX(NXetHKI!$B$3:$CL$57,MATCH(NXchung!$C47,NXetHKI!$C$3:$C$57,0),NXchung!BQ$59))</f>
        <v/>
      </c>
      <c r="BR47" s="781" t="str">
        <f>IF($B47="","",IF(INDEX(BDHK2,MATCH($C47,DiemHKII!$C$4:$C$58,0),BR$59)&lt;&gt;"",INDEX(BDHK2,MATCH($C47,DiemHKII!$C$4:$C$58,0),BR$59),""))</f>
        <v/>
      </c>
      <c r="BS47" s="793" t="str">
        <f t="shared" si="32"/>
        <v/>
      </c>
      <c r="BT47" s="782" t="str">
        <f t="shared" si="33"/>
        <v/>
      </c>
      <c r="BU47" s="781" t="str">
        <f>IF($B47="","",IF(INDEX(BDHK2,MATCH($C47,DiemHKII!$C$4:$C$58,0),BU$59)&lt;&gt;"",INDEX(BDHK2,MATCH($C47,DiemHKII!$C$4:$C$58,0),BU$59),""))</f>
        <v/>
      </c>
      <c r="BV47" s="793" t="str">
        <f t="shared" si="34"/>
        <v/>
      </c>
      <c r="BW47" s="782" t="str">
        <f t="shared" si="35"/>
        <v/>
      </c>
      <c r="BX47" s="780"/>
      <c r="BY47" s="781" t="str">
        <f>IF($B47="","",IF(INDEX(BDHK2,MATCH($C47,DiemHKII!$C$4:$C$58,0),BY$59)&lt;&gt;"",INDEX(BDHK2,MATCH($C47,DiemHKII!$C$4:$C$58,0),BY$59),""))</f>
        <v/>
      </c>
      <c r="BZ47" s="793" t="str">
        <f t="shared" si="36"/>
        <v/>
      </c>
      <c r="CA47" s="782" t="str">
        <f>IF($B47="","",INDEX(NXetHKI!$B$3:$CL$57,MATCH(NXchung!$C47,NXetHKI!$C$3:$C$57,0),NXchung!CA$59))</f>
        <v/>
      </c>
      <c r="CB47" s="781" t="str">
        <f>IF($B47="","",IF(INDEX(BDHK2,MATCH($C47,DiemHKII!$C$4:$C$58,0),CB$59)&lt;&gt;"",INDEX(BDHK2,MATCH($C47,DiemHKII!$C$4:$C$58,0),CB$59),""))</f>
        <v/>
      </c>
      <c r="CC47" s="793" t="str">
        <f t="shared" si="37"/>
        <v/>
      </c>
      <c r="CD47" s="782" t="str">
        <f t="shared" si="38"/>
        <v/>
      </c>
      <c r="CE47" s="781" t="str">
        <f>IF($B47="","",IF(INDEX(BDHK2,MATCH($C47,DiemHKII!$C$4:$C$58,0),CE$59)&lt;&gt;"",INDEX(BDHK2,MATCH($C47,DiemHKII!$C$4:$C$58,0),CE$59),""))</f>
        <v/>
      </c>
      <c r="CF47" s="793" t="str">
        <f t="shared" si="39"/>
        <v/>
      </c>
      <c r="CG47" s="782" t="str">
        <f t="shared" si="40"/>
        <v/>
      </c>
      <c r="CH47" s="780"/>
      <c r="CI47" s="781" t="str">
        <f>IF($B47="","",IF(INDEX(BDHK2,MATCH($C47,DiemHKII!$C$4:$C$58,0),CI$59)&lt;&gt;"",INDEX(BDHK2,MATCH($C47,DiemHKII!$C$4:$C$58,0),CI$59),""))</f>
        <v/>
      </c>
      <c r="CJ47" s="793" t="str">
        <f t="shared" si="41"/>
        <v/>
      </c>
      <c r="CK47" s="782" t="str">
        <f>IF($B47="","",INDEX(NXetHKI!$B$3:$CL$57,MATCH(NXchung!$C47,NXetHKI!$C$3:$C$57,0),NXchung!CK$59))</f>
        <v/>
      </c>
      <c r="CL47" s="781" t="str">
        <f>IF($B47="","",IF(INDEX(BDHK2,MATCH($C47,DiemHKII!$C$4:$C$58,0),CL$59)&lt;&gt;"",INDEX(BDHK2,MATCH($C47,DiemHKII!$C$4:$C$58,0),CL$59),""))</f>
        <v/>
      </c>
      <c r="CM47" s="793" t="str">
        <f t="shared" si="42"/>
        <v/>
      </c>
      <c r="CN47" s="782" t="str">
        <f t="shared" si="43"/>
        <v/>
      </c>
      <c r="CO47" s="781" t="str">
        <f>IF($B47="","",IF(INDEX(BDHK2,MATCH($C47,DiemHKII!$C$4:$C$58,0),CO$59)&lt;&gt;"",INDEX(BDHK2,MATCH($C47,DiemHKII!$C$4:$C$58,0),CO$59),""))</f>
        <v/>
      </c>
      <c r="CP47" s="793" t="str">
        <f t="shared" si="44"/>
        <v/>
      </c>
      <c r="CQ47" s="782" t="str">
        <f t="shared" si="45"/>
        <v/>
      </c>
      <c r="CR47" s="780"/>
      <c r="CS47" s="781" t="str">
        <f>IF($B47="","",IF(INDEX(BDHK2,MATCH($C47,DiemHKII!$C$4:$C$58,0),CS$59)&lt;&gt;"",INDEX(BDHK2,MATCH($C47,DiemHKII!$C$4:$C$58,0),CS$59),""))</f>
        <v/>
      </c>
      <c r="CT47" s="793" t="str">
        <f t="shared" si="46"/>
        <v/>
      </c>
      <c r="CU47" s="782" t="str">
        <f>IF($B47="","",INDEX(NXetHKI!$B$3:$CL$57,MATCH(NXchung!$C47,NXetHKI!$C$3:$C$57,0),NXchung!CU$59))</f>
        <v/>
      </c>
      <c r="CV47" s="781" t="str">
        <f>IF($B47="","",IF(INDEX(BDHK2,MATCH($C47,DiemHKII!$C$4:$C$58,0),CV$59)&lt;&gt;"",INDEX(BDHK2,MATCH($C47,DiemHKII!$C$4:$C$58,0),CV$59),""))</f>
        <v/>
      </c>
      <c r="CW47" s="793" t="str">
        <f t="shared" si="47"/>
        <v/>
      </c>
      <c r="CX47" s="782" t="str">
        <f t="shared" si="48"/>
        <v/>
      </c>
      <c r="CY47" s="781" t="str">
        <f>IF($B47="","",IF(INDEX(BDHK2,MATCH($C47,DiemHKII!$C$4:$C$58,0),CY$59)&lt;&gt;"",INDEX(BDHK2,MATCH($C47,DiemHKII!$C$4:$C$58,0),CY$59),""))</f>
        <v/>
      </c>
      <c r="CZ47" s="793" t="str">
        <f t="shared" si="49"/>
        <v/>
      </c>
      <c r="DA47" s="782" t="str">
        <f t="shared" si="50"/>
        <v/>
      </c>
      <c r="DB47" s="780"/>
      <c r="DC47" s="781" t="str">
        <f>IF($B47="","",IF(INDEX(BDHK2,MATCH($C47,DiemHKII!$C$4:$C$58,0),DC$59)&lt;&gt;"",INDEX(BDHK2,MATCH($C47,DiemHKII!$C$4:$C$58,0),DC$59),""))</f>
        <v/>
      </c>
      <c r="DD47" s="793" t="str">
        <f t="shared" si="51"/>
        <v/>
      </c>
      <c r="DE47" s="782" t="str">
        <f>IF($B47="","",INDEX(NXetHKI!$B$3:$CL$57,MATCH(NXchung!$C47,NXetHKI!$C$3:$C$57,0),NXchung!DE$59))</f>
        <v/>
      </c>
      <c r="DF47" s="781" t="str">
        <f>IF($B47="","",IF(INDEX(BDHK2,MATCH($C47,DiemHKII!$C$4:$C$58,0),DF$59)&lt;&gt;"",INDEX(BDHK2,MATCH($C47,DiemHKII!$C$4:$C$58,0),DF$59),""))</f>
        <v/>
      </c>
      <c r="DG47" s="793" t="str">
        <f t="shared" si="52"/>
        <v/>
      </c>
      <c r="DH47" s="782" t="str">
        <f t="shared" si="53"/>
        <v/>
      </c>
      <c r="DI47" s="781" t="str">
        <f>IF($B47="","",IF(INDEX(BDHK2,MATCH($C47,DiemHKII!$C$4:$C$58,0),DI$59)&lt;&gt;"",INDEX(BDHK2,MATCH($C47,DiemHKII!$C$4:$C$58,0),DI$59),""))</f>
        <v/>
      </c>
      <c r="DJ47" s="793" t="str">
        <f t="shared" si="54"/>
        <v/>
      </c>
      <c r="DK47" s="782" t="str">
        <f t="shared" si="55"/>
        <v/>
      </c>
      <c r="DL47" s="780"/>
      <c r="DM47" s="781" t="str">
        <f>IF($B47="","",IF(INDEX(BDHK2,MATCH($C47,DiemHKII!$C$4:$C$58,0),DM$59)&lt;&gt;"",INDEX(BDHK2,MATCH($C47,DiemHKII!$C$4:$C$58,0),DM$59),""))</f>
        <v/>
      </c>
      <c r="DN47" s="793" t="str">
        <f t="shared" si="56"/>
        <v/>
      </c>
      <c r="DO47" s="782" t="str">
        <f>IF($B47="","",INDEX(NXetHKI!$B$3:$CL$57,MATCH(NXchung!$C47,NXetHKI!$C$3:$C$57,0),NXchung!DO$59))</f>
        <v/>
      </c>
      <c r="DP47" s="781" t="str">
        <f>IF($B47="","",IF(INDEX(BDHK2,MATCH($C47,DiemHKII!$C$4:$C$58,0),DP$59)&lt;&gt;"",INDEX(BDHK2,MATCH($C47,DiemHKII!$C$4:$C$58,0),DP$59),""))</f>
        <v/>
      </c>
      <c r="DQ47" s="793" t="str">
        <f t="shared" si="57"/>
        <v/>
      </c>
      <c r="DR47" s="782" t="str">
        <f t="shared" si="58"/>
        <v/>
      </c>
      <c r="DS47" s="781" t="str">
        <f>IF($B47="","",IF(INDEX(BDHK2,MATCH($C47,DiemHKII!$C$4:$C$58,0),DS$59)&lt;&gt;"",INDEX(BDHK2,MATCH($C47,DiemHKII!$C$4:$C$58,0),DS$59),""))</f>
        <v/>
      </c>
      <c r="DT47" s="793" t="str">
        <f t="shared" si="59"/>
        <v/>
      </c>
      <c r="DU47" s="782" t="str">
        <f t="shared" si="60"/>
        <v/>
      </c>
      <c r="DV47" s="780"/>
      <c r="DW47" s="781" t="str">
        <f>IF($B47="","",IF(INDEX(BDHK2,MATCH($C47,DiemHKII!$C$4:$C$58,0),DW$59)&lt;&gt;"",INDEX(BDHK2,MATCH($C47,DiemHKII!$C$4:$C$58,0),DW$59),""))</f>
        <v/>
      </c>
      <c r="DX47" s="793" t="str">
        <f t="shared" si="61"/>
        <v/>
      </c>
      <c r="DY47" s="782" t="str">
        <f>IF($B47="","",INDEX(NXetHKI!$B$3:$CL$57,MATCH(NXchung!$C47,NXetHKI!$C$3:$C$57,0),NXchung!DY$59))</f>
        <v/>
      </c>
      <c r="DZ47" s="781" t="str">
        <f>IF($B47="","",IF(INDEX(BDHK2,MATCH($C47,DiemHKII!$C$4:$C$58,0),DZ$59)&lt;&gt;"",INDEX(BDHK2,MATCH($C47,DiemHKII!$C$4:$C$58,0),DZ$59),""))</f>
        <v/>
      </c>
      <c r="EA47" s="793" t="str">
        <f t="shared" si="62"/>
        <v/>
      </c>
      <c r="EB47" s="782" t="str">
        <f t="shared" si="63"/>
        <v/>
      </c>
      <c r="EC47" s="781" t="str">
        <f>IF($B47="","",IF(INDEX(BDHK2,MATCH($C47,DiemHKII!$C$4:$C$58,0),EC$59)&lt;&gt;"",INDEX(BDHK2,MATCH($C47,DiemHKII!$C$4:$C$58,0),EC$59),""))</f>
        <v/>
      </c>
      <c r="ED47" s="793" t="str">
        <f t="shared" si="64"/>
        <v/>
      </c>
      <c r="EE47" s="782" t="str">
        <f t="shared" si="65"/>
        <v/>
      </c>
      <c r="EF47" s="780"/>
      <c r="EG47" s="781" t="str">
        <f>IF($B47="","",IF(INDEX(BDHK2,MATCH($C47,DiemHKII!$C$4:$C$58,0),EG$59)&lt;&gt;"",INDEX(BDHK2,MATCH($C47,DiemHKII!$C$4:$C$58,0),EG$59),""))</f>
        <v/>
      </c>
      <c r="EH47" s="793" t="str">
        <f t="shared" si="66"/>
        <v/>
      </c>
      <c r="EI47" s="782" t="str">
        <f>IF($B47="","",INDEX(NXetHKI!$B$3:$CL$57,MATCH(NXchung!$C47,NXetHKI!$C$3:$C$57,0),NXchung!EI$59))</f>
        <v/>
      </c>
      <c r="EJ47" s="781" t="str">
        <f>IF($B47="","",IF(INDEX(BDHK2,MATCH($C47,DiemHKII!$C$4:$C$58,0),EJ$59)&lt;&gt;"",INDEX(BDHK2,MATCH($C47,DiemHKII!$C$4:$C$58,0),EJ$59),""))</f>
        <v/>
      </c>
      <c r="EK47" s="793" t="str">
        <f t="shared" si="67"/>
        <v/>
      </c>
      <c r="EL47" s="782" t="str">
        <f t="shared" si="68"/>
        <v/>
      </c>
      <c r="EM47" s="781" t="str">
        <f>IF($B47="","",IF(INDEX(BDHK2,MATCH($C47,DiemHKII!$C$4:$C$58,0),EM$59)&lt;&gt;"",INDEX(BDHK2,MATCH($C47,DiemHKII!$C$4:$C$58,0),EM$59),""))</f>
        <v/>
      </c>
      <c r="EN47" s="793" t="str">
        <f t="shared" si="69"/>
        <v/>
      </c>
      <c r="EO47" s="782" t="str">
        <f t="shared" si="70"/>
        <v/>
      </c>
      <c r="EP47" s="780"/>
      <c r="ER47" s="816">
        <v>3</v>
      </c>
      <c r="ES47" s="816">
        <v>6</v>
      </c>
    </row>
    <row r="48" spans="2:149" ht="15" customHeight="1">
      <c r="B48" s="765" t="str">
        <f>IF(B47&lt;MAX(DiemHKII!$B$4:$B$58),B47+1,"")</f>
        <v/>
      </c>
      <c r="C48" s="765" t="str">
        <f t="shared" si="0"/>
        <v/>
      </c>
      <c r="D48" s="766" t="str">
        <f>IF($B48&lt;&gt;"",PROPER(INDEX(DiemHKII!$B$4:$K$58,MATCH($B48,DiemHKII!$B$4:$B$58,0),4)),"")</f>
        <v/>
      </c>
      <c r="E48" s="767" t="str">
        <f>IF($B48&lt;&gt;"",PROPER(INDEX(DiemHKII!$B$4:$K$58,MATCH($B48,DiemHKII!$B$4:$B$58,0),5)),"")</f>
        <v/>
      </c>
      <c r="F48" s="768" t="str">
        <f>IF($B48&lt;&gt;"",PROPER(INDEX(DiemHKII!$B$4:$K$58,MATCH($B48,DiemHKII!$B$4:$B$58,0),6)),"")</f>
        <v/>
      </c>
      <c r="G48" s="783" t="str">
        <f>IF($B48="","",IF(INDEX(BDHK2,MATCH($C48,DiemHKII!$C$4:$C$58,0),G$59)&lt;&gt;"",INDEX(BDHK2,MATCH($C48,DiemHKII!$C$4:$C$58,0),G$59),""))</f>
        <v/>
      </c>
      <c r="H48" s="794" t="str">
        <f t="shared" si="1"/>
        <v/>
      </c>
      <c r="I48" s="770" t="str">
        <f>IF($B48="","",INDEX(NXetHKI!$B$3:$CL$57,MATCH(NXchung!$C48,NXetHKI!$C$3:$C$57,0),NXchung!I$59))</f>
        <v/>
      </c>
      <c r="J48" s="783" t="str">
        <f>IF($B48="","",IF(INDEX(BDHK2,MATCH($C48,DiemHKII!$C$4:$C$58,0),J$59)&lt;&gt;"",INDEX(BDHK2,MATCH($C48,DiemHKII!$C$4:$C$58,0),J$59),""))</f>
        <v/>
      </c>
      <c r="K48" s="794" t="str">
        <f t="shared" si="2"/>
        <v/>
      </c>
      <c r="L48" s="770" t="str">
        <f t="shared" si="3"/>
        <v/>
      </c>
      <c r="M48" s="783" t="str">
        <f>IF($B48="","",IF(INDEX(BDHK2,MATCH($C48,DiemHKII!$C$4:$C$58,0),M$59)&lt;&gt;"",INDEX(BDHK2,MATCH($C48,DiemHKII!$C$4:$C$58,0),M$59),""))</f>
        <v/>
      </c>
      <c r="N48" s="794" t="str">
        <f t="shared" si="4"/>
        <v/>
      </c>
      <c r="O48" s="770" t="str">
        <f t="shared" si="5"/>
        <v/>
      </c>
      <c r="P48" s="768"/>
      <c r="Q48" s="783" t="str">
        <f>IF($B48="","",IF(INDEX(BDHK2,MATCH($C48,DiemHKII!$C$4:$C$58,0),Q$59)&lt;&gt;"",INDEX(BDHK2,MATCH($C48,DiemHKII!$C$4:$C$58,0),Q$59),""))</f>
        <v/>
      </c>
      <c r="R48" s="794" t="str">
        <f t="shared" si="6"/>
        <v/>
      </c>
      <c r="S48" s="770" t="str">
        <f>IF($B48="","",INDEX(NXetHKI!$B$3:$CL$57,MATCH(NXchung!$C48,NXetHKI!$C$3:$C$57,0),NXchung!S$59))</f>
        <v/>
      </c>
      <c r="T48" s="783" t="str">
        <f>IF($B48="","",IF(INDEX(BDHK2,MATCH($C48,DiemHKII!$C$4:$C$58,0),T$59)&lt;&gt;"",INDEX(BDHK2,MATCH($C48,DiemHKII!$C$4:$C$58,0),T$59),""))</f>
        <v/>
      </c>
      <c r="U48" s="794" t="str">
        <f t="shared" si="7"/>
        <v/>
      </c>
      <c r="V48" s="770" t="str">
        <f t="shared" si="8"/>
        <v/>
      </c>
      <c r="W48" s="783" t="str">
        <f>IF($B48="","",IF(INDEX(BDHK2,MATCH($C48,DiemHKII!$C$4:$C$58,0),W$59)&lt;&gt;"",INDEX(BDHK2,MATCH($C48,DiemHKII!$C$4:$C$58,0),W$59),""))</f>
        <v/>
      </c>
      <c r="X48" s="794" t="str">
        <f t="shared" si="9"/>
        <v/>
      </c>
      <c r="Y48" s="770" t="str">
        <f t="shared" si="10"/>
        <v/>
      </c>
      <c r="Z48" s="768"/>
      <c r="AA48" s="783" t="str">
        <f>IF($B48="","",IF(INDEX(BDHK2,MATCH($C48,DiemHKII!$C$4:$C$58,0),AA$59)&lt;&gt;"",INDEX(BDHK2,MATCH($C48,DiemHKII!$C$4:$C$58,0),AA$59),""))</f>
        <v/>
      </c>
      <c r="AB48" s="794" t="str">
        <f t="shared" si="11"/>
        <v/>
      </c>
      <c r="AC48" s="770" t="str">
        <f>IF($B48="","",INDEX(NXetHKI!$B$3:$CL$57,MATCH(NXchung!$C48,NXetHKI!$C$3:$C$57,0),NXchung!AC$59))</f>
        <v/>
      </c>
      <c r="AD48" s="783" t="str">
        <f>IF($B48="","",IF(INDEX(BDHK2,MATCH($C48,DiemHKII!$C$4:$C$58,0),AD$59)&lt;&gt;"",INDEX(BDHK2,MATCH($C48,DiemHKII!$C$4:$C$58,0),AD$59),""))</f>
        <v/>
      </c>
      <c r="AE48" s="794" t="str">
        <f t="shared" si="12"/>
        <v/>
      </c>
      <c r="AF48" s="770" t="str">
        <f t="shared" si="13"/>
        <v/>
      </c>
      <c r="AG48" s="783" t="str">
        <f>IF($B48="","",IF(INDEX(BDHK2,MATCH($C48,DiemHKII!$C$4:$C$58,0),AG$59)&lt;&gt;"",INDEX(BDHK2,MATCH($C48,DiemHKII!$C$4:$C$58,0),AG$59),""))</f>
        <v/>
      </c>
      <c r="AH48" s="794" t="str">
        <f t="shared" si="14"/>
        <v/>
      </c>
      <c r="AI48" s="770" t="str">
        <f t="shared" si="15"/>
        <v/>
      </c>
      <c r="AJ48" s="768"/>
      <c r="AK48" s="783" t="str">
        <f>IF($B48="","",IF(INDEX(BDHK2,MATCH($C48,DiemHKII!$C$4:$C$58,0),AK$59)&lt;&gt;"",INDEX(BDHK2,MATCH($C48,DiemHKII!$C$4:$C$58,0),AK$59),""))</f>
        <v/>
      </c>
      <c r="AL48" s="794" t="str">
        <f t="shared" si="16"/>
        <v/>
      </c>
      <c r="AM48" s="770" t="str">
        <f>IF($B48="","",INDEX(NXetHKI!$B$3:$CL$57,MATCH(NXchung!$C48,NXetHKI!$C$3:$C$57,0),NXchung!AM$59))</f>
        <v/>
      </c>
      <c r="AN48" s="783" t="str">
        <f>IF($B48="","",IF(INDEX(BDHK2,MATCH($C48,DiemHKII!$C$4:$C$58,0),AN$59)&lt;&gt;"",INDEX(BDHK2,MATCH($C48,DiemHKII!$C$4:$C$58,0),AN$59),""))</f>
        <v/>
      </c>
      <c r="AO48" s="794" t="str">
        <f t="shared" si="17"/>
        <v/>
      </c>
      <c r="AP48" s="770" t="str">
        <f t="shared" si="18"/>
        <v/>
      </c>
      <c r="AQ48" s="783" t="str">
        <f>IF($B48="","",IF(INDEX(BDHK2,MATCH($C48,DiemHKII!$C$4:$C$58,0),AQ$59)&lt;&gt;"",INDEX(BDHK2,MATCH($C48,DiemHKII!$C$4:$C$58,0),AQ$59),""))</f>
        <v/>
      </c>
      <c r="AR48" s="794" t="str">
        <f t="shared" si="19"/>
        <v/>
      </c>
      <c r="AS48" s="770" t="str">
        <f t="shared" si="20"/>
        <v/>
      </c>
      <c r="AT48" s="768"/>
      <c r="AU48" s="783" t="str">
        <f>IF($B48="","",IF(INDEX(BDHK2,MATCH($C48,DiemHKII!$C$4:$C$58,0),AU$59)&lt;&gt;"",INDEX(BDHK2,MATCH($C48,DiemHKII!$C$4:$C$58,0),AU$59),""))</f>
        <v/>
      </c>
      <c r="AV48" s="794" t="str">
        <f t="shared" si="21"/>
        <v/>
      </c>
      <c r="AW48" s="770" t="str">
        <f>IF($B48="","",INDEX(NXetHKI!$B$3:$CL$57,MATCH(NXchung!$C48,NXetHKI!$C$3:$C$57,0),NXchung!AW$59))</f>
        <v/>
      </c>
      <c r="AX48" s="783" t="str">
        <f>IF($B48="","",IF(INDEX(BDHK2,MATCH($C48,DiemHKII!$C$4:$C$58,0),AX$59)&lt;&gt;"",INDEX(BDHK2,MATCH($C48,DiemHKII!$C$4:$C$58,0),AX$59),""))</f>
        <v/>
      </c>
      <c r="AY48" s="794" t="str">
        <f t="shared" si="22"/>
        <v/>
      </c>
      <c r="AZ48" s="770" t="str">
        <f t="shared" si="23"/>
        <v/>
      </c>
      <c r="BA48" s="783" t="str">
        <f>IF($B48="","",IF(INDEX(BDHK2,MATCH($C48,DiemHKII!$C$4:$C$58,0),BA$59)&lt;&gt;"",INDEX(BDHK2,MATCH($C48,DiemHKII!$C$4:$C$58,0),BA$59),""))</f>
        <v/>
      </c>
      <c r="BB48" s="794" t="str">
        <f t="shared" si="24"/>
        <v/>
      </c>
      <c r="BC48" s="770" t="str">
        <f t="shared" si="25"/>
        <v/>
      </c>
      <c r="BD48" s="768"/>
      <c r="BE48" s="783" t="str">
        <f>IF($B48="","",IF(INDEX(BDHK2,MATCH($C48,DiemHKII!$C$4:$C$58,0),BE$59)&lt;&gt;"",INDEX(BDHK2,MATCH($C48,DiemHKII!$C$4:$C$58,0),BE$59),""))</f>
        <v/>
      </c>
      <c r="BF48" s="794" t="str">
        <f t="shared" si="26"/>
        <v/>
      </c>
      <c r="BG48" s="770" t="str">
        <f>IF($B48="","",INDEX(NXetHKI!$B$3:$CL$57,MATCH(NXchung!$C48,NXetHKI!$C$3:$C$57,0),NXchung!BG$59))</f>
        <v/>
      </c>
      <c r="BH48" s="783" t="str">
        <f>IF($B48="","",IF(INDEX(BDHK2,MATCH($C48,DiemHKII!$C$4:$C$58,0),BH$59)&lt;&gt;"",INDEX(BDHK2,MATCH($C48,DiemHKII!$C$4:$C$58,0),BH$59),""))</f>
        <v/>
      </c>
      <c r="BI48" s="794" t="str">
        <f t="shared" si="27"/>
        <v/>
      </c>
      <c r="BJ48" s="770" t="str">
        <f t="shared" si="28"/>
        <v/>
      </c>
      <c r="BK48" s="783" t="str">
        <f>IF($B48="","",IF(INDEX(BDHK2,MATCH($C48,DiemHKII!$C$4:$C$58,0),BK$59)&lt;&gt;"",INDEX(BDHK2,MATCH($C48,DiemHKII!$C$4:$C$58,0),BK$59),""))</f>
        <v/>
      </c>
      <c r="BL48" s="794" t="str">
        <f t="shared" si="29"/>
        <v/>
      </c>
      <c r="BM48" s="770" t="str">
        <f t="shared" si="30"/>
        <v/>
      </c>
      <c r="BN48" s="768"/>
      <c r="BO48" s="783" t="str">
        <f>IF($B48="","",IF(INDEX(BDHK2,MATCH($C48,DiemHKII!$C$4:$C$58,0),BO$59)&lt;&gt;"",INDEX(BDHK2,MATCH($C48,DiemHKII!$C$4:$C$58,0),BO$59),""))</f>
        <v/>
      </c>
      <c r="BP48" s="794" t="str">
        <f t="shared" si="31"/>
        <v/>
      </c>
      <c r="BQ48" s="770" t="str">
        <f>IF($B48="","",INDEX(NXetHKI!$B$3:$CL$57,MATCH(NXchung!$C48,NXetHKI!$C$3:$C$57,0),NXchung!BQ$59))</f>
        <v/>
      </c>
      <c r="BR48" s="783" t="str">
        <f>IF($B48="","",IF(INDEX(BDHK2,MATCH($C48,DiemHKII!$C$4:$C$58,0),BR$59)&lt;&gt;"",INDEX(BDHK2,MATCH($C48,DiemHKII!$C$4:$C$58,0),BR$59),""))</f>
        <v/>
      </c>
      <c r="BS48" s="794" t="str">
        <f t="shared" si="32"/>
        <v/>
      </c>
      <c r="BT48" s="770" t="str">
        <f t="shared" si="33"/>
        <v/>
      </c>
      <c r="BU48" s="783" t="str">
        <f>IF($B48="","",IF(INDEX(BDHK2,MATCH($C48,DiemHKII!$C$4:$C$58,0),BU$59)&lt;&gt;"",INDEX(BDHK2,MATCH($C48,DiemHKII!$C$4:$C$58,0),BU$59),""))</f>
        <v/>
      </c>
      <c r="BV48" s="794" t="str">
        <f t="shared" si="34"/>
        <v/>
      </c>
      <c r="BW48" s="770" t="str">
        <f t="shared" si="35"/>
        <v/>
      </c>
      <c r="BX48" s="768"/>
      <c r="BY48" s="783" t="str">
        <f>IF($B48="","",IF(INDEX(BDHK2,MATCH($C48,DiemHKII!$C$4:$C$58,0),BY$59)&lt;&gt;"",INDEX(BDHK2,MATCH($C48,DiemHKII!$C$4:$C$58,0),BY$59),""))</f>
        <v/>
      </c>
      <c r="BZ48" s="794" t="str">
        <f t="shared" si="36"/>
        <v/>
      </c>
      <c r="CA48" s="770" t="str">
        <f>IF($B48="","",INDEX(NXetHKI!$B$3:$CL$57,MATCH(NXchung!$C48,NXetHKI!$C$3:$C$57,0),NXchung!CA$59))</f>
        <v/>
      </c>
      <c r="CB48" s="783" t="str">
        <f>IF($B48="","",IF(INDEX(BDHK2,MATCH($C48,DiemHKII!$C$4:$C$58,0),CB$59)&lt;&gt;"",INDEX(BDHK2,MATCH($C48,DiemHKII!$C$4:$C$58,0),CB$59),""))</f>
        <v/>
      </c>
      <c r="CC48" s="794" t="str">
        <f t="shared" si="37"/>
        <v/>
      </c>
      <c r="CD48" s="770" t="str">
        <f t="shared" si="38"/>
        <v/>
      </c>
      <c r="CE48" s="783" t="str">
        <f>IF($B48="","",IF(INDEX(BDHK2,MATCH($C48,DiemHKII!$C$4:$C$58,0),CE$59)&lt;&gt;"",INDEX(BDHK2,MATCH($C48,DiemHKII!$C$4:$C$58,0),CE$59),""))</f>
        <v/>
      </c>
      <c r="CF48" s="794" t="str">
        <f t="shared" si="39"/>
        <v/>
      </c>
      <c r="CG48" s="770" t="str">
        <f t="shared" si="40"/>
        <v/>
      </c>
      <c r="CH48" s="768"/>
      <c r="CI48" s="783" t="str">
        <f>IF($B48="","",IF(INDEX(BDHK2,MATCH($C48,DiemHKII!$C$4:$C$58,0),CI$59)&lt;&gt;"",INDEX(BDHK2,MATCH($C48,DiemHKII!$C$4:$C$58,0),CI$59),""))</f>
        <v/>
      </c>
      <c r="CJ48" s="794" t="str">
        <f t="shared" si="41"/>
        <v/>
      </c>
      <c r="CK48" s="770" t="str">
        <f>IF($B48="","",INDEX(NXetHKI!$B$3:$CL$57,MATCH(NXchung!$C48,NXetHKI!$C$3:$C$57,0),NXchung!CK$59))</f>
        <v/>
      </c>
      <c r="CL48" s="783" t="str">
        <f>IF($B48="","",IF(INDEX(BDHK2,MATCH($C48,DiemHKII!$C$4:$C$58,0),CL$59)&lt;&gt;"",INDEX(BDHK2,MATCH($C48,DiemHKII!$C$4:$C$58,0),CL$59),""))</f>
        <v/>
      </c>
      <c r="CM48" s="794" t="str">
        <f t="shared" si="42"/>
        <v/>
      </c>
      <c r="CN48" s="770" t="str">
        <f t="shared" si="43"/>
        <v/>
      </c>
      <c r="CO48" s="783" t="str">
        <f>IF($B48="","",IF(INDEX(BDHK2,MATCH($C48,DiemHKII!$C$4:$C$58,0),CO$59)&lt;&gt;"",INDEX(BDHK2,MATCH($C48,DiemHKII!$C$4:$C$58,0),CO$59),""))</f>
        <v/>
      </c>
      <c r="CP48" s="794" t="str">
        <f t="shared" si="44"/>
        <v/>
      </c>
      <c r="CQ48" s="770" t="str">
        <f t="shared" si="45"/>
        <v/>
      </c>
      <c r="CR48" s="768"/>
      <c r="CS48" s="783" t="str">
        <f>IF($B48="","",IF(INDEX(BDHK2,MATCH($C48,DiemHKII!$C$4:$C$58,0),CS$59)&lt;&gt;"",INDEX(BDHK2,MATCH($C48,DiemHKII!$C$4:$C$58,0),CS$59),""))</f>
        <v/>
      </c>
      <c r="CT48" s="794" t="str">
        <f t="shared" si="46"/>
        <v/>
      </c>
      <c r="CU48" s="770" t="str">
        <f>IF($B48="","",INDEX(NXetHKI!$B$3:$CL$57,MATCH(NXchung!$C48,NXetHKI!$C$3:$C$57,0),NXchung!CU$59))</f>
        <v/>
      </c>
      <c r="CV48" s="783" t="str">
        <f>IF($B48="","",IF(INDEX(BDHK2,MATCH($C48,DiemHKII!$C$4:$C$58,0),CV$59)&lt;&gt;"",INDEX(BDHK2,MATCH($C48,DiemHKII!$C$4:$C$58,0),CV$59),""))</f>
        <v/>
      </c>
      <c r="CW48" s="794" t="str">
        <f t="shared" si="47"/>
        <v/>
      </c>
      <c r="CX48" s="770" t="str">
        <f t="shared" si="48"/>
        <v/>
      </c>
      <c r="CY48" s="783" t="str">
        <f>IF($B48="","",IF(INDEX(BDHK2,MATCH($C48,DiemHKII!$C$4:$C$58,0),CY$59)&lt;&gt;"",INDEX(BDHK2,MATCH($C48,DiemHKII!$C$4:$C$58,0),CY$59),""))</f>
        <v/>
      </c>
      <c r="CZ48" s="794" t="str">
        <f t="shared" si="49"/>
        <v/>
      </c>
      <c r="DA48" s="770" t="str">
        <f t="shared" si="50"/>
        <v/>
      </c>
      <c r="DB48" s="768"/>
      <c r="DC48" s="783" t="str">
        <f>IF($B48="","",IF(INDEX(BDHK2,MATCH($C48,DiemHKII!$C$4:$C$58,0),DC$59)&lt;&gt;"",INDEX(BDHK2,MATCH($C48,DiemHKII!$C$4:$C$58,0),DC$59),""))</f>
        <v/>
      </c>
      <c r="DD48" s="794" t="str">
        <f t="shared" si="51"/>
        <v/>
      </c>
      <c r="DE48" s="770" t="str">
        <f>IF($B48="","",INDEX(NXetHKI!$B$3:$CL$57,MATCH(NXchung!$C48,NXetHKI!$C$3:$C$57,0),NXchung!DE$59))</f>
        <v/>
      </c>
      <c r="DF48" s="783" t="str">
        <f>IF($B48="","",IF(INDEX(BDHK2,MATCH($C48,DiemHKII!$C$4:$C$58,0),DF$59)&lt;&gt;"",INDEX(BDHK2,MATCH($C48,DiemHKII!$C$4:$C$58,0),DF$59),""))</f>
        <v/>
      </c>
      <c r="DG48" s="794" t="str">
        <f t="shared" si="52"/>
        <v/>
      </c>
      <c r="DH48" s="770" t="str">
        <f t="shared" si="53"/>
        <v/>
      </c>
      <c r="DI48" s="783" t="str">
        <f>IF($B48="","",IF(INDEX(BDHK2,MATCH($C48,DiemHKII!$C$4:$C$58,0),DI$59)&lt;&gt;"",INDEX(BDHK2,MATCH($C48,DiemHKII!$C$4:$C$58,0),DI$59),""))</f>
        <v/>
      </c>
      <c r="DJ48" s="794" t="str">
        <f t="shared" si="54"/>
        <v/>
      </c>
      <c r="DK48" s="770" t="str">
        <f t="shared" si="55"/>
        <v/>
      </c>
      <c r="DL48" s="768"/>
      <c r="DM48" s="783" t="str">
        <f>IF($B48="","",IF(INDEX(BDHK2,MATCH($C48,DiemHKII!$C$4:$C$58,0),DM$59)&lt;&gt;"",INDEX(BDHK2,MATCH($C48,DiemHKII!$C$4:$C$58,0),DM$59),""))</f>
        <v/>
      </c>
      <c r="DN48" s="794" t="str">
        <f t="shared" si="56"/>
        <v/>
      </c>
      <c r="DO48" s="770" t="str">
        <f>IF($B48="","",INDEX(NXetHKI!$B$3:$CL$57,MATCH(NXchung!$C48,NXetHKI!$C$3:$C$57,0),NXchung!DO$59))</f>
        <v/>
      </c>
      <c r="DP48" s="783" t="str">
        <f>IF($B48="","",IF(INDEX(BDHK2,MATCH($C48,DiemHKII!$C$4:$C$58,0),DP$59)&lt;&gt;"",INDEX(BDHK2,MATCH($C48,DiemHKII!$C$4:$C$58,0),DP$59),""))</f>
        <v/>
      </c>
      <c r="DQ48" s="794" t="str">
        <f t="shared" si="57"/>
        <v/>
      </c>
      <c r="DR48" s="770" t="str">
        <f t="shared" si="58"/>
        <v/>
      </c>
      <c r="DS48" s="783" t="str">
        <f>IF($B48="","",IF(INDEX(BDHK2,MATCH($C48,DiemHKII!$C$4:$C$58,0),DS$59)&lt;&gt;"",INDEX(BDHK2,MATCH($C48,DiemHKII!$C$4:$C$58,0),DS$59),""))</f>
        <v/>
      </c>
      <c r="DT48" s="794" t="str">
        <f t="shared" si="59"/>
        <v/>
      </c>
      <c r="DU48" s="770" t="str">
        <f t="shared" si="60"/>
        <v/>
      </c>
      <c r="DV48" s="768"/>
      <c r="DW48" s="783" t="str">
        <f>IF($B48="","",IF(INDEX(BDHK2,MATCH($C48,DiemHKII!$C$4:$C$58,0),DW$59)&lt;&gt;"",INDEX(BDHK2,MATCH($C48,DiemHKII!$C$4:$C$58,0),DW$59),""))</f>
        <v/>
      </c>
      <c r="DX48" s="794" t="str">
        <f t="shared" si="61"/>
        <v/>
      </c>
      <c r="DY48" s="770" t="str">
        <f>IF($B48="","",INDEX(NXetHKI!$B$3:$CL$57,MATCH(NXchung!$C48,NXetHKI!$C$3:$C$57,0),NXchung!DY$59))</f>
        <v/>
      </c>
      <c r="DZ48" s="783" t="str">
        <f>IF($B48="","",IF(INDEX(BDHK2,MATCH($C48,DiemHKII!$C$4:$C$58,0),DZ$59)&lt;&gt;"",INDEX(BDHK2,MATCH($C48,DiemHKII!$C$4:$C$58,0),DZ$59),""))</f>
        <v/>
      </c>
      <c r="EA48" s="794" t="str">
        <f t="shared" si="62"/>
        <v/>
      </c>
      <c r="EB48" s="770" t="str">
        <f t="shared" si="63"/>
        <v/>
      </c>
      <c r="EC48" s="783" t="str">
        <f>IF($B48="","",IF(INDEX(BDHK2,MATCH($C48,DiemHKII!$C$4:$C$58,0),EC$59)&lt;&gt;"",INDEX(BDHK2,MATCH($C48,DiemHKII!$C$4:$C$58,0),EC$59),""))</f>
        <v/>
      </c>
      <c r="ED48" s="794" t="str">
        <f t="shared" si="64"/>
        <v/>
      </c>
      <c r="EE48" s="770" t="str">
        <f t="shared" si="65"/>
        <v/>
      </c>
      <c r="EF48" s="768"/>
      <c r="EG48" s="783" t="str">
        <f>IF($B48="","",IF(INDEX(BDHK2,MATCH($C48,DiemHKII!$C$4:$C$58,0),EG$59)&lt;&gt;"",INDEX(BDHK2,MATCH($C48,DiemHKII!$C$4:$C$58,0),EG$59),""))</f>
        <v/>
      </c>
      <c r="EH48" s="794" t="str">
        <f t="shared" si="66"/>
        <v/>
      </c>
      <c r="EI48" s="770" t="str">
        <f>IF($B48="","",INDEX(NXetHKI!$B$3:$CL$57,MATCH(NXchung!$C48,NXetHKI!$C$3:$C$57,0),NXchung!EI$59))</f>
        <v/>
      </c>
      <c r="EJ48" s="783" t="str">
        <f>IF($B48="","",IF(INDEX(BDHK2,MATCH($C48,DiemHKII!$C$4:$C$58,0),EJ$59)&lt;&gt;"",INDEX(BDHK2,MATCH($C48,DiemHKII!$C$4:$C$58,0),EJ$59),""))</f>
        <v/>
      </c>
      <c r="EK48" s="794" t="str">
        <f t="shared" si="67"/>
        <v/>
      </c>
      <c r="EL48" s="770" t="str">
        <f t="shared" si="68"/>
        <v/>
      </c>
      <c r="EM48" s="783" t="str">
        <f>IF($B48="","",IF(INDEX(BDHK2,MATCH($C48,DiemHKII!$C$4:$C$58,0),EM$59)&lt;&gt;"",INDEX(BDHK2,MATCH($C48,DiemHKII!$C$4:$C$58,0),EM$59),""))</f>
        <v/>
      </c>
      <c r="EN48" s="794" t="str">
        <f t="shared" si="69"/>
        <v/>
      </c>
      <c r="EO48" s="770" t="str">
        <f t="shared" si="70"/>
        <v/>
      </c>
      <c r="EP48" s="768"/>
      <c r="ER48" s="816">
        <v>6</v>
      </c>
      <c r="ES48" s="816">
        <v>9</v>
      </c>
    </row>
    <row r="49" spans="2:149" ht="15" customHeight="1">
      <c r="B49" s="771" t="str">
        <f>IF(B48&lt;MAX(DiemHKII!$B$4:$B$58),B48+1,"")</f>
        <v/>
      </c>
      <c r="C49" s="771" t="str">
        <f t="shared" si="0"/>
        <v/>
      </c>
      <c r="D49" s="772" t="str">
        <f>IF($B49&lt;&gt;"",PROPER(INDEX(DiemHKII!$B$4:$K$58,MATCH($B49,DiemHKII!$B$4:$B$58,0),4)),"")</f>
        <v/>
      </c>
      <c r="E49" s="773" t="str">
        <f>IF($B49&lt;&gt;"",PROPER(INDEX(DiemHKII!$B$4:$K$58,MATCH($B49,DiemHKII!$B$4:$B$58,0),5)),"")</f>
        <v/>
      </c>
      <c r="F49" s="774" t="str">
        <f>IF($B49&lt;&gt;"",PROPER(INDEX(DiemHKII!$B$4:$K$58,MATCH($B49,DiemHKII!$B$4:$B$58,0),6)),"")</f>
        <v/>
      </c>
      <c r="G49" s="775" t="str">
        <f>IF($B49="","",IF(INDEX(BDHK2,MATCH($C49,DiemHKII!$C$4:$C$58,0),G$59)&lt;&gt;"",INDEX(BDHK2,MATCH($C49,DiemHKII!$C$4:$C$58,0),G$59),""))</f>
        <v/>
      </c>
      <c r="H49" s="792" t="str">
        <f t="shared" si="1"/>
        <v/>
      </c>
      <c r="I49" s="776" t="str">
        <f>IF($B49="","",INDEX(NXetHKI!$B$3:$CL$57,MATCH(NXchung!$C49,NXetHKI!$C$3:$C$57,0),NXchung!I$59))</f>
        <v/>
      </c>
      <c r="J49" s="775" t="str">
        <f>IF($B49="","",IF(INDEX(BDHK2,MATCH($C49,DiemHKII!$C$4:$C$58,0),J$59)&lt;&gt;"",INDEX(BDHK2,MATCH($C49,DiemHKII!$C$4:$C$58,0),J$59),""))</f>
        <v/>
      </c>
      <c r="K49" s="792" t="str">
        <f t="shared" si="2"/>
        <v/>
      </c>
      <c r="L49" s="776" t="str">
        <f t="shared" si="3"/>
        <v/>
      </c>
      <c r="M49" s="775" t="str">
        <f>IF($B49="","",IF(INDEX(BDHK2,MATCH($C49,DiemHKII!$C$4:$C$58,0),M$59)&lt;&gt;"",INDEX(BDHK2,MATCH($C49,DiemHKII!$C$4:$C$58,0),M$59),""))</f>
        <v/>
      </c>
      <c r="N49" s="792" t="str">
        <f t="shared" si="4"/>
        <v/>
      </c>
      <c r="O49" s="776" t="str">
        <f t="shared" si="5"/>
        <v/>
      </c>
      <c r="P49" s="774"/>
      <c r="Q49" s="775" t="str">
        <f>IF($B49="","",IF(INDEX(BDHK2,MATCH($C49,DiemHKII!$C$4:$C$58,0),Q$59)&lt;&gt;"",INDEX(BDHK2,MATCH($C49,DiemHKII!$C$4:$C$58,0),Q$59),""))</f>
        <v/>
      </c>
      <c r="R49" s="792" t="str">
        <f t="shared" si="6"/>
        <v/>
      </c>
      <c r="S49" s="776" t="str">
        <f>IF($B49="","",INDEX(NXetHKI!$B$3:$CL$57,MATCH(NXchung!$C49,NXetHKI!$C$3:$C$57,0),NXchung!S$59))</f>
        <v/>
      </c>
      <c r="T49" s="775" t="str">
        <f>IF($B49="","",IF(INDEX(BDHK2,MATCH($C49,DiemHKII!$C$4:$C$58,0),T$59)&lt;&gt;"",INDEX(BDHK2,MATCH($C49,DiemHKII!$C$4:$C$58,0),T$59),""))</f>
        <v/>
      </c>
      <c r="U49" s="792" t="str">
        <f t="shared" si="7"/>
        <v/>
      </c>
      <c r="V49" s="776" t="str">
        <f t="shared" si="8"/>
        <v/>
      </c>
      <c r="W49" s="775" t="str">
        <f>IF($B49="","",IF(INDEX(BDHK2,MATCH($C49,DiemHKII!$C$4:$C$58,0),W$59)&lt;&gt;"",INDEX(BDHK2,MATCH($C49,DiemHKII!$C$4:$C$58,0),W$59),""))</f>
        <v/>
      </c>
      <c r="X49" s="792" t="str">
        <f t="shared" si="9"/>
        <v/>
      </c>
      <c r="Y49" s="776" t="str">
        <f t="shared" si="10"/>
        <v/>
      </c>
      <c r="Z49" s="774"/>
      <c r="AA49" s="775" t="str">
        <f>IF($B49="","",IF(INDEX(BDHK2,MATCH($C49,DiemHKII!$C$4:$C$58,0),AA$59)&lt;&gt;"",INDEX(BDHK2,MATCH($C49,DiemHKII!$C$4:$C$58,0),AA$59),""))</f>
        <v/>
      </c>
      <c r="AB49" s="792" t="str">
        <f t="shared" si="11"/>
        <v/>
      </c>
      <c r="AC49" s="776" t="str">
        <f>IF($B49="","",INDEX(NXetHKI!$B$3:$CL$57,MATCH(NXchung!$C49,NXetHKI!$C$3:$C$57,0),NXchung!AC$59))</f>
        <v/>
      </c>
      <c r="AD49" s="775" t="str">
        <f>IF($B49="","",IF(INDEX(BDHK2,MATCH($C49,DiemHKII!$C$4:$C$58,0),AD$59)&lt;&gt;"",INDEX(BDHK2,MATCH($C49,DiemHKII!$C$4:$C$58,0),AD$59),""))</f>
        <v/>
      </c>
      <c r="AE49" s="792" t="str">
        <f t="shared" si="12"/>
        <v/>
      </c>
      <c r="AF49" s="776" t="str">
        <f t="shared" si="13"/>
        <v/>
      </c>
      <c r="AG49" s="775" t="str">
        <f>IF($B49="","",IF(INDEX(BDHK2,MATCH($C49,DiemHKII!$C$4:$C$58,0),AG$59)&lt;&gt;"",INDEX(BDHK2,MATCH($C49,DiemHKII!$C$4:$C$58,0),AG$59),""))</f>
        <v/>
      </c>
      <c r="AH49" s="792" t="str">
        <f t="shared" si="14"/>
        <v/>
      </c>
      <c r="AI49" s="776" t="str">
        <f t="shared" si="15"/>
        <v/>
      </c>
      <c r="AJ49" s="774"/>
      <c r="AK49" s="775" t="str">
        <f>IF($B49="","",IF(INDEX(BDHK2,MATCH($C49,DiemHKII!$C$4:$C$58,0),AK$59)&lt;&gt;"",INDEX(BDHK2,MATCH($C49,DiemHKII!$C$4:$C$58,0),AK$59),""))</f>
        <v/>
      </c>
      <c r="AL49" s="792" t="str">
        <f t="shared" si="16"/>
        <v/>
      </c>
      <c r="AM49" s="776" t="str">
        <f>IF($B49="","",INDEX(NXetHKI!$B$3:$CL$57,MATCH(NXchung!$C49,NXetHKI!$C$3:$C$57,0),NXchung!AM$59))</f>
        <v/>
      </c>
      <c r="AN49" s="775" t="str">
        <f>IF($B49="","",IF(INDEX(BDHK2,MATCH($C49,DiemHKII!$C$4:$C$58,0),AN$59)&lt;&gt;"",INDEX(BDHK2,MATCH($C49,DiemHKII!$C$4:$C$58,0),AN$59),""))</f>
        <v/>
      </c>
      <c r="AO49" s="792" t="str">
        <f t="shared" si="17"/>
        <v/>
      </c>
      <c r="AP49" s="776" t="str">
        <f t="shared" si="18"/>
        <v/>
      </c>
      <c r="AQ49" s="775" t="str">
        <f>IF($B49="","",IF(INDEX(BDHK2,MATCH($C49,DiemHKII!$C$4:$C$58,0),AQ$59)&lt;&gt;"",INDEX(BDHK2,MATCH($C49,DiemHKII!$C$4:$C$58,0),AQ$59),""))</f>
        <v/>
      </c>
      <c r="AR49" s="792" t="str">
        <f t="shared" si="19"/>
        <v/>
      </c>
      <c r="AS49" s="776" t="str">
        <f t="shared" si="20"/>
        <v/>
      </c>
      <c r="AT49" s="774"/>
      <c r="AU49" s="775" t="str">
        <f>IF($B49="","",IF(INDEX(BDHK2,MATCH($C49,DiemHKII!$C$4:$C$58,0),AU$59)&lt;&gt;"",INDEX(BDHK2,MATCH($C49,DiemHKII!$C$4:$C$58,0),AU$59),""))</f>
        <v/>
      </c>
      <c r="AV49" s="792" t="str">
        <f t="shared" si="21"/>
        <v/>
      </c>
      <c r="AW49" s="776" t="str">
        <f>IF($B49="","",INDEX(NXetHKI!$B$3:$CL$57,MATCH(NXchung!$C49,NXetHKI!$C$3:$C$57,0),NXchung!AW$59))</f>
        <v/>
      </c>
      <c r="AX49" s="775" t="str">
        <f>IF($B49="","",IF(INDEX(BDHK2,MATCH($C49,DiemHKII!$C$4:$C$58,0),AX$59)&lt;&gt;"",INDEX(BDHK2,MATCH($C49,DiemHKII!$C$4:$C$58,0),AX$59),""))</f>
        <v/>
      </c>
      <c r="AY49" s="792" t="str">
        <f t="shared" si="22"/>
        <v/>
      </c>
      <c r="AZ49" s="776" t="str">
        <f t="shared" si="23"/>
        <v/>
      </c>
      <c r="BA49" s="775" t="str">
        <f>IF($B49="","",IF(INDEX(BDHK2,MATCH($C49,DiemHKII!$C$4:$C$58,0),BA$59)&lt;&gt;"",INDEX(BDHK2,MATCH($C49,DiemHKII!$C$4:$C$58,0),BA$59),""))</f>
        <v/>
      </c>
      <c r="BB49" s="792" t="str">
        <f t="shared" si="24"/>
        <v/>
      </c>
      <c r="BC49" s="776" t="str">
        <f t="shared" si="25"/>
        <v/>
      </c>
      <c r="BD49" s="774"/>
      <c r="BE49" s="775" t="str">
        <f>IF($B49="","",IF(INDEX(BDHK2,MATCH($C49,DiemHKII!$C$4:$C$58,0),BE$59)&lt;&gt;"",INDEX(BDHK2,MATCH($C49,DiemHKII!$C$4:$C$58,0),BE$59),""))</f>
        <v/>
      </c>
      <c r="BF49" s="792" t="str">
        <f t="shared" si="26"/>
        <v/>
      </c>
      <c r="BG49" s="776" t="str">
        <f>IF($B49="","",INDEX(NXetHKI!$B$3:$CL$57,MATCH(NXchung!$C49,NXetHKI!$C$3:$C$57,0),NXchung!BG$59))</f>
        <v/>
      </c>
      <c r="BH49" s="775" t="str">
        <f>IF($B49="","",IF(INDEX(BDHK2,MATCH($C49,DiemHKII!$C$4:$C$58,0),BH$59)&lt;&gt;"",INDEX(BDHK2,MATCH($C49,DiemHKII!$C$4:$C$58,0),BH$59),""))</f>
        <v/>
      </c>
      <c r="BI49" s="792" t="str">
        <f t="shared" si="27"/>
        <v/>
      </c>
      <c r="BJ49" s="776" t="str">
        <f t="shared" si="28"/>
        <v/>
      </c>
      <c r="BK49" s="775" t="str">
        <f>IF($B49="","",IF(INDEX(BDHK2,MATCH($C49,DiemHKII!$C$4:$C$58,0),BK$59)&lt;&gt;"",INDEX(BDHK2,MATCH($C49,DiemHKII!$C$4:$C$58,0),BK$59),""))</f>
        <v/>
      </c>
      <c r="BL49" s="792" t="str">
        <f t="shared" si="29"/>
        <v/>
      </c>
      <c r="BM49" s="776" t="str">
        <f t="shared" si="30"/>
        <v/>
      </c>
      <c r="BN49" s="774"/>
      <c r="BO49" s="775" t="str">
        <f>IF($B49="","",IF(INDEX(BDHK2,MATCH($C49,DiemHKII!$C$4:$C$58,0),BO$59)&lt;&gt;"",INDEX(BDHK2,MATCH($C49,DiemHKII!$C$4:$C$58,0),BO$59),""))</f>
        <v/>
      </c>
      <c r="BP49" s="792" t="str">
        <f t="shared" si="31"/>
        <v/>
      </c>
      <c r="BQ49" s="776" t="str">
        <f>IF($B49="","",INDEX(NXetHKI!$B$3:$CL$57,MATCH(NXchung!$C49,NXetHKI!$C$3:$C$57,0),NXchung!BQ$59))</f>
        <v/>
      </c>
      <c r="BR49" s="775" t="str">
        <f>IF($B49="","",IF(INDEX(BDHK2,MATCH($C49,DiemHKII!$C$4:$C$58,0),BR$59)&lt;&gt;"",INDEX(BDHK2,MATCH($C49,DiemHKII!$C$4:$C$58,0),BR$59),""))</f>
        <v/>
      </c>
      <c r="BS49" s="792" t="str">
        <f t="shared" si="32"/>
        <v/>
      </c>
      <c r="BT49" s="776" t="str">
        <f t="shared" si="33"/>
        <v/>
      </c>
      <c r="BU49" s="775" t="str">
        <f>IF($B49="","",IF(INDEX(BDHK2,MATCH($C49,DiemHKII!$C$4:$C$58,0),BU$59)&lt;&gt;"",INDEX(BDHK2,MATCH($C49,DiemHKII!$C$4:$C$58,0),BU$59),""))</f>
        <v/>
      </c>
      <c r="BV49" s="792" t="str">
        <f t="shared" si="34"/>
        <v/>
      </c>
      <c r="BW49" s="776" t="str">
        <f t="shared" si="35"/>
        <v/>
      </c>
      <c r="BX49" s="774"/>
      <c r="BY49" s="775" t="str">
        <f>IF($B49="","",IF(INDEX(BDHK2,MATCH($C49,DiemHKII!$C$4:$C$58,0),BY$59)&lt;&gt;"",INDEX(BDHK2,MATCH($C49,DiemHKII!$C$4:$C$58,0),BY$59),""))</f>
        <v/>
      </c>
      <c r="BZ49" s="792" t="str">
        <f t="shared" si="36"/>
        <v/>
      </c>
      <c r="CA49" s="776" t="str">
        <f>IF($B49="","",INDEX(NXetHKI!$B$3:$CL$57,MATCH(NXchung!$C49,NXetHKI!$C$3:$C$57,0),NXchung!CA$59))</f>
        <v/>
      </c>
      <c r="CB49" s="775" t="str">
        <f>IF($B49="","",IF(INDEX(BDHK2,MATCH($C49,DiemHKII!$C$4:$C$58,0),CB$59)&lt;&gt;"",INDEX(BDHK2,MATCH($C49,DiemHKII!$C$4:$C$58,0),CB$59),""))</f>
        <v/>
      </c>
      <c r="CC49" s="792" t="str">
        <f t="shared" si="37"/>
        <v/>
      </c>
      <c r="CD49" s="776" t="str">
        <f t="shared" si="38"/>
        <v/>
      </c>
      <c r="CE49" s="775" t="str">
        <f>IF($B49="","",IF(INDEX(BDHK2,MATCH($C49,DiemHKII!$C$4:$C$58,0),CE$59)&lt;&gt;"",INDEX(BDHK2,MATCH($C49,DiemHKII!$C$4:$C$58,0),CE$59),""))</f>
        <v/>
      </c>
      <c r="CF49" s="792" t="str">
        <f t="shared" si="39"/>
        <v/>
      </c>
      <c r="CG49" s="776" t="str">
        <f t="shared" si="40"/>
        <v/>
      </c>
      <c r="CH49" s="774"/>
      <c r="CI49" s="775" t="str">
        <f>IF($B49="","",IF(INDEX(BDHK2,MATCH($C49,DiemHKII!$C$4:$C$58,0),CI$59)&lt;&gt;"",INDEX(BDHK2,MATCH($C49,DiemHKII!$C$4:$C$58,0),CI$59),""))</f>
        <v/>
      </c>
      <c r="CJ49" s="792" t="str">
        <f t="shared" si="41"/>
        <v/>
      </c>
      <c r="CK49" s="776" t="str">
        <f>IF($B49="","",INDEX(NXetHKI!$B$3:$CL$57,MATCH(NXchung!$C49,NXetHKI!$C$3:$C$57,0),NXchung!CK$59))</f>
        <v/>
      </c>
      <c r="CL49" s="775" t="str">
        <f>IF($B49="","",IF(INDEX(BDHK2,MATCH($C49,DiemHKII!$C$4:$C$58,0),CL$59)&lt;&gt;"",INDEX(BDHK2,MATCH($C49,DiemHKII!$C$4:$C$58,0),CL$59),""))</f>
        <v/>
      </c>
      <c r="CM49" s="792" t="str">
        <f t="shared" si="42"/>
        <v/>
      </c>
      <c r="CN49" s="776" t="str">
        <f t="shared" si="43"/>
        <v/>
      </c>
      <c r="CO49" s="775" t="str">
        <f>IF($B49="","",IF(INDEX(BDHK2,MATCH($C49,DiemHKII!$C$4:$C$58,0),CO$59)&lt;&gt;"",INDEX(BDHK2,MATCH($C49,DiemHKII!$C$4:$C$58,0),CO$59),""))</f>
        <v/>
      </c>
      <c r="CP49" s="792" t="str">
        <f t="shared" si="44"/>
        <v/>
      </c>
      <c r="CQ49" s="776" t="str">
        <f t="shared" si="45"/>
        <v/>
      </c>
      <c r="CR49" s="774"/>
      <c r="CS49" s="775" t="str">
        <f>IF($B49="","",IF(INDEX(BDHK2,MATCH($C49,DiemHKII!$C$4:$C$58,0),CS$59)&lt;&gt;"",INDEX(BDHK2,MATCH($C49,DiemHKII!$C$4:$C$58,0),CS$59),""))</f>
        <v/>
      </c>
      <c r="CT49" s="792" t="str">
        <f t="shared" si="46"/>
        <v/>
      </c>
      <c r="CU49" s="776" t="str">
        <f>IF($B49="","",INDEX(NXetHKI!$B$3:$CL$57,MATCH(NXchung!$C49,NXetHKI!$C$3:$C$57,0),NXchung!CU$59))</f>
        <v/>
      </c>
      <c r="CV49" s="775" t="str">
        <f>IF($B49="","",IF(INDEX(BDHK2,MATCH($C49,DiemHKII!$C$4:$C$58,0),CV$59)&lt;&gt;"",INDEX(BDHK2,MATCH($C49,DiemHKII!$C$4:$C$58,0),CV$59),""))</f>
        <v/>
      </c>
      <c r="CW49" s="792" t="str">
        <f t="shared" si="47"/>
        <v/>
      </c>
      <c r="CX49" s="776" t="str">
        <f t="shared" si="48"/>
        <v/>
      </c>
      <c r="CY49" s="775" t="str">
        <f>IF($B49="","",IF(INDEX(BDHK2,MATCH($C49,DiemHKII!$C$4:$C$58,0),CY$59)&lt;&gt;"",INDEX(BDHK2,MATCH($C49,DiemHKII!$C$4:$C$58,0),CY$59),""))</f>
        <v/>
      </c>
      <c r="CZ49" s="792" t="str">
        <f t="shared" si="49"/>
        <v/>
      </c>
      <c r="DA49" s="776" t="str">
        <f t="shared" si="50"/>
        <v/>
      </c>
      <c r="DB49" s="774"/>
      <c r="DC49" s="775" t="str">
        <f>IF($B49="","",IF(INDEX(BDHK2,MATCH($C49,DiemHKII!$C$4:$C$58,0),DC$59)&lt;&gt;"",INDEX(BDHK2,MATCH($C49,DiemHKII!$C$4:$C$58,0),DC$59),""))</f>
        <v/>
      </c>
      <c r="DD49" s="792" t="str">
        <f t="shared" si="51"/>
        <v/>
      </c>
      <c r="DE49" s="776" t="str">
        <f>IF($B49="","",INDEX(NXetHKI!$B$3:$CL$57,MATCH(NXchung!$C49,NXetHKI!$C$3:$C$57,0),NXchung!DE$59))</f>
        <v/>
      </c>
      <c r="DF49" s="775" t="str">
        <f>IF($B49="","",IF(INDEX(BDHK2,MATCH($C49,DiemHKII!$C$4:$C$58,0),DF$59)&lt;&gt;"",INDEX(BDHK2,MATCH($C49,DiemHKII!$C$4:$C$58,0),DF$59),""))</f>
        <v/>
      </c>
      <c r="DG49" s="792" t="str">
        <f t="shared" si="52"/>
        <v/>
      </c>
      <c r="DH49" s="776" t="str">
        <f t="shared" si="53"/>
        <v/>
      </c>
      <c r="DI49" s="775" t="str">
        <f>IF($B49="","",IF(INDEX(BDHK2,MATCH($C49,DiemHKII!$C$4:$C$58,0),DI$59)&lt;&gt;"",INDEX(BDHK2,MATCH($C49,DiemHKII!$C$4:$C$58,0),DI$59),""))</f>
        <v/>
      </c>
      <c r="DJ49" s="792" t="str">
        <f t="shared" si="54"/>
        <v/>
      </c>
      <c r="DK49" s="776" t="str">
        <f t="shared" si="55"/>
        <v/>
      </c>
      <c r="DL49" s="774"/>
      <c r="DM49" s="775" t="str">
        <f>IF($B49="","",IF(INDEX(BDHK2,MATCH($C49,DiemHKII!$C$4:$C$58,0),DM$59)&lt;&gt;"",INDEX(BDHK2,MATCH($C49,DiemHKII!$C$4:$C$58,0),DM$59),""))</f>
        <v/>
      </c>
      <c r="DN49" s="792" t="str">
        <f t="shared" si="56"/>
        <v/>
      </c>
      <c r="DO49" s="776" t="str">
        <f>IF($B49="","",INDEX(NXetHKI!$B$3:$CL$57,MATCH(NXchung!$C49,NXetHKI!$C$3:$C$57,0),NXchung!DO$59))</f>
        <v/>
      </c>
      <c r="DP49" s="775" t="str">
        <f>IF($B49="","",IF(INDEX(BDHK2,MATCH($C49,DiemHKII!$C$4:$C$58,0),DP$59)&lt;&gt;"",INDEX(BDHK2,MATCH($C49,DiemHKII!$C$4:$C$58,0),DP$59),""))</f>
        <v/>
      </c>
      <c r="DQ49" s="792" t="str">
        <f t="shared" si="57"/>
        <v/>
      </c>
      <c r="DR49" s="776" t="str">
        <f t="shared" si="58"/>
        <v/>
      </c>
      <c r="DS49" s="775" t="str">
        <f>IF($B49="","",IF(INDEX(BDHK2,MATCH($C49,DiemHKII!$C$4:$C$58,0),DS$59)&lt;&gt;"",INDEX(BDHK2,MATCH($C49,DiemHKII!$C$4:$C$58,0),DS$59),""))</f>
        <v/>
      </c>
      <c r="DT49" s="792" t="str">
        <f t="shared" si="59"/>
        <v/>
      </c>
      <c r="DU49" s="776" t="str">
        <f t="shared" si="60"/>
        <v/>
      </c>
      <c r="DV49" s="774"/>
      <c r="DW49" s="775" t="str">
        <f>IF($B49="","",IF(INDEX(BDHK2,MATCH($C49,DiemHKII!$C$4:$C$58,0),DW$59)&lt;&gt;"",INDEX(BDHK2,MATCH($C49,DiemHKII!$C$4:$C$58,0),DW$59),""))</f>
        <v/>
      </c>
      <c r="DX49" s="792" t="str">
        <f t="shared" si="61"/>
        <v/>
      </c>
      <c r="DY49" s="776" t="str">
        <f>IF($B49="","",INDEX(NXetHKI!$B$3:$CL$57,MATCH(NXchung!$C49,NXetHKI!$C$3:$C$57,0),NXchung!DY$59))</f>
        <v/>
      </c>
      <c r="DZ49" s="775" t="str">
        <f>IF($B49="","",IF(INDEX(BDHK2,MATCH($C49,DiemHKII!$C$4:$C$58,0),DZ$59)&lt;&gt;"",INDEX(BDHK2,MATCH($C49,DiemHKII!$C$4:$C$58,0),DZ$59),""))</f>
        <v/>
      </c>
      <c r="EA49" s="792" t="str">
        <f t="shared" si="62"/>
        <v/>
      </c>
      <c r="EB49" s="776" t="str">
        <f t="shared" si="63"/>
        <v/>
      </c>
      <c r="EC49" s="775" t="str">
        <f>IF($B49="","",IF(INDEX(BDHK2,MATCH($C49,DiemHKII!$C$4:$C$58,0),EC$59)&lt;&gt;"",INDEX(BDHK2,MATCH($C49,DiemHKII!$C$4:$C$58,0),EC$59),""))</f>
        <v/>
      </c>
      <c r="ED49" s="792" t="str">
        <f t="shared" si="64"/>
        <v/>
      </c>
      <c r="EE49" s="776" t="str">
        <f t="shared" si="65"/>
        <v/>
      </c>
      <c r="EF49" s="774"/>
      <c r="EG49" s="775" t="str">
        <f>IF($B49="","",IF(INDEX(BDHK2,MATCH($C49,DiemHKII!$C$4:$C$58,0),EG$59)&lt;&gt;"",INDEX(BDHK2,MATCH($C49,DiemHKII!$C$4:$C$58,0),EG$59),""))</f>
        <v/>
      </c>
      <c r="EH49" s="792" t="str">
        <f t="shared" si="66"/>
        <v/>
      </c>
      <c r="EI49" s="776" t="str">
        <f>IF($B49="","",INDEX(NXetHKI!$B$3:$CL$57,MATCH(NXchung!$C49,NXetHKI!$C$3:$C$57,0),NXchung!EI$59))</f>
        <v/>
      </c>
      <c r="EJ49" s="775" t="str">
        <f>IF($B49="","",IF(INDEX(BDHK2,MATCH($C49,DiemHKII!$C$4:$C$58,0),EJ$59)&lt;&gt;"",INDEX(BDHK2,MATCH($C49,DiemHKII!$C$4:$C$58,0),EJ$59),""))</f>
        <v/>
      </c>
      <c r="EK49" s="792" t="str">
        <f t="shared" si="67"/>
        <v/>
      </c>
      <c r="EL49" s="776" t="str">
        <f t="shared" si="68"/>
        <v/>
      </c>
      <c r="EM49" s="775" t="str">
        <f>IF($B49="","",IF(INDEX(BDHK2,MATCH($C49,DiemHKII!$C$4:$C$58,0),EM$59)&lt;&gt;"",INDEX(BDHK2,MATCH($C49,DiemHKII!$C$4:$C$58,0),EM$59),""))</f>
        <v/>
      </c>
      <c r="EN49" s="792" t="str">
        <f t="shared" si="69"/>
        <v/>
      </c>
      <c r="EO49" s="776" t="str">
        <f t="shared" si="70"/>
        <v/>
      </c>
      <c r="EP49" s="774"/>
      <c r="ER49" s="816">
        <v>9</v>
      </c>
      <c r="ES49" s="816">
        <v>3</v>
      </c>
    </row>
    <row r="50" spans="2:149" ht="15" customHeight="1">
      <c r="B50" s="771" t="str">
        <f>IF(B49&lt;MAX(DiemHKII!$B$4:$B$58),B49+1,"")</f>
        <v/>
      </c>
      <c r="C50" s="771" t="str">
        <f t="shared" si="0"/>
        <v/>
      </c>
      <c r="D50" s="772" t="str">
        <f>IF($B50&lt;&gt;"",PROPER(INDEX(DiemHKII!$B$4:$K$58,MATCH($B50,DiemHKII!$B$4:$B$58,0),4)),"")</f>
        <v/>
      </c>
      <c r="E50" s="773" t="str">
        <f>IF($B50&lt;&gt;"",PROPER(INDEX(DiemHKII!$B$4:$K$58,MATCH($B50,DiemHKII!$B$4:$B$58,0),5)),"")</f>
        <v/>
      </c>
      <c r="F50" s="774" t="str">
        <f>IF($B50&lt;&gt;"",PROPER(INDEX(DiemHKII!$B$4:$K$58,MATCH($B50,DiemHKII!$B$4:$B$58,0),6)),"")</f>
        <v/>
      </c>
      <c r="G50" s="775" t="str">
        <f>IF($B50="","",IF(INDEX(BDHK2,MATCH($C50,DiemHKII!$C$4:$C$58,0),G$59)&lt;&gt;"",INDEX(BDHK2,MATCH($C50,DiemHKII!$C$4:$C$58,0),G$59),""))</f>
        <v/>
      </c>
      <c r="H50" s="792" t="str">
        <f t="shared" si="1"/>
        <v/>
      </c>
      <c r="I50" s="776" t="str">
        <f>IF($B50="","",INDEX(NXetHKI!$B$3:$CL$57,MATCH(NXchung!$C50,NXetHKI!$C$3:$C$57,0),NXchung!I$59))</f>
        <v/>
      </c>
      <c r="J50" s="775" t="str">
        <f>IF($B50="","",IF(INDEX(BDHK2,MATCH($C50,DiemHKII!$C$4:$C$58,0),J$59)&lt;&gt;"",INDEX(BDHK2,MATCH($C50,DiemHKII!$C$4:$C$58,0),J$59),""))</f>
        <v/>
      </c>
      <c r="K50" s="792" t="str">
        <f t="shared" si="2"/>
        <v/>
      </c>
      <c r="L50" s="776" t="str">
        <f t="shared" si="3"/>
        <v/>
      </c>
      <c r="M50" s="775" t="str">
        <f>IF($B50="","",IF(INDEX(BDHK2,MATCH($C50,DiemHKII!$C$4:$C$58,0),M$59)&lt;&gt;"",INDEX(BDHK2,MATCH($C50,DiemHKII!$C$4:$C$58,0),M$59),""))</f>
        <v/>
      </c>
      <c r="N50" s="792" t="str">
        <f t="shared" si="4"/>
        <v/>
      </c>
      <c r="O50" s="776" t="str">
        <f t="shared" si="5"/>
        <v/>
      </c>
      <c r="P50" s="774"/>
      <c r="Q50" s="775" t="str">
        <f>IF($B50="","",IF(INDEX(BDHK2,MATCH($C50,DiemHKII!$C$4:$C$58,0),Q$59)&lt;&gt;"",INDEX(BDHK2,MATCH($C50,DiemHKII!$C$4:$C$58,0),Q$59),""))</f>
        <v/>
      </c>
      <c r="R50" s="792" t="str">
        <f t="shared" si="6"/>
        <v/>
      </c>
      <c r="S50" s="776" t="str">
        <f>IF($B50="","",INDEX(NXetHKI!$B$3:$CL$57,MATCH(NXchung!$C50,NXetHKI!$C$3:$C$57,0),NXchung!S$59))</f>
        <v/>
      </c>
      <c r="T50" s="775" t="str">
        <f>IF($B50="","",IF(INDEX(BDHK2,MATCH($C50,DiemHKII!$C$4:$C$58,0),T$59)&lt;&gt;"",INDEX(BDHK2,MATCH($C50,DiemHKII!$C$4:$C$58,0),T$59),""))</f>
        <v/>
      </c>
      <c r="U50" s="792" t="str">
        <f t="shared" si="7"/>
        <v/>
      </c>
      <c r="V50" s="776" t="str">
        <f t="shared" si="8"/>
        <v/>
      </c>
      <c r="W50" s="775" t="str">
        <f>IF($B50="","",IF(INDEX(BDHK2,MATCH($C50,DiemHKII!$C$4:$C$58,0),W$59)&lt;&gt;"",INDEX(BDHK2,MATCH($C50,DiemHKII!$C$4:$C$58,0),W$59),""))</f>
        <v/>
      </c>
      <c r="X50" s="792" t="str">
        <f t="shared" si="9"/>
        <v/>
      </c>
      <c r="Y50" s="776" t="str">
        <f t="shared" si="10"/>
        <v/>
      </c>
      <c r="Z50" s="774"/>
      <c r="AA50" s="775" t="str">
        <f>IF($B50="","",IF(INDEX(BDHK2,MATCH($C50,DiemHKII!$C$4:$C$58,0),AA$59)&lt;&gt;"",INDEX(BDHK2,MATCH($C50,DiemHKII!$C$4:$C$58,0),AA$59),""))</f>
        <v/>
      </c>
      <c r="AB50" s="792" t="str">
        <f t="shared" si="11"/>
        <v/>
      </c>
      <c r="AC50" s="776" t="str">
        <f>IF($B50="","",INDEX(NXetHKI!$B$3:$CL$57,MATCH(NXchung!$C50,NXetHKI!$C$3:$C$57,0),NXchung!AC$59))</f>
        <v/>
      </c>
      <c r="AD50" s="775" t="str">
        <f>IF($B50="","",IF(INDEX(BDHK2,MATCH($C50,DiemHKII!$C$4:$C$58,0),AD$59)&lt;&gt;"",INDEX(BDHK2,MATCH($C50,DiemHKII!$C$4:$C$58,0),AD$59),""))</f>
        <v/>
      </c>
      <c r="AE50" s="792" t="str">
        <f t="shared" si="12"/>
        <v/>
      </c>
      <c r="AF50" s="776" t="str">
        <f t="shared" si="13"/>
        <v/>
      </c>
      <c r="AG50" s="775" t="str">
        <f>IF($B50="","",IF(INDEX(BDHK2,MATCH($C50,DiemHKII!$C$4:$C$58,0),AG$59)&lt;&gt;"",INDEX(BDHK2,MATCH($C50,DiemHKII!$C$4:$C$58,0),AG$59),""))</f>
        <v/>
      </c>
      <c r="AH50" s="792" t="str">
        <f t="shared" si="14"/>
        <v/>
      </c>
      <c r="AI50" s="776" t="str">
        <f t="shared" si="15"/>
        <v/>
      </c>
      <c r="AJ50" s="774"/>
      <c r="AK50" s="775" t="str">
        <f>IF($B50="","",IF(INDEX(BDHK2,MATCH($C50,DiemHKII!$C$4:$C$58,0),AK$59)&lt;&gt;"",INDEX(BDHK2,MATCH($C50,DiemHKII!$C$4:$C$58,0),AK$59),""))</f>
        <v/>
      </c>
      <c r="AL50" s="792" t="str">
        <f t="shared" si="16"/>
        <v/>
      </c>
      <c r="AM50" s="776" t="str">
        <f>IF($B50="","",INDEX(NXetHKI!$B$3:$CL$57,MATCH(NXchung!$C50,NXetHKI!$C$3:$C$57,0),NXchung!AM$59))</f>
        <v/>
      </c>
      <c r="AN50" s="775" t="str">
        <f>IF($B50="","",IF(INDEX(BDHK2,MATCH($C50,DiemHKII!$C$4:$C$58,0),AN$59)&lt;&gt;"",INDEX(BDHK2,MATCH($C50,DiemHKII!$C$4:$C$58,0),AN$59),""))</f>
        <v/>
      </c>
      <c r="AO50" s="792" t="str">
        <f t="shared" si="17"/>
        <v/>
      </c>
      <c r="AP50" s="776" t="str">
        <f t="shared" si="18"/>
        <v/>
      </c>
      <c r="AQ50" s="775" t="str">
        <f>IF($B50="","",IF(INDEX(BDHK2,MATCH($C50,DiemHKII!$C$4:$C$58,0),AQ$59)&lt;&gt;"",INDEX(BDHK2,MATCH($C50,DiemHKII!$C$4:$C$58,0),AQ$59),""))</f>
        <v/>
      </c>
      <c r="AR50" s="792" t="str">
        <f t="shared" si="19"/>
        <v/>
      </c>
      <c r="AS50" s="776" t="str">
        <f t="shared" si="20"/>
        <v/>
      </c>
      <c r="AT50" s="774"/>
      <c r="AU50" s="775" t="str">
        <f>IF($B50="","",IF(INDEX(BDHK2,MATCH($C50,DiemHKII!$C$4:$C$58,0),AU$59)&lt;&gt;"",INDEX(BDHK2,MATCH($C50,DiemHKII!$C$4:$C$58,0),AU$59),""))</f>
        <v/>
      </c>
      <c r="AV50" s="792" t="str">
        <f t="shared" si="21"/>
        <v/>
      </c>
      <c r="AW50" s="776" t="str">
        <f>IF($B50="","",INDEX(NXetHKI!$B$3:$CL$57,MATCH(NXchung!$C50,NXetHKI!$C$3:$C$57,0),NXchung!AW$59))</f>
        <v/>
      </c>
      <c r="AX50" s="775" t="str">
        <f>IF($B50="","",IF(INDEX(BDHK2,MATCH($C50,DiemHKII!$C$4:$C$58,0),AX$59)&lt;&gt;"",INDEX(BDHK2,MATCH($C50,DiemHKII!$C$4:$C$58,0),AX$59),""))</f>
        <v/>
      </c>
      <c r="AY50" s="792" t="str">
        <f t="shared" si="22"/>
        <v/>
      </c>
      <c r="AZ50" s="776" t="str">
        <f t="shared" si="23"/>
        <v/>
      </c>
      <c r="BA50" s="775" t="str">
        <f>IF($B50="","",IF(INDEX(BDHK2,MATCH($C50,DiemHKII!$C$4:$C$58,0),BA$59)&lt;&gt;"",INDEX(BDHK2,MATCH($C50,DiemHKII!$C$4:$C$58,0),BA$59),""))</f>
        <v/>
      </c>
      <c r="BB50" s="792" t="str">
        <f t="shared" si="24"/>
        <v/>
      </c>
      <c r="BC50" s="776" t="str">
        <f t="shared" si="25"/>
        <v/>
      </c>
      <c r="BD50" s="774"/>
      <c r="BE50" s="775" t="str">
        <f>IF($B50="","",IF(INDEX(BDHK2,MATCH($C50,DiemHKII!$C$4:$C$58,0),BE$59)&lt;&gt;"",INDEX(BDHK2,MATCH($C50,DiemHKII!$C$4:$C$58,0),BE$59),""))</f>
        <v/>
      </c>
      <c r="BF50" s="792" t="str">
        <f t="shared" si="26"/>
        <v/>
      </c>
      <c r="BG50" s="776" t="str">
        <f>IF($B50="","",INDEX(NXetHKI!$B$3:$CL$57,MATCH(NXchung!$C50,NXetHKI!$C$3:$C$57,0),NXchung!BG$59))</f>
        <v/>
      </c>
      <c r="BH50" s="775" t="str">
        <f>IF($B50="","",IF(INDEX(BDHK2,MATCH($C50,DiemHKII!$C$4:$C$58,0),BH$59)&lt;&gt;"",INDEX(BDHK2,MATCH($C50,DiemHKII!$C$4:$C$58,0),BH$59),""))</f>
        <v/>
      </c>
      <c r="BI50" s="792" t="str">
        <f t="shared" si="27"/>
        <v/>
      </c>
      <c r="BJ50" s="776" t="str">
        <f t="shared" si="28"/>
        <v/>
      </c>
      <c r="BK50" s="775" t="str">
        <f>IF($B50="","",IF(INDEX(BDHK2,MATCH($C50,DiemHKII!$C$4:$C$58,0),BK$59)&lt;&gt;"",INDEX(BDHK2,MATCH($C50,DiemHKII!$C$4:$C$58,0),BK$59),""))</f>
        <v/>
      </c>
      <c r="BL50" s="792" t="str">
        <f t="shared" si="29"/>
        <v/>
      </c>
      <c r="BM50" s="776" t="str">
        <f t="shared" si="30"/>
        <v/>
      </c>
      <c r="BN50" s="774"/>
      <c r="BO50" s="775" t="str">
        <f>IF($B50="","",IF(INDEX(BDHK2,MATCH($C50,DiemHKII!$C$4:$C$58,0),BO$59)&lt;&gt;"",INDEX(BDHK2,MATCH($C50,DiemHKII!$C$4:$C$58,0),BO$59),""))</f>
        <v/>
      </c>
      <c r="BP50" s="792" t="str">
        <f t="shared" si="31"/>
        <v/>
      </c>
      <c r="BQ50" s="776" t="str">
        <f>IF($B50="","",INDEX(NXetHKI!$B$3:$CL$57,MATCH(NXchung!$C50,NXetHKI!$C$3:$C$57,0),NXchung!BQ$59))</f>
        <v/>
      </c>
      <c r="BR50" s="775" t="str">
        <f>IF($B50="","",IF(INDEX(BDHK2,MATCH($C50,DiemHKII!$C$4:$C$58,0),BR$59)&lt;&gt;"",INDEX(BDHK2,MATCH($C50,DiemHKII!$C$4:$C$58,0),BR$59),""))</f>
        <v/>
      </c>
      <c r="BS50" s="792" t="str">
        <f t="shared" si="32"/>
        <v/>
      </c>
      <c r="BT50" s="776" t="str">
        <f t="shared" si="33"/>
        <v/>
      </c>
      <c r="BU50" s="775" t="str">
        <f>IF($B50="","",IF(INDEX(BDHK2,MATCH($C50,DiemHKII!$C$4:$C$58,0),BU$59)&lt;&gt;"",INDEX(BDHK2,MATCH($C50,DiemHKII!$C$4:$C$58,0),BU$59),""))</f>
        <v/>
      </c>
      <c r="BV50" s="792" t="str">
        <f t="shared" si="34"/>
        <v/>
      </c>
      <c r="BW50" s="776" t="str">
        <f t="shared" si="35"/>
        <v/>
      </c>
      <c r="BX50" s="774"/>
      <c r="BY50" s="775" t="str">
        <f>IF($B50="","",IF(INDEX(BDHK2,MATCH($C50,DiemHKII!$C$4:$C$58,0),BY$59)&lt;&gt;"",INDEX(BDHK2,MATCH($C50,DiemHKII!$C$4:$C$58,0),BY$59),""))</f>
        <v/>
      </c>
      <c r="BZ50" s="792" t="str">
        <f t="shared" si="36"/>
        <v/>
      </c>
      <c r="CA50" s="776" t="str">
        <f>IF($B50="","",INDEX(NXetHKI!$B$3:$CL$57,MATCH(NXchung!$C50,NXetHKI!$C$3:$C$57,0),NXchung!CA$59))</f>
        <v/>
      </c>
      <c r="CB50" s="775" t="str">
        <f>IF($B50="","",IF(INDEX(BDHK2,MATCH($C50,DiemHKII!$C$4:$C$58,0),CB$59)&lt;&gt;"",INDEX(BDHK2,MATCH($C50,DiemHKII!$C$4:$C$58,0),CB$59),""))</f>
        <v/>
      </c>
      <c r="CC50" s="792" t="str">
        <f t="shared" si="37"/>
        <v/>
      </c>
      <c r="CD50" s="776" t="str">
        <f t="shared" si="38"/>
        <v/>
      </c>
      <c r="CE50" s="775" t="str">
        <f>IF($B50="","",IF(INDEX(BDHK2,MATCH($C50,DiemHKII!$C$4:$C$58,0),CE$59)&lt;&gt;"",INDEX(BDHK2,MATCH($C50,DiemHKII!$C$4:$C$58,0),CE$59),""))</f>
        <v/>
      </c>
      <c r="CF50" s="792" t="str">
        <f t="shared" si="39"/>
        <v/>
      </c>
      <c r="CG50" s="776" t="str">
        <f t="shared" si="40"/>
        <v/>
      </c>
      <c r="CH50" s="774"/>
      <c r="CI50" s="775" t="str">
        <f>IF($B50="","",IF(INDEX(BDHK2,MATCH($C50,DiemHKII!$C$4:$C$58,0),CI$59)&lt;&gt;"",INDEX(BDHK2,MATCH($C50,DiemHKII!$C$4:$C$58,0),CI$59),""))</f>
        <v/>
      </c>
      <c r="CJ50" s="792" t="str">
        <f t="shared" si="41"/>
        <v/>
      </c>
      <c r="CK50" s="776" t="str">
        <f>IF($B50="","",INDEX(NXetHKI!$B$3:$CL$57,MATCH(NXchung!$C50,NXetHKI!$C$3:$C$57,0),NXchung!CK$59))</f>
        <v/>
      </c>
      <c r="CL50" s="775" t="str">
        <f>IF($B50="","",IF(INDEX(BDHK2,MATCH($C50,DiemHKII!$C$4:$C$58,0),CL$59)&lt;&gt;"",INDEX(BDHK2,MATCH($C50,DiemHKII!$C$4:$C$58,0),CL$59),""))</f>
        <v/>
      </c>
      <c r="CM50" s="792" t="str">
        <f t="shared" si="42"/>
        <v/>
      </c>
      <c r="CN50" s="776" t="str">
        <f t="shared" si="43"/>
        <v/>
      </c>
      <c r="CO50" s="775" t="str">
        <f>IF($B50="","",IF(INDEX(BDHK2,MATCH($C50,DiemHKII!$C$4:$C$58,0),CO$59)&lt;&gt;"",INDEX(BDHK2,MATCH($C50,DiemHKII!$C$4:$C$58,0),CO$59),""))</f>
        <v/>
      </c>
      <c r="CP50" s="792" t="str">
        <f t="shared" si="44"/>
        <v/>
      </c>
      <c r="CQ50" s="776" t="str">
        <f t="shared" si="45"/>
        <v/>
      </c>
      <c r="CR50" s="774"/>
      <c r="CS50" s="775" t="str">
        <f>IF($B50="","",IF(INDEX(BDHK2,MATCH($C50,DiemHKII!$C$4:$C$58,0),CS$59)&lt;&gt;"",INDEX(BDHK2,MATCH($C50,DiemHKII!$C$4:$C$58,0),CS$59),""))</f>
        <v/>
      </c>
      <c r="CT50" s="792" t="str">
        <f t="shared" si="46"/>
        <v/>
      </c>
      <c r="CU50" s="776" t="str">
        <f>IF($B50="","",INDEX(NXetHKI!$B$3:$CL$57,MATCH(NXchung!$C50,NXetHKI!$C$3:$C$57,0),NXchung!CU$59))</f>
        <v/>
      </c>
      <c r="CV50" s="775" t="str">
        <f>IF($B50="","",IF(INDEX(BDHK2,MATCH($C50,DiemHKII!$C$4:$C$58,0),CV$59)&lt;&gt;"",INDEX(BDHK2,MATCH($C50,DiemHKII!$C$4:$C$58,0),CV$59),""))</f>
        <v/>
      </c>
      <c r="CW50" s="792" t="str">
        <f t="shared" si="47"/>
        <v/>
      </c>
      <c r="CX50" s="776" t="str">
        <f t="shared" si="48"/>
        <v/>
      </c>
      <c r="CY50" s="775" t="str">
        <f>IF($B50="","",IF(INDEX(BDHK2,MATCH($C50,DiemHKII!$C$4:$C$58,0),CY$59)&lt;&gt;"",INDEX(BDHK2,MATCH($C50,DiemHKII!$C$4:$C$58,0),CY$59),""))</f>
        <v/>
      </c>
      <c r="CZ50" s="792" t="str">
        <f t="shared" si="49"/>
        <v/>
      </c>
      <c r="DA50" s="776" t="str">
        <f t="shared" si="50"/>
        <v/>
      </c>
      <c r="DB50" s="774"/>
      <c r="DC50" s="775" t="str">
        <f>IF($B50="","",IF(INDEX(BDHK2,MATCH($C50,DiemHKII!$C$4:$C$58,0),DC$59)&lt;&gt;"",INDEX(BDHK2,MATCH($C50,DiemHKII!$C$4:$C$58,0),DC$59),""))</f>
        <v/>
      </c>
      <c r="DD50" s="792" t="str">
        <f t="shared" si="51"/>
        <v/>
      </c>
      <c r="DE50" s="776" t="str">
        <f>IF($B50="","",INDEX(NXetHKI!$B$3:$CL$57,MATCH(NXchung!$C50,NXetHKI!$C$3:$C$57,0),NXchung!DE$59))</f>
        <v/>
      </c>
      <c r="DF50" s="775" t="str">
        <f>IF($B50="","",IF(INDEX(BDHK2,MATCH($C50,DiemHKII!$C$4:$C$58,0),DF$59)&lt;&gt;"",INDEX(BDHK2,MATCH($C50,DiemHKII!$C$4:$C$58,0),DF$59),""))</f>
        <v/>
      </c>
      <c r="DG50" s="792" t="str">
        <f t="shared" si="52"/>
        <v/>
      </c>
      <c r="DH50" s="776" t="str">
        <f t="shared" si="53"/>
        <v/>
      </c>
      <c r="DI50" s="775" t="str">
        <f>IF($B50="","",IF(INDEX(BDHK2,MATCH($C50,DiemHKII!$C$4:$C$58,0),DI$59)&lt;&gt;"",INDEX(BDHK2,MATCH($C50,DiemHKII!$C$4:$C$58,0),DI$59),""))</f>
        <v/>
      </c>
      <c r="DJ50" s="792" t="str">
        <f t="shared" si="54"/>
        <v/>
      </c>
      <c r="DK50" s="776" t="str">
        <f t="shared" si="55"/>
        <v/>
      </c>
      <c r="DL50" s="774"/>
      <c r="DM50" s="775" t="str">
        <f>IF($B50="","",IF(INDEX(BDHK2,MATCH($C50,DiemHKII!$C$4:$C$58,0),DM$59)&lt;&gt;"",INDEX(BDHK2,MATCH($C50,DiemHKII!$C$4:$C$58,0),DM$59),""))</f>
        <v/>
      </c>
      <c r="DN50" s="792" t="str">
        <f t="shared" si="56"/>
        <v/>
      </c>
      <c r="DO50" s="776" t="str">
        <f>IF($B50="","",INDEX(NXetHKI!$B$3:$CL$57,MATCH(NXchung!$C50,NXetHKI!$C$3:$C$57,0),NXchung!DO$59))</f>
        <v/>
      </c>
      <c r="DP50" s="775" t="str">
        <f>IF($B50="","",IF(INDEX(BDHK2,MATCH($C50,DiemHKII!$C$4:$C$58,0),DP$59)&lt;&gt;"",INDEX(BDHK2,MATCH($C50,DiemHKII!$C$4:$C$58,0),DP$59),""))</f>
        <v/>
      </c>
      <c r="DQ50" s="792" t="str">
        <f t="shared" si="57"/>
        <v/>
      </c>
      <c r="DR50" s="776" t="str">
        <f t="shared" si="58"/>
        <v/>
      </c>
      <c r="DS50" s="775" t="str">
        <f>IF($B50="","",IF(INDEX(BDHK2,MATCH($C50,DiemHKII!$C$4:$C$58,0),DS$59)&lt;&gt;"",INDEX(BDHK2,MATCH($C50,DiemHKII!$C$4:$C$58,0),DS$59),""))</f>
        <v/>
      </c>
      <c r="DT50" s="792" t="str">
        <f t="shared" si="59"/>
        <v/>
      </c>
      <c r="DU50" s="776" t="str">
        <f t="shared" si="60"/>
        <v/>
      </c>
      <c r="DV50" s="774"/>
      <c r="DW50" s="775" t="str">
        <f>IF($B50="","",IF(INDEX(BDHK2,MATCH($C50,DiemHKII!$C$4:$C$58,0),DW$59)&lt;&gt;"",INDEX(BDHK2,MATCH($C50,DiemHKII!$C$4:$C$58,0),DW$59),""))</f>
        <v/>
      </c>
      <c r="DX50" s="792" t="str">
        <f t="shared" si="61"/>
        <v/>
      </c>
      <c r="DY50" s="776" t="str">
        <f>IF($B50="","",INDEX(NXetHKI!$B$3:$CL$57,MATCH(NXchung!$C50,NXetHKI!$C$3:$C$57,0),NXchung!DY$59))</f>
        <v/>
      </c>
      <c r="DZ50" s="775" t="str">
        <f>IF($B50="","",IF(INDEX(BDHK2,MATCH($C50,DiemHKII!$C$4:$C$58,0),DZ$59)&lt;&gt;"",INDEX(BDHK2,MATCH($C50,DiemHKII!$C$4:$C$58,0),DZ$59),""))</f>
        <v/>
      </c>
      <c r="EA50" s="792" t="str">
        <f t="shared" si="62"/>
        <v/>
      </c>
      <c r="EB50" s="776" t="str">
        <f t="shared" si="63"/>
        <v/>
      </c>
      <c r="EC50" s="775" t="str">
        <f>IF($B50="","",IF(INDEX(BDHK2,MATCH($C50,DiemHKII!$C$4:$C$58,0),EC$59)&lt;&gt;"",INDEX(BDHK2,MATCH($C50,DiemHKII!$C$4:$C$58,0),EC$59),""))</f>
        <v/>
      </c>
      <c r="ED50" s="792" t="str">
        <f t="shared" si="64"/>
        <v/>
      </c>
      <c r="EE50" s="776" t="str">
        <f t="shared" si="65"/>
        <v/>
      </c>
      <c r="EF50" s="774"/>
      <c r="EG50" s="775" t="str">
        <f>IF($B50="","",IF(INDEX(BDHK2,MATCH($C50,DiemHKII!$C$4:$C$58,0),EG$59)&lt;&gt;"",INDEX(BDHK2,MATCH($C50,DiemHKII!$C$4:$C$58,0),EG$59),""))</f>
        <v/>
      </c>
      <c r="EH50" s="792" t="str">
        <f t="shared" si="66"/>
        <v/>
      </c>
      <c r="EI50" s="776" t="str">
        <f>IF($B50="","",INDEX(NXetHKI!$B$3:$CL$57,MATCH(NXchung!$C50,NXetHKI!$C$3:$C$57,0),NXchung!EI$59))</f>
        <v/>
      </c>
      <c r="EJ50" s="775" t="str">
        <f>IF($B50="","",IF(INDEX(BDHK2,MATCH($C50,DiemHKII!$C$4:$C$58,0),EJ$59)&lt;&gt;"",INDEX(BDHK2,MATCH($C50,DiemHKII!$C$4:$C$58,0),EJ$59),""))</f>
        <v/>
      </c>
      <c r="EK50" s="792" t="str">
        <f t="shared" si="67"/>
        <v/>
      </c>
      <c r="EL50" s="776" t="str">
        <f t="shared" si="68"/>
        <v/>
      </c>
      <c r="EM50" s="775" t="str">
        <f>IF($B50="","",IF(INDEX(BDHK2,MATCH($C50,DiemHKII!$C$4:$C$58,0),EM$59)&lt;&gt;"",INDEX(BDHK2,MATCH($C50,DiemHKII!$C$4:$C$58,0),EM$59),""))</f>
        <v/>
      </c>
      <c r="EN50" s="792" t="str">
        <f t="shared" si="69"/>
        <v/>
      </c>
      <c r="EO50" s="776" t="str">
        <f t="shared" si="70"/>
        <v/>
      </c>
      <c r="EP50" s="774"/>
      <c r="ER50" s="816">
        <v>3</v>
      </c>
      <c r="ES50" s="816">
        <v>6</v>
      </c>
    </row>
    <row r="51" spans="2:149" ht="15" customHeight="1">
      <c r="B51" s="771" t="str">
        <f>IF(B50&lt;MAX(DiemHKII!$B$4:$B$58),B50+1,"")</f>
        <v/>
      </c>
      <c r="C51" s="771" t="str">
        <f t="shared" si="0"/>
        <v/>
      </c>
      <c r="D51" s="772" t="str">
        <f>IF($B51&lt;&gt;"",PROPER(INDEX(DiemHKII!$B$4:$K$58,MATCH($B51,DiemHKII!$B$4:$B$58,0),4)),"")</f>
        <v/>
      </c>
      <c r="E51" s="773" t="str">
        <f>IF($B51&lt;&gt;"",PROPER(INDEX(DiemHKII!$B$4:$K$58,MATCH($B51,DiemHKII!$B$4:$B$58,0),5)),"")</f>
        <v/>
      </c>
      <c r="F51" s="774" t="str">
        <f>IF($B51&lt;&gt;"",PROPER(INDEX(DiemHKII!$B$4:$K$58,MATCH($B51,DiemHKII!$B$4:$B$58,0),6)),"")</f>
        <v/>
      </c>
      <c r="G51" s="775" t="str">
        <f>IF($B51="","",IF(INDEX(BDHK2,MATCH($C51,DiemHKII!$C$4:$C$58,0),G$59)&lt;&gt;"",INDEX(BDHK2,MATCH($C51,DiemHKII!$C$4:$C$58,0),G$59),""))</f>
        <v/>
      </c>
      <c r="H51" s="792" t="str">
        <f t="shared" si="1"/>
        <v/>
      </c>
      <c r="I51" s="776" t="str">
        <f>IF($B51="","",INDEX(NXetHKI!$B$3:$CL$57,MATCH(NXchung!$C51,NXetHKI!$C$3:$C$57,0),NXchung!I$59))</f>
        <v/>
      </c>
      <c r="J51" s="775" t="str">
        <f>IF($B51="","",IF(INDEX(BDHK2,MATCH($C51,DiemHKII!$C$4:$C$58,0),J$59)&lt;&gt;"",INDEX(BDHK2,MATCH($C51,DiemHKII!$C$4:$C$58,0),J$59),""))</f>
        <v/>
      </c>
      <c r="K51" s="792" t="str">
        <f t="shared" si="2"/>
        <v/>
      </c>
      <c r="L51" s="776" t="str">
        <f t="shared" si="3"/>
        <v/>
      </c>
      <c r="M51" s="775" t="str">
        <f>IF($B51="","",IF(INDEX(BDHK2,MATCH($C51,DiemHKII!$C$4:$C$58,0),M$59)&lt;&gt;"",INDEX(BDHK2,MATCH($C51,DiemHKII!$C$4:$C$58,0),M$59),""))</f>
        <v/>
      </c>
      <c r="N51" s="792" t="str">
        <f t="shared" si="4"/>
        <v/>
      </c>
      <c r="O51" s="776" t="str">
        <f t="shared" si="5"/>
        <v/>
      </c>
      <c r="P51" s="774"/>
      <c r="Q51" s="775" t="str">
        <f>IF($B51="","",IF(INDEX(BDHK2,MATCH($C51,DiemHKII!$C$4:$C$58,0),Q$59)&lt;&gt;"",INDEX(BDHK2,MATCH($C51,DiemHKII!$C$4:$C$58,0),Q$59),""))</f>
        <v/>
      </c>
      <c r="R51" s="792" t="str">
        <f t="shared" si="6"/>
        <v/>
      </c>
      <c r="S51" s="776" t="str">
        <f>IF($B51="","",INDEX(NXetHKI!$B$3:$CL$57,MATCH(NXchung!$C51,NXetHKI!$C$3:$C$57,0),NXchung!S$59))</f>
        <v/>
      </c>
      <c r="T51" s="775" t="str">
        <f>IF($B51="","",IF(INDEX(BDHK2,MATCH($C51,DiemHKII!$C$4:$C$58,0),T$59)&lt;&gt;"",INDEX(BDHK2,MATCH($C51,DiemHKII!$C$4:$C$58,0),T$59),""))</f>
        <v/>
      </c>
      <c r="U51" s="792" t="str">
        <f t="shared" si="7"/>
        <v/>
      </c>
      <c r="V51" s="776" t="str">
        <f t="shared" si="8"/>
        <v/>
      </c>
      <c r="W51" s="775" t="str">
        <f>IF($B51="","",IF(INDEX(BDHK2,MATCH($C51,DiemHKII!$C$4:$C$58,0),W$59)&lt;&gt;"",INDEX(BDHK2,MATCH($C51,DiemHKII!$C$4:$C$58,0),W$59),""))</f>
        <v/>
      </c>
      <c r="X51" s="792" t="str">
        <f t="shared" si="9"/>
        <v/>
      </c>
      <c r="Y51" s="776" t="str">
        <f t="shared" si="10"/>
        <v/>
      </c>
      <c r="Z51" s="774"/>
      <c r="AA51" s="775" t="str">
        <f>IF($B51="","",IF(INDEX(BDHK2,MATCH($C51,DiemHKII!$C$4:$C$58,0),AA$59)&lt;&gt;"",INDEX(BDHK2,MATCH($C51,DiemHKII!$C$4:$C$58,0),AA$59),""))</f>
        <v/>
      </c>
      <c r="AB51" s="792" t="str">
        <f t="shared" si="11"/>
        <v/>
      </c>
      <c r="AC51" s="776" t="str">
        <f>IF($B51="","",INDEX(NXetHKI!$B$3:$CL$57,MATCH(NXchung!$C51,NXetHKI!$C$3:$C$57,0),NXchung!AC$59))</f>
        <v/>
      </c>
      <c r="AD51" s="775" t="str">
        <f>IF($B51="","",IF(INDEX(BDHK2,MATCH($C51,DiemHKII!$C$4:$C$58,0),AD$59)&lt;&gt;"",INDEX(BDHK2,MATCH($C51,DiemHKII!$C$4:$C$58,0),AD$59),""))</f>
        <v/>
      </c>
      <c r="AE51" s="792" t="str">
        <f t="shared" si="12"/>
        <v/>
      </c>
      <c r="AF51" s="776" t="str">
        <f t="shared" si="13"/>
        <v/>
      </c>
      <c r="AG51" s="775" t="str">
        <f>IF($B51="","",IF(INDEX(BDHK2,MATCH($C51,DiemHKII!$C$4:$C$58,0),AG$59)&lt;&gt;"",INDEX(BDHK2,MATCH($C51,DiemHKII!$C$4:$C$58,0),AG$59),""))</f>
        <v/>
      </c>
      <c r="AH51" s="792" t="str">
        <f t="shared" si="14"/>
        <v/>
      </c>
      <c r="AI51" s="776" t="str">
        <f t="shared" si="15"/>
        <v/>
      </c>
      <c r="AJ51" s="774"/>
      <c r="AK51" s="775" t="str">
        <f>IF($B51="","",IF(INDEX(BDHK2,MATCH($C51,DiemHKII!$C$4:$C$58,0),AK$59)&lt;&gt;"",INDEX(BDHK2,MATCH($C51,DiemHKII!$C$4:$C$58,0),AK$59),""))</f>
        <v/>
      </c>
      <c r="AL51" s="792" t="str">
        <f t="shared" si="16"/>
        <v/>
      </c>
      <c r="AM51" s="776" t="str">
        <f>IF($B51="","",INDEX(NXetHKI!$B$3:$CL$57,MATCH(NXchung!$C51,NXetHKI!$C$3:$C$57,0),NXchung!AM$59))</f>
        <v/>
      </c>
      <c r="AN51" s="775" t="str">
        <f>IF($B51="","",IF(INDEX(BDHK2,MATCH($C51,DiemHKII!$C$4:$C$58,0),AN$59)&lt;&gt;"",INDEX(BDHK2,MATCH($C51,DiemHKII!$C$4:$C$58,0),AN$59),""))</f>
        <v/>
      </c>
      <c r="AO51" s="792" t="str">
        <f t="shared" si="17"/>
        <v/>
      </c>
      <c r="AP51" s="776" t="str">
        <f t="shared" si="18"/>
        <v/>
      </c>
      <c r="AQ51" s="775" t="str">
        <f>IF($B51="","",IF(INDEX(BDHK2,MATCH($C51,DiemHKII!$C$4:$C$58,0),AQ$59)&lt;&gt;"",INDEX(BDHK2,MATCH($C51,DiemHKII!$C$4:$C$58,0),AQ$59),""))</f>
        <v/>
      </c>
      <c r="AR51" s="792" t="str">
        <f t="shared" si="19"/>
        <v/>
      </c>
      <c r="AS51" s="776" t="str">
        <f t="shared" si="20"/>
        <v/>
      </c>
      <c r="AT51" s="774"/>
      <c r="AU51" s="775" t="str">
        <f>IF($B51="","",IF(INDEX(BDHK2,MATCH($C51,DiemHKII!$C$4:$C$58,0),AU$59)&lt;&gt;"",INDEX(BDHK2,MATCH($C51,DiemHKII!$C$4:$C$58,0),AU$59),""))</f>
        <v/>
      </c>
      <c r="AV51" s="792" t="str">
        <f t="shared" si="21"/>
        <v/>
      </c>
      <c r="AW51" s="776" t="str">
        <f>IF($B51="","",INDEX(NXetHKI!$B$3:$CL$57,MATCH(NXchung!$C51,NXetHKI!$C$3:$C$57,0),NXchung!AW$59))</f>
        <v/>
      </c>
      <c r="AX51" s="775" t="str">
        <f>IF($B51="","",IF(INDEX(BDHK2,MATCH($C51,DiemHKII!$C$4:$C$58,0),AX$59)&lt;&gt;"",INDEX(BDHK2,MATCH($C51,DiemHKII!$C$4:$C$58,0),AX$59),""))</f>
        <v/>
      </c>
      <c r="AY51" s="792" t="str">
        <f t="shared" si="22"/>
        <v/>
      </c>
      <c r="AZ51" s="776" t="str">
        <f t="shared" si="23"/>
        <v/>
      </c>
      <c r="BA51" s="775" t="str">
        <f>IF($B51="","",IF(INDEX(BDHK2,MATCH($C51,DiemHKII!$C$4:$C$58,0),BA$59)&lt;&gt;"",INDEX(BDHK2,MATCH($C51,DiemHKII!$C$4:$C$58,0),BA$59),""))</f>
        <v/>
      </c>
      <c r="BB51" s="792" t="str">
        <f t="shared" si="24"/>
        <v/>
      </c>
      <c r="BC51" s="776" t="str">
        <f t="shared" si="25"/>
        <v/>
      </c>
      <c r="BD51" s="774"/>
      <c r="BE51" s="775" t="str">
        <f>IF($B51="","",IF(INDEX(BDHK2,MATCH($C51,DiemHKII!$C$4:$C$58,0),BE$59)&lt;&gt;"",INDEX(BDHK2,MATCH($C51,DiemHKII!$C$4:$C$58,0),BE$59),""))</f>
        <v/>
      </c>
      <c r="BF51" s="792" t="str">
        <f t="shared" si="26"/>
        <v/>
      </c>
      <c r="BG51" s="776" t="str">
        <f>IF($B51="","",INDEX(NXetHKI!$B$3:$CL$57,MATCH(NXchung!$C51,NXetHKI!$C$3:$C$57,0),NXchung!BG$59))</f>
        <v/>
      </c>
      <c r="BH51" s="775" t="str">
        <f>IF($B51="","",IF(INDEX(BDHK2,MATCH($C51,DiemHKII!$C$4:$C$58,0),BH$59)&lt;&gt;"",INDEX(BDHK2,MATCH($C51,DiemHKII!$C$4:$C$58,0),BH$59),""))</f>
        <v/>
      </c>
      <c r="BI51" s="792" t="str">
        <f t="shared" si="27"/>
        <v/>
      </c>
      <c r="BJ51" s="776" t="str">
        <f t="shared" si="28"/>
        <v/>
      </c>
      <c r="BK51" s="775" t="str">
        <f>IF($B51="","",IF(INDEX(BDHK2,MATCH($C51,DiemHKII!$C$4:$C$58,0),BK$59)&lt;&gt;"",INDEX(BDHK2,MATCH($C51,DiemHKII!$C$4:$C$58,0),BK$59),""))</f>
        <v/>
      </c>
      <c r="BL51" s="792" t="str">
        <f t="shared" si="29"/>
        <v/>
      </c>
      <c r="BM51" s="776" t="str">
        <f t="shared" si="30"/>
        <v/>
      </c>
      <c r="BN51" s="774"/>
      <c r="BO51" s="775" t="str">
        <f>IF($B51="","",IF(INDEX(BDHK2,MATCH($C51,DiemHKII!$C$4:$C$58,0),BO$59)&lt;&gt;"",INDEX(BDHK2,MATCH($C51,DiemHKII!$C$4:$C$58,0),BO$59),""))</f>
        <v/>
      </c>
      <c r="BP51" s="792" t="str">
        <f t="shared" si="31"/>
        <v/>
      </c>
      <c r="BQ51" s="776" t="str">
        <f>IF($B51="","",INDEX(NXetHKI!$B$3:$CL$57,MATCH(NXchung!$C51,NXetHKI!$C$3:$C$57,0),NXchung!BQ$59))</f>
        <v/>
      </c>
      <c r="BR51" s="775" t="str">
        <f>IF($B51="","",IF(INDEX(BDHK2,MATCH($C51,DiemHKII!$C$4:$C$58,0),BR$59)&lt;&gt;"",INDEX(BDHK2,MATCH($C51,DiemHKII!$C$4:$C$58,0),BR$59),""))</f>
        <v/>
      </c>
      <c r="BS51" s="792" t="str">
        <f t="shared" si="32"/>
        <v/>
      </c>
      <c r="BT51" s="776" t="str">
        <f t="shared" si="33"/>
        <v/>
      </c>
      <c r="BU51" s="775" t="str">
        <f>IF($B51="","",IF(INDEX(BDHK2,MATCH($C51,DiemHKII!$C$4:$C$58,0),BU$59)&lt;&gt;"",INDEX(BDHK2,MATCH($C51,DiemHKII!$C$4:$C$58,0),BU$59),""))</f>
        <v/>
      </c>
      <c r="BV51" s="792" t="str">
        <f t="shared" si="34"/>
        <v/>
      </c>
      <c r="BW51" s="776" t="str">
        <f t="shared" si="35"/>
        <v/>
      </c>
      <c r="BX51" s="774"/>
      <c r="BY51" s="775" t="str">
        <f>IF($B51="","",IF(INDEX(BDHK2,MATCH($C51,DiemHKII!$C$4:$C$58,0),BY$59)&lt;&gt;"",INDEX(BDHK2,MATCH($C51,DiemHKII!$C$4:$C$58,0),BY$59),""))</f>
        <v/>
      </c>
      <c r="BZ51" s="792" t="str">
        <f t="shared" si="36"/>
        <v/>
      </c>
      <c r="CA51" s="776" t="str">
        <f>IF($B51="","",INDEX(NXetHKI!$B$3:$CL$57,MATCH(NXchung!$C51,NXetHKI!$C$3:$C$57,0),NXchung!CA$59))</f>
        <v/>
      </c>
      <c r="CB51" s="775" t="str">
        <f>IF($B51="","",IF(INDEX(BDHK2,MATCH($C51,DiemHKII!$C$4:$C$58,0),CB$59)&lt;&gt;"",INDEX(BDHK2,MATCH($C51,DiemHKII!$C$4:$C$58,0),CB$59),""))</f>
        <v/>
      </c>
      <c r="CC51" s="792" t="str">
        <f t="shared" si="37"/>
        <v/>
      </c>
      <c r="CD51" s="776" t="str">
        <f t="shared" si="38"/>
        <v/>
      </c>
      <c r="CE51" s="775" t="str">
        <f>IF($B51="","",IF(INDEX(BDHK2,MATCH($C51,DiemHKII!$C$4:$C$58,0),CE$59)&lt;&gt;"",INDEX(BDHK2,MATCH($C51,DiemHKII!$C$4:$C$58,0),CE$59),""))</f>
        <v/>
      </c>
      <c r="CF51" s="792" t="str">
        <f t="shared" si="39"/>
        <v/>
      </c>
      <c r="CG51" s="776" t="str">
        <f t="shared" si="40"/>
        <v/>
      </c>
      <c r="CH51" s="774"/>
      <c r="CI51" s="775" t="str">
        <f>IF($B51="","",IF(INDEX(BDHK2,MATCH($C51,DiemHKII!$C$4:$C$58,0),CI$59)&lt;&gt;"",INDEX(BDHK2,MATCH($C51,DiemHKII!$C$4:$C$58,0),CI$59),""))</f>
        <v/>
      </c>
      <c r="CJ51" s="792" t="str">
        <f t="shared" si="41"/>
        <v/>
      </c>
      <c r="CK51" s="776" t="str">
        <f>IF($B51="","",INDEX(NXetHKI!$B$3:$CL$57,MATCH(NXchung!$C51,NXetHKI!$C$3:$C$57,0),NXchung!CK$59))</f>
        <v/>
      </c>
      <c r="CL51" s="775" t="str">
        <f>IF($B51="","",IF(INDEX(BDHK2,MATCH($C51,DiemHKII!$C$4:$C$58,0),CL$59)&lt;&gt;"",INDEX(BDHK2,MATCH($C51,DiemHKII!$C$4:$C$58,0),CL$59),""))</f>
        <v/>
      </c>
      <c r="CM51" s="792" t="str">
        <f t="shared" si="42"/>
        <v/>
      </c>
      <c r="CN51" s="776" t="str">
        <f t="shared" si="43"/>
        <v/>
      </c>
      <c r="CO51" s="775" t="str">
        <f>IF($B51="","",IF(INDEX(BDHK2,MATCH($C51,DiemHKII!$C$4:$C$58,0),CO$59)&lt;&gt;"",INDEX(BDHK2,MATCH($C51,DiemHKII!$C$4:$C$58,0),CO$59),""))</f>
        <v/>
      </c>
      <c r="CP51" s="792" t="str">
        <f t="shared" si="44"/>
        <v/>
      </c>
      <c r="CQ51" s="776" t="str">
        <f t="shared" si="45"/>
        <v/>
      </c>
      <c r="CR51" s="774"/>
      <c r="CS51" s="775" t="str">
        <f>IF($B51="","",IF(INDEX(BDHK2,MATCH($C51,DiemHKII!$C$4:$C$58,0),CS$59)&lt;&gt;"",INDEX(BDHK2,MATCH($C51,DiemHKII!$C$4:$C$58,0),CS$59),""))</f>
        <v/>
      </c>
      <c r="CT51" s="792" t="str">
        <f t="shared" si="46"/>
        <v/>
      </c>
      <c r="CU51" s="776" t="str">
        <f>IF($B51="","",INDEX(NXetHKI!$B$3:$CL$57,MATCH(NXchung!$C51,NXetHKI!$C$3:$C$57,0),NXchung!CU$59))</f>
        <v/>
      </c>
      <c r="CV51" s="775" t="str">
        <f>IF($B51="","",IF(INDEX(BDHK2,MATCH($C51,DiemHKII!$C$4:$C$58,0),CV$59)&lt;&gt;"",INDEX(BDHK2,MATCH($C51,DiemHKII!$C$4:$C$58,0),CV$59),""))</f>
        <v/>
      </c>
      <c r="CW51" s="792" t="str">
        <f t="shared" si="47"/>
        <v/>
      </c>
      <c r="CX51" s="776" t="str">
        <f t="shared" si="48"/>
        <v/>
      </c>
      <c r="CY51" s="775" t="str">
        <f>IF($B51="","",IF(INDEX(BDHK2,MATCH($C51,DiemHKII!$C$4:$C$58,0),CY$59)&lt;&gt;"",INDEX(BDHK2,MATCH($C51,DiemHKII!$C$4:$C$58,0),CY$59),""))</f>
        <v/>
      </c>
      <c r="CZ51" s="792" t="str">
        <f t="shared" si="49"/>
        <v/>
      </c>
      <c r="DA51" s="776" t="str">
        <f t="shared" si="50"/>
        <v/>
      </c>
      <c r="DB51" s="774"/>
      <c r="DC51" s="775" t="str">
        <f>IF($B51="","",IF(INDEX(BDHK2,MATCH($C51,DiemHKII!$C$4:$C$58,0),DC$59)&lt;&gt;"",INDEX(BDHK2,MATCH($C51,DiemHKII!$C$4:$C$58,0),DC$59),""))</f>
        <v/>
      </c>
      <c r="DD51" s="792" t="str">
        <f t="shared" si="51"/>
        <v/>
      </c>
      <c r="DE51" s="776" t="str">
        <f>IF($B51="","",INDEX(NXetHKI!$B$3:$CL$57,MATCH(NXchung!$C51,NXetHKI!$C$3:$C$57,0),NXchung!DE$59))</f>
        <v/>
      </c>
      <c r="DF51" s="775" t="str">
        <f>IF($B51="","",IF(INDEX(BDHK2,MATCH($C51,DiemHKII!$C$4:$C$58,0),DF$59)&lt;&gt;"",INDEX(BDHK2,MATCH($C51,DiemHKII!$C$4:$C$58,0),DF$59),""))</f>
        <v/>
      </c>
      <c r="DG51" s="792" t="str">
        <f t="shared" si="52"/>
        <v/>
      </c>
      <c r="DH51" s="776" t="str">
        <f t="shared" si="53"/>
        <v/>
      </c>
      <c r="DI51" s="775" t="str">
        <f>IF($B51="","",IF(INDEX(BDHK2,MATCH($C51,DiemHKII!$C$4:$C$58,0),DI$59)&lt;&gt;"",INDEX(BDHK2,MATCH($C51,DiemHKII!$C$4:$C$58,0),DI$59),""))</f>
        <v/>
      </c>
      <c r="DJ51" s="792" t="str">
        <f t="shared" si="54"/>
        <v/>
      </c>
      <c r="DK51" s="776" t="str">
        <f t="shared" si="55"/>
        <v/>
      </c>
      <c r="DL51" s="774"/>
      <c r="DM51" s="775" t="str">
        <f>IF($B51="","",IF(INDEX(BDHK2,MATCH($C51,DiemHKII!$C$4:$C$58,0),DM$59)&lt;&gt;"",INDEX(BDHK2,MATCH($C51,DiemHKII!$C$4:$C$58,0),DM$59),""))</f>
        <v/>
      </c>
      <c r="DN51" s="792" t="str">
        <f t="shared" si="56"/>
        <v/>
      </c>
      <c r="DO51" s="776" t="str">
        <f>IF($B51="","",INDEX(NXetHKI!$B$3:$CL$57,MATCH(NXchung!$C51,NXetHKI!$C$3:$C$57,0),NXchung!DO$59))</f>
        <v/>
      </c>
      <c r="DP51" s="775" t="str">
        <f>IF($B51="","",IF(INDEX(BDHK2,MATCH($C51,DiemHKII!$C$4:$C$58,0),DP$59)&lt;&gt;"",INDEX(BDHK2,MATCH($C51,DiemHKII!$C$4:$C$58,0),DP$59),""))</f>
        <v/>
      </c>
      <c r="DQ51" s="792" t="str">
        <f t="shared" si="57"/>
        <v/>
      </c>
      <c r="DR51" s="776" t="str">
        <f t="shared" si="58"/>
        <v/>
      </c>
      <c r="DS51" s="775" t="str">
        <f>IF($B51="","",IF(INDEX(BDHK2,MATCH($C51,DiemHKII!$C$4:$C$58,0),DS$59)&lt;&gt;"",INDEX(BDHK2,MATCH($C51,DiemHKII!$C$4:$C$58,0),DS$59),""))</f>
        <v/>
      </c>
      <c r="DT51" s="792" t="str">
        <f t="shared" si="59"/>
        <v/>
      </c>
      <c r="DU51" s="776" t="str">
        <f t="shared" si="60"/>
        <v/>
      </c>
      <c r="DV51" s="774"/>
      <c r="DW51" s="775" t="str">
        <f>IF($B51="","",IF(INDEX(BDHK2,MATCH($C51,DiemHKII!$C$4:$C$58,0),DW$59)&lt;&gt;"",INDEX(BDHK2,MATCH($C51,DiemHKII!$C$4:$C$58,0),DW$59),""))</f>
        <v/>
      </c>
      <c r="DX51" s="792" t="str">
        <f t="shared" si="61"/>
        <v/>
      </c>
      <c r="DY51" s="776" t="str">
        <f>IF($B51="","",INDEX(NXetHKI!$B$3:$CL$57,MATCH(NXchung!$C51,NXetHKI!$C$3:$C$57,0),NXchung!DY$59))</f>
        <v/>
      </c>
      <c r="DZ51" s="775" t="str">
        <f>IF($B51="","",IF(INDEX(BDHK2,MATCH($C51,DiemHKII!$C$4:$C$58,0),DZ$59)&lt;&gt;"",INDEX(BDHK2,MATCH($C51,DiemHKII!$C$4:$C$58,0),DZ$59),""))</f>
        <v/>
      </c>
      <c r="EA51" s="792" t="str">
        <f t="shared" si="62"/>
        <v/>
      </c>
      <c r="EB51" s="776" t="str">
        <f t="shared" si="63"/>
        <v/>
      </c>
      <c r="EC51" s="775" t="str">
        <f>IF($B51="","",IF(INDEX(BDHK2,MATCH($C51,DiemHKII!$C$4:$C$58,0),EC$59)&lt;&gt;"",INDEX(BDHK2,MATCH($C51,DiemHKII!$C$4:$C$58,0),EC$59),""))</f>
        <v/>
      </c>
      <c r="ED51" s="792" t="str">
        <f t="shared" si="64"/>
        <v/>
      </c>
      <c r="EE51" s="776" t="str">
        <f t="shared" si="65"/>
        <v/>
      </c>
      <c r="EF51" s="774"/>
      <c r="EG51" s="775" t="str">
        <f>IF($B51="","",IF(INDEX(BDHK2,MATCH($C51,DiemHKII!$C$4:$C$58,0),EG$59)&lt;&gt;"",INDEX(BDHK2,MATCH($C51,DiemHKII!$C$4:$C$58,0),EG$59),""))</f>
        <v/>
      </c>
      <c r="EH51" s="792" t="str">
        <f t="shared" si="66"/>
        <v/>
      </c>
      <c r="EI51" s="776" t="str">
        <f>IF($B51="","",INDEX(NXetHKI!$B$3:$CL$57,MATCH(NXchung!$C51,NXetHKI!$C$3:$C$57,0),NXchung!EI$59))</f>
        <v/>
      </c>
      <c r="EJ51" s="775" t="str">
        <f>IF($B51="","",IF(INDEX(BDHK2,MATCH($C51,DiemHKII!$C$4:$C$58,0),EJ$59)&lt;&gt;"",INDEX(BDHK2,MATCH($C51,DiemHKII!$C$4:$C$58,0),EJ$59),""))</f>
        <v/>
      </c>
      <c r="EK51" s="792" t="str">
        <f t="shared" si="67"/>
        <v/>
      </c>
      <c r="EL51" s="776" t="str">
        <f t="shared" si="68"/>
        <v/>
      </c>
      <c r="EM51" s="775" t="str">
        <f>IF($B51="","",IF(INDEX(BDHK2,MATCH($C51,DiemHKII!$C$4:$C$58,0),EM$59)&lt;&gt;"",INDEX(BDHK2,MATCH($C51,DiemHKII!$C$4:$C$58,0),EM$59),""))</f>
        <v/>
      </c>
      <c r="EN51" s="792" t="str">
        <f t="shared" si="69"/>
        <v/>
      </c>
      <c r="EO51" s="776" t="str">
        <f t="shared" si="70"/>
        <v/>
      </c>
      <c r="EP51" s="774"/>
      <c r="ER51" s="816">
        <v>6</v>
      </c>
      <c r="ES51" s="816">
        <v>9</v>
      </c>
    </row>
    <row r="52" spans="2:149" ht="15" customHeight="1">
      <c r="B52" s="777" t="str">
        <f>IF(B51&lt;MAX(DiemHKII!$B$4:$B$58),B51+1,"")</f>
        <v/>
      </c>
      <c r="C52" s="777" t="str">
        <f t="shared" si="0"/>
        <v/>
      </c>
      <c r="D52" s="778" t="str">
        <f>IF($B52&lt;&gt;"",PROPER(INDEX(DiemHKII!$B$4:$K$58,MATCH($B52,DiemHKII!$B$4:$B$58,0),4)),"")</f>
        <v/>
      </c>
      <c r="E52" s="779" t="str">
        <f>IF($B52&lt;&gt;"",PROPER(INDEX(DiemHKII!$B$4:$K$58,MATCH($B52,DiemHKII!$B$4:$B$58,0),5)),"")</f>
        <v/>
      </c>
      <c r="F52" s="780" t="str">
        <f>IF($B52&lt;&gt;"",PROPER(INDEX(DiemHKII!$B$4:$K$58,MATCH($B52,DiemHKII!$B$4:$B$58,0),6)),"")</f>
        <v/>
      </c>
      <c r="G52" s="781" t="str">
        <f>IF($B52="","",IF(INDEX(BDHK2,MATCH($C52,DiemHKII!$C$4:$C$58,0),G$59)&lt;&gt;"",INDEX(BDHK2,MATCH($C52,DiemHKII!$C$4:$C$58,0),G$59),""))</f>
        <v/>
      </c>
      <c r="H52" s="793" t="str">
        <f t="shared" si="1"/>
        <v/>
      </c>
      <c r="I52" s="782" t="str">
        <f>IF($B52="","",INDEX(NXetHKI!$B$3:$CL$57,MATCH(NXchung!$C52,NXetHKI!$C$3:$C$57,0),NXchung!I$59))</f>
        <v/>
      </c>
      <c r="J52" s="781" t="str">
        <f>IF($B52="","",IF(INDEX(BDHK2,MATCH($C52,DiemHKII!$C$4:$C$58,0),J$59)&lt;&gt;"",INDEX(BDHK2,MATCH($C52,DiemHKII!$C$4:$C$58,0),J$59),""))</f>
        <v/>
      </c>
      <c r="K52" s="793" t="str">
        <f t="shared" si="2"/>
        <v/>
      </c>
      <c r="L52" s="782" t="str">
        <f t="shared" si="3"/>
        <v/>
      </c>
      <c r="M52" s="781" t="str">
        <f>IF($B52="","",IF(INDEX(BDHK2,MATCH($C52,DiemHKII!$C$4:$C$58,0),M$59)&lt;&gt;"",INDEX(BDHK2,MATCH($C52,DiemHKII!$C$4:$C$58,0),M$59),""))</f>
        <v/>
      </c>
      <c r="N52" s="793" t="str">
        <f t="shared" si="4"/>
        <v/>
      </c>
      <c r="O52" s="782" t="str">
        <f t="shared" si="5"/>
        <v/>
      </c>
      <c r="P52" s="780"/>
      <c r="Q52" s="781" t="str">
        <f>IF($B52="","",IF(INDEX(BDHK2,MATCH($C52,DiemHKII!$C$4:$C$58,0),Q$59)&lt;&gt;"",INDEX(BDHK2,MATCH($C52,DiemHKII!$C$4:$C$58,0),Q$59),""))</f>
        <v/>
      </c>
      <c r="R52" s="793" t="str">
        <f t="shared" si="6"/>
        <v/>
      </c>
      <c r="S52" s="782" t="str">
        <f>IF($B52="","",INDEX(NXetHKI!$B$3:$CL$57,MATCH(NXchung!$C52,NXetHKI!$C$3:$C$57,0),NXchung!S$59))</f>
        <v/>
      </c>
      <c r="T52" s="781" t="str">
        <f>IF($B52="","",IF(INDEX(BDHK2,MATCH($C52,DiemHKII!$C$4:$C$58,0),T$59)&lt;&gt;"",INDEX(BDHK2,MATCH($C52,DiemHKII!$C$4:$C$58,0),T$59),""))</f>
        <v/>
      </c>
      <c r="U52" s="793" t="str">
        <f t="shared" si="7"/>
        <v/>
      </c>
      <c r="V52" s="782" t="str">
        <f t="shared" si="8"/>
        <v/>
      </c>
      <c r="W52" s="781" t="str">
        <f>IF($B52="","",IF(INDEX(BDHK2,MATCH($C52,DiemHKII!$C$4:$C$58,0),W$59)&lt;&gt;"",INDEX(BDHK2,MATCH($C52,DiemHKII!$C$4:$C$58,0),W$59),""))</f>
        <v/>
      </c>
      <c r="X52" s="793" t="str">
        <f t="shared" si="9"/>
        <v/>
      </c>
      <c r="Y52" s="782" t="str">
        <f t="shared" si="10"/>
        <v/>
      </c>
      <c r="Z52" s="780"/>
      <c r="AA52" s="781" t="str">
        <f>IF($B52="","",IF(INDEX(BDHK2,MATCH($C52,DiemHKII!$C$4:$C$58,0),AA$59)&lt;&gt;"",INDEX(BDHK2,MATCH($C52,DiemHKII!$C$4:$C$58,0),AA$59),""))</f>
        <v/>
      </c>
      <c r="AB52" s="793" t="str">
        <f t="shared" si="11"/>
        <v/>
      </c>
      <c r="AC52" s="782" t="str">
        <f>IF($B52="","",INDEX(NXetHKI!$B$3:$CL$57,MATCH(NXchung!$C52,NXetHKI!$C$3:$C$57,0),NXchung!AC$59))</f>
        <v/>
      </c>
      <c r="AD52" s="781" t="str">
        <f>IF($B52="","",IF(INDEX(BDHK2,MATCH($C52,DiemHKII!$C$4:$C$58,0),AD$59)&lt;&gt;"",INDEX(BDHK2,MATCH($C52,DiemHKII!$C$4:$C$58,0),AD$59),""))</f>
        <v/>
      </c>
      <c r="AE52" s="793" t="str">
        <f t="shared" si="12"/>
        <v/>
      </c>
      <c r="AF52" s="782" t="str">
        <f t="shared" si="13"/>
        <v/>
      </c>
      <c r="AG52" s="781" t="str">
        <f>IF($B52="","",IF(INDEX(BDHK2,MATCH($C52,DiemHKII!$C$4:$C$58,0),AG$59)&lt;&gt;"",INDEX(BDHK2,MATCH($C52,DiemHKII!$C$4:$C$58,0),AG$59),""))</f>
        <v/>
      </c>
      <c r="AH52" s="793" t="str">
        <f t="shared" si="14"/>
        <v/>
      </c>
      <c r="AI52" s="782" t="str">
        <f t="shared" si="15"/>
        <v/>
      </c>
      <c r="AJ52" s="780"/>
      <c r="AK52" s="781" t="str">
        <f>IF($B52="","",IF(INDEX(BDHK2,MATCH($C52,DiemHKII!$C$4:$C$58,0),AK$59)&lt;&gt;"",INDEX(BDHK2,MATCH($C52,DiemHKII!$C$4:$C$58,0),AK$59),""))</f>
        <v/>
      </c>
      <c r="AL52" s="793" t="str">
        <f t="shared" si="16"/>
        <v/>
      </c>
      <c r="AM52" s="782" t="str">
        <f>IF($B52="","",INDEX(NXetHKI!$B$3:$CL$57,MATCH(NXchung!$C52,NXetHKI!$C$3:$C$57,0),NXchung!AM$59))</f>
        <v/>
      </c>
      <c r="AN52" s="781" t="str">
        <f>IF($B52="","",IF(INDEX(BDHK2,MATCH($C52,DiemHKII!$C$4:$C$58,0),AN$59)&lt;&gt;"",INDEX(BDHK2,MATCH($C52,DiemHKII!$C$4:$C$58,0),AN$59),""))</f>
        <v/>
      </c>
      <c r="AO52" s="793" t="str">
        <f t="shared" si="17"/>
        <v/>
      </c>
      <c r="AP52" s="782" t="str">
        <f t="shared" si="18"/>
        <v/>
      </c>
      <c r="AQ52" s="781" t="str">
        <f>IF($B52="","",IF(INDEX(BDHK2,MATCH($C52,DiemHKII!$C$4:$C$58,0),AQ$59)&lt;&gt;"",INDEX(BDHK2,MATCH($C52,DiemHKII!$C$4:$C$58,0),AQ$59),""))</f>
        <v/>
      </c>
      <c r="AR52" s="793" t="str">
        <f t="shared" si="19"/>
        <v/>
      </c>
      <c r="AS52" s="782" t="str">
        <f t="shared" si="20"/>
        <v/>
      </c>
      <c r="AT52" s="780"/>
      <c r="AU52" s="781" t="str">
        <f>IF($B52="","",IF(INDEX(BDHK2,MATCH($C52,DiemHKII!$C$4:$C$58,0),AU$59)&lt;&gt;"",INDEX(BDHK2,MATCH($C52,DiemHKII!$C$4:$C$58,0),AU$59),""))</f>
        <v/>
      </c>
      <c r="AV52" s="793" t="str">
        <f t="shared" si="21"/>
        <v/>
      </c>
      <c r="AW52" s="782" t="str">
        <f>IF($B52="","",INDEX(NXetHKI!$B$3:$CL$57,MATCH(NXchung!$C52,NXetHKI!$C$3:$C$57,0),NXchung!AW$59))</f>
        <v/>
      </c>
      <c r="AX52" s="781" t="str">
        <f>IF($B52="","",IF(INDEX(BDHK2,MATCH($C52,DiemHKII!$C$4:$C$58,0),AX$59)&lt;&gt;"",INDEX(BDHK2,MATCH($C52,DiemHKII!$C$4:$C$58,0),AX$59),""))</f>
        <v/>
      </c>
      <c r="AY52" s="793" t="str">
        <f t="shared" si="22"/>
        <v/>
      </c>
      <c r="AZ52" s="782" t="str">
        <f t="shared" si="23"/>
        <v/>
      </c>
      <c r="BA52" s="781" t="str">
        <f>IF($B52="","",IF(INDEX(BDHK2,MATCH($C52,DiemHKII!$C$4:$C$58,0),BA$59)&lt;&gt;"",INDEX(BDHK2,MATCH($C52,DiemHKII!$C$4:$C$58,0),BA$59),""))</f>
        <v/>
      </c>
      <c r="BB52" s="793" t="str">
        <f t="shared" si="24"/>
        <v/>
      </c>
      <c r="BC52" s="782" t="str">
        <f t="shared" si="25"/>
        <v/>
      </c>
      <c r="BD52" s="780"/>
      <c r="BE52" s="781" t="str">
        <f>IF($B52="","",IF(INDEX(BDHK2,MATCH($C52,DiemHKII!$C$4:$C$58,0),BE$59)&lt;&gt;"",INDEX(BDHK2,MATCH($C52,DiemHKII!$C$4:$C$58,0),BE$59),""))</f>
        <v/>
      </c>
      <c r="BF52" s="793" t="str">
        <f t="shared" si="26"/>
        <v/>
      </c>
      <c r="BG52" s="782" t="str">
        <f>IF($B52="","",INDEX(NXetHKI!$B$3:$CL$57,MATCH(NXchung!$C52,NXetHKI!$C$3:$C$57,0),NXchung!BG$59))</f>
        <v/>
      </c>
      <c r="BH52" s="781" t="str">
        <f>IF($B52="","",IF(INDEX(BDHK2,MATCH($C52,DiemHKII!$C$4:$C$58,0),BH$59)&lt;&gt;"",INDEX(BDHK2,MATCH($C52,DiemHKII!$C$4:$C$58,0),BH$59),""))</f>
        <v/>
      </c>
      <c r="BI52" s="793" t="str">
        <f t="shared" si="27"/>
        <v/>
      </c>
      <c r="BJ52" s="782" t="str">
        <f t="shared" si="28"/>
        <v/>
      </c>
      <c r="BK52" s="781" t="str">
        <f>IF($B52="","",IF(INDEX(BDHK2,MATCH($C52,DiemHKII!$C$4:$C$58,0),BK$59)&lt;&gt;"",INDEX(BDHK2,MATCH($C52,DiemHKII!$C$4:$C$58,0),BK$59),""))</f>
        <v/>
      </c>
      <c r="BL52" s="793" t="str">
        <f t="shared" si="29"/>
        <v/>
      </c>
      <c r="BM52" s="782" t="str">
        <f t="shared" si="30"/>
        <v/>
      </c>
      <c r="BN52" s="780"/>
      <c r="BO52" s="781" t="str">
        <f>IF($B52="","",IF(INDEX(BDHK2,MATCH($C52,DiemHKII!$C$4:$C$58,0),BO$59)&lt;&gt;"",INDEX(BDHK2,MATCH($C52,DiemHKII!$C$4:$C$58,0),BO$59),""))</f>
        <v/>
      </c>
      <c r="BP52" s="793" t="str">
        <f t="shared" si="31"/>
        <v/>
      </c>
      <c r="BQ52" s="782" t="str">
        <f>IF($B52="","",INDEX(NXetHKI!$B$3:$CL$57,MATCH(NXchung!$C52,NXetHKI!$C$3:$C$57,0),NXchung!BQ$59))</f>
        <v/>
      </c>
      <c r="BR52" s="781" t="str">
        <f>IF($B52="","",IF(INDEX(BDHK2,MATCH($C52,DiemHKII!$C$4:$C$58,0),BR$59)&lt;&gt;"",INDEX(BDHK2,MATCH($C52,DiemHKII!$C$4:$C$58,0),BR$59),""))</f>
        <v/>
      </c>
      <c r="BS52" s="793" t="str">
        <f t="shared" si="32"/>
        <v/>
      </c>
      <c r="BT52" s="782" t="str">
        <f t="shared" si="33"/>
        <v/>
      </c>
      <c r="BU52" s="781" t="str">
        <f>IF($B52="","",IF(INDEX(BDHK2,MATCH($C52,DiemHKII!$C$4:$C$58,0),BU$59)&lt;&gt;"",INDEX(BDHK2,MATCH($C52,DiemHKII!$C$4:$C$58,0),BU$59),""))</f>
        <v/>
      </c>
      <c r="BV52" s="793" t="str">
        <f t="shared" si="34"/>
        <v/>
      </c>
      <c r="BW52" s="782" t="str">
        <f t="shared" si="35"/>
        <v/>
      </c>
      <c r="BX52" s="780"/>
      <c r="BY52" s="781" t="str">
        <f>IF($B52="","",IF(INDEX(BDHK2,MATCH($C52,DiemHKII!$C$4:$C$58,0),BY$59)&lt;&gt;"",INDEX(BDHK2,MATCH($C52,DiemHKII!$C$4:$C$58,0),BY$59),""))</f>
        <v/>
      </c>
      <c r="BZ52" s="793" t="str">
        <f t="shared" si="36"/>
        <v/>
      </c>
      <c r="CA52" s="782" t="str">
        <f>IF($B52="","",INDEX(NXetHKI!$B$3:$CL$57,MATCH(NXchung!$C52,NXetHKI!$C$3:$C$57,0),NXchung!CA$59))</f>
        <v/>
      </c>
      <c r="CB52" s="781" t="str">
        <f>IF($B52="","",IF(INDEX(BDHK2,MATCH($C52,DiemHKII!$C$4:$C$58,0),CB$59)&lt;&gt;"",INDEX(BDHK2,MATCH($C52,DiemHKII!$C$4:$C$58,0),CB$59),""))</f>
        <v/>
      </c>
      <c r="CC52" s="793" t="str">
        <f t="shared" si="37"/>
        <v/>
      </c>
      <c r="CD52" s="782" t="str">
        <f t="shared" si="38"/>
        <v/>
      </c>
      <c r="CE52" s="781" t="str">
        <f>IF($B52="","",IF(INDEX(BDHK2,MATCH($C52,DiemHKII!$C$4:$C$58,0),CE$59)&lt;&gt;"",INDEX(BDHK2,MATCH($C52,DiemHKII!$C$4:$C$58,0),CE$59),""))</f>
        <v/>
      </c>
      <c r="CF52" s="793" t="str">
        <f t="shared" si="39"/>
        <v/>
      </c>
      <c r="CG52" s="782" t="str">
        <f t="shared" si="40"/>
        <v/>
      </c>
      <c r="CH52" s="780"/>
      <c r="CI52" s="781" t="str">
        <f>IF($B52="","",IF(INDEX(BDHK2,MATCH($C52,DiemHKII!$C$4:$C$58,0),CI$59)&lt;&gt;"",INDEX(BDHK2,MATCH($C52,DiemHKII!$C$4:$C$58,0),CI$59),""))</f>
        <v/>
      </c>
      <c r="CJ52" s="793" t="str">
        <f t="shared" si="41"/>
        <v/>
      </c>
      <c r="CK52" s="782" t="str">
        <f>IF($B52="","",INDEX(NXetHKI!$B$3:$CL$57,MATCH(NXchung!$C52,NXetHKI!$C$3:$C$57,0),NXchung!CK$59))</f>
        <v/>
      </c>
      <c r="CL52" s="781" t="str">
        <f>IF($B52="","",IF(INDEX(BDHK2,MATCH($C52,DiemHKII!$C$4:$C$58,0),CL$59)&lt;&gt;"",INDEX(BDHK2,MATCH($C52,DiemHKII!$C$4:$C$58,0),CL$59),""))</f>
        <v/>
      </c>
      <c r="CM52" s="793" t="str">
        <f t="shared" si="42"/>
        <v/>
      </c>
      <c r="CN52" s="782" t="str">
        <f t="shared" si="43"/>
        <v/>
      </c>
      <c r="CO52" s="781" t="str">
        <f>IF($B52="","",IF(INDEX(BDHK2,MATCH($C52,DiemHKII!$C$4:$C$58,0),CO$59)&lt;&gt;"",INDEX(BDHK2,MATCH($C52,DiemHKII!$C$4:$C$58,0),CO$59),""))</f>
        <v/>
      </c>
      <c r="CP52" s="793" t="str">
        <f t="shared" si="44"/>
        <v/>
      </c>
      <c r="CQ52" s="782" t="str">
        <f t="shared" si="45"/>
        <v/>
      </c>
      <c r="CR52" s="780"/>
      <c r="CS52" s="781" t="str">
        <f>IF($B52="","",IF(INDEX(BDHK2,MATCH($C52,DiemHKII!$C$4:$C$58,0),CS$59)&lt;&gt;"",INDEX(BDHK2,MATCH($C52,DiemHKII!$C$4:$C$58,0),CS$59),""))</f>
        <v/>
      </c>
      <c r="CT52" s="793" t="str">
        <f t="shared" si="46"/>
        <v/>
      </c>
      <c r="CU52" s="782" t="str">
        <f>IF($B52="","",INDEX(NXetHKI!$B$3:$CL$57,MATCH(NXchung!$C52,NXetHKI!$C$3:$C$57,0),NXchung!CU$59))</f>
        <v/>
      </c>
      <c r="CV52" s="781" t="str">
        <f>IF($B52="","",IF(INDEX(BDHK2,MATCH($C52,DiemHKII!$C$4:$C$58,0),CV$59)&lt;&gt;"",INDEX(BDHK2,MATCH($C52,DiemHKII!$C$4:$C$58,0),CV$59),""))</f>
        <v/>
      </c>
      <c r="CW52" s="793" t="str">
        <f t="shared" si="47"/>
        <v/>
      </c>
      <c r="CX52" s="782" t="str">
        <f t="shared" si="48"/>
        <v/>
      </c>
      <c r="CY52" s="781" t="str">
        <f>IF($B52="","",IF(INDEX(BDHK2,MATCH($C52,DiemHKII!$C$4:$C$58,0),CY$59)&lt;&gt;"",INDEX(BDHK2,MATCH($C52,DiemHKII!$C$4:$C$58,0),CY$59),""))</f>
        <v/>
      </c>
      <c r="CZ52" s="793" t="str">
        <f t="shared" si="49"/>
        <v/>
      </c>
      <c r="DA52" s="782" t="str">
        <f t="shared" si="50"/>
        <v/>
      </c>
      <c r="DB52" s="780"/>
      <c r="DC52" s="781" t="str">
        <f>IF($B52="","",IF(INDEX(BDHK2,MATCH($C52,DiemHKII!$C$4:$C$58,0),DC$59)&lt;&gt;"",INDEX(BDHK2,MATCH($C52,DiemHKII!$C$4:$C$58,0),DC$59),""))</f>
        <v/>
      </c>
      <c r="DD52" s="793" t="str">
        <f t="shared" si="51"/>
        <v/>
      </c>
      <c r="DE52" s="782" t="str">
        <f>IF($B52="","",INDEX(NXetHKI!$B$3:$CL$57,MATCH(NXchung!$C52,NXetHKI!$C$3:$C$57,0),NXchung!DE$59))</f>
        <v/>
      </c>
      <c r="DF52" s="781" t="str">
        <f>IF($B52="","",IF(INDEX(BDHK2,MATCH($C52,DiemHKII!$C$4:$C$58,0),DF$59)&lt;&gt;"",INDEX(BDHK2,MATCH($C52,DiemHKII!$C$4:$C$58,0),DF$59),""))</f>
        <v/>
      </c>
      <c r="DG52" s="793" t="str">
        <f t="shared" si="52"/>
        <v/>
      </c>
      <c r="DH52" s="782" t="str">
        <f t="shared" si="53"/>
        <v/>
      </c>
      <c r="DI52" s="781" t="str">
        <f>IF($B52="","",IF(INDEX(BDHK2,MATCH($C52,DiemHKII!$C$4:$C$58,0),DI$59)&lt;&gt;"",INDEX(BDHK2,MATCH($C52,DiemHKII!$C$4:$C$58,0),DI$59),""))</f>
        <v/>
      </c>
      <c r="DJ52" s="793" t="str">
        <f t="shared" si="54"/>
        <v/>
      </c>
      <c r="DK52" s="782" t="str">
        <f t="shared" si="55"/>
        <v/>
      </c>
      <c r="DL52" s="780"/>
      <c r="DM52" s="781" t="str">
        <f>IF($B52="","",IF(INDEX(BDHK2,MATCH($C52,DiemHKII!$C$4:$C$58,0),DM$59)&lt;&gt;"",INDEX(BDHK2,MATCH($C52,DiemHKII!$C$4:$C$58,0),DM$59),""))</f>
        <v/>
      </c>
      <c r="DN52" s="793" t="str">
        <f t="shared" si="56"/>
        <v/>
      </c>
      <c r="DO52" s="782" t="str">
        <f>IF($B52="","",INDEX(NXetHKI!$B$3:$CL$57,MATCH(NXchung!$C52,NXetHKI!$C$3:$C$57,0),NXchung!DO$59))</f>
        <v/>
      </c>
      <c r="DP52" s="781" t="str">
        <f>IF($B52="","",IF(INDEX(BDHK2,MATCH($C52,DiemHKII!$C$4:$C$58,0),DP$59)&lt;&gt;"",INDEX(BDHK2,MATCH($C52,DiemHKII!$C$4:$C$58,0),DP$59),""))</f>
        <v/>
      </c>
      <c r="DQ52" s="793" t="str">
        <f t="shared" si="57"/>
        <v/>
      </c>
      <c r="DR52" s="782" t="str">
        <f t="shared" si="58"/>
        <v/>
      </c>
      <c r="DS52" s="781" t="str">
        <f>IF($B52="","",IF(INDEX(BDHK2,MATCH($C52,DiemHKII!$C$4:$C$58,0),DS$59)&lt;&gt;"",INDEX(BDHK2,MATCH($C52,DiemHKII!$C$4:$C$58,0),DS$59),""))</f>
        <v/>
      </c>
      <c r="DT52" s="793" t="str">
        <f t="shared" si="59"/>
        <v/>
      </c>
      <c r="DU52" s="782" t="str">
        <f t="shared" si="60"/>
        <v/>
      </c>
      <c r="DV52" s="780"/>
      <c r="DW52" s="781" t="str">
        <f>IF($B52="","",IF(INDEX(BDHK2,MATCH($C52,DiemHKII!$C$4:$C$58,0),DW$59)&lt;&gt;"",INDEX(BDHK2,MATCH($C52,DiemHKII!$C$4:$C$58,0),DW$59),""))</f>
        <v/>
      </c>
      <c r="DX52" s="793" t="str">
        <f t="shared" si="61"/>
        <v/>
      </c>
      <c r="DY52" s="782" t="str">
        <f>IF($B52="","",INDEX(NXetHKI!$B$3:$CL$57,MATCH(NXchung!$C52,NXetHKI!$C$3:$C$57,0),NXchung!DY$59))</f>
        <v/>
      </c>
      <c r="DZ52" s="781" t="str">
        <f>IF($B52="","",IF(INDEX(BDHK2,MATCH($C52,DiemHKII!$C$4:$C$58,0),DZ$59)&lt;&gt;"",INDEX(BDHK2,MATCH($C52,DiemHKII!$C$4:$C$58,0),DZ$59),""))</f>
        <v/>
      </c>
      <c r="EA52" s="793" t="str">
        <f t="shared" si="62"/>
        <v/>
      </c>
      <c r="EB52" s="782" t="str">
        <f t="shared" si="63"/>
        <v/>
      </c>
      <c r="EC52" s="781" t="str">
        <f>IF($B52="","",IF(INDEX(BDHK2,MATCH($C52,DiemHKII!$C$4:$C$58,0),EC$59)&lt;&gt;"",INDEX(BDHK2,MATCH($C52,DiemHKII!$C$4:$C$58,0),EC$59),""))</f>
        <v/>
      </c>
      <c r="ED52" s="793" t="str">
        <f t="shared" si="64"/>
        <v/>
      </c>
      <c r="EE52" s="782" t="str">
        <f t="shared" si="65"/>
        <v/>
      </c>
      <c r="EF52" s="780"/>
      <c r="EG52" s="781" t="str">
        <f>IF($B52="","",IF(INDEX(BDHK2,MATCH($C52,DiemHKII!$C$4:$C$58,0),EG$59)&lt;&gt;"",INDEX(BDHK2,MATCH($C52,DiemHKII!$C$4:$C$58,0),EG$59),""))</f>
        <v/>
      </c>
      <c r="EH52" s="793" t="str">
        <f t="shared" si="66"/>
        <v/>
      </c>
      <c r="EI52" s="782" t="str">
        <f>IF($B52="","",INDEX(NXetHKI!$B$3:$CL$57,MATCH(NXchung!$C52,NXetHKI!$C$3:$C$57,0),NXchung!EI$59))</f>
        <v/>
      </c>
      <c r="EJ52" s="781" t="str">
        <f>IF($B52="","",IF(INDEX(BDHK2,MATCH($C52,DiemHKII!$C$4:$C$58,0),EJ$59)&lt;&gt;"",INDEX(BDHK2,MATCH($C52,DiemHKII!$C$4:$C$58,0),EJ$59),""))</f>
        <v/>
      </c>
      <c r="EK52" s="793" t="str">
        <f t="shared" si="67"/>
        <v/>
      </c>
      <c r="EL52" s="782" t="str">
        <f t="shared" si="68"/>
        <v/>
      </c>
      <c r="EM52" s="781" t="str">
        <f>IF($B52="","",IF(INDEX(BDHK2,MATCH($C52,DiemHKII!$C$4:$C$58,0),EM$59)&lt;&gt;"",INDEX(BDHK2,MATCH($C52,DiemHKII!$C$4:$C$58,0),EM$59),""))</f>
        <v/>
      </c>
      <c r="EN52" s="793" t="str">
        <f t="shared" si="69"/>
        <v/>
      </c>
      <c r="EO52" s="782" t="str">
        <f t="shared" si="70"/>
        <v/>
      </c>
      <c r="EP52" s="780"/>
      <c r="ER52" s="816">
        <v>9</v>
      </c>
      <c r="ES52" s="816">
        <v>3</v>
      </c>
    </row>
    <row r="53" spans="2:149" ht="15" customHeight="1">
      <c r="B53" s="765" t="str">
        <f>IF(B52&lt;MAX(DiemHKII!$B$4:$B$58),B52+1,"")</f>
        <v/>
      </c>
      <c r="C53" s="765" t="str">
        <f t="shared" si="0"/>
        <v/>
      </c>
      <c r="D53" s="766" t="str">
        <f>IF($B53&lt;&gt;"",PROPER(INDEX(DiemHKII!$B$4:$K$58,MATCH($B53,DiemHKII!$B$4:$B$58,0),4)),"")</f>
        <v/>
      </c>
      <c r="E53" s="767" t="str">
        <f>IF($B53&lt;&gt;"",PROPER(INDEX(DiemHKII!$B$4:$K$58,MATCH($B53,DiemHKII!$B$4:$B$58,0),5)),"")</f>
        <v/>
      </c>
      <c r="F53" s="768" t="str">
        <f>IF($B53&lt;&gt;"",PROPER(INDEX(DiemHKII!$B$4:$K$58,MATCH($B53,DiemHKII!$B$4:$B$58,0),6)),"")</f>
        <v/>
      </c>
      <c r="G53" s="769" t="str">
        <f>IF($B53="","",IF(INDEX(BDHK2,MATCH($C53,DiemHKII!$C$4:$C$58,0),G$59)&lt;&gt;"",INDEX(BDHK2,MATCH($C53,DiemHKII!$C$4:$C$58,0),G$59),""))</f>
        <v/>
      </c>
      <c r="H53" s="791" t="str">
        <f t="shared" si="1"/>
        <v/>
      </c>
      <c r="I53" s="770" t="str">
        <f>IF($B53="","",INDEX(NXetHKI!$B$3:$CL$57,MATCH(NXchung!$C53,NXetHKI!$C$3:$C$57,0),NXchung!I$59))</f>
        <v/>
      </c>
      <c r="J53" s="769" t="str">
        <f>IF($B53="","",IF(INDEX(BDHK2,MATCH($C53,DiemHKII!$C$4:$C$58,0),J$59)&lt;&gt;"",INDEX(BDHK2,MATCH($C53,DiemHKII!$C$4:$C$58,0),J$59),""))</f>
        <v/>
      </c>
      <c r="K53" s="791" t="str">
        <f t="shared" si="2"/>
        <v/>
      </c>
      <c r="L53" s="770" t="str">
        <f t="shared" si="3"/>
        <v/>
      </c>
      <c r="M53" s="769" t="str">
        <f>IF($B53="","",IF(INDEX(BDHK2,MATCH($C53,DiemHKII!$C$4:$C$58,0),M$59)&lt;&gt;"",INDEX(BDHK2,MATCH($C53,DiemHKII!$C$4:$C$58,0),M$59),""))</f>
        <v/>
      </c>
      <c r="N53" s="791" t="str">
        <f t="shared" si="4"/>
        <v/>
      </c>
      <c r="O53" s="770" t="str">
        <f t="shared" si="5"/>
        <v/>
      </c>
      <c r="P53" s="768"/>
      <c r="Q53" s="769" t="str">
        <f>IF($B53="","",IF(INDEX(BDHK2,MATCH($C53,DiemHKII!$C$4:$C$58,0),Q$59)&lt;&gt;"",INDEX(BDHK2,MATCH($C53,DiemHKII!$C$4:$C$58,0),Q$59),""))</f>
        <v/>
      </c>
      <c r="R53" s="791" t="str">
        <f t="shared" si="6"/>
        <v/>
      </c>
      <c r="S53" s="770" t="str">
        <f>IF($B53="","",INDEX(NXetHKI!$B$3:$CL$57,MATCH(NXchung!$C53,NXetHKI!$C$3:$C$57,0),NXchung!S$59))</f>
        <v/>
      </c>
      <c r="T53" s="769" t="str">
        <f>IF($B53="","",IF(INDEX(BDHK2,MATCH($C53,DiemHKII!$C$4:$C$58,0),T$59)&lt;&gt;"",INDEX(BDHK2,MATCH($C53,DiemHKII!$C$4:$C$58,0),T$59),""))</f>
        <v/>
      </c>
      <c r="U53" s="791" t="str">
        <f t="shared" si="7"/>
        <v/>
      </c>
      <c r="V53" s="770" t="str">
        <f t="shared" si="8"/>
        <v/>
      </c>
      <c r="W53" s="769" t="str">
        <f>IF($B53="","",IF(INDEX(BDHK2,MATCH($C53,DiemHKII!$C$4:$C$58,0),W$59)&lt;&gt;"",INDEX(BDHK2,MATCH($C53,DiemHKII!$C$4:$C$58,0),W$59),""))</f>
        <v/>
      </c>
      <c r="X53" s="791" t="str">
        <f t="shared" si="9"/>
        <v/>
      </c>
      <c r="Y53" s="770" t="str">
        <f t="shared" si="10"/>
        <v/>
      </c>
      <c r="Z53" s="768"/>
      <c r="AA53" s="769" t="str">
        <f>IF($B53="","",IF(INDEX(BDHK2,MATCH($C53,DiemHKII!$C$4:$C$58,0),AA$59)&lt;&gt;"",INDEX(BDHK2,MATCH($C53,DiemHKII!$C$4:$C$58,0),AA$59),""))</f>
        <v/>
      </c>
      <c r="AB53" s="791" t="str">
        <f t="shared" si="11"/>
        <v/>
      </c>
      <c r="AC53" s="770" t="str">
        <f>IF($B53="","",INDEX(NXetHKI!$B$3:$CL$57,MATCH(NXchung!$C53,NXetHKI!$C$3:$C$57,0),NXchung!AC$59))</f>
        <v/>
      </c>
      <c r="AD53" s="769" t="str">
        <f>IF($B53="","",IF(INDEX(BDHK2,MATCH($C53,DiemHKII!$C$4:$C$58,0),AD$59)&lt;&gt;"",INDEX(BDHK2,MATCH($C53,DiemHKII!$C$4:$C$58,0),AD$59),""))</f>
        <v/>
      </c>
      <c r="AE53" s="791" t="str">
        <f t="shared" si="12"/>
        <v/>
      </c>
      <c r="AF53" s="770" t="str">
        <f t="shared" si="13"/>
        <v/>
      </c>
      <c r="AG53" s="769" t="str">
        <f>IF($B53="","",IF(INDEX(BDHK2,MATCH($C53,DiemHKII!$C$4:$C$58,0),AG$59)&lt;&gt;"",INDEX(BDHK2,MATCH($C53,DiemHKII!$C$4:$C$58,0),AG$59),""))</f>
        <v/>
      </c>
      <c r="AH53" s="791" t="str">
        <f t="shared" si="14"/>
        <v/>
      </c>
      <c r="AI53" s="770" t="str">
        <f t="shared" si="15"/>
        <v/>
      </c>
      <c r="AJ53" s="768"/>
      <c r="AK53" s="769" t="str">
        <f>IF($B53="","",IF(INDEX(BDHK2,MATCH($C53,DiemHKII!$C$4:$C$58,0),AK$59)&lt;&gt;"",INDEX(BDHK2,MATCH($C53,DiemHKII!$C$4:$C$58,0),AK$59),""))</f>
        <v/>
      </c>
      <c r="AL53" s="791" t="str">
        <f t="shared" si="16"/>
        <v/>
      </c>
      <c r="AM53" s="770" t="str">
        <f>IF($B53="","",INDEX(NXetHKI!$B$3:$CL$57,MATCH(NXchung!$C53,NXetHKI!$C$3:$C$57,0),NXchung!AM$59))</f>
        <v/>
      </c>
      <c r="AN53" s="769" t="str">
        <f>IF($B53="","",IF(INDEX(BDHK2,MATCH($C53,DiemHKII!$C$4:$C$58,0),AN$59)&lt;&gt;"",INDEX(BDHK2,MATCH($C53,DiemHKII!$C$4:$C$58,0),AN$59),""))</f>
        <v/>
      </c>
      <c r="AO53" s="791" t="str">
        <f t="shared" si="17"/>
        <v/>
      </c>
      <c r="AP53" s="770" t="str">
        <f t="shared" si="18"/>
        <v/>
      </c>
      <c r="AQ53" s="769" t="str">
        <f>IF($B53="","",IF(INDEX(BDHK2,MATCH($C53,DiemHKII!$C$4:$C$58,0),AQ$59)&lt;&gt;"",INDEX(BDHK2,MATCH($C53,DiemHKII!$C$4:$C$58,0),AQ$59),""))</f>
        <v/>
      </c>
      <c r="AR53" s="791" t="str">
        <f t="shared" si="19"/>
        <v/>
      </c>
      <c r="AS53" s="770" t="str">
        <f t="shared" si="20"/>
        <v/>
      </c>
      <c r="AT53" s="768"/>
      <c r="AU53" s="769" t="str">
        <f>IF($B53="","",IF(INDEX(BDHK2,MATCH($C53,DiemHKII!$C$4:$C$58,0),AU$59)&lt;&gt;"",INDEX(BDHK2,MATCH($C53,DiemHKII!$C$4:$C$58,0),AU$59),""))</f>
        <v/>
      </c>
      <c r="AV53" s="791" t="str">
        <f t="shared" si="21"/>
        <v/>
      </c>
      <c r="AW53" s="770" t="str">
        <f>IF($B53="","",INDEX(NXetHKI!$B$3:$CL$57,MATCH(NXchung!$C53,NXetHKI!$C$3:$C$57,0),NXchung!AW$59))</f>
        <v/>
      </c>
      <c r="AX53" s="769" t="str">
        <f>IF($B53="","",IF(INDEX(BDHK2,MATCH($C53,DiemHKII!$C$4:$C$58,0),AX$59)&lt;&gt;"",INDEX(BDHK2,MATCH($C53,DiemHKII!$C$4:$C$58,0),AX$59),""))</f>
        <v/>
      </c>
      <c r="AY53" s="791" t="str">
        <f t="shared" si="22"/>
        <v/>
      </c>
      <c r="AZ53" s="770" t="str">
        <f t="shared" si="23"/>
        <v/>
      </c>
      <c r="BA53" s="769" t="str">
        <f>IF($B53="","",IF(INDEX(BDHK2,MATCH($C53,DiemHKII!$C$4:$C$58,0),BA$59)&lt;&gt;"",INDEX(BDHK2,MATCH($C53,DiemHKII!$C$4:$C$58,0),BA$59),""))</f>
        <v/>
      </c>
      <c r="BB53" s="791" t="str">
        <f t="shared" si="24"/>
        <v/>
      </c>
      <c r="BC53" s="770" t="str">
        <f t="shared" si="25"/>
        <v/>
      </c>
      <c r="BD53" s="768"/>
      <c r="BE53" s="769" t="str">
        <f>IF($B53="","",IF(INDEX(BDHK2,MATCH($C53,DiemHKII!$C$4:$C$58,0),BE$59)&lt;&gt;"",INDEX(BDHK2,MATCH($C53,DiemHKII!$C$4:$C$58,0),BE$59),""))</f>
        <v/>
      </c>
      <c r="BF53" s="791" t="str">
        <f t="shared" si="26"/>
        <v/>
      </c>
      <c r="BG53" s="770" t="str">
        <f>IF($B53="","",INDEX(NXetHKI!$B$3:$CL$57,MATCH(NXchung!$C53,NXetHKI!$C$3:$C$57,0),NXchung!BG$59))</f>
        <v/>
      </c>
      <c r="BH53" s="769" t="str">
        <f>IF($B53="","",IF(INDEX(BDHK2,MATCH($C53,DiemHKII!$C$4:$C$58,0),BH$59)&lt;&gt;"",INDEX(BDHK2,MATCH($C53,DiemHKII!$C$4:$C$58,0),BH$59),""))</f>
        <v/>
      </c>
      <c r="BI53" s="791" t="str">
        <f t="shared" si="27"/>
        <v/>
      </c>
      <c r="BJ53" s="770" t="str">
        <f t="shared" si="28"/>
        <v/>
      </c>
      <c r="BK53" s="769" t="str">
        <f>IF($B53="","",IF(INDEX(BDHK2,MATCH($C53,DiemHKII!$C$4:$C$58,0),BK$59)&lt;&gt;"",INDEX(BDHK2,MATCH($C53,DiemHKII!$C$4:$C$58,0),BK$59),""))</f>
        <v/>
      </c>
      <c r="BL53" s="791" t="str">
        <f t="shared" si="29"/>
        <v/>
      </c>
      <c r="BM53" s="770" t="str">
        <f t="shared" si="30"/>
        <v/>
      </c>
      <c r="BN53" s="768"/>
      <c r="BO53" s="769" t="str">
        <f>IF($B53="","",IF(INDEX(BDHK2,MATCH($C53,DiemHKII!$C$4:$C$58,0),BO$59)&lt;&gt;"",INDEX(BDHK2,MATCH($C53,DiemHKII!$C$4:$C$58,0),BO$59),""))</f>
        <v/>
      </c>
      <c r="BP53" s="791" t="str">
        <f t="shared" si="31"/>
        <v/>
      </c>
      <c r="BQ53" s="770" t="str">
        <f>IF($B53="","",INDEX(NXetHKI!$B$3:$CL$57,MATCH(NXchung!$C53,NXetHKI!$C$3:$C$57,0),NXchung!BQ$59))</f>
        <v/>
      </c>
      <c r="BR53" s="769" t="str">
        <f>IF($B53="","",IF(INDEX(BDHK2,MATCH($C53,DiemHKII!$C$4:$C$58,0),BR$59)&lt;&gt;"",INDEX(BDHK2,MATCH($C53,DiemHKII!$C$4:$C$58,0),BR$59),""))</f>
        <v/>
      </c>
      <c r="BS53" s="791" t="str">
        <f t="shared" si="32"/>
        <v/>
      </c>
      <c r="BT53" s="770" t="str">
        <f t="shared" si="33"/>
        <v/>
      </c>
      <c r="BU53" s="769" t="str">
        <f>IF($B53="","",IF(INDEX(BDHK2,MATCH($C53,DiemHKII!$C$4:$C$58,0),BU$59)&lt;&gt;"",INDEX(BDHK2,MATCH($C53,DiemHKII!$C$4:$C$58,0),BU$59),""))</f>
        <v/>
      </c>
      <c r="BV53" s="791" t="str">
        <f t="shared" si="34"/>
        <v/>
      </c>
      <c r="BW53" s="770" t="str">
        <f t="shared" si="35"/>
        <v/>
      </c>
      <c r="BX53" s="768"/>
      <c r="BY53" s="769" t="str">
        <f>IF($B53="","",IF(INDEX(BDHK2,MATCH($C53,DiemHKII!$C$4:$C$58,0),BY$59)&lt;&gt;"",INDEX(BDHK2,MATCH($C53,DiemHKII!$C$4:$C$58,0),BY$59),""))</f>
        <v/>
      </c>
      <c r="BZ53" s="791" t="str">
        <f t="shared" si="36"/>
        <v/>
      </c>
      <c r="CA53" s="770" t="str">
        <f>IF($B53="","",INDEX(NXetHKI!$B$3:$CL$57,MATCH(NXchung!$C53,NXetHKI!$C$3:$C$57,0),NXchung!CA$59))</f>
        <v/>
      </c>
      <c r="CB53" s="769" t="str">
        <f>IF($B53="","",IF(INDEX(BDHK2,MATCH($C53,DiemHKII!$C$4:$C$58,0),CB$59)&lt;&gt;"",INDEX(BDHK2,MATCH($C53,DiemHKII!$C$4:$C$58,0),CB$59),""))</f>
        <v/>
      </c>
      <c r="CC53" s="791" t="str">
        <f t="shared" si="37"/>
        <v/>
      </c>
      <c r="CD53" s="770" t="str">
        <f t="shared" si="38"/>
        <v/>
      </c>
      <c r="CE53" s="769" t="str">
        <f>IF($B53="","",IF(INDEX(BDHK2,MATCH($C53,DiemHKII!$C$4:$C$58,0),CE$59)&lt;&gt;"",INDEX(BDHK2,MATCH($C53,DiemHKII!$C$4:$C$58,0),CE$59),""))</f>
        <v/>
      </c>
      <c r="CF53" s="791" t="str">
        <f t="shared" si="39"/>
        <v/>
      </c>
      <c r="CG53" s="770" t="str">
        <f t="shared" si="40"/>
        <v/>
      </c>
      <c r="CH53" s="768"/>
      <c r="CI53" s="769" t="str">
        <f>IF($B53="","",IF(INDEX(BDHK2,MATCH($C53,DiemHKII!$C$4:$C$58,0),CI$59)&lt;&gt;"",INDEX(BDHK2,MATCH($C53,DiemHKII!$C$4:$C$58,0),CI$59),""))</f>
        <v/>
      </c>
      <c r="CJ53" s="791" t="str">
        <f t="shared" si="41"/>
        <v/>
      </c>
      <c r="CK53" s="770" t="str">
        <f>IF($B53="","",INDEX(NXetHKI!$B$3:$CL$57,MATCH(NXchung!$C53,NXetHKI!$C$3:$C$57,0),NXchung!CK$59))</f>
        <v/>
      </c>
      <c r="CL53" s="769" t="str">
        <f>IF($B53="","",IF(INDEX(BDHK2,MATCH($C53,DiemHKII!$C$4:$C$58,0),CL$59)&lt;&gt;"",INDEX(BDHK2,MATCH($C53,DiemHKII!$C$4:$C$58,0),CL$59),""))</f>
        <v/>
      </c>
      <c r="CM53" s="791" t="str">
        <f t="shared" si="42"/>
        <v/>
      </c>
      <c r="CN53" s="770" t="str">
        <f t="shared" si="43"/>
        <v/>
      </c>
      <c r="CO53" s="769" t="str">
        <f>IF($B53="","",IF(INDEX(BDHK2,MATCH($C53,DiemHKII!$C$4:$C$58,0),CO$59)&lt;&gt;"",INDEX(BDHK2,MATCH($C53,DiemHKII!$C$4:$C$58,0),CO$59),""))</f>
        <v/>
      </c>
      <c r="CP53" s="791" t="str">
        <f t="shared" si="44"/>
        <v/>
      </c>
      <c r="CQ53" s="770" t="str">
        <f t="shared" si="45"/>
        <v/>
      </c>
      <c r="CR53" s="768"/>
      <c r="CS53" s="769" t="str">
        <f>IF($B53="","",IF(INDEX(BDHK2,MATCH($C53,DiemHKII!$C$4:$C$58,0),CS$59)&lt;&gt;"",INDEX(BDHK2,MATCH($C53,DiemHKII!$C$4:$C$58,0),CS$59),""))</f>
        <v/>
      </c>
      <c r="CT53" s="791" t="str">
        <f t="shared" si="46"/>
        <v/>
      </c>
      <c r="CU53" s="770" t="str">
        <f>IF($B53="","",INDEX(NXetHKI!$B$3:$CL$57,MATCH(NXchung!$C53,NXetHKI!$C$3:$C$57,0),NXchung!CU$59))</f>
        <v/>
      </c>
      <c r="CV53" s="769" t="str">
        <f>IF($B53="","",IF(INDEX(BDHK2,MATCH($C53,DiemHKII!$C$4:$C$58,0),CV$59)&lt;&gt;"",INDEX(BDHK2,MATCH($C53,DiemHKII!$C$4:$C$58,0),CV$59),""))</f>
        <v/>
      </c>
      <c r="CW53" s="791" t="str">
        <f t="shared" si="47"/>
        <v/>
      </c>
      <c r="CX53" s="770" t="str">
        <f t="shared" si="48"/>
        <v/>
      </c>
      <c r="CY53" s="769" t="str">
        <f>IF($B53="","",IF(INDEX(BDHK2,MATCH($C53,DiemHKII!$C$4:$C$58,0),CY$59)&lt;&gt;"",INDEX(BDHK2,MATCH($C53,DiemHKII!$C$4:$C$58,0),CY$59),""))</f>
        <v/>
      </c>
      <c r="CZ53" s="791" t="str">
        <f t="shared" si="49"/>
        <v/>
      </c>
      <c r="DA53" s="770" t="str">
        <f t="shared" si="50"/>
        <v/>
      </c>
      <c r="DB53" s="768"/>
      <c r="DC53" s="769" t="str">
        <f>IF($B53="","",IF(INDEX(BDHK2,MATCH($C53,DiemHKII!$C$4:$C$58,0),DC$59)&lt;&gt;"",INDEX(BDHK2,MATCH($C53,DiemHKII!$C$4:$C$58,0),DC$59),""))</f>
        <v/>
      </c>
      <c r="DD53" s="791" t="str">
        <f t="shared" si="51"/>
        <v/>
      </c>
      <c r="DE53" s="770" t="str">
        <f>IF($B53="","",INDEX(NXetHKI!$B$3:$CL$57,MATCH(NXchung!$C53,NXetHKI!$C$3:$C$57,0),NXchung!DE$59))</f>
        <v/>
      </c>
      <c r="DF53" s="769" t="str">
        <f>IF($B53="","",IF(INDEX(BDHK2,MATCH($C53,DiemHKII!$C$4:$C$58,0),DF$59)&lt;&gt;"",INDEX(BDHK2,MATCH($C53,DiemHKII!$C$4:$C$58,0),DF$59),""))</f>
        <v/>
      </c>
      <c r="DG53" s="791" t="str">
        <f t="shared" si="52"/>
        <v/>
      </c>
      <c r="DH53" s="770" t="str">
        <f t="shared" si="53"/>
        <v/>
      </c>
      <c r="DI53" s="769" t="str">
        <f>IF($B53="","",IF(INDEX(BDHK2,MATCH($C53,DiemHKII!$C$4:$C$58,0),DI$59)&lt;&gt;"",INDEX(BDHK2,MATCH($C53,DiemHKII!$C$4:$C$58,0),DI$59),""))</f>
        <v/>
      </c>
      <c r="DJ53" s="791" t="str">
        <f t="shared" si="54"/>
        <v/>
      </c>
      <c r="DK53" s="770" t="str">
        <f t="shared" si="55"/>
        <v/>
      </c>
      <c r="DL53" s="768"/>
      <c r="DM53" s="769" t="str">
        <f>IF($B53="","",IF(INDEX(BDHK2,MATCH($C53,DiemHKII!$C$4:$C$58,0),DM$59)&lt;&gt;"",INDEX(BDHK2,MATCH($C53,DiemHKII!$C$4:$C$58,0),DM$59),""))</f>
        <v/>
      </c>
      <c r="DN53" s="791" t="str">
        <f t="shared" si="56"/>
        <v/>
      </c>
      <c r="DO53" s="770" t="str">
        <f>IF($B53="","",INDEX(NXetHKI!$B$3:$CL$57,MATCH(NXchung!$C53,NXetHKI!$C$3:$C$57,0),NXchung!DO$59))</f>
        <v/>
      </c>
      <c r="DP53" s="769" t="str">
        <f>IF($B53="","",IF(INDEX(BDHK2,MATCH($C53,DiemHKII!$C$4:$C$58,0),DP$59)&lt;&gt;"",INDEX(BDHK2,MATCH($C53,DiemHKII!$C$4:$C$58,0),DP$59),""))</f>
        <v/>
      </c>
      <c r="DQ53" s="791" t="str">
        <f t="shared" si="57"/>
        <v/>
      </c>
      <c r="DR53" s="770" t="str">
        <f t="shared" si="58"/>
        <v/>
      </c>
      <c r="DS53" s="769" t="str">
        <f>IF($B53="","",IF(INDEX(BDHK2,MATCH($C53,DiemHKII!$C$4:$C$58,0),DS$59)&lt;&gt;"",INDEX(BDHK2,MATCH($C53,DiemHKII!$C$4:$C$58,0),DS$59),""))</f>
        <v/>
      </c>
      <c r="DT53" s="791" t="str">
        <f t="shared" si="59"/>
        <v/>
      </c>
      <c r="DU53" s="770" t="str">
        <f t="shared" si="60"/>
        <v/>
      </c>
      <c r="DV53" s="768"/>
      <c r="DW53" s="769" t="str">
        <f>IF($B53="","",IF(INDEX(BDHK2,MATCH($C53,DiemHKII!$C$4:$C$58,0),DW$59)&lt;&gt;"",INDEX(BDHK2,MATCH($C53,DiemHKII!$C$4:$C$58,0),DW$59),""))</f>
        <v/>
      </c>
      <c r="DX53" s="791" t="str">
        <f t="shared" si="61"/>
        <v/>
      </c>
      <c r="DY53" s="770" t="str">
        <f>IF($B53="","",INDEX(NXetHKI!$B$3:$CL$57,MATCH(NXchung!$C53,NXetHKI!$C$3:$C$57,0),NXchung!DY$59))</f>
        <v/>
      </c>
      <c r="DZ53" s="769" t="str">
        <f>IF($B53="","",IF(INDEX(BDHK2,MATCH($C53,DiemHKII!$C$4:$C$58,0),DZ$59)&lt;&gt;"",INDEX(BDHK2,MATCH($C53,DiemHKII!$C$4:$C$58,0),DZ$59),""))</f>
        <v/>
      </c>
      <c r="EA53" s="791" t="str">
        <f t="shared" si="62"/>
        <v/>
      </c>
      <c r="EB53" s="770" t="str">
        <f t="shared" si="63"/>
        <v/>
      </c>
      <c r="EC53" s="769" t="str">
        <f>IF($B53="","",IF(INDEX(BDHK2,MATCH($C53,DiemHKII!$C$4:$C$58,0),EC$59)&lt;&gt;"",INDEX(BDHK2,MATCH($C53,DiemHKII!$C$4:$C$58,0),EC$59),""))</f>
        <v/>
      </c>
      <c r="ED53" s="791" t="str">
        <f t="shared" si="64"/>
        <v/>
      </c>
      <c r="EE53" s="770" t="str">
        <f t="shared" si="65"/>
        <v/>
      </c>
      <c r="EF53" s="768"/>
      <c r="EG53" s="769" t="str">
        <f>IF($B53="","",IF(INDEX(BDHK2,MATCH($C53,DiemHKII!$C$4:$C$58,0),EG$59)&lt;&gt;"",INDEX(BDHK2,MATCH($C53,DiemHKII!$C$4:$C$58,0),EG$59),""))</f>
        <v/>
      </c>
      <c r="EH53" s="791" t="str">
        <f t="shared" si="66"/>
        <v/>
      </c>
      <c r="EI53" s="770" t="str">
        <f>IF($B53="","",INDEX(NXetHKI!$B$3:$CL$57,MATCH(NXchung!$C53,NXetHKI!$C$3:$C$57,0),NXchung!EI$59))</f>
        <v/>
      </c>
      <c r="EJ53" s="769" t="str">
        <f>IF($B53="","",IF(INDEX(BDHK2,MATCH($C53,DiemHKII!$C$4:$C$58,0),EJ$59)&lt;&gt;"",INDEX(BDHK2,MATCH($C53,DiemHKII!$C$4:$C$58,0),EJ$59),""))</f>
        <v/>
      </c>
      <c r="EK53" s="791" t="str">
        <f t="shared" si="67"/>
        <v/>
      </c>
      <c r="EL53" s="770" t="str">
        <f t="shared" si="68"/>
        <v/>
      </c>
      <c r="EM53" s="769" t="str">
        <f>IF($B53="","",IF(INDEX(BDHK2,MATCH($C53,DiemHKII!$C$4:$C$58,0),EM$59)&lt;&gt;"",INDEX(BDHK2,MATCH($C53,DiemHKII!$C$4:$C$58,0),EM$59),""))</f>
        <v/>
      </c>
      <c r="EN53" s="791" t="str">
        <f t="shared" si="69"/>
        <v/>
      </c>
      <c r="EO53" s="770" t="str">
        <f t="shared" si="70"/>
        <v/>
      </c>
      <c r="EP53" s="768"/>
      <c r="ER53" s="816">
        <v>3</v>
      </c>
      <c r="ES53" s="816">
        <v>6</v>
      </c>
    </row>
    <row r="54" spans="2:149" ht="15" customHeight="1">
      <c r="B54" s="771" t="str">
        <f>IF(B53&lt;MAX(DiemHKII!$B$4:$B$58),B53+1,"")</f>
        <v/>
      </c>
      <c r="C54" s="771" t="str">
        <f t="shared" si="0"/>
        <v/>
      </c>
      <c r="D54" s="772" t="str">
        <f>IF($B54&lt;&gt;"",PROPER(INDEX(DiemHKII!$B$4:$K$58,MATCH($B54,DiemHKII!$B$4:$B$58,0),4)),"")</f>
        <v/>
      </c>
      <c r="E54" s="773" t="str">
        <f>IF($B54&lt;&gt;"",PROPER(INDEX(DiemHKII!$B$4:$K$58,MATCH($B54,DiemHKII!$B$4:$B$58,0),5)),"")</f>
        <v/>
      </c>
      <c r="F54" s="774" t="str">
        <f>IF($B54&lt;&gt;"",PROPER(INDEX(DiemHKII!$B$4:$K$58,MATCH($B54,DiemHKII!$B$4:$B$58,0),6)),"")</f>
        <v/>
      </c>
      <c r="G54" s="775" t="str">
        <f>IF($B54="","",IF(INDEX(BDHK2,MATCH($C54,DiemHKII!$C$4:$C$58,0),G$59)&lt;&gt;"",INDEX(BDHK2,MATCH($C54,DiemHKII!$C$4:$C$58,0),G$59),""))</f>
        <v/>
      </c>
      <c r="H54" s="792" t="str">
        <f t="shared" si="1"/>
        <v/>
      </c>
      <c r="I54" s="776" t="str">
        <f>IF($B54="","",INDEX(NXetHKI!$B$3:$CL$57,MATCH(NXchung!$C54,NXetHKI!$C$3:$C$57,0),NXchung!I$59))</f>
        <v/>
      </c>
      <c r="J54" s="775" t="str">
        <f>IF($B54="","",IF(INDEX(BDHK2,MATCH($C54,DiemHKII!$C$4:$C$58,0),J$59)&lt;&gt;"",INDEX(BDHK2,MATCH($C54,DiemHKII!$C$4:$C$58,0),J$59),""))</f>
        <v/>
      </c>
      <c r="K54" s="792" t="str">
        <f t="shared" si="2"/>
        <v/>
      </c>
      <c r="L54" s="776" t="str">
        <f t="shared" si="3"/>
        <v/>
      </c>
      <c r="M54" s="775" t="str">
        <f>IF($B54="","",IF(INDEX(BDHK2,MATCH($C54,DiemHKII!$C$4:$C$58,0),M$59)&lt;&gt;"",INDEX(BDHK2,MATCH($C54,DiemHKII!$C$4:$C$58,0),M$59),""))</f>
        <v/>
      </c>
      <c r="N54" s="792" t="str">
        <f t="shared" si="4"/>
        <v/>
      </c>
      <c r="O54" s="776" t="str">
        <f t="shared" si="5"/>
        <v/>
      </c>
      <c r="P54" s="774"/>
      <c r="Q54" s="775" t="str">
        <f>IF($B54="","",IF(INDEX(BDHK2,MATCH($C54,DiemHKII!$C$4:$C$58,0),Q$59)&lt;&gt;"",INDEX(BDHK2,MATCH($C54,DiemHKII!$C$4:$C$58,0),Q$59),""))</f>
        <v/>
      </c>
      <c r="R54" s="792" t="str">
        <f t="shared" si="6"/>
        <v/>
      </c>
      <c r="S54" s="776" t="str">
        <f>IF($B54="","",INDEX(NXetHKI!$B$3:$CL$57,MATCH(NXchung!$C54,NXetHKI!$C$3:$C$57,0),NXchung!S$59))</f>
        <v/>
      </c>
      <c r="T54" s="775" t="str">
        <f>IF($B54="","",IF(INDEX(BDHK2,MATCH($C54,DiemHKII!$C$4:$C$58,0),T$59)&lt;&gt;"",INDEX(BDHK2,MATCH($C54,DiemHKII!$C$4:$C$58,0),T$59),""))</f>
        <v/>
      </c>
      <c r="U54" s="792" t="str">
        <f t="shared" si="7"/>
        <v/>
      </c>
      <c r="V54" s="776" t="str">
        <f t="shared" si="8"/>
        <v/>
      </c>
      <c r="W54" s="775" t="str">
        <f>IF($B54="","",IF(INDEX(BDHK2,MATCH($C54,DiemHKII!$C$4:$C$58,0),W$59)&lt;&gt;"",INDEX(BDHK2,MATCH($C54,DiemHKII!$C$4:$C$58,0),W$59),""))</f>
        <v/>
      </c>
      <c r="X54" s="792" t="str">
        <f t="shared" si="9"/>
        <v/>
      </c>
      <c r="Y54" s="776" t="str">
        <f t="shared" si="10"/>
        <v/>
      </c>
      <c r="Z54" s="774"/>
      <c r="AA54" s="775" t="str">
        <f>IF($B54="","",IF(INDEX(BDHK2,MATCH($C54,DiemHKII!$C$4:$C$58,0),AA$59)&lt;&gt;"",INDEX(BDHK2,MATCH($C54,DiemHKII!$C$4:$C$58,0),AA$59),""))</f>
        <v/>
      </c>
      <c r="AB54" s="792" t="str">
        <f t="shared" si="11"/>
        <v/>
      </c>
      <c r="AC54" s="776" t="str">
        <f>IF($B54="","",INDEX(NXetHKI!$B$3:$CL$57,MATCH(NXchung!$C54,NXetHKI!$C$3:$C$57,0),NXchung!AC$59))</f>
        <v/>
      </c>
      <c r="AD54" s="775" t="str">
        <f>IF($B54="","",IF(INDEX(BDHK2,MATCH($C54,DiemHKII!$C$4:$C$58,0),AD$59)&lt;&gt;"",INDEX(BDHK2,MATCH($C54,DiemHKII!$C$4:$C$58,0),AD$59),""))</f>
        <v/>
      </c>
      <c r="AE54" s="792" t="str">
        <f t="shared" si="12"/>
        <v/>
      </c>
      <c r="AF54" s="776" t="str">
        <f t="shared" si="13"/>
        <v/>
      </c>
      <c r="AG54" s="775" t="str">
        <f>IF($B54="","",IF(INDEX(BDHK2,MATCH($C54,DiemHKII!$C$4:$C$58,0),AG$59)&lt;&gt;"",INDEX(BDHK2,MATCH($C54,DiemHKII!$C$4:$C$58,0),AG$59),""))</f>
        <v/>
      </c>
      <c r="AH54" s="792" t="str">
        <f t="shared" si="14"/>
        <v/>
      </c>
      <c r="AI54" s="776" t="str">
        <f t="shared" si="15"/>
        <v/>
      </c>
      <c r="AJ54" s="774"/>
      <c r="AK54" s="775" t="str">
        <f>IF($B54="","",IF(INDEX(BDHK2,MATCH($C54,DiemHKII!$C$4:$C$58,0),AK$59)&lt;&gt;"",INDEX(BDHK2,MATCH($C54,DiemHKII!$C$4:$C$58,0),AK$59),""))</f>
        <v/>
      </c>
      <c r="AL54" s="792" t="str">
        <f t="shared" si="16"/>
        <v/>
      </c>
      <c r="AM54" s="776" t="str">
        <f>IF($B54="","",INDEX(NXetHKI!$B$3:$CL$57,MATCH(NXchung!$C54,NXetHKI!$C$3:$C$57,0),NXchung!AM$59))</f>
        <v/>
      </c>
      <c r="AN54" s="775" t="str">
        <f>IF($B54="","",IF(INDEX(BDHK2,MATCH($C54,DiemHKII!$C$4:$C$58,0),AN$59)&lt;&gt;"",INDEX(BDHK2,MATCH($C54,DiemHKII!$C$4:$C$58,0),AN$59),""))</f>
        <v/>
      </c>
      <c r="AO54" s="792" t="str">
        <f t="shared" si="17"/>
        <v/>
      </c>
      <c r="AP54" s="776" t="str">
        <f t="shared" si="18"/>
        <v/>
      </c>
      <c r="AQ54" s="775" t="str">
        <f>IF($B54="","",IF(INDEX(BDHK2,MATCH($C54,DiemHKII!$C$4:$C$58,0),AQ$59)&lt;&gt;"",INDEX(BDHK2,MATCH($C54,DiemHKII!$C$4:$C$58,0),AQ$59),""))</f>
        <v/>
      </c>
      <c r="AR54" s="792" t="str">
        <f t="shared" si="19"/>
        <v/>
      </c>
      <c r="AS54" s="776" t="str">
        <f t="shared" si="20"/>
        <v/>
      </c>
      <c r="AT54" s="774"/>
      <c r="AU54" s="775" t="str">
        <f>IF($B54="","",IF(INDEX(BDHK2,MATCH($C54,DiemHKII!$C$4:$C$58,0),AU$59)&lt;&gt;"",INDEX(BDHK2,MATCH($C54,DiemHKII!$C$4:$C$58,0),AU$59),""))</f>
        <v/>
      </c>
      <c r="AV54" s="792" t="str">
        <f t="shared" si="21"/>
        <v/>
      </c>
      <c r="AW54" s="776" t="str">
        <f>IF($B54="","",INDEX(NXetHKI!$B$3:$CL$57,MATCH(NXchung!$C54,NXetHKI!$C$3:$C$57,0),NXchung!AW$59))</f>
        <v/>
      </c>
      <c r="AX54" s="775" t="str">
        <f>IF($B54="","",IF(INDEX(BDHK2,MATCH($C54,DiemHKII!$C$4:$C$58,0),AX$59)&lt;&gt;"",INDEX(BDHK2,MATCH($C54,DiemHKII!$C$4:$C$58,0),AX$59),""))</f>
        <v/>
      </c>
      <c r="AY54" s="792" t="str">
        <f t="shared" si="22"/>
        <v/>
      </c>
      <c r="AZ54" s="776" t="str">
        <f t="shared" si="23"/>
        <v/>
      </c>
      <c r="BA54" s="775" t="str">
        <f>IF($B54="","",IF(INDEX(BDHK2,MATCH($C54,DiemHKII!$C$4:$C$58,0),BA$59)&lt;&gt;"",INDEX(BDHK2,MATCH($C54,DiemHKII!$C$4:$C$58,0),BA$59),""))</f>
        <v/>
      </c>
      <c r="BB54" s="792" t="str">
        <f t="shared" si="24"/>
        <v/>
      </c>
      <c r="BC54" s="776" t="str">
        <f t="shared" si="25"/>
        <v/>
      </c>
      <c r="BD54" s="774"/>
      <c r="BE54" s="775" t="str">
        <f>IF($B54="","",IF(INDEX(BDHK2,MATCH($C54,DiemHKII!$C$4:$C$58,0),BE$59)&lt;&gt;"",INDEX(BDHK2,MATCH($C54,DiemHKII!$C$4:$C$58,0),BE$59),""))</f>
        <v/>
      </c>
      <c r="BF54" s="792" t="str">
        <f t="shared" si="26"/>
        <v/>
      </c>
      <c r="BG54" s="776" t="str">
        <f>IF($B54="","",INDEX(NXetHKI!$B$3:$CL$57,MATCH(NXchung!$C54,NXetHKI!$C$3:$C$57,0),NXchung!BG$59))</f>
        <v/>
      </c>
      <c r="BH54" s="775" t="str">
        <f>IF($B54="","",IF(INDEX(BDHK2,MATCH($C54,DiemHKII!$C$4:$C$58,0),BH$59)&lt;&gt;"",INDEX(BDHK2,MATCH($C54,DiemHKII!$C$4:$C$58,0),BH$59),""))</f>
        <v/>
      </c>
      <c r="BI54" s="792" t="str">
        <f t="shared" si="27"/>
        <v/>
      </c>
      <c r="BJ54" s="776" t="str">
        <f t="shared" si="28"/>
        <v/>
      </c>
      <c r="BK54" s="775" t="str">
        <f>IF($B54="","",IF(INDEX(BDHK2,MATCH($C54,DiemHKII!$C$4:$C$58,0),BK$59)&lt;&gt;"",INDEX(BDHK2,MATCH($C54,DiemHKII!$C$4:$C$58,0),BK$59),""))</f>
        <v/>
      </c>
      <c r="BL54" s="792" t="str">
        <f t="shared" si="29"/>
        <v/>
      </c>
      <c r="BM54" s="776" t="str">
        <f t="shared" si="30"/>
        <v/>
      </c>
      <c r="BN54" s="774"/>
      <c r="BO54" s="775" t="str">
        <f>IF($B54="","",IF(INDEX(BDHK2,MATCH($C54,DiemHKII!$C$4:$C$58,0),BO$59)&lt;&gt;"",INDEX(BDHK2,MATCH($C54,DiemHKII!$C$4:$C$58,0),BO$59),""))</f>
        <v/>
      </c>
      <c r="BP54" s="792" t="str">
        <f t="shared" si="31"/>
        <v/>
      </c>
      <c r="BQ54" s="776" t="str">
        <f>IF($B54="","",INDEX(NXetHKI!$B$3:$CL$57,MATCH(NXchung!$C54,NXetHKI!$C$3:$C$57,0),NXchung!BQ$59))</f>
        <v/>
      </c>
      <c r="BR54" s="775" t="str">
        <f>IF($B54="","",IF(INDEX(BDHK2,MATCH($C54,DiemHKII!$C$4:$C$58,0),BR$59)&lt;&gt;"",INDEX(BDHK2,MATCH($C54,DiemHKII!$C$4:$C$58,0),BR$59),""))</f>
        <v/>
      </c>
      <c r="BS54" s="792" t="str">
        <f t="shared" si="32"/>
        <v/>
      </c>
      <c r="BT54" s="776" t="str">
        <f t="shared" si="33"/>
        <v/>
      </c>
      <c r="BU54" s="775" t="str">
        <f>IF($B54="","",IF(INDEX(BDHK2,MATCH($C54,DiemHKII!$C$4:$C$58,0),BU$59)&lt;&gt;"",INDEX(BDHK2,MATCH($C54,DiemHKII!$C$4:$C$58,0),BU$59),""))</f>
        <v/>
      </c>
      <c r="BV54" s="792" t="str">
        <f t="shared" si="34"/>
        <v/>
      </c>
      <c r="BW54" s="776" t="str">
        <f t="shared" si="35"/>
        <v/>
      </c>
      <c r="BX54" s="774"/>
      <c r="BY54" s="775" t="str">
        <f>IF($B54="","",IF(INDEX(BDHK2,MATCH($C54,DiemHKII!$C$4:$C$58,0),BY$59)&lt;&gt;"",INDEX(BDHK2,MATCH($C54,DiemHKII!$C$4:$C$58,0),BY$59),""))</f>
        <v/>
      </c>
      <c r="BZ54" s="792" t="str">
        <f t="shared" si="36"/>
        <v/>
      </c>
      <c r="CA54" s="776" t="str">
        <f>IF($B54="","",INDEX(NXetHKI!$B$3:$CL$57,MATCH(NXchung!$C54,NXetHKI!$C$3:$C$57,0),NXchung!CA$59))</f>
        <v/>
      </c>
      <c r="CB54" s="775" t="str">
        <f>IF($B54="","",IF(INDEX(BDHK2,MATCH($C54,DiemHKII!$C$4:$C$58,0),CB$59)&lt;&gt;"",INDEX(BDHK2,MATCH($C54,DiemHKII!$C$4:$C$58,0),CB$59),""))</f>
        <v/>
      </c>
      <c r="CC54" s="792" t="str">
        <f t="shared" si="37"/>
        <v/>
      </c>
      <c r="CD54" s="776" t="str">
        <f t="shared" si="38"/>
        <v/>
      </c>
      <c r="CE54" s="775" t="str">
        <f>IF($B54="","",IF(INDEX(BDHK2,MATCH($C54,DiemHKII!$C$4:$C$58,0),CE$59)&lt;&gt;"",INDEX(BDHK2,MATCH($C54,DiemHKII!$C$4:$C$58,0),CE$59),""))</f>
        <v/>
      </c>
      <c r="CF54" s="792" t="str">
        <f t="shared" si="39"/>
        <v/>
      </c>
      <c r="CG54" s="776" t="str">
        <f t="shared" si="40"/>
        <v/>
      </c>
      <c r="CH54" s="774"/>
      <c r="CI54" s="775" t="str">
        <f>IF($B54="","",IF(INDEX(BDHK2,MATCH($C54,DiemHKII!$C$4:$C$58,0),CI$59)&lt;&gt;"",INDEX(BDHK2,MATCH($C54,DiemHKII!$C$4:$C$58,0),CI$59),""))</f>
        <v/>
      </c>
      <c r="CJ54" s="792" t="str">
        <f t="shared" si="41"/>
        <v/>
      </c>
      <c r="CK54" s="776" t="str">
        <f>IF($B54="","",INDEX(NXetHKI!$B$3:$CL$57,MATCH(NXchung!$C54,NXetHKI!$C$3:$C$57,0),NXchung!CK$59))</f>
        <v/>
      </c>
      <c r="CL54" s="775" t="str">
        <f>IF($B54="","",IF(INDEX(BDHK2,MATCH($C54,DiemHKII!$C$4:$C$58,0),CL$59)&lt;&gt;"",INDEX(BDHK2,MATCH($C54,DiemHKII!$C$4:$C$58,0),CL$59),""))</f>
        <v/>
      </c>
      <c r="CM54" s="792" t="str">
        <f t="shared" si="42"/>
        <v/>
      </c>
      <c r="CN54" s="776" t="str">
        <f t="shared" si="43"/>
        <v/>
      </c>
      <c r="CO54" s="775" t="str">
        <f>IF($B54="","",IF(INDEX(BDHK2,MATCH($C54,DiemHKII!$C$4:$C$58,0),CO$59)&lt;&gt;"",INDEX(BDHK2,MATCH($C54,DiemHKII!$C$4:$C$58,0),CO$59),""))</f>
        <v/>
      </c>
      <c r="CP54" s="792" t="str">
        <f t="shared" si="44"/>
        <v/>
      </c>
      <c r="CQ54" s="776" t="str">
        <f t="shared" si="45"/>
        <v/>
      </c>
      <c r="CR54" s="774"/>
      <c r="CS54" s="775" t="str">
        <f>IF($B54="","",IF(INDEX(BDHK2,MATCH($C54,DiemHKII!$C$4:$C$58,0),CS$59)&lt;&gt;"",INDEX(BDHK2,MATCH($C54,DiemHKII!$C$4:$C$58,0),CS$59),""))</f>
        <v/>
      </c>
      <c r="CT54" s="792" t="str">
        <f t="shared" si="46"/>
        <v/>
      </c>
      <c r="CU54" s="776" t="str">
        <f>IF($B54="","",INDEX(NXetHKI!$B$3:$CL$57,MATCH(NXchung!$C54,NXetHKI!$C$3:$C$57,0),NXchung!CU$59))</f>
        <v/>
      </c>
      <c r="CV54" s="775" t="str">
        <f>IF($B54="","",IF(INDEX(BDHK2,MATCH($C54,DiemHKII!$C$4:$C$58,0),CV$59)&lt;&gt;"",INDEX(BDHK2,MATCH($C54,DiemHKII!$C$4:$C$58,0),CV$59),""))</f>
        <v/>
      </c>
      <c r="CW54" s="792" t="str">
        <f t="shared" si="47"/>
        <v/>
      </c>
      <c r="CX54" s="776" t="str">
        <f t="shared" si="48"/>
        <v/>
      </c>
      <c r="CY54" s="775" t="str">
        <f>IF($B54="","",IF(INDEX(BDHK2,MATCH($C54,DiemHKII!$C$4:$C$58,0),CY$59)&lt;&gt;"",INDEX(BDHK2,MATCH($C54,DiemHKII!$C$4:$C$58,0),CY$59),""))</f>
        <v/>
      </c>
      <c r="CZ54" s="792" t="str">
        <f t="shared" si="49"/>
        <v/>
      </c>
      <c r="DA54" s="776" t="str">
        <f t="shared" si="50"/>
        <v/>
      </c>
      <c r="DB54" s="774"/>
      <c r="DC54" s="775" t="str">
        <f>IF($B54="","",IF(INDEX(BDHK2,MATCH($C54,DiemHKII!$C$4:$C$58,0),DC$59)&lt;&gt;"",INDEX(BDHK2,MATCH($C54,DiemHKII!$C$4:$C$58,0),DC$59),""))</f>
        <v/>
      </c>
      <c r="DD54" s="792" t="str">
        <f t="shared" si="51"/>
        <v/>
      </c>
      <c r="DE54" s="776" t="str">
        <f>IF($B54="","",INDEX(NXetHKI!$B$3:$CL$57,MATCH(NXchung!$C54,NXetHKI!$C$3:$C$57,0),NXchung!DE$59))</f>
        <v/>
      </c>
      <c r="DF54" s="775" t="str">
        <f>IF($B54="","",IF(INDEX(BDHK2,MATCH($C54,DiemHKII!$C$4:$C$58,0),DF$59)&lt;&gt;"",INDEX(BDHK2,MATCH($C54,DiemHKII!$C$4:$C$58,0),DF$59),""))</f>
        <v/>
      </c>
      <c r="DG54" s="792" t="str">
        <f t="shared" si="52"/>
        <v/>
      </c>
      <c r="DH54" s="776" t="str">
        <f t="shared" si="53"/>
        <v/>
      </c>
      <c r="DI54" s="775" t="str">
        <f>IF($B54="","",IF(INDEX(BDHK2,MATCH($C54,DiemHKII!$C$4:$C$58,0),DI$59)&lt;&gt;"",INDEX(BDHK2,MATCH($C54,DiemHKII!$C$4:$C$58,0),DI$59),""))</f>
        <v/>
      </c>
      <c r="DJ54" s="792" t="str">
        <f t="shared" si="54"/>
        <v/>
      </c>
      <c r="DK54" s="776" t="str">
        <f t="shared" si="55"/>
        <v/>
      </c>
      <c r="DL54" s="774"/>
      <c r="DM54" s="775" t="str">
        <f>IF($B54="","",IF(INDEX(BDHK2,MATCH($C54,DiemHKII!$C$4:$C$58,0),DM$59)&lt;&gt;"",INDEX(BDHK2,MATCH($C54,DiemHKII!$C$4:$C$58,0),DM$59),""))</f>
        <v/>
      </c>
      <c r="DN54" s="792" t="str">
        <f t="shared" si="56"/>
        <v/>
      </c>
      <c r="DO54" s="776" t="str">
        <f>IF($B54="","",INDEX(NXetHKI!$B$3:$CL$57,MATCH(NXchung!$C54,NXetHKI!$C$3:$C$57,0),NXchung!DO$59))</f>
        <v/>
      </c>
      <c r="DP54" s="775" t="str">
        <f>IF($B54="","",IF(INDEX(BDHK2,MATCH($C54,DiemHKII!$C$4:$C$58,0),DP$59)&lt;&gt;"",INDEX(BDHK2,MATCH($C54,DiemHKII!$C$4:$C$58,0),DP$59),""))</f>
        <v/>
      </c>
      <c r="DQ54" s="792" t="str">
        <f t="shared" si="57"/>
        <v/>
      </c>
      <c r="DR54" s="776" t="str">
        <f t="shared" si="58"/>
        <v/>
      </c>
      <c r="DS54" s="775" t="str">
        <f>IF($B54="","",IF(INDEX(BDHK2,MATCH($C54,DiemHKII!$C$4:$C$58,0),DS$59)&lt;&gt;"",INDEX(BDHK2,MATCH($C54,DiemHKII!$C$4:$C$58,0),DS$59),""))</f>
        <v/>
      </c>
      <c r="DT54" s="792" t="str">
        <f t="shared" si="59"/>
        <v/>
      </c>
      <c r="DU54" s="776" t="str">
        <f t="shared" si="60"/>
        <v/>
      </c>
      <c r="DV54" s="774"/>
      <c r="DW54" s="775" t="str">
        <f>IF($B54="","",IF(INDEX(BDHK2,MATCH($C54,DiemHKII!$C$4:$C$58,0),DW$59)&lt;&gt;"",INDEX(BDHK2,MATCH($C54,DiemHKII!$C$4:$C$58,0),DW$59),""))</f>
        <v/>
      </c>
      <c r="DX54" s="792" t="str">
        <f t="shared" si="61"/>
        <v/>
      </c>
      <c r="DY54" s="776" t="str">
        <f>IF($B54="","",INDEX(NXetHKI!$B$3:$CL$57,MATCH(NXchung!$C54,NXetHKI!$C$3:$C$57,0),NXchung!DY$59))</f>
        <v/>
      </c>
      <c r="DZ54" s="775" t="str">
        <f>IF($B54="","",IF(INDEX(BDHK2,MATCH($C54,DiemHKII!$C$4:$C$58,0),DZ$59)&lt;&gt;"",INDEX(BDHK2,MATCH($C54,DiemHKII!$C$4:$C$58,0),DZ$59),""))</f>
        <v/>
      </c>
      <c r="EA54" s="792" t="str">
        <f t="shared" si="62"/>
        <v/>
      </c>
      <c r="EB54" s="776" t="str">
        <f t="shared" si="63"/>
        <v/>
      </c>
      <c r="EC54" s="775" t="str">
        <f>IF($B54="","",IF(INDEX(BDHK2,MATCH($C54,DiemHKII!$C$4:$C$58,0),EC$59)&lt;&gt;"",INDEX(BDHK2,MATCH($C54,DiemHKII!$C$4:$C$58,0),EC$59),""))</f>
        <v/>
      </c>
      <c r="ED54" s="792" t="str">
        <f t="shared" si="64"/>
        <v/>
      </c>
      <c r="EE54" s="776" t="str">
        <f t="shared" si="65"/>
        <v/>
      </c>
      <c r="EF54" s="774"/>
      <c r="EG54" s="775" t="str">
        <f>IF($B54="","",IF(INDEX(BDHK2,MATCH($C54,DiemHKII!$C$4:$C$58,0),EG$59)&lt;&gt;"",INDEX(BDHK2,MATCH($C54,DiemHKII!$C$4:$C$58,0),EG$59),""))</f>
        <v/>
      </c>
      <c r="EH54" s="792" t="str">
        <f t="shared" si="66"/>
        <v/>
      </c>
      <c r="EI54" s="776" t="str">
        <f>IF($B54="","",INDEX(NXetHKI!$B$3:$CL$57,MATCH(NXchung!$C54,NXetHKI!$C$3:$C$57,0),NXchung!EI$59))</f>
        <v/>
      </c>
      <c r="EJ54" s="775" t="str">
        <f>IF($B54="","",IF(INDEX(BDHK2,MATCH($C54,DiemHKII!$C$4:$C$58,0),EJ$59)&lt;&gt;"",INDEX(BDHK2,MATCH($C54,DiemHKII!$C$4:$C$58,0),EJ$59),""))</f>
        <v/>
      </c>
      <c r="EK54" s="792" t="str">
        <f t="shared" si="67"/>
        <v/>
      </c>
      <c r="EL54" s="776" t="str">
        <f t="shared" si="68"/>
        <v/>
      </c>
      <c r="EM54" s="775" t="str">
        <f>IF($B54="","",IF(INDEX(BDHK2,MATCH($C54,DiemHKII!$C$4:$C$58,0),EM$59)&lt;&gt;"",INDEX(BDHK2,MATCH($C54,DiemHKII!$C$4:$C$58,0),EM$59),""))</f>
        <v/>
      </c>
      <c r="EN54" s="792" t="str">
        <f t="shared" si="69"/>
        <v/>
      </c>
      <c r="EO54" s="776" t="str">
        <f t="shared" si="70"/>
        <v/>
      </c>
      <c r="EP54" s="774"/>
      <c r="ER54" s="816">
        <v>6</v>
      </c>
      <c r="ES54" s="816">
        <v>9</v>
      </c>
    </row>
    <row r="55" spans="2:149" ht="15" customHeight="1">
      <c r="B55" s="771" t="str">
        <f>IF(B54&lt;MAX(DiemHKII!$B$4:$B$58),B54+1,"")</f>
        <v/>
      </c>
      <c r="C55" s="771" t="str">
        <f t="shared" si="0"/>
        <v/>
      </c>
      <c r="D55" s="772" t="str">
        <f>IF($B55&lt;&gt;"",PROPER(INDEX(DiemHKII!$B$4:$K$58,MATCH($B55,DiemHKII!$B$4:$B$58,0),4)),"")</f>
        <v/>
      </c>
      <c r="E55" s="773" t="str">
        <f>IF($B55&lt;&gt;"",PROPER(INDEX(DiemHKII!$B$4:$K$58,MATCH($B55,DiemHKII!$B$4:$B$58,0),5)),"")</f>
        <v/>
      </c>
      <c r="F55" s="774" t="str">
        <f>IF($B55&lt;&gt;"",PROPER(INDEX(DiemHKII!$B$4:$K$58,MATCH($B55,DiemHKII!$B$4:$B$58,0),6)),"")</f>
        <v/>
      </c>
      <c r="G55" s="775" t="str">
        <f>IF($B55="","",IF(INDEX(BDHK2,MATCH($C55,DiemHKII!$C$4:$C$58,0),G$59)&lt;&gt;"",INDEX(BDHK2,MATCH($C55,DiemHKII!$C$4:$C$58,0),G$59),""))</f>
        <v/>
      </c>
      <c r="H55" s="792" t="str">
        <f t="shared" si="1"/>
        <v/>
      </c>
      <c r="I55" s="776" t="str">
        <f>IF($B55="","",INDEX(NXetHKI!$B$3:$CL$57,MATCH(NXchung!$C55,NXetHKI!$C$3:$C$57,0),NXchung!I$59))</f>
        <v/>
      </c>
      <c r="J55" s="775" t="str">
        <f>IF($B55="","",IF(INDEX(BDHK2,MATCH($C55,DiemHKII!$C$4:$C$58,0),J$59)&lt;&gt;"",INDEX(BDHK2,MATCH($C55,DiemHKII!$C$4:$C$58,0),J$59),""))</f>
        <v/>
      </c>
      <c r="K55" s="792" t="str">
        <f t="shared" si="2"/>
        <v/>
      </c>
      <c r="L55" s="776" t="str">
        <f t="shared" si="3"/>
        <v/>
      </c>
      <c r="M55" s="775" t="str">
        <f>IF($B55="","",IF(INDEX(BDHK2,MATCH($C55,DiemHKII!$C$4:$C$58,0),M$59)&lt;&gt;"",INDEX(BDHK2,MATCH($C55,DiemHKII!$C$4:$C$58,0),M$59),""))</f>
        <v/>
      </c>
      <c r="N55" s="792" t="str">
        <f t="shared" si="4"/>
        <v/>
      </c>
      <c r="O55" s="776" t="str">
        <f t="shared" si="5"/>
        <v/>
      </c>
      <c r="P55" s="774"/>
      <c r="Q55" s="775" t="str">
        <f>IF($B55="","",IF(INDEX(BDHK2,MATCH($C55,DiemHKII!$C$4:$C$58,0),Q$59)&lt;&gt;"",INDEX(BDHK2,MATCH($C55,DiemHKII!$C$4:$C$58,0),Q$59),""))</f>
        <v/>
      </c>
      <c r="R55" s="792" t="str">
        <f t="shared" si="6"/>
        <v/>
      </c>
      <c r="S55" s="776" t="str">
        <f>IF($B55="","",INDEX(NXetHKI!$B$3:$CL$57,MATCH(NXchung!$C55,NXetHKI!$C$3:$C$57,0),NXchung!S$59))</f>
        <v/>
      </c>
      <c r="T55" s="775" t="str">
        <f>IF($B55="","",IF(INDEX(BDHK2,MATCH($C55,DiemHKII!$C$4:$C$58,0),T$59)&lt;&gt;"",INDEX(BDHK2,MATCH($C55,DiemHKII!$C$4:$C$58,0),T$59),""))</f>
        <v/>
      </c>
      <c r="U55" s="792" t="str">
        <f t="shared" si="7"/>
        <v/>
      </c>
      <c r="V55" s="776" t="str">
        <f t="shared" si="8"/>
        <v/>
      </c>
      <c r="W55" s="775" t="str">
        <f>IF($B55="","",IF(INDEX(BDHK2,MATCH($C55,DiemHKII!$C$4:$C$58,0),W$59)&lt;&gt;"",INDEX(BDHK2,MATCH($C55,DiemHKII!$C$4:$C$58,0),W$59),""))</f>
        <v/>
      </c>
      <c r="X55" s="792" t="str">
        <f t="shared" si="9"/>
        <v/>
      </c>
      <c r="Y55" s="776" t="str">
        <f t="shared" si="10"/>
        <v/>
      </c>
      <c r="Z55" s="774"/>
      <c r="AA55" s="775" t="str">
        <f>IF($B55="","",IF(INDEX(BDHK2,MATCH($C55,DiemHKII!$C$4:$C$58,0),AA$59)&lt;&gt;"",INDEX(BDHK2,MATCH($C55,DiemHKII!$C$4:$C$58,0),AA$59),""))</f>
        <v/>
      </c>
      <c r="AB55" s="792" t="str">
        <f t="shared" si="11"/>
        <v/>
      </c>
      <c r="AC55" s="776" t="str">
        <f>IF($B55="","",INDEX(NXetHKI!$B$3:$CL$57,MATCH(NXchung!$C55,NXetHKI!$C$3:$C$57,0),NXchung!AC$59))</f>
        <v/>
      </c>
      <c r="AD55" s="775" t="str">
        <f>IF($B55="","",IF(INDEX(BDHK2,MATCH($C55,DiemHKII!$C$4:$C$58,0),AD$59)&lt;&gt;"",INDEX(BDHK2,MATCH($C55,DiemHKII!$C$4:$C$58,0),AD$59),""))</f>
        <v/>
      </c>
      <c r="AE55" s="792" t="str">
        <f t="shared" si="12"/>
        <v/>
      </c>
      <c r="AF55" s="776" t="str">
        <f t="shared" si="13"/>
        <v/>
      </c>
      <c r="AG55" s="775" t="str">
        <f>IF($B55="","",IF(INDEX(BDHK2,MATCH($C55,DiemHKII!$C$4:$C$58,0),AG$59)&lt;&gt;"",INDEX(BDHK2,MATCH($C55,DiemHKII!$C$4:$C$58,0),AG$59),""))</f>
        <v/>
      </c>
      <c r="AH55" s="792" t="str">
        <f t="shared" si="14"/>
        <v/>
      </c>
      <c r="AI55" s="776" t="str">
        <f t="shared" si="15"/>
        <v/>
      </c>
      <c r="AJ55" s="774"/>
      <c r="AK55" s="775" t="str">
        <f>IF($B55="","",IF(INDEX(BDHK2,MATCH($C55,DiemHKII!$C$4:$C$58,0),AK$59)&lt;&gt;"",INDEX(BDHK2,MATCH($C55,DiemHKII!$C$4:$C$58,0),AK$59),""))</f>
        <v/>
      </c>
      <c r="AL55" s="792" t="str">
        <f t="shared" si="16"/>
        <v/>
      </c>
      <c r="AM55" s="776" t="str">
        <f>IF($B55="","",INDEX(NXetHKI!$B$3:$CL$57,MATCH(NXchung!$C55,NXetHKI!$C$3:$C$57,0),NXchung!AM$59))</f>
        <v/>
      </c>
      <c r="AN55" s="775" t="str">
        <f>IF($B55="","",IF(INDEX(BDHK2,MATCH($C55,DiemHKII!$C$4:$C$58,0),AN$59)&lt;&gt;"",INDEX(BDHK2,MATCH($C55,DiemHKII!$C$4:$C$58,0),AN$59),""))</f>
        <v/>
      </c>
      <c r="AO55" s="792" t="str">
        <f t="shared" si="17"/>
        <v/>
      </c>
      <c r="AP55" s="776" t="str">
        <f t="shared" si="18"/>
        <v/>
      </c>
      <c r="AQ55" s="775" t="str">
        <f>IF($B55="","",IF(INDEX(BDHK2,MATCH($C55,DiemHKII!$C$4:$C$58,0),AQ$59)&lt;&gt;"",INDEX(BDHK2,MATCH($C55,DiemHKII!$C$4:$C$58,0),AQ$59),""))</f>
        <v/>
      </c>
      <c r="AR55" s="792" t="str">
        <f t="shared" si="19"/>
        <v/>
      </c>
      <c r="AS55" s="776" t="str">
        <f t="shared" si="20"/>
        <v/>
      </c>
      <c r="AT55" s="774"/>
      <c r="AU55" s="775" t="str">
        <f>IF($B55="","",IF(INDEX(BDHK2,MATCH($C55,DiemHKII!$C$4:$C$58,0),AU$59)&lt;&gt;"",INDEX(BDHK2,MATCH($C55,DiemHKII!$C$4:$C$58,0),AU$59),""))</f>
        <v/>
      </c>
      <c r="AV55" s="792" t="str">
        <f t="shared" si="21"/>
        <v/>
      </c>
      <c r="AW55" s="776" t="str">
        <f>IF($B55="","",INDEX(NXetHKI!$B$3:$CL$57,MATCH(NXchung!$C55,NXetHKI!$C$3:$C$57,0),NXchung!AW$59))</f>
        <v/>
      </c>
      <c r="AX55" s="775" t="str">
        <f>IF($B55="","",IF(INDEX(BDHK2,MATCH($C55,DiemHKII!$C$4:$C$58,0),AX$59)&lt;&gt;"",INDEX(BDHK2,MATCH($C55,DiemHKII!$C$4:$C$58,0),AX$59),""))</f>
        <v/>
      </c>
      <c r="AY55" s="792" t="str">
        <f t="shared" si="22"/>
        <v/>
      </c>
      <c r="AZ55" s="776" t="str">
        <f t="shared" si="23"/>
        <v/>
      </c>
      <c r="BA55" s="775" t="str">
        <f>IF($B55="","",IF(INDEX(BDHK2,MATCH($C55,DiemHKII!$C$4:$C$58,0),BA$59)&lt;&gt;"",INDEX(BDHK2,MATCH($C55,DiemHKII!$C$4:$C$58,0),BA$59),""))</f>
        <v/>
      </c>
      <c r="BB55" s="792" t="str">
        <f t="shared" si="24"/>
        <v/>
      </c>
      <c r="BC55" s="776" t="str">
        <f t="shared" si="25"/>
        <v/>
      </c>
      <c r="BD55" s="774"/>
      <c r="BE55" s="775" t="str">
        <f>IF($B55="","",IF(INDEX(BDHK2,MATCH($C55,DiemHKII!$C$4:$C$58,0),BE$59)&lt;&gt;"",INDEX(BDHK2,MATCH($C55,DiemHKII!$C$4:$C$58,0),BE$59),""))</f>
        <v/>
      </c>
      <c r="BF55" s="792" t="str">
        <f t="shared" si="26"/>
        <v/>
      </c>
      <c r="BG55" s="776" t="str">
        <f>IF($B55="","",INDEX(NXetHKI!$B$3:$CL$57,MATCH(NXchung!$C55,NXetHKI!$C$3:$C$57,0),NXchung!BG$59))</f>
        <v/>
      </c>
      <c r="BH55" s="775" t="str">
        <f>IF($B55="","",IF(INDEX(BDHK2,MATCH($C55,DiemHKII!$C$4:$C$58,0),BH$59)&lt;&gt;"",INDEX(BDHK2,MATCH($C55,DiemHKII!$C$4:$C$58,0),BH$59),""))</f>
        <v/>
      </c>
      <c r="BI55" s="792" t="str">
        <f t="shared" si="27"/>
        <v/>
      </c>
      <c r="BJ55" s="776" t="str">
        <f t="shared" si="28"/>
        <v/>
      </c>
      <c r="BK55" s="775" t="str">
        <f>IF($B55="","",IF(INDEX(BDHK2,MATCH($C55,DiemHKII!$C$4:$C$58,0),BK$59)&lt;&gt;"",INDEX(BDHK2,MATCH($C55,DiemHKII!$C$4:$C$58,0),BK$59),""))</f>
        <v/>
      </c>
      <c r="BL55" s="792" t="str">
        <f t="shared" si="29"/>
        <v/>
      </c>
      <c r="BM55" s="776" t="str">
        <f t="shared" si="30"/>
        <v/>
      </c>
      <c r="BN55" s="774"/>
      <c r="BO55" s="775" t="str">
        <f>IF($B55="","",IF(INDEX(BDHK2,MATCH($C55,DiemHKII!$C$4:$C$58,0),BO$59)&lt;&gt;"",INDEX(BDHK2,MATCH($C55,DiemHKII!$C$4:$C$58,0),BO$59),""))</f>
        <v/>
      </c>
      <c r="BP55" s="792" t="str">
        <f t="shared" si="31"/>
        <v/>
      </c>
      <c r="BQ55" s="776" t="str">
        <f>IF($B55="","",INDEX(NXetHKI!$B$3:$CL$57,MATCH(NXchung!$C55,NXetHKI!$C$3:$C$57,0),NXchung!BQ$59))</f>
        <v/>
      </c>
      <c r="BR55" s="775" t="str">
        <f>IF($B55="","",IF(INDEX(BDHK2,MATCH($C55,DiemHKII!$C$4:$C$58,0),BR$59)&lt;&gt;"",INDEX(BDHK2,MATCH($C55,DiemHKII!$C$4:$C$58,0),BR$59),""))</f>
        <v/>
      </c>
      <c r="BS55" s="792" t="str">
        <f t="shared" si="32"/>
        <v/>
      </c>
      <c r="BT55" s="776" t="str">
        <f t="shared" si="33"/>
        <v/>
      </c>
      <c r="BU55" s="775" t="str">
        <f>IF($B55="","",IF(INDEX(BDHK2,MATCH($C55,DiemHKII!$C$4:$C$58,0),BU$59)&lt;&gt;"",INDEX(BDHK2,MATCH($C55,DiemHKII!$C$4:$C$58,0),BU$59),""))</f>
        <v/>
      </c>
      <c r="BV55" s="792" t="str">
        <f t="shared" si="34"/>
        <v/>
      </c>
      <c r="BW55" s="776" t="str">
        <f t="shared" si="35"/>
        <v/>
      </c>
      <c r="BX55" s="774"/>
      <c r="BY55" s="775" t="str">
        <f>IF($B55="","",IF(INDEX(BDHK2,MATCH($C55,DiemHKII!$C$4:$C$58,0),BY$59)&lt;&gt;"",INDEX(BDHK2,MATCH($C55,DiemHKII!$C$4:$C$58,0),BY$59),""))</f>
        <v/>
      </c>
      <c r="BZ55" s="792" t="str">
        <f t="shared" si="36"/>
        <v/>
      </c>
      <c r="CA55" s="776" t="str">
        <f>IF($B55="","",INDEX(NXetHKI!$B$3:$CL$57,MATCH(NXchung!$C55,NXetHKI!$C$3:$C$57,0),NXchung!CA$59))</f>
        <v/>
      </c>
      <c r="CB55" s="775" t="str">
        <f>IF($B55="","",IF(INDEX(BDHK2,MATCH($C55,DiemHKII!$C$4:$C$58,0),CB$59)&lt;&gt;"",INDEX(BDHK2,MATCH($C55,DiemHKII!$C$4:$C$58,0),CB$59),""))</f>
        <v/>
      </c>
      <c r="CC55" s="792" t="str">
        <f t="shared" si="37"/>
        <v/>
      </c>
      <c r="CD55" s="776" t="str">
        <f t="shared" si="38"/>
        <v/>
      </c>
      <c r="CE55" s="775" t="str">
        <f>IF($B55="","",IF(INDEX(BDHK2,MATCH($C55,DiemHKII!$C$4:$C$58,0),CE$59)&lt;&gt;"",INDEX(BDHK2,MATCH($C55,DiemHKII!$C$4:$C$58,0),CE$59),""))</f>
        <v/>
      </c>
      <c r="CF55" s="792" t="str">
        <f t="shared" si="39"/>
        <v/>
      </c>
      <c r="CG55" s="776" t="str">
        <f t="shared" si="40"/>
        <v/>
      </c>
      <c r="CH55" s="774"/>
      <c r="CI55" s="775" t="str">
        <f>IF($B55="","",IF(INDEX(BDHK2,MATCH($C55,DiemHKII!$C$4:$C$58,0),CI$59)&lt;&gt;"",INDEX(BDHK2,MATCH($C55,DiemHKII!$C$4:$C$58,0),CI$59),""))</f>
        <v/>
      </c>
      <c r="CJ55" s="792" t="str">
        <f t="shared" si="41"/>
        <v/>
      </c>
      <c r="CK55" s="776" t="str">
        <f>IF($B55="","",INDEX(NXetHKI!$B$3:$CL$57,MATCH(NXchung!$C55,NXetHKI!$C$3:$C$57,0),NXchung!CK$59))</f>
        <v/>
      </c>
      <c r="CL55" s="775" t="str">
        <f>IF($B55="","",IF(INDEX(BDHK2,MATCH($C55,DiemHKII!$C$4:$C$58,0),CL$59)&lt;&gt;"",INDEX(BDHK2,MATCH($C55,DiemHKII!$C$4:$C$58,0),CL$59),""))</f>
        <v/>
      </c>
      <c r="CM55" s="792" t="str">
        <f t="shared" si="42"/>
        <v/>
      </c>
      <c r="CN55" s="776" t="str">
        <f t="shared" si="43"/>
        <v/>
      </c>
      <c r="CO55" s="775" t="str">
        <f>IF($B55="","",IF(INDEX(BDHK2,MATCH($C55,DiemHKII!$C$4:$C$58,0),CO$59)&lt;&gt;"",INDEX(BDHK2,MATCH($C55,DiemHKII!$C$4:$C$58,0),CO$59),""))</f>
        <v/>
      </c>
      <c r="CP55" s="792" t="str">
        <f t="shared" si="44"/>
        <v/>
      </c>
      <c r="CQ55" s="776" t="str">
        <f t="shared" si="45"/>
        <v/>
      </c>
      <c r="CR55" s="774"/>
      <c r="CS55" s="775" t="str">
        <f>IF($B55="","",IF(INDEX(BDHK2,MATCH($C55,DiemHKII!$C$4:$C$58,0),CS$59)&lt;&gt;"",INDEX(BDHK2,MATCH($C55,DiemHKII!$C$4:$C$58,0),CS$59),""))</f>
        <v/>
      </c>
      <c r="CT55" s="792" t="str">
        <f t="shared" si="46"/>
        <v/>
      </c>
      <c r="CU55" s="776" t="str">
        <f>IF($B55="","",INDEX(NXetHKI!$B$3:$CL$57,MATCH(NXchung!$C55,NXetHKI!$C$3:$C$57,0),NXchung!CU$59))</f>
        <v/>
      </c>
      <c r="CV55" s="775" t="str">
        <f>IF($B55="","",IF(INDEX(BDHK2,MATCH($C55,DiemHKII!$C$4:$C$58,0),CV$59)&lt;&gt;"",INDEX(BDHK2,MATCH($C55,DiemHKII!$C$4:$C$58,0),CV$59),""))</f>
        <v/>
      </c>
      <c r="CW55" s="792" t="str">
        <f t="shared" si="47"/>
        <v/>
      </c>
      <c r="CX55" s="776" t="str">
        <f t="shared" si="48"/>
        <v/>
      </c>
      <c r="CY55" s="775" t="str">
        <f>IF($B55="","",IF(INDEX(BDHK2,MATCH($C55,DiemHKII!$C$4:$C$58,0),CY$59)&lt;&gt;"",INDEX(BDHK2,MATCH($C55,DiemHKII!$C$4:$C$58,0),CY$59),""))</f>
        <v/>
      </c>
      <c r="CZ55" s="792" t="str">
        <f t="shared" si="49"/>
        <v/>
      </c>
      <c r="DA55" s="776" t="str">
        <f t="shared" si="50"/>
        <v/>
      </c>
      <c r="DB55" s="774"/>
      <c r="DC55" s="775" t="str">
        <f>IF($B55="","",IF(INDEX(BDHK2,MATCH($C55,DiemHKII!$C$4:$C$58,0),DC$59)&lt;&gt;"",INDEX(BDHK2,MATCH($C55,DiemHKII!$C$4:$C$58,0),DC$59),""))</f>
        <v/>
      </c>
      <c r="DD55" s="792" t="str">
        <f t="shared" si="51"/>
        <v/>
      </c>
      <c r="DE55" s="776" t="str">
        <f>IF($B55="","",INDEX(NXetHKI!$B$3:$CL$57,MATCH(NXchung!$C55,NXetHKI!$C$3:$C$57,0),NXchung!DE$59))</f>
        <v/>
      </c>
      <c r="DF55" s="775" t="str">
        <f>IF($B55="","",IF(INDEX(BDHK2,MATCH($C55,DiemHKII!$C$4:$C$58,0),DF$59)&lt;&gt;"",INDEX(BDHK2,MATCH($C55,DiemHKII!$C$4:$C$58,0),DF$59),""))</f>
        <v/>
      </c>
      <c r="DG55" s="792" t="str">
        <f t="shared" si="52"/>
        <v/>
      </c>
      <c r="DH55" s="776" t="str">
        <f t="shared" si="53"/>
        <v/>
      </c>
      <c r="DI55" s="775" t="str">
        <f>IF($B55="","",IF(INDEX(BDHK2,MATCH($C55,DiemHKII!$C$4:$C$58,0),DI$59)&lt;&gt;"",INDEX(BDHK2,MATCH($C55,DiemHKII!$C$4:$C$58,0),DI$59),""))</f>
        <v/>
      </c>
      <c r="DJ55" s="792" t="str">
        <f t="shared" si="54"/>
        <v/>
      </c>
      <c r="DK55" s="776" t="str">
        <f t="shared" si="55"/>
        <v/>
      </c>
      <c r="DL55" s="774"/>
      <c r="DM55" s="775" t="str">
        <f>IF($B55="","",IF(INDEX(BDHK2,MATCH($C55,DiemHKII!$C$4:$C$58,0),DM$59)&lt;&gt;"",INDEX(BDHK2,MATCH($C55,DiemHKII!$C$4:$C$58,0),DM$59),""))</f>
        <v/>
      </c>
      <c r="DN55" s="792" t="str">
        <f t="shared" si="56"/>
        <v/>
      </c>
      <c r="DO55" s="776" t="str">
        <f>IF($B55="","",INDEX(NXetHKI!$B$3:$CL$57,MATCH(NXchung!$C55,NXetHKI!$C$3:$C$57,0),NXchung!DO$59))</f>
        <v/>
      </c>
      <c r="DP55" s="775" t="str">
        <f>IF($B55="","",IF(INDEX(BDHK2,MATCH($C55,DiemHKII!$C$4:$C$58,0),DP$59)&lt;&gt;"",INDEX(BDHK2,MATCH($C55,DiemHKII!$C$4:$C$58,0),DP$59),""))</f>
        <v/>
      </c>
      <c r="DQ55" s="792" t="str">
        <f t="shared" si="57"/>
        <v/>
      </c>
      <c r="DR55" s="776" t="str">
        <f t="shared" si="58"/>
        <v/>
      </c>
      <c r="DS55" s="775" t="str">
        <f>IF($B55="","",IF(INDEX(BDHK2,MATCH($C55,DiemHKII!$C$4:$C$58,0),DS$59)&lt;&gt;"",INDEX(BDHK2,MATCH($C55,DiemHKII!$C$4:$C$58,0),DS$59),""))</f>
        <v/>
      </c>
      <c r="DT55" s="792" t="str">
        <f t="shared" si="59"/>
        <v/>
      </c>
      <c r="DU55" s="776" t="str">
        <f t="shared" si="60"/>
        <v/>
      </c>
      <c r="DV55" s="774"/>
      <c r="DW55" s="775" t="str">
        <f>IF($B55="","",IF(INDEX(BDHK2,MATCH($C55,DiemHKII!$C$4:$C$58,0),DW$59)&lt;&gt;"",INDEX(BDHK2,MATCH($C55,DiemHKII!$C$4:$C$58,0),DW$59),""))</f>
        <v/>
      </c>
      <c r="DX55" s="792" t="str">
        <f t="shared" si="61"/>
        <v/>
      </c>
      <c r="DY55" s="776" t="str">
        <f>IF($B55="","",INDEX(NXetHKI!$B$3:$CL$57,MATCH(NXchung!$C55,NXetHKI!$C$3:$C$57,0),NXchung!DY$59))</f>
        <v/>
      </c>
      <c r="DZ55" s="775" t="str">
        <f>IF($B55="","",IF(INDEX(BDHK2,MATCH($C55,DiemHKII!$C$4:$C$58,0),DZ$59)&lt;&gt;"",INDEX(BDHK2,MATCH($C55,DiemHKII!$C$4:$C$58,0),DZ$59),""))</f>
        <v/>
      </c>
      <c r="EA55" s="792" t="str">
        <f t="shared" si="62"/>
        <v/>
      </c>
      <c r="EB55" s="776" t="str">
        <f t="shared" si="63"/>
        <v/>
      </c>
      <c r="EC55" s="775" t="str">
        <f>IF($B55="","",IF(INDEX(BDHK2,MATCH($C55,DiemHKII!$C$4:$C$58,0),EC$59)&lt;&gt;"",INDEX(BDHK2,MATCH($C55,DiemHKII!$C$4:$C$58,0),EC$59),""))</f>
        <v/>
      </c>
      <c r="ED55" s="792" t="str">
        <f t="shared" si="64"/>
        <v/>
      </c>
      <c r="EE55" s="776" t="str">
        <f t="shared" si="65"/>
        <v/>
      </c>
      <c r="EF55" s="774"/>
      <c r="EG55" s="775" t="str">
        <f>IF($B55="","",IF(INDEX(BDHK2,MATCH($C55,DiemHKII!$C$4:$C$58,0),EG$59)&lt;&gt;"",INDEX(BDHK2,MATCH($C55,DiemHKII!$C$4:$C$58,0),EG$59),""))</f>
        <v/>
      </c>
      <c r="EH55" s="792" t="str">
        <f t="shared" si="66"/>
        <v/>
      </c>
      <c r="EI55" s="776" t="str">
        <f>IF($B55="","",INDEX(NXetHKI!$B$3:$CL$57,MATCH(NXchung!$C55,NXetHKI!$C$3:$C$57,0),NXchung!EI$59))</f>
        <v/>
      </c>
      <c r="EJ55" s="775" t="str">
        <f>IF($B55="","",IF(INDEX(BDHK2,MATCH($C55,DiemHKII!$C$4:$C$58,0),EJ$59)&lt;&gt;"",INDEX(BDHK2,MATCH($C55,DiemHKII!$C$4:$C$58,0),EJ$59),""))</f>
        <v/>
      </c>
      <c r="EK55" s="792" t="str">
        <f t="shared" si="67"/>
        <v/>
      </c>
      <c r="EL55" s="776" t="str">
        <f t="shared" si="68"/>
        <v/>
      </c>
      <c r="EM55" s="775" t="str">
        <f>IF($B55="","",IF(INDEX(BDHK2,MATCH($C55,DiemHKII!$C$4:$C$58,0),EM$59)&lt;&gt;"",INDEX(BDHK2,MATCH($C55,DiemHKII!$C$4:$C$58,0),EM$59),""))</f>
        <v/>
      </c>
      <c r="EN55" s="792" t="str">
        <f t="shared" si="69"/>
        <v/>
      </c>
      <c r="EO55" s="776" t="str">
        <f t="shared" si="70"/>
        <v/>
      </c>
      <c r="EP55" s="774"/>
      <c r="ER55" s="816">
        <v>9</v>
      </c>
      <c r="ES55" s="816">
        <v>3</v>
      </c>
    </row>
    <row r="56" spans="2:149" ht="15" customHeight="1">
      <c r="B56" s="771" t="str">
        <f>IF(B55&lt;MAX(DiemHKII!$B$4:$B$58),B55+1,"")</f>
        <v/>
      </c>
      <c r="C56" s="771" t="str">
        <f t="shared" si="0"/>
        <v/>
      </c>
      <c r="D56" s="772" t="str">
        <f>IF($B56&lt;&gt;"",PROPER(INDEX(DiemHKII!$B$4:$K$58,MATCH($B56,DiemHKII!$B$4:$B$58,0),4)),"")</f>
        <v/>
      </c>
      <c r="E56" s="773" t="str">
        <f>IF($B56&lt;&gt;"",PROPER(INDEX(DiemHKII!$B$4:$K$58,MATCH($B56,DiemHKII!$B$4:$B$58,0),5)),"")</f>
        <v/>
      </c>
      <c r="F56" s="774" t="str">
        <f>IF($B56&lt;&gt;"",PROPER(INDEX(DiemHKII!$B$4:$K$58,MATCH($B56,DiemHKII!$B$4:$B$58,0),6)),"")</f>
        <v/>
      </c>
      <c r="G56" s="775" t="str">
        <f>IF($B56="","",IF(INDEX(BDHK2,MATCH($C56,DiemHKII!$C$4:$C$58,0),G$59)&lt;&gt;"",INDEX(BDHK2,MATCH($C56,DiemHKII!$C$4:$C$58,0),G$59),""))</f>
        <v/>
      </c>
      <c r="H56" s="792" t="str">
        <f t="shared" si="1"/>
        <v/>
      </c>
      <c r="I56" s="776" t="str">
        <f>IF($B56="","",INDEX(NXetHKI!$B$3:$CL$57,MATCH(NXchung!$C56,NXetHKI!$C$3:$C$57,0),NXchung!I$59))</f>
        <v/>
      </c>
      <c r="J56" s="775" t="str">
        <f>IF($B56="","",IF(INDEX(BDHK2,MATCH($C56,DiemHKII!$C$4:$C$58,0),J$59)&lt;&gt;"",INDEX(BDHK2,MATCH($C56,DiemHKII!$C$4:$C$58,0),J$59),""))</f>
        <v/>
      </c>
      <c r="K56" s="792" t="str">
        <f t="shared" si="2"/>
        <v/>
      </c>
      <c r="L56" s="776" t="str">
        <f t="shared" si="3"/>
        <v/>
      </c>
      <c r="M56" s="775" t="str">
        <f>IF($B56="","",IF(INDEX(BDHK2,MATCH($C56,DiemHKII!$C$4:$C$58,0),M$59)&lt;&gt;"",INDEX(BDHK2,MATCH($C56,DiemHKII!$C$4:$C$58,0),M$59),""))</f>
        <v/>
      </c>
      <c r="N56" s="792" t="str">
        <f t="shared" si="4"/>
        <v/>
      </c>
      <c r="O56" s="776" t="str">
        <f t="shared" si="5"/>
        <v/>
      </c>
      <c r="P56" s="774"/>
      <c r="Q56" s="775" t="str">
        <f>IF($B56="","",IF(INDEX(BDHK2,MATCH($C56,DiemHKII!$C$4:$C$58,0),Q$59)&lt;&gt;"",INDEX(BDHK2,MATCH($C56,DiemHKII!$C$4:$C$58,0),Q$59),""))</f>
        <v/>
      </c>
      <c r="R56" s="792" t="str">
        <f t="shared" si="6"/>
        <v/>
      </c>
      <c r="S56" s="776" t="str">
        <f>IF($B56="","",INDEX(NXetHKI!$B$3:$CL$57,MATCH(NXchung!$C56,NXetHKI!$C$3:$C$57,0),NXchung!S$59))</f>
        <v/>
      </c>
      <c r="T56" s="775" t="str">
        <f>IF($B56="","",IF(INDEX(BDHK2,MATCH($C56,DiemHKII!$C$4:$C$58,0),T$59)&lt;&gt;"",INDEX(BDHK2,MATCH($C56,DiemHKII!$C$4:$C$58,0),T$59),""))</f>
        <v/>
      </c>
      <c r="U56" s="792" t="str">
        <f t="shared" si="7"/>
        <v/>
      </c>
      <c r="V56" s="776" t="str">
        <f t="shared" si="8"/>
        <v/>
      </c>
      <c r="W56" s="775" t="str">
        <f>IF($B56="","",IF(INDEX(BDHK2,MATCH($C56,DiemHKII!$C$4:$C$58,0),W$59)&lt;&gt;"",INDEX(BDHK2,MATCH($C56,DiemHKII!$C$4:$C$58,0),W$59),""))</f>
        <v/>
      </c>
      <c r="X56" s="792" t="str">
        <f t="shared" si="9"/>
        <v/>
      </c>
      <c r="Y56" s="776" t="str">
        <f t="shared" si="10"/>
        <v/>
      </c>
      <c r="Z56" s="774"/>
      <c r="AA56" s="775" t="str">
        <f>IF($B56="","",IF(INDEX(BDHK2,MATCH($C56,DiemHKII!$C$4:$C$58,0),AA$59)&lt;&gt;"",INDEX(BDHK2,MATCH($C56,DiemHKII!$C$4:$C$58,0),AA$59),""))</f>
        <v/>
      </c>
      <c r="AB56" s="792" t="str">
        <f t="shared" si="11"/>
        <v/>
      </c>
      <c r="AC56" s="776" t="str">
        <f>IF($B56="","",INDEX(NXetHKI!$B$3:$CL$57,MATCH(NXchung!$C56,NXetHKI!$C$3:$C$57,0),NXchung!AC$59))</f>
        <v/>
      </c>
      <c r="AD56" s="775" t="str">
        <f>IF($B56="","",IF(INDEX(BDHK2,MATCH($C56,DiemHKII!$C$4:$C$58,0),AD$59)&lt;&gt;"",INDEX(BDHK2,MATCH($C56,DiemHKII!$C$4:$C$58,0),AD$59),""))</f>
        <v/>
      </c>
      <c r="AE56" s="792" t="str">
        <f t="shared" si="12"/>
        <v/>
      </c>
      <c r="AF56" s="776" t="str">
        <f t="shared" si="13"/>
        <v/>
      </c>
      <c r="AG56" s="775" t="str">
        <f>IF($B56="","",IF(INDEX(BDHK2,MATCH($C56,DiemHKII!$C$4:$C$58,0),AG$59)&lt;&gt;"",INDEX(BDHK2,MATCH($C56,DiemHKII!$C$4:$C$58,0),AG$59),""))</f>
        <v/>
      </c>
      <c r="AH56" s="792" t="str">
        <f t="shared" si="14"/>
        <v/>
      </c>
      <c r="AI56" s="776" t="str">
        <f t="shared" si="15"/>
        <v/>
      </c>
      <c r="AJ56" s="774"/>
      <c r="AK56" s="775" t="str">
        <f>IF($B56="","",IF(INDEX(BDHK2,MATCH($C56,DiemHKII!$C$4:$C$58,0),AK$59)&lt;&gt;"",INDEX(BDHK2,MATCH($C56,DiemHKII!$C$4:$C$58,0),AK$59),""))</f>
        <v/>
      </c>
      <c r="AL56" s="792" t="str">
        <f t="shared" si="16"/>
        <v/>
      </c>
      <c r="AM56" s="776" t="str">
        <f>IF($B56="","",INDEX(NXetHKI!$B$3:$CL$57,MATCH(NXchung!$C56,NXetHKI!$C$3:$C$57,0),NXchung!AM$59))</f>
        <v/>
      </c>
      <c r="AN56" s="775" t="str">
        <f>IF($B56="","",IF(INDEX(BDHK2,MATCH($C56,DiemHKII!$C$4:$C$58,0),AN$59)&lt;&gt;"",INDEX(BDHK2,MATCH($C56,DiemHKII!$C$4:$C$58,0),AN$59),""))</f>
        <v/>
      </c>
      <c r="AO56" s="792" t="str">
        <f t="shared" si="17"/>
        <v/>
      </c>
      <c r="AP56" s="776" t="str">
        <f t="shared" si="18"/>
        <v/>
      </c>
      <c r="AQ56" s="775" t="str">
        <f>IF($B56="","",IF(INDEX(BDHK2,MATCH($C56,DiemHKII!$C$4:$C$58,0),AQ$59)&lt;&gt;"",INDEX(BDHK2,MATCH($C56,DiemHKII!$C$4:$C$58,0),AQ$59),""))</f>
        <v/>
      </c>
      <c r="AR56" s="792" t="str">
        <f t="shared" si="19"/>
        <v/>
      </c>
      <c r="AS56" s="776" t="str">
        <f t="shared" si="20"/>
        <v/>
      </c>
      <c r="AT56" s="774"/>
      <c r="AU56" s="775" t="str">
        <f>IF($B56="","",IF(INDEX(BDHK2,MATCH($C56,DiemHKII!$C$4:$C$58,0),AU$59)&lt;&gt;"",INDEX(BDHK2,MATCH($C56,DiemHKII!$C$4:$C$58,0),AU$59),""))</f>
        <v/>
      </c>
      <c r="AV56" s="792" t="str">
        <f t="shared" si="21"/>
        <v/>
      </c>
      <c r="AW56" s="776" t="str">
        <f>IF($B56="","",INDEX(NXetHKI!$B$3:$CL$57,MATCH(NXchung!$C56,NXetHKI!$C$3:$C$57,0),NXchung!AW$59))</f>
        <v/>
      </c>
      <c r="AX56" s="775" t="str">
        <f>IF($B56="","",IF(INDEX(BDHK2,MATCH($C56,DiemHKII!$C$4:$C$58,0),AX$59)&lt;&gt;"",INDEX(BDHK2,MATCH($C56,DiemHKII!$C$4:$C$58,0),AX$59),""))</f>
        <v/>
      </c>
      <c r="AY56" s="792" t="str">
        <f t="shared" si="22"/>
        <v/>
      </c>
      <c r="AZ56" s="776" t="str">
        <f t="shared" si="23"/>
        <v/>
      </c>
      <c r="BA56" s="775" t="str">
        <f>IF($B56="","",IF(INDEX(BDHK2,MATCH($C56,DiemHKII!$C$4:$C$58,0),BA$59)&lt;&gt;"",INDEX(BDHK2,MATCH($C56,DiemHKII!$C$4:$C$58,0),BA$59),""))</f>
        <v/>
      </c>
      <c r="BB56" s="792" t="str">
        <f t="shared" si="24"/>
        <v/>
      </c>
      <c r="BC56" s="776" t="str">
        <f t="shared" si="25"/>
        <v/>
      </c>
      <c r="BD56" s="774"/>
      <c r="BE56" s="775" t="str">
        <f>IF($B56="","",IF(INDEX(BDHK2,MATCH($C56,DiemHKII!$C$4:$C$58,0),BE$59)&lt;&gt;"",INDEX(BDHK2,MATCH($C56,DiemHKII!$C$4:$C$58,0),BE$59),""))</f>
        <v/>
      </c>
      <c r="BF56" s="792" t="str">
        <f t="shared" si="26"/>
        <v/>
      </c>
      <c r="BG56" s="776" t="str">
        <f>IF($B56="","",INDEX(NXetHKI!$B$3:$CL$57,MATCH(NXchung!$C56,NXetHKI!$C$3:$C$57,0),NXchung!BG$59))</f>
        <v/>
      </c>
      <c r="BH56" s="775" t="str">
        <f>IF($B56="","",IF(INDEX(BDHK2,MATCH($C56,DiemHKII!$C$4:$C$58,0),BH$59)&lt;&gt;"",INDEX(BDHK2,MATCH($C56,DiemHKII!$C$4:$C$58,0),BH$59),""))</f>
        <v/>
      </c>
      <c r="BI56" s="792" t="str">
        <f t="shared" si="27"/>
        <v/>
      </c>
      <c r="BJ56" s="776" t="str">
        <f t="shared" si="28"/>
        <v/>
      </c>
      <c r="BK56" s="775" t="str">
        <f>IF($B56="","",IF(INDEX(BDHK2,MATCH($C56,DiemHKII!$C$4:$C$58,0),BK$59)&lt;&gt;"",INDEX(BDHK2,MATCH($C56,DiemHKII!$C$4:$C$58,0),BK$59),""))</f>
        <v/>
      </c>
      <c r="BL56" s="792" t="str">
        <f t="shared" si="29"/>
        <v/>
      </c>
      <c r="BM56" s="776" t="str">
        <f t="shared" si="30"/>
        <v/>
      </c>
      <c r="BN56" s="774"/>
      <c r="BO56" s="775" t="str">
        <f>IF($B56="","",IF(INDEX(BDHK2,MATCH($C56,DiemHKII!$C$4:$C$58,0),BO$59)&lt;&gt;"",INDEX(BDHK2,MATCH($C56,DiemHKII!$C$4:$C$58,0),BO$59),""))</f>
        <v/>
      </c>
      <c r="BP56" s="792" t="str">
        <f t="shared" si="31"/>
        <v/>
      </c>
      <c r="BQ56" s="776" t="str">
        <f>IF($B56="","",INDEX(NXetHKI!$B$3:$CL$57,MATCH(NXchung!$C56,NXetHKI!$C$3:$C$57,0),NXchung!BQ$59))</f>
        <v/>
      </c>
      <c r="BR56" s="775" t="str">
        <f>IF($B56="","",IF(INDEX(BDHK2,MATCH($C56,DiemHKII!$C$4:$C$58,0),BR$59)&lt;&gt;"",INDEX(BDHK2,MATCH($C56,DiemHKII!$C$4:$C$58,0),BR$59),""))</f>
        <v/>
      </c>
      <c r="BS56" s="792" t="str">
        <f t="shared" si="32"/>
        <v/>
      </c>
      <c r="BT56" s="776" t="str">
        <f t="shared" si="33"/>
        <v/>
      </c>
      <c r="BU56" s="775" t="str">
        <f>IF($B56="","",IF(INDEX(BDHK2,MATCH($C56,DiemHKII!$C$4:$C$58,0),BU$59)&lt;&gt;"",INDEX(BDHK2,MATCH($C56,DiemHKII!$C$4:$C$58,0),BU$59),""))</f>
        <v/>
      </c>
      <c r="BV56" s="792" t="str">
        <f t="shared" si="34"/>
        <v/>
      </c>
      <c r="BW56" s="776" t="str">
        <f t="shared" si="35"/>
        <v/>
      </c>
      <c r="BX56" s="774"/>
      <c r="BY56" s="775" t="str">
        <f>IF($B56="","",IF(INDEX(BDHK2,MATCH($C56,DiemHKII!$C$4:$C$58,0),BY$59)&lt;&gt;"",INDEX(BDHK2,MATCH($C56,DiemHKII!$C$4:$C$58,0),BY$59),""))</f>
        <v/>
      </c>
      <c r="BZ56" s="792" t="str">
        <f t="shared" si="36"/>
        <v/>
      </c>
      <c r="CA56" s="776" t="str">
        <f>IF($B56="","",INDEX(NXetHKI!$B$3:$CL$57,MATCH(NXchung!$C56,NXetHKI!$C$3:$C$57,0),NXchung!CA$59))</f>
        <v/>
      </c>
      <c r="CB56" s="775" t="str">
        <f>IF($B56="","",IF(INDEX(BDHK2,MATCH($C56,DiemHKII!$C$4:$C$58,0),CB$59)&lt;&gt;"",INDEX(BDHK2,MATCH($C56,DiemHKII!$C$4:$C$58,0),CB$59),""))</f>
        <v/>
      </c>
      <c r="CC56" s="792" t="str">
        <f t="shared" si="37"/>
        <v/>
      </c>
      <c r="CD56" s="776" t="str">
        <f t="shared" si="38"/>
        <v/>
      </c>
      <c r="CE56" s="775" t="str">
        <f>IF($B56="","",IF(INDEX(BDHK2,MATCH($C56,DiemHKII!$C$4:$C$58,0),CE$59)&lt;&gt;"",INDEX(BDHK2,MATCH($C56,DiemHKII!$C$4:$C$58,0),CE$59),""))</f>
        <v/>
      </c>
      <c r="CF56" s="792" t="str">
        <f t="shared" si="39"/>
        <v/>
      </c>
      <c r="CG56" s="776" t="str">
        <f t="shared" si="40"/>
        <v/>
      </c>
      <c r="CH56" s="774"/>
      <c r="CI56" s="775" t="str">
        <f>IF($B56="","",IF(INDEX(BDHK2,MATCH($C56,DiemHKII!$C$4:$C$58,0),CI$59)&lt;&gt;"",INDEX(BDHK2,MATCH($C56,DiemHKII!$C$4:$C$58,0),CI$59),""))</f>
        <v/>
      </c>
      <c r="CJ56" s="792" t="str">
        <f t="shared" si="41"/>
        <v/>
      </c>
      <c r="CK56" s="776" t="str">
        <f>IF($B56="","",INDEX(NXetHKI!$B$3:$CL$57,MATCH(NXchung!$C56,NXetHKI!$C$3:$C$57,0),NXchung!CK$59))</f>
        <v/>
      </c>
      <c r="CL56" s="775" t="str">
        <f>IF($B56="","",IF(INDEX(BDHK2,MATCH($C56,DiemHKII!$C$4:$C$58,0),CL$59)&lt;&gt;"",INDEX(BDHK2,MATCH($C56,DiemHKII!$C$4:$C$58,0),CL$59),""))</f>
        <v/>
      </c>
      <c r="CM56" s="792" t="str">
        <f t="shared" si="42"/>
        <v/>
      </c>
      <c r="CN56" s="776" t="str">
        <f t="shared" si="43"/>
        <v/>
      </c>
      <c r="CO56" s="775" t="str">
        <f>IF($B56="","",IF(INDEX(BDHK2,MATCH($C56,DiemHKII!$C$4:$C$58,0),CO$59)&lt;&gt;"",INDEX(BDHK2,MATCH($C56,DiemHKII!$C$4:$C$58,0),CO$59),""))</f>
        <v/>
      </c>
      <c r="CP56" s="792" t="str">
        <f t="shared" si="44"/>
        <v/>
      </c>
      <c r="CQ56" s="776" t="str">
        <f t="shared" si="45"/>
        <v/>
      </c>
      <c r="CR56" s="774"/>
      <c r="CS56" s="775" t="str">
        <f>IF($B56="","",IF(INDEX(BDHK2,MATCH($C56,DiemHKII!$C$4:$C$58,0),CS$59)&lt;&gt;"",INDEX(BDHK2,MATCH($C56,DiemHKII!$C$4:$C$58,0),CS$59),""))</f>
        <v/>
      </c>
      <c r="CT56" s="792" t="str">
        <f t="shared" si="46"/>
        <v/>
      </c>
      <c r="CU56" s="776" t="str">
        <f>IF($B56="","",INDEX(NXetHKI!$B$3:$CL$57,MATCH(NXchung!$C56,NXetHKI!$C$3:$C$57,0),NXchung!CU$59))</f>
        <v/>
      </c>
      <c r="CV56" s="775" t="str">
        <f>IF($B56="","",IF(INDEX(BDHK2,MATCH($C56,DiemHKII!$C$4:$C$58,0),CV$59)&lt;&gt;"",INDEX(BDHK2,MATCH($C56,DiemHKII!$C$4:$C$58,0),CV$59),""))</f>
        <v/>
      </c>
      <c r="CW56" s="792" t="str">
        <f t="shared" si="47"/>
        <v/>
      </c>
      <c r="CX56" s="776" t="str">
        <f t="shared" si="48"/>
        <v/>
      </c>
      <c r="CY56" s="775" t="str">
        <f>IF($B56="","",IF(INDEX(BDHK2,MATCH($C56,DiemHKII!$C$4:$C$58,0),CY$59)&lt;&gt;"",INDEX(BDHK2,MATCH($C56,DiemHKII!$C$4:$C$58,0),CY$59),""))</f>
        <v/>
      </c>
      <c r="CZ56" s="792" t="str">
        <f t="shared" si="49"/>
        <v/>
      </c>
      <c r="DA56" s="776" t="str">
        <f t="shared" si="50"/>
        <v/>
      </c>
      <c r="DB56" s="774"/>
      <c r="DC56" s="775" t="str">
        <f>IF($B56="","",IF(INDEX(BDHK2,MATCH($C56,DiemHKII!$C$4:$C$58,0),DC$59)&lt;&gt;"",INDEX(BDHK2,MATCH($C56,DiemHKII!$C$4:$C$58,0),DC$59),""))</f>
        <v/>
      </c>
      <c r="DD56" s="792" t="str">
        <f t="shared" si="51"/>
        <v/>
      </c>
      <c r="DE56" s="776" t="str">
        <f>IF($B56="","",INDEX(NXetHKI!$B$3:$CL$57,MATCH(NXchung!$C56,NXetHKI!$C$3:$C$57,0),NXchung!DE$59))</f>
        <v/>
      </c>
      <c r="DF56" s="775" t="str">
        <f>IF($B56="","",IF(INDEX(BDHK2,MATCH($C56,DiemHKII!$C$4:$C$58,0),DF$59)&lt;&gt;"",INDEX(BDHK2,MATCH($C56,DiemHKII!$C$4:$C$58,0),DF$59),""))</f>
        <v/>
      </c>
      <c r="DG56" s="792" t="str">
        <f t="shared" si="52"/>
        <v/>
      </c>
      <c r="DH56" s="776" t="str">
        <f t="shared" si="53"/>
        <v/>
      </c>
      <c r="DI56" s="775" t="str">
        <f>IF($B56="","",IF(INDEX(BDHK2,MATCH($C56,DiemHKII!$C$4:$C$58,0),DI$59)&lt;&gt;"",INDEX(BDHK2,MATCH($C56,DiemHKII!$C$4:$C$58,0),DI$59),""))</f>
        <v/>
      </c>
      <c r="DJ56" s="792" t="str">
        <f t="shared" si="54"/>
        <v/>
      </c>
      <c r="DK56" s="776" t="str">
        <f t="shared" si="55"/>
        <v/>
      </c>
      <c r="DL56" s="774"/>
      <c r="DM56" s="775" t="str">
        <f>IF($B56="","",IF(INDEX(BDHK2,MATCH($C56,DiemHKII!$C$4:$C$58,0),DM$59)&lt;&gt;"",INDEX(BDHK2,MATCH($C56,DiemHKII!$C$4:$C$58,0),DM$59),""))</f>
        <v/>
      </c>
      <c r="DN56" s="792" t="str">
        <f t="shared" si="56"/>
        <v/>
      </c>
      <c r="DO56" s="776" t="str">
        <f>IF($B56="","",INDEX(NXetHKI!$B$3:$CL$57,MATCH(NXchung!$C56,NXetHKI!$C$3:$C$57,0),NXchung!DO$59))</f>
        <v/>
      </c>
      <c r="DP56" s="775" t="str">
        <f>IF($B56="","",IF(INDEX(BDHK2,MATCH($C56,DiemHKII!$C$4:$C$58,0),DP$59)&lt;&gt;"",INDEX(BDHK2,MATCH($C56,DiemHKII!$C$4:$C$58,0),DP$59),""))</f>
        <v/>
      </c>
      <c r="DQ56" s="792" t="str">
        <f t="shared" si="57"/>
        <v/>
      </c>
      <c r="DR56" s="776" t="str">
        <f t="shared" si="58"/>
        <v/>
      </c>
      <c r="DS56" s="775" t="str">
        <f>IF($B56="","",IF(INDEX(BDHK2,MATCH($C56,DiemHKII!$C$4:$C$58,0),DS$59)&lt;&gt;"",INDEX(BDHK2,MATCH($C56,DiemHKII!$C$4:$C$58,0),DS$59),""))</f>
        <v/>
      </c>
      <c r="DT56" s="792" t="str">
        <f t="shared" si="59"/>
        <v/>
      </c>
      <c r="DU56" s="776" t="str">
        <f t="shared" si="60"/>
        <v/>
      </c>
      <c r="DV56" s="774"/>
      <c r="DW56" s="775" t="str">
        <f>IF($B56="","",IF(INDEX(BDHK2,MATCH($C56,DiemHKII!$C$4:$C$58,0),DW$59)&lt;&gt;"",INDEX(BDHK2,MATCH($C56,DiemHKII!$C$4:$C$58,0),DW$59),""))</f>
        <v/>
      </c>
      <c r="DX56" s="792" t="str">
        <f t="shared" si="61"/>
        <v/>
      </c>
      <c r="DY56" s="776" t="str">
        <f>IF($B56="","",INDEX(NXetHKI!$B$3:$CL$57,MATCH(NXchung!$C56,NXetHKI!$C$3:$C$57,0),NXchung!DY$59))</f>
        <v/>
      </c>
      <c r="DZ56" s="775" t="str">
        <f>IF($B56="","",IF(INDEX(BDHK2,MATCH($C56,DiemHKII!$C$4:$C$58,0),DZ$59)&lt;&gt;"",INDEX(BDHK2,MATCH($C56,DiemHKII!$C$4:$C$58,0),DZ$59),""))</f>
        <v/>
      </c>
      <c r="EA56" s="792" t="str">
        <f t="shared" si="62"/>
        <v/>
      </c>
      <c r="EB56" s="776" t="str">
        <f t="shared" si="63"/>
        <v/>
      </c>
      <c r="EC56" s="775" t="str">
        <f>IF($B56="","",IF(INDEX(BDHK2,MATCH($C56,DiemHKII!$C$4:$C$58,0),EC$59)&lt;&gt;"",INDEX(BDHK2,MATCH($C56,DiemHKII!$C$4:$C$58,0),EC$59),""))</f>
        <v/>
      </c>
      <c r="ED56" s="792" t="str">
        <f t="shared" si="64"/>
        <v/>
      </c>
      <c r="EE56" s="776" t="str">
        <f t="shared" si="65"/>
        <v/>
      </c>
      <c r="EF56" s="774"/>
      <c r="EG56" s="775" t="str">
        <f>IF($B56="","",IF(INDEX(BDHK2,MATCH($C56,DiemHKII!$C$4:$C$58,0),EG$59)&lt;&gt;"",INDEX(BDHK2,MATCH($C56,DiemHKII!$C$4:$C$58,0),EG$59),""))</f>
        <v/>
      </c>
      <c r="EH56" s="792" t="str">
        <f t="shared" si="66"/>
        <v/>
      </c>
      <c r="EI56" s="776" t="str">
        <f>IF($B56="","",INDEX(NXetHKI!$B$3:$CL$57,MATCH(NXchung!$C56,NXetHKI!$C$3:$C$57,0),NXchung!EI$59))</f>
        <v/>
      </c>
      <c r="EJ56" s="775" t="str">
        <f>IF($B56="","",IF(INDEX(BDHK2,MATCH($C56,DiemHKII!$C$4:$C$58,0),EJ$59)&lt;&gt;"",INDEX(BDHK2,MATCH($C56,DiemHKII!$C$4:$C$58,0),EJ$59),""))</f>
        <v/>
      </c>
      <c r="EK56" s="792" t="str">
        <f t="shared" si="67"/>
        <v/>
      </c>
      <c r="EL56" s="776" t="str">
        <f t="shared" si="68"/>
        <v/>
      </c>
      <c r="EM56" s="775" t="str">
        <f>IF($B56="","",IF(INDEX(BDHK2,MATCH($C56,DiemHKII!$C$4:$C$58,0),EM$59)&lt;&gt;"",INDEX(BDHK2,MATCH($C56,DiemHKII!$C$4:$C$58,0),EM$59),""))</f>
        <v/>
      </c>
      <c r="EN56" s="792" t="str">
        <f t="shared" si="69"/>
        <v/>
      </c>
      <c r="EO56" s="776" t="str">
        <f t="shared" si="70"/>
        <v/>
      </c>
      <c r="EP56" s="774"/>
      <c r="ER56" s="816">
        <v>3</v>
      </c>
      <c r="ES56" s="816">
        <v>6</v>
      </c>
    </row>
    <row r="57" spans="2:149" ht="15" customHeight="1">
      <c r="B57" s="777" t="str">
        <f>IF(B56&lt;MAX(DiemHKII!$B$4:$B$58),B56+1,"")</f>
        <v/>
      </c>
      <c r="C57" s="777" t="str">
        <f t="shared" si="0"/>
        <v/>
      </c>
      <c r="D57" s="778" t="str">
        <f>IF($B57&lt;&gt;"",PROPER(INDEX(DiemHKII!$B$4:$K$58,MATCH($B57,DiemHKII!$B$4:$B$58,0),4)),"")</f>
        <v/>
      </c>
      <c r="E57" s="779" t="str">
        <f>IF($B57&lt;&gt;"",PROPER(INDEX(DiemHKII!$B$4:$K$58,MATCH($B57,DiemHKII!$B$4:$B$58,0),5)),"")</f>
        <v/>
      </c>
      <c r="F57" s="780" t="str">
        <f>IF($B57&lt;&gt;"",PROPER(INDEX(DiemHKII!$B$4:$K$58,MATCH($B57,DiemHKII!$B$4:$B$58,0),6)),"")</f>
        <v/>
      </c>
      <c r="G57" s="781" t="str">
        <f>IF($B57="","",IF(INDEX(BDHK2,MATCH($C57,DiemHKII!$C$4:$C$58,0),G$59)&lt;&gt;"",INDEX(BDHK2,MATCH($C57,DiemHKII!$C$4:$C$58,0),G$59),""))</f>
        <v/>
      </c>
      <c r="H57" s="793" t="str">
        <f t="shared" si="1"/>
        <v/>
      </c>
      <c r="I57" s="782" t="str">
        <f>IF($B57="","",INDEX(NXetHKI!$B$3:$CL$57,MATCH(NXchung!$C57,NXetHKI!$C$3:$C$57,0),NXchung!I$59))</f>
        <v/>
      </c>
      <c r="J57" s="781" t="str">
        <f>IF($B57="","",IF(INDEX(BDHK2,MATCH($C57,DiemHKII!$C$4:$C$58,0),J$59)&lt;&gt;"",INDEX(BDHK2,MATCH($C57,DiemHKII!$C$4:$C$58,0),J$59),""))</f>
        <v/>
      </c>
      <c r="K57" s="793" t="str">
        <f t="shared" si="2"/>
        <v/>
      </c>
      <c r="L57" s="782" t="str">
        <f>IF(K57="","",VLOOKUP(K57,$G$61:$O$75,$ER57,0))</f>
        <v/>
      </c>
      <c r="M57" s="781" t="str">
        <f>IF($B57="","",IF(INDEX(BDHK2,MATCH($C57,DiemHKII!$C$4:$C$58,0),M$59)&lt;&gt;"",INDEX(BDHK2,MATCH($C57,DiemHKII!$C$4:$C$58,0),M$59),""))</f>
        <v/>
      </c>
      <c r="N57" s="793" t="str">
        <f t="shared" si="4"/>
        <v/>
      </c>
      <c r="O57" s="782" t="str">
        <f t="shared" si="5"/>
        <v/>
      </c>
      <c r="P57" s="780"/>
      <c r="Q57" s="781" t="str">
        <f>IF($B57="","",IF(INDEX(BDHK2,MATCH($C57,DiemHKII!$C$4:$C$58,0),Q$59)&lt;&gt;"",INDEX(BDHK2,MATCH($C57,DiemHKII!$C$4:$C$58,0),Q$59),""))</f>
        <v/>
      </c>
      <c r="R57" s="793" t="str">
        <f t="shared" si="6"/>
        <v/>
      </c>
      <c r="S57" s="782" t="str">
        <f>IF($B57="","",INDEX(NXetHKI!$B$3:$CL$57,MATCH(NXchung!$C57,NXetHKI!$C$3:$C$57,0),NXchung!S$59))</f>
        <v/>
      </c>
      <c r="T57" s="781" t="str">
        <f>IF($B57="","",IF(INDEX(BDHK2,MATCH($C57,DiemHKII!$C$4:$C$58,0),T$59)&lt;&gt;"",INDEX(BDHK2,MATCH($C57,DiemHKII!$C$4:$C$58,0),T$59),""))</f>
        <v/>
      </c>
      <c r="U57" s="793" t="str">
        <f t="shared" si="7"/>
        <v/>
      </c>
      <c r="V57" s="782" t="str">
        <f>IF(U57="","",VLOOKUP(U57,$Q$61:$Y$75,$ER57,0))</f>
        <v/>
      </c>
      <c r="W57" s="781" t="str">
        <f>IF($B57="","",IF(INDEX(BDHK2,MATCH($C57,DiemHKII!$C$4:$C$58,0),W$59)&lt;&gt;"",INDEX(BDHK2,MATCH($C57,DiemHKII!$C$4:$C$58,0),W$59),""))</f>
        <v/>
      </c>
      <c r="X57" s="793" t="str">
        <f t="shared" si="9"/>
        <v/>
      </c>
      <c r="Y57" s="782" t="str">
        <f t="shared" si="10"/>
        <v/>
      </c>
      <c r="Z57" s="780"/>
      <c r="AA57" s="781" t="str">
        <f>IF($B57="","",IF(INDEX(BDHK2,MATCH($C57,DiemHKII!$C$4:$C$58,0),AA$59)&lt;&gt;"",INDEX(BDHK2,MATCH($C57,DiemHKII!$C$4:$C$58,0),AA$59),""))</f>
        <v/>
      </c>
      <c r="AB57" s="793" t="str">
        <f t="shared" si="11"/>
        <v/>
      </c>
      <c r="AC57" s="782" t="str">
        <f>IF($B57="","",INDEX(NXetHKI!$B$3:$CL$57,MATCH(NXchung!$C57,NXetHKI!$C$3:$C$57,0),NXchung!AC$59))</f>
        <v/>
      </c>
      <c r="AD57" s="781" t="str">
        <f>IF($B57="","",IF(INDEX(BDHK2,MATCH($C57,DiemHKII!$C$4:$C$58,0),AD$59)&lt;&gt;"",INDEX(BDHK2,MATCH($C57,DiemHKII!$C$4:$C$58,0),AD$59),""))</f>
        <v/>
      </c>
      <c r="AE57" s="793" t="str">
        <f t="shared" si="12"/>
        <v/>
      </c>
      <c r="AF57" s="782" t="str">
        <f>IF(AE57="","",VLOOKUP(AE57,$AA$61:$AI$75,$ER57,0))</f>
        <v/>
      </c>
      <c r="AG57" s="781" t="str">
        <f>IF($B57="","",IF(INDEX(BDHK2,MATCH($C57,DiemHKII!$C$4:$C$58,0),AG$59)&lt;&gt;"",INDEX(BDHK2,MATCH($C57,DiemHKII!$C$4:$C$58,0),AG$59),""))</f>
        <v/>
      </c>
      <c r="AH57" s="793" t="str">
        <f t="shared" si="14"/>
        <v/>
      </c>
      <c r="AI57" s="782" t="str">
        <f t="shared" si="15"/>
        <v/>
      </c>
      <c r="AJ57" s="780"/>
      <c r="AK57" s="781" t="str">
        <f>IF($B57="","",IF(INDEX(BDHK2,MATCH($C57,DiemHKII!$C$4:$C$58,0),AK$59)&lt;&gt;"",INDEX(BDHK2,MATCH($C57,DiemHKII!$C$4:$C$58,0),AK$59),""))</f>
        <v/>
      </c>
      <c r="AL57" s="793" t="str">
        <f t="shared" si="16"/>
        <v/>
      </c>
      <c r="AM57" s="782" t="str">
        <f>IF($B57="","",INDEX(NXetHKI!$B$3:$CL$57,MATCH(NXchung!$C57,NXetHKI!$C$3:$C$57,0),NXchung!AM$59))</f>
        <v/>
      </c>
      <c r="AN57" s="781" t="str">
        <f>IF($B57="","",IF(INDEX(BDHK2,MATCH($C57,DiemHKII!$C$4:$C$58,0),AN$59)&lt;&gt;"",INDEX(BDHK2,MATCH($C57,DiemHKII!$C$4:$C$58,0),AN$59),""))</f>
        <v/>
      </c>
      <c r="AO57" s="793" t="str">
        <f t="shared" si="17"/>
        <v/>
      </c>
      <c r="AP57" s="782" t="str">
        <f>IF(AO57="","",VLOOKUP(AO57,$AK$61:$AS$75,$ER57,0))</f>
        <v/>
      </c>
      <c r="AQ57" s="781" t="str">
        <f>IF($B57="","",IF(INDEX(BDHK2,MATCH($C57,DiemHKII!$C$4:$C$58,0),AQ$59)&lt;&gt;"",INDEX(BDHK2,MATCH($C57,DiemHKII!$C$4:$C$58,0),AQ$59),""))</f>
        <v/>
      </c>
      <c r="AR57" s="793" t="str">
        <f t="shared" si="19"/>
        <v/>
      </c>
      <c r="AS57" s="782" t="str">
        <f t="shared" si="20"/>
        <v/>
      </c>
      <c r="AT57" s="780"/>
      <c r="AU57" s="781" t="str">
        <f>IF($B57="","",IF(INDEX(BDHK2,MATCH($C57,DiemHKII!$C$4:$C$58,0),AU$59)&lt;&gt;"",INDEX(BDHK2,MATCH($C57,DiemHKII!$C$4:$C$58,0),AU$59),""))</f>
        <v/>
      </c>
      <c r="AV57" s="793" t="str">
        <f t="shared" si="21"/>
        <v/>
      </c>
      <c r="AW57" s="782" t="str">
        <f>IF($B57="","",INDEX(NXetHKI!$B$3:$CL$57,MATCH(NXchung!$C57,NXetHKI!$C$3:$C$57,0),NXchung!AW$59))</f>
        <v/>
      </c>
      <c r="AX57" s="781" t="str">
        <f>IF($B57="","",IF(INDEX(BDHK2,MATCH($C57,DiemHKII!$C$4:$C$58,0),AX$59)&lt;&gt;"",INDEX(BDHK2,MATCH($C57,DiemHKII!$C$4:$C$58,0),AX$59),""))</f>
        <v/>
      </c>
      <c r="AY57" s="793" t="str">
        <f t="shared" si="22"/>
        <v/>
      </c>
      <c r="AZ57" s="782" t="str">
        <f t="shared" si="23"/>
        <v/>
      </c>
      <c r="BA57" s="781" t="str">
        <f>IF($B57="","",IF(INDEX(BDHK2,MATCH($C57,DiemHKII!$C$4:$C$58,0),BA$59)&lt;&gt;"",INDEX(BDHK2,MATCH($C57,DiemHKII!$C$4:$C$58,0),BA$59),""))</f>
        <v/>
      </c>
      <c r="BB57" s="793" t="str">
        <f t="shared" si="24"/>
        <v/>
      </c>
      <c r="BC57" s="782" t="str">
        <f t="shared" si="25"/>
        <v/>
      </c>
      <c r="BD57" s="780"/>
      <c r="BE57" s="781" t="str">
        <f>IF($B57="","",IF(INDEX(BDHK2,MATCH($C57,DiemHKII!$C$4:$C$58,0),BE$59)&lt;&gt;"",INDEX(BDHK2,MATCH($C57,DiemHKII!$C$4:$C$58,0),BE$59),""))</f>
        <v/>
      </c>
      <c r="BF57" s="793" t="str">
        <f t="shared" si="26"/>
        <v/>
      </c>
      <c r="BG57" s="782" t="str">
        <f>IF($B57="","",INDEX(NXetHKI!$B$3:$CL$57,MATCH(NXchung!$C57,NXetHKI!$C$3:$C$57,0),NXchung!BG$59))</f>
        <v/>
      </c>
      <c r="BH57" s="781" t="str">
        <f>IF($B57="","",IF(INDEX(BDHK2,MATCH($C57,DiemHKII!$C$4:$C$58,0),BH$59)&lt;&gt;"",INDEX(BDHK2,MATCH($C57,DiemHKII!$C$4:$C$58,0),BH$59),""))</f>
        <v/>
      </c>
      <c r="BI57" s="793" t="str">
        <f t="shared" si="27"/>
        <v/>
      </c>
      <c r="BJ57" s="782" t="str">
        <f t="shared" si="28"/>
        <v/>
      </c>
      <c r="BK57" s="781" t="str">
        <f>IF($B57="","",IF(INDEX(BDHK2,MATCH($C57,DiemHKII!$C$4:$C$58,0),BK$59)&lt;&gt;"",INDEX(BDHK2,MATCH($C57,DiemHKII!$C$4:$C$58,0),BK$59),""))</f>
        <v/>
      </c>
      <c r="BL57" s="793" t="str">
        <f t="shared" si="29"/>
        <v/>
      </c>
      <c r="BM57" s="782" t="str">
        <f t="shared" si="30"/>
        <v/>
      </c>
      <c r="BN57" s="780"/>
      <c r="BO57" s="781" t="str">
        <f>IF($B57="","",IF(INDEX(BDHK2,MATCH($C57,DiemHKII!$C$4:$C$58,0),BO$59)&lt;&gt;"",INDEX(BDHK2,MATCH($C57,DiemHKII!$C$4:$C$58,0),BO$59),""))</f>
        <v/>
      </c>
      <c r="BP57" s="793" t="str">
        <f t="shared" si="31"/>
        <v/>
      </c>
      <c r="BQ57" s="782" t="str">
        <f>IF($B57="","",INDEX(NXetHKI!$B$3:$CL$57,MATCH(NXchung!$C57,NXetHKI!$C$3:$C$57,0),NXchung!BQ$59))</f>
        <v/>
      </c>
      <c r="BR57" s="781" t="str">
        <f>IF($B57="","",IF(INDEX(BDHK2,MATCH($C57,DiemHKII!$C$4:$C$58,0),BR$59)&lt;&gt;"",INDEX(BDHK2,MATCH($C57,DiemHKII!$C$4:$C$58,0),BR$59),""))</f>
        <v/>
      </c>
      <c r="BS57" s="793" t="str">
        <f t="shared" si="32"/>
        <v/>
      </c>
      <c r="BT57" s="782" t="str">
        <f t="shared" si="33"/>
        <v/>
      </c>
      <c r="BU57" s="781" t="str">
        <f>IF($B57="","",IF(INDEX(BDHK2,MATCH($C57,DiemHKII!$C$4:$C$58,0),BU$59)&lt;&gt;"",INDEX(BDHK2,MATCH($C57,DiemHKII!$C$4:$C$58,0),BU$59),""))</f>
        <v/>
      </c>
      <c r="BV57" s="793" t="str">
        <f t="shared" si="34"/>
        <v/>
      </c>
      <c r="BW57" s="782" t="str">
        <f t="shared" si="35"/>
        <v/>
      </c>
      <c r="BX57" s="780"/>
      <c r="BY57" s="781" t="str">
        <f>IF($B57="","",IF(INDEX(BDHK2,MATCH($C57,DiemHKII!$C$4:$C$58,0),BY$59)&lt;&gt;"",INDEX(BDHK2,MATCH($C57,DiemHKII!$C$4:$C$58,0),BY$59),""))</f>
        <v/>
      </c>
      <c r="BZ57" s="793" t="str">
        <f t="shared" si="36"/>
        <v/>
      </c>
      <c r="CA57" s="782" t="str">
        <f>IF($B57="","",INDEX(NXetHKI!$B$3:$CL$57,MATCH(NXchung!$C57,NXetHKI!$C$3:$C$57,0),NXchung!CA$59))</f>
        <v/>
      </c>
      <c r="CB57" s="781" t="str">
        <f>IF($B57="","",IF(INDEX(BDHK2,MATCH($C57,DiemHKII!$C$4:$C$58,0),CB$59)&lt;&gt;"",INDEX(BDHK2,MATCH($C57,DiemHKII!$C$4:$C$58,0),CB$59),""))</f>
        <v/>
      </c>
      <c r="CC57" s="793" t="str">
        <f t="shared" si="37"/>
        <v/>
      </c>
      <c r="CD57" s="782" t="str">
        <f t="shared" si="38"/>
        <v/>
      </c>
      <c r="CE57" s="781" t="str">
        <f>IF($B57="","",IF(INDEX(BDHK2,MATCH($C57,DiemHKII!$C$4:$C$58,0),CE$59)&lt;&gt;"",INDEX(BDHK2,MATCH($C57,DiemHKII!$C$4:$C$58,0),CE$59),""))</f>
        <v/>
      </c>
      <c r="CF57" s="793" t="str">
        <f t="shared" si="39"/>
        <v/>
      </c>
      <c r="CG57" s="782" t="str">
        <f t="shared" si="40"/>
        <v/>
      </c>
      <c r="CH57" s="780"/>
      <c r="CI57" s="781" t="str">
        <f>IF($B57="","",IF(INDEX(BDHK2,MATCH($C57,DiemHKII!$C$4:$C$58,0),CI$59)&lt;&gt;"",INDEX(BDHK2,MATCH($C57,DiemHKII!$C$4:$C$58,0),CI$59),""))</f>
        <v/>
      </c>
      <c r="CJ57" s="793" t="str">
        <f t="shared" si="41"/>
        <v/>
      </c>
      <c r="CK57" s="782" t="str">
        <f>IF($B57="","",INDEX(NXetHKI!$B$3:$CL$57,MATCH(NXchung!$C57,NXetHKI!$C$3:$C$57,0),NXchung!CK$59))</f>
        <v/>
      </c>
      <c r="CL57" s="781" t="str">
        <f>IF($B57="","",IF(INDEX(BDHK2,MATCH($C57,DiemHKII!$C$4:$C$58,0),CL$59)&lt;&gt;"",INDEX(BDHK2,MATCH($C57,DiemHKII!$C$4:$C$58,0),CL$59),""))</f>
        <v/>
      </c>
      <c r="CM57" s="793" t="str">
        <f t="shared" si="42"/>
        <v/>
      </c>
      <c r="CN57" s="782" t="str">
        <f t="shared" si="43"/>
        <v/>
      </c>
      <c r="CO57" s="781" t="str">
        <f>IF($B57="","",IF(INDEX(BDHK2,MATCH($C57,DiemHKII!$C$4:$C$58,0),CO$59)&lt;&gt;"",INDEX(BDHK2,MATCH($C57,DiemHKII!$C$4:$C$58,0),CO$59),""))</f>
        <v/>
      </c>
      <c r="CP57" s="793" t="str">
        <f t="shared" si="44"/>
        <v/>
      </c>
      <c r="CQ57" s="782" t="str">
        <f t="shared" si="45"/>
        <v/>
      </c>
      <c r="CR57" s="780"/>
      <c r="CS57" s="781" t="str">
        <f>IF($B57="","",IF(INDEX(BDHK2,MATCH($C57,DiemHKII!$C$4:$C$58,0),CS$59)&lt;&gt;"",INDEX(BDHK2,MATCH($C57,DiemHKII!$C$4:$C$58,0),CS$59),""))</f>
        <v/>
      </c>
      <c r="CT57" s="793" t="str">
        <f t="shared" si="46"/>
        <v/>
      </c>
      <c r="CU57" s="782" t="str">
        <f>IF($B57="","",INDEX(NXetHKI!$B$3:$CL$57,MATCH(NXchung!$C57,NXetHKI!$C$3:$C$57,0),NXchung!CU$59))</f>
        <v/>
      </c>
      <c r="CV57" s="781" t="str">
        <f>IF($B57="","",IF(INDEX(BDHK2,MATCH($C57,DiemHKII!$C$4:$C$58,0),CV$59)&lt;&gt;"",INDEX(BDHK2,MATCH($C57,DiemHKII!$C$4:$C$58,0),CV$59),""))</f>
        <v/>
      </c>
      <c r="CW57" s="793" t="str">
        <f t="shared" si="47"/>
        <v/>
      </c>
      <c r="CX57" s="782" t="str">
        <f t="shared" si="48"/>
        <v/>
      </c>
      <c r="CY57" s="781" t="str">
        <f>IF($B57="","",IF(INDEX(BDHK2,MATCH($C57,DiemHKII!$C$4:$C$58,0),CY$59)&lt;&gt;"",INDEX(BDHK2,MATCH($C57,DiemHKII!$C$4:$C$58,0),CY$59),""))</f>
        <v/>
      </c>
      <c r="CZ57" s="793" t="str">
        <f t="shared" si="49"/>
        <v/>
      </c>
      <c r="DA57" s="782" t="str">
        <f t="shared" si="50"/>
        <v/>
      </c>
      <c r="DB57" s="780"/>
      <c r="DC57" s="781" t="str">
        <f>IF($B57="","",IF(INDEX(BDHK2,MATCH($C57,DiemHKII!$C$4:$C$58,0),DC$59)&lt;&gt;"",INDEX(BDHK2,MATCH($C57,DiemHKII!$C$4:$C$58,0),DC$59),""))</f>
        <v/>
      </c>
      <c r="DD57" s="793" t="str">
        <f t="shared" si="51"/>
        <v/>
      </c>
      <c r="DE57" s="782" t="str">
        <f>IF($B57="","",INDEX(NXetHKI!$B$3:$CL$57,MATCH(NXchung!$C57,NXetHKI!$C$3:$C$57,0),NXchung!DE$59))</f>
        <v/>
      </c>
      <c r="DF57" s="781" t="str">
        <f>IF($B57="","",IF(INDEX(BDHK2,MATCH($C57,DiemHKII!$C$4:$C$58,0),DF$59)&lt;&gt;"",INDEX(BDHK2,MATCH($C57,DiemHKII!$C$4:$C$58,0),DF$59),""))</f>
        <v/>
      </c>
      <c r="DG57" s="793" t="str">
        <f t="shared" si="52"/>
        <v/>
      </c>
      <c r="DH57" s="782" t="str">
        <f t="shared" si="53"/>
        <v/>
      </c>
      <c r="DI57" s="781" t="str">
        <f>IF($B57="","",IF(INDEX(BDHK2,MATCH($C57,DiemHKII!$C$4:$C$58,0),DI$59)&lt;&gt;"",INDEX(BDHK2,MATCH($C57,DiemHKII!$C$4:$C$58,0),DI$59),""))</f>
        <v/>
      </c>
      <c r="DJ57" s="793" t="str">
        <f t="shared" si="54"/>
        <v/>
      </c>
      <c r="DK57" s="782" t="str">
        <f>IF(DJ57="","",VLOOKUP(DJ57,$DC$61:$DK$75,$ES57,0))</f>
        <v/>
      </c>
      <c r="DL57" s="780"/>
      <c r="DM57" s="781" t="str">
        <f>IF($B57="","",IF(INDEX(BDHK2,MATCH($C57,DiemHKII!$C$4:$C$58,0),DM$59)&lt;&gt;"",INDEX(BDHK2,MATCH($C57,DiemHKII!$C$4:$C$58,0),DM$59),""))</f>
        <v/>
      </c>
      <c r="DN57" s="793" t="str">
        <f t="shared" si="56"/>
        <v/>
      </c>
      <c r="DO57" s="782" t="str">
        <f>IF($B57="","",INDEX(NXetHKI!$B$3:$CL$57,MATCH(NXchung!$C57,NXetHKI!$C$3:$C$57,0),NXchung!DO$59))</f>
        <v/>
      </c>
      <c r="DP57" s="781" t="str">
        <f>IF($B57="","",IF(INDEX(BDHK2,MATCH($C57,DiemHKII!$C$4:$C$58,0),DP$59)&lt;&gt;"",INDEX(BDHK2,MATCH($C57,DiemHKII!$C$4:$C$58,0),DP$59),""))</f>
        <v/>
      </c>
      <c r="DQ57" s="793" t="str">
        <f t="shared" si="57"/>
        <v/>
      </c>
      <c r="DR57" s="782" t="str">
        <f t="shared" si="58"/>
        <v/>
      </c>
      <c r="DS57" s="781" t="str">
        <f>IF($B57="","",IF(INDEX(BDHK2,MATCH($C57,DiemHKII!$C$4:$C$58,0),DS$59)&lt;&gt;"",INDEX(BDHK2,MATCH($C57,DiemHKII!$C$4:$C$58,0),DS$59),""))</f>
        <v/>
      </c>
      <c r="DT57" s="793" t="str">
        <f t="shared" si="59"/>
        <v/>
      </c>
      <c r="DU57" s="782" t="str">
        <f t="shared" si="60"/>
        <v/>
      </c>
      <c r="DV57" s="780"/>
      <c r="DW57" s="781" t="str">
        <f>IF($B57="","",IF(INDEX(BDHK2,MATCH($C57,DiemHKII!$C$4:$C$58,0),DW$59)&lt;&gt;"",INDEX(BDHK2,MATCH($C57,DiemHKII!$C$4:$C$58,0),DW$59),""))</f>
        <v/>
      </c>
      <c r="DX57" s="793" t="str">
        <f t="shared" si="61"/>
        <v/>
      </c>
      <c r="DY57" s="782" t="str">
        <f>IF($B57="","",INDEX(NXetHKI!$B$3:$CL$57,MATCH(NXchung!$C57,NXetHKI!$C$3:$C$57,0),NXchung!DY$59))</f>
        <v/>
      </c>
      <c r="DZ57" s="781" t="str">
        <f>IF($B57="","",IF(INDEX(BDHK2,MATCH($C57,DiemHKII!$C$4:$C$58,0),DZ$59)&lt;&gt;"",INDEX(BDHK2,MATCH($C57,DiemHKII!$C$4:$C$58,0),DZ$59),""))</f>
        <v/>
      </c>
      <c r="EA57" s="793" t="str">
        <f t="shared" si="62"/>
        <v/>
      </c>
      <c r="EB57" s="782" t="str">
        <f t="shared" si="63"/>
        <v/>
      </c>
      <c r="EC57" s="781" t="str">
        <f>IF($B57="","",IF(INDEX(BDHK2,MATCH($C57,DiemHKII!$C$4:$C$58,0),EC$59)&lt;&gt;"",INDEX(BDHK2,MATCH($C57,DiemHKII!$C$4:$C$58,0),EC$59),""))</f>
        <v/>
      </c>
      <c r="ED57" s="793" t="str">
        <f t="shared" si="64"/>
        <v/>
      </c>
      <c r="EE57" s="782" t="str">
        <f t="shared" si="65"/>
        <v/>
      </c>
      <c r="EF57" s="780"/>
      <c r="EG57" s="781" t="str">
        <f>IF($B57="","",IF(INDEX(BDHK2,MATCH($C57,DiemHKII!$C$4:$C$58,0),EG$59)&lt;&gt;"",INDEX(BDHK2,MATCH($C57,DiemHKII!$C$4:$C$58,0),EG$59),""))</f>
        <v/>
      </c>
      <c r="EH57" s="793" t="str">
        <f t="shared" si="66"/>
        <v/>
      </c>
      <c r="EI57" s="782" t="str">
        <f>IF($B57="","",INDEX(NXetHKI!$B$3:$CL$57,MATCH(NXchung!$C57,NXetHKI!$C$3:$C$57,0),NXchung!EI$59))</f>
        <v/>
      </c>
      <c r="EJ57" s="781" t="str">
        <f>IF($B57="","",IF(INDEX(BDHK2,MATCH($C57,DiemHKII!$C$4:$C$58,0),EJ$59)&lt;&gt;"",INDEX(BDHK2,MATCH($C57,DiemHKII!$C$4:$C$58,0),EJ$59),""))</f>
        <v/>
      </c>
      <c r="EK57" s="793" t="str">
        <f t="shared" si="67"/>
        <v/>
      </c>
      <c r="EL57" s="782" t="str">
        <f t="shared" si="68"/>
        <v/>
      </c>
      <c r="EM57" s="781" t="str">
        <f>IF($B57="","",IF(INDEX(BDHK2,MATCH($C57,DiemHKII!$C$4:$C$58,0),EM$59)&lt;&gt;"",INDEX(BDHK2,MATCH($C57,DiemHKII!$C$4:$C$58,0),EM$59),""))</f>
        <v/>
      </c>
      <c r="EN57" s="793" t="str">
        <f t="shared" si="69"/>
        <v/>
      </c>
      <c r="EO57" s="782" t="str">
        <f>IF(EN57="","",VLOOKUP(EN57,$EG$61:$EO$75,$ES57,0))</f>
        <v/>
      </c>
      <c r="EP57" s="780"/>
      <c r="ER57" s="816">
        <v>6</v>
      </c>
      <c r="ES57" s="816">
        <v>9</v>
      </c>
    </row>
    <row r="59" spans="2:149" hidden="1">
      <c r="B59" s="799"/>
      <c r="C59" s="799"/>
      <c r="D59" s="799"/>
      <c r="E59" s="799"/>
      <c r="F59" s="799"/>
      <c r="G59" s="799">
        <v>17</v>
      </c>
      <c r="H59" s="799"/>
      <c r="I59" s="799">
        <v>8</v>
      </c>
      <c r="J59" s="799">
        <v>18</v>
      </c>
      <c r="K59" s="799"/>
      <c r="L59" s="799"/>
      <c r="M59" s="799">
        <v>19</v>
      </c>
      <c r="N59" s="799"/>
      <c r="O59" s="799"/>
      <c r="P59" s="799"/>
      <c r="Q59" s="799">
        <v>26</v>
      </c>
      <c r="R59" s="799"/>
      <c r="S59" s="799">
        <v>14</v>
      </c>
      <c r="T59" s="799">
        <v>27</v>
      </c>
      <c r="U59" s="799"/>
      <c r="V59" s="799"/>
      <c r="W59" s="799">
        <v>28</v>
      </c>
      <c r="X59" s="799"/>
      <c r="Y59" s="799"/>
      <c r="Z59" s="799"/>
      <c r="AA59" s="799">
        <v>35</v>
      </c>
      <c r="AB59" s="799"/>
      <c r="AC59" s="799">
        <v>20</v>
      </c>
      <c r="AD59" s="799">
        <v>36</v>
      </c>
      <c r="AE59" s="799"/>
      <c r="AF59" s="799"/>
      <c r="AG59" s="799">
        <v>37</v>
      </c>
      <c r="AH59" s="799"/>
      <c r="AI59" s="799"/>
      <c r="AJ59" s="799"/>
      <c r="AK59" s="799">
        <v>44</v>
      </c>
      <c r="AL59" s="799"/>
      <c r="AM59" s="799">
        <v>26</v>
      </c>
      <c r="AN59" s="799">
        <v>45</v>
      </c>
      <c r="AO59" s="799"/>
      <c r="AP59" s="799"/>
      <c r="AQ59" s="799">
        <v>46</v>
      </c>
      <c r="AR59" s="799"/>
      <c r="AS59" s="799"/>
      <c r="AT59" s="799"/>
      <c r="AU59" s="799">
        <v>53</v>
      </c>
      <c r="AV59" s="799"/>
      <c r="AW59" s="799">
        <v>32</v>
      </c>
      <c r="AX59" s="799">
        <v>54</v>
      </c>
      <c r="AY59" s="799"/>
      <c r="AZ59" s="799"/>
      <c r="BA59" s="799">
        <v>55</v>
      </c>
      <c r="BB59" s="799"/>
      <c r="BC59" s="799"/>
      <c r="BD59" s="799"/>
      <c r="BE59" s="799">
        <v>62</v>
      </c>
      <c r="BF59" s="799"/>
      <c r="BG59" s="799">
        <v>38</v>
      </c>
      <c r="BH59" s="799">
        <v>63</v>
      </c>
      <c r="BI59" s="799"/>
      <c r="BJ59" s="799"/>
      <c r="BK59" s="799">
        <v>64</v>
      </c>
      <c r="BL59" s="799"/>
      <c r="BM59" s="799"/>
      <c r="BN59" s="799"/>
      <c r="BO59" s="799">
        <v>71</v>
      </c>
      <c r="BP59" s="799"/>
      <c r="BQ59" s="799">
        <v>44</v>
      </c>
      <c r="BR59" s="799">
        <v>72</v>
      </c>
      <c r="BS59" s="799"/>
      <c r="BT59" s="799"/>
      <c r="BU59" s="799">
        <v>73</v>
      </c>
      <c r="BV59" s="799"/>
      <c r="BW59" s="799"/>
      <c r="BX59" s="799"/>
      <c r="BY59" s="799">
        <v>80</v>
      </c>
      <c r="BZ59" s="799"/>
      <c r="CA59" s="799">
        <v>50</v>
      </c>
      <c r="CB59" s="799">
        <v>81</v>
      </c>
      <c r="CC59" s="799"/>
      <c r="CD59" s="799"/>
      <c r="CE59" s="799">
        <v>82</v>
      </c>
      <c r="CF59" s="799"/>
      <c r="CG59" s="799"/>
      <c r="CH59" s="799"/>
      <c r="CI59" s="799">
        <v>89</v>
      </c>
      <c r="CJ59" s="799"/>
      <c r="CK59" s="799">
        <v>56</v>
      </c>
      <c r="CL59" s="799">
        <v>90</v>
      </c>
      <c r="CM59" s="799"/>
      <c r="CN59" s="799"/>
      <c r="CO59" s="799">
        <v>91</v>
      </c>
      <c r="CP59" s="799"/>
      <c r="CQ59" s="799"/>
      <c r="CR59" s="799"/>
      <c r="CS59" s="799">
        <v>98</v>
      </c>
      <c r="CT59" s="799"/>
      <c r="CU59" s="799">
        <v>62</v>
      </c>
      <c r="CV59" s="799">
        <v>99</v>
      </c>
      <c r="CW59" s="799"/>
      <c r="CX59" s="799"/>
      <c r="CY59" s="799">
        <v>100</v>
      </c>
      <c r="CZ59" s="799"/>
      <c r="DA59" s="799"/>
      <c r="DB59" s="799"/>
      <c r="DC59" s="799">
        <v>107</v>
      </c>
      <c r="DD59" s="799"/>
      <c r="DE59" s="799">
        <v>68</v>
      </c>
      <c r="DF59" s="799">
        <v>108</v>
      </c>
      <c r="DG59" s="799"/>
      <c r="DH59" s="799"/>
      <c r="DI59" s="799">
        <v>109</v>
      </c>
      <c r="DJ59" s="799"/>
      <c r="DK59" s="799"/>
      <c r="DL59" s="799"/>
      <c r="DM59" s="799">
        <v>116</v>
      </c>
      <c r="DN59" s="799"/>
      <c r="DO59" s="799">
        <v>74</v>
      </c>
      <c r="DP59" s="799">
        <v>117</v>
      </c>
      <c r="DQ59" s="799"/>
      <c r="DR59" s="799"/>
      <c r="DS59" s="799">
        <v>118</v>
      </c>
      <c r="DT59" s="799"/>
      <c r="DU59" s="799"/>
      <c r="DV59" s="799"/>
      <c r="DW59" s="799">
        <v>125</v>
      </c>
      <c r="DX59" s="799"/>
      <c r="DY59" s="799">
        <v>80</v>
      </c>
      <c r="DZ59" s="799">
        <v>126</v>
      </c>
      <c r="EA59" s="799"/>
      <c r="EB59" s="799"/>
      <c r="EC59" s="799">
        <v>127</v>
      </c>
      <c r="ED59" s="799"/>
      <c r="EE59" s="799"/>
      <c r="EF59" s="799"/>
      <c r="EG59" s="799">
        <v>134</v>
      </c>
      <c r="EH59" s="799"/>
      <c r="EI59" s="799">
        <v>86</v>
      </c>
      <c r="EJ59" s="799">
        <v>135</v>
      </c>
      <c r="EK59" s="799"/>
      <c r="EL59" s="799"/>
      <c r="EM59" s="799">
        <v>136</v>
      </c>
      <c r="EN59" s="799"/>
      <c r="EO59" s="799"/>
      <c r="EP59" s="799"/>
    </row>
    <row r="60" spans="2:149" ht="15.6" hidden="1">
      <c r="G60" s="785" t="s">
        <v>322</v>
      </c>
      <c r="H60" s="786" t="s">
        <v>301</v>
      </c>
      <c r="I60" s="786" t="s">
        <v>302</v>
      </c>
      <c r="J60" s="788"/>
      <c r="K60" s="785"/>
      <c r="L60" s="786" t="s">
        <v>303</v>
      </c>
      <c r="M60" s="785"/>
      <c r="N60" s="785"/>
      <c r="O60" s="786" t="s">
        <v>304</v>
      </c>
      <c r="Q60" s="785" t="s">
        <v>322</v>
      </c>
      <c r="R60" s="786" t="s">
        <v>301</v>
      </c>
      <c r="S60" s="786" t="s">
        <v>302</v>
      </c>
      <c r="T60" s="788"/>
      <c r="U60" s="785"/>
      <c r="V60" s="786" t="s">
        <v>303</v>
      </c>
      <c r="W60" s="785"/>
      <c r="X60" s="785"/>
      <c r="Y60" s="786" t="s">
        <v>304</v>
      </c>
      <c r="AA60" s="785" t="s">
        <v>322</v>
      </c>
      <c r="AB60" s="786" t="s">
        <v>301</v>
      </c>
      <c r="AC60" s="786" t="s">
        <v>302</v>
      </c>
      <c r="AD60" s="788"/>
      <c r="AE60" s="785"/>
      <c r="AF60" s="786" t="s">
        <v>303</v>
      </c>
      <c r="AG60" s="785"/>
      <c r="AH60" s="785"/>
      <c r="AI60" s="786" t="s">
        <v>304</v>
      </c>
      <c r="AK60" s="785" t="s">
        <v>322</v>
      </c>
      <c r="AL60" s="786" t="s">
        <v>301</v>
      </c>
      <c r="AM60" s="786" t="s">
        <v>302</v>
      </c>
      <c r="AN60" s="788"/>
      <c r="AO60" s="785"/>
      <c r="AP60" s="786" t="s">
        <v>303</v>
      </c>
      <c r="AQ60" s="785"/>
      <c r="AR60" s="785"/>
      <c r="AS60" s="786" t="s">
        <v>304</v>
      </c>
      <c r="AU60" s="785" t="s">
        <v>322</v>
      </c>
      <c r="AV60" s="786" t="s">
        <v>301</v>
      </c>
      <c r="AW60" s="786" t="s">
        <v>302</v>
      </c>
      <c r="AX60" s="788"/>
      <c r="AY60" s="785"/>
      <c r="AZ60" s="786" t="s">
        <v>303</v>
      </c>
      <c r="BA60" s="785"/>
      <c r="BB60" s="785"/>
      <c r="BC60" s="786" t="s">
        <v>304</v>
      </c>
      <c r="BE60" s="785" t="s">
        <v>322</v>
      </c>
      <c r="BF60" s="786" t="s">
        <v>301</v>
      </c>
      <c r="BG60" s="786" t="s">
        <v>302</v>
      </c>
      <c r="BH60" s="788"/>
      <c r="BI60" s="785"/>
      <c r="BJ60" s="786" t="s">
        <v>303</v>
      </c>
      <c r="BK60" s="785"/>
      <c r="BL60" s="785"/>
      <c r="BM60" s="786" t="s">
        <v>304</v>
      </c>
      <c r="BO60" s="785" t="s">
        <v>322</v>
      </c>
      <c r="BP60" s="786" t="s">
        <v>301</v>
      </c>
      <c r="BQ60" s="786" t="s">
        <v>302</v>
      </c>
      <c r="BR60" s="788"/>
      <c r="BS60" s="785"/>
      <c r="BT60" s="786" t="s">
        <v>303</v>
      </c>
      <c r="BU60" s="785"/>
      <c r="BV60" s="785"/>
      <c r="BW60" s="786" t="s">
        <v>304</v>
      </c>
      <c r="BY60" s="785" t="s">
        <v>322</v>
      </c>
      <c r="BZ60" s="786" t="s">
        <v>301</v>
      </c>
      <c r="CA60" s="786" t="s">
        <v>302</v>
      </c>
      <c r="CB60" s="788"/>
      <c r="CC60" s="785"/>
      <c r="CD60" s="786" t="s">
        <v>303</v>
      </c>
      <c r="CE60" s="785"/>
      <c r="CF60" s="785"/>
      <c r="CG60" s="786" t="s">
        <v>304</v>
      </c>
      <c r="CI60" s="785" t="s">
        <v>322</v>
      </c>
      <c r="CJ60" s="786" t="s">
        <v>301</v>
      </c>
      <c r="CK60" s="786" t="s">
        <v>302</v>
      </c>
      <c r="CL60" s="788"/>
      <c r="CM60" s="785"/>
      <c r="CN60" s="786" t="s">
        <v>303</v>
      </c>
      <c r="CO60" s="785"/>
      <c r="CP60" s="785"/>
      <c r="CQ60" s="786" t="s">
        <v>304</v>
      </c>
      <c r="CS60" s="785" t="s">
        <v>322</v>
      </c>
      <c r="CT60" s="786" t="s">
        <v>301</v>
      </c>
      <c r="CU60" s="786" t="s">
        <v>302</v>
      </c>
      <c r="CV60" s="788"/>
      <c r="CW60" s="785"/>
      <c r="CX60" s="786" t="s">
        <v>303</v>
      </c>
      <c r="CY60" s="785"/>
      <c r="CZ60" s="785"/>
      <c r="DA60" s="786" t="s">
        <v>304</v>
      </c>
      <c r="DC60" s="785" t="s">
        <v>322</v>
      </c>
      <c r="DD60" s="786" t="s">
        <v>301</v>
      </c>
      <c r="DE60" s="786" t="s">
        <v>302</v>
      </c>
      <c r="DF60" s="788"/>
      <c r="DG60" s="785"/>
      <c r="DH60" s="786" t="s">
        <v>303</v>
      </c>
      <c r="DI60" s="785"/>
      <c r="DJ60" s="785"/>
      <c r="DK60" s="786" t="s">
        <v>304</v>
      </c>
      <c r="DM60" s="785" t="s">
        <v>322</v>
      </c>
      <c r="DN60" s="786" t="s">
        <v>301</v>
      </c>
      <c r="DO60" s="786" t="s">
        <v>302</v>
      </c>
      <c r="DP60" s="788"/>
      <c r="DQ60" s="785"/>
      <c r="DR60" s="786" t="s">
        <v>303</v>
      </c>
      <c r="DS60" s="785"/>
      <c r="DT60" s="785"/>
      <c r="DU60" s="786" t="s">
        <v>304</v>
      </c>
      <c r="DW60" s="785" t="s">
        <v>322</v>
      </c>
      <c r="DX60" s="786" t="s">
        <v>301</v>
      </c>
      <c r="DY60" s="786" t="s">
        <v>302</v>
      </c>
      <c r="DZ60" s="788"/>
      <c r="EA60" s="785"/>
      <c r="EB60" s="786" t="s">
        <v>303</v>
      </c>
      <c r="EC60" s="785"/>
      <c r="ED60" s="785"/>
      <c r="EE60" s="786" t="s">
        <v>304</v>
      </c>
      <c r="EG60" s="785" t="s">
        <v>322</v>
      </c>
      <c r="EH60" s="786" t="s">
        <v>301</v>
      </c>
      <c r="EI60" s="786" t="s">
        <v>302</v>
      </c>
      <c r="EJ60" s="788"/>
      <c r="EK60" s="785"/>
      <c r="EL60" s="786" t="s">
        <v>303</v>
      </c>
      <c r="EM60" s="785"/>
      <c r="EN60" s="785"/>
      <c r="EO60" s="786" t="s">
        <v>304</v>
      </c>
    </row>
    <row r="61" spans="2:149" ht="14.4" hidden="1">
      <c r="G61" s="789">
        <v>1</v>
      </c>
      <c r="H61" s="787" t="s">
        <v>305</v>
      </c>
      <c r="I61" s="787" t="s">
        <v>381</v>
      </c>
      <c r="J61" s="788"/>
      <c r="K61" s="789"/>
      <c r="L61" s="787" t="s">
        <v>382</v>
      </c>
      <c r="M61" s="785"/>
      <c r="N61" s="785"/>
      <c r="O61" s="787" t="s">
        <v>383</v>
      </c>
      <c r="Q61" s="789">
        <v>1</v>
      </c>
      <c r="R61" s="787" t="s">
        <v>305</v>
      </c>
      <c r="S61" s="787" t="s">
        <v>381</v>
      </c>
      <c r="T61" s="788"/>
      <c r="U61" s="789"/>
      <c r="V61" s="838" t="s">
        <v>382</v>
      </c>
      <c r="W61" s="839"/>
      <c r="X61" s="839"/>
      <c r="Y61" s="840" t="s">
        <v>383</v>
      </c>
      <c r="AA61" s="789">
        <v>1</v>
      </c>
      <c r="AB61" s="787" t="s">
        <v>305</v>
      </c>
      <c r="AC61" s="787" t="s">
        <v>407</v>
      </c>
      <c r="AD61" s="788"/>
      <c r="AE61" s="789"/>
      <c r="AF61" s="787" t="s">
        <v>408</v>
      </c>
      <c r="AG61" s="785"/>
      <c r="AH61" s="785"/>
      <c r="AI61" s="787" t="s">
        <v>409</v>
      </c>
      <c r="AK61" s="789">
        <v>1</v>
      </c>
      <c r="AL61" s="787" t="s">
        <v>305</v>
      </c>
      <c r="AM61" s="787" t="s">
        <v>571</v>
      </c>
      <c r="AN61" s="788"/>
      <c r="AO61" s="789"/>
      <c r="AP61" s="788" t="s">
        <v>431</v>
      </c>
      <c r="AQ61" s="785"/>
      <c r="AR61" s="785"/>
      <c r="AS61" s="789" t="s">
        <v>572</v>
      </c>
      <c r="AU61" s="789">
        <v>1</v>
      </c>
      <c r="AV61" s="787" t="s">
        <v>305</v>
      </c>
      <c r="AW61" s="787" t="s">
        <v>340</v>
      </c>
      <c r="AX61" s="788"/>
      <c r="AY61" s="789"/>
      <c r="AZ61" s="787" t="s">
        <v>442</v>
      </c>
      <c r="BA61" s="785"/>
      <c r="BB61" s="785"/>
      <c r="BC61" s="787" t="s">
        <v>326</v>
      </c>
      <c r="BE61" s="789">
        <v>1</v>
      </c>
      <c r="BF61" s="787" t="s">
        <v>305</v>
      </c>
      <c r="BG61" s="787" t="s">
        <v>444</v>
      </c>
      <c r="BH61" s="788"/>
      <c r="BI61" s="789"/>
      <c r="BJ61" s="787" t="s">
        <v>613</v>
      </c>
      <c r="BK61" s="785"/>
      <c r="BL61" s="785"/>
      <c r="BM61" s="787" t="s">
        <v>614</v>
      </c>
      <c r="BO61" s="789">
        <v>1</v>
      </c>
      <c r="BP61" s="787" t="s">
        <v>305</v>
      </c>
      <c r="BQ61" s="787" t="s">
        <v>450</v>
      </c>
      <c r="BR61" s="788"/>
      <c r="BS61" s="789"/>
      <c r="BT61" s="787" t="s">
        <v>451</v>
      </c>
      <c r="BU61" s="785"/>
      <c r="BV61" s="785"/>
      <c r="BW61" s="787" t="s">
        <v>452</v>
      </c>
      <c r="BY61" s="789">
        <v>1</v>
      </c>
      <c r="BZ61" s="787" t="s">
        <v>305</v>
      </c>
      <c r="CA61" s="787" t="s">
        <v>477</v>
      </c>
      <c r="CB61" s="788"/>
      <c r="CC61" s="789"/>
      <c r="CD61" s="787" t="s">
        <v>478</v>
      </c>
      <c r="CE61" s="785"/>
      <c r="CF61" s="785"/>
      <c r="CG61" s="787" t="s">
        <v>479</v>
      </c>
      <c r="CI61" s="789">
        <v>1</v>
      </c>
      <c r="CJ61" s="787" t="s">
        <v>305</v>
      </c>
      <c r="CK61" s="787" t="s">
        <v>586</v>
      </c>
      <c r="CL61" s="788"/>
      <c r="CM61" s="789"/>
      <c r="CN61" s="787" t="s">
        <v>587</v>
      </c>
      <c r="CO61" s="785"/>
      <c r="CP61" s="785"/>
      <c r="CQ61" s="787" t="s">
        <v>588</v>
      </c>
      <c r="CS61" s="789">
        <v>1</v>
      </c>
      <c r="CT61" s="787" t="s">
        <v>305</v>
      </c>
      <c r="CU61" s="787" t="s">
        <v>510</v>
      </c>
      <c r="CV61" s="788"/>
      <c r="CW61" s="789"/>
      <c r="CX61" s="787" t="s">
        <v>511</v>
      </c>
      <c r="CY61" s="785"/>
      <c r="CZ61" s="785"/>
      <c r="DA61" s="787" t="s">
        <v>512</v>
      </c>
      <c r="DC61" s="789">
        <v>1</v>
      </c>
      <c r="DD61" s="787" t="s">
        <v>305</v>
      </c>
      <c r="DE61" s="787" t="s">
        <v>525</v>
      </c>
      <c r="DF61" s="788"/>
      <c r="DG61" s="789"/>
      <c r="DH61" s="787" t="s">
        <v>526</v>
      </c>
      <c r="DI61" s="785"/>
      <c r="DJ61" s="785"/>
      <c r="DK61" s="787" t="s">
        <v>585</v>
      </c>
      <c r="DM61" s="789">
        <v>1</v>
      </c>
      <c r="DN61" s="787" t="s">
        <v>305</v>
      </c>
      <c r="DO61" s="787" t="s">
        <v>550</v>
      </c>
      <c r="DP61" s="788"/>
      <c r="DQ61" s="789"/>
      <c r="DR61" s="787" t="s">
        <v>341</v>
      </c>
      <c r="DS61" s="785"/>
      <c r="DT61" s="785"/>
      <c r="DU61" s="787" t="s">
        <v>551</v>
      </c>
      <c r="DW61" s="789">
        <v>1</v>
      </c>
      <c r="DX61" s="787" t="s">
        <v>305</v>
      </c>
      <c r="DY61" s="787" t="s">
        <v>552</v>
      </c>
      <c r="DZ61" s="788"/>
      <c r="EA61" s="789"/>
      <c r="EB61" s="787" t="s">
        <v>553</v>
      </c>
      <c r="EC61" s="785"/>
      <c r="ED61" s="785"/>
      <c r="EE61" s="787" t="s">
        <v>554</v>
      </c>
      <c r="EG61" s="789">
        <v>1</v>
      </c>
      <c r="EH61" s="787" t="s">
        <v>305</v>
      </c>
      <c r="EI61" s="787" t="s">
        <v>340</v>
      </c>
      <c r="EJ61" s="788"/>
      <c r="EK61" s="789"/>
      <c r="EL61" s="787" t="s">
        <v>442</v>
      </c>
      <c r="EM61" s="785"/>
      <c r="EN61" s="785"/>
      <c r="EO61" s="787" t="s">
        <v>326</v>
      </c>
    </row>
    <row r="62" spans="2:149" ht="14.4" hidden="1">
      <c r="G62" s="789">
        <v>2</v>
      </c>
      <c r="H62" s="787" t="s">
        <v>306</v>
      </c>
      <c r="I62" s="787" t="s">
        <v>384</v>
      </c>
      <c r="J62" s="788"/>
      <c r="K62" s="789"/>
      <c r="L62" s="787" t="s">
        <v>385</v>
      </c>
      <c r="M62" s="785"/>
      <c r="N62" s="785"/>
      <c r="O62" s="787" t="s">
        <v>386</v>
      </c>
      <c r="Q62" s="789">
        <v>2</v>
      </c>
      <c r="R62" s="787" t="s">
        <v>306</v>
      </c>
      <c r="S62" s="787" t="s">
        <v>384</v>
      </c>
      <c r="T62" s="788"/>
      <c r="U62" s="789"/>
      <c r="V62" s="838" t="s">
        <v>385</v>
      </c>
      <c r="W62" s="839"/>
      <c r="X62" s="839"/>
      <c r="Y62" s="840" t="s">
        <v>386</v>
      </c>
      <c r="AA62" s="789">
        <v>2</v>
      </c>
      <c r="AB62" s="787" t="s">
        <v>306</v>
      </c>
      <c r="AC62" s="787" t="s">
        <v>410</v>
      </c>
      <c r="AD62" s="788"/>
      <c r="AE62" s="789"/>
      <c r="AF62" s="787" t="s">
        <v>411</v>
      </c>
      <c r="AG62" s="785"/>
      <c r="AH62" s="785"/>
      <c r="AI62" s="787" t="s">
        <v>412</v>
      </c>
      <c r="AK62" s="789">
        <v>2</v>
      </c>
      <c r="AL62" s="787" t="s">
        <v>306</v>
      </c>
      <c r="AM62" s="787" t="s">
        <v>612</v>
      </c>
      <c r="AN62" s="788"/>
      <c r="AO62" s="789"/>
      <c r="AP62" s="788" t="s">
        <v>573</v>
      </c>
      <c r="AQ62" s="785"/>
      <c r="AR62" s="785"/>
      <c r="AS62" s="789" t="s">
        <v>574</v>
      </c>
      <c r="AU62" s="789">
        <v>2</v>
      </c>
      <c r="AV62" s="787" t="s">
        <v>306</v>
      </c>
      <c r="AW62" s="787" t="s">
        <v>307</v>
      </c>
      <c r="AX62" s="788"/>
      <c r="AY62" s="789"/>
      <c r="AZ62" s="787" t="s">
        <v>339</v>
      </c>
      <c r="BA62" s="785"/>
      <c r="BB62" s="785"/>
      <c r="BC62" s="787" t="s">
        <v>327</v>
      </c>
      <c r="BE62" s="789">
        <v>2</v>
      </c>
      <c r="BF62" s="787" t="s">
        <v>306</v>
      </c>
      <c r="BG62" s="787" t="s">
        <v>615</v>
      </c>
      <c r="BH62" s="788"/>
      <c r="BI62" s="789"/>
      <c r="BJ62" s="787" t="s">
        <v>616</v>
      </c>
      <c r="BK62" s="785"/>
      <c r="BL62" s="785"/>
      <c r="BM62" s="787" t="s">
        <v>617</v>
      </c>
      <c r="BO62" s="789">
        <v>2</v>
      </c>
      <c r="BP62" s="787" t="s">
        <v>306</v>
      </c>
      <c r="BQ62" s="787" t="s">
        <v>453</v>
      </c>
      <c r="BR62" s="788"/>
      <c r="BS62" s="789"/>
      <c r="BT62" s="787" t="s">
        <v>454</v>
      </c>
      <c r="BU62" s="785"/>
      <c r="BV62" s="785"/>
      <c r="BW62" s="787" t="s">
        <v>455</v>
      </c>
      <c r="BY62" s="789">
        <v>2</v>
      </c>
      <c r="BZ62" s="787" t="s">
        <v>306</v>
      </c>
      <c r="CA62" s="787" t="s">
        <v>480</v>
      </c>
      <c r="CB62" s="788"/>
      <c r="CC62" s="789"/>
      <c r="CD62" s="787" t="s">
        <v>635</v>
      </c>
      <c r="CE62" s="785"/>
      <c r="CF62" s="785"/>
      <c r="CG62" s="787" t="s">
        <v>481</v>
      </c>
      <c r="CI62" s="789">
        <v>2</v>
      </c>
      <c r="CJ62" s="787" t="s">
        <v>306</v>
      </c>
      <c r="CK62" s="787" t="s">
        <v>589</v>
      </c>
      <c r="CL62" s="788"/>
      <c r="CM62" s="789"/>
      <c r="CN62" s="787" t="s">
        <v>590</v>
      </c>
      <c r="CO62" s="785"/>
      <c r="CP62" s="785"/>
      <c r="CQ62" s="787" t="s">
        <v>591</v>
      </c>
      <c r="CS62" s="789">
        <v>2</v>
      </c>
      <c r="CT62" s="787" t="s">
        <v>306</v>
      </c>
      <c r="CU62" s="787" t="s">
        <v>513</v>
      </c>
      <c r="CV62" s="788"/>
      <c r="CW62" s="789"/>
      <c r="CX62" s="787" t="s">
        <v>514</v>
      </c>
      <c r="CY62" s="785"/>
      <c r="CZ62" s="785"/>
      <c r="DA62" s="787" t="s">
        <v>515</v>
      </c>
      <c r="DC62" s="789">
        <v>2</v>
      </c>
      <c r="DD62" s="787" t="s">
        <v>306</v>
      </c>
      <c r="DE62" s="787" t="s">
        <v>527</v>
      </c>
      <c r="DF62" s="788"/>
      <c r="DG62" s="789"/>
      <c r="DH62" s="787" t="s">
        <v>528</v>
      </c>
      <c r="DI62" s="785"/>
      <c r="DJ62" s="785"/>
      <c r="DK62" s="787" t="s">
        <v>529</v>
      </c>
      <c r="DM62" s="789">
        <v>2</v>
      </c>
      <c r="DN62" s="787" t="s">
        <v>306</v>
      </c>
      <c r="DO62" s="787"/>
      <c r="DP62" s="788"/>
      <c r="DQ62" s="789"/>
      <c r="DR62" s="787"/>
      <c r="DS62" s="785"/>
      <c r="DT62" s="785"/>
      <c r="DU62" s="787"/>
      <c r="DW62" s="789">
        <v>2</v>
      </c>
      <c r="DX62" s="787" t="s">
        <v>306</v>
      </c>
      <c r="DY62" s="787" t="s">
        <v>555</v>
      </c>
      <c r="DZ62" s="788"/>
      <c r="EA62" s="789"/>
      <c r="EB62" s="787" t="s">
        <v>556</v>
      </c>
      <c r="EC62" s="785"/>
      <c r="ED62" s="785"/>
      <c r="EE62" s="787" t="s">
        <v>557</v>
      </c>
      <c r="EG62" s="789">
        <v>2</v>
      </c>
      <c r="EH62" s="787" t="s">
        <v>306</v>
      </c>
      <c r="EI62" s="787" t="s">
        <v>307</v>
      </c>
      <c r="EJ62" s="788"/>
      <c r="EK62" s="789"/>
      <c r="EL62" s="787" t="s">
        <v>339</v>
      </c>
      <c r="EM62" s="785"/>
      <c r="EN62" s="785"/>
      <c r="EO62" s="787" t="s">
        <v>327</v>
      </c>
    </row>
    <row r="63" spans="2:149" ht="14.4" hidden="1">
      <c r="G63" s="789">
        <v>3</v>
      </c>
      <c r="H63" s="787" t="s">
        <v>308</v>
      </c>
      <c r="I63" s="787" t="s">
        <v>387</v>
      </c>
      <c r="J63" s="788"/>
      <c r="K63" s="789"/>
      <c r="L63" s="787" t="s">
        <v>388</v>
      </c>
      <c r="M63" s="785"/>
      <c r="N63" s="785"/>
      <c r="O63" s="787" t="s">
        <v>570</v>
      </c>
      <c r="Q63" s="789">
        <v>3</v>
      </c>
      <c r="R63" s="787" t="s">
        <v>308</v>
      </c>
      <c r="S63" s="787" t="s">
        <v>387</v>
      </c>
      <c r="T63" s="788"/>
      <c r="U63" s="789"/>
      <c r="V63" s="838" t="s">
        <v>388</v>
      </c>
      <c r="W63" s="839"/>
      <c r="X63" s="839"/>
      <c r="Y63" s="840" t="s">
        <v>570</v>
      </c>
      <c r="AA63" s="789">
        <v>3</v>
      </c>
      <c r="AB63" s="787" t="s">
        <v>308</v>
      </c>
      <c r="AC63" s="787" t="s">
        <v>413</v>
      </c>
      <c r="AD63" s="788"/>
      <c r="AE63" s="789"/>
      <c r="AF63" s="787" t="s">
        <v>414</v>
      </c>
      <c r="AG63" s="785"/>
      <c r="AH63" s="785"/>
      <c r="AI63" s="787" t="s">
        <v>415</v>
      </c>
      <c r="AK63" s="789">
        <v>3</v>
      </c>
      <c r="AL63" s="787" t="s">
        <v>308</v>
      </c>
      <c r="AM63" s="787" t="s">
        <v>575</v>
      </c>
      <c r="AN63" s="788"/>
      <c r="AO63" s="789"/>
      <c r="AP63" s="788" t="s">
        <v>576</v>
      </c>
      <c r="AQ63" s="785"/>
      <c r="AR63" s="785"/>
      <c r="AS63" s="789" t="s">
        <v>432</v>
      </c>
      <c r="AU63" s="789">
        <v>3</v>
      </c>
      <c r="AV63" s="787" t="s">
        <v>308</v>
      </c>
      <c r="AW63" s="787" t="s">
        <v>341</v>
      </c>
      <c r="AX63" s="788"/>
      <c r="AY63" s="789"/>
      <c r="AZ63" s="787" t="s">
        <v>338</v>
      </c>
      <c r="BA63" s="785"/>
      <c r="BB63" s="785"/>
      <c r="BC63" s="787" t="s">
        <v>328</v>
      </c>
      <c r="BE63" s="789">
        <v>3</v>
      </c>
      <c r="BF63" s="787" t="s">
        <v>308</v>
      </c>
      <c r="BG63" s="787" t="s">
        <v>445</v>
      </c>
      <c r="BH63" s="788"/>
      <c r="BI63" s="789"/>
      <c r="BJ63" s="787" t="s">
        <v>618</v>
      </c>
      <c r="BK63" s="785"/>
      <c r="BL63" s="785"/>
      <c r="BM63" s="787" t="s">
        <v>446</v>
      </c>
      <c r="BO63" s="789">
        <v>3</v>
      </c>
      <c r="BP63" s="787" t="s">
        <v>308</v>
      </c>
      <c r="BQ63" s="787" t="s">
        <v>456</v>
      </c>
      <c r="BR63" s="788"/>
      <c r="BS63" s="789"/>
      <c r="BT63" s="787" t="s">
        <v>457</v>
      </c>
      <c r="BU63" s="785"/>
      <c r="BV63" s="785"/>
      <c r="BW63" s="787" t="s">
        <v>458</v>
      </c>
      <c r="BY63" s="789">
        <v>3</v>
      </c>
      <c r="BZ63" s="787" t="s">
        <v>308</v>
      </c>
      <c r="CA63" s="787" t="s">
        <v>482</v>
      </c>
      <c r="CB63" s="788"/>
      <c r="CC63" s="789"/>
      <c r="CD63" s="787" t="s">
        <v>483</v>
      </c>
      <c r="CE63" s="785"/>
      <c r="CF63" s="785"/>
      <c r="CG63" s="787" t="s">
        <v>484</v>
      </c>
      <c r="CI63" s="789">
        <v>3</v>
      </c>
      <c r="CJ63" s="787" t="s">
        <v>308</v>
      </c>
      <c r="CK63" s="787" t="s">
        <v>592</v>
      </c>
      <c r="CL63" s="788"/>
      <c r="CM63" s="789"/>
      <c r="CN63" s="787" t="s">
        <v>593</v>
      </c>
      <c r="CO63" s="785"/>
      <c r="CP63" s="785"/>
      <c r="CQ63" s="787" t="s">
        <v>638</v>
      </c>
      <c r="CS63" s="789">
        <v>3</v>
      </c>
      <c r="CT63" s="787" t="s">
        <v>308</v>
      </c>
      <c r="CU63" s="787" t="s">
        <v>516</v>
      </c>
      <c r="CV63" s="788"/>
      <c r="CW63" s="789"/>
      <c r="CX63" s="787" t="s">
        <v>517</v>
      </c>
      <c r="CY63" s="785"/>
      <c r="CZ63" s="785"/>
      <c r="DA63" s="787" t="s">
        <v>518</v>
      </c>
      <c r="DC63" s="789">
        <v>3</v>
      </c>
      <c r="DD63" s="787" t="s">
        <v>308</v>
      </c>
      <c r="DE63" s="787" t="s">
        <v>530</v>
      </c>
      <c r="DF63" s="788"/>
      <c r="DG63" s="789"/>
      <c r="DH63" s="787" t="s">
        <v>531</v>
      </c>
      <c r="DI63" s="785"/>
      <c r="DJ63" s="785"/>
      <c r="DK63" s="787" t="s">
        <v>532</v>
      </c>
      <c r="DM63" s="789">
        <v>3</v>
      </c>
      <c r="DN63" s="787" t="s">
        <v>308</v>
      </c>
      <c r="DO63" s="787"/>
      <c r="DP63" s="788"/>
      <c r="DQ63" s="789"/>
      <c r="DR63" s="787"/>
      <c r="DS63" s="785"/>
      <c r="DT63" s="785"/>
      <c r="DU63" s="787"/>
      <c r="DW63" s="789">
        <v>3</v>
      </c>
      <c r="DX63" s="787" t="s">
        <v>308</v>
      </c>
      <c r="DY63" s="787" t="s">
        <v>558</v>
      </c>
      <c r="DZ63" s="788"/>
      <c r="EA63" s="789"/>
      <c r="EB63" s="787" t="s">
        <v>559</v>
      </c>
      <c r="EC63" s="785"/>
      <c r="ED63" s="785"/>
      <c r="EE63" s="787" t="s">
        <v>560</v>
      </c>
      <c r="EG63" s="789">
        <v>3</v>
      </c>
      <c r="EH63" s="787" t="s">
        <v>308</v>
      </c>
      <c r="EI63" s="787" t="s">
        <v>341</v>
      </c>
      <c r="EJ63" s="788"/>
      <c r="EK63" s="789"/>
      <c r="EL63" s="787" t="s">
        <v>338</v>
      </c>
      <c r="EM63" s="785"/>
      <c r="EN63" s="785"/>
      <c r="EO63" s="787" t="s">
        <v>328</v>
      </c>
    </row>
    <row r="64" spans="2:149" ht="14.4" hidden="1">
      <c r="G64" s="789">
        <v>4</v>
      </c>
      <c r="H64" s="787" t="s">
        <v>309</v>
      </c>
      <c r="I64" s="787" t="s">
        <v>389</v>
      </c>
      <c r="J64" s="788"/>
      <c r="K64" s="789"/>
      <c r="L64" s="787" t="s">
        <v>390</v>
      </c>
      <c r="M64" s="785"/>
      <c r="N64" s="785"/>
      <c r="O64" s="787" t="s">
        <v>391</v>
      </c>
      <c r="Q64" s="789">
        <v>4</v>
      </c>
      <c r="R64" s="787" t="s">
        <v>309</v>
      </c>
      <c r="S64" s="787" t="s">
        <v>389</v>
      </c>
      <c r="T64" s="788"/>
      <c r="U64" s="789"/>
      <c r="V64" s="838" t="s">
        <v>390</v>
      </c>
      <c r="W64" s="839"/>
      <c r="X64" s="839"/>
      <c r="Y64" s="840" t="s">
        <v>391</v>
      </c>
      <c r="AA64" s="789">
        <v>4</v>
      </c>
      <c r="AB64" s="787" t="s">
        <v>309</v>
      </c>
      <c r="AC64" s="787" t="s">
        <v>416</v>
      </c>
      <c r="AD64" s="788"/>
      <c r="AE64" s="789"/>
      <c r="AF64" s="787" t="s">
        <v>417</v>
      </c>
      <c r="AG64" s="785"/>
      <c r="AH64" s="785"/>
      <c r="AI64" s="787" t="s">
        <v>418</v>
      </c>
      <c r="AK64" s="789">
        <v>4</v>
      </c>
      <c r="AL64" s="787" t="s">
        <v>309</v>
      </c>
      <c r="AM64" s="787" t="s">
        <v>577</v>
      </c>
      <c r="AN64" s="788"/>
      <c r="AO64" s="789"/>
      <c r="AP64" s="788" t="s">
        <v>578</v>
      </c>
      <c r="AQ64" s="785"/>
      <c r="AR64" s="785"/>
      <c r="AS64" s="789" t="s">
        <v>433</v>
      </c>
      <c r="AU64" s="789">
        <v>4</v>
      </c>
      <c r="AV64" s="787" t="s">
        <v>309</v>
      </c>
      <c r="AW64" s="787" t="s">
        <v>342</v>
      </c>
      <c r="AX64" s="788"/>
      <c r="AY64" s="789"/>
      <c r="AZ64" s="787" t="s">
        <v>337</v>
      </c>
      <c r="BA64" s="785"/>
      <c r="BB64" s="785"/>
      <c r="BC64" s="787" t="s">
        <v>329</v>
      </c>
      <c r="BE64" s="789">
        <v>4</v>
      </c>
      <c r="BF64" s="787" t="s">
        <v>309</v>
      </c>
      <c r="BG64" s="787" t="s">
        <v>619</v>
      </c>
      <c r="BH64" s="788"/>
      <c r="BI64" s="789"/>
      <c r="BJ64" s="787" t="s">
        <v>620</v>
      </c>
      <c r="BK64" s="785"/>
      <c r="BL64" s="785"/>
      <c r="BM64" s="787" t="s">
        <v>621</v>
      </c>
      <c r="BO64" s="789">
        <v>4</v>
      </c>
      <c r="BP64" s="787" t="s">
        <v>309</v>
      </c>
      <c r="BQ64" s="787" t="s">
        <v>459</v>
      </c>
      <c r="BR64" s="788"/>
      <c r="BS64" s="789"/>
      <c r="BT64" s="787" t="s">
        <v>460</v>
      </c>
      <c r="BU64" s="785"/>
      <c r="BV64" s="785"/>
      <c r="BW64" s="787" t="s">
        <v>461</v>
      </c>
      <c r="BY64" s="789">
        <v>4</v>
      </c>
      <c r="BZ64" s="787" t="s">
        <v>309</v>
      </c>
      <c r="CA64" s="787" t="s">
        <v>485</v>
      </c>
      <c r="CB64" s="788"/>
      <c r="CC64" s="789"/>
      <c r="CD64" s="787" t="s">
        <v>486</v>
      </c>
      <c r="CE64" s="785"/>
      <c r="CF64" s="785"/>
      <c r="CG64" s="787" t="s">
        <v>486</v>
      </c>
      <c r="CI64" s="789">
        <v>4</v>
      </c>
      <c r="CJ64" s="787" t="s">
        <v>309</v>
      </c>
      <c r="CK64" s="787" t="s">
        <v>594</v>
      </c>
      <c r="CL64" s="788"/>
      <c r="CM64" s="789"/>
      <c r="CN64" s="787" t="s">
        <v>595</v>
      </c>
      <c r="CO64" s="785"/>
      <c r="CP64" s="785"/>
      <c r="CQ64" s="787" t="s">
        <v>596</v>
      </c>
      <c r="CS64" s="789">
        <v>4</v>
      </c>
      <c r="CT64" s="787" t="s">
        <v>309</v>
      </c>
      <c r="CU64" s="787" t="s">
        <v>519</v>
      </c>
      <c r="CV64" s="788"/>
      <c r="CW64" s="789"/>
      <c r="CX64" s="787" t="s">
        <v>520</v>
      </c>
      <c r="CY64" s="785"/>
      <c r="CZ64" s="785"/>
      <c r="DA64" s="787" t="s">
        <v>521</v>
      </c>
      <c r="DC64" s="789">
        <v>4</v>
      </c>
      <c r="DD64" s="787" t="s">
        <v>309</v>
      </c>
      <c r="DE64" s="787" t="s">
        <v>533</v>
      </c>
      <c r="DF64" s="788"/>
      <c r="DG64" s="789"/>
      <c r="DH64" s="787" t="s">
        <v>534</v>
      </c>
      <c r="DI64" s="785"/>
      <c r="DJ64" s="785"/>
      <c r="DK64" s="787" t="s">
        <v>535</v>
      </c>
      <c r="DM64" s="789">
        <v>4</v>
      </c>
      <c r="DN64" s="787" t="s">
        <v>309</v>
      </c>
      <c r="DO64" s="787"/>
      <c r="DP64" s="788"/>
      <c r="DQ64" s="789"/>
      <c r="DR64" s="787"/>
      <c r="DS64" s="785"/>
      <c r="DT64" s="785"/>
      <c r="DU64" s="787"/>
      <c r="DW64" s="789">
        <v>4</v>
      </c>
      <c r="DX64" s="787" t="s">
        <v>309</v>
      </c>
      <c r="DY64" s="787" t="s">
        <v>561</v>
      </c>
      <c r="DZ64" s="788"/>
      <c r="EA64" s="789"/>
      <c r="EB64" s="787" t="s">
        <v>654</v>
      </c>
      <c r="EC64" s="785"/>
      <c r="ED64" s="785"/>
      <c r="EE64" s="787" t="s">
        <v>563</v>
      </c>
      <c r="EG64" s="789">
        <v>4</v>
      </c>
      <c r="EH64" s="787" t="s">
        <v>309</v>
      </c>
      <c r="EI64" s="787" t="s">
        <v>342</v>
      </c>
      <c r="EJ64" s="788"/>
      <c r="EK64" s="789"/>
      <c r="EL64" s="787" t="s">
        <v>337</v>
      </c>
      <c r="EM64" s="785"/>
      <c r="EN64" s="785"/>
      <c r="EO64" s="787" t="s">
        <v>329</v>
      </c>
    </row>
    <row r="65" spans="2:146" ht="14.4" hidden="1">
      <c r="G65" s="789">
        <v>5</v>
      </c>
      <c r="H65" s="787" t="s">
        <v>310</v>
      </c>
      <c r="I65" s="787" t="s">
        <v>392</v>
      </c>
      <c r="J65" s="788"/>
      <c r="K65" s="789"/>
      <c r="L65" s="787" t="s">
        <v>393</v>
      </c>
      <c r="M65" s="785"/>
      <c r="N65" s="785"/>
      <c r="O65" s="787" t="s">
        <v>394</v>
      </c>
      <c r="Q65" s="789">
        <v>5</v>
      </c>
      <c r="R65" s="787" t="s">
        <v>310</v>
      </c>
      <c r="S65" s="787" t="s">
        <v>392</v>
      </c>
      <c r="T65" s="788"/>
      <c r="U65" s="789"/>
      <c r="V65" s="838" t="s">
        <v>393</v>
      </c>
      <c r="W65" s="839"/>
      <c r="X65" s="839"/>
      <c r="Y65" s="840" t="s">
        <v>394</v>
      </c>
      <c r="AA65" s="789">
        <v>5</v>
      </c>
      <c r="AB65" s="787" t="s">
        <v>310</v>
      </c>
      <c r="AC65" s="787" t="s">
        <v>419</v>
      </c>
      <c r="AD65" s="788"/>
      <c r="AE65" s="789"/>
      <c r="AF65" s="787" t="s">
        <v>420</v>
      </c>
      <c r="AG65" s="785"/>
      <c r="AH65" s="785"/>
      <c r="AI65" s="787" t="s">
        <v>421</v>
      </c>
      <c r="AK65" s="789">
        <v>5</v>
      </c>
      <c r="AL65" s="787" t="s">
        <v>310</v>
      </c>
      <c r="AM65" s="787" t="s">
        <v>434</v>
      </c>
      <c r="AN65" s="788"/>
      <c r="AO65" s="789"/>
      <c r="AP65" s="788" t="s">
        <v>579</v>
      </c>
      <c r="AQ65" s="785"/>
      <c r="AR65" s="785"/>
      <c r="AS65" s="789" t="s">
        <v>580</v>
      </c>
      <c r="AU65" s="789">
        <v>5</v>
      </c>
      <c r="AV65" s="787" t="s">
        <v>310</v>
      </c>
      <c r="AW65" s="787" t="s">
        <v>343</v>
      </c>
      <c r="AX65" s="788"/>
      <c r="AY65" s="789"/>
      <c r="AZ65" s="787" t="s">
        <v>336</v>
      </c>
      <c r="BA65" s="785"/>
      <c r="BB65" s="785"/>
      <c r="BC65" s="787" t="s">
        <v>330</v>
      </c>
      <c r="BE65" s="789">
        <v>5</v>
      </c>
      <c r="BF65" s="787" t="s">
        <v>310</v>
      </c>
      <c r="BG65" s="787" t="s">
        <v>622</v>
      </c>
      <c r="BH65" s="788"/>
      <c r="BI65" s="789"/>
      <c r="BJ65" s="787" t="s">
        <v>623</v>
      </c>
      <c r="BK65" s="785"/>
      <c r="BL65" s="785"/>
      <c r="BM65" s="787" t="s">
        <v>624</v>
      </c>
      <c r="BO65" s="789">
        <v>5</v>
      </c>
      <c r="BP65" s="787" t="s">
        <v>310</v>
      </c>
      <c r="BQ65" s="787" t="s">
        <v>462</v>
      </c>
      <c r="BR65" s="788"/>
      <c r="BS65" s="789"/>
      <c r="BT65" s="787" t="s">
        <v>463</v>
      </c>
      <c r="BU65" s="785"/>
      <c r="BV65" s="785"/>
      <c r="BW65" s="787" t="s">
        <v>464</v>
      </c>
      <c r="BY65" s="789">
        <v>5</v>
      </c>
      <c r="BZ65" s="787" t="s">
        <v>310</v>
      </c>
      <c r="CA65" s="787" t="s">
        <v>487</v>
      </c>
      <c r="CB65" s="788"/>
      <c r="CC65" s="789"/>
      <c r="CD65" s="787" t="s">
        <v>488</v>
      </c>
      <c r="CE65" s="785"/>
      <c r="CF65" s="785"/>
      <c r="CG65" s="787" t="s">
        <v>489</v>
      </c>
      <c r="CI65" s="789">
        <v>5</v>
      </c>
      <c r="CJ65" s="787" t="s">
        <v>310</v>
      </c>
      <c r="CK65" s="787" t="s">
        <v>597</v>
      </c>
      <c r="CL65" s="788"/>
      <c r="CM65" s="789"/>
      <c r="CN65" s="787" t="s">
        <v>598</v>
      </c>
      <c r="CO65" s="785"/>
      <c r="CP65" s="785"/>
      <c r="CQ65" s="787" t="s">
        <v>599</v>
      </c>
      <c r="CS65" s="789">
        <v>5</v>
      </c>
      <c r="CT65" s="787" t="s">
        <v>310</v>
      </c>
      <c r="CU65" s="787" t="s">
        <v>522</v>
      </c>
      <c r="CV65" s="788"/>
      <c r="CW65" s="789"/>
      <c r="CX65" s="787" t="s">
        <v>523</v>
      </c>
      <c r="CY65" s="785"/>
      <c r="CZ65" s="785"/>
      <c r="DA65" s="787" t="s">
        <v>524</v>
      </c>
      <c r="DC65" s="789">
        <v>5</v>
      </c>
      <c r="DD65" s="787" t="s">
        <v>310</v>
      </c>
      <c r="DE65" s="787" t="s">
        <v>536</v>
      </c>
      <c r="DF65" s="788"/>
      <c r="DG65" s="789"/>
      <c r="DH65" s="787" t="s">
        <v>537</v>
      </c>
      <c r="DI65" s="785"/>
      <c r="DJ65" s="785"/>
      <c r="DK65" s="787" t="s">
        <v>538</v>
      </c>
      <c r="DM65" s="789">
        <v>5</v>
      </c>
      <c r="DN65" s="787" t="s">
        <v>310</v>
      </c>
      <c r="DO65" s="787"/>
      <c r="DP65" s="788"/>
      <c r="DQ65" s="789"/>
      <c r="DR65" s="787"/>
      <c r="DS65" s="785"/>
      <c r="DT65" s="785"/>
      <c r="DU65" s="787"/>
      <c r="DW65" s="789">
        <v>5</v>
      </c>
      <c r="DX65" s="787" t="s">
        <v>310</v>
      </c>
      <c r="DY65" s="787" t="s">
        <v>564</v>
      </c>
      <c r="DZ65" s="788"/>
      <c r="EA65" s="789"/>
      <c r="EB65" s="787" t="s">
        <v>565</v>
      </c>
      <c r="EC65" s="785"/>
      <c r="ED65" s="785"/>
      <c r="EE65" s="787" t="s">
        <v>660</v>
      </c>
      <c r="EG65" s="789">
        <v>5</v>
      </c>
      <c r="EH65" s="787" t="s">
        <v>310</v>
      </c>
      <c r="EI65" s="787" t="s">
        <v>343</v>
      </c>
      <c r="EJ65" s="788"/>
      <c r="EK65" s="789"/>
      <c r="EL65" s="787" t="s">
        <v>336</v>
      </c>
      <c r="EM65" s="785"/>
      <c r="EN65" s="785"/>
      <c r="EO65" s="787" t="s">
        <v>330</v>
      </c>
    </row>
    <row r="66" spans="2:146" ht="14.4" hidden="1">
      <c r="G66" s="789">
        <v>6</v>
      </c>
      <c r="H66" s="787" t="s">
        <v>311</v>
      </c>
      <c r="I66" s="787" t="s">
        <v>395</v>
      </c>
      <c r="J66" s="788"/>
      <c r="K66" s="789"/>
      <c r="L66" s="787" t="s">
        <v>396</v>
      </c>
      <c r="M66" s="785"/>
      <c r="N66" s="785"/>
      <c r="O66" s="787" t="s">
        <v>397</v>
      </c>
      <c r="Q66" s="789">
        <v>6</v>
      </c>
      <c r="R66" s="787" t="s">
        <v>311</v>
      </c>
      <c r="S66" s="787" t="s">
        <v>395</v>
      </c>
      <c r="T66" s="788"/>
      <c r="U66" s="789"/>
      <c r="V66" s="838" t="s">
        <v>396</v>
      </c>
      <c r="W66" s="839"/>
      <c r="X66" s="839"/>
      <c r="Y66" s="840" t="s">
        <v>397</v>
      </c>
      <c r="AA66" s="789">
        <v>6</v>
      </c>
      <c r="AB66" s="787" t="s">
        <v>311</v>
      </c>
      <c r="AC66" s="787" t="s">
        <v>422</v>
      </c>
      <c r="AD66" s="788"/>
      <c r="AE66" s="789"/>
      <c r="AF66" s="787" t="s">
        <v>423</v>
      </c>
      <c r="AG66" s="785"/>
      <c r="AH66" s="785"/>
      <c r="AI66" s="787" t="s">
        <v>424</v>
      </c>
      <c r="AK66" s="789">
        <v>6</v>
      </c>
      <c r="AL66" s="787" t="s">
        <v>311</v>
      </c>
      <c r="AM66" s="787" t="s">
        <v>435</v>
      </c>
      <c r="AN66" s="788"/>
      <c r="AO66" s="789"/>
      <c r="AP66" s="788" t="s">
        <v>436</v>
      </c>
      <c r="AQ66" s="785"/>
      <c r="AR66" s="785"/>
      <c r="AS66" s="789" t="s">
        <v>437</v>
      </c>
      <c r="AU66" s="789">
        <v>6</v>
      </c>
      <c r="AV66" s="787" t="s">
        <v>311</v>
      </c>
      <c r="AW66" s="787" t="s">
        <v>344</v>
      </c>
      <c r="AX66" s="788"/>
      <c r="AY66" s="789"/>
      <c r="AZ66" s="787" t="s">
        <v>335</v>
      </c>
      <c r="BA66" s="785"/>
      <c r="BB66" s="785"/>
      <c r="BC66" s="787" t="s">
        <v>331</v>
      </c>
      <c r="BE66" s="789">
        <v>6</v>
      </c>
      <c r="BF66" s="787" t="s">
        <v>311</v>
      </c>
      <c r="BG66" s="787" t="s">
        <v>625</v>
      </c>
      <c r="BH66" s="788"/>
      <c r="BI66" s="789"/>
      <c r="BJ66" s="787" t="s">
        <v>447</v>
      </c>
      <c r="BK66" s="785"/>
      <c r="BL66" s="785"/>
      <c r="BM66" s="787" t="s">
        <v>448</v>
      </c>
      <c r="BO66" s="789">
        <v>6</v>
      </c>
      <c r="BP66" s="787" t="s">
        <v>311</v>
      </c>
      <c r="BQ66" s="787" t="s">
        <v>465</v>
      </c>
      <c r="BR66" s="788"/>
      <c r="BS66" s="789"/>
      <c r="BT66" s="787" t="s">
        <v>466</v>
      </c>
      <c r="BU66" s="785"/>
      <c r="BV66" s="785"/>
      <c r="BW66" s="787" t="s">
        <v>467</v>
      </c>
      <c r="BY66" s="789">
        <v>6</v>
      </c>
      <c r="BZ66" s="787" t="s">
        <v>311</v>
      </c>
      <c r="CA66" s="787" t="s">
        <v>490</v>
      </c>
      <c r="CB66" s="788"/>
      <c r="CC66" s="789"/>
      <c r="CD66" s="787" t="s">
        <v>491</v>
      </c>
      <c r="CE66" s="785"/>
      <c r="CF66" s="785"/>
      <c r="CG66" s="787" t="s">
        <v>636</v>
      </c>
      <c r="CI66" s="789">
        <v>6</v>
      </c>
      <c r="CJ66" s="787" t="s">
        <v>311</v>
      </c>
      <c r="CK66" s="787" t="s">
        <v>600</v>
      </c>
      <c r="CL66" s="788"/>
      <c r="CM66" s="789"/>
      <c r="CN66" s="787" t="s">
        <v>601</v>
      </c>
      <c r="CO66" s="785"/>
      <c r="CP66" s="785"/>
      <c r="CQ66" s="787" t="s">
        <v>602</v>
      </c>
      <c r="CS66" s="789">
        <v>6</v>
      </c>
      <c r="CT66" s="787" t="s">
        <v>311</v>
      </c>
      <c r="CU66" s="787" t="s">
        <v>516</v>
      </c>
      <c r="CV66" s="788"/>
      <c r="CW66" s="789"/>
      <c r="CX66" s="787" t="s">
        <v>517</v>
      </c>
      <c r="CY66" s="785"/>
      <c r="CZ66" s="785"/>
      <c r="DA66" s="787" t="s">
        <v>518</v>
      </c>
      <c r="DC66" s="789">
        <v>6</v>
      </c>
      <c r="DD66" s="787" t="s">
        <v>311</v>
      </c>
      <c r="DE66" s="787" t="s">
        <v>637</v>
      </c>
      <c r="DF66" s="788"/>
      <c r="DG66" s="789"/>
      <c r="DH66" s="787" t="s">
        <v>539</v>
      </c>
      <c r="DI66" s="785"/>
      <c r="DJ66" s="785"/>
      <c r="DK66" s="787" t="s">
        <v>540</v>
      </c>
      <c r="DM66" s="789">
        <v>6</v>
      </c>
      <c r="DN66" s="787" t="s">
        <v>311</v>
      </c>
      <c r="DO66" s="787"/>
      <c r="DP66" s="788"/>
      <c r="DQ66" s="789"/>
      <c r="DR66" s="787"/>
      <c r="DS66" s="785"/>
      <c r="DT66" s="785"/>
      <c r="DU66" s="787"/>
      <c r="DW66" s="789">
        <v>6</v>
      </c>
      <c r="DX66" s="787" t="s">
        <v>311</v>
      </c>
      <c r="DY66" s="787" t="s">
        <v>647</v>
      </c>
      <c r="DZ66" s="788"/>
      <c r="EA66" s="789"/>
      <c r="EB66" s="787" t="s">
        <v>651</v>
      </c>
      <c r="EC66" s="785"/>
      <c r="ED66" s="785"/>
      <c r="EE66" s="787" t="s">
        <v>659</v>
      </c>
      <c r="EG66" s="789">
        <v>6</v>
      </c>
      <c r="EH66" s="787" t="s">
        <v>311</v>
      </c>
      <c r="EI66" s="787" t="s">
        <v>344</v>
      </c>
      <c r="EJ66" s="788"/>
      <c r="EK66" s="789"/>
      <c r="EL66" s="787" t="s">
        <v>335</v>
      </c>
      <c r="EM66" s="785"/>
      <c r="EN66" s="785"/>
      <c r="EO66" s="787" t="s">
        <v>331</v>
      </c>
    </row>
    <row r="67" spans="2:146" ht="14.4" hidden="1">
      <c r="G67" s="789">
        <v>7</v>
      </c>
      <c r="H67" s="787" t="s">
        <v>312</v>
      </c>
      <c r="I67" s="787" t="s">
        <v>398</v>
      </c>
      <c r="J67" s="788"/>
      <c r="K67" s="789"/>
      <c r="L67" s="787" t="s">
        <v>399</v>
      </c>
      <c r="M67" s="785"/>
      <c r="N67" s="785"/>
      <c r="O67" s="787" t="s">
        <v>400</v>
      </c>
      <c r="Q67" s="789">
        <v>7</v>
      </c>
      <c r="R67" s="787" t="s">
        <v>312</v>
      </c>
      <c r="S67" s="787" t="s">
        <v>398</v>
      </c>
      <c r="T67" s="788"/>
      <c r="U67" s="789"/>
      <c r="V67" s="838" t="s">
        <v>399</v>
      </c>
      <c r="W67" s="839"/>
      <c r="X67" s="839"/>
      <c r="Y67" s="840" t="s">
        <v>400</v>
      </c>
      <c r="AA67" s="789">
        <v>7</v>
      </c>
      <c r="AB67" s="787" t="s">
        <v>312</v>
      </c>
      <c r="AC67" s="787" t="s">
        <v>425</v>
      </c>
      <c r="AD67" s="788"/>
      <c r="AE67" s="789"/>
      <c r="AF67" s="787" t="s">
        <v>426</v>
      </c>
      <c r="AG67" s="785"/>
      <c r="AH67" s="785"/>
      <c r="AI67" s="787" t="s">
        <v>427</v>
      </c>
      <c r="AK67" s="789">
        <v>7</v>
      </c>
      <c r="AL67" s="787" t="s">
        <v>312</v>
      </c>
      <c r="AM67" s="787" t="s">
        <v>581</v>
      </c>
      <c r="AN67" s="788"/>
      <c r="AO67" s="789"/>
      <c r="AP67" s="788" t="s">
        <v>438</v>
      </c>
      <c r="AQ67" s="785"/>
      <c r="AR67" s="785"/>
      <c r="AS67" s="789" t="s">
        <v>439</v>
      </c>
      <c r="AU67" s="789">
        <v>7</v>
      </c>
      <c r="AV67" s="787" t="s">
        <v>312</v>
      </c>
      <c r="AW67" s="787" t="s">
        <v>345</v>
      </c>
      <c r="AX67" s="788"/>
      <c r="AY67" s="789"/>
      <c r="AZ67" s="787" t="s">
        <v>334</v>
      </c>
      <c r="BA67" s="785"/>
      <c r="BB67" s="785"/>
      <c r="BC67" s="787" t="s">
        <v>325</v>
      </c>
      <c r="BE67" s="789">
        <v>7</v>
      </c>
      <c r="BF67" s="787" t="s">
        <v>312</v>
      </c>
      <c r="BG67" s="787" t="s">
        <v>626</v>
      </c>
      <c r="BH67" s="788"/>
      <c r="BI67" s="789"/>
      <c r="BJ67" s="787" t="s">
        <v>627</v>
      </c>
      <c r="BK67" s="785"/>
      <c r="BL67" s="785"/>
      <c r="BM67" s="787" t="s">
        <v>628</v>
      </c>
      <c r="BO67" s="789">
        <v>7</v>
      </c>
      <c r="BP67" s="787" t="s">
        <v>312</v>
      </c>
      <c r="BQ67" s="787" t="s">
        <v>468</v>
      </c>
      <c r="BR67" s="788"/>
      <c r="BS67" s="789"/>
      <c r="BT67" s="787" t="s">
        <v>469</v>
      </c>
      <c r="BU67" s="785"/>
      <c r="BV67" s="785"/>
      <c r="BW67" s="787" t="s">
        <v>470</v>
      </c>
      <c r="BY67" s="789">
        <v>7</v>
      </c>
      <c r="BZ67" s="787" t="s">
        <v>312</v>
      </c>
      <c r="CA67" s="787" t="s">
        <v>492</v>
      </c>
      <c r="CB67" s="788"/>
      <c r="CC67" s="789"/>
      <c r="CD67" s="787" t="s">
        <v>493</v>
      </c>
      <c r="CE67" s="785"/>
      <c r="CF67" s="785"/>
      <c r="CG67" s="787" t="s">
        <v>494</v>
      </c>
      <c r="CI67" s="789">
        <v>7</v>
      </c>
      <c r="CJ67" s="787" t="s">
        <v>312</v>
      </c>
      <c r="CK67" s="787" t="s">
        <v>603</v>
      </c>
      <c r="CL67" s="788"/>
      <c r="CM67" s="789"/>
      <c r="CN67" s="787" t="s">
        <v>604</v>
      </c>
      <c r="CO67" s="785"/>
      <c r="CP67" s="785"/>
      <c r="CQ67" s="787" t="s">
        <v>605</v>
      </c>
      <c r="CS67" s="789">
        <v>7</v>
      </c>
      <c r="CT67" s="787" t="s">
        <v>312</v>
      </c>
      <c r="CU67" s="787" t="s">
        <v>519</v>
      </c>
      <c r="CV67" s="788"/>
      <c r="CW67" s="789"/>
      <c r="CX67" s="787" t="s">
        <v>520</v>
      </c>
      <c r="CY67" s="785"/>
      <c r="CZ67" s="785"/>
      <c r="DA67" s="787" t="s">
        <v>521</v>
      </c>
      <c r="DC67" s="789">
        <v>7</v>
      </c>
      <c r="DD67" s="787" t="s">
        <v>312</v>
      </c>
      <c r="DE67" s="787" t="s">
        <v>541</v>
      </c>
      <c r="DF67" s="788"/>
      <c r="DG67" s="789"/>
      <c r="DH67" s="787" t="s">
        <v>542</v>
      </c>
      <c r="DI67" s="785"/>
      <c r="DJ67" s="785"/>
      <c r="DK67" s="787" t="s">
        <v>543</v>
      </c>
      <c r="DM67" s="789">
        <v>7</v>
      </c>
      <c r="DN67" s="787" t="s">
        <v>312</v>
      </c>
      <c r="DO67" s="787"/>
      <c r="DP67" s="788"/>
      <c r="DQ67" s="789"/>
      <c r="DR67" s="787"/>
      <c r="DS67" s="785"/>
      <c r="DT67" s="785"/>
      <c r="DU67" s="787"/>
      <c r="DW67" s="789">
        <v>7</v>
      </c>
      <c r="DX67" s="787" t="s">
        <v>312</v>
      </c>
      <c r="DY67" s="787" t="s">
        <v>648</v>
      </c>
      <c r="DZ67" s="788"/>
      <c r="EA67" s="789"/>
      <c r="EB67" s="787" t="s">
        <v>652</v>
      </c>
      <c r="EC67" s="785"/>
      <c r="ED67" s="785"/>
      <c r="EE67" s="787" t="s">
        <v>658</v>
      </c>
      <c r="EG67" s="789">
        <v>7</v>
      </c>
      <c r="EH67" s="787" t="s">
        <v>312</v>
      </c>
      <c r="EI67" s="787" t="s">
        <v>345</v>
      </c>
      <c r="EJ67" s="788"/>
      <c r="EK67" s="789"/>
      <c r="EL67" s="787" t="s">
        <v>334</v>
      </c>
      <c r="EM67" s="785"/>
      <c r="EN67" s="785"/>
      <c r="EO67" s="787" t="s">
        <v>325</v>
      </c>
    </row>
    <row r="68" spans="2:146" ht="14.4" hidden="1">
      <c r="G68" s="789">
        <v>8</v>
      </c>
      <c r="H68" s="787" t="s">
        <v>313</v>
      </c>
      <c r="I68" s="787" t="s">
        <v>401</v>
      </c>
      <c r="J68" s="788"/>
      <c r="K68" s="789"/>
      <c r="L68" s="787" t="s">
        <v>402</v>
      </c>
      <c r="M68" s="785"/>
      <c r="N68" s="785"/>
      <c r="O68" s="787" t="s">
        <v>403</v>
      </c>
      <c r="Q68" s="789">
        <v>8</v>
      </c>
      <c r="R68" s="787" t="s">
        <v>313</v>
      </c>
      <c r="S68" s="787" t="s">
        <v>401</v>
      </c>
      <c r="T68" s="788"/>
      <c r="U68" s="789"/>
      <c r="V68" s="838" t="s">
        <v>402</v>
      </c>
      <c r="W68" s="839"/>
      <c r="X68" s="839"/>
      <c r="Y68" s="840" t="s">
        <v>403</v>
      </c>
      <c r="AA68" s="789">
        <v>8</v>
      </c>
      <c r="AB68" s="787" t="s">
        <v>313</v>
      </c>
      <c r="AC68" s="787" t="s">
        <v>428</v>
      </c>
      <c r="AD68" s="788"/>
      <c r="AE68" s="789"/>
      <c r="AF68" s="787" t="s">
        <v>429</v>
      </c>
      <c r="AG68" s="785"/>
      <c r="AH68" s="785"/>
      <c r="AI68" s="787" t="s">
        <v>430</v>
      </c>
      <c r="AK68" s="789">
        <v>8</v>
      </c>
      <c r="AL68" s="787" t="s">
        <v>313</v>
      </c>
      <c r="AM68" s="787" t="s">
        <v>440</v>
      </c>
      <c r="AN68" s="788"/>
      <c r="AO68" s="789"/>
      <c r="AP68" s="788" t="s">
        <v>582</v>
      </c>
      <c r="AQ68" s="785"/>
      <c r="AR68" s="785"/>
      <c r="AS68" s="789" t="s">
        <v>583</v>
      </c>
      <c r="AU68" s="789">
        <v>8</v>
      </c>
      <c r="AV68" s="787" t="s">
        <v>313</v>
      </c>
      <c r="AW68" s="787" t="s">
        <v>346</v>
      </c>
      <c r="AX68" s="788"/>
      <c r="AY68" s="789"/>
      <c r="AZ68" s="787" t="s">
        <v>333</v>
      </c>
      <c r="BA68" s="785"/>
      <c r="BB68" s="785"/>
      <c r="BC68" s="787" t="s">
        <v>324</v>
      </c>
      <c r="BE68" s="789">
        <v>8</v>
      </c>
      <c r="BF68" s="787" t="s">
        <v>313</v>
      </c>
      <c r="BG68" s="787" t="s">
        <v>629</v>
      </c>
      <c r="BH68" s="788"/>
      <c r="BI68" s="789"/>
      <c r="BJ68" s="787" t="s">
        <v>449</v>
      </c>
      <c r="BK68" s="785"/>
      <c r="BL68" s="785"/>
      <c r="BM68" s="787" t="s">
        <v>630</v>
      </c>
      <c r="BO68" s="789">
        <v>8</v>
      </c>
      <c r="BP68" s="787" t="s">
        <v>313</v>
      </c>
      <c r="BQ68" s="787" t="s">
        <v>471</v>
      </c>
      <c r="BR68" s="788"/>
      <c r="BS68" s="789"/>
      <c r="BT68" s="787" t="s">
        <v>472</v>
      </c>
      <c r="BU68" s="785"/>
      <c r="BV68" s="785"/>
      <c r="BW68" s="787" t="s">
        <v>473</v>
      </c>
      <c r="BY68" s="789">
        <v>8</v>
      </c>
      <c r="BZ68" s="787" t="s">
        <v>313</v>
      </c>
      <c r="CA68" s="787" t="s">
        <v>495</v>
      </c>
      <c r="CB68" s="788"/>
      <c r="CC68" s="789"/>
      <c r="CD68" s="787" t="s">
        <v>496</v>
      </c>
      <c r="CE68" s="785"/>
      <c r="CF68" s="785"/>
      <c r="CG68" s="787" t="s">
        <v>497</v>
      </c>
      <c r="CI68" s="789">
        <v>8</v>
      </c>
      <c r="CJ68" s="787" t="s">
        <v>313</v>
      </c>
      <c r="CK68" s="787" t="s">
        <v>606</v>
      </c>
      <c r="CL68" s="788"/>
      <c r="CM68" s="789"/>
      <c r="CN68" s="787" t="s">
        <v>607</v>
      </c>
      <c r="CO68" s="785"/>
      <c r="CP68" s="785"/>
      <c r="CQ68" s="787" t="s">
        <v>608</v>
      </c>
      <c r="CS68" s="789">
        <v>8</v>
      </c>
      <c r="CT68" s="787" t="s">
        <v>313</v>
      </c>
      <c r="CU68" s="787" t="s">
        <v>522</v>
      </c>
      <c r="CV68" s="788"/>
      <c r="CW68" s="789"/>
      <c r="CX68" s="787" t="s">
        <v>523</v>
      </c>
      <c r="CY68" s="785"/>
      <c r="CZ68" s="785"/>
      <c r="DA68" s="787" t="s">
        <v>524</v>
      </c>
      <c r="DC68" s="789">
        <v>8</v>
      </c>
      <c r="DD68" s="787" t="s">
        <v>313</v>
      </c>
      <c r="DE68" s="787" t="s">
        <v>544</v>
      </c>
      <c r="DF68" s="788"/>
      <c r="DG68" s="789"/>
      <c r="DH68" s="787" t="s">
        <v>545</v>
      </c>
      <c r="DI68" s="785"/>
      <c r="DJ68" s="785"/>
      <c r="DK68" s="787" t="s">
        <v>546</v>
      </c>
      <c r="DM68" s="789">
        <v>8</v>
      </c>
      <c r="DN68" s="787" t="s">
        <v>313</v>
      </c>
      <c r="DO68" s="787"/>
      <c r="DP68" s="788"/>
      <c r="DQ68" s="789"/>
      <c r="DR68" s="787"/>
      <c r="DS68" s="785"/>
      <c r="DT68" s="785"/>
      <c r="DU68" s="787"/>
      <c r="DW68" s="789">
        <v>8</v>
      </c>
      <c r="DX68" s="787" t="s">
        <v>313</v>
      </c>
      <c r="DY68" s="787" t="s">
        <v>649</v>
      </c>
      <c r="DZ68" s="788"/>
      <c r="EA68" s="789"/>
      <c r="EB68" s="787" t="s">
        <v>653</v>
      </c>
      <c r="EC68" s="785"/>
      <c r="ED68" s="785"/>
      <c r="EE68" s="787" t="s">
        <v>657</v>
      </c>
      <c r="EG68" s="789">
        <v>8</v>
      </c>
      <c r="EH68" s="787" t="s">
        <v>313</v>
      </c>
      <c r="EI68" s="787" t="s">
        <v>346</v>
      </c>
      <c r="EJ68" s="788"/>
      <c r="EK68" s="789"/>
      <c r="EL68" s="787" t="s">
        <v>333</v>
      </c>
      <c r="EM68" s="785"/>
      <c r="EN68" s="785"/>
      <c r="EO68" s="787" t="s">
        <v>324</v>
      </c>
    </row>
    <row r="69" spans="2:146" ht="14.4" hidden="1">
      <c r="G69" s="789">
        <v>9</v>
      </c>
      <c r="H69" s="787" t="s">
        <v>314</v>
      </c>
      <c r="I69" s="787" t="s">
        <v>404</v>
      </c>
      <c r="J69" s="788"/>
      <c r="K69" s="789"/>
      <c r="L69" s="787" t="s">
        <v>405</v>
      </c>
      <c r="M69" s="785"/>
      <c r="N69" s="785"/>
      <c r="O69" s="787" t="s">
        <v>406</v>
      </c>
      <c r="Q69" s="789">
        <v>9</v>
      </c>
      <c r="R69" s="787" t="s">
        <v>314</v>
      </c>
      <c r="S69" s="787" t="s">
        <v>404</v>
      </c>
      <c r="T69" s="788"/>
      <c r="U69" s="789"/>
      <c r="V69" s="838" t="s">
        <v>405</v>
      </c>
      <c r="W69" s="839"/>
      <c r="X69" s="839"/>
      <c r="Y69" s="840" t="s">
        <v>406</v>
      </c>
      <c r="AA69" s="789">
        <v>9</v>
      </c>
      <c r="AB69" s="787" t="s">
        <v>314</v>
      </c>
      <c r="AC69" s="787" t="s">
        <v>663</v>
      </c>
      <c r="AD69" s="788"/>
      <c r="AE69" s="789"/>
      <c r="AF69" s="787" t="s">
        <v>664</v>
      </c>
      <c r="AG69" s="785"/>
      <c r="AH69" s="785"/>
      <c r="AI69" s="787" t="s">
        <v>665</v>
      </c>
      <c r="AK69" s="789">
        <v>9</v>
      </c>
      <c r="AL69" s="787" t="s">
        <v>314</v>
      </c>
      <c r="AM69" s="787" t="s">
        <v>584</v>
      </c>
      <c r="AN69" s="788"/>
      <c r="AO69" s="789"/>
      <c r="AP69" s="788" t="s">
        <v>332</v>
      </c>
      <c r="AQ69" s="785"/>
      <c r="AR69" s="785"/>
      <c r="AS69" s="789" t="s">
        <v>441</v>
      </c>
      <c r="AU69" s="789">
        <v>9</v>
      </c>
      <c r="AV69" s="787" t="s">
        <v>314</v>
      </c>
      <c r="AW69" s="787" t="s">
        <v>443</v>
      </c>
      <c r="AX69" s="788"/>
      <c r="AY69" s="789"/>
      <c r="AZ69" s="787" t="s">
        <v>332</v>
      </c>
      <c r="BA69" s="785"/>
      <c r="BB69" s="785"/>
      <c r="BC69" s="787" t="s">
        <v>323</v>
      </c>
      <c r="BE69" s="789">
        <v>9</v>
      </c>
      <c r="BF69" s="787" t="s">
        <v>314</v>
      </c>
      <c r="BG69" s="787" t="s">
        <v>631</v>
      </c>
      <c r="BH69" s="788"/>
      <c r="BI69" s="789"/>
      <c r="BJ69" s="787" t="s">
        <v>632</v>
      </c>
      <c r="BK69" s="785"/>
      <c r="BL69" s="785"/>
      <c r="BM69" s="787" t="s">
        <v>633</v>
      </c>
      <c r="BO69" s="789">
        <v>9</v>
      </c>
      <c r="BP69" s="787" t="s">
        <v>314</v>
      </c>
      <c r="BQ69" s="787" t="s">
        <v>474</v>
      </c>
      <c r="BR69" s="788"/>
      <c r="BS69" s="789"/>
      <c r="BT69" s="787" t="s">
        <v>475</v>
      </c>
      <c r="BU69" s="785"/>
      <c r="BV69" s="785"/>
      <c r="BW69" s="787" t="s">
        <v>476</v>
      </c>
      <c r="BY69" s="789">
        <v>9</v>
      </c>
      <c r="BZ69" s="787" t="s">
        <v>314</v>
      </c>
      <c r="CA69" s="787" t="s">
        <v>498</v>
      </c>
      <c r="CB69" s="788"/>
      <c r="CC69" s="789"/>
      <c r="CD69" s="787" t="s">
        <v>499</v>
      </c>
      <c r="CE69" s="785"/>
      <c r="CF69" s="785"/>
      <c r="CG69" s="787" t="s">
        <v>500</v>
      </c>
      <c r="CI69" s="789">
        <v>9</v>
      </c>
      <c r="CJ69" s="787" t="s">
        <v>314</v>
      </c>
      <c r="CK69" s="787" t="s">
        <v>609</v>
      </c>
      <c r="CL69" s="788"/>
      <c r="CM69" s="789"/>
      <c r="CN69" s="787" t="s">
        <v>610</v>
      </c>
      <c r="CO69" s="785"/>
      <c r="CP69" s="785"/>
      <c r="CQ69" s="787" t="s">
        <v>611</v>
      </c>
      <c r="CS69" s="789">
        <v>9</v>
      </c>
      <c r="CT69" s="787" t="s">
        <v>314</v>
      </c>
      <c r="CU69" s="787" t="s">
        <v>516</v>
      </c>
      <c r="CV69" s="788"/>
      <c r="CW69" s="789"/>
      <c r="CX69" s="787" t="s">
        <v>517</v>
      </c>
      <c r="CY69" s="785"/>
      <c r="CZ69" s="785"/>
      <c r="DA69" s="787" t="s">
        <v>518</v>
      </c>
      <c r="DC69" s="789">
        <v>9</v>
      </c>
      <c r="DD69" s="787" t="s">
        <v>314</v>
      </c>
      <c r="DE69" s="787" t="s">
        <v>547</v>
      </c>
      <c r="DF69" s="788"/>
      <c r="DG69" s="789"/>
      <c r="DH69" s="787" t="s">
        <v>548</v>
      </c>
      <c r="DI69" s="785"/>
      <c r="DJ69" s="785"/>
      <c r="DK69" s="787" t="s">
        <v>549</v>
      </c>
      <c r="DM69" s="789">
        <v>9</v>
      </c>
      <c r="DN69" s="787" t="s">
        <v>314</v>
      </c>
      <c r="DO69" s="787"/>
      <c r="DP69" s="788"/>
      <c r="DQ69" s="789"/>
      <c r="DR69" s="787"/>
      <c r="DS69" s="785"/>
      <c r="DT69" s="785"/>
      <c r="DU69" s="787"/>
      <c r="DW69" s="789">
        <v>9</v>
      </c>
      <c r="DX69" s="787" t="s">
        <v>314</v>
      </c>
      <c r="DY69" s="787" t="s">
        <v>650</v>
      </c>
      <c r="DZ69" s="788"/>
      <c r="EA69" s="789"/>
      <c r="EB69" s="787" t="s">
        <v>655</v>
      </c>
      <c r="EC69" s="785"/>
      <c r="ED69" s="785"/>
      <c r="EE69" s="787" t="s">
        <v>656</v>
      </c>
      <c r="EG69" s="789">
        <v>9</v>
      </c>
      <c r="EH69" s="787" t="s">
        <v>314</v>
      </c>
      <c r="EI69" s="787" t="s">
        <v>443</v>
      </c>
      <c r="EJ69" s="788"/>
      <c r="EK69" s="789"/>
      <c r="EL69" s="787" t="s">
        <v>332</v>
      </c>
      <c r="EM69" s="785"/>
      <c r="EN69" s="785"/>
      <c r="EO69" s="787" t="s">
        <v>323</v>
      </c>
    </row>
    <row r="70" spans="2:146" ht="14.4" hidden="1">
      <c r="G70" s="789">
        <v>10</v>
      </c>
      <c r="H70" s="787" t="s">
        <v>316</v>
      </c>
      <c r="I70" s="787" t="s">
        <v>667</v>
      </c>
      <c r="J70" s="788"/>
      <c r="K70" s="789"/>
      <c r="L70" s="787" t="s">
        <v>668</v>
      </c>
      <c r="M70" s="785"/>
      <c r="N70" s="785"/>
      <c r="O70" s="787" t="s">
        <v>669</v>
      </c>
      <c r="Q70" s="789">
        <v>10</v>
      </c>
      <c r="R70" s="787" t="s">
        <v>316</v>
      </c>
      <c r="S70" s="787" t="s">
        <v>667</v>
      </c>
      <c r="T70" s="788"/>
      <c r="U70" s="789"/>
      <c r="V70" s="838" t="s">
        <v>668</v>
      </c>
      <c r="W70" s="839"/>
      <c r="X70" s="839"/>
      <c r="Y70" s="840" t="s">
        <v>669</v>
      </c>
      <c r="AA70" s="789">
        <v>10</v>
      </c>
      <c r="AB70" s="787" t="s">
        <v>316</v>
      </c>
      <c r="AC70" s="787" t="s">
        <v>665</v>
      </c>
      <c r="AD70" s="788"/>
      <c r="AE70" s="789"/>
      <c r="AF70" s="787" t="s">
        <v>666</v>
      </c>
      <c r="AG70" s="785"/>
      <c r="AH70" s="785"/>
      <c r="AI70" s="787" t="s">
        <v>666</v>
      </c>
      <c r="AK70" s="789">
        <v>10</v>
      </c>
      <c r="AL70" s="787" t="s">
        <v>316</v>
      </c>
      <c r="AM70" s="787"/>
      <c r="AN70" s="788"/>
      <c r="AO70" s="789"/>
      <c r="AP70" s="787"/>
      <c r="AQ70" s="785"/>
      <c r="AR70" s="785"/>
      <c r="AS70" s="787"/>
      <c r="AU70" s="789">
        <v>10</v>
      </c>
      <c r="AV70" s="787" t="s">
        <v>316</v>
      </c>
      <c r="AW70" s="787"/>
      <c r="AX70" s="788"/>
      <c r="AY70" s="789"/>
      <c r="AZ70" s="787"/>
      <c r="BA70" s="785"/>
      <c r="BB70" s="785"/>
      <c r="BC70" s="787"/>
      <c r="BE70" s="789">
        <v>10</v>
      </c>
      <c r="BF70" s="787" t="s">
        <v>316</v>
      </c>
      <c r="BG70" s="787"/>
      <c r="BH70" s="788"/>
      <c r="BI70" s="789"/>
      <c r="BJ70" s="787"/>
      <c r="BK70" s="785"/>
      <c r="BL70" s="785"/>
      <c r="BM70" s="787"/>
      <c r="BO70" s="789">
        <v>10</v>
      </c>
      <c r="BP70" s="787" t="s">
        <v>316</v>
      </c>
      <c r="BQ70" s="787"/>
      <c r="BR70" s="788"/>
      <c r="BS70" s="789"/>
      <c r="BT70" s="787"/>
      <c r="BU70" s="785"/>
      <c r="BV70" s="785"/>
      <c r="BW70" s="787"/>
      <c r="BY70" s="789">
        <v>10</v>
      </c>
      <c r="BZ70" s="787" t="s">
        <v>316</v>
      </c>
      <c r="CA70" s="787" t="s">
        <v>501</v>
      </c>
      <c r="CB70" s="788"/>
      <c r="CC70" s="789"/>
      <c r="CD70" s="787" t="s">
        <v>502</v>
      </c>
      <c r="CE70" s="785"/>
      <c r="CF70" s="785"/>
      <c r="CG70" s="787" t="s">
        <v>503</v>
      </c>
      <c r="CI70" s="789">
        <v>10</v>
      </c>
      <c r="CJ70" s="787" t="s">
        <v>316</v>
      </c>
      <c r="CK70" s="787" t="s">
        <v>332</v>
      </c>
      <c r="CL70" s="788"/>
      <c r="CM70" s="789"/>
      <c r="CN70" s="838" t="s">
        <v>672</v>
      </c>
      <c r="CO70" s="840"/>
      <c r="CP70" s="839"/>
      <c r="CQ70" s="840" t="s">
        <v>673</v>
      </c>
      <c r="CS70" s="789">
        <v>10</v>
      </c>
      <c r="CT70" s="787" t="s">
        <v>316</v>
      </c>
      <c r="CU70" s="787"/>
      <c r="CV70" s="788"/>
      <c r="CW70" s="789"/>
      <c r="CX70" s="787"/>
      <c r="CY70" s="785"/>
      <c r="CZ70" s="785"/>
      <c r="DA70" s="787"/>
      <c r="DC70" s="789">
        <v>10</v>
      </c>
      <c r="DD70" s="787" t="s">
        <v>316</v>
      </c>
      <c r="DE70" s="787"/>
      <c r="DF70" s="788"/>
      <c r="DG70" s="789"/>
      <c r="DH70" s="787"/>
      <c r="DI70" s="785"/>
      <c r="DJ70" s="785"/>
      <c r="DK70" s="787"/>
      <c r="DM70" s="789">
        <v>10</v>
      </c>
      <c r="DN70" s="787" t="s">
        <v>316</v>
      </c>
      <c r="DO70" s="787"/>
      <c r="DP70" s="788"/>
      <c r="DQ70" s="789"/>
      <c r="DR70" s="787"/>
      <c r="DS70" s="785"/>
      <c r="DT70" s="785"/>
      <c r="DU70" s="787"/>
      <c r="DW70" s="789">
        <v>10</v>
      </c>
      <c r="DX70" s="787" t="s">
        <v>316</v>
      </c>
      <c r="DY70" s="787"/>
      <c r="DZ70" s="788"/>
      <c r="EA70" s="789"/>
      <c r="EB70" s="787"/>
      <c r="EC70" s="785"/>
      <c r="ED70" s="785"/>
      <c r="EE70" s="787"/>
      <c r="EG70" s="789">
        <v>10</v>
      </c>
      <c r="EH70" s="787" t="s">
        <v>316</v>
      </c>
      <c r="EI70" s="787"/>
      <c r="EJ70" s="788"/>
      <c r="EK70" s="789"/>
      <c r="EL70" s="787"/>
      <c r="EM70" s="785"/>
      <c r="EN70" s="785"/>
      <c r="EO70" s="787"/>
    </row>
    <row r="71" spans="2:146" ht="14.4" hidden="1">
      <c r="G71" s="789">
        <v>11</v>
      </c>
      <c r="H71" s="787" t="s">
        <v>317</v>
      </c>
      <c r="I71" s="787" t="s">
        <v>665</v>
      </c>
      <c r="J71" s="788"/>
      <c r="K71" s="789"/>
      <c r="L71" s="787" t="s">
        <v>670</v>
      </c>
      <c r="M71" s="785"/>
      <c r="N71" s="785"/>
      <c r="O71" s="787" t="s">
        <v>671</v>
      </c>
      <c r="Q71" s="789">
        <v>11</v>
      </c>
      <c r="R71" s="787" t="s">
        <v>317</v>
      </c>
      <c r="S71" s="787" t="s">
        <v>665</v>
      </c>
      <c r="T71" s="788"/>
      <c r="U71" s="789"/>
      <c r="V71" s="838" t="s">
        <v>670</v>
      </c>
      <c r="W71" s="839"/>
      <c r="X71" s="839"/>
      <c r="Y71" s="840" t="s">
        <v>671</v>
      </c>
      <c r="AA71" s="789">
        <v>11</v>
      </c>
      <c r="AB71" s="787" t="s">
        <v>317</v>
      </c>
      <c r="AC71" s="787" t="s">
        <v>665</v>
      </c>
      <c r="AD71" s="788"/>
      <c r="AE71" s="789"/>
      <c r="AF71" s="787" t="s">
        <v>666</v>
      </c>
      <c r="AG71" s="785"/>
      <c r="AH71" s="785"/>
      <c r="AI71" s="787" t="s">
        <v>666</v>
      </c>
      <c r="AK71" s="789">
        <v>11</v>
      </c>
      <c r="AL71" s="787" t="s">
        <v>317</v>
      </c>
      <c r="AM71" s="787"/>
      <c r="AN71" s="788"/>
      <c r="AO71" s="789"/>
      <c r="AP71" s="787"/>
      <c r="AQ71" s="785"/>
      <c r="AR71" s="785"/>
      <c r="AS71" s="787"/>
      <c r="AU71" s="789">
        <v>11</v>
      </c>
      <c r="AV71" s="787" t="s">
        <v>317</v>
      </c>
      <c r="AW71" s="787"/>
      <c r="AX71" s="788"/>
      <c r="AY71" s="789"/>
      <c r="AZ71" s="787"/>
      <c r="BA71" s="785"/>
      <c r="BB71" s="785"/>
      <c r="BC71" s="787"/>
      <c r="BE71" s="789">
        <v>11</v>
      </c>
      <c r="BF71" s="787" t="s">
        <v>317</v>
      </c>
      <c r="BG71" s="787"/>
      <c r="BH71" s="788"/>
      <c r="BI71" s="789"/>
      <c r="BJ71" s="787"/>
      <c r="BK71" s="785"/>
      <c r="BL71" s="785"/>
      <c r="BM71" s="787"/>
      <c r="BO71" s="789">
        <v>11</v>
      </c>
      <c r="BP71" s="787" t="s">
        <v>317</v>
      </c>
      <c r="BQ71" s="787"/>
      <c r="BR71" s="788"/>
      <c r="BS71" s="789"/>
      <c r="BT71" s="787"/>
      <c r="BU71" s="785"/>
      <c r="BV71" s="785"/>
      <c r="BW71" s="787"/>
      <c r="BY71" s="789">
        <v>11</v>
      </c>
      <c r="BZ71" s="787" t="s">
        <v>317</v>
      </c>
      <c r="CA71" s="787" t="s">
        <v>504</v>
      </c>
      <c r="CB71" s="788"/>
      <c r="CC71" s="789"/>
      <c r="CD71" s="787" t="s">
        <v>505</v>
      </c>
      <c r="CE71" s="785"/>
      <c r="CF71" s="785"/>
      <c r="CG71" s="787" t="s">
        <v>506</v>
      </c>
      <c r="CI71" s="789">
        <v>11</v>
      </c>
      <c r="CJ71" s="787" t="s">
        <v>317</v>
      </c>
      <c r="CK71" s="787" t="s">
        <v>325</v>
      </c>
      <c r="CL71" s="788"/>
      <c r="CM71" s="789"/>
      <c r="CN71" s="838" t="s">
        <v>345</v>
      </c>
      <c r="CO71" s="840"/>
      <c r="CP71" s="839"/>
      <c r="CQ71" s="840" t="s">
        <v>674</v>
      </c>
      <c r="CS71" s="789">
        <v>11</v>
      </c>
      <c r="CT71" s="787" t="s">
        <v>317</v>
      </c>
      <c r="CU71" s="787"/>
      <c r="CV71" s="788"/>
      <c r="CW71" s="789"/>
      <c r="CX71" s="787"/>
      <c r="CY71" s="785"/>
      <c r="CZ71" s="785"/>
      <c r="DA71" s="787"/>
      <c r="DC71" s="789">
        <v>11</v>
      </c>
      <c r="DD71" s="787" t="s">
        <v>317</v>
      </c>
      <c r="DE71" s="787"/>
      <c r="DF71" s="788"/>
      <c r="DG71" s="789"/>
      <c r="DH71" s="787"/>
      <c r="DI71" s="785"/>
      <c r="DJ71" s="785"/>
      <c r="DK71" s="787"/>
      <c r="DM71" s="789">
        <v>11</v>
      </c>
      <c r="DN71" s="787" t="s">
        <v>317</v>
      </c>
      <c r="DO71" s="787"/>
      <c r="DP71" s="788"/>
      <c r="DQ71" s="789"/>
      <c r="DR71" s="787"/>
      <c r="DS71" s="785"/>
      <c r="DT71" s="785"/>
      <c r="DU71" s="787"/>
      <c r="DW71" s="789">
        <v>11</v>
      </c>
      <c r="DX71" s="787" t="s">
        <v>317</v>
      </c>
      <c r="DY71" s="787"/>
      <c r="DZ71" s="788"/>
      <c r="EA71" s="789"/>
      <c r="EB71" s="787"/>
      <c r="EC71" s="785"/>
      <c r="ED71" s="785"/>
      <c r="EE71" s="787"/>
      <c r="EG71" s="789">
        <v>11</v>
      </c>
      <c r="EH71" s="787" t="s">
        <v>317</v>
      </c>
      <c r="EI71" s="787"/>
      <c r="EJ71" s="788"/>
      <c r="EK71" s="789"/>
      <c r="EL71" s="787"/>
      <c r="EM71" s="785"/>
      <c r="EN71" s="785"/>
      <c r="EO71" s="787"/>
    </row>
    <row r="72" spans="2:146" ht="14.4" hidden="1">
      <c r="G72" s="789">
        <v>12</v>
      </c>
      <c r="H72" s="787" t="s">
        <v>318</v>
      </c>
      <c r="I72" s="787" t="s">
        <v>677</v>
      </c>
      <c r="J72" s="788"/>
      <c r="K72" s="789"/>
      <c r="L72" s="787" t="s">
        <v>677</v>
      </c>
      <c r="M72" s="785"/>
      <c r="N72" s="785"/>
      <c r="O72" s="787" t="s">
        <v>677</v>
      </c>
      <c r="Q72" s="789">
        <v>12</v>
      </c>
      <c r="R72" s="787" t="s">
        <v>318</v>
      </c>
      <c r="S72" s="787" t="s">
        <v>677</v>
      </c>
      <c r="T72" s="788"/>
      <c r="U72" s="789"/>
      <c r="V72" s="840" t="s">
        <v>677</v>
      </c>
      <c r="W72" s="839"/>
      <c r="X72" s="839"/>
      <c r="Y72" s="840" t="s">
        <v>677</v>
      </c>
      <c r="AA72" s="789">
        <v>12</v>
      </c>
      <c r="AB72" s="787" t="s">
        <v>318</v>
      </c>
      <c r="AC72" s="787"/>
      <c r="AD72" s="788"/>
      <c r="AE72" s="789"/>
      <c r="AF72" s="787"/>
      <c r="AG72" s="785"/>
      <c r="AH72" s="785"/>
      <c r="AI72" s="787"/>
      <c r="AK72" s="789">
        <v>12</v>
      </c>
      <c r="AL72" s="787" t="s">
        <v>318</v>
      </c>
      <c r="AM72" s="787"/>
      <c r="AN72" s="788"/>
      <c r="AO72" s="789"/>
      <c r="AP72" s="787"/>
      <c r="AQ72" s="785"/>
      <c r="AR72" s="785"/>
      <c r="AS72" s="787"/>
      <c r="AU72" s="789">
        <v>12</v>
      </c>
      <c r="AV72" s="787" t="s">
        <v>318</v>
      </c>
      <c r="AW72" s="787"/>
      <c r="AX72" s="788"/>
      <c r="AY72" s="789"/>
      <c r="AZ72" s="787"/>
      <c r="BA72" s="785"/>
      <c r="BB72" s="785"/>
      <c r="BC72" s="787"/>
      <c r="BE72" s="789">
        <v>12</v>
      </c>
      <c r="BF72" s="787" t="s">
        <v>318</v>
      </c>
      <c r="BG72" s="787"/>
      <c r="BH72" s="788"/>
      <c r="BI72" s="789"/>
      <c r="BJ72" s="787"/>
      <c r="BK72" s="785"/>
      <c r="BL72" s="785"/>
      <c r="BM72" s="787"/>
      <c r="BO72" s="789">
        <v>12</v>
      </c>
      <c r="BP72" s="787" t="s">
        <v>318</v>
      </c>
      <c r="BQ72" s="787"/>
      <c r="BR72" s="788"/>
      <c r="BS72" s="789"/>
      <c r="BT72" s="787"/>
      <c r="BU72" s="785"/>
      <c r="BV72" s="785"/>
      <c r="BW72" s="787"/>
      <c r="BY72" s="789">
        <v>12</v>
      </c>
      <c r="BZ72" s="787" t="s">
        <v>318</v>
      </c>
      <c r="CA72" s="787" t="s">
        <v>507</v>
      </c>
      <c r="CB72" s="788"/>
      <c r="CC72" s="789"/>
      <c r="CD72" s="787" t="s">
        <v>508</v>
      </c>
      <c r="CE72" s="785"/>
      <c r="CF72" s="785"/>
      <c r="CG72" s="787" t="s">
        <v>509</v>
      </c>
      <c r="CI72" s="789">
        <v>12</v>
      </c>
      <c r="CJ72" s="787" t="s">
        <v>318</v>
      </c>
      <c r="CK72" s="787" t="s">
        <v>343</v>
      </c>
      <c r="CL72" s="788"/>
      <c r="CM72" s="789"/>
      <c r="CN72" s="787" t="s">
        <v>678</v>
      </c>
      <c r="CO72" s="785"/>
      <c r="CP72" s="785"/>
      <c r="CQ72" s="787" t="s">
        <v>679</v>
      </c>
      <c r="CS72" s="789">
        <v>12</v>
      </c>
      <c r="CT72" s="787" t="s">
        <v>318</v>
      </c>
      <c r="CU72" s="787"/>
      <c r="CV72" s="788"/>
      <c r="CW72" s="789"/>
      <c r="CX72" s="787"/>
      <c r="CY72" s="785"/>
      <c r="CZ72" s="785"/>
      <c r="DA72" s="787"/>
      <c r="DC72" s="789">
        <v>12</v>
      </c>
      <c r="DD72" s="787" t="s">
        <v>318</v>
      </c>
      <c r="DE72" s="787"/>
      <c r="DF72" s="788"/>
      <c r="DG72" s="789"/>
      <c r="DH72" s="787"/>
      <c r="DI72" s="785"/>
      <c r="DJ72" s="785"/>
      <c r="DK72" s="787"/>
      <c r="DM72" s="789">
        <v>12</v>
      </c>
      <c r="DN72" s="787" t="s">
        <v>318</v>
      </c>
      <c r="DO72" s="787"/>
      <c r="DP72" s="788"/>
      <c r="DQ72" s="789"/>
      <c r="DR72" s="787"/>
      <c r="DS72" s="785"/>
      <c r="DT72" s="785"/>
      <c r="DU72" s="787"/>
      <c r="DW72" s="789">
        <v>12</v>
      </c>
      <c r="DX72" s="787" t="s">
        <v>318</v>
      </c>
      <c r="DY72" s="787"/>
      <c r="DZ72" s="788"/>
      <c r="EA72" s="789"/>
      <c r="EB72" s="787"/>
      <c r="EC72" s="785"/>
      <c r="ED72" s="785"/>
      <c r="EE72" s="787"/>
      <c r="EG72" s="789">
        <v>12</v>
      </c>
      <c r="EH72" s="787" t="s">
        <v>318</v>
      </c>
      <c r="EI72" s="787"/>
      <c r="EJ72" s="788"/>
      <c r="EK72" s="789"/>
      <c r="EL72" s="787"/>
      <c r="EM72" s="785"/>
      <c r="EN72" s="785"/>
      <c r="EO72" s="787"/>
    </row>
    <row r="73" spans="2:146" ht="14.4" hidden="1">
      <c r="G73" s="789">
        <v>13</v>
      </c>
      <c r="H73" s="787" t="s">
        <v>319</v>
      </c>
      <c r="I73" s="787" t="s">
        <v>677</v>
      </c>
      <c r="J73" s="788"/>
      <c r="K73" s="789"/>
      <c r="L73" s="787" t="s">
        <v>677</v>
      </c>
      <c r="M73" s="785"/>
      <c r="N73" s="785"/>
      <c r="O73" s="787" t="s">
        <v>677</v>
      </c>
      <c r="Q73" s="789">
        <v>13</v>
      </c>
      <c r="R73" s="787" t="s">
        <v>319</v>
      </c>
      <c r="S73" s="787" t="s">
        <v>677</v>
      </c>
      <c r="T73" s="788"/>
      <c r="U73" s="789"/>
      <c r="V73" s="787" t="s">
        <v>677</v>
      </c>
      <c r="W73" s="785"/>
      <c r="X73" s="785"/>
      <c r="Y73" s="787" t="s">
        <v>677</v>
      </c>
      <c r="AA73" s="789">
        <v>13</v>
      </c>
      <c r="AB73" s="787" t="s">
        <v>319</v>
      </c>
      <c r="AC73" s="787"/>
      <c r="AD73" s="788"/>
      <c r="AE73" s="789"/>
      <c r="AF73" s="787"/>
      <c r="AG73" s="785"/>
      <c r="AH73" s="785"/>
      <c r="AI73" s="787"/>
      <c r="AK73" s="789">
        <v>13</v>
      </c>
      <c r="AL73" s="787" t="s">
        <v>319</v>
      </c>
      <c r="AM73" s="787"/>
      <c r="AN73" s="788"/>
      <c r="AO73" s="789"/>
      <c r="AP73" s="787"/>
      <c r="AQ73" s="785"/>
      <c r="AR73" s="785"/>
      <c r="AS73" s="787"/>
      <c r="AU73" s="789">
        <v>13</v>
      </c>
      <c r="AV73" s="787" t="s">
        <v>319</v>
      </c>
      <c r="AW73" s="787"/>
      <c r="AX73" s="788"/>
      <c r="AY73" s="789"/>
      <c r="AZ73" s="787"/>
      <c r="BA73" s="785"/>
      <c r="BB73" s="785"/>
      <c r="BC73" s="787"/>
      <c r="BE73" s="789">
        <v>13</v>
      </c>
      <c r="BF73" s="787" t="s">
        <v>319</v>
      </c>
      <c r="BG73" s="787"/>
      <c r="BH73" s="788"/>
      <c r="BI73" s="789"/>
      <c r="BJ73" s="787"/>
      <c r="BK73" s="785"/>
      <c r="BL73" s="785"/>
      <c r="BM73" s="787"/>
      <c r="BO73" s="789">
        <v>13</v>
      </c>
      <c r="BP73" s="787" t="s">
        <v>319</v>
      </c>
      <c r="BQ73" s="787"/>
      <c r="BR73" s="788"/>
      <c r="BS73" s="789"/>
      <c r="BT73" s="787"/>
      <c r="BU73" s="785"/>
      <c r="BV73" s="785"/>
      <c r="BW73" s="787"/>
      <c r="BY73" s="789">
        <v>13</v>
      </c>
      <c r="BZ73" s="787" t="s">
        <v>319</v>
      </c>
      <c r="CA73" s="787"/>
      <c r="CB73" s="788"/>
      <c r="CC73" s="789"/>
      <c r="CD73" s="787"/>
      <c r="CE73" s="785"/>
      <c r="CF73" s="785"/>
      <c r="CG73" s="787"/>
      <c r="CI73" s="789">
        <v>13</v>
      </c>
      <c r="CJ73" s="787" t="s">
        <v>319</v>
      </c>
      <c r="CK73" s="787"/>
      <c r="CL73" s="788"/>
      <c r="CM73" s="789"/>
      <c r="CN73" s="787"/>
      <c r="CO73" s="785"/>
      <c r="CP73" s="785"/>
      <c r="CQ73" s="787"/>
      <c r="CS73" s="789">
        <v>13</v>
      </c>
      <c r="CT73" s="787" t="s">
        <v>319</v>
      </c>
      <c r="CU73" s="787"/>
      <c r="CV73" s="788"/>
      <c r="CW73" s="789"/>
      <c r="CX73" s="787"/>
      <c r="CY73" s="785"/>
      <c r="CZ73" s="785"/>
      <c r="DA73" s="787"/>
      <c r="DC73" s="789">
        <v>13</v>
      </c>
      <c r="DD73" s="787" t="s">
        <v>319</v>
      </c>
      <c r="DE73" s="787"/>
      <c r="DF73" s="788"/>
      <c r="DG73" s="789"/>
      <c r="DH73" s="787"/>
      <c r="DI73" s="785"/>
      <c r="DJ73" s="785"/>
      <c r="DK73" s="787"/>
      <c r="DM73" s="789">
        <v>13</v>
      </c>
      <c r="DN73" s="787" t="s">
        <v>319</v>
      </c>
      <c r="DO73" s="787"/>
      <c r="DP73" s="788"/>
      <c r="DQ73" s="789"/>
      <c r="DR73" s="787"/>
      <c r="DS73" s="785"/>
      <c r="DT73" s="785"/>
      <c r="DU73" s="787"/>
      <c r="DW73" s="789">
        <v>13</v>
      </c>
      <c r="DX73" s="787" t="s">
        <v>319</v>
      </c>
      <c r="DY73" s="787"/>
      <c r="DZ73" s="788"/>
      <c r="EA73" s="789"/>
      <c r="EB73" s="787"/>
      <c r="EC73" s="785"/>
      <c r="ED73" s="785"/>
      <c r="EE73" s="787"/>
      <c r="EG73" s="789">
        <v>13</v>
      </c>
      <c r="EH73" s="787" t="s">
        <v>319</v>
      </c>
      <c r="EI73" s="787"/>
      <c r="EJ73" s="788"/>
      <c r="EK73" s="789"/>
      <c r="EL73" s="787"/>
      <c r="EM73" s="785"/>
      <c r="EN73" s="785"/>
      <c r="EO73" s="787"/>
    </row>
    <row r="74" spans="2:146" ht="14.4" hidden="1">
      <c r="G74" s="789">
        <v>14</v>
      </c>
      <c r="H74" s="787" t="s">
        <v>320</v>
      </c>
      <c r="I74" s="787"/>
      <c r="J74" s="788"/>
      <c r="K74" s="789"/>
      <c r="L74" s="787"/>
      <c r="M74" s="785"/>
      <c r="N74" s="785"/>
      <c r="O74" s="787"/>
      <c r="Q74" s="789">
        <v>14</v>
      </c>
      <c r="R74" s="787" t="s">
        <v>320</v>
      </c>
      <c r="S74" s="787"/>
      <c r="T74" s="788"/>
      <c r="U74" s="789"/>
      <c r="V74" s="787"/>
      <c r="W74" s="785"/>
      <c r="X74" s="785"/>
      <c r="Y74" s="787"/>
      <c r="AA74" s="789">
        <v>14</v>
      </c>
      <c r="AB74" s="787" t="s">
        <v>320</v>
      </c>
      <c r="AC74" s="787"/>
      <c r="AD74" s="788"/>
      <c r="AE74" s="789"/>
      <c r="AF74" s="787"/>
      <c r="AG74" s="785"/>
      <c r="AH74" s="785"/>
      <c r="AI74" s="787"/>
      <c r="AK74" s="789">
        <v>14</v>
      </c>
      <c r="AL74" s="787" t="s">
        <v>320</v>
      </c>
      <c r="AM74" s="787"/>
      <c r="AN74" s="788"/>
      <c r="AO74" s="789"/>
      <c r="AP74" s="787"/>
      <c r="AQ74" s="785"/>
      <c r="AR74" s="785"/>
      <c r="AS74" s="787"/>
      <c r="AU74" s="789">
        <v>14</v>
      </c>
      <c r="AV74" s="787" t="s">
        <v>320</v>
      </c>
      <c r="AW74" s="787"/>
      <c r="AX74" s="788"/>
      <c r="AY74" s="789"/>
      <c r="AZ74" s="787"/>
      <c r="BA74" s="785"/>
      <c r="BB74" s="785"/>
      <c r="BC74" s="787"/>
      <c r="BE74" s="789">
        <v>14</v>
      </c>
      <c r="BF74" s="787" t="s">
        <v>320</v>
      </c>
      <c r="BG74" s="787"/>
      <c r="BH74" s="788"/>
      <c r="BI74" s="789"/>
      <c r="BJ74" s="787"/>
      <c r="BK74" s="785"/>
      <c r="BL74" s="785"/>
      <c r="BM74" s="787"/>
      <c r="BO74" s="789">
        <v>14</v>
      </c>
      <c r="BP74" s="787" t="s">
        <v>320</v>
      </c>
      <c r="BQ74" s="787"/>
      <c r="BR74" s="788"/>
      <c r="BS74" s="789"/>
      <c r="BT74" s="787"/>
      <c r="BU74" s="785"/>
      <c r="BV74" s="785"/>
      <c r="BW74" s="787"/>
      <c r="BY74" s="789">
        <v>14</v>
      </c>
      <c r="BZ74" s="787" t="s">
        <v>320</v>
      </c>
      <c r="CA74" s="787"/>
      <c r="CB74" s="788"/>
      <c r="CC74" s="789"/>
      <c r="CD74" s="787"/>
      <c r="CE74" s="785"/>
      <c r="CF74" s="785"/>
      <c r="CG74" s="787"/>
      <c r="CI74" s="789">
        <v>14</v>
      </c>
      <c r="CJ74" s="787" t="s">
        <v>320</v>
      </c>
      <c r="CK74" s="787"/>
      <c r="CL74" s="788"/>
      <c r="CM74" s="789"/>
      <c r="CN74" s="787"/>
      <c r="CO74" s="785"/>
      <c r="CP74" s="785"/>
      <c r="CQ74" s="787"/>
      <c r="CS74" s="789">
        <v>14</v>
      </c>
      <c r="CT74" s="787" t="s">
        <v>320</v>
      </c>
      <c r="CU74" s="787"/>
      <c r="CV74" s="788"/>
      <c r="CW74" s="789"/>
      <c r="CX74" s="787"/>
      <c r="CY74" s="785"/>
      <c r="CZ74" s="785"/>
      <c r="DA74" s="787"/>
      <c r="DC74" s="789">
        <v>14</v>
      </c>
      <c r="DD74" s="787" t="s">
        <v>320</v>
      </c>
      <c r="DE74" s="787"/>
      <c r="DF74" s="788"/>
      <c r="DG74" s="789"/>
      <c r="DH74" s="787"/>
      <c r="DI74" s="785"/>
      <c r="DJ74" s="785"/>
      <c r="DK74" s="787"/>
      <c r="DM74" s="789">
        <v>14</v>
      </c>
      <c r="DN74" s="787" t="s">
        <v>320</v>
      </c>
      <c r="DO74" s="787"/>
      <c r="DP74" s="788"/>
      <c r="DQ74" s="789"/>
      <c r="DR74" s="787"/>
      <c r="DS74" s="785"/>
      <c r="DT74" s="785"/>
      <c r="DU74" s="787"/>
      <c r="DW74" s="789">
        <v>14</v>
      </c>
      <c r="DX74" s="787" t="s">
        <v>320</v>
      </c>
      <c r="DY74" s="787"/>
      <c r="DZ74" s="788"/>
      <c r="EA74" s="789"/>
      <c r="EB74" s="787"/>
      <c r="EC74" s="785"/>
      <c r="ED74" s="785"/>
      <c r="EE74" s="787"/>
      <c r="EG74" s="789">
        <v>14</v>
      </c>
      <c r="EH74" s="787" t="s">
        <v>320</v>
      </c>
      <c r="EI74" s="787"/>
      <c r="EJ74" s="788"/>
      <c r="EK74" s="789"/>
      <c r="EL74" s="787"/>
      <c r="EM74" s="785"/>
      <c r="EN74" s="785"/>
      <c r="EO74" s="787"/>
    </row>
    <row r="75" spans="2:146" ht="14.4" hidden="1">
      <c r="G75" s="789">
        <v>15</v>
      </c>
      <c r="H75" s="787" t="s">
        <v>321</v>
      </c>
      <c r="I75" s="787"/>
      <c r="J75" s="788"/>
      <c r="K75" s="789"/>
      <c r="L75" s="787"/>
      <c r="M75" s="785"/>
      <c r="N75" s="785"/>
      <c r="O75" s="787"/>
      <c r="Q75" s="789">
        <v>15</v>
      </c>
      <c r="R75" s="787" t="s">
        <v>321</v>
      </c>
      <c r="S75" s="787"/>
      <c r="T75" s="788"/>
      <c r="U75" s="789"/>
      <c r="V75" s="787"/>
      <c r="W75" s="785"/>
      <c r="X75" s="785"/>
      <c r="Y75" s="787"/>
      <c r="AA75" s="789">
        <v>15</v>
      </c>
      <c r="AB75" s="787" t="s">
        <v>321</v>
      </c>
      <c r="AC75" s="787"/>
      <c r="AD75" s="788"/>
      <c r="AE75" s="789"/>
      <c r="AF75" s="787"/>
      <c r="AG75" s="785"/>
      <c r="AH75" s="785"/>
      <c r="AI75" s="787"/>
      <c r="AK75" s="789">
        <v>15</v>
      </c>
      <c r="AL75" s="787" t="s">
        <v>321</v>
      </c>
      <c r="AM75" s="787"/>
      <c r="AN75" s="788"/>
      <c r="AO75" s="789"/>
      <c r="AP75" s="787"/>
      <c r="AQ75" s="785"/>
      <c r="AR75" s="785"/>
      <c r="AS75" s="787"/>
      <c r="AU75" s="789">
        <v>15</v>
      </c>
      <c r="AV75" s="787" t="s">
        <v>321</v>
      </c>
      <c r="AW75" s="787"/>
      <c r="AX75" s="788"/>
      <c r="AY75" s="789"/>
      <c r="AZ75" s="787"/>
      <c r="BA75" s="785"/>
      <c r="BB75" s="785"/>
      <c r="BC75" s="787"/>
      <c r="BE75" s="789">
        <v>15</v>
      </c>
      <c r="BF75" s="787" t="s">
        <v>321</v>
      </c>
      <c r="BG75" s="787"/>
      <c r="BH75" s="788"/>
      <c r="BI75" s="789"/>
      <c r="BJ75" s="787"/>
      <c r="BK75" s="785"/>
      <c r="BL75" s="785"/>
      <c r="BM75" s="787"/>
      <c r="BO75" s="789">
        <v>15</v>
      </c>
      <c r="BP75" s="787" t="s">
        <v>321</v>
      </c>
      <c r="BQ75" s="787"/>
      <c r="BR75" s="788"/>
      <c r="BS75" s="789"/>
      <c r="BT75" s="787"/>
      <c r="BU75" s="785"/>
      <c r="BV75" s="785"/>
      <c r="BW75" s="787"/>
      <c r="BY75" s="789">
        <v>15</v>
      </c>
      <c r="BZ75" s="787" t="s">
        <v>321</v>
      </c>
      <c r="CA75" s="787"/>
      <c r="CB75" s="788"/>
      <c r="CC75" s="789"/>
      <c r="CD75" s="787"/>
      <c r="CE75" s="785"/>
      <c r="CF75" s="785"/>
      <c r="CG75" s="787"/>
      <c r="CI75" s="789">
        <v>15</v>
      </c>
      <c r="CJ75" s="787" t="s">
        <v>321</v>
      </c>
      <c r="CK75" s="787"/>
      <c r="CL75" s="788"/>
      <c r="CM75" s="789"/>
      <c r="CN75" s="787"/>
      <c r="CO75" s="785"/>
      <c r="CP75" s="785"/>
      <c r="CQ75" s="787"/>
      <c r="CS75" s="789">
        <v>15</v>
      </c>
      <c r="CT75" s="787" t="s">
        <v>321</v>
      </c>
      <c r="CU75" s="787"/>
      <c r="CV75" s="788"/>
      <c r="CW75" s="789"/>
      <c r="CX75" s="787"/>
      <c r="CY75" s="785"/>
      <c r="CZ75" s="785"/>
      <c r="DA75" s="787"/>
      <c r="DC75" s="789">
        <v>15</v>
      </c>
      <c r="DD75" s="787" t="s">
        <v>321</v>
      </c>
      <c r="DE75" s="787"/>
      <c r="DF75" s="788"/>
      <c r="DG75" s="789"/>
      <c r="DH75" s="787"/>
      <c r="DI75" s="785"/>
      <c r="DJ75" s="785"/>
      <c r="DK75" s="787"/>
      <c r="DM75" s="789">
        <v>15</v>
      </c>
      <c r="DN75" s="787" t="s">
        <v>321</v>
      </c>
      <c r="DO75" s="787"/>
      <c r="DP75" s="788"/>
      <c r="DQ75" s="789"/>
      <c r="DR75" s="787"/>
      <c r="DS75" s="785"/>
      <c r="DT75" s="785"/>
      <c r="DU75" s="787"/>
      <c r="DW75" s="789">
        <v>15</v>
      </c>
      <c r="DX75" s="787" t="s">
        <v>321</v>
      </c>
      <c r="DY75" s="787"/>
      <c r="DZ75" s="788"/>
      <c r="EA75" s="789"/>
      <c r="EB75" s="787"/>
      <c r="EC75" s="785"/>
      <c r="ED75" s="785"/>
      <c r="EE75" s="787"/>
      <c r="EG75" s="789">
        <v>15</v>
      </c>
      <c r="EH75" s="787" t="s">
        <v>321</v>
      </c>
      <c r="EI75" s="787"/>
      <c r="EJ75" s="788"/>
      <c r="EK75" s="789"/>
      <c r="EL75" s="787"/>
      <c r="EM75" s="785"/>
      <c r="EN75" s="785"/>
      <c r="EO75" s="787"/>
    </row>
    <row r="76" spans="2:146" hidden="1"/>
    <row r="77" spans="2:146" hidden="1">
      <c r="B77" s="798">
        <v>1</v>
      </c>
      <c r="C77" s="798">
        <v>2</v>
      </c>
      <c r="D77" s="798">
        <v>3</v>
      </c>
      <c r="E77" s="798">
        <v>4</v>
      </c>
      <c r="F77" s="798">
        <v>5</v>
      </c>
      <c r="G77" s="798">
        <v>6</v>
      </c>
      <c r="H77" s="798">
        <v>7</v>
      </c>
      <c r="I77" s="798">
        <v>8</v>
      </c>
      <c r="J77" s="798">
        <v>9</v>
      </c>
      <c r="K77" s="798">
        <v>10</v>
      </c>
      <c r="L77" s="798">
        <v>11</v>
      </c>
      <c r="M77" s="798">
        <v>12</v>
      </c>
      <c r="N77" s="798">
        <v>13</v>
      </c>
      <c r="O77" s="798">
        <v>14</v>
      </c>
      <c r="P77" s="798">
        <v>15</v>
      </c>
      <c r="Q77" s="798">
        <v>16</v>
      </c>
      <c r="R77" s="798">
        <v>17</v>
      </c>
      <c r="S77" s="798">
        <v>18</v>
      </c>
      <c r="T77" s="798">
        <v>19</v>
      </c>
      <c r="U77" s="798">
        <v>20</v>
      </c>
      <c r="V77" s="798">
        <v>21</v>
      </c>
      <c r="W77" s="798">
        <v>22</v>
      </c>
      <c r="X77" s="798">
        <v>23</v>
      </c>
      <c r="Y77" s="798">
        <v>24</v>
      </c>
      <c r="Z77" s="798">
        <v>25</v>
      </c>
      <c r="AA77" s="798">
        <v>26</v>
      </c>
      <c r="AB77" s="798">
        <v>27</v>
      </c>
      <c r="AC77" s="798">
        <v>28</v>
      </c>
      <c r="AD77" s="798">
        <v>29</v>
      </c>
      <c r="AE77" s="798">
        <v>30</v>
      </c>
      <c r="AF77" s="798">
        <v>31</v>
      </c>
      <c r="AG77" s="798">
        <v>32</v>
      </c>
      <c r="AH77" s="798">
        <v>33</v>
      </c>
      <c r="AI77" s="798">
        <v>34</v>
      </c>
      <c r="AJ77" s="798">
        <v>35</v>
      </c>
      <c r="AK77" s="798">
        <v>36</v>
      </c>
      <c r="AL77" s="798">
        <v>37</v>
      </c>
      <c r="AM77" s="798">
        <v>38</v>
      </c>
      <c r="AN77" s="798">
        <v>39</v>
      </c>
      <c r="AO77" s="798">
        <v>40</v>
      </c>
      <c r="AP77" s="798">
        <v>41</v>
      </c>
      <c r="AQ77" s="798">
        <v>42</v>
      </c>
      <c r="AR77" s="798">
        <v>43</v>
      </c>
      <c r="AS77" s="798">
        <v>44</v>
      </c>
      <c r="AT77" s="798">
        <v>45</v>
      </c>
      <c r="AU77" s="798">
        <v>46</v>
      </c>
      <c r="AV77" s="798">
        <v>47</v>
      </c>
      <c r="AW77" s="798">
        <v>48</v>
      </c>
      <c r="AX77" s="798">
        <v>49</v>
      </c>
      <c r="AY77" s="798">
        <v>50</v>
      </c>
      <c r="AZ77" s="798">
        <v>51</v>
      </c>
      <c r="BA77" s="798">
        <v>52</v>
      </c>
      <c r="BB77" s="798">
        <v>53</v>
      </c>
      <c r="BC77" s="798">
        <v>54</v>
      </c>
      <c r="BD77" s="798">
        <v>55</v>
      </c>
      <c r="BE77" s="798">
        <v>56</v>
      </c>
      <c r="BF77" s="798">
        <v>57</v>
      </c>
      <c r="BG77" s="798">
        <v>58</v>
      </c>
      <c r="BH77" s="798">
        <v>59</v>
      </c>
      <c r="BI77" s="798">
        <v>60</v>
      </c>
      <c r="BJ77" s="798">
        <v>61</v>
      </c>
      <c r="BK77" s="798">
        <v>62</v>
      </c>
      <c r="BL77" s="798">
        <v>63</v>
      </c>
      <c r="BM77" s="798">
        <v>64</v>
      </c>
      <c r="BN77" s="798">
        <v>65</v>
      </c>
      <c r="BO77" s="798">
        <v>66</v>
      </c>
      <c r="BP77" s="798">
        <v>67</v>
      </c>
      <c r="BQ77" s="798">
        <v>68</v>
      </c>
      <c r="BR77" s="798">
        <v>69</v>
      </c>
      <c r="BS77" s="798">
        <v>70</v>
      </c>
      <c r="BT77" s="798">
        <v>71</v>
      </c>
      <c r="BU77" s="798">
        <v>72</v>
      </c>
      <c r="BV77" s="798">
        <v>73</v>
      </c>
      <c r="BW77" s="798">
        <v>74</v>
      </c>
      <c r="BX77" s="798">
        <v>75</v>
      </c>
      <c r="BY77" s="798">
        <v>76</v>
      </c>
      <c r="BZ77" s="798">
        <v>77</v>
      </c>
      <c r="CA77" s="798">
        <v>78</v>
      </c>
      <c r="CB77" s="798">
        <v>79</v>
      </c>
      <c r="CC77" s="798">
        <v>80</v>
      </c>
      <c r="CD77" s="798">
        <v>81</v>
      </c>
      <c r="CE77" s="798">
        <v>82</v>
      </c>
      <c r="CF77" s="798">
        <v>83</v>
      </c>
      <c r="CG77" s="798">
        <v>84</v>
      </c>
      <c r="CH77" s="798">
        <v>85</v>
      </c>
      <c r="CI77" s="798">
        <v>86</v>
      </c>
      <c r="CJ77" s="798">
        <v>87</v>
      </c>
      <c r="CK77" s="798">
        <v>88</v>
      </c>
      <c r="CL77" s="798">
        <v>89</v>
      </c>
      <c r="CM77" s="798">
        <v>90</v>
      </c>
      <c r="CN77" s="798">
        <v>91</v>
      </c>
      <c r="CO77" s="798">
        <v>92</v>
      </c>
      <c r="CP77" s="798">
        <v>93</v>
      </c>
      <c r="CQ77" s="798">
        <v>94</v>
      </c>
      <c r="CR77" s="798">
        <v>95</v>
      </c>
      <c r="CS77" s="798">
        <v>96</v>
      </c>
      <c r="CT77" s="798">
        <v>97</v>
      </c>
      <c r="CU77" s="798">
        <v>98</v>
      </c>
      <c r="CV77" s="798">
        <v>99</v>
      </c>
      <c r="CW77" s="798">
        <v>100</v>
      </c>
      <c r="CX77" s="798">
        <v>101</v>
      </c>
      <c r="CY77" s="798">
        <v>102</v>
      </c>
      <c r="CZ77" s="798">
        <v>103</v>
      </c>
      <c r="DA77" s="798">
        <v>104</v>
      </c>
      <c r="DB77" s="798">
        <v>105</v>
      </c>
      <c r="DC77" s="798">
        <v>106</v>
      </c>
      <c r="DD77" s="798">
        <v>107</v>
      </c>
      <c r="DE77" s="798">
        <v>108</v>
      </c>
      <c r="DF77" s="798">
        <v>109</v>
      </c>
      <c r="DG77" s="798">
        <v>110</v>
      </c>
      <c r="DH77" s="798">
        <v>111</v>
      </c>
      <c r="DI77" s="798">
        <v>112</v>
      </c>
      <c r="DJ77" s="798">
        <v>113</v>
      </c>
      <c r="DK77" s="798">
        <v>114</v>
      </c>
      <c r="DL77" s="798">
        <v>115</v>
      </c>
      <c r="DM77" s="798">
        <v>116</v>
      </c>
      <c r="DN77" s="798">
        <v>117</v>
      </c>
      <c r="DO77" s="798">
        <v>118</v>
      </c>
      <c r="DP77" s="798">
        <v>119</v>
      </c>
      <c r="DQ77" s="798">
        <v>120</v>
      </c>
      <c r="DR77" s="798">
        <v>121</v>
      </c>
      <c r="DS77" s="798">
        <v>122</v>
      </c>
      <c r="DT77" s="798">
        <v>123</v>
      </c>
      <c r="DU77" s="798">
        <v>124</v>
      </c>
      <c r="DV77" s="798">
        <v>125</v>
      </c>
      <c r="DW77" s="798">
        <v>126</v>
      </c>
      <c r="DX77" s="798">
        <v>127</v>
      </c>
      <c r="DY77" s="798">
        <v>128</v>
      </c>
      <c r="DZ77" s="798">
        <v>129</v>
      </c>
      <c r="EA77" s="798">
        <v>130</v>
      </c>
      <c r="EB77" s="798">
        <v>131</v>
      </c>
      <c r="EC77" s="798">
        <v>132</v>
      </c>
      <c r="ED77" s="798">
        <v>133</v>
      </c>
      <c r="EE77" s="798">
        <v>134</v>
      </c>
      <c r="EF77" s="798">
        <v>135</v>
      </c>
      <c r="EG77" s="798">
        <v>136</v>
      </c>
      <c r="EH77" s="798">
        <v>137</v>
      </c>
      <c r="EI77" s="798">
        <v>138</v>
      </c>
      <c r="EJ77" s="798">
        <v>139</v>
      </c>
      <c r="EK77" s="798">
        <v>140</v>
      </c>
      <c r="EL77" s="798">
        <v>141</v>
      </c>
      <c r="EM77" s="798">
        <v>142</v>
      </c>
      <c r="EN77" s="798">
        <v>143</v>
      </c>
      <c r="EO77" s="798">
        <v>144</v>
      </c>
      <c r="EP77" s="798">
        <v>145</v>
      </c>
    </row>
  </sheetData>
  <sheetProtection algorithmName="SHA-512" hashValue="aj1UhQyUGqQIAN9pOkA1ywv32r+2G4iVybbciXTrwIMwyDZgjsLRXy5nKfUHy+8lE/DZhme26O8PHBC6dZWvmA==" saltValue="vu+HmvshWvjVZeTIahlvGA==" spinCount="100000" sheet="1" objects="1" scenarios="1"/>
  <mergeCells count="16">
    <mergeCell ref="D2:E2"/>
    <mergeCell ref="G1:O1"/>
    <mergeCell ref="B1:F1"/>
    <mergeCell ref="Q1:Y1"/>
    <mergeCell ref="AA1:AI1"/>
    <mergeCell ref="AK1:AS1"/>
    <mergeCell ref="AU1:BC1"/>
    <mergeCell ref="BE1:BM1"/>
    <mergeCell ref="BO1:BW1"/>
    <mergeCell ref="BY1:CG1"/>
    <mergeCell ref="EG1:EO1"/>
    <mergeCell ref="CI1:CQ1"/>
    <mergeCell ref="CS1:DA1"/>
    <mergeCell ref="DC1:DK1"/>
    <mergeCell ref="DM1:DU1"/>
    <mergeCell ref="DW1:EE1"/>
  </mergeCells>
  <conditionalFormatting sqref="G3:H12">
    <cfRule type="expression" dxfId="251" priority="250">
      <formula>LEN(G3)&gt;=4</formula>
    </cfRule>
    <cfRule type="cellIs" dxfId="250" priority="251" operator="lessThan">
      <formula>5</formula>
    </cfRule>
    <cfRule type="cellIs" dxfId="249" priority="252" operator="greaterThan">
      <formula>8</formula>
    </cfRule>
  </conditionalFormatting>
  <conditionalFormatting sqref="J3:K12">
    <cfRule type="expression" dxfId="248" priority="247">
      <formula>LEN(J3)&gt;=4</formula>
    </cfRule>
    <cfRule type="cellIs" dxfId="247" priority="248" operator="lessThan">
      <formula>5</formula>
    </cfRule>
    <cfRule type="cellIs" dxfId="246" priority="249" operator="greaterThan">
      <formula>8</formula>
    </cfRule>
  </conditionalFormatting>
  <conditionalFormatting sqref="M3:N12">
    <cfRule type="expression" dxfId="245" priority="244">
      <formula>LEN(M3)&gt;=4</formula>
    </cfRule>
    <cfRule type="cellIs" dxfId="244" priority="245" operator="lessThan">
      <formula>5</formula>
    </cfRule>
    <cfRule type="cellIs" dxfId="243" priority="246" operator="greaterThan">
      <formula>8</formula>
    </cfRule>
  </conditionalFormatting>
  <conditionalFormatting sqref="G13:H57">
    <cfRule type="expression" dxfId="242" priority="241">
      <formula>LEN(G13)&gt;=4</formula>
    </cfRule>
    <cfRule type="cellIs" dxfId="241" priority="242" operator="lessThan">
      <formula>5</formula>
    </cfRule>
    <cfRule type="cellIs" dxfId="240" priority="243" operator="greaterThan">
      <formula>8</formula>
    </cfRule>
  </conditionalFormatting>
  <conditionalFormatting sqref="J13:K57">
    <cfRule type="expression" dxfId="239" priority="238">
      <formula>LEN(J13)&gt;=4</formula>
    </cfRule>
    <cfRule type="cellIs" dxfId="238" priority="239" operator="lessThan">
      <formula>5</formula>
    </cfRule>
    <cfRule type="cellIs" dxfId="237" priority="240" operator="greaterThan">
      <formula>8</formula>
    </cfRule>
  </conditionalFormatting>
  <conditionalFormatting sqref="M13:N57">
    <cfRule type="expression" dxfId="236" priority="235">
      <formula>LEN(M13)&gt;=4</formula>
    </cfRule>
    <cfRule type="cellIs" dxfId="235" priority="236" operator="lessThan">
      <formula>5</formula>
    </cfRule>
    <cfRule type="cellIs" dxfId="234" priority="237" operator="greaterThan">
      <formula>8</formula>
    </cfRule>
  </conditionalFormatting>
  <conditionalFormatting sqref="Q3:R12">
    <cfRule type="expression" dxfId="233" priority="232">
      <formula>LEN(Q3)&gt;=4</formula>
    </cfRule>
    <cfRule type="cellIs" dxfId="232" priority="233" operator="lessThan">
      <formula>5</formula>
    </cfRule>
    <cfRule type="cellIs" dxfId="231" priority="234" operator="greaterThan">
      <formula>8</formula>
    </cfRule>
  </conditionalFormatting>
  <conditionalFormatting sqref="T3:U12">
    <cfRule type="expression" dxfId="230" priority="229">
      <formula>LEN(T3)&gt;=4</formula>
    </cfRule>
    <cfRule type="cellIs" dxfId="229" priority="230" operator="lessThan">
      <formula>5</formula>
    </cfRule>
    <cfRule type="cellIs" dxfId="228" priority="231" operator="greaterThan">
      <formula>8</formula>
    </cfRule>
  </conditionalFormatting>
  <conditionalFormatting sqref="W3:X12">
    <cfRule type="expression" dxfId="227" priority="226">
      <formula>LEN(W3)&gt;=4</formula>
    </cfRule>
    <cfRule type="cellIs" dxfId="226" priority="227" operator="lessThan">
      <formula>5</formula>
    </cfRule>
    <cfRule type="cellIs" dxfId="225" priority="228" operator="greaterThan">
      <formula>8</formula>
    </cfRule>
  </conditionalFormatting>
  <conditionalFormatting sqref="Q13:R57">
    <cfRule type="expression" dxfId="224" priority="223">
      <formula>LEN(Q13)&gt;=4</formula>
    </cfRule>
    <cfRule type="cellIs" dxfId="223" priority="224" operator="lessThan">
      <formula>5</formula>
    </cfRule>
    <cfRule type="cellIs" dxfId="222" priority="225" operator="greaterThan">
      <formula>8</formula>
    </cfRule>
  </conditionalFormatting>
  <conditionalFormatting sqref="T13:U57">
    <cfRule type="expression" dxfId="221" priority="220">
      <formula>LEN(T13)&gt;=4</formula>
    </cfRule>
    <cfRule type="cellIs" dxfId="220" priority="221" operator="lessThan">
      <formula>5</formula>
    </cfRule>
    <cfRule type="cellIs" dxfId="219" priority="222" operator="greaterThan">
      <formula>8</formula>
    </cfRule>
  </conditionalFormatting>
  <conditionalFormatting sqref="W13:X57">
    <cfRule type="expression" dxfId="218" priority="217">
      <formula>LEN(W13)&gt;=4</formula>
    </cfRule>
    <cfRule type="cellIs" dxfId="217" priority="218" operator="lessThan">
      <formula>5</formula>
    </cfRule>
    <cfRule type="cellIs" dxfId="216" priority="219" operator="greaterThan">
      <formula>8</formula>
    </cfRule>
  </conditionalFormatting>
  <conditionalFormatting sqref="AA3:AB12">
    <cfRule type="expression" dxfId="215" priority="214">
      <formula>LEN(AA3)&gt;=4</formula>
    </cfRule>
    <cfRule type="cellIs" dxfId="214" priority="215" operator="lessThan">
      <formula>5</formula>
    </cfRule>
    <cfRule type="cellIs" dxfId="213" priority="216" operator="greaterThan">
      <formula>8</formula>
    </cfRule>
  </conditionalFormatting>
  <conditionalFormatting sqref="AD3:AE12">
    <cfRule type="expression" dxfId="212" priority="211">
      <formula>LEN(AD3)&gt;=4</formula>
    </cfRule>
    <cfRule type="cellIs" dxfId="211" priority="212" operator="lessThan">
      <formula>5</formula>
    </cfRule>
    <cfRule type="cellIs" dxfId="210" priority="213" operator="greaterThan">
      <formula>8</formula>
    </cfRule>
  </conditionalFormatting>
  <conditionalFormatting sqref="AG3:AH12">
    <cfRule type="expression" dxfId="209" priority="208">
      <formula>LEN(AG3)&gt;=4</formula>
    </cfRule>
    <cfRule type="cellIs" dxfId="208" priority="209" operator="lessThan">
      <formula>5</formula>
    </cfRule>
    <cfRule type="cellIs" dxfId="207" priority="210" operator="greaterThan">
      <formula>8</formula>
    </cfRule>
  </conditionalFormatting>
  <conditionalFormatting sqref="AA13:AB57">
    <cfRule type="expression" dxfId="206" priority="205">
      <formula>LEN(AA13)&gt;=4</formula>
    </cfRule>
    <cfRule type="cellIs" dxfId="205" priority="206" operator="lessThan">
      <formula>5</formula>
    </cfRule>
    <cfRule type="cellIs" dxfId="204" priority="207" operator="greaterThan">
      <formula>8</formula>
    </cfRule>
  </conditionalFormatting>
  <conditionalFormatting sqref="AD13:AE57">
    <cfRule type="expression" dxfId="203" priority="202">
      <formula>LEN(AD13)&gt;=4</formula>
    </cfRule>
    <cfRule type="cellIs" dxfId="202" priority="203" operator="lessThan">
      <formula>5</formula>
    </cfRule>
    <cfRule type="cellIs" dxfId="201" priority="204" operator="greaterThan">
      <formula>8</formula>
    </cfRule>
  </conditionalFormatting>
  <conditionalFormatting sqref="AG13:AH57">
    <cfRule type="expression" dxfId="200" priority="199">
      <formula>LEN(AG13)&gt;=4</formula>
    </cfRule>
    <cfRule type="cellIs" dxfId="199" priority="200" operator="lessThan">
      <formula>5</formula>
    </cfRule>
    <cfRule type="cellIs" dxfId="198" priority="201" operator="greaterThan">
      <formula>8</formula>
    </cfRule>
  </conditionalFormatting>
  <conditionalFormatting sqref="AK3:AL12">
    <cfRule type="expression" dxfId="197" priority="196">
      <formula>LEN(AK3)&gt;=4</formula>
    </cfRule>
    <cfRule type="cellIs" dxfId="196" priority="197" operator="lessThan">
      <formula>5</formula>
    </cfRule>
    <cfRule type="cellIs" dxfId="195" priority="198" operator="greaterThan">
      <formula>8</formula>
    </cfRule>
  </conditionalFormatting>
  <conditionalFormatting sqref="AN3:AO12">
    <cfRule type="expression" dxfId="194" priority="193">
      <formula>LEN(AN3)&gt;=4</formula>
    </cfRule>
    <cfRule type="cellIs" dxfId="193" priority="194" operator="lessThan">
      <formula>5</formula>
    </cfRule>
    <cfRule type="cellIs" dxfId="192" priority="195" operator="greaterThan">
      <formula>8</formula>
    </cfRule>
  </conditionalFormatting>
  <conditionalFormatting sqref="AQ3:AR12">
    <cfRule type="expression" dxfId="191" priority="190">
      <formula>LEN(AQ3)&gt;=4</formula>
    </cfRule>
    <cfRule type="cellIs" dxfId="190" priority="191" operator="lessThan">
      <formula>5</formula>
    </cfRule>
    <cfRule type="cellIs" dxfId="189" priority="192" operator="greaterThan">
      <formula>8</formula>
    </cfRule>
  </conditionalFormatting>
  <conditionalFormatting sqref="AK13:AL57">
    <cfRule type="expression" dxfId="188" priority="187">
      <formula>LEN(AK13)&gt;=4</formula>
    </cfRule>
    <cfRule type="cellIs" dxfId="187" priority="188" operator="lessThan">
      <formula>5</formula>
    </cfRule>
    <cfRule type="cellIs" dxfId="186" priority="189" operator="greaterThan">
      <formula>8</formula>
    </cfRule>
  </conditionalFormatting>
  <conditionalFormatting sqref="AN13:AO57">
    <cfRule type="expression" dxfId="185" priority="184">
      <formula>LEN(AN13)&gt;=4</formula>
    </cfRule>
    <cfRule type="cellIs" dxfId="184" priority="185" operator="lessThan">
      <formula>5</formula>
    </cfRule>
    <cfRule type="cellIs" dxfId="183" priority="186" operator="greaterThan">
      <formula>8</formula>
    </cfRule>
  </conditionalFormatting>
  <conditionalFormatting sqref="AQ13:AR57">
    <cfRule type="expression" dxfId="182" priority="181">
      <formula>LEN(AQ13)&gt;=4</formula>
    </cfRule>
    <cfRule type="cellIs" dxfId="181" priority="182" operator="lessThan">
      <formula>5</formula>
    </cfRule>
    <cfRule type="cellIs" dxfId="180" priority="183" operator="greaterThan">
      <formula>8</formula>
    </cfRule>
  </conditionalFormatting>
  <conditionalFormatting sqref="AU3:AV12">
    <cfRule type="expression" dxfId="179" priority="178">
      <formula>LEN(AU3)&gt;=4</formula>
    </cfRule>
    <cfRule type="cellIs" dxfId="178" priority="179" operator="lessThan">
      <formula>5</formula>
    </cfRule>
    <cfRule type="cellIs" dxfId="177" priority="180" operator="greaterThan">
      <formula>8</formula>
    </cfRule>
  </conditionalFormatting>
  <conditionalFormatting sqref="AX3:AY12">
    <cfRule type="expression" dxfId="176" priority="175">
      <formula>LEN(AX3)&gt;=4</formula>
    </cfRule>
    <cfRule type="cellIs" dxfId="175" priority="176" operator="lessThan">
      <formula>5</formula>
    </cfRule>
    <cfRule type="cellIs" dxfId="174" priority="177" operator="greaterThan">
      <formula>8</formula>
    </cfRule>
  </conditionalFormatting>
  <conditionalFormatting sqref="BA3:BB12">
    <cfRule type="expression" dxfId="173" priority="172">
      <formula>LEN(BA3)&gt;=4</formula>
    </cfRule>
    <cfRule type="cellIs" dxfId="172" priority="173" operator="lessThan">
      <formula>5</formula>
    </cfRule>
    <cfRule type="cellIs" dxfId="171" priority="174" operator="greaterThan">
      <formula>8</formula>
    </cfRule>
  </conditionalFormatting>
  <conditionalFormatting sqref="AU13:AV57">
    <cfRule type="expression" dxfId="170" priority="169">
      <formula>LEN(AU13)&gt;=4</formula>
    </cfRule>
    <cfRule type="cellIs" dxfId="169" priority="170" operator="lessThan">
      <formula>5</formula>
    </cfRule>
    <cfRule type="cellIs" dxfId="168" priority="171" operator="greaterThan">
      <formula>8</formula>
    </cfRule>
  </conditionalFormatting>
  <conditionalFormatting sqref="AX13:AY57">
    <cfRule type="expression" dxfId="167" priority="166">
      <formula>LEN(AX13)&gt;=4</formula>
    </cfRule>
    <cfRule type="cellIs" dxfId="166" priority="167" operator="lessThan">
      <formula>5</formula>
    </cfRule>
    <cfRule type="cellIs" dxfId="165" priority="168" operator="greaterThan">
      <formula>8</formula>
    </cfRule>
  </conditionalFormatting>
  <conditionalFormatting sqref="BA13:BB57">
    <cfRule type="expression" dxfId="164" priority="163">
      <formula>LEN(BA13)&gt;=4</formula>
    </cfRule>
    <cfRule type="cellIs" dxfId="163" priority="164" operator="lessThan">
      <formula>5</formula>
    </cfRule>
    <cfRule type="cellIs" dxfId="162" priority="165" operator="greaterThan">
      <formula>8</formula>
    </cfRule>
  </conditionalFormatting>
  <conditionalFormatting sqref="BE3:BF12">
    <cfRule type="expression" dxfId="161" priority="160">
      <formula>LEN(BE3)&gt;=4</formula>
    </cfRule>
    <cfRule type="cellIs" dxfId="160" priority="161" operator="lessThan">
      <formula>5</formula>
    </cfRule>
    <cfRule type="cellIs" dxfId="159" priority="162" operator="greaterThan">
      <formula>8</formula>
    </cfRule>
  </conditionalFormatting>
  <conditionalFormatting sqref="BH3:BI12">
    <cfRule type="expression" dxfId="158" priority="157">
      <formula>LEN(BH3)&gt;=4</formula>
    </cfRule>
    <cfRule type="cellIs" dxfId="157" priority="158" operator="lessThan">
      <formula>5</formula>
    </cfRule>
    <cfRule type="cellIs" dxfId="156" priority="159" operator="greaterThan">
      <formula>8</formula>
    </cfRule>
  </conditionalFormatting>
  <conditionalFormatting sqref="BK3:BL12">
    <cfRule type="expression" dxfId="155" priority="154">
      <formula>LEN(BK3)&gt;=4</formula>
    </cfRule>
    <cfRule type="cellIs" dxfId="154" priority="155" operator="lessThan">
      <formula>5</formula>
    </cfRule>
    <cfRule type="cellIs" dxfId="153" priority="156" operator="greaterThan">
      <formula>8</formula>
    </cfRule>
  </conditionalFormatting>
  <conditionalFormatting sqref="BE13:BF57">
    <cfRule type="expression" dxfId="152" priority="151">
      <formula>LEN(BE13)&gt;=4</formula>
    </cfRule>
    <cfRule type="cellIs" dxfId="151" priority="152" operator="lessThan">
      <formula>5</formula>
    </cfRule>
    <cfRule type="cellIs" dxfId="150" priority="153" operator="greaterThan">
      <formula>8</formula>
    </cfRule>
  </conditionalFormatting>
  <conditionalFormatting sqref="BH13:BI57">
    <cfRule type="expression" dxfId="149" priority="148">
      <formula>LEN(BH13)&gt;=4</formula>
    </cfRule>
    <cfRule type="cellIs" dxfId="148" priority="149" operator="lessThan">
      <formula>5</formula>
    </cfRule>
    <cfRule type="cellIs" dxfId="147" priority="150" operator="greaterThan">
      <formula>8</formula>
    </cfRule>
  </conditionalFormatting>
  <conditionalFormatting sqref="BK13:BL57">
    <cfRule type="expression" dxfId="146" priority="145">
      <formula>LEN(BK13)&gt;=4</formula>
    </cfRule>
    <cfRule type="cellIs" dxfId="145" priority="146" operator="lessThan">
      <formula>5</formula>
    </cfRule>
    <cfRule type="cellIs" dxfId="144" priority="147" operator="greaterThan">
      <formula>8</formula>
    </cfRule>
  </conditionalFormatting>
  <conditionalFormatting sqref="BO3:BP12">
    <cfRule type="expression" dxfId="143" priority="142">
      <formula>LEN(BO3)&gt;=4</formula>
    </cfRule>
    <cfRule type="cellIs" dxfId="142" priority="143" operator="lessThan">
      <formula>5</formula>
    </cfRule>
    <cfRule type="cellIs" dxfId="141" priority="144" operator="greaterThan">
      <formula>8</formula>
    </cfRule>
  </conditionalFormatting>
  <conditionalFormatting sqref="BR3:BS12">
    <cfRule type="expression" dxfId="140" priority="139">
      <formula>LEN(BR3)&gt;=4</formula>
    </cfRule>
    <cfRule type="cellIs" dxfId="139" priority="140" operator="lessThan">
      <formula>5</formula>
    </cfRule>
    <cfRule type="cellIs" dxfId="138" priority="141" operator="greaterThan">
      <formula>8</formula>
    </cfRule>
  </conditionalFormatting>
  <conditionalFormatting sqref="BU3:BV12">
    <cfRule type="expression" dxfId="137" priority="136">
      <formula>LEN(BU3)&gt;=4</formula>
    </cfRule>
    <cfRule type="cellIs" dxfId="136" priority="137" operator="lessThan">
      <formula>5</formula>
    </cfRule>
    <cfRule type="cellIs" dxfId="135" priority="138" operator="greaterThan">
      <formula>8</formula>
    </cfRule>
  </conditionalFormatting>
  <conditionalFormatting sqref="BO13:BP57">
    <cfRule type="expression" dxfId="134" priority="133">
      <formula>LEN(BO13)&gt;=4</formula>
    </cfRule>
    <cfRule type="cellIs" dxfId="133" priority="134" operator="lessThan">
      <formula>5</formula>
    </cfRule>
    <cfRule type="cellIs" dxfId="132" priority="135" operator="greaterThan">
      <formula>8</formula>
    </cfRule>
  </conditionalFormatting>
  <conditionalFormatting sqref="BR13:BS57">
    <cfRule type="expression" dxfId="131" priority="130">
      <formula>LEN(BR13)&gt;=4</formula>
    </cfRule>
    <cfRule type="cellIs" dxfId="130" priority="131" operator="lessThan">
      <formula>5</formula>
    </cfRule>
    <cfRule type="cellIs" dxfId="129" priority="132" operator="greaterThan">
      <formula>8</formula>
    </cfRule>
  </conditionalFormatting>
  <conditionalFormatting sqref="BU13:BV57">
    <cfRule type="expression" dxfId="128" priority="127">
      <formula>LEN(BU13)&gt;=4</formula>
    </cfRule>
    <cfRule type="cellIs" dxfId="127" priority="128" operator="lessThan">
      <formula>5</formula>
    </cfRule>
    <cfRule type="cellIs" dxfId="126" priority="129" operator="greaterThan">
      <formula>8</formula>
    </cfRule>
  </conditionalFormatting>
  <conditionalFormatting sqref="BY3:BZ12">
    <cfRule type="expression" dxfId="125" priority="124">
      <formula>LEN(BY3)&gt;=4</formula>
    </cfRule>
    <cfRule type="cellIs" dxfId="124" priority="125" operator="lessThan">
      <formula>5</formula>
    </cfRule>
    <cfRule type="cellIs" dxfId="123" priority="126" operator="greaterThan">
      <formula>8</formula>
    </cfRule>
  </conditionalFormatting>
  <conditionalFormatting sqref="CB3:CC12">
    <cfRule type="expression" dxfId="122" priority="121">
      <formula>LEN(CB3)&gt;=4</formula>
    </cfRule>
    <cfRule type="cellIs" dxfId="121" priority="122" operator="lessThan">
      <formula>5</formula>
    </cfRule>
    <cfRule type="cellIs" dxfId="120" priority="123" operator="greaterThan">
      <formula>8</formula>
    </cfRule>
  </conditionalFormatting>
  <conditionalFormatting sqref="CE3:CF12">
    <cfRule type="expression" dxfId="119" priority="118">
      <formula>LEN(CE3)&gt;=4</formula>
    </cfRule>
    <cfRule type="cellIs" dxfId="118" priority="119" operator="lessThan">
      <formula>5</formula>
    </cfRule>
    <cfRule type="cellIs" dxfId="117" priority="120" operator="greaterThan">
      <formula>8</formula>
    </cfRule>
  </conditionalFormatting>
  <conditionalFormatting sqref="BY13:BZ57">
    <cfRule type="expression" dxfId="116" priority="115">
      <formula>LEN(BY13)&gt;=4</formula>
    </cfRule>
    <cfRule type="cellIs" dxfId="115" priority="116" operator="lessThan">
      <formula>5</formula>
    </cfRule>
    <cfRule type="cellIs" dxfId="114" priority="117" operator="greaterThan">
      <formula>8</formula>
    </cfRule>
  </conditionalFormatting>
  <conditionalFormatting sqref="CB13:CC57">
    <cfRule type="expression" dxfId="113" priority="112">
      <formula>LEN(CB13)&gt;=4</formula>
    </cfRule>
    <cfRule type="cellIs" dxfId="112" priority="113" operator="lessThan">
      <formula>5</formula>
    </cfRule>
    <cfRule type="cellIs" dxfId="111" priority="114" operator="greaterThan">
      <formula>8</formula>
    </cfRule>
  </conditionalFormatting>
  <conditionalFormatting sqref="CE13:CF57">
    <cfRule type="expression" dxfId="110" priority="109">
      <formula>LEN(CE13)&gt;=4</formula>
    </cfRule>
    <cfRule type="cellIs" dxfId="109" priority="110" operator="lessThan">
      <formula>5</formula>
    </cfRule>
    <cfRule type="cellIs" dxfId="108" priority="111" operator="greaterThan">
      <formula>8</formula>
    </cfRule>
  </conditionalFormatting>
  <conditionalFormatting sqref="CI3:CJ12">
    <cfRule type="expression" dxfId="107" priority="106">
      <formula>LEN(CI3)&gt;=4</formula>
    </cfRule>
    <cfRule type="cellIs" dxfId="106" priority="107" operator="lessThan">
      <formula>5</formula>
    </cfRule>
    <cfRule type="cellIs" dxfId="105" priority="108" operator="greaterThan">
      <formula>8</formula>
    </cfRule>
  </conditionalFormatting>
  <conditionalFormatting sqref="CL3:CM12">
    <cfRule type="expression" dxfId="104" priority="103">
      <formula>LEN(CL3)&gt;=4</formula>
    </cfRule>
    <cfRule type="cellIs" dxfId="103" priority="104" operator="lessThan">
      <formula>5</formula>
    </cfRule>
    <cfRule type="cellIs" dxfId="102" priority="105" operator="greaterThan">
      <formula>8</formula>
    </cfRule>
  </conditionalFormatting>
  <conditionalFormatting sqref="CO3:CP12">
    <cfRule type="expression" dxfId="101" priority="100">
      <formula>LEN(CO3)&gt;=4</formula>
    </cfRule>
    <cfRule type="cellIs" dxfId="100" priority="101" operator="lessThan">
      <formula>5</formula>
    </cfRule>
    <cfRule type="cellIs" dxfId="99" priority="102" operator="greaterThan">
      <formula>8</formula>
    </cfRule>
  </conditionalFormatting>
  <conditionalFormatting sqref="CI13:CJ57">
    <cfRule type="expression" dxfId="98" priority="97">
      <formula>LEN(CI13)&gt;=4</formula>
    </cfRule>
    <cfRule type="cellIs" dxfId="97" priority="98" operator="lessThan">
      <formula>5</formula>
    </cfRule>
    <cfRule type="cellIs" dxfId="96" priority="99" operator="greaterThan">
      <formula>8</formula>
    </cfRule>
  </conditionalFormatting>
  <conditionalFormatting sqref="CL13:CM57">
    <cfRule type="expression" dxfId="95" priority="94">
      <formula>LEN(CL13)&gt;=4</formula>
    </cfRule>
    <cfRule type="cellIs" dxfId="94" priority="95" operator="lessThan">
      <formula>5</formula>
    </cfRule>
    <cfRule type="cellIs" dxfId="93" priority="96" operator="greaterThan">
      <formula>8</formula>
    </cfRule>
  </conditionalFormatting>
  <conditionalFormatting sqref="CO13:CP57">
    <cfRule type="expression" dxfId="92" priority="91">
      <formula>LEN(CO13)&gt;=4</formula>
    </cfRule>
    <cfRule type="cellIs" dxfId="91" priority="92" operator="lessThan">
      <formula>5</formula>
    </cfRule>
    <cfRule type="cellIs" dxfId="90" priority="93" operator="greaterThan">
      <formula>8</formula>
    </cfRule>
  </conditionalFormatting>
  <conditionalFormatting sqref="CS3:CT12">
    <cfRule type="expression" dxfId="89" priority="88">
      <formula>LEN(CS3)&gt;=4</formula>
    </cfRule>
    <cfRule type="cellIs" dxfId="88" priority="89" operator="lessThan">
      <formula>5</formula>
    </cfRule>
    <cfRule type="cellIs" dxfId="87" priority="90" operator="greaterThan">
      <formula>8</formula>
    </cfRule>
  </conditionalFormatting>
  <conditionalFormatting sqref="CV3:CW12">
    <cfRule type="expression" dxfId="86" priority="85">
      <formula>LEN(CV3)&gt;=4</formula>
    </cfRule>
    <cfRule type="cellIs" dxfId="85" priority="86" operator="lessThan">
      <formula>5</formula>
    </cfRule>
    <cfRule type="cellIs" dxfId="84" priority="87" operator="greaterThan">
      <formula>8</formula>
    </cfRule>
  </conditionalFormatting>
  <conditionalFormatting sqref="CY3:CZ12">
    <cfRule type="expression" dxfId="83" priority="82">
      <formula>LEN(CY3)&gt;=4</formula>
    </cfRule>
    <cfRule type="cellIs" dxfId="82" priority="83" operator="lessThan">
      <formula>5</formula>
    </cfRule>
    <cfRule type="cellIs" dxfId="81" priority="84" operator="greaterThan">
      <formula>8</formula>
    </cfRule>
  </conditionalFormatting>
  <conditionalFormatting sqref="CS13:CT57">
    <cfRule type="expression" dxfId="80" priority="79">
      <formula>LEN(CS13)&gt;=4</formula>
    </cfRule>
    <cfRule type="cellIs" dxfId="79" priority="80" operator="lessThan">
      <formula>5</formula>
    </cfRule>
    <cfRule type="cellIs" dxfId="78" priority="81" operator="greaterThan">
      <formula>8</formula>
    </cfRule>
  </conditionalFormatting>
  <conditionalFormatting sqref="CV13:CW57">
    <cfRule type="expression" dxfId="77" priority="76">
      <formula>LEN(CV13)&gt;=4</formula>
    </cfRule>
    <cfRule type="cellIs" dxfId="76" priority="77" operator="lessThan">
      <formula>5</formula>
    </cfRule>
    <cfRule type="cellIs" dxfId="75" priority="78" operator="greaterThan">
      <formula>8</formula>
    </cfRule>
  </conditionalFormatting>
  <conditionalFormatting sqref="CY13:CZ57">
    <cfRule type="expression" dxfId="74" priority="73">
      <formula>LEN(CY13)&gt;=4</formula>
    </cfRule>
    <cfRule type="cellIs" dxfId="73" priority="74" operator="lessThan">
      <formula>5</formula>
    </cfRule>
    <cfRule type="cellIs" dxfId="72" priority="75" operator="greaterThan">
      <formula>8</formula>
    </cfRule>
  </conditionalFormatting>
  <conditionalFormatting sqref="DC3:DD12">
    <cfRule type="expression" dxfId="71" priority="70">
      <formula>LEN(DC3)&gt;=4</formula>
    </cfRule>
    <cfRule type="cellIs" dxfId="70" priority="71" operator="lessThan">
      <formula>5</formula>
    </cfRule>
    <cfRule type="cellIs" dxfId="69" priority="72" operator="greaterThan">
      <formula>8</formula>
    </cfRule>
  </conditionalFormatting>
  <conditionalFormatting sqref="DF3:DG12">
    <cfRule type="expression" dxfId="68" priority="67">
      <formula>LEN(DF3)&gt;=4</formula>
    </cfRule>
    <cfRule type="cellIs" dxfId="67" priority="68" operator="lessThan">
      <formula>5</formula>
    </cfRule>
    <cfRule type="cellIs" dxfId="66" priority="69" operator="greaterThan">
      <formula>8</formula>
    </cfRule>
  </conditionalFormatting>
  <conditionalFormatting sqref="DI3:DJ12">
    <cfRule type="expression" dxfId="65" priority="64">
      <formula>LEN(DI3)&gt;=4</formula>
    </cfRule>
    <cfRule type="cellIs" dxfId="64" priority="65" operator="lessThan">
      <formula>5</formula>
    </cfRule>
    <cfRule type="cellIs" dxfId="63" priority="66" operator="greaterThan">
      <formula>8</formula>
    </cfRule>
  </conditionalFormatting>
  <conditionalFormatting sqref="DC13:DD57">
    <cfRule type="expression" dxfId="62" priority="61">
      <formula>LEN(DC13)&gt;=4</formula>
    </cfRule>
    <cfRule type="cellIs" dxfId="61" priority="62" operator="lessThan">
      <formula>5</formula>
    </cfRule>
    <cfRule type="cellIs" dxfId="60" priority="63" operator="greaterThan">
      <formula>8</formula>
    </cfRule>
  </conditionalFormatting>
  <conditionalFormatting sqref="DF13:DG57">
    <cfRule type="expression" dxfId="59" priority="58">
      <formula>LEN(DF13)&gt;=4</formula>
    </cfRule>
    <cfRule type="cellIs" dxfId="58" priority="59" operator="lessThan">
      <formula>5</formula>
    </cfRule>
    <cfRule type="cellIs" dxfId="57" priority="60" operator="greaterThan">
      <formula>8</formula>
    </cfRule>
  </conditionalFormatting>
  <conditionalFormatting sqref="DI13:DJ57">
    <cfRule type="expression" dxfId="56" priority="55">
      <formula>LEN(DI13)&gt;=4</formula>
    </cfRule>
    <cfRule type="cellIs" dxfId="55" priority="56" operator="lessThan">
      <formula>5</formula>
    </cfRule>
    <cfRule type="cellIs" dxfId="54" priority="57" operator="greaterThan">
      <formula>8</formula>
    </cfRule>
  </conditionalFormatting>
  <conditionalFormatting sqref="DM3:DN12">
    <cfRule type="expression" dxfId="53" priority="52">
      <formula>LEN(DM3)&gt;=4</formula>
    </cfRule>
    <cfRule type="cellIs" dxfId="52" priority="53" operator="lessThan">
      <formula>5</formula>
    </cfRule>
    <cfRule type="cellIs" dxfId="51" priority="54" operator="greaterThan">
      <formula>8</formula>
    </cfRule>
  </conditionalFormatting>
  <conditionalFormatting sqref="DP3:DQ12">
    <cfRule type="expression" dxfId="50" priority="49">
      <formula>LEN(DP3)&gt;=4</formula>
    </cfRule>
    <cfRule type="cellIs" dxfId="49" priority="50" operator="lessThan">
      <formula>5</formula>
    </cfRule>
    <cfRule type="cellIs" dxfId="48" priority="51" operator="greaterThan">
      <formula>8</formula>
    </cfRule>
  </conditionalFormatting>
  <conditionalFormatting sqref="DS3:DT12">
    <cfRule type="expression" dxfId="47" priority="46">
      <formula>LEN(DS3)&gt;=4</formula>
    </cfRule>
    <cfRule type="cellIs" dxfId="46" priority="47" operator="lessThan">
      <formula>5</formula>
    </cfRule>
    <cfRule type="cellIs" dxfId="45" priority="48" operator="greaterThan">
      <formula>8</formula>
    </cfRule>
  </conditionalFormatting>
  <conditionalFormatting sqref="DM13:DN57">
    <cfRule type="expression" dxfId="44" priority="43">
      <formula>LEN(DM13)&gt;=4</formula>
    </cfRule>
    <cfRule type="cellIs" dxfId="43" priority="44" operator="lessThan">
      <formula>5</formula>
    </cfRule>
    <cfRule type="cellIs" dxfId="42" priority="45" operator="greaterThan">
      <formula>8</formula>
    </cfRule>
  </conditionalFormatting>
  <conditionalFormatting sqref="DP13:DQ57">
    <cfRule type="expression" dxfId="41" priority="40">
      <formula>LEN(DP13)&gt;=4</formula>
    </cfRule>
    <cfRule type="cellIs" dxfId="40" priority="41" operator="lessThan">
      <formula>5</formula>
    </cfRule>
    <cfRule type="cellIs" dxfId="39" priority="42" operator="greaterThan">
      <formula>8</formula>
    </cfRule>
  </conditionalFormatting>
  <conditionalFormatting sqref="DS13:DT57">
    <cfRule type="expression" dxfId="38" priority="37">
      <formula>LEN(DS13)&gt;=4</formula>
    </cfRule>
    <cfRule type="cellIs" dxfId="37" priority="38" operator="lessThan">
      <formula>5</formula>
    </cfRule>
    <cfRule type="cellIs" dxfId="36" priority="39" operator="greaterThan">
      <formula>8</formula>
    </cfRule>
  </conditionalFormatting>
  <conditionalFormatting sqref="DW3:DX12">
    <cfRule type="expression" dxfId="35" priority="34">
      <formula>LEN(DW3)&gt;=4</formula>
    </cfRule>
    <cfRule type="cellIs" dxfId="34" priority="35" operator="lessThan">
      <formula>5</formula>
    </cfRule>
    <cfRule type="cellIs" dxfId="33" priority="36" operator="greaterThan">
      <formula>8</formula>
    </cfRule>
  </conditionalFormatting>
  <conditionalFormatting sqref="DZ3:EA12">
    <cfRule type="expression" dxfId="32" priority="31">
      <formula>LEN(DZ3)&gt;=4</formula>
    </cfRule>
    <cfRule type="cellIs" dxfId="31" priority="32" operator="lessThan">
      <formula>5</formula>
    </cfRule>
    <cfRule type="cellIs" dxfId="30" priority="33" operator="greaterThan">
      <formula>8</formula>
    </cfRule>
  </conditionalFormatting>
  <conditionalFormatting sqref="EC3:ED12">
    <cfRule type="expression" dxfId="29" priority="28">
      <formula>LEN(EC3)&gt;=4</formula>
    </cfRule>
    <cfRule type="cellIs" dxfId="28" priority="29" operator="lessThan">
      <formula>5</formula>
    </cfRule>
    <cfRule type="cellIs" dxfId="27" priority="30" operator="greaterThan">
      <formula>8</formula>
    </cfRule>
  </conditionalFormatting>
  <conditionalFormatting sqref="DW13:DX57">
    <cfRule type="expression" dxfId="26" priority="25">
      <formula>LEN(DW13)&gt;=4</formula>
    </cfRule>
    <cfRule type="cellIs" dxfId="25" priority="26" operator="lessThan">
      <formula>5</formula>
    </cfRule>
    <cfRule type="cellIs" dxfId="24" priority="27" operator="greaterThan">
      <formula>8</formula>
    </cfRule>
  </conditionalFormatting>
  <conditionalFormatting sqref="DZ13:EA57">
    <cfRule type="expression" dxfId="23" priority="22">
      <formula>LEN(DZ13)&gt;=4</formula>
    </cfRule>
    <cfRule type="cellIs" dxfId="22" priority="23" operator="lessThan">
      <formula>5</formula>
    </cfRule>
    <cfRule type="cellIs" dxfId="21" priority="24" operator="greaterThan">
      <formula>8</formula>
    </cfRule>
  </conditionalFormatting>
  <conditionalFormatting sqref="EC13:ED57">
    <cfRule type="expression" dxfId="20" priority="19">
      <formula>LEN(EC13)&gt;=4</formula>
    </cfRule>
    <cfRule type="cellIs" dxfId="19" priority="20" operator="lessThan">
      <formula>5</formula>
    </cfRule>
    <cfRule type="cellIs" dxfId="18" priority="21" operator="greaterThan">
      <formula>8</formula>
    </cfRule>
  </conditionalFormatting>
  <conditionalFormatting sqref="EG3:EH12">
    <cfRule type="expression" dxfId="17" priority="16">
      <formula>LEN(EG3)&gt;=4</formula>
    </cfRule>
    <cfRule type="cellIs" dxfId="16" priority="17" operator="lessThan">
      <formula>5</formula>
    </cfRule>
    <cfRule type="cellIs" dxfId="15" priority="18" operator="greaterThan">
      <formula>8</formula>
    </cfRule>
  </conditionalFormatting>
  <conditionalFormatting sqref="EJ3:EK12">
    <cfRule type="expression" dxfId="14" priority="13">
      <formula>LEN(EJ3)&gt;=4</formula>
    </cfRule>
    <cfRule type="cellIs" dxfId="13" priority="14" operator="lessThan">
      <formula>5</formula>
    </cfRule>
    <cfRule type="cellIs" dxfId="12" priority="15" operator="greaterThan">
      <formula>8</formula>
    </cfRule>
  </conditionalFormatting>
  <conditionalFormatting sqref="EM3:EN12">
    <cfRule type="expression" dxfId="11" priority="10">
      <formula>LEN(EM3)&gt;=4</formula>
    </cfRule>
    <cfRule type="cellIs" dxfId="10" priority="11" operator="lessThan">
      <formula>5</formula>
    </cfRule>
    <cfRule type="cellIs" dxfId="9" priority="12" operator="greaterThan">
      <formula>8</formula>
    </cfRule>
  </conditionalFormatting>
  <conditionalFormatting sqref="EG13:EH57">
    <cfRule type="expression" dxfId="8" priority="7">
      <formula>LEN(EG13)&gt;=4</formula>
    </cfRule>
    <cfRule type="cellIs" dxfId="7" priority="8" operator="lessThan">
      <formula>5</formula>
    </cfRule>
    <cfRule type="cellIs" dxfId="6" priority="9" operator="greaterThan">
      <formula>8</formula>
    </cfRule>
  </conditionalFormatting>
  <conditionalFormatting sqref="EJ13:EK57">
    <cfRule type="expression" dxfId="5" priority="4">
      <formula>LEN(EJ13)&gt;=4</formula>
    </cfRule>
    <cfRule type="cellIs" dxfId="4" priority="5" operator="lessThan">
      <formula>5</formula>
    </cfRule>
    <cfRule type="cellIs" dxfId="3" priority="6" operator="greaterThan">
      <formula>8</formula>
    </cfRule>
  </conditionalFormatting>
  <conditionalFormatting sqref="EM13:EN57">
    <cfRule type="expression" dxfId="2" priority="1">
      <formula>LEN(EM13)&gt;=4</formula>
    </cfRule>
    <cfRule type="cellIs" dxfId="1" priority="2" operator="lessThan">
      <formula>5</formula>
    </cfRule>
    <cfRule type="cellIs" dxfId="0" priority="3" operator="greaterThan">
      <formula>8</formula>
    </cfRule>
  </conditionalFormatting>
  <pageMargins left="0.25" right="0.25" top="0.25" bottom="0.25" header="0" footer="0"/>
  <pageSetup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NxToan">
                <anchor moveWithCells="1" sizeWithCells="1">
                  <from>
                    <xdr:col>0</xdr:col>
                    <xdr:colOff>7620</xdr:colOff>
                    <xdr:row>2</xdr:row>
                    <xdr:rowOff>22860</xdr:rowOff>
                  </from>
                  <to>
                    <xdr:col>0</xdr:col>
                    <xdr:colOff>754380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NxLy">
                <anchor moveWithCells="1" sizeWithCells="1">
                  <from>
                    <xdr:col>0</xdr:col>
                    <xdr:colOff>7620</xdr:colOff>
                    <xdr:row>3</xdr:row>
                    <xdr:rowOff>106680</xdr:rowOff>
                  </from>
                  <to>
                    <xdr:col>0</xdr:col>
                    <xdr:colOff>754380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NxCN">
                <anchor moveWithCells="1" sizeWithCells="1">
                  <from>
                    <xdr:col>0</xdr:col>
                    <xdr:colOff>7620</xdr:colOff>
                    <xdr:row>16</xdr:row>
                    <xdr:rowOff>114300</xdr:rowOff>
                  </from>
                  <to>
                    <xdr:col>0</xdr:col>
                    <xdr:colOff>754380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NxGDCD">
                <anchor moveWithCells="1" sizeWithCells="1">
                  <from>
                    <xdr:col>0</xdr:col>
                    <xdr:colOff>7620</xdr:colOff>
                    <xdr:row>15</xdr:row>
                    <xdr:rowOff>30480</xdr:rowOff>
                  </from>
                  <to>
                    <xdr:col>0</xdr:col>
                    <xdr:colOff>754380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NxAnh">
                <anchor moveWithCells="1" sizeWithCells="1">
                  <from>
                    <xdr:col>0</xdr:col>
                    <xdr:colOff>7620</xdr:colOff>
                    <xdr:row>13</xdr:row>
                    <xdr:rowOff>137160</xdr:rowOff>
                  </from>
                  <to>
                    <xdr:col>0</xdr:col>
                    <xdr:colOff>754380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NxDia">
                <anchor moveWithCells="1" sizeWithCells="1">
                  <from>
                    <xdr:col>0</xdr:col>
                    <xdr:colOff>7620</xdr:colOff>
                    <xdr:row>12</xdr:row>
                    <xdr:rowOff>45720</xdr:rowOff>
                  </from>
                  <to>
                    <xdr:col>0</xdr:col>
                    <xdr:colOff>754380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NxSu">
                <anchor moveWithCells="1" sizeWithCells="1">
                  <from>
                    <xdr:col>0</xdr:col>
                    <xdr:colOff>7620</xdr:colOff>
                    <xdr:row>10</xdr:row>
                    <xdr:rowOff>152400</xdr:rowOff>
                  </from>
                  <to>
                    <xdr:col>0</xdr:col>
                    <xdr:colOff>754380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NxVan">
                <anchor moveWithCells="1" sizeWithCells="1">
                  <from>
                    <xdr:col>0</xdr:col>
                    <xdr:colOff>7620</xdr:colOff>
                    <xdr:row>9</xdr:row>
                    <xdr:rowOff>68580</xdr:rowOff>
                  </from>
                  <to>
                    <xdr:col>0</xdr:col>
                    <xdr:colOff>754380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NxTin">
                <anchor moveWithCells="1" sizeWithCells="1">
                  <from>
                    <xdr:col>0</xdr:col>
                    <xdr:colOff>7620</xdr:colOff>
                    <xdr:row>7</xdr:row>
                    <xdr:rowOff>175260</xdr:rowOff>
                  </from>
                  <to>
                    <xdr:col>0</xdr:col>
                    <xdr:colOff>754380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NxSinh">
                <anchor moveWithCells="1" sizeWithCells="1">
                  <from>
                    <xdr:col>0</xdr:col>
                    <xdr:colOff>7620</xdr:colOff>
                    <xdr:row>6</xdr:row>
                    <xdr:rowOff>83820</xdr:rowOff>
                  </from>
                  <to>
                    <xdr:col>0</xdr:col>
                    <xdr:colOff>754380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NxHoa">
                <anchor moveWithCells="1" sizeWithCells="1">
                  <from>
                    <xdr:col>0</xdr:col>
                    <xdr:colOff>7620</xdr:colOff>
                    <xdr:row>5</xdr:row>
                    <xdr:rowOff>0</xdr:rowOff>
                  </from>
                  <to>
                    <xdr:col>0</xdr:col>
                    <xdr:colOff>754380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5" name="Button 13">
              <controlPr defaultSize="0" print="0" autoFill="0" autoPict="0" macro="[0]!NxNPT">
                <anchor moveWithCells="1" sizeWithCells="1">
                  <from>
                    <xdr:col>0</xdr:col>
                    <xdr:colOff>7620</xdr:colOff>
                    <xdr:row>20</xdr:row>
                    <xdr:rowOff>182880</xdr:rowOff>
                  </from>
                  <to>
                    <xdr:col>0</xdr:col>
                    <xdr:colOff>754380</xdr:colOff>
                    <xdr:row>22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6" name="Button 14">
              <controlPr defaultSize="0" print="0" autoFill="0" autoPict="0" macro="[0]!NxQP">
                <anchor moveWithCells="1" sizeWithCells="1">
                  <from>
                    <xdr:col>0</xdr:col>
                    <xdr:colOff>7620</xdr:colOff>
                    <xdr:row>19</xdr:row>
                    <xdr:rowOff>99060</xdr:rowOff>
                  </from>
                  <to>
                    <xdr:col>0</xdr:col>
                    <xdr:colOff>754380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7" name="Button 15">
              <controlPr defaultSize="0" print="0" autoFill="0" autoPict="0" macro="[0]!NxTD">
                <anchor moveWithCells="1" sizeWithCells="1">
                  <from>
                    <xdr:col>0</xdr:col>
                    <xdr:colOff>7620</xdr:colOff>
                    <xdr:row>18</xdr:row>
                    <xdr:rowOff>7620</xdr:rowOff>
                  </from>
                  <to>
                    <xdr:col>0</xdr:col>
                    <xdr:colOff>754380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8" name="Button 16">
              <controlPr defaultSize="0" print="0" autoFill="0" autoPict="0" macro="[0]!InNXhs">
                <anchor moveWithCells="1" sizeWithCells="1">
                  <from>
                    <xdr:col>0</xdr:col>
                    <xdr:colOff>7620</xdr:colOff>
                    <xdr:row>26</xdr:row>
                    <xdr:rowOff>182880</xdr:rowOff>
                  </from>
                  <to>
                    <xdr:col>0</xdr:col>
                    <xdr:colOff>754380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7030A0"/>
    <pageSetUpPr fitToPage="1"/>
  </sheetPr>
  <dimension ref="A1:AH79"/>
  <sheetViews>
    <sheetView workbookViewId="0">
      <selection activeCell="A3" sqref="A3"/>
    </sheetView>
  </sheetViews>
  <sheetFormatPr defaultColWidth="9.109375" defaultRowHeight="13.8"/>
  <cols>
    <col min="1" max="1" width="5" style="251" customWidth="1"/>
    <col min="2" max="2" width="20.44140625" style="7" customWidth="1"/>
    <col min="3" max="3" width="9" style="7" customWidth="1"/>
    <col min="4" max="4" width="11.44140625" style="7" customWidth="1"/>
    <col min="5" max="6" width="7.44140625" style="251" customWidth="1"/>
    <col min="7" max="8" width="39.44140625" style="251" customWidth="1"/>
    <col min="9" max="9" width="10.33203125" style="251" customWidth="1"/>
    <col min="10" max="10" width="1.33203125" style="248" customWidth="1"/>
    <col min="11" max="11" width="9.109375" style="248" customWidth="1"/>
    <col min="12" max="12" width="10.88671875" style="1" hidden="1" customWidth="1"/>
    <col min="13" max="16" width="10.33203125" style="1" hidden="1" customWidth="1"/>
    <col min="17" max="17" width="6.88671875" style="1" customWidth="1"/>
    <col min="18" max="18" width="7.44140625" style="1" customWidth="1"/>
    <col min="19" max="19" width="6.88671875" style="1" customWidth="1"/>
    <col min="20" max="34" width="4.109375" style="248" customWidth="1"/>
    <col min="35" max="16384" width="9.109375" style="248"/>
  </cols>
  <sheetData>
    <row r="1" spans="1:32" ht="17.25" customHeight="1">
      <c r="A1" s="921" t="str">
        <f>IF('Huong dan'!E3&lt;&gt;"","SỞ GIÁO DỤC VÀ ĐÀO TẠO "&amp;UPPER('Huong dan'!E3),"")</f>
        <v>SỞ GIÁO DỤC VÀ ĐÀO TẠO TP. HỒ CHÍ MINH</v>
      </c>
      <c r="B1" s="921"/>
      <c r="C1" s="921"/>
      <c r="D1" s="921"/>
      <c r="E1" s="921"/>
      <c r="F1" s="357"/>
      <c r="G1" s="922" t="s">
        <v>19</v>
      </c>
      <c r="H1" s="922"/>
      <c r="I1" s="357"/>
    </row>
    <row r="2" spans="1:32" ht="15.6">
      <c r="A2" s="931" t="str">
        <f>IF('Huong dan'!E4&lt;&gt;"","TRƯỜNG "&amp;UPPER('Huong dan'!E4),"")</f>
        <v>TRƯỜNG THCS VÀ THPT NGUYỄN KHUYẾN</v>
      </c>
      <c r="B2" s="931"/>
      <c r="C2" s="931"/>
      <c r="D2" s="931"/>
      <c r="E2" s="931"/>
      <c r="F2" s="836"/>
      <c r="G2" s="923" t="s">
        <v>179</v>
      </c>
      <c r="H2" s="923"/>
      <c r="I2" s="836"/>
    </row>
    <row r="3" spans="1:32" ht="17.25" customHeight="1">
      <c r="A3" s="458"/>
      <c r="B3" s="922" t="str">
        <f>"Lớp: "&amp;IF('Huong dan'!C3&lt;&gt;"",UPPER('Huong dan'!C3),"")</f>
        <v>Lớp: 12A1</v>
      </c>
      <c r="C3" s="922"/>
      <c r="D3" s="922"/>
      <c r="E3" s="458"/>
      <c r="F3" s="458"/>
      <c r="G3" s="458"/>
      <c r="H3" s="458"/>
      <c r="I3" s="459"/>
    </row>
    <row r="4" spans="1:32" ht="26.25" customHeight="1">
      <c r="A4" s="932" t="s">
        <v>567</v>
      </c>
      <c r="B4" s="932"/>
      <c r="C4" s="932"/>
      <c r="D4" s="932"/>
      <c r="E4" s="932"/>
      <c r="F4" s="932"/>
      <c r="G4" s="932"/>
      <c r="H4" s="932"/>
      <c r="I4" s="932"/>
    </row>
    <row r="5" spans="1:32" ht="21.75" customHeight="1">
      <c r="A5" s="932" t="str">
        <f>"HỌC KỲ II VÀ CẢ NĂM - NĂM HỌC "&amp;'Huong dan'!C5</f>
        <v>HỌC KỲ II VÀ CẢ NĂM - NĂM HỌC 2021 - 2022</v>
      </c>
      <c r="B5" s="932"/>
      <c r="C5" s="932"/>
      <c r="D5" s="932"/>
      <c r="E5" s="932"/>
      <c r="F5" s="932"/>
      <c r="G5" s="932"/>
      <c r="H5" s="932"/>
      <c r="I5" s="932"/>
    </row>
    <row r="6" spans="1:32" ht="13.5" customHeight="1">
      <c r="A6" s="1"/>
    </row>
    <row r="7" spans="1:32" ht="18.75" customHeight="1">
      <c r="B7" s="822" t="s">
        <v>64</v>
      </c>
      <c r="C7" s="1156" t="s">
        <v>120</v>
      </c>
      <c r="D7" s="1156"/>
      <c r="G7" s="823" t="str">
        <f>"Giáo viên: "&amp;IF(C7&lt;&gt;"",PROPER(VLOOKUP(C7,'Huong dan'!$B$8:$C$21,2,0)),"")</f>
        <v xml:space="preserve">Giáo viên: </v>
      </c>
      <c r="H7" s="823"/>
      <c r="I7" s="6"/>
    </row>
    <row r="8" spans="1:32" ht="7.5" customHeight="1">
      <c r="O8" s="251"/>
      <c r="P8" s="251"/>
      <c r="Q8" s="248"/>
      <c r="R8" s="248"/>
      <c r="S8" s="248"/>
    </row>
    <row r="9" spans="1:32" ht="17.25" customHeight="1">
      <c r="A9" s="933" t="s">
        <v>0</v>
      </c>
      <c r="B9" s="927" t="s">
        <v>63</v>
      </c>
      <c r="C9" s="927"/>
      <c r="D9" s="928" t="s">
        <v>2</v>
      </c>
      <c r="E9" s="455" t="s">
        <v>217</v>
      </c>
      <c r="F9" s="455" t="s">
        <v>217</v>
      </c>
      <c r="G9" s="933" t="s">
        <v>296</v>
      </c>
      <c r="H9" s="933" t="s">
        <v>297</v>
      </c>
      <c r="I9" s="455" t="s">
        <v>67</v>
      </c>
      <c r="M9" s="1" t="s">
        <v>643</v>
      </c>
      <c r="N9" s="1" t="s">
        <v>644</v>
      </c>
      <c r="O9" s="251" t="s">
        <v>646</v>
      </c>
      <c r="P9" s="251" t="s">
        <v>645</v>
      </c>
      <c r="Q9" s="248"/>
      <c r="R9" s="248"/>
      <c r="S9" s="248"/>
    </row>
    <row r="10" spans="1:32" ht="16.5" customHeight="1">
      <c r="A10" s="934"/>
      <c r="B10" s="927"/>
      <c r="C10" s="927"/>
      <c r="D10" s="929"/>
      <c r="E10" s="382" t="s">
        <v>176</v>
      </c>
      <c r="F10" s="382" t="s">
        <v>98</v>
      </c>
      <c r="G10" s="934"/>
      <c r="H10" s="934"/>
      <c r="I10" s="382" t="s">
        <v>68</v>
      </c>
      <c r="L10" s="1">
        <v>1</v>
      </c>
      <c r="M10" s="355">
        <v>2</v>
      </c>
      <c r="N10" s="355">
        <v>3</v>
      </c>
      <c r="O10" s="355">
        <v>4</v>
      </c>
      <c r="P10" s="355">
        <v>5</v>
      </c>
      <c r="Q10" s="355"/>
      <c r="R10" s="355"/>
      <c r="S10" s="355"/>
      <c r="T10" s="252"/>
      <c r="U10" s="252"/>
      <c r="V10" s="252"/>
      <c r="W10" s="252"/>
      <c r="X10" s="252"/>
      <c r="Y10" s="252"/>
      <c r="Z10" s="252"/>
      <c r="AA10" s="252"/>
      <c r="AB10" s="252"/>
      <c r="AC10" s="252"/>
      <c r="AD10" s="252"/>
      <c r="AE10" s="252"/>
      <c r="AF10" s="252"/>
    </row>
    <row r="11" spans="1:32" ht="54.9" customHeight="1">
      <c r="A11" s="253">
        <f>IF(MIN(NXchung!$B$3:$B$57)&lt;1,"",MIN(NXchung!$B$3:$B$57))</f>
        <v>1</v>
      </c>
      <c r="B11" s="94" t="str">
        <f>IF($A11&lt;&gt;"",PROPER(INDEX(NXchung!$B$3:$EP$57,MATCH(NxGvHK2!A11,NXchung!$B$3:$B$57,0),3)),"")</f>
        <v>Phạm Huỳnh Hiệp</v>
      </c>
      <c r="C11" s="254" t="str">
        <f>IF($A11&lt;&gt;"",PROPER(INDEX(NXchung!$B$3:$EP$57,MATCH(NxGvHK2!A11,NXchung!$B$3:$B$57,0),4)),"")</f>
        <v>An</v>
      </c>
      <c r="D11" s="358" t="str">
        <f>IF($A11&lt;&gt;"",PROPER(INDEX(NXchung!$B$3:$EP$57,MATCH(NxGvHK2!A11,NXchung!$B$3:$B$57,0),5)),"")</f>
        <v>16/10/2004</v>
      </c>
      <c r="E11" s="824" t="str">
        <f>IF($A11&lt;&gt;"",INDEX(NXchung!$B$3:$EP$57,MATCH(NxGvHK2!$A11,NXchung!$B$3:$B$57,0),INDEX($L$11:$P$24,MATCH($C$7,$L$11:$L$24,0),M$10)),"")</f>
        <v/>
      </c>
      <c r="F11" s="824" t="str">
        <f>IF($A11&lt;&gt;"",INDEX(NXchung!$B$3:$EP$57,MATCH(NxGvHK2!$A11,NXchung!$B$3:$B$57,0),INDEX($L$11:$P$24,MATCH($C$7,$L$11:$L$24,0),N$10)),"")</f>
        <v/>
      </c>
      <c r="G11" s="829" t="str">
        <f>IF($A11&lt;&gt;"",INDEX(NXchung!$B$3:$EP$57,MATCH(NxGvHK2!$A11,NXchung!$B$3:$B$57,0),INDEX($L$11:$P$24,MATCH($C$7,$L$11:$L$24,0),O$10)),"")</f>
        <v/>
      </c>
      <c r="H11" s="829" t="str">
        <f>IF($A11&lt;&gt;"",INDEX(NXchung!$B$3:$EP$57,MATCH(NxGvHK2!$A11,NXchung!$B$3:$B$57,0),INDEX($L$11:$P$24,MATCH($C$7,$L$11:$L$24,0),P$10)),"")</f>
        <v/>
      </c>
      <c r="I11" s="366"/>
      <c r="L11" s="1" t="s">
        <v>26</v>
      </c>
      <c r="M11" s="355">
        <v>9</v>
      </c>
      <c r="N11" s="355">
        <v>12</v>
      </c>
      <c r="O11" s="355">
        <v>11</v>
      </c>
      <c r="P11" s="355">
        <v>14</v>
      </c>
      <c r="Q11" s="355"/>
      <c r="R11" s="355"/>
      <c r="S11" s="355"/>
      <c r="T11" s="252"/>
      <c r="U11" s="252"/>
      <c r="V11" s="252"/>
      <c r="W11" s="252"/>
      <c r="X11" s="252"/>
      <c r="Y11" s="252"/>
      <c r="Z11" s="252"/>
      <c r="AA11" s="252"/>
      <c r="AB11" s="252"/>
      <c r="AC11" s="252"/>
      <c r="AD11" s="252"/>
      <c r="AE11" s="252"/>
      <c r="AF11" s="252"/>
    </row>
    <row r="12" spans="1:32" ht="54.9" customHeight="1">
      <c r="A12" s="117">
        <f>IF(A11&lt;MAX(NXchung!$B$3:$B$57),A11+1,"")</f>
        <v>2</v>
      </c>
      <c r="B12" s="100" t="str">
        <f>IF($A12&lt;&gt;"",PROPER(INDEX(NXchung!$B$3:$EP$57,MATCH(NxGvHK2!A12,NXchung!$B$3:$B$57,0),3)),"")</f>
        <v>Chử Ngọc</v>
      </c>
      <c r="C12" s="257" t="str">
        <f>IF($A12&lt;&gt;"",PROPER(INDEX(NXchung!$B$3:$EP$57,MATCH(NxGvHK2!A12,NXchung!$B$3:$B$57,0),4)),"")</f>
        <v>Anh</v>
      </c>
      <c r="D12" s="359" t="str">
        <f>IF($A12&lt;&gt;"",PROPER(INDEX(NXchung!$B$3:$EP$57,MATCH(NxGvHK2!A12,NXchung!$B$3:$B$57,0),5)),"")</f>
        <v>14/04/2004</v>
      </c>
      <c r="E12" s="825" t="str">
        <f>IF($A12&lt;&gt;"",INDEX(NXchung!$B$3:$EP$57,MATCH(NxGvHK2!$A12,NXchung!$B$3:$B$57,0),INDEX($L$11:$P$24,MATCH($C$7,$L$11:$L$24,0),M$10)),"")</f>
        <v/>
      </c>
      <c r="F12" s="825" t="str">
        <f>IF($A12&lt;&gt;"",INDEX(NXchung!$B$3:$EP$57,MATCH(NxGvHK2!$A12,NXchung!$B$3:$B$57,0),INDEX($L$11:$P$24,MATCH($C$7,$L$11:$L$24,0),N$10)),"")</f>
        <v/>
      </c>
      <c r="G12" s="830" t="str">
        <f>IF($A12&lt;&gt;"",INDEX(NXchung!$B$3:$EP$57,MATCH(NxGvHK2!$A12,NXchung!$B$3:$B$57,0),INDEX($L$11:$P$24,MATCH($C$7,$L$11:$L$24,0),O$10)),"")</f>
        <v/>
      </c>
      <c r="H12" s="830" t="str">
        <f>IF($A12&lt;&gt;"",INDEX(NXchung!$B$3:$EP$57,MATCH(NxGvHK2!$A12,NXchung!$B$3:$B$57,0),INDEX($L$11:$P$24,MATCH($C$7,$L$11:$L$24,0),P$10)),"")</f>
        <v/>
      </c>
      <c r="I12" s="367"/>
      <c r="L12" s="1" t="s">
        <v>27</v>
      </c>
      <c r="M12" s="355">
        <v>19</v>
      </c>
      <c r="N12" s="355">
        <v>22</v>
      </c>
      <c r="O12" s="355">
        <v>21</v>
      </c>
      <c r="P12" s="355">
        <v>24</v>
      </c>
      <c r="Q12" s="355"/>
      <c r="R12" s="355"/>
      <c r="S12" s="355"/>
      <c r="T12" s="252"/>
      <c r="U12" s="252"/>
      <c r="V12" s="252"/>
      <c r="W12" s="252"/>
      <c r="X12" s="252"/>
      <c r="Y12" s="252"/>
      <c r="Z12" s="252"/>
      <c r="AA12" s="252"/>
      <c r="AB12" s="252"/>
      <c r="AC12" s="252"/>
      <c r="AD12" s="252"/>
      <c r="AE12" s="252"/>
      <c r="AF12" s="252"/>
    </row>
    <row r="13" spans="1:32" ht="54.9" customHeight="1">
      <c r="A13" s="117">
        <f>IF(A12&lt;MAX(NXchung!$B$3:$B$57),A12+1,"")</f>
        <v>3</v>
      </c>
      <c r="B13" s="100" t="str">
        <f>IF($A13&lt;&gt;"",PROPER(INDEX(NXchung!$B$3:$EP$57,MATCH(NxGvHK2!A13,NXchung!$B$3:$B$57,0),3)),"")</f>
        <v>Lê Tuấn</v>
      </c>
      <c r="C13" s="257" t="str">
        <f>IF($A13&lt;&gt;"",PROPER(INDEX(NXchung!$B$3:$EP$57,MATCH(NxGvHK2!A13,NXchung!$B$3:$B$57,0),4)),"")</f>
        <v>Anh</v>
      </c>
      <c r="D13" s="359" t="str">
        <f>IF($A13&lt;&gt;"",PROPER(INDEX(NXchung!$B$3:$EP$57,MATCH(NxGvHK2!A13,NXchung!$B$3:$B$57,0),5)),"")</f>
        <v>20/10/2004</v>
      </c>
      <c r="E13" s="825" t="str">
        <f>IF($A13&lt;&gt;"",INDEX(NXchung!$B$3:$EP$57,MATCH(NxGvHK2!$A13,NXchung!$B$3:$B$57,0),INDEX($L$11:$P$24,MATCH($C$7,$L$11:$L$24,0),M$10)),"")</f>
        <v/>
      </c>
      <c r="F13" s="825" t="str">
        <f>IF($A13&lt;&gt;"",INDEX(NXchung!$B$3:$EP$57,MATCH(NxGvHK2!$A13,NXchung!$B$3:$B$57,0),INDEX($L$11:$P$24,MATCH($C$7,$L$11:$L$24,0),N$10)),"")</f>
        <v/>
      </c>
      <c r="G13" s="830" t="str">
        <f>IF($A13&lt;&gt;"",INDEX(NXchung!$B$3:$EP$57,MATCH(NxGvHK2!$A13,NXchung!$B$3:$B$57,0),INDEX($L$11:$P$24,MATCH($C$7,$L$11:$L$24,0),O$10)),"")</f>
        <v/>
      </c>
      <c r="H13" s="830" t="str">
        <f>IF($A13&lt;&gt;"",INDEX(NXchung!$B$3:$EP$57,MATCH(NxGvHK2!$A13,NXchung!$B$3:$B$57,0),INDEX($L$11:$P$24,MATCH($C$7,$L$11:$L$24,0),P$10)),"")</f>
        <v/>
      </c>
      <c r="I13" s="367"/>
      <c r="L13" s="1" t="s">
        <v>28</v>
      </c>
      <c r="M13" s="355">
        <f>M12+10</f>
        <v>29</v>
      </c>
      <c r="N13" s="355">
        <f t="shared" ref="N13:P13" si="0">N12+10</f>
        <v>32</v>
      </c>
      <c r="O13" s="355">
        <f t="shared" si="0"/>
        <v>31</v>
      </c>
      <c r="P13" s="355">
        <f t="shared" si="0"/>
        <v>34</v>
      </c>
      <c r="Q13" s="355"/>
      <c r="R13" s="355"/>
      <c r="S13" s="355"/>
      <c r="T13" s="252"/>
      <c r="U13" s="252"/>
      <c r="V13" s="252"/>
      <c r="W13" s="252"/>
      <c r="X13" s="252"/>
      <c r="Y13" s="252"/>
      <c r="Z13" s="252"/>
      <c r="AA13" s="252"/>
      <c r="AB13" s="252"/>
      <c r="AC13" s="252"/>
      <c r="AD13" s="252"/>
      <c r="AE13" s="252"/>
      <c r="AF13" s="252"/>
    </row>
    <row r="14" spans="1:32" ht="54.9" customHeight="1">
      <c r="A14" s="117">
        <f>IF(A13&lt;MAX(NXchung!$B$3:$B$57),A13+1,"")</f>
        <v>4</v>
      </c>
      <c r="B14" s="100" t="str">
        <f>IF($A14&lt;&gt;"",PROPER(INDEX(NXchung!$B$3:$EP$57,MATCH(NxGvHK2!A14,NXchung!$B$3:$B$57,0),3)),"")</f>
        <v>Nguyễn Quách Mai</v>
      </c>
      <c r="C14" s="257" t="str">
        <f>IF($A14&lt;&gt;"",PROPER(INDEX(NXchung!$B$3:$EP$57,MATCH(NxGvHK2!A14,NXchung!$B$3:$B$57,0),4)),"")</f>
        <v>Anh</v>
      </c>
      <c r="D14" s="359" t="str">
        <f>IF($A14&lt;&gt;"",PROPER(INDEX(NXchung!$B$3:$EP$57,MATCH(NxGvHK2!A14,NXchung!$B$3:$B$57,0),5)),"")</f>
        <v>12/05/2004</v>
      </c>
      <c r="E14" s="825" t="str">
        <f>IF($A14&lt;&gt;"",INDEX(NXchung!$B$3:$EP$57,MATCH(NxGvHK2!$A14,NXchung!$B$3:$B$57,0),INDEX($L$11:$P$24,MATCH($C$7,$L$11:$L$24,0),M$10)),"")</f>
        <v/>
      </c>
      <c r="F14" s="825" t="str">
        <f>IF($A14&lt;&gt;"",INDEX(NXchung!$B$3:$EP$57,MATCH(NxGvHK2!$A14,NXchung!$B$3:$B$57,0),INDEX($L$11:$P$24,MATCH($C$7,$L$11:$L$24,0),N$10)),"")</f>
        <v/>
      </c>
      <c r="G14" s="830" t="str">
        <f>IF($A14&lt;&gt;"",INDEX(NXchung!$B$3:$EP$57,MATCH(NxGvHK2!$A14,NXchung!$B$3:$B$57,0),INDEX($L$11:$P$24,MATCH($C$7,$L$11:$L$24,0),O$10)),"")</f>
        <v/>
      </c>
      <c r="H14" s="830" t="str">
        <f>IF($A14&lt;&gt;"",INDEX(NXchung!$B$3:$EP$57,MATCH(NxGvHK2!$A14,NXchung!$B$3:$B$57,0),INDEX($L$11:$P$24,MATCH($C$7,$L$11:$L$24,0),P$10)),"")</f>
        <v/>
      </c>
      <c r="I14" s="367"/>
      <c r="L14" s="1" t="s">
        <v>29</v>
      </c>
      <c r="M14" s="355">
        <f t="shared" ref="M14:M24" si="1">M13+10</f>
        <v>39</v>
      </c>
      <c r="N14" s="355">
        <f t="shared" ref="N14:N24" si="2">N13+10</f>
        <v>42</v>
      </c>
      <c r="O14" s="355">
        <f t="shared" ref="O14:O24" si="3">O13+10</f>
        <v>41</v>
      </c>
      <c r="P14" s="355">
        <f t="shared" ref="P14:P24" si="4">P13+10</f>
        <v>44</v>
      </c>
      <c r="Q14" s="355"/>
      <c r="R14" s="355"/>
      <c r="S14" s="355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  <c r="AF14" s="252"/>
    </row>
    <row r="15" spans="1:32" ht="54.9" customHeight="1">
      <c r="A15" s="260">
        <f>IF(A14&lt;MAX(NXchung!$B$3:$B$57),A14+1,"")</f>
        <v>5</v>
      </c>
      <c r="B15" s="106" t="str">
        <f>IF($A15&lt;&gt;"",PROPER(INDEX(NXchung!$B$3:$EP$57,MATCH(NxGvHK2!A15,NXchung!$B$3:$B$57,0),3)),"")</f>
        <v>Vũ Song</v>
      </c>
      <c r="C15" s="261" t="str">
        <f>IF($A15&lt;&gt;"",PROPER(INDEX(NXchung!$B$3:$EP$57,MATCH(NxGvHK2!A15,NXchung!$B$3:$B$57,0),4)),"")</f>
        <v>Anh</v>
      </c>
      <c r="D15" s="360" t="str">
        <f>IF($A15&lt;&gt;"",PROPER(INDEX(NXchung!$B$3:$EP$57,MATCH(NxGvHK2!A15,NXchung!$B$3:$B$57,0),5)),"")</f>
        <v>20/04/2004</v>
      </c>
      <c r="E15" s="826" t="str">
        <f>IF($A15&lt;&gt;"",INDEX(NXchung!$B$3:$EP$57,MATCH(NxGvHK2!$A15,NXchung!$B$3:$B$57,0),INDEX($L$11:$P$24,MATCH($C$7,$L$11:$L$24,0),M$10)),"")</f>
        <v/>
      </c>
      <c r="F15" s="826" t="str">
        <f>IF($A15&lt;&gt;"",INDEX(NXchung!$B$3:$EP$57,MATCH(NxGvHK2!$A15,NXchung!$B$3:$B$57,0),INDEX($L$11:$P$24,MATCH($C$7,$L$11:$L$24,0),N$10)),"")</f>
        <v/>
      </c>
      <c r="G15" s="831" t="str">
        <f>IF($A15&lt;&gt;"",INDEX(NXchung!$B$3:$EP$57,MATCH(NxGvHK2!$A15,NXchung!$B$3:$B$57,0),INDEX($L$11:$P$24,MATCH($C$7,$L$11:$L$24,0),O$10)),"")</f>
        <v/>
      </c>
      <c r="H15" s="831" t="str">
        <f>IF($A15&lt;&gt;"",INDEX(NXchung!$B$3:$EP$57,MATCH(NxGvHK2!$A15,NXchung!$B$3:$B$57,0),INDEX($L$11:$P$24,MATCH($C$7,$L$11:$L$24,0),P$10)),"")</f>
        <v/>
      </c>
      <c r="I15" s="368"/>
      <c r="L15" s="1" t="s">
        <v>120</v>
      </c>
      <c r="M15" s="355">
        <f t="shared" si="1"/>
        <v>49</v>
      </c>
      <c r="N15" s="355">
        <f t="shared" si="2"/>
        <v>52</v>
      </c>
      <c r="O15" s="355">
        <f t="shared" si="3"/>
        <v>51</v>
      </c>
      <c r="P15" s="355">
        <f t="shared" si="4"/>
        <v>54</v>
      </c>
      <c r="Q15" s="355"/>
      <c r="R15" s="355"/>
      <c r="S15" s="355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  <c r="AF15" s="252"/>
    </row>
    <row r="16" spans="1:32" ht="54.9" customHeight="1">
      <c r="A16" s="264">
        <f>IF(A15&lt;MAX(NXchung!$B$3:$B$57),A15+1,"")</f>
        <v>6</v>
      </c>
      <c r="B16" s="112" t="str">
        <f>IF($A16&lt;&gt;"",PROPER(INDEX(NXchung!$B$3:$EP$57,MATCH(NxGvHK2!A16,NXchung!$B$3:$B$57,0),3)),"")</f>
        <v>Phan Gia</v>
      </c>
      <c r="C16" s="265" t="str">
        <f>IF($A16&lt;&gt;"",PROPER(INDEX(NXchung!$B$3:$EP$57,MATCH(NxGvHK2!A16,NXchung!$B$3:$B$57,0),4)),"")</f>
        <v>Bảo</v>
      </c>
      <c r="D16" s="361" t="str">
        <f>IF($A16&lt;&gt;"",PROPER(INDEX(NXchung!$B$3:$EP$57,MATCH(NxGvHK2!A16,NXchung!$B$3:$B$57,0),5)),"")</f>
        <v>27/10/2004</v>
      </c>
      <c r="E16" s="113" t="str">
        <f>IF($A16&lt;&gt;"",INDEX(NXchung!$B$3:$EP$57,MATCH(NxGvHK2!$A16,NXchung!$B$3:$B$57,0),INDEX($L$11:$P$24,MATCH($C$7,$L$11:$L$24,0),M$10)),"")</f>
        <v/>
      </c>
      <c r="F16" s="834" t="str">
        <f>IF($A16&lt;&gt;"",INDEX(NXchung!$B$3:$EP$57,MATCH(NxGvHK2!$A16,NXchung!$B$3:$B$57,0),INDEX($L$11:$P$24,MATCH($C$7,$L$11:$L$24,0),N$10)),"")</f>
        <v/>
      </c>
      <c r="G16" s="829" t="str">
        <f>IF($A16&lt;&gt;"",INDEX(NXchung!$B$3:$EP$57,MATCH(NxGvHK2!$A16,NXchung!$B$3:$B$57,0),INDEX($L$11:$P$24,MATCH($C$7,$L$11:$L$24,0),O$10)),"")</f>
        <v/>
      </c>
      <c r="H16" s="835" t="str">
        <f>IF($A16&lt;&gt;"",INDEX(NXchung!$B$3:$EP$57,MATCH(NxGvHK2!$A16,NXchung!$B$3:$B$57,0),INDEX($L$11:$P$24,MATCH($C$7,$L$11:$L$24,0),P$10)),"")</f>
        <v/>
      </c>
      <c r="I16" s="369"/>
      <c r="L16" s="1" t="s">
        <v>30</v>
      </c>
      <c r="M16" s="355">
        <f t="shared" si="1"/>
        <v>59</v>
      </c>
      <c r="N16" s="355">
        <f t="shared" si="2"/>
        <v>62</v>
      </c>
      <c r="O16" s="355">
        <f t="shared" si="3"/>
        <v>61</v>
      </c>
      <c r="P16" s="355">
        <f t="shared" si="4"/>
        <v>64</v>
      </c>
      <c r="Q16" s="355"/>
      <c r="R16" s="355"/>
      <c r="S16" s="355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  <c r="AF16" s="252"/>
    </row>
    <row r="17" spans="1:32" ht="54.9" customHeight="1">
      <c r="A17" s="117">
        <f>IF(A16&lt;MAX(NXchung!$B$3:$B$57),A16+1,"")</f>
        <v>7</v>
      </c>
      <c r="B17" s="100" t="str">
        <f>IF($A17&lt;&gt;"",PROPER(INDEX(NXchung!$B$3:$EP$57,MATCH(NxGvHK2!A17,NXchung!$B$3:$B$57,0),3)),"")</f>
        <v>Nguyễn Phúc</v>
      </c>
      <c r="C17" s="257" t="str">
        <f>IF($A17&lt;&gt;"",PROPER(INDEX(NXchung!$B$3:$EP$57,MATCH(NxGvHK2!A17,NXchung!$B$3:$B$57,0),4)),"")</f>
        <v>Bình</v>
      </c>
      <c r="D17" s="359" t="str">
        <f>IF($A17&lt;&gt;"",PROPER(INDEX(NXchung!$B$3:$EP$57,MATCH(NxGvHK2!A17,NXchung!$B$3:$B$57,0),5)),"")</f>
        <v>20/06/2004</v>
      </c>
      <c r="E17" s="101" t="str">
        <f>IF($A17&lt;&gt;"",INDEX(NXchung!$B$3:$EP$57,MATCH(NxGvHK2!$A17,NXchung!$B$3:$B$57,0),INDEX($L$11:$P$24,MATCH($C$7,$L$11:$L$24,0),M$10)),"")</f>
        <v/>
      </c>
      <c r="F17" s="825" t="str">
        <f>IF($A17&lt;&gt;"",INDEX(NXchung!$B$3:$EP$57,MATCH(NxGvHK2!$A17,NXchung!$B$3:$B$57,0),INDEX($L$11:$P$24,MATCH($C$7,$L$11:$L$24,0),N$10)),"")</f>
        <v/>
      </c>
      <c r="G17" s="830" t="str">
        <f>IF($A17&lt;&gt;"",INDEX(NXchung!$B$3:$EP$57,MATCH(NxGvHK2!$A17,NXchung!$B$3:$B$57,0),INDEX($L$11:$P$24,MATCH($C$7,$L$11:$L$24,0),O$10)),"")</f>
        <v/>
      </c>
      <c r="H17" s="830" t="str">
        <f>IF($A17&lt;&gt;"",INDEX(NXchung!$B$3:$EP$57,MATCH(NxGvHK2!$A17,NXchung!$B$3:$B$57,0),INDEX($L$11:$P$24,MATCH($C$7,$L$11:$L$24,0),P$10)),"")</f>
        <v/>
      </c>
      <c r="I17" s="367"/>
      <c r="L17" s="1" t="s">
        <v>31</v>
      </c>
      <c r="M17" s="355">
        <f t="shared" si="1"/>
        <v>69</v>
      </c>
      <c r="N17" s="355">
        <f t="shared" si="2"/>
        <v>72</v>
      </c>
      <c r="O17" s="355">
        <f t="shared" si="3"/>
        <v>71</v>
      </c>
      <c r="P17" s="355">
        <f t="shared" si="4"/>
        <v>74</v>
      </c>
      <c r="Q17" s="355"/>
      <c r="R17" s="355"/>
      <c r="S17" s="355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  <c r="AF17" s="252"/>
    </row>
    <row r="18" spans="1:32" ht="54.9" customHeight="1">
      <c r="A18" s="117">
        <f>IF(A17&lt;MAX(NXchung!$B$3:$B$57),A17+1,"")</f>
        <v>8</v>
      </c>
      <c r="B18" s="100" t="str">
        <f>IF($A18&lt;&gt;"",PROPER(INDEX(NXchung!$B$3:$EP$57,MATCH(NxGvHK2!A18,NXchung!$B$3:$B$57,0),3)),"")</f>
        <v>Trần Lê</v>
      </c>
      <c r="C18" s="257" t="str">
        <f>IF($A18&lt;&gt;"",PROPER(INDEX(NXchung!$B$3:$EP$57,MATCH(NxGvHK2!A18,NXchung!$B$3:$B$57,0),4)),"")</f>
        <v>Cường</v>
      </c>
      <c r="D18" s="359" t="str">
        <f>IF($A18&lt;&gt;"",PROPER(INDEX(NXchung!$B$3:$EP$57,MATCH(NxGvHK2!A18,NXchung!$B$3:$B$57,0),5)),"")</f>
        <v>08/04/2004</v>
      </c>
      <c r="E18" s="101" t="str">
        <f>IF($A18&lt;&gt;"",INDEX(NXchung!$B$3:$EP$57,MATCH(NxGvHK2!$A18,NXchung!$B$3:$B$57,0),INDEX($L$11:$P$24,MATCH($C$7,$L$11:$L$24,0),M$10)),"")</f>
        <v/>
      </c>
      <c r="F18" s="825" t="str">
        <f>IF($A18&lt;&gt;"",INDEX(NXchung!$B$3:$EP$57,MATCH(NxGvHK2!$A18,NXchung!$B$3:$B$57,0),INDEX($L$11:$P$24,MATCH($C$7,$L$11:$L$24,0),N$10)),"")</f>
        <v/>
      </c>
      <c r="G18" s="830" t="str">
        <f>IF($A18&lt;&gt;"",INDEX(NXchung!$B$3:$EP$57,MATCH(NxGvHK2!$A18,NXchung!$B$3:$B$57,0),INDEX($L$11:$P$24,MATCH($C$7,$L$11:$L$24,0),O$10)),"")</f>
        <v/>
      </c>
      <c r="H18" s="830" t="str">
        <f>IF($A18&lt;&gt;"",INDEX(NXchung!$B$3:$EP$57,MATCH(NxGvHK2!$A18,NXchung!$B$3:$B$57,0),INDEX($L$11:$P$24,MATCH($C$7,$L$11:$L$24,0),P$10)),"")</f>
        <v/>
      </c>
      <c r="I18" s="367"/>
      <c r="L18" s="1" t="s">
        <v>32</v>
      </c>
      <c r="M18" s="355">
        <f t="shared" si="1"/>
        <v>79</v>
      </c>
      <c r="N18" s="355">
        <f t="shared" si="2"/>
        <v>82</v>
      </c>
      <c r="O18" s="355">
        <f t="shared" si="3"/>
        <v>81</v>
      </c>
      <c r="P18" s="355">
        <f t="shared" si="4"/>
        <v>84</v>
      </c>
      <c r="Q18" s="355"/>
      <c r="R18" s="355"/>
      <c r="S18" s="355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</row>
    <row r="19" spans="1:32" ht="54.9" customHeight="1">
      <c r="A19" s="117">
        <f>IF(A18&lt;MAX(NXchung!$B$3:$B$57),A18+1,"")</f>
        <v>9</v>
      </c>
      <c r="B19" s="100" t="str">
        <f>IF($A19&lt;&gt;"",PROPER(INDEX(NXchung!$B$3:$EP$57,MATCH(NxGvHK2!A19,NXchung!$B$3:$B$57,0),3)),"")</f>
        <v>Nguyễn Thanh</v>
      </c>
      <c r="C19" s="257" t="str">
        <f>IF($A19&lt;&gt;"",PROPER(INDEX(NXchung!$B$3:$EP$57,MATCH(NxGvHK2!A19,NXchung!$B$3:$B$57,0),4)),"")</f>
        <v>Duyên</v>
      </c>
      <c r="D19" s="359" t="str">
        <f>IF($A19&lt;&gt;"",PROPER(INDEX(NXchung!$B$3:$EP$57,MATCH(NxGvHK2!A19,NXchung!$B$3:$B$57,0),5)),"")</f>
        <v>16/11/2004</v>
      </c>
      <c r="E19" s="101" t="str">
        <f>IF($A19&lt;&gt;"",INDEX(NXchung!$B$3:$EP$57,MATCH(NxGvHK2!$A19,NXchung!$B$3:$B$57,0),INDEX($L$11:$P$24,MATCH($C$7,$L$11:$L$24,0),M$10)),"")</f>
        <v/>
      </c>
      <c r="F19" s="825" t="str">
        <f>IF($A19&lt;&gt;"",INDEX(NXchung!$B$3:$EP$57,MATCH(NxGvHK2!$A19,NXchung!$B$3:$B$57,0),INDEX($L$11:$P$24,MATCH($C$7,$L$11:$L$24,0),N$10)),"")</f>
        <v/>
      </c>
      <c r="G19" s="830" t="str">
        <f>IF($A19&lt;&gt;"",INDEX(NXchung!$B$3:$EP$57,MATCH(NxGvHK2!$A19,NXchung!$B$3:$B$57,0),INDEX($L$11:$P$24,MATCH($C$7,$L$11:$L$24,0),O$10)),"")</f>
        <v/>
      </c>
      <c r="H19" s="830" t="str">
        <f>IF($A19&lt;&gt;"",INDEX(NXchung!$B$3:$EP$57,MATCH(NxGvHK2!$A19,NXchung!$B$3:$B$57,0),INDEX($L$11:$P$24,MATCH($C$7,$L$11:$L$24,0),P$10)),"")</f>
        <v/>
      </c>
      <c r="I19" s="367"/>
      <c r="L19" s="1" t="s">
        <v>33</v>
      </c>
      <c r="M19" s="355">
        <f t="shared" si="1"/>
        <v>89</v>
      </c>
      <c r="N19" s="355">
        <f t="shared" si="2"/>
        <v>92</v>
      </c>
      <c r="O19" s="355">
        <f t="shared" si="3"/>
        <v>91</v>
      </c>
      <c r="P19" s="355">
        <f t="shared" si="4"/>
        <v>94</v>
      </c>
      <c r="Q19" s="355"/>
      <c r="R19" s="355"/>
      <c r="S19" s="355"/>
      <c r="T19" s="252"/>
      <c r="U19" s="252"/>
      <c r="V19" s="252"/>
      <c r="W19" s="252"/>
      <c r="X19" s="252"/>
      <c r="Y19" s="252"/>
      <c r="Z19" s="252"/>
      <c r="AA19" s="252"/>
      <c r="AB19" s="252"/>
      <c r="AC19" s="252"/>
      <c r="AD19" s="252"/>
      <c r="AE19" s="252"/>
      <c r="AF19" s="252"/>
    </row>
    <row r="20" spans="1:32" ht="54.9" customHeight="1">
      <c r="A20" s="260">
        <f>IF(A19&lt;MAX(NXchung!$B$3:$B$57),A19+1,"")</f>
        <v>10</v>
      </c>
      <c r="B20" s="106" t="str">
        <f>IF($A20&lt;&gt;"",PROPER(INDEX(NXchung!$B$3:$EP$57,MATCH(NxGvHK2!A20,NXchung!$B$3:$B$57,0),3)),"")</f>
        <v>Trương Đắc</v>
      </c>
      <c r="C20" s="261" t="str">
        <f>IF($A20&lt;&gt;"",PROPER(INDEX(NXchung!$B$3:$EP$57,MATCH(NxGvHK2!A20,NXchung!$B$3:$B$57,0),4)),"")</f>
        <v>Điền</v>
      </c>
      <c r="D20" s="360" t="str">
        <f>IF($A20&lt;&gt;"",PROPER(INDEX(NXchung!$B$3:$EP$57,MATCH(NxGvHK2!A20,NXchung!$B$3:$B$57,0),5)),"")</f>
        <v>08/05/2004</v>
      </c>
      <c r="E20" s="107" t="str">
        <f>IF($A20&lt;&gt;"",INDEX(NXchung!$B$3:$EP$57,MATCH(NxGvHK2!$A20,NXchung!$B$3:$B$57,0),INDEX($L$11:$P$24,MATCH($C$7,$L$11:$L$24,0),M$10)),"")</f>
        <v/>
      </c>
      <c r="F20" s="826" t="str">
        <f>IF($A20&lt;&gt;"",INDEX(NXchung!$B$3:$EP$57,MATCH(NxGvHK2!$A20,NXchung!$B$3:$B$57,0),INDEX($L$11:$P$24,MATCH($C$7,$L$11:$L$24,0),N$10)),"")</f>
        <v/>
      </c>
      <c r="G20" s="831" t="str">
        <f>IF($A20&lt;&gt;"",INDEX(NXchung!$B$3:$EP$57,MATCH(NxGvHK2!$A20,NXchung!$B$3:$B$57,0),INDEX($L$11:$P$24,MATCH($C$7,$L$11:$L$24,0),O$10)),"")</f>
        <v/>
      </c>
      <c r="H20" s="831" t="str">
        <f>IF($A20&lt;&gt;"",INDEX(NXchung!$B$3:$EP$57,MATCH(NxGvHK2!$A20,NXchung!$B$3:$B$57,0),INDEX($L$11:$P$24,MATCH($C$7,$L$11:$L$24,0),P$10)),"")</f>
        <v/>
      </c>
      <c r="I20" s="368"/>
      <c r="L20" s="1" t="s">
        <v>60</v>
      </c>
      <c r="M20" s="355">
        <f t="shared" si="1"/>
        <v>99</v>
      </c>
      <c r="N20" s="355">
        <f t="shared" si="2"/>
        <v>102</v>
      </c>
      <c r="O20" s="355">
        <f t="shared" si="3"/>
        <v>101</v>
      </c>
      <c r="P20" s="355">
        <f t="shared" si="4"/>
        <v>104</v>
      </c>
      <c r="Q20" s="355"/>
      <c r="R20" s="355"/>
      <c r="S20" s="355"/>
      <c r="T20" s="252"/>
      <c r="U20" s="252"/>
      <c r="V20" s="252"/>
      <c r="W20" s="252"/>
      <c r="X20" s="252"/>
      <c r="Y20" s="252"/>
      <c r="Z20" s="252"/>
      <c r="AA20" s="252"/>
      <c r="AB20" s="252"/>
      <c r="AC20" s="252"/>
      <c r="AD20" s="252"/>
      <c r="AE20" s="252"/>
      <c r="AF20" s="252"/>
    </row>
    <row r="21" spans="1:32" ht="54.9" customHeight="1">
      <c r="A21" s="264">
        <f>IF(A20&lt;MAX(NXchung!$B$3:$B$57),A20+1,"")</f>
        <v>11</v>
      </c>
      <c r="B21" s="112" t="str">
        <f>IF($A21&lt;&gt;"",PROPER(INDEX(NXchung!$B$3:$EP$57,MATCH(NxGvHK2!A21,NXchung!$B$3:$B$57,0),3)),"")</f>
        <v>Hồ Ngọc</v>
      </c>
      <c r="C21" s="265" t="str">
        <f>IF($A21&lt;&gt;"",PROPER(INDEX(NXchung!$B$3:$EP$57,MATCH(NxGvHK2!A21,NXchung!$B$3:$B$57,0),4)),"")</f>
        <v>Hải</v>
      </c>
      <c r="D21" s="361" t="str">
        <f>IF($A21&lt;&gt;"",PROPER(INDEX(NXchung!$B$3:$EP$57,MATCH(NxGvHK2!A21,NXchung!$B$3:$B$57,0),5)),"")</f>
        <v>25/10/2004</v>
      </c>
      <c r="E21" s="113" t="str">
        <f>IF($A21&lt;&gt;"",INDEX(NXchung!$B$3:$EP$57,MATCH(NxGvHK2!$A21,NXchung!$B$3:$B$57,0),INDEX($L$11:$P$24,MATCH($C$7,$L$11:$L$24,0),M$10)),"")</f>
        <v/>
      </c>
      <c r="F21" s="834" t="str">
        <f>IF($A21&lt;&gt;"",INDEX(NXchung!$B$3:$EP$57,MATCH(NxGvHK2!$A21,NXchung!$B$3:$B$57,0),INDEX($L$11:$P$24,MATCH($C$7,$L$11:$L$24,0),N$10)),"")</f>
        <v/>
      </c>
      <c r="G21" s="829" t="str">
        <f>IF($A21&lt;&gt;"",INDEX(NXchung!$B$3:$EP$57,MATCH(NxGvHK2!$A21,NXchung!$B$3:$B$57,0),INDEX($L$11:$P$24,MATCH($C$7,$L$11:$L$24,0),O$10)),"")</f>
        <v/>
      </c>
      <c r="H21" s="835" t="str">
        <f>IF($A21&lt;&gt;"",INDEX(NXchung!$B$3:$EP$57,MATCH(NxGvHK2!$A21,NXchung!$B$3:$B$57,0),INDEX($L$11:$P$24,MATCH($C$7,$L$11:$L$24,0),P$10)),"")</f>
        <v/>
      </c>
      <c r="I21" s="369"/>
      <c r="L21" s="1" t="s">
        <v>34</v>
      </c>
      <c r="M21" s="355">
        <f t="shared" si="1"/>
        <v>109</v>
      </c>
      <c r="N21" s="355">
        <f t="shared" si="2"/>
        <v>112</v>
      </c>
      <c r="O21" s="355">
        <f t="shared" si="3"/>
        <v>111</v>
      </c>
      <c r="P21" s="355">
        <f t="shared" si="4"/>
        <v>114</v>
      </c>
      <c r="Q21" s="355"/>
      <c r="R21" s="355"/>
      <c r="S21" s="355"/>
      <c r="T21" s="252"/>
      <c r="U21" s="252"/>
      <c r="V21" s="252"/>
      <c r="W21" s="252"/>
      <c r="X21" s="252"/>
      <c r="Y21" s="252"/>
      <c r="Z21" s="252"/>
      <c r="AA21" s="252"/>
      <c r="AB21" s="252"/>
      <c r="AC21" s="252"/>
      <c r="AD21" s="252"/>
      <c r="AE21" s="252"/>
      <c r="AF21" s="252"/>
    </row>
    <row r="22" spans="1:32" ht="54.9" customHeight="1">
      <c r="A22" s="117">
        <f>IF(A21&lt;MAX(NXchung!$B$3:$B$57),A21+1,"")</f>
        <v>12</v>
      </c>
      <c r="B22" s="100" t="str">
        <f>IF($A22&lt;&gt;"",PROPER(INDEX(NXchung!$B$3:$EP$57,MATCH(NxGvHK2!A22,NXchung!$B$3:$B$57,0),3)),"")</f>
        <v>Hồ Sơn</v>
      </c>
      <c r="C22" s="257" t="str">
        <f>IF($A22&lt;&gt;"",PROPER(INDEX(NXchung!$B$3:$EP$57,MATCH(NxGvHK2!A22,NXchung!$B$3:$B$57,0),4)),"")</f>
        <v>Hậu</v>
      </c>
      <c r="D22" s="359" t="str">
        <f>IF($A22&lt;&gt;"",PROPER(INDEX(NXchung!$B$3:$EP$57,MATCH(NxGvHK2!A22,NXchung!$B$3:$B$57,0),5)),"")</f>
        <v>08/01/2004</v>
      </c>
      <c r="E22" s="101" t="str">
        <f>IF($A22&lt;&gt;"",INDEX(NXchung!$B$3:$EP$57,MATCH(NxGvHK2!$A22,NXchung!$B$3:$B$57,0),INDEX($L$11:$P$24,MATCH($C$7,$L$11:$L$24,0),M$10)),"")</f>
        <v/>
      </c>
      <c r="F22" s="825" t="str">
        <f>IF($A22&lt;&gt;"",INDEX(NXchung!$B$3:$EP$57,MATCH(NxGvHK2!$A22,NXchung!$B$3:$B$57,0),INDEX($L$11:$P$24,MATCH($C$7,$L$11:$L$24,0),N$10)),"")</f>
        <v/>
      </c>
      <c r="G22" s="830" t="str">
        <f>IF($A22&lt;&gt;"",INDEX(NXchung!$B$3:$EP$57,MATCH(NxGvHK2!$A22,NXchung!$B$3:$B$57,0),INDEX($L$11:$P$24,MATCH($C$7,$L$11:$L$24,0),O$10)),"")</f>
        <v/>
      </c>
      <c r="H22" s="830" t="str">
        <f>IF($A22&lt;&gt;"",INDEX(NXchung!$B$3:$EP$57,MATCH(NxGvHK2!$A22,NXchung!$B$3:$B$57,0),INDEX($L$11:$P$24,MATCH($C$7,$L$11:$L$24,0),P$10)),"")</f>
        <v/>
      </c>
      <c r="I22" s="367"/>
      <c r="L22" s="1" t="s">
        <v>35</v>
      </c>
      <c r="M22" s="355">
        <f t="shared" si="1"/>
        <v>119</v>
      </c>
      <c r="N22" s="355">
        <f t="shared" si="2"/>
        <v>122</v>
      </c>
      <c r="O22" s="355">
        <f t="shared" si="3"/>
        <v>121</v>
      </c>
      <c r="P22" s="355">
        <f t="shared" si="4"/>
        <v>124</v>
      </c>
      <c r="Q22" s="355"/>
      <c r="R22" s="355"/>
      <c r="S22" s="355"/>
      <c r="T22" s="252"/>
      <c r="U22" s="252"/>
      <c r="V22" s="252"/>
      <c r="W22" s="252"/>
      <c r="X22" s="252"/>
      <c r="Y22" s="252"/>
      <c r="Z22" s="252"/>
      <c r="AA22" s="252"/>
      <c r="AB22" s="252"/>
      <c r="AC22" s="252"/>
      <c r="AD22" s="252"/>
      <c r="AE22" s="252"/>
      <c r="AF22" s="252"/>
    </row>
    <row r="23" spans="1:32" ht="54.9" customHeight="1">
      <c r="A23" s="117">
        <f>IF(A22&lt;MAX(NXchung!$B$3:$B$57),A22+1,"")</f>
        <v>13</v>
      </c>
      <c r="B23" s="100" t="str">
        <f>IF($A23&lt;&gt;"",PROPER(INDEX(NXchung!$B$3:$EP$57,MATCH(NxGvHK2!A23,NXchung!$B$3:$B$57,0),3)),"")</f>
        <v xml:space="preserve">Nguyễn Thị Thu </v>
      </c>
      <c r="C23" s="257" t="str">
        <f>IF($A23&lt;&gt;"",PROPER(INDEX(NXchung!$B$3:$EP$57,MATCH(NxGvHK2!A23,NXchung!$B$3:$B$57,0),4)),"")</f>
        <v>Hiền</v>
      </c>
      <c r="D23" s="359" t="str">
        <f>IF($A23&lt;&gt;"",PROPER(INDEX(NXchung!$B$3:$EP$57,MATCH(NxGvHK2!A23,NXchung!$B$3:$B$57,0),5)),"")</f>
        <v>20/05/2004</v>
      </c>
      <c r="E23" s="101" t="str">
        <f>IF($A23&lt;&gt;"",INDEX(NXchung!$B$3:$EP$57,MATCH(NxGvHK2!$A23,NXchung!$B$3:$B$57,0),INDEX($L$11:$P$24,MATCH($C$7,$L$11:$L$24,0),M$10)),"")</f>
        <v/>
      </c>
      <c r="F23" s="825" t="str">
        <f>IF($A23&lt;&gt;"",INDEX(NXchung!$B$3:$EP$57,MATCH(NxGvHK2!$A23,NXchung!$B$3:$B$57,0),INDEX($L$11:$P$24,MATCH($C$7,$L$11:$L$24,0),N$10)),"")</f>
        <v/>
      </c>
      <c r="G23" s="830" t="str">
        <f>IF($A23&lt;&gt;"",INDEX(NXchung!$B$3:$EP$57,MATCH(NxGvHK2!$A23,NXchung!$B$3:$B$57,0),INDEX($L$11:$P$24,MATCH($C$7,$L$11:$L$24,0),O$10)),"")</f>
        <v/>
      </c>
      <c r="H23" s="830" t="str">
        <f>IF($A23&lt;&gt;"",INDEX(NXchung!$B$3:$EP$57,MATCH(NxGvHK2!$A23,NXchung!$B$3:$B$57,0),INDEX($L$11:$P$24,MATCH($C$7,$L$11:$L$24,0),P$10)),"")</f>
        <v/>
      </c>
      <c r="I23" s="367"/>
      <c r="L23" s="1" t="s">
        <v>121</v>
      </c>
      <c r="M23" s="355">
        <f t="shared" si="1"/>
        <v>129</v>
      </c>
      <c r="N23" s="355">
        <f t="shared" si="2"/>
        <v>132</v>
      </c>
      <c r="O23" s="355">
        <f t="shared" si="3"/>
        <v>131</v>
      </c>
      <c r="P23" s="355">
        <f t="shared" si="4"/>
        <v>134</v>
      </c>
      <c r="Q23" s="355"/>
      <c r="R23" s="355"/>
      <c r="S23" s="355"/>
      <c r="T23" s="252"/>
      <c r="U23" s="252"/>
      <c r="V23" s="252"/>
      <c r="W23" s="252"/>
      <c r="X23" s="252"/>
      <c r="Y23" s="252"/>
      <c r="Z23" s="252"/>
      <c r="AA23" s="252"/>
      <c r="AB23" s="252"/>
      <c r="AC23" s="252"/>
      <c r="AD23" s="252"/>
      <c r="AE23" s="252"/>
      <c r="AF23" s="252"/>
    </row>
    <row r="24" spans="1:32" ht="54.9" customHeight="1">
      <c r="A24" s="117">
        <f>IF(A23&lt;MAX(NXchung!$B$3:$B$57),A23+1,"")</f>
        <v>14</v>
      </c>
      <c r="B24" s="100" t="str">
        <f>IF($A24&lt;&gt;"",PROPER(INDEX(NXchung!$B$3:$EP$57,MATCH(NxGvHK2!A24,NXchung!$B$3:$B$57,0),3)),"")</f>
        <v>Lê Phan Ngọc</v>
      </c>
      <c r="C24" s="257" t="str">
        <f>IF($A24&lt;&gt;"",PROPER(INDEX(NXchung!$B$3:$EP$57,MATCH(NxGvHK2!A24,NXchung!$B$3:$B$57,0),4)),"")</f>
        <v>Hiếu</v>
      </c>
      <c r="D24" s="359" t="str">
        <f>IF($A24&lt;&gt;"",PROPER(INDEX(NXchung!$B$3:$EP$57,MATCH(NxGvHK2!A24,NXchung!$B$3:$B$57,0),5)),"")</f>
        <v>01/02/2004</v>
      </c>
      <c r="E24" s="101" t="str">
        <f>IF($A24&lt;&gt;"",INDEX(NXchung!$B$3:$EP$57,MATCH(NxGvHK2!$A24,NXchung!$B$3:$B$57,0),INDEX($L$11:$P$24,MATCH($C$7,$L$11:$L$24,0),M$10)),"")</f>
        <v/>
      </c>
      <c r="F24" s="825" t="str">
        <f>IF($A24&lt;&gt;"",INDEX(NXchung!$B$3:$EP$57,MATCH(NxGvHK2!$A24,NXchung!$B$3:$B$57,0),INDEX($L$11:$P$24,MATCH($C$7,$L$11:$L$24,0),N$10)),"")</f>
        <v/>
      </c>
      <c r="G24" s="830" t="str">
        <f>IF($A24&lt;&gt;"",INDEX(NXchung!$B$3:$EP$57,MATCH(NxGvHK2!$A24,NXchung!$B$3:$B$57,0),INDEX($L$11:$P$24,MATCH($C$7,$L$11:$L$24,0),O$10)),"")</f>
        <v/>
      </c>
      <c r="H24" s="830" t="str">
        <f>IF($A24&lt;&gt;"",INDEX(NXchung!$B$3:$EP$57,MATCH(NxGvHK2!$A24,NXchung!$B$3:$B$57,0),INDEX($L$11:$P$24,MATCH($C$7,$L$11:$L$24,0),P$10)),"")</f>
        <v/>
      </c>
      <c r="I24" s="367"/>
      <c r="L24" s="1" t="s">
        <v>122</v>
      </c>
      <c r="M24" s="355">
        <f t="shared" si="1"/>
        <v>139</v>
      </c>
      <c r="N24" s="355">
        <f t="shared" si="2"/>
        <v>142</v>
      </c>
      <c r="O24" s="355">
        <f t="shared" si="3"/>
        <v>141</v>
      </c>
      <c r="P24" s="355">
        <f t="shared" si="4"/>
        <v>144</v>
      </c>
      <c r="Q24" s="355"/>
      <c r="R24" s="355"/>
      <c r="S24" s="355"/>
      <c r="T24" s="252"/>
      <c r="U24" s="252"/>
      <c r="V24" s="252"/>
      <c r="W24" s="252"/>
      <c r="X24" s="252"/>
      <c r="Y24" s="252"/>
      <c r="Z24" s="252"/>
      <c r="AA24" s="252"/>
      <c r="AB24" s="252"/>
      <c r="AC24" s="252"/>
      <c r="AD24" s="252"/>
      <c r="AE24" s="252"/>
      <c r="AF24" s="252"/>
    </row>
    <row r="25" spans="1:32" ht="54.9" customHeight="1">
      <c r="A25" s="260">
        <f>IF(A24&lt;MAX(NXchung!$B$3:$B$57),A24+1,"")</f>
        <v>15</v>
      </c>
      <c r="B25" s="106" t="str">
        <f>IF($A25&lt;&gt;"",PROPER(INDEX(NXchung!$B$3:$EP$57,MATCH(NxGvHK2!A25,NXchung!$B$3:$B$57,0),3)),"")</f>
        <v>Trần Hoàng</v>
      </c>
      <c r="C25" s="261" t="str">
        <f>IF($A25&lt;&gt;"",PROPER(INDEX(NXchung!$B$3:$EP$57,MATCH(NxGvHK2!A25,NXchung!$B$3:$B$57,0),4)),"")</f>
        <v>Hưng</v>
      </c>
      <c r="D25" s="360" t="str">
        <f>IF($A25&lt;&gt;"",PROPER(INDEX(NXchung!$B$3:$EP$57,MATCH(NxGvHK2!A25,NXchung!$B$3:$B$57,0),5)),"")</f>
        <v>11/06/2004</v>
      </c>
      <c r="E25" s="107" t="str">
        <f>IF($A25&lt;&gt;"",INDEX(NXchung!$B$3:$EP$57,MATCH(NxGvHK2!$A25,NXchung!$B$3:$B$57,0),INDEX($L$11:$P$24,MATCH($C$7,$L$11:$L$24,0),M$10)),"")</f>
        <v/>
      </c>
      <c r="F25" s="826" t="str">
        <f>IF($A25&lt;&gt;"",INDEX(NXchung!$B$3:$EP$57,MATCH(NxGvHK2!$A25,NXchung!$B$3:$B$57,0),INDEX($L$11:$P$24,MATCH($C$7,$L$11:$L$24,0),N$10)),"")</f>
        <v/>
      </c>
      <c r="G25" s="831" t="str">
        <f>IF($A25&lt;&gt;"",INDEX(NXchung!$B$3:$EP$57,MATCH(NxGvHK2!$A25,NXchung!$B$3:$B$57,0),INDEX($L$11:$P$24,MATCH($C$7,$L$11:$L$24,0),O$10)),"")</f>
        <v/>
      </c>
      <c r="H25" s="831" t="str">
        <f>IF($A25&lt;&gt;"",INDEX(NXchung!$B$3:$EP$57,MATCH(NxGvHK2!$A25,NXchung!$B$3:$B$57,0),INDEX($L$11:$P$24,MATCH($C$7,$L$11:$L$24,0),P$10)),"")</f>
        <v/>
      </c>
      <c r="I25" s="368"/>
      <c r="L25" s="1" t="s">
        <v>247</v>
      </c>
      <c r="M25" s="355"/>
      <c r="N25" s="355"/>
      <c r="O25" s="355"/>
      <c r="P25" s="355"/>
      <c r="Q25" s="355"/>
      <c r="R25" s="355"/>
      <c r="S25" s="355"/>
    </row>
    <row r="26" spans="1:32" ht="54.9" customHeight="1">
      <c r="A26" s="264">
        <f>IF(A25&lt;MAX(NXchung!$B$3:$B$57),A25+1,"")</f>
        <v>16</v>
      </c>
      <c r="B26" s="112" t="str">
        <f>IF($A26&lt;&gt;"",PROPER(INDEX(NXchung!$B$3:$EP$57,MATCH(NxGvHK2!A26,NXchung!$B$3:$B$57,0),3)),"")</f>
        <v>Trần Đăng</v>
      </c>
      <c r="C26" s="265" t="str">
        <f>IF($A26&lt;&gt;"",PROPER(INDEX(NXchung!$B$3:$EP$57,MATCH(NxGvHK2!A26,NXchung!$B$3:$B$57,0),4)),"")</f>
        <v>Khải</v>
      </c>
      <c r="D26" s="361" t="str">
        <f>IF($A26&lt;&gt;"",PROPER(INDEX(NXchung!$B$3:$EP$57,MATCH(NxGvHK2!A26,NXchung!$B$3:$B$57,0),5)),"")</f>
        <v>22/04/2004</v>
      </c>
      <c r="E26" s="113" t="str">
        <f>IF($A26&lt;&gt;"",INDEX(NXchung!$B$3:$EP$57,MATCH(NxGvHK2!$A26,NXchung!$B$3:$B$57,0),INDEX($L$11:$P$24,MATCH($C$7,$L$11:$L$24,0),M$10)),"")</f>
        <v/>
      </c>
      <c r="F26" s="834" t="str">
        <f>IF($A26&lt;&gt;"",INDEX(NXchung!$B$3:$EP$57,MATCH(NxGvHK2!$A26,NXchung!$B$3:$B$57,0),INDEX($L$11:$P$24,MATCH($C$7,$L$11:$L$24,0),N$10)),"")</f>
        <v/>
      </c>
      <c r="G26" s="829" t="str">
        <f>IF($A26&lt;&gt;"",INDEX(NXchung!$B$3:$EP$57,MATCH(NxGvHK2!$A26,NXchung!$B$3:$B$57,0),INDEX($L$11:$P$24,MATCH($C$7,$L$11:$L$24,0),O$10)),"")</f>
        <v/>
      </c>
      <c r="H26" s="835" t="str">
        <f>IF($A26&lt;&gt;"",INDEX(NXchung!$B$3:$EP$57,MATCH(NxGvHK2!$A26,NXchung!$B$3:$B$57,0),INDEX($L$11:$P$24,MATCH($C$7,$L$11:$L$24,0),P$10)),"")</f>
        <v/>
      </c>
      <c r="I26" s="369"/>
    </row>
    <row r="27" spans="1:32" ht="54.9" customHeight="1">
      <c r="A27" s="117">
        <f>IF(A26&lt;MAX(NXchung!$B$3:$B$57),A26+1,"")</f>
        <v>17</v>
      </c>
      <c r="B27" s="100" t="str">
        <f>IF($A27&lt;&gt;"",PROPER(INDEX(NXchung!$B$3:$EP$57,MATCH(NxGvHK2!A27,NXchung!$B$3:$B$57,0),3)),"")</f>
        <v>Nguyễn Huỳnh Phúc</v>
      </c>
      <c r="C27" s="257" t="str">
        <f>IF($A27&lt;&gt;"",PROPER(INDEX(NXchung!$B$3:$EP$57,MATCH(NxGvHK2!A27,NXchung!$B$3:$B$57,0),4)),"")</f>
        <v>Khang</v>
      </c>
      <c r="D27" s="359" t="str">
        <f>IF($A27&lt;&gt;"",PROPER(INDEX(NXchung!$B$3:$EP$57,MATCH(NxGvHK2!A27,NXchung!$B$3:$B$57,0),5)),"")</f>
        <v>14/12/2004</v>
      </c>
      <c r="E27" s="101" t="str">
        <f>IF($A27&lt;&gt;"",INDEX(NXchung!$B$3:$EP$57,MATCH(NxGvHK2!$A27,NXchung!$B$3:$B$57,0),INDEX($L$11:$P$24,MATCH($C$7,$L$11:$L$24,0),M$10)),"")</f>
        <v/>
      </c>
      <c r="F27" s="825" t="str">
        <f>IF($A27&lt;&gt;"",INDEX(NXchung!$B$3:$EP$57,MATCH(NxGvHK2!$A27,NXchung!$B$3:$B$57,0),INDEX($L$11:$P$24,MATCH($C$7,$L$11:$L$24,0),N$10)),"")</f>
        <v/>
      </c>
      <c r="G27" s="830" t="str">
        <f>IF($A27&lt;&gt;"",INDEX(NXchung!$B$3:$EP$57,MATCH(NxGvHK2!$A27,NXchung!$B$3:$B$57,0),INDEX($L$11:$P$24,MATCH($C$7,$L$11:$L$24,0),O$10)),"")</f>
        <v/>
      </c>
      <c r="H27" s="830" t="str">
        <f>IF($A27&lt;&gt;"",INDEX(NXchung!$B$3:$EP$57,MATCH(NxGvHK2!$A27,NXchung!$B$3:$B$57,0),INDEX($L$11:$P$24,MATCH($C$7,$L$11:$L$24,0),P$10)),"")</f>
        <v/>
      </c>
      <c r="I27" s="367"/>
    </row>
    <row r="28" spans="1:32" ht="54.9" customHeight="1">
      <c r="A28" s="117">
        <f>IF(A27&lt;MAX(NXchung!$B$3:$B$57),A27+1,"")</f>
        <v>18</v>
      </c>
      <c r="B28" s="100" t="str">
        <f>IF($A28&lt;&gt;"",PROPER(INDEX(NXchung!$B$3:$EP$57,MATCH(NxGvHK2!A28,NXchung!$B$3:$B$57,0),3)),"")</f>
        <v>Nguyễn Đăng</v>
      </c>
      <c r="C28" s="257" t="str">
        <f>IF($A28&lt;&gt;"",PROPER(INDEX(NXchung!$B$3:$EP$57,MATCH(NxGvHK2!A28,NXchung!$B$3:$B$57,0),4)),"")</f>
        <v>Khoa</v>
      </c>
      <c r="D28" s="359" t="str">
        <f>IF($A28&lt;&gt;"",PROPER(INDEX(NXchung!$B$3:$EP$57,MATCH(NxGvHK2!A28,NXchung!$B$3:$B$57,0),5)),"")</f>
        <v>07/11/2004</v>
      </c>
      <c r="E28" s="101" t="str">
        <f>IF($A28&lt;&gt;"",INDEX(NXchung!$B$3:$EP$57,MATCH(NxGvHK2!$A28,NXchung!$B$3:$B$57,0),INDEX($L$11:$P$24,MATCH($C$7,$L$11:$L$24,0),M$10)),"")</f>
        <v/>
      </c>
      <c r="F28" s="825" t="str">
        <f>IF($A28&lt;&gt;"",INDEX(NXchung!$B$3:$EP$57,MATCH(NxGvHK2!$A28,NXchung!$B$3:$B$57,0),INDEX($L$11:$P$24,MATCH($C$7,$L$11:$L$24,0),N$10)),"")</f>
        <v/>
      </c>
      <c r="G28" s="830" t="str">
        <f>IF($A28&lt;&gt;"",INDEX(NXchung!$B$3:$EP$57,MATCH(NxGvHK2!$A28,NXchung!$B$3:$B$57,0),INDEX($L$11:$P$24,MATCH($C$7,$L$11:$L$24,0),O$10)),"")</f>
        <v/>
      </c>
      <c r="H28" s="830" t="str">
        <f>IF($A28&lt;&gt;"",INDEX(NXchung!$B$3:$EP$57,MATCH(NxGvHK2!$A28,NXchung!$B$3:$B$57,0),INDEX($L$11:$P$24,MATCH($C$7,$L$11:$L$24,0),P$10)),"")</f>
        <v/>
      </c>
      <c r="I28" s="367"/>
    </row>
    <row r="29" spans="1:32" ht="54.9" customHeight="1">
      <c r="A29" s="117">
        <f>IF(A28&lt;MAX(NXchung!$B$3:$B$57),A28+1,"")</f>
        <v>19</v>
      </c>
      <c r="B29" s="100" t="str">
        <f>IF($A29&lt;&gt;"",PROPER(INDEX(NXchung!$B$3:$EP$57,MATCH(NxGvHK2!A29,NXchung!$B$3:$B$57,0),3)),"")</f>
        <v>Lê Tiến</v>
      </c>
      <c r="C29" s="257" t="str">
        <f>IF($A29&lt;&gt;"",PROPER(INDEX(NXchung!$B$3:$EP$57,MATCH(NxGvHK2!A29,NXchung!$B$3:$B$57,0),4)),"")</f>
        <v>Khôi</v>
      </c>
      <c r="D29" s="359" t="str">
        <f>IF($A29&lt;&gt;"",PROPER(INDEX(NXchung!$B$3:$EP$57,MATCH(NxGvHK2!A29,NXchung!$B$3:$B$57,0),5)),"")</f>
        <v>14/10/2004</v>
      </c>
      <c r="E29" s="101" t="str">
        <f>IF($A29&lt;&gt;"",INDEX(NXchung!$B$3:$EP$57,MATCH(NxGvHK2!$A29,NXchung!$B$3:$B$57,0),INDEX($L$11:$P$24,MATCH($C$7,$L$11:$L$24,0),M$10)),"")</f>
        <v/>
      </c>
      <c r="F29" s="825" t="str">
        <f>IF($A29&lt;&gt;"",INDEX(NXchung!$B$3:$EP$57,MATCH(NxGvHK2!$A29,NXchung!$B$3:$B$57,0),INDEX($L$11:$P$24,MATCH($C$7,$L$11:$L$24,0),N$10)),"")</f>
        <v/>
      </c>
      <c r="G29" s="830" t="str">
        <f>IF($A29&lt;&gt;"",INDEX(NXchung!$B$3:$EP$57,MATCH(NxGvHK2!$A29,NXchung!$B$3:$B$57,0),INDEX($L$11:$P$24,MATCH($C$7,$L$11:$L$24,0),O$10)),"")</f>
        <v/>
      </c>
      <c r="H29" s="830" t="str">
        <f>IF($A29&lt;&gt;"",INDEX(NXchung!$B$3:$EP$57,MATCH(NxGvHK2!$A29,NXchung!$B$3:$B$57,0),INDEX($L$11:$P$24,MATCH($C$7,$L$11:$L$24,0),P$10)),"")</f>
        <v/>
      </c>
      <c r="I29" s="367"/>
    </row>
    <row r="30" spans="1:32" ht="54.9" customHeight="1">
      <c r="A30" s="260">
        <f>IF(A29&lt;MAX(NXchung!$B$3:$B$57),A29+1,"")</f>
        <v>20</v>
      </c>
      <c r="B30" s="106" t="str">
        <f>IF($A30&lt;&gt;"",PROPER(INDEX(NXchung!$B$3:$EP$57,MATCH(NxGvHK2!A30,NXchung!$B$3:$B$57,0),3)),"")</f>
        <v>Nguyễn Phúc</v>
      </c>
      <c r="C30" s="261" t="str">
        <f>IF($A30&lt;&gt;"",PROPER(INDEX(NXchung!$B$3:$EP$57,MATCH(NxGvHK2!A30,NXchung!$B$3:$B$57,0),4)),"")</f>
        <v>Lâm</v>
      </c>
      <c r="D30" s="360" t="str">
        <f>IF($A30&lt;&gt;"",PROPER(INDEX(NXchung!$B$3:$EP$57,MATCH(NxGvHK2!A30,NXchung!$B$3:$B$57,0),5)),"")</f>
        <v>02/04/2004</v>
      </c>
      <c r="E30" s="107" t="str">
        <f>IF($A30&lt;&gt;"",INDEX(NXchung!$B$3:$EP$57,MATCH(NxGvHK2!$A30,NXchung!$B$3:$B$57,0),INDEX($L$11:$P$24,MATCH($C$7,$L$11:$L$24,0),M$10)),"")</f>
        <v/>
      </c>
      <c r="F30" s="826" t="str">
        <f>IF($A30&lt;&gt;"",INDEX(NXchung!$B$3:$EP$57,MATCH(NxGvHK2!$A30,NXchung!$B$3:$B$57,0),INDEX($L$11:$P$24,MATCH($C$7,$L$11:$L$24,0),N$10)),"")</f>
        <v/>
      </c>
      <c r="G30" s="831" t="str">
        <f>IF($A30&lt;&gt;"",INDEX(NXchung!$B$3:$EP$57,MATCH(NxGvHK2!$A30,NXchung!$B$3:$B$57,0),INDEX($L$11:$P$24,MATCH($C$7,$L$11:$L$24,0),O$10)),"")</f>
        <v/>
      </c>
      <c r="H30" s="831" t="str">
        <f>IF($A30&lt;&gt;"",INDEX(NXchung!$B$3:$EP$57,MATCH(NxGvHK2!$A30,NXchung!$B$3:$B$57,0),INDEX($L$11:$P$24,MATCH($C$7,$L$11:$L$24,0),P$10)),"")</f>
        <v/>
      </c>
      <c r="I30" s="368"/>
    </row>
    <row r="31" spans="1:32" ht="54.9" customHeight="1">
      <c r="A31" s="264">
        <f>IF(A30&lt;MAX(NXchung!$B$3:$B$57),A30+1,"")</f>
        <v>21</v>
      </c>
      <c r="B31" s="112" t="str">
        <f>IF($A31&lt;&gt;"",PROPER(INDEX(NXchung!$B$3:$EP$57,MATCH(NxGvHK2!A31,NXchung!$B$3:$B$57,0),3)),"")</f>
        <v>Phạm Tấn</v>
      </c>
      <c r="C31" s="265" t="str">
        <f>IF($A31&lt;&gt;"",PROPER(INDEX(NXchung!$B$3:$EP$57,MATCH(NxGvHK2!A31,NXchung!$B$3:$B$57,0),4)),"")</f>
        <v>Lộc</v>
      </c>
      <c r="D31" s="361" t="str">
        <f>IF($A31&lt;&gt;"",PROPER(INDEX(NXchung!$B$3:$EP$57,MATCH(NxGvHK2!A31,NXchung!$B$3:$B$57,0),5)),"")</f>
        <v>05/07/2004</v>
      </c>
      <c r="E31" s="113" t="str">
        <f>IF($A31&lt;&gt;"",INDEX(NXchung!$B$3:$EP$57,MATCH(NxGvHK2!$A31,NXchung!$B$3:$B$57,0),INDEX($L$11:$P$24,MATCH($C$7,$L$11:$L$24,0),M$10)),"")</f>
        <v/>
      </c>
      <c r="F31" s="834" t="str">
        <f>IF($A31&lt;&gt;"",INDEX(NXchung!$B$3:$EP$57,MATCH(NxGvHK2!$A31,NXchung!$B$3:$B$57,0),INDEX($L$11:$P$24,MATCH($C$7,$L$11:$L$24,0),N$10)),"")</f>
        <v/>
      </c>
      <c r="G31" s="829" t="str">
        <f>IF($A31&lt;&gt;"",INDEX(NXchung!$B$3:$EP$57,MATCH(NxGvHK2!$A31,NXchung!$B$3:$B$57,0),INDEX($L$11:$P$24,MATCH($C$7,$L$11:$L$24,0),O$10)),"")</f>
        <v/>
      </c>
      <c r="H31" s="835" t="str">
        <f>IF($A31&lt;&gt;"",INDEX(NXchung!$B$3:$EP$57,MATCH(NxGvHK2!$A31,NXchung!$B$3:$B$57,0),INDEX($L$11:$P$24,MATCH($C$7,$L$11:$L$24,0),P$10)),"")</f>
        <v/>
      </c>
      <c r="I31" s="369"/>
    </row>
    <row r="32" spans="1:32" ht="54.9" customHeight="1">
      <c r="A32" s="117">
        <f>IF(A31&lt;MAX(NXchung!$B$3:$B$57),A31+1,"")</f>
        <v>22</v>
      </c>
      <c r="B32" s="100" t="str">
        <f>IF($A32&lt;&gt;"",PROPER(INDEX(NXchung!$B$3:$EP$57,MATCH(NxGvHK2!A32,NXchung!$B$3:$B$57,0),3)),"")</f>
        <v xml:space="preserve">Phạm Thị Khả </v>
      </c>
      <c r="C32" s="257" t="str">
        <f>IF($A32&lt;&gt;"",PROPER(INDEX(NXchung!$B$3:$EP$57,MATCH(NxGvHK2!A32,NXchung!$B$3:$B$57,0),4)),"")</f>
        <v>My</v>
      </c>
      <c r="D32" s="359" t="str">
        <f>IF($A32&lt;&gt;"",PROPER(INDEX(NXchung!$B$3:$EP$57,MATCH(NxGvHK2!A32,NXchung!$B$3:$B$57,0),5)),"")</f>
        <v>28/02/2004</v>
      </c>
      <c r="E32" s="101" t="str">
        <f>IF($A32&lt;&gt;"",INDEX(NXchung!$B$3:$EP$57,MATCH(NxGvHK2!$A32,NXchung!$B$3:$B$57,0),INDEX($L$11:$P$24,MATCH($C$7,$L$11:$L$24,0),M$10)),"")</f>
        <v/>
      </c>
      <c r="F32" s="825" t="str">
        <f>IF($A32&lt;&gt;"",INDEX(NXchung!$B$3:$EP$57,MATCH(NxGvHK2!$A32,NXchung!$B$3:$B$57,0),INDEX($L$11:$P$24,MATCH($C$7,$L$11:$L$24,0),N$10)),"")</f>
        <v/>
      </c>
      <c r="G32" s="830" t="str">
        <f>IF($A32&lt;&gt;"",INDEX(NXchung!$B$3:$EP$57,MATCH(NxGvHK2!$A32,NXchung!$B$3:$B$57,0),INDEX($L$11:$P$24,MATCH($C$7,$L$11:$L$24,0),O$10)),"")</f>
        <v/>
      </c>
      <c r="H32" s="830" t="str">
        <f>IF($A32&lt;&gt;"",INDEX(NXchung!$B$3:$EP$57,MATCH(NxGvHK2!$A32,NXchung!$B$3:$B$57,0),INDEX($L$11:$P$24,MATCH($C$7,$L$11:$L$24,0),P$10)),"")</f>
        <v/>
      </c>
      <c r="I32" s="367"/>
    </row>
    <row r="33" spans="1:9" ht="54.9" customHeight="1">
      <c r="A33" s="117">
        <f>IF(A32&lt;MAX(NXchung!$B$3:$B$57),A32+1,"")</f>
        <v>23</v>
      </c>
      <c r="B33" s="100" t="str">
        <f>IF($A33&lt;&gt;"",PROPER(INDEX(NXchung!$B$3:$EP$57,MATCH(NxGvHK2!A33,NXchung!$B$3:$B$57,0),3)),"")</f>
        <v>Lê</v>
      </c>
      <c r="C33" s="257" t="str">
        <f>IF($A33&lt;&gt;"",PROPER(INDEX(NXchung!$B$3:$EP$57,MATCH(NxGvHK2!A33,NXchung!$B$3:$B$57,0),4)),"")</f>
        <v>Na</v>
      </c>
      <c r="D33" s="359" t="str">
        <f>IF($A33&lt;&gt;"",PROPER(INDEX(NXchung!$B$3:$EP$57,MATCH(NxGvHK2!A33,NXchung!$B$3:$B$57,0),5)),"")</f>
        <v>29/02/2004</v>
      </c>
      <c r="E33" s="101" t="str">
        <f>IF($A33&lt;&gt;"",INDEX(NXchung!$B$3:$EP$57,MATCH(NxGvHK2!$A33,NXchung!$B$3:$B$57,0),INDEX($L$11:$P$24,MATCH($C$7,$L$11:$L$24,0),M$10)),"")</f>
        <v/>
      </c>
      <c r="F33" s="825" t="str">
        <f>IF($A33&lt;&gt;"",INDEX(NXchung!$B$3:$EP$57,MATCH(NxGvHK2!$A33,NXchung!$B$3:$B$57,0),INDEX($L$11:$P$24,MATCH($C$7,$L$11:$L$24,0),N$10)),"")</f>
        <v/>
      </c>
      <c r="G33" s="830" t="str">
        <f>IF($A33&lt;&gt;"",INDEX(NXchung!$B$3:$EP$57,MATCH(NxGvHK2!$A33,NXchung!$B$3:$B$57,0),INDEX($L$11:$P$24,MATCH($C$7,$L$11:$L$24,0),O$10)),"")</f>
        <v/>
      </c>
      <c r="H33" s="830" t="str">
        <f>IF($A33&lt;&gt;"",INDEX(NXchung!$B$3:$EP$57,MATCH(NxGvHK2!$A33,NXchung!$B$3:$B$57,0),INDEX($L$11:$P$24,MATCH($C$7,$L$11:$L$24,0),P$10)),"")</f>
        <v/>
      </c>
      <c r="I33" s="367"/>
    </row>
    <row r="34" spans="1:9" ht="54.9" customHeight="1">
      <c r="A34" s="117">
        <f>IF(A33&lt;MAX(NXchung!$B$3:$B$57),A33+1,"")</f>
        <v>24</v>
      </c>
      <c r="B34" s="100" t="str">
        <f>IF($A34&lt;&gt;"",PROPER(INDEX(NXchung!$B$3:$EP$57,MATCH(NxGvHK2!A34,NXchung!$B$3:$B$57,0),3)),"")</f>
        <v>Quách Tống Minh</v>
      </c>
      <c r="C34" s="257" t="str">
        <f>IF($A34&lt;&gt;"",PROPER(INDEX(NXchung!$B$3:$EP$57,MATCH(NxGvHK2!A34,NXchung!$B$3:$B$57,0),4)),"")</f>
        <v>Nhật</v>
      </c>
      <c r="D34" s="359" t="str">
        <f>IF($A34&lt;&gt;"",PROPER(INDEX(NXchung!$B$3:$EP$57,MATCH(NxGvHK2!A34,NXchung!$B$3:$B$57,0),5)),"")</f>
        <v>01/12/2004</v>
      </c>
      <c r="E34" s="101" t="str">
        <f>IF($A34&lt;&gt;"",INDEX(NXchung!$B$3:$EP$57,MATCH(NxGvHK2!$A34,NXchung!$B$3:$B$57,0),INDEX($L$11:$P$24,MATCH($C$7,$L$11:$L$24,0),M$10)),"")</f>
        <v/>
      </c>
      <c r="F34" s="825" t="str">
        <f>IF($A34&lt;&gt;"",INDEX(NXchung!$B$3:$EP$57,MATCH(NxGvHK2!$A34,NXchung!$B$3:$B$57,0),INDEX($L$11:$P$24,MATCH($C$7,$L$11:$L$24,0),N$10)),"")</f>
        <v/>
      </c>
      <c r="G34" s="830" t="str">
        <f>IF($A34&lt;&gt;"",INDEX(NXchung!$B$3:$EP$57,MATCH(NxGvHK2!$A34,NXchung!$B$3:$B$57,0),INDEX($L$11:$P$24,MATCH($C$7,$L$11:$L$24,0),O$10)),"")</f>
        <v/>
      </c>
      <c r="H34" s="830" t="str">
        <f>IF($A34&lt;&gt;"",INDEX(NXchung!$B$3:$EP$57,MATCH(NxGvHK2!$A34,NXchung!$B$3:$B$57,0),INDEX($L$11:$P$24,MATCH($C$7,$L$11:$L$24,0),P$10)),"")</f>
        <v/>
      </c>
      <c r="I34" s="367"/>
    </row>
    <row r="35" spans="1:9" ht="54.9" customHeight="1">
      <c r="A35" s="260">
        <f>IF(A34&lt;MAX(NXchung!$B$3:$B$57),A34+1,"")</f>
        <v>25</v>
      </c>
      <c r="B35" s="106" t="str">
        <f>IF($A35&lt;&gt;"",PROPER(INDEX(NXchung!$B$3:$EP$57,MATCH(NxGvHK2!A35,NXchung!$B$3:$B$57,0),3)),"")</f>
        <v>Nguyễn Thục</v>
      </c>
      <c r="C35" s="261" t="str">
        <f>IF($A35&lt;&gt;"",PROPER(INDEX(NXchung!$B$3:$EP$57,MATCH(NxGvHK2!A35,NXchung!$B$3:$B$57,0),4)),"")</f>
        <v>Nhi</v>
      </c>
      <c r="D35" s="360" t="str">
        <f>IF($A35&lt;&gt;"",PROPER(INDEX(NXchung!$B$3:$EP$57,MATCH(NxGvHK2!A35,NXchung!$B$3:$B$57,0),5)),"")</f>
        <v>04/10/2004</v>
      </c>
      <c r="E35" s="107" t="str">
        <f>IF($A35&lt;&gt;"",INDEX(NXchung!$B$3:$EP$57,MATCH(NxGvHK2!$A35,NXchung!$B$3:$B$57,0),INDEX($L$11:$P$24,MATCH($C$7,$L$11:$L$24,0),M$10)),"")</f>
        <v/>
      </c>
      <c r="F35" s="826" t="str">
        <f>IF($A35&lt;&gt;"",INDEX(NXchung!$B$3:$EP$57,MATCH(NxGvHK2!$A35,NXchung!$B$3:$B$57,0),INDEX($L$11:$P$24,MATCH($C$7,$L$11:$L$24,0),N$10)),"")</f>
        <v/>
      </c>
      <c r="G35" s="831" t="str">
        <f>IF($A35&lt;&gt;"",INDEX(NXchung!$B$3:$EP$57,MATCH(NxGvHK2!$A35,NXchung!$B$3:$B$57,0),INDEX($L$11:$P$24,MATCH($C$7,$L$11:$L$24,0),O$10)),"")</f>
        <v/>
      </c>
      <c r="H35" s="831" t="str">
        <f>IF($A35&lt;&gt;"",INDEX(NXchung!$B$3:$EP$57,MATCH(NxGvHK2!$A35,NXchung!$B$3:$B$57,0),INDEX($L$11:$P$24,MATCH($C$7,$L$11:$L$24,0),P$10)),"")</f>
        <v/>
      </c>
      <c r="I35" s="368"/>
    </row>
    <row r="36" spans="1:9" ht="54.9" customHeight="1">
      <c r="A36" s="264">
        <f>IF(A35&lt;MAX(NXchung!$B$3:$B$57),A35+1,"")</f>
        <v>26</v>
      </c>
      <c r="B36" s="112" t="str">
        <f>IF($A36&lt;&gt;"",PROPER(INDEX(NXchung!$B$3:$EP$57,MATCH(NxGvHK2!A36,NXchung!$B$3:$B$57,0),3)),"")</f>
        <v>Trần Thị Hải</v>
      </c>
      <c r="C36" s="265" t="str">
        <f>IF($A36&lt;&gt;"",PROPER(INDEX(NXchung!$B$3:$EP$57,MATCH(NxGvHK2!A36,NXchung!$B$3:$B$57,0),4)),"")</f>
        <v>Như</v>
      </c>
      <c r="D36" s="361" t="str">
        <f>IF($A36&lt;&gt;"",PROPER(INDEX(NXchung!$B$3:$EP$57,MATCH(NxGvHK2!A36,NXchung!$B$3:$B$57,0),5)),"")</f>
        <v>17/08/2004</v>
      </c>
      <c r="E36" s="113" t="str">
        <f>IF($A36&lt;&gt;"",INDEX(NXchung!$B$3:$EP$57,MATCH(NxGvHK2!$A36,NXchung!$B$3:$B$57,0),INDEX($L$11:$P$24,MATCH($C$7,$L$11:$L$24,0),M$10)),"")</f>
        <v/>
      </c>
      <c r="F36" s="834" t="str">
        <f>IF($A36&lt;&gt;"",INDEX(NXchung!$B$3:$EP$57,MATCH(NxGvHK2!$A36,NXchung!$B$3:$B$57,0),INDEX($L$11:$P$24,MATCH($C$7,$L$11:$L$24,0),N$10)),"")</f>
        <v/>
      </c>
      <c r="G36" s="829" t="str">
        <f>IF($A36&lt;&gt;"",INDEX(NXchung!$B$3:$EP$57,MATCH(NxGvHK2!$A36,NXchung!$B$3:$B$57,0),INDEX($L$11:$P$24,MATCH($C$7,$L$11:$L$24,0),O$10)),"")</f>
        <v/>
      </c>
      <c r="H36" s="835" t="str">
        <f>IF($A36&lt;&gt;"",INDEX(NXchung!$B$3:$EP$57,MATCH(NxGvHK2!$A36,NXchung!$B$3:$B$57,0),INDEX($L$11:$P$24,MATCH($C$7,$L$11:$L$24,0),P$10)),"")</f>
        <v/>
      </c>
      <c r="I36" s="369"/>
    </row>
    <row r="37" spans="1:9" ht="54.9" customHeight="1">
      <c r="A37" s="117">
        <f>IF(A36&lt;MAX(NXchung!$B$3:$B$57),A36+1,"")</f>
        <v>27</v>
      </c>
      <c r="B37" s="100" t="str">
        <f>IF($A37&lt;&gt;"",PROPER(INDEX(NXchung!$B$3:$EP$57,MATCH(NxGvHK2!A37,NXchung!$B$3:$B$57,0),3)),"")</f>
        <v>Nguyễn Bá Nhật</v>
      </c>
      <c r="C37" s="257" t="str">
        <f>IF($A37&lt;&gt;"",PROPER(INDEX(NXchung!$B$3:$EP$57,MATCH(NxGvHK2!A37,NXchung!$B$3:$B$57,0),4)),"")</f>
        <v>Quang</v>
      </c>
      <c r="D37" s="359" t="str">
        <f>IF($A37&lt;&gt;"",PROPER(INDEX(NXchung!$B$3:$EP$57,MATCH(NxGvHK2!A37,NXchung!$B$3:$B$57,0),5)),"")</f>
        <v>18/07/2004</v>
      </c>
      <c r="E37" s="101" t="str">
        <f>IF($A37&lt;&gt;"",INDEX(NXchung!$B$3:$EP$57,MATCH(NxGvHK2!$A37,NXchung!$B$3:$B$57,0),INDEX($L$11:$P$24,MATCH($C$7,$L$11:$L$24,0),M$10)),"")</f>
        <v/>
      </c>
      <c r="F37" s="825" t="str">
        <f>IF($A37&lt;&gt;"",INDEX(NXchung!$B$3:$EP$57,MATCH(NxGvHK2!$A37,NXchung!$B$3:$B$57,0),INDEX($L$11:$P$24,MATCH($C$7,$L$11:$L$24,0),N$10)),"")</f>
        <v/>
      </c>
      <c r="G37" s="830" t="str">
        <f>IF($A37&lt;&gt;"",INDEX(NXchung!$B$3:$EP$57,MATCH(NxGvHK2!$A37,NXchung!$B$3:$B$57,0),INDEX($L$11:$P$24,MATCH($C$7,$L$11:$L$24,0),O$10)),"")</f>
        <v/>
      </c>
      <c r="H37" s="830" t="str">
        <f>IF($A37&lt;&gt;"",INDEX(NXchung!$B$3:$EP$57,MATCH(NxGvHK2!$A37,NXchung!$B$3:$B$57,0),INDEX($L$11:$P$24,MATCH($C$7,$L$11:$L$24,0),P$10)),"")</f>
        <v/>
      </c>
      <c r="I37" s="367"/>
    </row>
    <row r="38" spans="1:9" ht="54.9" customHeight="1">
      <c r="A38" s="117">
        <f>IF(A37&lt;MAX(NXchung!$B$3:$B$57),A37+1,"")</f>
        <v>28</v>
      </c>
      <c r="B38" s="100" t="str">
        <f>IF($A38&lt;&gt;"",PROPER(INDEX(NXchung!$B$3:$EP$57,MATCH(NxGvHK2!A38,NXchung!$B$3:$B$57,0),3)),"")</f>
        <v>Phan Trương Kiến</v>
      </c>
      <c r="C38" s="257" t="str">
        <f>IF($A38&lt;&gt;"",PROPER(INDEX(NXchung!$B$3:$EP$57,MATCH(NxGvHK2!A38,NXchung!$B$3:$B$57,0),4)),"")</f>
        <v>Quốc</v>
      </c>
      <c r="D38" s="359" t="str">
        <f>IF($A38&lt;&gt;"",PROPER(INDEX(NXchung!$B$3:$EP$57,MATCH(NxGvHK2!A38,NXchung!$B$3:$B$57,0),5)),"")</f>
        <v>03/12/2004</v>
      </c>
      <c r="E38" s="101" t="str">
        <f>IF($A38&lt;&gt;"",INDEX(NXchung!$B$3:$EP$57,MATCH(NxGvHK2!$A38,NXchung!$B$3:$B$57,0),INDEX($L$11:$P$24,MATCH($C$7,$L$11:$L$24,0),M$10)),"")</f>
        <v/>
      </c>
      <c r="F38" s="825" t="str">
        <f>IF($A38&lt;&gt;"",INDEX(NXchung!$B$3:$EP$57,MATCH(NxGvHK2!$A38,NXchung!$B$3:$B$57,0),INDEX($L$11:$P$24,MATCH($C$7,$L$11:$L$24,0),N$10)),"")</f>
        <v/>
      </c>
      <c r="G38" s="830" t="str">
        <f>IF($A38&lt;&gt;"",INDEX(NXchung!$B$3:$EP$57,MATCH(NxGvHK2!$A38,NXchung!$B$3:$B$57,0),INDEX($L$11:$P$24,MATCH($C$7,$L$11:$L$24,0),O$10)),"")</f>
        <v/>
      </c>
      <c r="H38" s="830" t="str">
        <f>IF($A38&lt;&gt;"",INDEX(NXchung!$B$3:$EP$57,MATCH(NxGvHK2!$A38,NXchung!$B$3:$B$57,0),INDEX($L$11:$P$24,MATCH($C$7,$L$11:$L$24,0),P$10)),"")</f>
        <v/>
      </c>
      <c r="I38" s="367"/>
    </row>
    <row r="39" spans="1:9" ht="54.9" customHeight="1">
      <c r="A39" s="117">
        <f>IF(A38&lt;MAX(NXchung!$B$3:$B$57),A38+1,"")</f>
        <v>29</v>
      </c>
      <c r="B39" s="100" t="str">
        <f>IF($A39&lt;&gt;"",PROPER(INDEX(NXchung!$B$3:$EP$57,MATCH(NxGvHK2!A39,NXchung!$B$3:$B$57,0),3)),"")</f>
        <v>Trần Thị Như</v>
      </c>
      <c r="C39" s="257" t="str">
        <f>IF($A39&lt;&gt;"",PROPER(INDEX(NXchung!$B$3:$EP$57,MATCH(NxGvHK2!A39,NXchung!$B$3:$B$57,0),4)),"")</f>
        <v>Quỳnh</v>
      </c>
      <c r="D39" s="359" t="str">
        <f>IF($A39&lt;&gt;"",PROPER(INDEX(NXchung!$B$3:$EP$57,MATCH(NxGvHK2!A39,NXchung!$B$3:$B$57,0),5)),"")</f>
        <v>28/01/2004</v>
      </c>
      <c r="E39" s="101" t="str">
        <f>IF($A39&lt;&gt;"",INDEX(NXchung!$B$3:$EP$57,MATCH(NxGvHK2!$A39,NXchung!$B$3:$B$57,0),INDEX($L$11:$P$24,MATCH($C$7,$L$11:$L$24,0),M$10)),"")</f>
        <v/>
      </c>
      <c r="F39" s="825" t="str">
        <f>IF($A39&lt;&gt;"",INDEX(NXchung!$B$3:$EP$57,MATCH(NxGvHK2!$A39,NXchung!$B$3:$B$57,0),INDEX($L$11:$P$24,MATCH($C$7,$L$11:$L$24,0),N$10)),"")</f>
        <v/>
      </c>
      <c r="G39" s="830" t="str">
        <f>IF($A39&lt;&gt;"",INDEX(NXchung!$B$3:$EP$57,MATCH(NxGvHK2!$A39,NXchung!$B$3:$B$57,0),INDEX($L$11:$P$24,MATCH($C$7,$L$11:$L$24,0),O$10)),"")</f>
        <v/>
      </c>
      <c r="H39" s="830" t="str">
        <f>IF($A39&lt;&gt;"",INDEX(NXchung!$B$3:$EP$57,MATCH(NxGvHK2!$A39,NXchung!$B$3:$B$57,0),INDEX($L$11:$P$24,MATCH($C$7,$L$11:$L$24,0),P$10)),"")</f>
        <v/>
      </c>
      <c r="I39" s="367"/>
    </row>
    <row r="40" spans="1:9" ht="54.9" customHeight="1">
      <c r="A40" s="260">
        <f>IF(A39&lt;MAX(NXchung!$B$3:$B$57),A39+1,"")</f>
        <v>30</v>
      </c>
      <c r="B40" s="106" t="str">
        <f>IF($A40&lt;&gt;"",PROPER(INDEX(NXchung!$B$3:$EP$57,MATCH(NxGvHK2!A40,NXchung!$B$3:$B$57,0),3)),"")</f>
        <v>Nguyễn Thái</v>
      </c>
      <c r="C40" s="261" t="str">
        <f>IF($A40&lt;&gt;"",PROPER(INDEX(NXchung!$B$3:$EP$57,MATCH(NxGvHK2!A40,NXchung!$B$3:$B$57,0),4)),"")</f>
        <v>Sơn</v>
      </c>
      <c r="D40" s="360" t="str">
        <f>IF($A40&lt;&gt;"",PROPER(INDEX(NXchung!$B$3:$EP$57,MATCH(NxGvHK2!A40,NXchung!$B$3:$B$57,0),5)),"")</f>
        <v>14/04/2004</v>
      </c>
      <c r="E40" s="107" t="str">
        <f>IF($A40&lt;&gt;"",INDEX(NXchung!$B$3:$EP$57,MATCH(NxGvHK2!$A40,NXchung!$B$3:$B$57,0),INDEX($L$11:$P$24,MATCH($C$7,$L$11:$L$24,0),M$10)),"")</f>
        <v/>
      </c>
      <c r="F40" s="826" t="str">
        <f>IF($A40&lt;&gt;"",INDEX(NXchung!$B$3:$EP$57,MATCH(NxGvHK2!$A40,NXchung!$B$3:$B$57,0),INDEX($L$11:$P$24,MATCH($C$7,$L$11:$L$24,0),N$10)),"")</f>
        <v/>
      </c>
      <c r="G40" s="831" t="str">
        <f>IF($A40&lt;&gt;"",INDEX(NXchung!$B$3:$EP$57,MATCH(NxGvHK2!$A40,NXchung!$B$3:$B$57,0),INDEX($L$11:$P$24,MATCH($C$7,$L$11:$L$24,0),O$10)),"")</f>
        <v/>
      </c>
      <c r="H40" s="831" t="str">
        <f>IF($A40&lt;&gt;"",INDEX(NXchung!$B$3:$EP$57,MATCH(NxGvHK2!$A40,NXchung!$B$3:$B$57,0),INDEX($L$11:$P$24,MATCH($C$7,$L$11:$L$24,0),P$10)),"")</f>
        <v/>
      </c>
      <c r="I40" s="368"/>
    </row>
    <row r="41" spans="1:9" ht="54.9" customHeight="1">
      <c r="A41" s="264">
        <f>IF(A40&lt;MAX(NXchung!$B$3:$B$57),A40+1,"")</f>
        <v>31</v>
      </c>
      <c r="B41" s="112" t="str">
        <f>IF($A41&lt;&gt;"",PROPER(INDEX(NXchung!$B$3:$EP$57,MATCH(NxGvHK2!A41,NXchung!$B$3:$B$57,0),3)),"")</f>
        <v>Đặng Hoàng</v>
      </c>
      <c r="C41" s="265" t="str">
        <f>IF($A41&lt;&gt;"",PROPER(INDEX(NXchung!$B$3:$EP$57,MATCH(NxGvHK2!A41,NXchung!$B$3:$B$57,0),4)),"")</f>
        <v>Tân</v>
      </c>
      <c r="D41" s="361" t="str">
        <f>IF($A41&lt;&gt;"",PROPER(INDEX(NXchung!$B$3:$EP$57,MATCH(NxGvHK2!A41,NXchung!$B$3:$B$57,0),5)),"")</f>
        <v>26/09/2004</v>
      </c>
      <c r="E41" s="113" t="str">
        <f>IF($A41&lt;&gt;"",INDEX(NXchung!$B$3:$EP$57,MATCH(NxGvHK2!$A41,NXchung!$B$3:$B$57,0),INDEX($L$11:$P$24,MATCH($C$7,$L$11:$L$24,0),M$10)),"")</f>
        <v/>
      </c>
      <c r="F41" s="834" t="str">
        <f>IF($A41&lt;&gt;"",INDEX(NXchung!$B$3:$EP$57,MATCH(NxGvHK2!$A41,NXchung!$B$3:$B$57,0),INDEX($L$11:$P$24,MATCH($C$7,$L$11:$L$24,0),N$10)),"")</f>
        <v/>
      </c>
      <c r="G41" s="829" t="str">
        <f>IF($A41&lt;&gt;"",INDEX(NXchung!$B$3:$EP$57,MATCH(NxGvHK2!$A41,NXchung!$B$3:$B$57,0),INDEX($L$11:$P$24,MATCH($C$7,$L$11:$L$24,0),O$10)),"")</f>
        <v/>
      </c>
      <c r="H41" s="835" t="str">
        <f>IF($A41&lt;&gt;"",INDEX(NXchung!$B$3:$EP$57,MATCH(NxGvHK2!$A41,NXchung!$B$3:$B$57,0),INDEX($L$11:$P$24,MATCH($C$7,$L$11:$L$24,0),P$10)),"")</f>
        <v/>
      </c>
      <c r="I41" s="369"/>
    </row>
    <row r="42" spans="1:9" ht="54.9" customHeight="1">
      <c r="A42" s="117">
        <f>IF(A41&lt;MAX(NXchung!$B$3:$B$57),A41+1,"")</f>
        <v>32</v>
      </c>
      <c r="B42" s="100" t="str">
        <f>IF($A42&lt;&gt;"",PROPER(INDEX(NXchung!$B$3:$EP$57,MATCH(NxGvHK2!A42,NXchung!$B$3:$B$57,0),3)),"")</f>
        <v>Hồ Quang</v>
      </c>
      <c r="C42" s="257" t="str">
        <f>IF($A42&lt;&gt;"",PROPER(INDEX(NXchung!$B$3:$EP$57,MATCH(NxGvHK2!A42,NXchung!$B$3:$B$57,0),4)),"")</f>
        <v>Thành</v>
      </c>
      <c r="D42" s="359" t="str">
        <f>IF($A42&lt;&gt;"",PROPER(INDEX(NXchung!$B$3:$EP$57,MATCH(NxGvHK2!A42,NXchung!$B$3:$B$57,0),5)),"")</f>
        <v>28/02/2004</v>
      </c>
      <c r="E42" s="101" t="str">
        <f>IF($A42&lt;&gt;"",INDEX(NXchung!$B$3:$EP$57,MATCH(NxGvHK2!$A42,NXchung!$B$3:$B$57,0),INDEX($L$11:$P$24,MATCH($C$7,$L$11:$L$24,0),M$10)),"")</f>
        <v/>
      </c>
      <c r="F42" s="825" t="str">
        <f>IF($A42&lt;&gt;"",INDEX(NXchung!$B$3:$EP$57,MATCH(NxGvHK2!$A42,NXchung!$B$3:$B$57,0),INDEX($L$11:$P$24,MATCH($C$7,$L$11:$L$24,0),N$10)),"")</f>
        <v/>
      </c>
      <c r="G42" s="830" t="str">
        <f>IF($A42&lt;&gt;"",INDEX(NXchung!$B$3:$EP$57,MATCH(NxGvHK2!$A42,NXchung!$B$3:$B$57,0),INDEX($L$11:$P$24,MATCH($C$7,$L$11:$L$24,0),O$10)),"")</f>
        <v/>
      </c>
      <c r="H42" s="830" t="str">
        <f>IF($A42&lt;&gt;"",INDEX(NXchung!$B$3:$EP$57,MATCH(NxGvHK2!$A42,NXchung!$B$3:$B$57,0),INDEX($L$11:$P$24,MATCH($C$7,$L$11:$L$24,0),P$10)),"")</f>
        <v/>
      </c>
      <c r="I42" s="367"/>
    </row>
    <row r="43" spans="1:9" ht="54.9" customHeight="1">
      <c r="A43" s="117">
        <f>IF(A42&lt;MAX(NXchung!$B$3:$B$57),A42+1,"")</f>
        <v>33</v>
      </c>
      <c r="B43" s="100" t="str">
        <f>IF($A43&lt;&gt;"",PROPER(INDEX(NXchung!$B$3:$EP$57,MATCH(NxGvHK2!A43,NXchung!$B$3:$B$57,0),3)),"")</f>
        <v>Trần Thịnh</v>
      </c>
      <c r="C43" s="257" t="str">
        <f>IF($A43&lt;&gt;"",PROPER(INDEX(NXchung!$B$3:$EP$57,MATCH(NxGvHK2!A43,NXchung!$B$3:$B$57,0),4)),"")</f>
        <v>Thịnh</v>
      </c>
      <c r="D43" s="359" t="str">
        <f>IF($A43&lt;&gt;"",PROPER(INDEX(NXchung!$B$3:$EP$57,MATCH(NxGvHK2!A43,NXchung!$B$3:$B$57,0),5)),"")</f>
        <v>18/08/2004</v>
      </c>
      <c r="E43" s="101" t="str">
        <f>IF($A43&lt;&gt;"",INDEX(NXchung!$B$3:$EP$57,MATCH(NxGvHK2!$A43,NXchung!$B$3:$B$57,0),INDEX($L$11:$P$24,MATCH($C$7,$L$11:$L$24,0),M$10)),"")</f>
        <v/>
      </c>
      <c r="F43" s="825" t="str">
        <f>IF($A43&lt;&gt;"",INDEX(NXchung!$B$3:$EP$57,MATCH(NxGvHK2!$A43,NXchung!$B$3:$B$57,0),INDEX($L$11:$P$24,MATCH($C$7,$L$11:$L$24,0),N$10)),"")</f>
        <v/>
      </c>
      <c r="G43" s="830" t="str">
        <f>IF($A43&lt;&gt;"",INDEX(NXchung!$B$3:$EP$57,MATCH(NxGvHK2!$A43,NXchung!$B$3:$B$57,0),INDEX($L$11:$P$24,MATCH($C$7,$L$11:$L$24,0),O$10)),"")</f>
        <v/>
      </c>
      <c r="H43" s="830" t="str">
        <f>IF($A43&lt;&gt;"",INDEX(NXchung!$B$3:$EP$57,MATCH(NxGvHK2!$A43,NXchung!$B$3:$B$57,0),INDEX($L$11:$P$24,MATCH($C$7,$L$11:$L$24,0),P$10)),"")</f>
        <v/>
      </c>
      <c r="I43" s="367"/>
    </row>
    <row r="44" spans="1:9" ht="54.9" customHeight="1">
      <c r="A44" s="117">
        <f>IF(A43&lt;MAX(NXchung!$B$3:$B$57),A43+1,"")</f>
        <v>34</v>
      </c>
      <c r="B44" s="100" t="str">
        <f>IF($A44&lt;&gt;"",PROPER(INDEX(NXchung!$B$3:$EP$57,MATCH(NxGvHK2!A44,NXchung!$B$3:$B$57,0),3)),"")</f>
        <v>Trần Kim Bảo</v>
      </c>
      <c r="C44" s="257" t="str">
        <f>IF($A44&lt;&gt;"",PROPER(INDEX(NXchung!$B$3:$EP$57,MATCH(NxGvHK2!A44,NXchung!$B$3:$B$57,0),4)),"")</f>
        <v>Trân</v>
      </c>
      <c r="D44" s="359" t="str">
        <f>IF($A44&lt;&gt;"",PROPER(INDEX(NXchung!$B$3:$EP$57,MATCH(NxGvHK2!A44,NXchung!$B$3:$B$57,0),5)),"")</f>
        <v>05/06/2004</v>
      </c>
      <c r="E44" s="101" t="str">
        <f>IF($A44&lt;&gt;"",INDEX(NXchung!$B$3:$EP$57,MATCH(NxGvHK2!$A44,NXchung!$B$3:$B$57,0),INDEX($L$11:$P$24,MATCH($C$7,$L$11:$L$24,0),M$10)),"")</f>
        <v/>
      </c>
      <c r="F44" s="825" t="str">
        <f>IF($A44&lt;&gt;"",INDEX(NXchung!$B$3:$EP$57,MATCH(NxGvHK2!$A44,NXchung!$B$3:$B$57,0),INDEX($L$11:$P$24,MATCH($C$7,$L$11:$L$24,0),N$10)),"")</f>
        <v/>
      </c>
      <c r="G44" s="830" t="str">
        <f>IF($A44&lt;&gt;"",INDEX(NXchung!$B$3:$EP$57,MATCH(NxGvHK2!$A44,NXchung!$B$3:$B$57,0),INDEX($L$11:$P$24,MATCH($C$7,$L$11:$L$24,0),O$10)),"")</f>
        <v/>
      </c>
      <c r="H44" s="830" t="str">
        <f>IF($A44&lt;&gt;"",INDEX(NXchung!$B$3:$EP$57,MATCH(NxGvHK2!$A44,NXchung!$B$3:$B$57,0),INDEX($L$11:$P$24,MATCH($C$7,$L$11:$L$24,0),P$10)),"")</f>
        <v/>
      </c>
      <c r="I44" s="367"/>
    </row>
    <row r="45" spans="1:9" ht="54.9" customHeight="1">
      <c r="A45" s="260">
        <f>IF(A44&lt;MAX(NXchung!$B$3:$B$57),A44+1,"")</f>
        <v>35</v>
      </c>
      <c r="B45" s="106" t="str">
        <f>IF($A45&lt;&gt;"",PROPER(INDEX(NXchung!$B$3:$EP$57,MATCH(NxGvHK2!A45,NXchung!$B$3:$B$57,0),3)),"")</f>
        <v>Phạm Đức</v>
      </c>
      <c r="C45" s="261" t="str">
        <f>IF($A45&lt;&gt;"",PROPER(INDEX(NXchung!$B$3:$EP$57,MATCH(NxGvHK2!A45,NXchung!$B$3:$B$57,0),4)),"")</f>
        <v>Trung</v>
      </c>
      <c r="D45" s="360" t="str">
        <f>IF($A45&lt;&gt;"",PROPER(INDEX(NXchung!$B$3:$EP$57,MATCH(NxGvHK2!A45,NXchung!$B$3:$B$57,0),5)),"")</f>
        <v>07/10/2004</v>
      </c>
      <c r="E45" s="107" t="str">
        <f>IF($A45&lt;&gt;"",INDEX(NXchung!$B$3:$EP$57,MATCH(NxGvHK2!$A45,NXchung!$B$3:$B$57,0),INDEX($L$11:$P$24,MATCH($C$7,$L$11:$L$24,0),M$10)),"")</f>
        <v/>
      </c>
      <c r="F45" s="826" t="str">
        <f>IF($A45&lt;&gt;"",INDEX(NXchung!$B$3:$EP$57,MATCH(NxGvHK2!$A45,NXchung!$B$3:$B$57,0),INDEX($L$11:$P$24,MATCH($C$7,$L$11:$L$24,0),N$10)),"")</f>
        <v/>
      </c>
      <c r="G45" s="831" t="str">
        <f>IF($A45&lt;&gt;"",INDEX(NXchung!$B$3:$EP$57,MATCH(NxGvHK2!$A45,NXchung!$B$3:$B$57,0),INDEX($L$11:$P$24,MATCH($C$7,$L$11:$L$24,0),O$10)),"")</f>
        <v/>
      </c>
      <c r="H45" s="831" t="str">
        <f>IF($A45&lt;&gt;"",INDEX(NXchung!$B$3:$EP$57,MATCH(NxGvHK2!$A45,NXchung!$B$3:$B$57,0),INDEX($L$11:$P$24,MATCH($C$7,$L$11:$L$24,0),P$10)),"")</f>
        <v/>
      </c>
      <c r="I45" s="368"/>
    </row>
    <row r="46" spans="1:9" ht="54.9" customHeight="1">
      <c r="A46" s="264">
        <f>IF(A45&lt;MAX(NXchung!$B$3:$B$57),A45+1,"")</f>
        <v>36</v>
      </c>
      <c r="B46" s="112" t="str">
        <f>IF($A46&lt;&gt;"",PROPER(INDEX(NXchung!$B$3:$EP$57,MATCH(NxGvHK2!A46,NXchung!$B$3:$B$57,0),3)),"")</f>
        <v>Võ Thủy</v>
      </c>
      <c r="C46" s="265" t="str">
        <f>IF($A46&lt;&gt;"",PROPER(INDEX(NXchung!$B$3:$EP$57,MATCH(NxGvHK2!A46,NXchung!$B$3:$B$57,0),4)),"")</f>
        <v>Vân</v>
      </c>
      <c r="D46" s="361" t="str">
        <f>IF($A46&lt;&gt;"",PROPER(INDEX(NXchung!$B$3:$EP$57,MATCH(NxGvHK2!A46,NXchung!$B$3:$B$57,0),5)),"")</f>
        <v>30/10/2004</v>
      </c>
      <c r="E46" s="113" t="str">
        <f>IF($A46&lt;&gt;"",INDEX(NXchung!$B$3:$EP$57,MATCH(NxGvHK2!$A46,NXchung!$B$3:$B$57,0),INDEX($L$11:$P$24,MATCH($C$7,$L$11:$L$24,0),M$10)),"")</f>
        <v/>
      </c>
      <c r="F46" s="834" t="str">
        <f>IF($A46&lt;&gt;"",INDEX(NXchung!$B$3:$EP$57,MATCH(NxGvHK2!$A46,NXchung!$B$3:$B$57,0),INDEX($L$11:$P$24,MATCH($C$7,$L$11:$L$24,0),N$10)),"")</f>
        <v/>
      </c>
      <c r="G46" s="829" t="str">
        <f>IF($A46&lt;&gt;"",INDEX(NXchung!$B$3:$EP$57,MATCH(NxGvHK2!$A46,NXchung!$B$3:$B$57,0),INDEX($L$11:$P$24,MATCH($C$7,$L$11:$L$24,0),O$10)),"")</f>
        <v/>
      </c>
      <c r="H46" s="835" t="str">
        <f>IF($A46&lt;&gt;"",INDEX(NXchung!$B$3:$EP$57,MATCH(NxGvHK2!$A46,NXchung!$B$3:$B$57,0),INDEX($L$11:$P$24,MATCH($C$7,$L$11:$L$24,0),P$10)),"")</f>
        <v/>
      </c>
      <c r="I46" s="369"/>
    </row>
    <row r="47" spans="1:9" ht="54.9" customHeight="1">
      <c r="A47" s="117" t="str">
        <f>IF(A46&lt;MAX(NXchung!$B$3:$B$57),A46+1,"")</f>
        <v/>
      </c>
      <c r="B47" s="100" t="str">
        <f>IF($A47&lt;&gt;"",PROPER(INDEX(NXchung!$B$3:$EP$57,MATCH(NxGvHK2!A47,NXchung!$B$3:$B$57,0),3)),"")</f>
        <v/>
      </c>
      <c r="C47" s="257" t="str">
        <f>IF($A47&lt;&gt;"",PROPER(INDEX(NXchung!$B$3:$EP$57,MATCH(NxGvHK2!A47,NXchung!$B$3:$B$57,0),4)),"")</f>
        <v/>
      </c>
      <c r="D47" s="359" t="str">
        <f>IF($A47&lt;&gt;"",PROPER(INDEX(NXchung!$B$3:$EP$57,MATCH(NxGvHK2!A47,NXchung!$B$3:$B$57,0),5)),"")</f>
        <v/>
      </c>
      <c r="E47" s="101" t="str">
        <f>IF($A47&lt;&gt;"",INDEX(NXchung!$B$3:$EP$57,MATCH(NxGvHK2!$A47,NXchung!$B$3:$B$57,0),INDEX($L$11:$P$24,MATCH($C$7,$L$11:$L$24,0),M$10)),"")</f>
        <v/>
      </c>
      <c r="F47" s="825" t="str">
        <f>IF($A47&lt;&gt;"",INDEX(NXchung!$B$3:$EP$57,MATCH(NxGvHK2!$A47,NXchung!$B$3:$B$57,0),INDEX($L$11:$P$24,MATCH($C$7,$L$11:$L$24,0),N$10)),"")</f>
        <v/>
      </c>
      <c r="G47" s="830" t="str">
        <f>IF($A47&lt;&gt;"",INDEX(NXchung!$B$3:$EP$57,MATCH(NxGvHK2!$A47,NXchung!$B$3:$B$57,0),INDEX($L$11:$P$24,MATCH($C$7,$L$11:$L$24,0),O$10)),"")</f>
        <v/>
      </c>
      <c r="H47" s="830" t="str">
        <f>IF($A47&lt;&gt;"",INDEX(NXchung!$B$3:$EP$57,MATCH(NxGvHK2!$A47,NXchung!$B$3:$B$57,0),INDEX($L$11:$P$24,MATCH($C$7,$L$11:$L$24,0),P$10)),"")</f>
        <v/>
      </c>
      <c r="I47" s="367"/>
    </row>
    <row r="48" spans="1:9" ht="54.9" customHeight="1">
      <c r="A48" s="117" t="str">
        <f>IF(A47&lt;MAX(NXchung!$B$3:$B$57),A47+1,"")</f>
        <v/>
      </c>
      <c r="B48" s="100" t="str">
        <f>IF($A48&lt;&gt;"",PROPER(INDEX(NXchung!$B$3:$EP$57,MATCH(NxGvHK2!A48,NXchung!$B$3:$B$57,0),3)),"")</f>
        <v/>
      </c>
      <c r="C48" s="257" t="str">
        <f>IF($A48&lt;&gt;"",PROPER(INDEX(NXchung!$B$3:$EP$57,MATCH(NxGvHK2!A48,NXchung!$B$3:$B$57,0),4)),"")</f>
        <v/>
      </c>
      <c r="D48" s="359" t="str">
        <f>IF($A48&lt;&gt;"",PROPER(INDEX(NXchung!$B$3:$EP$57,MATCH(NxGvHK2!A48,NXchung!$B$3:$B$57,0),5)),"")</f>
        <v/>
      </c>
      <c r="E48" s="101" t="str">
        <f>IF($A48&lt;&gt;"",INDEX(NXchung!$B$3:$EP$57,MATCH(NxGvHK2!$A48,NXchung!$B$3:$B$57,0),INDEX($L$11:$P$24,MATCH($C$7,$L$11:$L$24,0),M$10)),"")</f>
        <v/>
      </c>
      <c r="F48" s="825" t="str">
        <f>IF($A48&lt;&gt;"",INDEX(NXchung!$B$3:$EP$57,MATCH(NxGvHK2!$A48,NXchung!$B$3:$B$57,0),INDEX($L$11:$P$24,MATCH($C$7,$L$11:$L$24,0),N$10)),"")</f>
        <v/>
      </c>
      <c r="G48" s="830" t="str">
        <f>IF($A48&lt;&gt;"",INDEX(NXchung!$B$3:$EP$57,MATCH(NxGvHK2!$A48,NXchung!$B$3:$B$57,0),INDEX($L$11:$P$24,MATCH($C$7,$L$11:$L$24,0),O$10)),"")</f>
        <v/>
      </c>
      <c r="H48" s="830" t="str">
        <f>IF($A48&lt;&gt;"",INDEX(NXchung!$B$3:$EP$57,MATCH(NxGvHK2!$A48,NXchung!$B$3:$B$57,0),INDEX($L$11:$P$24,MATCH($C$7,$L$11:$L$24,0),P$10)),"")</f>
        <v/>
      </c>
      <c r="I48" s="367"/>
    </row>
    <row r="49" spans="1:9" ht="54.9" customHeight="1">
      <c r="A49" s="117" t="str">
        <f>IF(A48&lt;MAX(NXchung!$B$3:$B$57),A48+1,"")</f>
        <v/>
      </c>
      <c r="B49" s="100" t="str">
        <f>IF($A49&lt;&gt;"",PROPER(INDEX(NXchung!$B$3:$EP$57,MATCH(NxGvHK2!A49,NXchung!$B$3:$B$57,0),3)),"")</f>
        <v/>
      </c>
      <c r="C49" s="257" t="str">
        <f>IF($A49&lt;&gt;"",PROPER(INDEX(NXchung!$B$3:$EP$57,MATCH(NxGvHK2!A49,NXchung!$B$3:$B$57,0),4)),"")</f>
        <v/>
      </c>
      <c r="D49" s="359" t="str">
        <f>IF($A49&lt;&gt;"",PROPER(INDEX(NXchung!$B$3:$EP$57,MATCH(NxGvHK2!A49,NXchung!$B$3:$B$57,0),5)),"")</f>
        <v/>
      </c>
      <c r="E49" s="101" t="str">
        <f>IF($A49&lt;&gt;"",INDEX(NXchung!$B$3:$EP$57,MATCH(NxGvHK2!$A49,NXchung!$B$3:$B$57,0),INDEX($L$11:$P$24,MATCH($C$7,$L$11:$L$24,0),M$10)),"")</f>
        <v/>
      </c>
      <c r="F49" s="825" t="str">
        <f>IF($A49&lt;&gt;"",INDEX(NXchung!$B$3:$EP$57,MATCH(NxGvHK2!$A49,NXchung!$B$3:$B$57,0),INDEX($L$11:$P$24,MATCH($C$7,$L$11:$L$24,0),N$10)),"")</f>
        <v/>
      </c>
      <c r="G49" s="830" t="str">
        <f>IF($A49&lt;&gt;"",INDEX(NXchung!$B$3:$EP$57,MATCH(NxGvHK2!$A49,NXchung!$B$3:$B$57,0),INDEX($L$11:$P$24,MATCH($C$7,$L$11:$L$24,0),O$10)),"")</f>
        <v/>
      </c>
      <c r="H49" s="830" t="str">
        <f>IF($A49&lt;&gt;"",INDEX(NXchung!$B$3:$EP$57,MATCH(NxGvHK2!$A49,NXchung!$B$3:$B$57,0),INDEX($L$11:$P$24,MATCH($C$7,$L$11:$L$24,0),P$10)),"")</f>
        <v/>
      </c>
      <c r="I49" s="367"/>
    </row>
    <row r="50" spans="1:9" ht="54.9" customHeight="1">
      <c r="A50" s="260" t="str">
        <f>IF(A49&lt;MAX(NXchung!$B$3:$B$57),A49+1,"")</f>
        <v/>
      </c>
      <c r="B50" s="106" t="str">
        <f>IF($A50&lt;&gt;"",PROPER(INDEX(NXchung!$B$3:$EP$57,MATCH(NxGvHK2!A50,NXchung!$B$3:$B$57,0),3)),"")</f>
        <v/>
      </c>
      <c r="C50" s="261" t="str">
        <f>IF($A50&lt;&gt;"",PROPER(INDEX(NXchung!$B$3:$EP$57,MATCH(NxGvHK2!A50,NXchung!$B$3:$B$57,0),4)),"")</f>
        <v/>
      </c>
      <c r="D50" s="360" t="str">
        <f>IF($A50&lt;&gt;"",PROPER(INDEX(NXchung!$B$3:$EP$57,MATCH(NxGvHK2!A50,NXchung!$B$3:$B$57,0),5)),"")</f>
        <v/>
      </c>
      <c r="E50" s="107" t="str">
        <f>IF($A50&lt;&gt;"",INDEX(NXchung!$B$3:$EP$57,MATCH(NxGvHK2!$A50,NXchung!$B$3:$B$57,0),INDEX($L$11:$P$24,MATCH($C$7,$L$11:$L$24,0),M$10)),"")</f>
        <v/>
      </c>
      <c r="F50" s="826" t="str">
        <f>IF($A50&lt;&gt;"",INDEX(NXchung!$B$3:$EP$57,MATCH(NxGvHK2!$A50,NXchung!$B$3:$B$57,0),INDEX($L$11:$P$24,MATCH($C$7,$L$11:$L$24,0),N$10)),"")</f>
        <v/>
      </c>
      <c r="G50" s="831" t="str">
        <f>IF($A50&lt;&gt;"",INDEX(NXchung!$B$3:$EP$57,MATCH(NxGvHK2!$A50,NXchung!$B$3:$B$57,0),INDEX($L$11:$P$24,MATCH($C$7,$L$11:$L$24,0),O$10)),"")</f>
        <v/>
      </c>
      <c r="H50" s="831" t="str">
        <f>IF($A50&lt;&gt;"",INDEX(NXchung!$B$3:$EP$57,MATCH(NxGvHK2!$A50,NXchung!$B$3:$B$57,0),INDEX($L$11:$P$24,MATCH($C$7,$L$11:$L$24,0),P$10)),"")</f>
        <v/>
      </c>
      <c r="I50" s="368"/>
    </row>
    <row r="51" spans="1:9" ht="42" hidden="1" customHeight="1">
      <c r="A51" s="264" t="str">
        <f>IF(A50&lt;MAX(NXchung!$B$3:$B$57),A50+1,"")</f>
        <v/>
      </c>
      <c r="B51" s="112" t="str">
        <f>IF($A51&lt;&gt;"",PROPER(INDEX(NXchung!$B$3:$EP$57,MATCH(NxGvHK2!A51,NXchung!$B$3:$B$57,0),3)),"")</f>
        <v/>
      </c>
      <c r="C51" s="265" t="str">
        <f>IF($A51&lt;&gt;"",PROPER(INDEX(NXchung!$B$3:$EP$57,MATCH(NxGvHK2!A51,NXchung!$B$3:$B$57,0),4)),"")</f>
        <v/>
      </c>
      <c r="D51" s="361" t="str">
        <f>IF($A51&lt;&gt;"",PROPER(INDEX(NXchung!$B$3:$EP$57,MATCH(NxGvHK2!A51,NXchung!$B$3:$B$57,0),5)),"")</f>
        <v/>
      </c>
      <c r="E51" s="113" t="str">
        <f>IF($A51&lt;&gt;"",INDEX(NXchung!$B$3:$EP$57,MATCH(NxGvHK2!$A51,NXchung!$B$3:$B$57,0),INDEX($L$11:$P$24,MATCH($C$7,$L$11:$L$24,0),M$10)),"")</f>
        <v/>
      </c>
      <c r="F51" s="834" t="str">
        <f>IF($A51&lt;&gt;"",INDEX(NXchung!$B$3:$EP$57,MATCH(NxGvHK2!$A51,NXchung!$B$3:$B$57,0),INDEX($L$11:$P$24,MATCH($C$7,$L$11:$L$24,0),N$10)),"")</f>
        <v/>
      </c>
      <c r="G51" s="829" t="str">
        <f>IF($A51&lt;&gt;"",INDEX(NXchung!$B$3:$EP$57,MATCH(NxGvHK2!$A51,NXchung!$B$3:$B$57,0),INDEX($L$11:$P$24,MATCH($C$7,$L$11:$L$24,0),O$10)),"")</f>
        <v/>
      </c>
      <c r="H51" s="835" t="str">
        <f>IF($A51&lt;&gt;"",INDEX(NXchung!$B$3:$EP$57,MATCH(NxGvHK2!$A51,NXchung!$B$3:$B$57,0),INDEX($L$11:$P$24,MATCH($C$7,$L$11:$L$24,0),P$10)),"")</f>
        <v/>
      </c>
      <c r="I51" s="369"/>
    </row>
    <row r="52" spans="1:9" ht="42" hidden="1" customHeight="1">
      <c r="A52" s="117" t="str">
        <f>IF(A51&lt;MAX(NXchung!$B$3:$B$57),A51+1,"")</f>
        <v/>
      </c>
      <c r="B52" s="100" t="str">
        <f>IF($A52&lt;&gt;"",PROPER(INDEX(NXchung!$B$3:$EP$57,MATCH(NxGvHK2!A52,NXchung!$B$3:$B$57,0),3)),"")</f>
        <v/>
      </c>
      <c r="C52" s="257" t="str">
        <f>IF($A52&lt;&gt;"",PROPER(INDEX(NXchung!$B$3:$EP$57,MATCH(NxGvHK2!A52,NXchung!$B$3:$B$57,0),4)),"")</f>
        <v/>
      </c>
      <c r="D52" s="359" t="str">
        <f>IF($A52&lt;&gt;"",PROPER(INDEX(NXchung!$B$3:$EP$57,MATCH(NxGvHK2!A52,NXchung!$B$3:$B$57,0),5)),"")</f>
        <v/>
      </c>
      <c r="E52" s="101" t="str">
        <f>IF($A52&lt;&gt;"",INDEX(NXchung!$B$3:$EP$57,MATCH(NxGvHK2!$A52,NXchung!$B$3:$B$57,0),INDEX($L$11:$P$24,MATCH($C$7,$L$11:$L$24,0),M$10)),"")</f>
        <v/>
      </c>
      <c r="F52" s="825" t="str">
        <f>IF($A52&lt;&gt;"",INDEX(NXchung!$B$3:$EP$57,MATCH(NxGvHK2!$A52,NXchung!$B$3:$B$57,0),INDEX($L$11:$P$24,MATCH($C$7,$L$11:$L$24,0),N$10)),"")</f>
        <v/>
      </c>
      <c r="G52" s="830" t="str">
        <f>IF($A52&lt;&gt;"",INDEX(NXchung!$B$3:$EP$57,MATCH(NxGvHK2!$A52,NXchung!$B$3:$B$57,0),INDEX($L$11:$P$24,MATCH($C$7,$L$11:$L$24,0),O$10)),"")</f>
        <v/>
      </c>
      <c r="H52" s="830" t="str">
        <f>IF($A52&lt;&gt;"",INDEX(NXchung!$B$3:$EP$57,MATCH(NxGvHK2!$A52,NXchung!$B$3:$B$57,0),INDEX($L$11:$P$24,MATCH($C$7,$L$11:$L$24,0),P$10)),"")</f>
        <v/>
      </c>
      <c r="I52" s="367"/>
    </row>
    <row r="53" spans="1:9" ht="42" hidden="1" customHeight="1">
      <c r="A53" s="117" t="str">
        <f>IF(A52&lt;MAX(NXchung!$B$3:$B$57),A52+1,"")</f>
        <v/>
      </c>
      <c r="B53" s="100" t="str">
        <f>IF($A53&lt;&gt;"",PROPER(INDEX(NXchung!$B$3:$EP$57,MATCH(NxGvHK2!A53,NXchung!$B$3:$B$57,0),3)),"")</f>
        <v/>
      </c>
      <c r="C53" s="257" t="str">
        <f>IF($A53&lt;&gt;"",PROPER(INDEX(NXchung!$B$3:$EP$57,MATCH(NxGvHK2!A53,NXchung!$B$3:$B$57,0),4)),"")</f>
        <v/>
      </c>
      <c r="D53" s="359" t="str">
        <f>IF($A53&lt;&gt;"",PROPER(INDEX(NXchung!$B$3:$EP$57,MATCH(NxGvHK2!A53,NXchung!$B$3:$B$57,0),5)),"")</f>
        <v/>
      </c>
      <c r="E53" s="101" t="str">
        <f>IF($A53&lt;&gt;"",INDEX(NXchung!$B$3:$EP$57,MATCH(NxGvHK2!$A53,NXchung!$B$3:$B$57,0),INDEX($L$11:$P$24,MATCH($C$7,$L$11:$L$24,0),M$10)),"")</f>
        <v/>
      </c>
      <c r="F53" s="825" t="str">
        <f>IF($A53&lt;&gt;"",INDEX(NXchung!$B$3:$EP$57,MATCH(NxGvHK2!$A53,NXchung!$B$3:$B$57,0),INDEX($L$11:$P$24,MATCH($C$7,$L$11:$L$24,0),N$10)),"")</f>
        <v/>
      </c>
      <c r="G53" s="830" t="str">
        <f>IF($A53&lt;&gt;"",INDEX(NXchung!$B$3:$EP$57,MATCH(NxGvHK2!$A53,NXchung!$B$3:$B$57,0),INDEX($L$11:$P$24,MATCH($C$7,$L$11:$L$24,0),O$10)),"")</f>
        <v/>
      </c>
      <c r="H53" s="830" t="str">
        <f>IF($A53&lt;&gt;"",INDEX(NXchung!$B$3:$EP$57,MATCH(NxGvHK2!$A53,NXchung!$B$3:$B$57,0),INDEX($L$11:$P$24,MATCH($C$7,$L$11:$L$24,0),P$10)),"")</f>
        <v/>
      </c>
      <c r="I53" s="367"/>
    </row>
    <row r="54" spans="1:9" ht="42" hidden="1" customHeight="1">
      <c r="A54" s="117" t="str">
        <f>IF(A53&lt;MAX(NXchung!$B$3:$B$57),A53+1,"")</f>
        <v/>
      </c>
      <c r="B54" s="100" t="str">
        <f>IF($A54&lt;&gt;"",PROPER(INDEX(NXchung!$B$3:$EP$57,MATCH(NxGvHK2!A54,NXchung!$B$3:$B$57,0),3)),"")</f>
        <v/>
      </c>
      <c r="C54" s="257" t="str">
        <f>IF($A54&lt;&gt;"",PROPER(INDEX(NXchung!$B$3:$EP$57,MATCH(NxGvHK2!A54,NXchung!$B$3:$B$57,0),4)),"")</f>
        <v/>
      </c>
      <c r="D54" s="359" t="str">
        <f>IF($A54&lt;&gt;"",PROPER(INDEX(NXchung!$B$3:$EP$57,MATCH(NxGvHK2!A54,NXchung!$B$3:$B$57,0),5)),"")</f>
        <v/>
      </c>
      <c r="E54" s="101" t="str">
        <f>IF($A54&lt;&gt;"",INDEX(NXchung!$B$3:$EP$57,MATCH(NxGvHK2!$A54,NXchung!$B$3:$B$57,0),INDEX($L$11:$P$24,MATCH($C$7,$L$11:$L$24,0),M$10)),"")</f>
        <v/>
      </c>
      <c r="F54" s="825" t="str">
        <f>IF($A54&lt;&gt;"",INDEX(NXchung!$B$3:$EP$57,MATCH(NxGvHK2!$A54,NXchung!$B$3:$B$57,0),INDEX($L$11:$P$24,MATCH($C$7,$L$11:$L$24,0),N$10)),"")</f>
        <v/>
      </c>
      <c r="G54" s="830" t="str">
        <f>IF($A54&lt;&gt;"",INDEX(NXchung!$B$3:$EP$57,MATCH(NxGvHK2!$A54,NXchung!$B$3:$B$57,0),INDEX($L$11:$P$24,MATCH($C$7,$L$11:$L$24,0),O$10)),"")</f>
        <v/>
      </c>
      <c r="H54" s="830" t="str">
        <f>IF($A54&lt;&gt;"",INDEX(NXchung!$B$3:$EP$57,MATCH(NxGvHK2!$A54,NXchung!$B$3:$B$57,0),INDEX($L$11:$P$24,MATCH($C$7,$L$11:$L$24,0),P$10)),"")</f>
        <v/>
      </c>
      <c r="I54" s="367"/>
    </row>
    <row r="55" spans="1:9" ht="42" hidden="1" customHeight="1">
      <c r="A55" s="260" t="str">
        <f>IF(A54&lt;MAX(NXchung!$B$3:$B$57),A54+1,"")</f>
        <v/>
      </c>
      <c r="B55" s="106" t="str">
        <f>IF($A55&lt;&gt;"",PROPER(INDEX(NXchung!$B$3:$EP$57,MATCH(NxGvHK2!A55,NXchung!$B$3:$B$57,0),3)),"")</f>
        <v/>
      </c>
      <c r="C55" s="261" t="str">
        <f>IF($A55&lt;&gt;"",PROPER(INDEX(NXchung!$B$3:$EP$57,MATCH(NxGvHK2!A55,NXchung!$B$3:$B$57,0),4)),"")</f>
        <v/>
      </c>
      <c r="D55" s="360" t="str">
        <f>IF($A55&lt;&gt;"",PROPER(INDEX(NXchung!$B$3:$EP$57,MATCH(NxGvHK2!A55,NXchung!$B$3:$B$57,0),5)),"")</f>
        <v/>
      </c>
      <c r="E55" s="107" t="str">
        <f>IF($A55&lt;&gt;"",INDEX(NXchung!$B$3:$EP$57,MATCH(NxGvHK2!$A55,NXchung!$B$3:$B$57,0),INDEX($L$11:$P$24,MATCH($C$7,$L$11:$L$24,0),M$10)),"")</f>
        <v/>
      </c>
      <c r="F55" s="826" t="str">
        <f>IF($A55&lt;&gt;"",INDEX(NXchung!$B$3:$EP$57,MATCH(NxGvHK2!$A55,NXchung!$B$3:$B$57,0),INDEX($L$11:$P$24,MATCH($C$7,$L$11:$L$24,0),N$10)),"")</f>
        <v/>
      </c>
      <c r="G55" s="831" t="str">
        <f>IF($A55&lt;&gt;"",INDEX(NXchung!$B$3:$EP$57,MATCH(NxGvHK2!$A55,NXchung!$B$3:$B$57,0),INDEX($L$11:$P$24,MATCH($C$7,$L$11:$L$24,0),O$10)),"")</f>
        <v/>
      </c>
      <c r="H55" s="831" t="str">
        <f>IF($A55&lt;&gt;"",INDEX(NXchung!$B$3:$EP$57,MATCH(NxGvHK2!$A55,NXchung!$B$3:$B$57,0),INDEX($L$11:$P$24,MATCH($C$7,$L$11:$L$24,0),P$10)),"")</f>
        <v/>
      </c>
      <c r="I55" s="368"/>
    </row>
    <row r="56" spans="1:9" ht="42" hidden="1" customHeight="1">
      <c r="A56" s="264" t="str">
        <f>IF(A55&lt;MAX(NXchung!$B$3:$B$57),A55+1,"")</f>
        <v/>
      </c>
      <c r="B56" s="112" t="str">
        <f>IF($A56&lt;&gt;"",PROPER(INDEX(NXchung!$B$3:$EP$57,MATCH(NxGvHK2!A56,NXchung!$B$3:$B$57,0),3)),"")</f>
        <v/>
      </c>
      <c r="C56" s="265" t="str">
        <f>IF($A56&lt;&gt;"",PROPER(INDEX(NXchung!$B$3:$EP$57,MATCH(NxGvHK2!A56,NXchung!$B$3:$B$57,0),4)),"")</f>
        <v/>
      </c>
      <c r="D56" s="361" t="str">
        <f>IF($A56&lt;&gt;"",PROPER(INDEX(NXchung!$B$3:$EP$57,MATCH(NxGvHK2!A56,NXchung!$B$3:$B$57,0),5)),"")</f>
        <v/>
      </c>
      <c r="E56" s="113" t="str">
        <f>IF($A56&lt;&gt;"",INDEX(NXchung!$B$3:$EP$57,MATCH(NxGvHK2!$A56,NXchung!$B$3:$B$57,0),INDEX($L$11:$P$24,MATCH($C$7,$L$11:$L$24,0),M$10)),"")</f>
        <v/>
      </c>
      <c r="F56" s="834" t="str">
        <f>IF($A56&lt;&gt;"",INDEX(NXchung!$B$3:$EP$57,MATCH(NxGvHK2!$A56,NXchung!$B$3:$B$57,0),INDEX($L$11:$P$24,MATCH($C$7,$L$11:$L$24,0),N$10)),"")</f>
        <v/>
      </c>
      <c r="G56" s="829" t="str">
        <f>IF($A56&lt;&gt;"",INDEX(NXchung!$B$3:$EP$57,MATCH(NxGvHK2!$A56,NXchung!$B$3:$B$57,0),INDEX($L$11:$P$24,MATCH($C$7,$L$11:$L$24,0),O$10)),"")</f>
        <v/>
      </c>
      <c r="H56" s="835" t="str">
        <f>IF($A56&lt;&gt;"",INDEX(NXchung!$B$3:$EP$57,MATCH(NxGvHK2!$A56,NXchung!$B$3:$B$57,0),INDEX($L$11:$P$24,MATCH($C$7,$L$11:$L$24,0),P$10)),"")</f>
        <v/>
      </c>
      <c r="I56" s="369"/>
    </row>
    <row r="57" spans="1:9" ht="42" hidden="1" customHeight="1">
      <c r="A57" s="117" t="str">
        <f>IF(A56&lt;MAX(NXchung!$B$3:$B$57),A56+1,"")</f>
        <v/>
      </c>
      <c r="B57" s="100" t="str">
        <f>IF($A57&lt;&gt;"",PROPER(INDEX(NXchung!$B$3:$EP$57,MATCH(NxGvHK2!A57,NXchung!$B$3:$B$57,0),3)),"")</f>
        <v/>
      </c>
      <c r="C57" s="257" t="str">
        <f>IF($A57&lt;&gt;"",PROPER(INDEX(NXchung!$B$3:$EP$57,MATCH(NxGvHK2!A57,NXchung!$B$3:$B$57,0),4)),"")</f>
        <v/>
      </c>
      <c r="D57" s="359" t="str">
        <f>IF($A57&lt;&gt;"",PROPER(INDEX(NXchung!$B$3:$EP$57,MATCH(NxGvHK2!A57,NXchung!$B$3:$B$57,0),5)),"")</f>
        <v/>
      </c>
      <c r="E57" s="101" t="str">
        <f>IF($A57&lt;&gt;"",INDEX(NXchung!$B$3:$EP$57,MATCH(NxGvHK2!$A57,NXchung!$B$3:$B$57,0),INDEX($L$11:$P$24,MATCH($C$7,$L$11:$L$24,0),M$10)),"")</f>
        <v/>
      </c>
      <c r="F57" s="825" t="str">
        <f>IF($A57&lt;&gt;"",INDEX(NXchung!$B$3:$EP$57,MATCH(NxGvHK2!$A57,NXchung!$B$3:$B$57,0),INDEX($L$11:$P$24,MATCH($C$7,$L$11:$L$24,0),N$10)),"")</f>
        <v/>
      </c>
      <c r="G57" s="830" t="str">
        <f>IF($A57&lt;&gt;"",INDEX(NXchung!$B$3:$EP$57,MATCH(NxGvHK2!$A57,NXchung!$B$3:$B$57,0),INDEX($L$11:$P$24,MATCH($C$7,$L$11:$L$24,0),O$10)),"")</f>
        <v/>
      </c>
      <c r="H57" s="830" t="str">
        <f>IF($A57&lt;&gt;"",INDEX(NXchung!$B$3:$EP$57,MATCH(NxGvHK2!$A57,NXchung!$B$3:$B$57,0),INDEX($L$11:$P$24,MATCH($C$7,$L$11:$L$24,0),P$10)),"")</f>
        <v/>
      </c>
      <c r="I57" s="367"/>
    </row>
    <row r="58" spans="1:9" ht="42" hidden="1" customHeight="1">
      <c r="A58" s="117" t="str">
        <f>IF(A57&lt;MAX(NXchung!$B$3:$B$57),A57+1,"")</f>
        <v/>
      </c>
      <c r="B58" s="100" t="str">
        <f>IF($A58&lt;&gt;"",PROPER(INDEX(NXchung!$B$3:$EP$57,MATCH(NxGvHK2!A58,NXchung!$B$3:$B$57,0),3)),"")</f>
        <v/>
      </c>
      <c r="C58" s="257" t="str">
        <f>IF($A58&lt;&gt;"",PROPER(INDEX(NXchung!$B$3:$EP$57,MATCH(NxGvHK2!A58,NXchung!$B$3:$B$57,0),4)),"")</f>
        <v/>
      </c>
      <c r="D58" s="359" t="str">
        <f>IF($A58&lt;&gt;"",PROPER(INDEX(NXchung!$B$3:$EP$57,MATCH(NxGvHK2!A58,NXchung!$B$3:$B$57,0),5)),"")</f>
        <v/>
      </c>
      <c r="E58" s="101" t="str">
        <f>IF($A58&lt;&gt;"",INDEX(NXchung!$B$3:$EP$57,MATCH(NxGvHK2!$A58,NXchung!$B$3:$B$57,0),INDEX($L$11:$P$24,MATCH($C$7,$L$11:$L$24,0),M$10)),"")</f>
        <v/>
      </c>
      <c r="F58" s="825" t="str">
        <f>IF($A58&lt;&gt;"",INDEX(NXchung!$B$3:$EP$57,MATCH(NxGvHK2!$A58,NXchung!$B$3:$B$57,0),INDEX($L$11:$P$24,MATCH($C$7,$L$11:$L$24,0),N$10)),"")</f>
        <v/>
      </c>
      <c r="G58" s="830" t="str">
        <f>IF($A58&lt;&gt;"",INDEX(NXchung!$B$3:$EP$57,MATCH(NxGvHK2!$A58,NXchung!$B$3:$B$57,0),INDEX($L$11:$P$24,MATCH($C$7,$L$11:$L$24,0),O$10)),"")</f>
        <v/>
      </c>
      <c r="H58" s="830" t="str">
        <f>IF($A58&lt;&gt;"",INDEX(NXchung!$B$3:$EP$57,MATCH(NxGvHK2!$A58,NXchung!$B$3:$B$57,0),INDEX($L$11:$P$24,MATCH($C$7,$L$11:$L$24,0),P$10)),"")</f>
        <v/>
      </c>
      <c r="I58" s="367"/>
    </row>
    <row r="59" spans="1:9" ht="42" hidden="1" customHeight="1">
      <c r="A59" s="117" t="str">
        <f>IF(A58&lt;MAX(NXchung!$B$3:$B$57),A58+1,"")</f>
        <v/>
      </c>
      <c r="B59" s="100" t="str">
        <f>IF($A59&lt;&gt;"",PROPER(INDEX(NXchung!$B$3:$EP$57,MATCH(NxGvHK2!A59,NXchung!$B$3:$B$57,0),3)),"")</f>
        <v/>
      </c>
      <c r="C59" s="257" t="str">
        <f>IF($A59&lt;&gt;"",PROPER(INDEX(NXchung!$B$3:$EP$57,MATCH(NxGvHK2!A59,NXchung!$B$3:$B$57,0),4)),"")</f>
        <v/>
      </c>
      <c r="D59" s="359" t="str">
        <f>IF($A59&lt;&gt;"",PROPER(INDEX(NXchung!$B$3:$EP$57,MATCH(NxGvHK2!A59,NXchung!$B$3:$B$57,0),5)),"")</f>
        <v/>
      </c>
      <c r="E59" s="101" t="str">
        <f>IF($A59&lt;&gt;"",INDEX(NXchung!$B$3:$EP$57,MATCH(NxGvHK2!$A59,NXchung!$B$3:$B$57,0),INDEX($L$11:$P$24,MATCH($C$7,$L$11:$L$24,0),M$10)),"")</f>
        <v/>
      </c>
      <c r="F59" s="825" t="str">
        <f>IF($A59&lt;&gt;"",INDEX(NXchung!$B$3:$EP$57,MATCH(NxGvHK2!$A59,NXchung!$B$3:$B$57,0),INDEX($L$11:$P$24,MATCH($C$7,$L$11:$L$24,0),N$10)),"")</f>
        <v/>
      </c>
      <c r="G59" s="830" t="str">
        <f>IF($A59&lt;&gt;"",INDEX(NXchung!$B$3:$EP$57,MATCH(NxGvHK2!$A59,NXchung!$B$3:$B$57,0),INDEX($L$11:$P$24,MATCH($C$7,$L$11:$L$24,0),O$10)),"")</f>
        <v/>
      </c>
      <c r="H59" s="830" t="str">
        <f>IF($A59&lt;&gt;"",INDEX(NXchung!$B$3:$EP$57,MATCH(NxGvHK2!$A59,NXchung!$B$3:$B$57,0),INDEX($L$11:$P$24,MATCH($C$7,$L$11:$L$24,0),P$10)),"")</f>
        <v/>
      </c>
      <c r="I59" s="367"/>
    </row>
    <row r="60" spans="1:9" ht="42" hidden="1" customHeight="1">
      <c r="A60" s="260" t="str">
        <f>IF(A59&lt;MAX(NXchung!$B$3:$B$57),A59+1,"")</f>
        <v/>
      </c>
      <c r="B60" s="106" t="str">
        <f>IF($A60&lt;&gt;"",PROPER(INDEX(NXchung!$B$3:$EP$57,MATCH(NxGvHK2!A60,NXchung!$B$3:$B$57,0),3)),"")</f>
        <v/>
      </c>
      <c r="C60" s="261" t="str">
        <f>IF($A60&lt;&gt;"",PROPER(INDEX(NXchung!$B$3:$EP$57,MATCH(NxGvHK2!A60,NXchung!$B$3:$B$57,0),4)),"")</f>
        <v/>
      </c>
      <c r="D60" s="360" t="str">
        <f>IF($A60&lt;&gt;"",PROPER(INDEX(NXchung!$B$3:$EP$57,MATCH(NxGvHK2!A60,NXchung!$B$3:$B$57,0),5)),"")</f>
        <v/>
      </c>
      <c r="E60" s="107" t="str">
        <f>IF($A60&lt;&gt;"",INDEX(NXchung!$B$3:$EP$57,MATCH(NxGvHK2!$A60,NXchung!$B$3:$B$57,0),INDEX($L$11:$P$24,MATCH($C$7,$L$11:$L$24,0),M$10)),"")</f>
        <v/>
      </c>
      <c r="F60" s="826" t="str">
        <f>IF($A60&lt;&gt;"",INDEX(NXchung!$B$3:$EP$57,MATCH(NxGvHK2!$A60,NXchung!$B$3:$B$57,0),INDEX($L$11:$P$24,MATCH($C$7,$L$11:$L$24,0),N$10)),"")</f>
        <v/>
      </c>
      <c r="G60" s="831" t="str">
        <f>IF($A60&lt;&gt;"",INDEX(NXchung!$B$3:$EP$57,MATCH(NxGvHK2!$A60,NXchung!$B$3:$B$57,0),INDEX($L$11:$P$24,MATCH($C$7,$L$11:$L$24,0),O$10)),"")</f>
        <v/>
      </c>
      <c r="H60" s="831" t="str">
        <f>IF($A60&lt;&gt;"",INDEX(NXchung!$B$3:$EP$57,MATCH(NxGvHK2!$A60,NXchung!$B$3:$B$57,0),INDEX($L$11:$P$24,MATCH($C$7,$L$11:$L$24,0),P$10)),"")</f>
        <v/>
      </c>
      <c r="I60" s="368"/>
    </row>
    <row r="61" spans="1:9" ht="42" hidden="1" customHeight="1">
      <c r="A61" s="253" t="str">
        <f>IF(A60&lt;MAX(NXchung!$B$3:$B$57),A60+1,"")</f>
        <v/>
      </c>
      <c r="B61" s="94" t="str">
        <f>IF($A61&lt;&gt;"",PROPER(INDEX(NXchung!$B$3:$EP$57,MATCH(NxGvHK2!A61,NXchung!$B$3:$B$57,0),3)),"")</f>
        <v/>
      </c>
      <c r="C61" s="254" t="str">
        <f>IF($A61&lt;&gt;"",PROPER(INDEX(NXchung!$B$3:$EP$57,MATCH(NxGvHK2!A61,NXchung!$B$3:$B$57,0),4)),"")</f>
        <v/>
      </c>
      <c r="D61" s="358" t="str">
        <f>IF($A61&lt;&gt;"",PROPER(INDEX(NXchung!$B$3:$EP$57,MATCH(NxGvHK2!A61,NXchung!$B$3:$B$57,0),5)),"")</f>
        <v/>
      </c>
      <c r="E61" s="95" t="str">
        <f>IF($A61&lt;&gt;"",INDEX(NXchung!$B$3:$EP$57,MATCH(NxGvHK2!$A61,NXchung!$B$3:$B$57,0),INDEX($L$11:$P$24,MATCH($C$7,$L$11:$L$24,0),M$10)),"")</f>
        <v/>
      </c>
      <c r="F61" s="824" t="str">
        <f>IF($A61&lt;&gt;"",INDEX(NXchung!$B$3:$EP$57,MATCH(NxGvHK2!$A61,NXchung!$B$3:$B$57,0),INDEX($L$11:$P$24,MATCH($C$7,$L$11:$L$24,0),N$10)),"")</f>
        <v/>
      </c>
      <c r="G61" s="829" t="str">
        <f>IF($A61&lt;&gt;"",INDEX(NXchung!$B$3:$EP$57,MATCH(NxGvHK2!$A61,NXchung!$B$3:$B$57,0),INDEX($L$11:$P$24,MATCH($C$7,$L$11:$L$24,0),O$10)),"")</f>
        <v/>
      </c>
      <c r="H61" s="829" t="str">
        <f>IF($A61&lt;&gt;"",INDEX(NXchung!$B$3:$EP$57,MATCH(NxGvHK2!$A61,NXchung!$B$3:$B$57,0),INDEX($L$11:$P$24,MATCH($C$7,$L$11:$L$24,0),P$10)),"")</f>
        <v/>
      </c>
      <c r="I61" s="366"/>
    </row>
    <row r="62" spans="1:9" ht="42" hidden="1" customHeight="1">
      <c r="A62" s="117" t="str">
        <f>IF(A61&lt;MAX(NXchung!$B$3:$B$57),A61+1,"")</f>
        <v/>
      </c>
      <c r="B62" s="100" t="str">
        <f>IF($A62&lt;&gt;"",PROPER(INDEX(NXchung!$B$3:$EP$57,MATCH(NxGvHK2!A62,NXchung!$B$3:$B$57,0),3)),"")</f>
        <v/>
      </c>
      <c r="C62" s="257" t="str">
        <f>IF($A62&lt;&gt;"",PROPER(INDEX(NXchung!$B$3:$EP$57,MATCH(NxGvHK2!A62,NXchung!$B$3:$B$57,0),4)),"")</f>
        <v/>
      </c>
      <c r="D62" s="359" t="str">
        <f>IF($A62&lt;&gt;"",PROPER(INDEX(NXchung!$B$3:$EP$57,MATCH(NxGvHK2!A62,NXchung!$B$3:$B$57,0),5)),"")</f>
        <v/>
      </c>
      <c r="E62" s="101" t="str">
        <f>IF($A62&lt;&gt;"",INDEX(NXchung!$B$3:$EP$57,MATCH(NxGvHK2!$A62,NXchung!$B$3:$B$57,0),INDEX($L$11:$P$24,MATCH($C$7,$L$11:$L$24,0),M$10)),"")</f>
        <v/>
      </c>
      <c r="F62" s="825" t="str">
        <f>IF($A62&lt;&gt;"",INDEX(NXchung!$B$3:$EP$57,MATCH(NxGvHK2!$A62,NXchung!$B$3:$B$57,0),INDEX($L$11:$P$24,MATCH($C$7,$L$11:$L$24,0),N$10)),"")</f>
        <v/>
      </c>
      <c r="G62" s="830" t="str">
        <f>IF($A62&lt;&gt;"",INDEX(NXchung!$B$3:$EP$57,MATCH(NxGvHK2!$A62,NXchung!$B$3:$B$57,0),INDEX($L$11:$P$24,MATCH($C$7,$L$11:$L$24,0),O$10)),"")</f>
        <v/>
      </c>
      <c r="H62" s="830" t="str">
        <f>IF($A62&lt;&gt;"",INDEX(NXchung!$B$3:$EP$57,MATCH(NxGvHK2!$A62,NXchung!$B$3:$B$57,0),INDEX($L$11:$P$24,MATCH($C$7,$L$11:$L$24,0),P$10)),"")</f>
        <v/>
      </c>
      <c r="I62" s="367"/>
    </row>
    <row r="63" spans="1:9" ht="42" hidden="1" customHeight="1">
      <c r="A63" s="117" t="str">
        <f>IF(A62&lt;MAX(NXchung!$B$3:$B$57),A62+1,"")</f>
        <v/>
      </c>
      <c r="B63" s="100" t="str">
        <f>IF($A63&lt;&gt;"",PROPER(INDEX(NXchung!$B$3:$EP$57,MATCH(NxGvHK2!A63,NXchung!$B$3:$B$57,0),3)),"")</f>
        <v/>
      </c>
      <c r="C63" s="257" t="str">
        <f>IF($A63&lt;&gt;"",PROPER(INDEX(NXchung!$B$3:$EP$57,MATCH(NxGvHK2!A63,NXchung!$B$3:$B$57,0),4)),"")</f>
        <v/>
      </c>
      <c r="D63" s="359" t="str">
        <f>IF($A63&lt;&gt;"",PROPER(INDEX(NXchung!$B$3:$EP$57,MATCH(NxGvHK2!A63,NXchung!$B$3:$B$57,0),5)),"")</f>
        <v/>
      </c>
      <c r="E63" s="101" t="str">
        <f>IF($A63&lt;&gt;"",INDEX(NXchung!$B$3:$EP$57,MATCH(NxGvHK2!$A63,NXchung!$B$3:$B$57,0),INDEX($L$11:$P$24,MATCH($C$7,$L$11:$L$24,0),M$10)),"")</f>
        <v/>
      </c>
      <c r="F63" s="825" t="str">
        <f>IF($A63&lt;&gt;"",INDEX(NXchung!$B$3:$EP$57,MATCH(NxGvHK2!$A63,NXchung!$B$3:$B$57,0),INDEX($L$11:$P$24,MATCH($C$7,$L$11:$L$24,0),N$10)),"")</f>
        <v/>
      </c>
      <c r="G63" s="830" t="str">
        <f>IF($A63&lt;&gt;"",INDEX(NXchung!$B$3:$EP$57,MATCH(NxGvHK2!$A63,NXchung!$B$3:$B$57,0),INDEX($L$11:$P$24,MATCH($C$7,$L$11:$L$24,0),O$10)),"")</f>
        <v/>
      </c>
      <c r="H63" s="830" t="str">
        <f>IF($A63&lt;&gt;"",INDEX(NXchung!$B$3:$EP$57,MATCH(NxGvHK2!$A63,NXchung!$B$3:$B$57,0),INDEX($L$11:$P$24,MATCH($C$7,$L$11:$L$24,0),P$10)),"")</f>
        <v/>
      </c>
      <c r="I63" s="367"/>
    </row>
    <row r="64" spans="1:9" ht="42" hidden="1" customHeight="1">
      <c r="A64" s="117" t="str">
        <f>IF(A63&lt;MAX(NXchung!$B$3:$B$57),A63+1,"")</f>
        <v/>
      </c>
      <c r="B64" s="100" t="str">
        <f>IF($A64&lt;&gt;"",PROPER(INDEX(NXchung!$B$3:$EP$57,MATCH(NxGvHK2!A64,NXchung!$B$3:$B$57,0),3)),"")</f>
        <v/>
      </c>
      <c r="C64" s="257" t="str">
        <f>IF($A64&lt;&gt;"",PROPER(INDEX(NXchung!$B$3:$EP$57,MATCH(NxGvHK2!A64,NXchung!$B$3:$B$57,0),4)),"")</f>
        <v/>
      </c>
      <c r="D64" s="359" t="str">
        <f>IF($A64&lt;&gt;"",PROPER(INDEX(NXchung!$B$3:$EP$57,MATCH(NxGvHK2!A64,NXchung!$B$3:$B$57,0),5)),"")</f>
        <v/>
      </c>
      <c r="E64" s="101" t="str">
        <f>IF($A64&lt;&gt;"",INDEX(NXchung!$B$3:$EP$57,MATCH(NxGvHK2!$A64,NXchung!$B$3:$B$57,0),INDEX($L$11:$P$24,MATCH($C$7,$L$11:$L$24,0),M$10)),"")</f>
        <v/>
      </c>
      <c r="F64" s="825" t="str">
        <f>IF($A64&lt;&gt;"",INDEX(NXchung!$B$3:$EP$57,MATCH(NxGvHK2!$A64,NXchung!$B$3:$B$57,0),INDEX($L$11:$P$24,MATCH($C$7,$L$11:$L$24,0),N$10)),"")</f>
        <v/>
      </c>
      <c r="G64" s="830" t="str">
        <f>IF($A64&lt;&gt;"",INDEX(NXchung!$B$3:$EP$57,MATCH(NxGvHK2!$A64,NXchung!$B$3:$B$57,0),INDEX($L$11:$P$24,MATCH($C$7,$L$11:$L$24,0),O$10)),"")</f>
        <v/>
      </c>
      <c r="H64" s="830" t="str">
        <f>IF($A64&lt;&gt;"",INDEX(NXchung!$B$3:$EP$57,MATCH(NxGvHK2!$A64,NXchung!$B$3:$B$57,0),INDEX($L$11:$P$24,MATCH($C$7,$L$11:$L$24,0),P$10)),"")</f>
        <v/>
      </c>
      <c r="I64" s="367"/>
    </row>
    <row r="65" spans="1:34" ht="42" hidden="1" customHeight="1">
      <c r="A65" s="260" t="str">
        <f>IF(A64&lt;MAX(NXchung!$B$3:$B$57),A64+1,"")</f>
        <v/>
      </c>
      <c r="B65" s="106" t="str">
        <f>IF($A65&lt;&gt;"",PROPER(INDEX(NXchung!$B$3:$EP$57,MATCH(NxGvHK2!A65,NXchung!$B$3:$B$57,0),3)),"")</f>
        <v/>
      </c>
      <c r="C65" s="261" t="str">
        <f>IF($A65&lt;&gt;"",PROPER(INDEX(NXchung!$B$3:$EP$57,MATCH(NxGvHK2!A65,NXchung!$B$3:$B$57,0),4)),"")</f>
        <v/>
      </c>
      <c r="D65" s="360" t="str">
        <f>IF($A65&lt;&gt;"",PROPER(INDEX(NXchung!$B$3:$EP$57,MATCH(NxGvHK2!A65,NXchung!$B$3:$B$57,0),5)),"")</f>
        <v/>
      </c>
      <c r="E65" s="107" t="str">
        <f>IF($A65&lt;&gt;"",INDEX(NXchung!$B$3:$EP$57,MATCH(NxGvHK2!$A65,NXchung!$B$3:$B$57,0),INDEX($L$11:$P$24,MATCH($C$7,$L$11:$L$24,0),M$10)),"")</f>
        <v/>
      </c>
      <c r="F65" s="826" t="str">
        <f>IF($A65&lt;&gt;"",INDEX(NXchung!$B$3:$EP$57,MATCH(NxGvHK2!$A65,NXchung!$B$3:$B$57,0),INDEX($L$11:$P$24,MATCH($C$7,$L$11:$L$24,0),N$10)),"")</f>
        <v/>
      </c>
      <c r="G65" s="831" t="str">
        <f>IF($A65&lt;&gt;"",INDEX(NXchung!$B$3:$EP$57,MATCH(NxGvHK2!$A65,NXchung!$B$3:$B$57,0),INDEX($L$11:$P$24,MATCH($C$7,$L$11:$L$24,0),O$10)),"")</f>
        <v/>
      </c>
      <c r="H65" s="831" t="str">
        <f>IF($A65&lt;&gt;"",INDEX(NXchung!$B$3:$EP$57,MATCH(NxGvHK2!$A65,NXchung!$B$3:$B$57,0),INDEX($L$11:$P$24,MATCH($C$7,$L$11:$L$24,0),P$10)),"")</f>
        <v/>
      </c>
      <c r="I65" s="368"/>
    </row>
    <row r="66" spans="1:34" s="1" customFormat="1" ht="7.5" customHeight="1">
      <c r="A66" s="129"/>
      <c r="B66" s="129"/>
      <c r="C66" s="129"/>
      <c r="D66" s="129"/>
      <c r="E66" s="129"/>
      <c r="F66" s="129"/>
      <c r="G66" s="129"/>
      <c r="H66" s="129"/>
      <c r="I66" s="129"/>
      <c r="J66" s="248"/>
      <c r="K66" s="248"/>
      <c r="T66" s="248"/>
      <c r="U66" s="248"/>
      <c r="V66" s="248"/>
      <c r="W66" s="248"/>
      <c r="X66" s="248"/>
      <c r="Y66" s="248"/>
      <c r="Z66" s="248"/>
      <c r="AA66" s="248"/>
      <c r="AB66" s="248"/>
      <c r="AC66" s="248"/>
      <c r="AD66" s="248"/>
      <c r="AE66" s="248"/>
      <c r="AF66" s="248"/>
      <c r="AG66" s="248"/>
      <c r="AH66" s="248"/>
    </row>
    <row r="67" spans="1:34" s="1" customFormat="1">
      <c r="A67" s="129"/>
      <c r="B67" s="129"/>
      <c r="C67" s="129"/>
      <c r="D67" s="129"/>
      <c r="E67" s="129"/>
      <c r="F67" s="129"/>
      <c r="G67" s="926" t="s">
        <v>248</v>
      </c>
      <c r="H67" s="926"/>
      <c r="I67" s="378"/>
      <c r="J67" s="378"/>
      <c r="K67" s="378"/>
      <c r="L67" s="827"/>
      <c r="M67" s="827"/>
      <c r="T67" s="248"/>
      <c r="U67" s="248"/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</row>
    <row r="68" spans="1:34" s="1" customFormat="1">
      <c r="A68" s="129"/>
      <c r="B68" s="129"/>
      <c r="C68" s="129"/>
      <c r="D68" s="129"/>
      <c r="E68" s="129"/>
      <c r="F68" s="129"/>
      <c r="G68" s="922" t="s">
        <v>642</v>
      </c>
      <c r="H68" s="922"/>
      <c r="I68" s="379"/>
      <c r="J68" s="379"/>
      <c r="K68" s="379"/>
      <c r="L68" s="30"/>
      <c r="M68" s="30"/>
      <c r="T68" s="248"/>
      <c r="U68" s="248"/>
      <c r="V68" s="248"/>
      <c r="W68" s="248"/>
      <c r="X68" s="248"/>
      <c r="Y68" s="248"/>
      <c r="Z68" s="248"/>
      <c r="AA68" s="248"/>
      <c r="AB68" s="248"/>
      <c r="AC68" s="248"/>
      <c r="AD68" s="248"/>
      <c r="AE68" s="248"/>
      <c r="AF68" s="248"/>
      <c r="AG68" s="248"/>
      <c r="AH68" s="248"/>
    </row>
    <row r="69" spans="1:34" s="1" customFormat="1" ht="10.5" customHeight="1">
      <c r="A69" s="129"/>
      <c r="B69" s="129"/>
      <c r="C69" s="129"/>
      <c r="D69" s="129"/>
      <c r="E69" s="129"/>
      <c r="F69" s="129"/>
      <c r="G69" s="129"/>
      <c r="H69" s="129"/>
      <c r="I69" s="129"/>
      <c r="J69" s="248"/>
      <c r="K69" s="248"/>
      <c r="T69" s="248"/>
      <c r="U69" s="248"/>
      <c r="V69" s="248"/>
      <c r="W69" s="248"/>
      <c r="X69" s="248"/>
      <c r="Y69" s="248"/>
      <c r="Z69" s="248"/>
      <c r="AA69" s="248"/>
      <c r="AB69" s="248"/>
      <c r="AC69" s="248"/>
      <c r="AD69" s="248"/>
      <c r="AE69" s="248"/>
      <c r="AF69" s="248"/>
      <c r="AG69" s="248"/>
      <c r="AH69" s="248"/>
    </row>
    <row r="70" spans="1:34" s="1" customFormat="1" ht="10.5" customHeight="1">
      <c r="A70" s="129"/>
      <c r="B70" s="129"/>
      <c r="C70" s="129"/>
      <c r="D70" s="129"/>
      <c r="E70" s="129"/>
      <c r="F70" s="129"/>
      <c r="G70" s="129"/>
      <c r="H70" s="129"/>
      <c r="I70" s="129"/>
      <c r="J70" s="248"/>
      <c r="K70" s="248"/>
      <c r="T70" s="248"/>
      <c r="U70" s="248"/>
      <c r="V70" s="248"/>
      <c r="W70" s="248"/>
      <c r="X70" s="248"/>
      <c r="Y70" s="248"/>
      <c r="Z70" s="248"/>
      <c r="AA70" s="248"/>
      <c r="AB70" s="248"/>
      <c r="AC70" s="248"/>
      <c r="AD70" s="248"/>
      <c r="AE70" s="248"/>
      <c r="AF70" s="248"/>
      <c r="AG70" s="248"/>
      <c r="AH70" s="248"/>
    </row>
    <row r="71" spans="1:34" s="1" customFormat="1" ht="10.5" customHeight="1">
      <c r="A71" s="129"/>
      <c r="B71" s="129"/>
      <c r="C71" s="129"/>
      <c r="D71" s="129"/>
      <c r="E71" s="129"/>
      <c r="F71" s="129"/>
      <c r="G71" s="129"/>
      <c r="H71" s="129"/>
      <c r="I71" s="129"/>
      <c r="J71" s="248"/>
      <c r="K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</row>
    <row r="72" spans="1:34" s="1" customFormat="1" ht="10.5" customHeight="1">
      <c r="A72" s="129"/>
      <c r="B72" s="129"/>
      <c r="C72" s="129"/>
      <c r="D72" s="129"/>
      <c r="E72" s="129"/>
      <c r="F72" s="129"/>
      <c r="G72" s="129"/>
      <c r="H72" s="129"/>
      <c r="I72" s="129"/>
      <c r="J72" s="248"/>
      <c r="K72" s="248"/>
      <c r="T72" s="248"/>
      <c r="U72" s="248"/>
      <c r="V72" s="248"/>
      <c r="W72" s="248"/>
      <c r="X72" s="248"/>
      <c r="Y72" s="248"/>
      <c r="Z72" s="248"/>
      <c r="AA72" s="248"/>
      <c r="AB72" s="248"/>
      <c r="AC72" s="248"/>
      <c r="AD72" s="248"/>
      <c r="AE72" s="248"/>
      <c r="AF72" s="248"/>
      <c r="AG72" s="248"/>
      <c r="AH72" s="248"/>
    </row>
    <row r="73" spans="1:34" s="1" customFormat="1" ht="10.5" customHeight="1">
      <c r="A73" s="129"/>
      <c r="B73" s="129"/>
      <c r="C73" s="129"/>
      <c r="D73" s="129"/>
      <c r="E73" s="129"/>
      <c r="F73" s="129"/>
      <c r="G73" s="129"/>
      <c r="H73" s="129"/>
      <c r="I73" s="129"/>
      <c r="J73" s="248"/>
      <c r="K73" s="248"/>
      <c r="T73" s="248"/>
      <c r="U73" s="248"/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</row>
    <row r="74" spans="1:34" s="1" customFormat="1" ht="10.5" customHeight="1">
      <c r="A74" s="129"/>
      <c r="B74" s="129"/>
      <c r="C74" s="129"/>
      <c r="D74" s="129"/>
      <c r="E74" s="129"/>
      <c r="F74" s="129"/>
      <c r="G74" s="129"/>
      <c r="H74" s="129"/>
      <c r="I74" s="129"/>
      <c r="J74" s="248"/>
      <c r="K74" s="248"/>
      <c r="T74" s="248"/>
      <c r="U74" s="248"/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</row>
    <row r="75" spans="1:34" s="1" customFormat="1">
      <c r="A75" s="129"/>
      <c r="B75" s="129"/>
      <c r="C75" s="129"/>
      <c r="D75" s="129"/>
      <c r="E75" s="129"/>
      <c r="F75" s="129"/>
      <c r="G75" s="129"/>
      <c r="H75" s="129"/>
      <c r="I75" s="129"/>
      <c r="J75" s="248"/>
      <c r="K75" s="248"/>
      <c r="T75" s="248"/>
      <c r="U75" s="248"/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</row>
    <row r="76" spans="1:34" s="1" customFormat="1">
      <c r="A76" s="129"/>
      <c r="B76" s="129"/>
      <c r="C76" s="129"/>
      <c r="D76" s="129"/>
      <c r="E76" s="129"/>
      <c r="F76" s="129"/>
      <c r="G76" s="129"/>
      <c r="H76" s="129"/>
      <c r="I76" s="129"/>
      <c r="J76" s="248"/>
      <c r="K76" s="248"/>
      <c r="T76" s="248"/>
      <c r="U76" s="248"/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</row>
    <row r="77" spans="1:34" s="1" customFormat="1">
      <c r="A77" s="129"/>
      <c r="B77" s="129"/>
      <c r="C77" s="129"/>
      <c r="D77" s="129"/>
      <c r="E77" s="129"/>
      <c r="F77" s="129"/>
      <c r="G77" s="129"/>
      <c r="H77" s="129"/>
      <c r="I77" s="129"/>
      <c r="J77" s="248"/>
      <c r="K77" s="248"/>
      <c r="T77" s="248"/>
      <c r="U77" s="248"/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</row>
    <row r="78" spans="1:34" s="1" customFormat="1">
      <c r="A78" s="129"/>
      <c r="B78" s="129"/>
      <c r="C78" s="129"/>
      <c r="D78" s="129"/>
      <c r="E78" s="129"/>
      <c r="F78" s="129"/>
      <c r="G78" s="129"/>
      <c r="H78" s="129"/>
      <c r="I78" s="129"/>
      <c r="J78" s="248"/>
      <c r="K78" s="248"/>
      <c r="T78" s="248"/>
      <c r="U78" s="248"/>
      <c r="V78" s="248"/>
      <c r="W78" s="248"/>
      <c r="X78" s="248"/>
      <c r="Y78" s="248"/>
      <c r="Z78" s="248"/>
      <c r="AA78" s="248"/>
      <c r="AB78" s="248"/>
      <c r="AC78" s="248"/>
      <c r="AD78" s="248"/>
      <c r="AE78" s="248"/>
      <c r="AF78" s="248"/>
      <c r="AG78" s="248"/>
      <c r="AH78" s="248"/>
    </row>
    <row r="79" spans="1:34" s="1" customFormat="1">
      <c r="A79" s="129"/>
      <c r="B79" s="129"/>
      <c r="C79" s="129"/>
      <c r="D79" s="129"/>
      <c r="E79" s="129"/>
      <c r="F79" s="129"/>
      <c r="G79" s="129"/>
      <c r="H79" s="129"/>
      <c r="I79" s="129"/>
      <c r="J79" s="248"/>
      <c r="K79" s="248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248"/>
      <c r="AH79" s="248"/>
    </row>
  </sheetData>
  <sheetProtection algorithmName="SHA-512" hashValue="AhRfTqU2DuzgFyoKEirxR9bMBmiKyt+a/AHCnUNDA1K5QD58QzvdDXPSQ5GOM088u0UJp4gqe8HbXBnqRJnyfg==" saltValue="cf8Pb/OCHB23eDEzk57pmA==" spinCount="100000" sheet="1" formatCells="0" formatColumns="0" formatRows="0"/>
  <mergeCells count="15">
    <mergeCell ref="G68:H68"/>
    <mergeCell ref="G1:H1"/>
    <mergeCell ref="G2:H2"/>
    <mergeCell ref="A1:E1"/>
    <mergeCell ref="A2:E2"/>
    <mergeCell ref="B3:D3"/>
    <mergeCell ref="A4:I4"/>
    <mergeCell ref="G67:H67"/>
    <mergeCell ref="A5:I5"/>
    <mergeCell ref="C7:D7"/>
    <mergeCell ref="A9:A10"/>
    <mergeCell ref="B9:C10"/>
    <mergeCell ref="D9:D10"/>
    <mergeCell ref="G9:G10"/>
    <mergeCell ref="H9:H10"/>
  </mergeCells>
  <phoneticPr fontId="46" type="noConversion"/>
  <dataValidations count="1">
    <dataValidation type="list" allowBlank="1" showInputMessage="1" showErrorMessage="1" sqref="C7">
      <formula1>$L$11:$L$24</formula1>
    </dataValidation>
  </dataValidations>
  <pageMargins left="0.35" right="0.25" top="0.25" bottom="0" header="0" footer="0"/>
  <pageSetup paperSize="9" scale="64" fitToHeight="2" orientation="portrait" blackAndWhite="1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-0.249977111117893"/>
  </sheetPr>
  <dimension ref="A1:N1596"/>
  <sheetViews>
    <sheetView workbookViewId="0">
      <pane ySplit="1" topLeftCell="A2" activePane="bottomLeft" state="frozen"/>
      <selection activeCell="P11" sqref="P11"/>
      <selection pane="bottomLeft" activeCell="R14" sqref="R14"/>
    </sheetView>
  </sheetViews>
  <sheetFormatPr defaultColWidth="9.109375" defaultRowHeight="15.6"/>
  <cols>
    <col min="1" max="1" width="4.88671875" style="57" customWidth="1"/>
    <col min="2" max="2" width="10.109375" style="57" customWidth="1"/>
    <col min="3" max="3" width="7.33203125" style="57" customWidth="1"/>
    <col min="4" max="4" width="33.5546875" style="57" customWidth="1"/>
    <col min="5" max="5" width="8" style="57" customWidth="1"/>
    <col min="6" max="6" width="33.5546875" style="57" customWidth="1"/>
    <col min="7" max="7" width="25.88671875" style="57" customWidth="1"/>
    <col min="8" max="8" width="2" style="57" customWidth="1"/>
    <col min="9" max="9" width="4.109375" style="57" customWidth="1"/>
    <col min="10" max="10" width="12.6640625" style="57" hidden="1" customWidth="1"/>
    <col min="11" max="14" width="9.109375" style="57" hidden="1" customWidth="1"/>
    <col min="15" max="16384" width="9.109375" style="57"/>
  </cols>
  <sheetData>
    <row r="1" spans="1:14" ht="27" customHeight="1">
      <c r="F1" s="812" t="s">
        <v>362</v>
      </c>
      <c r="G1" s="807"/>
    </row>
    <row r="2" spans="1:14" s="60" customFormat="1" ht="21" customHeight="1">
      <c r="A2" s="1128" t="str">
        <f>IF('Huong dan'!$E$3&lt;&gt;"","SỞ GIÁO DỤC VÀ ĐÀO TẠO "&amp;UPPER('Huong dan'!$E$3),"")</f>
        <v>SỞ GIÁO DỤC VÀ ĐÀO TẠO TP. HỒ CHÍ MINH</v>
      </c>
      <c r="B2" s="1128"/>
      <c r="C2" s="1128"/>
      <c r="D2" s="1128"/>
      <c r="E2" s="1129" t="s">
        <v>19</v>
      </c>
      <c r="F2" s="1129"/>
      <c r="G2" s="1129"/>
    </row>
    <row r="3" spans="1:14" ht="17.25" customHeight="1">
      <c r="A3" s="992" t="str">
        <f>IF('Huong dan'!$E$4&lt;&gt;"","TRƯỜNG "&amp;UPPER('Huong dan'!$E$4),"")</f>
        <v>TRƯỜNG THCS VÀ THPT NGUYỄN KHUYẾN</v>
      </c>
      <c r="B3" s="992"/>
      <c r="C3" s="992"/>
      <c r="D3" s="992"/>
      <c r="E3" s="1130" t="s">
        <v>179</v>
      </c>
      <c r="F3" s="1130"/>
      <c r="G3" s="1130"/>
    </row>
    <row r="4" spans="1:14" ht="15" customHeight="1">
      <c r="A4" s="69"/>
      <c r="B4" s="69"/>
      <c r="C4" s="30"/>
    </row>
    <row r="5" spans="1:14" ht="27.75" customHeight="1">
      <c r="A5" s="1013" t="s">
        <v>567</v>
      </c>
      <c r="B5" s="1013"/>
      <c r="C5" s="1013"/>
      <c r="D5" s="1013"/>
      <c r="E5" s="1013"/>
      <c r="F5" s="1013"/>
      <c r="G5" s="1013"/>
    </row>
    <row r="6" spans="1:14" ht="24" customHeight="1">
      <c r="A6" s="1013" t="str">
        <f>"HỌC KỲ II VÀ CẢ NĂM - NĂM HỌC "&amp;'Huong dan'!$C$5</f>
        <v>HỌC KỲ II VÀ CẢ NĂM - NĂM HỌC 2021 - 2022</v>
      </c>
      <c r="B6" s="1013"/>
      <c r="C6" s="1013"/>
      <c r="D6" s="1013"/>
      <c r="E6" s="1013"/>
      <c r="F6" s="1013"/>
      <c r="G6" s="1013"/>
    </row>
    <row r="7" spans="1:14" ht="9" customHeight="1">
      <c r="A7" s="70"/>
      <c r="B7" s="66"/>
      <c r="C7" s="66"/>
      <c r="D7" s="66"/>
      <c r="E7" s="66"/>
      <c r="F7" s="66"/>
      <c r="G7" s="66"/>
    </row>
    <row r="8" spans="1:14" ht="18.75" customHeight="1">
      <c r="A8" s="1167" t="s">
        <v>212</v>
      </c>
      <c r="B8" s="1167"/>
      <c r="C8" s="1167"/>
      <c r="D8" s="1168" t="str">
        <f>IF(B30="","",INDEX(NXchung!$B$3:$EP$57,MATCH(B30,NXchung!$B$3:$B$57,0),3)&amp;" "&amp;INDEX(NXchung!$B$3:$EP$57,MATCH(B30,NXchung!$B$3:$B$57,0),4))</f>
        <v>Phạm Huỳnh Hiệp An</v>
      </c>
      <c r="E8" s="1168"/>
      <c r="F8" s="77" t="str">
        <f>IF('Huong dan'!$C$3="","","Lớp: "&amp;'Huong dan'!$C$3)</f>
        <v>Lớp: 12A1</v>
      </c>
      <c r="G8" s="71"/>
    </row>
    <row r="9" spans="1:14" ht="18.75" customHeight="1">
      <c r="A9" s="1168" t="s">
        <v>213</v>
      </c>
      <c r="B9" s="1168"/>
      <c r="C9" s="1168"/>
      <c r="D9" s="77" t="str">
        <f>INDEX(NXchung!$B$3:$EP$57,MATCH(B30,NXchung!$B$3:$B$57,0),5)</f>
        <v>16/10/2004</v>
      </c>
      <c r="F9" s="841" t="str">
        <f>IF(B30="","","Nơi sinh: "&amp;INDEX(DiemHKII!$H$4:$H$58,MATCH(B30,DiemHKII!$B$4:$B$58,0),1))</f>
        <v xml:space="preserve">Nơi sinh: </v>
      </c>
      <c r="G9" s="77"/>
      <c r="K9" s="57" t="s">
        <v>299</v>
      </c>
      <c r="L9" s="57" t="s">
        <v>296</v>
      </c>
      <c r="M9" s="57" t="s">
        <v>300</v>
      </c>
      <c r="N9" s="57" t="s">
        <v>297</v>
      </c>
    </row>
    <row r="10" spans="1:14" ht="9.75" customHeight="1">
      <c r="A10" s="62"/>
      <c r="B10" s="62"/>
      <c r="C10" s="62"/>
      <c r="D10" s="62"/>
      <c r="E10" s="62"/>
      <c r="F10" s="62"/>
      <c r="G10" s="63"/>
    </row>
    <row r="11" spans="1:14" ht="31.5" customHeight="1">
      <c r="A11" s="801" t="s">
        <v>0</v>
      </c>
      <c r="B11" s="801" t="s">
        <v>59</v>
      </c>
      <c r="C11" s="806" t="s">
        <v>661</v>
      </c>
      <c r="D11" s="801" t="s">
        <v>296</v>
      </c>
      <c r="E11" s="806" t="s">
        <v>662</v>
      </c>
      <c r="F11" s="801" t="s">
        <v>361</v>
      </c>
      <c r="G11" s="802" t="s">
        <v>569</v>
      </c>
      <c r="J11" s="57">
        <v>1</v>
      </c>
      <c r="K11" s="57">
        <v>1</v>
      </c>
      <c r="L11" s="57">
        <v>2</v>
      </c>
      <c r="M11" s="57">
        <v>3</v>
      </c>
      <c r="N11" s="57">
        <v>4</v>
      </c>
    </row>
    <row r="12" spans="1:14" ht="45.9" customHeight="1">
      <c r="A12" s="803" t="s">
        <v>191</v>
      </c>
      <c r="B12" s="813" t="s">
        <v>26</v>
      </c>
      <c r="C12" s="805" t="str">
        <f>IF(B30="","",INDEX(NXchung!$B$3:$EP$57,MATCH(B30,NXchung!$B$3:$B$57,0),INDEX($K$12:$N$25,MATCH($B12,$J$12:$J$25,0),K$11)))</f>
        <v/>
      </c>
      <c r="D12" s="808" t="str">
        <f>IF(B30="","",INDEX(NXchung!$B$3:$EP$57,MATCH(B30,NXchung!$B$3:$B$57,0),INDEX($K$12:$N$25,MATCH($B12,$J$12:$J$25,0),L$11)))</f>
        <v/>
      </c>
      <c r="E12" s="805" t="str">
        <f>IF(B30="","",INDEX(NXchung!$B$3:$EP$57,MATCH(B30,NXchung!$B$3:$B$57,0),INDEX($K$12:$N$25,MATCH($B12,$J$12:$J$25,0),M$11)))</f>
        <v/>
      </c>
      <c r="F12" s="808" t="str">
        <f>IF(B30="","",INDEX(NXchung!$B$3:$EP$57,MATCH(B30,NXchung!$B$3:$B$57,0),INDEX($K$12:$N$25,MATCH($B12,$J$12:$J$25,0),N$11)))</f>
        <v/>
      </c>
      <c r="G12" s="805"/>
      <c r="I12" s="64"/>
      <c r="J12" s="64" t="s">
        <v>26</v>
      </c>
      <c r="K12" s="57">
        <v>9</v>
      </c>
      <c r="L12" s="57">
        <v>11</v>
      </c>
      <c r="M12" s="57">
        <v>12</v>
      </c>
      <c r="N12" s="57">
        <v>14</v>
      </c>
    </row>
    <row r="13" spans="1:14" ht="45.9" customHeight="1">
      <c r="A13" s="803" t="s">
        <v>192</v>
      </c>
      <c r="B13" s="813" t="s">
        <v>27</v>
      </c>
      <c r="C13" s="805" t="str">
        <f>IF(B30="","",INDEX(NXchung!$B$3:$EP$57,MATCH(B30,NXchung!$B$3:$B$57,0),INDEX($K$12:$N$25,MATCH($B13,$J$12:$J$25,0),K$11)))</f>
        <v/>
      </c>
      <c r="D13" s="808" t="str">
        <f>IF(B30="","",INDEX(NXchung!$B$3:$EP$57,MATCH(B30,NXchung!$B$3:$B$57,0),INDEX($K$12:$N$25,MATCH($B13,$J$12:$J$25,0),L$11)))</f>
        <v/>
      </c>
      <c r="E13" s="805" t="str">
        <f>IF(B30="","",INDEX(NXchung!$B$3:$EP$57,MATCH(B30,NXchung!$B$3:$B$57,0),INDEX($K$12:$N$25,MATCH($B13,$J$12:$J$25,0),M$11)))</f>
        <v/>
      </c>
      <c r="F13" s="808" t="str">
        <f>IF(B30="","",INDEX(NXchung!$B$3:$EP$57,MATCH(B30,NXchung!$B$3:$B$57,0),INDEX($K$12:$N$25,MATCH($B13,$J$12:$J$25,0),N$11)))</f>
        <v/>
      </c>
      <c r="G13" s="805"/>
      <c r="I13" s="64"/>
      <c r="J13" s="64" t="s">
        <v>27</v>
      </c>
      <c r="K13" s="57">
        <v>19</v>
      </c>
      <c r="L13" s="57">
        <v>21</v>
      </c>
      <c r="M13" s="57">
        <v>22</v>
      </c>
      <c r="N13" s="57">
        <v>24</v>
      </c>
    </row>
    <row r="14" spans="1:14" ht="45.9" customHeight="1">
      <c r="A14" s="803" t="s">
        <v>193</v>
      </c>
      <c r="B14" s="813" t="s">
        <v>28</v>
      </c>
      <c r="C14" s="805" t="str">
        <f>IF(B30="","",INDEX(NXchung!$B$3:$EP$57,MATCH(B30,NXchung!$B$3:$B$57,0),INDEX($K$12:$N$25,MATCH($B14,$J$12:$J$25,0),K$11)))</f>
        <v/>
      </c>
      <c r="D14" s="808" t="str">
        <f>IF(B30="","",INDEX(NXchung!$B$3:$EP$57,MATCH(B30,NXchung!$B$3:$B$57,0),INDEX($K$12:$N$25,MATCH($B14,$J$12:$J$25,0),L$11)))</f>
        <v/>
      </c>
      <c r="E14" s="805" t="str">
        <f>IF(B30="","",INDEX(NXchung!$B$3:$EP$57,MATCH(B30,NXchung!$B$3:$B$57,0),INDEX($K$12:$N$25,MATCH($B14,$J$12:$J$25,0),M$11)))</f>
        <v/>
      </c>
      <c r="F14" s="808" t="str">
        <f>IF(B30="","",INDEX(NXchung!$B$3:$EP$57,MATCH(B30,NXchung!$B$3:$B$57,0),INDEX($K$12:$N$25,MATCH($B14,$J$12:$J$25,0),N$11)))</f>
        <v/>
      </c>
      <c r="G14" s="805"/>
      <c r="I14" s="64"/>
      <c r="J14" s="64" t="s">
        <v>28</v>
      </c>
      <c r="K14" s="57">
        <v>29</v>
      </c>
      <c r="L14" s="57">
        <v>31</v>
      </c>
      <c r="M14" s="57">
        <v>32</v>
      </c>
      <c r="N14" s="57">
        <v>34</v>
      </c>
    </row>
    <row r="15" spans="1:14" ht="45.9" customHeight="1">
      <c r="A15" s="803" t="s">
        <v>194</v>
      </c>
      <c r="B15" s="813" t="s">
        <v>29</v>
      </c>
      <c r="C15" s="805" t="str">
        <f>IF(B30="","",INDEX(NXchung!$B$3:$EP$57,MATCH(B30,NXchung!$B$3:$B$57,0),INDEX($K$12:$N$25,MATCH($B15,$J$12:$J$25,0),K$11)))</f>
        <v/>
      </c>
      <c r="D15" s="808" t="str">
        <f>IF(B30="","",INDEX(NXchung!$B$3:$EP$57,MATCH(B30,NXchung!$B$3:$B$57,0),INDEX($K$12:$N$25,MATCH($B15,$J$12:$J$25,0),L$11)))</f>
        <v/>
      </c>
      <c r="E15" s="805" t="str">
        <f>IF(B30="","",INDEX(NXchung!$B$3:$EP$57,MATCH(B30,NXchung!$B$3:$B$57,0),INDEX($K$12:$N$25,MATCH($B15,$J$12:$J$25,0),M$11)))</f>
        <v/>
      </c>
      <c r="F15" s="808" t="str">
        <f>IF(B30="","",INDEX(NXchung!$B$3:$EP$57,MATCH(B30,NXchung!$B$3:$B$57,0),INDEX($K$12:$N$25,MATCH($B15,$J$12:$J$25,0),N$11)))</f>
        <v/>
      </c>
      <c r="G15" s="805"/>
      <c r="I15" s="64"/>
      <c r="J15" s="64" t="s">
        <v>29</v>
      </c>
      <c r="K15" s="57">
        <v>39</v>
      </c>
      <c r="L15" s="57">
        <v>41</v>
      </c>
      <c r="M15" s="57">
        <v>42</v>
      </c>
      <c r="N15" s="57">
        <v>44</v>
      </c>
    </row>
    <row r="16" spans="1:14" ht="45.9" customHeight="1">
      <c r="A16" s="803" t="s">
        <v>195</v>
      </c>
      <c r="B16" s="813" t="s">
        <v>120</v>
      </c>
      <c r="C16" s="805" t="str">
        <f>IF(B30="","",INDEX(NXchung!$B$3:$EP$57,MATCH(B30,NXchung!$B$3:$B$57,0),INDEX($K$12:$N$25,MATCH($B16,$J$12:$J$25,0),K$11)))</f>
        <v/>
      </c>
      <c r="D16" s="808" t="str">
        <f>IF(B30="","",INDEX(NXchung!$B$3:$EP$57,MATCH(B30,NXchung!$B$3:$B$57,0),INDEX($K$12:$N$25,MATCH($B16,$J$12:$J$25,0),L$11)))</f>
        <v/>
      </c>
      <c r="E16" s="805" t="str">
        <f>IF(B30="","",INDEX(NXchung!$B$3:$EP$57,MATCH(B30,NXchung!$B$3:$B$57,0),INDEX($K$12:$N$25,MATCH($B16,$J$12:$J$25,0),M$11)))</f>
        <v/>
      </c>
      <c r="F16" s="808" t="str">
        <f>IF(B30="","",INDEX(NXchung!$B$3:$EP$57,MATCH(B30,NXchung!$B$3:$B$57,0),INDEX($K$12:$N$25,MATCH($B16,$J$12:$J$25,0),N$11)))</f>
        <v/>
      </c>
      <c r="G16" s="805"/>
      <c r="I16" s="64"/>
      <c r="J16" s="64" t="s">
        <v>120</v>
      </c>
      <c r="K16" s="57">
        <v>49</v>
      </c>
      <c r="L16" s="57">
        <v>51</v>
      </c>
      <c r="M16" s="57">
        <v>52</v>
      </c>
      <c r="N16" s="57">
        <v>54</v>
      </c>
    </row>
    <row r="17" spans="1:14" ht="45.9" customHeight="1">
      <c r="A17" s="803" t="s">
        <v>196</v>
      </c>
      <c r="B17" s="813" t="s">
        <v>30</v>
      </c>
      <c r="C17" s="805" t="str">
        <f>IF(B30="","",INDEX(NXchung!$B$3:$EP$57,MATCH(B30,NXchung!$B$3:$B$57,0),INDEX($K$12:$N$25,MATCH($B17,$J$12:$J$25,0),K$11)))</f>
        <v/>
      </c>
      <c r="D17" s="808" t="str">
        <f>IF(B30="","",INDEX(NXchung!$B$3:$EP$57,MATCH(B30,NXchung!$B$3:$B$57,0),INDEX($K$12:$N$25,MATCH($B17,$J$12:$J$25,0),L$11)))</f>
        <v/>
      </c>
      <c r="E17" s="805" t="str">
        <f>IF(B30="","",INDEX(NXchung!$B$3:$EP$57,MATCH(B30,NXchung!$B$3:$B$57,0),INDEX($K$12:$N$25,MATCH($B17,$J$12:$J$25,0),M$11)))</f>
        <v/>
      </c>
      <c r="F17" s="808" t="str">
        <f>IF(B30="","",INDEX(NXchung!$B$3:$EP$57,MATCH(B30,NXchung!$B$3:$B$57,0),INDEX($K$12:$N$25,MATCH($B17,$J$12:$J$25,0),N$11)))</f>
        <v/>
      </c>
      <c r="G17" s="805"/>
      <c r="I17" s="64"/>
      <c r="J17" s="64" t="s">
        <v>30</v>
      </c>
      <c r="K17" s="57">
        <v>59</v>
      </c>
      <c r="L17" s="57">
        <v>61</v>
      </c>
      <c r="M17" s="57">
        <v>62</v>
      </c>
      <c r="N17" s="57">
        <v>64</v>
      </c>
    </row>
    <row r="18" spans="1:14" ht="45.9" customHeight="1">
      <c r="A18" s="803" t="s">
        <v>197</v>
      </c>
      <c r="B18" s="813" t="s">
        <v>31</v>
      </c>
      <c r="C18" s="805" t="str">
        <f>IF(B30="","",INDEX(NXchung!$B$3:$EP$57,MATCH(B30,NXchung!$B$3:$B$57,0),INDEX($K$12:$N$25,MATCH($B18,$J$12:$J$25,0),K$11)))</f>
        <v/>
      </c>
      <c r="D18" s="808" t="str">
        <f>IF(B30="","",INDEX(NXchung!$B$3:$EP$57,MATCH(B30,NXchung!$B$3:$B$57,0),INDEX($K$12:$N$25,MATCH($B18,$J$12:$J$25,0),L$11)))</f>
        <v/>
      </c>
      <c r="E18" s="805" t="str">
        <f>IF(B30="","",INDEX(NXchung!$B$3:$EP$57,MATCH(B30,NXchung!$B$3:$B$57,0),INDEX($K$12:$N$25,MATCH($B18,$J$12:$J$25,0),M$11)))</f>
        <v/>
      </c>
      <c r="F18" s="808" t="str">
        <f>IF(B30="","",INDEX(NXchung!$B$3:$EP$57,MATCH(B30,NXchung!$B$3:$B$57,0),INDEX($K$12:$N$25,MATCH($B18,$J$12:$J$25,0),N$11)))</f>
        <v/>
      </c>
      <c r="G18" s="805"/>
      <c r="I18" s="64"/>
      <c r="J18" s="64" t="s">
        <v>31</v>
      </c>
      <c r="K18" s="57">
        <v>69</v>
      </c>
      <c r="L18" s="57">
        <v>71</v>
      </c>
      <c r="M18" s="57">
        <v>72</v>
      </c>
      <c r="N18" s="57">
        <v>74</v>
      </c>
    </row>
    <row r="19" spans="1:14" ht="45.9" customHeight="1">
      <c r="A19" s="803" t="s">
        <v>198</v>
      </c>
      <c r="B19" s="813" t="s">
        <v>32</v>
      </c>
      <c r="C19" s="805" t="str">
        <f>IF(B30="","",INDEX(NXchung!$B$3:$EP$57,MATCH(B30,NXchung!$B$3:$B$57,0),INDEX($K$12:$N$25,MATCH($B19,$J$12:$J$25,0),K$11)))</f>
        <v/>
      </c>
      <c r="D19" s="808" t="str">
        <f>IF(B30="","",INDEX(NXchung!$B$3:$EP$57,MATCH(B30,NXchung!$B$3:$B$57,0),INDEX($K$12:$N$25,MATCH($B19,$J$12:$J$25,0),L$11)))</f>
        <v/>
      </c>
      <c r="E19" s="805" t="str">
        <f>IF(B30="","",INDEX(NXchung!$B$3:$EP$57,MATCH(B30,NXchung!$B$3:$B$57,0),INDEX($K$12:$N$25,MATCH($B19,$J$12:$J$25,0),M$11)))</f>
        <v/>
      </c>
      <c r="F19" s="808" t="str">
        <f>IF(B30="","",INDEX(NXchung!$B$3:$EP$57,MATCH(B30,NXchung!$B$3:$B$57,0),INDEX($K$12:$N$25,MATCH($B19,$J$12:$J$25,0),N$11)))</f>
        <v/>
      </c>
      <c r="G19" s="805"/>
      <c r="I19" s="64"/>
      <c r="J19" s="64" t="s">
        <v>32</v>
      </c>
      <c r="K19" s="57">
        <v>79</v>
      </c>
      <c r="L19" s="57">
        <v>81</v>
      </c>
      <c r="M19" s="57">
        <v>82</v>
      </c>
      <c r="N19" s="57">
        <v>84</v>
      </c>
    </row>
    <row r="20" spans="1:14" ht="45.9" customHeight="1">
      <c r="A20" s="803" t="s">
        <v>199</v>
      </c>
      <c r="B20" s="813" t="s">
        <v>33</v>
      </c>
      <c r="C20" s="805" t="str">
        <f>IF(B30="","",INDEX(NXchung!$B$3:$EP$57,MATCH(B30,NXchung!$B$3:$B$57,0),INDEX($K$12:$N$25,MATCH($B20,$J$12:$J$25,0),K$11)))</f>
        <v/>
      </c>
      <c r="D20" s="808" t="str">
        <f>IF(B30="","",INDEX(NXchung!$B$3:$EP$57,MATCH(B30,NXchung!$B$3:$B$57,0),INDEX($K$12:$N$25,MATCH($B20,$J$12:$J$25,0),L$11)))</f>
        <v/>
      </c>
      <c r="E20" s="805" t="str">
        <f>IF(B30="","",INDEX(NXchung!$B$3:$EP$57,MATCH(B30,NXchung!$B$3:$B$57,0),INDEX($K$12:$N$25,MATCH($B20,$J$12:$J$25,0),M$11)))</f>
        <v/>
      </c>
      <c r="F20" s="808" t="str">
        <f>IF(B30="","",INDEX(NXchung!$B$3:$EP$57,MATCH(B30,NXchung!$B$3:$B$57,0),INDEX($K$12:$N$25,MATCH($B20,$J$12:$J$25,0),N$11)))</f>
        <v/>
      </c>
      <c r="G20" s="805"/>
      <c r="I20" s="64"/>
      <c r="J20" s="64" t="s">
        <v>33</v>
      </c>
      <c r="K20" s="57">
        <v>89</v>
      </c>
      <c r="L20" s="57">
        <v>91</v>
      </c>
      <c r="M20" s="57">
        <v>92</v>
      </c>
      <c r="N20" s="57">
        <v>94</v>
      </c>
    </row>
    <row r="21" spans="1:14" ht="45.9" customHeight="1">
      <c r="A21" s="803" t="s">
        <v>200</v>
      </c>
      <c r="B21" s="813" t="s">
        <v>60</v>
      </c>
      <c r="C21" s="805" t="str">
        <f>IF(B30="","",INDEX(NXchung!$B$3:$EP$57,MATCH(B30,NXchung!$B$3:$B$57,0),INDEX($K$12:$N$25,MATCH($B21,$J$12:$J$25,0),K$11)))</f>
        <v/>
      </c>
      <c r="D21" s="808" t="str">
        <f>IF(B30="","",INDEX(NXchung!$B$3:$EP$57,MATCH(B30,NXchung!$B$3:$B$57,0),INDEX($K$12:$N$25,MATCH($B21,$J$12:$J$25,0),L$11)))</f>
        <v/>
      </c>
      <c r="E21" s="805" t="str">
        <f>IF(B30="","",INDEX(NXchung!$B$3:$EP$57,MATCH(B30,NXchung!$B$3:$B$57,0),INDEX($K$12:$N$25,MATCH($B21,$J$12:$J$25,0),M$11)))</f>
        <v/>
      </c>
      <c r="F21" s="808" t="str">
        <f>IF(B30="","",INDEX(NXchung!$B$3:$EP$57,MATCH(B30,NXchung!$B$3:$B$57,0),INDEX($K$12:$N$25,MATCH($B21,$J$12:$J$25,0),N$11)))</f>
        <v/>
      </c>
      <c r="G21" s="805"/>
      <c r="I21" s="64"/>
      <c r="J21" s="64" t="s">
        <v>60</v>
      </c>
      <c r="K21" s="57">
        <v>99</v>
      </c>
      <c r="L21" s="57">
        <v>101</v>
      </c>
      <c r="M21" s="57">
        <v>102</v>
      </c>
      <c r="N21" s="57">
        <v>104</v>
      </c>
    </row>
    <row r="22" spans="1:14" ht="45.9" customHeight="1">
      <c r="A22" s="803" t="s">
        <v>201</v>
      </c>
      <c r="B22" s="813" t="s">
        <v>34</v>
      </c>
      <c r="C22" s="805" t="str">
        <f>IF(B30="","",INDEX(NXchung!$B$3:$EP$57,MATCH(B30,NXchung!$B$3:$B$57,0),INDEX($K$12:$N$25,MATCH($B22,$J$12:$J$25,0),K$11)))</f>
        <v/>
      </c>
      <c r="D22" s="808" t="str">
        <f>IF(B30="","",INDEX(NXchung!$B$3:$EP$57,MATCH(B30,NXchung!$B$3:$B$57,0),INDEX($K$12:$N$25,MATCH($B22,$J$12:$J$25,0),L$11)))</f>
        <v/>
      </c>
      <c r="E22" s="805" t="str">
        <f>IF(B30="","",INDEX(NXchung!$B$3:$EP$57,MATCH(B30,NXchung!$B$3:$B$57,0),INDEX($K$12:$N$25,MATCH($B22,$J$12:$J$25,0),M$11)))</f>
        <v/>
      </c>
      <c r="F22" s="808" t="str">
        <f>IF(B30="","",INDEX(NXchung!$B$3:$EP$57,MATCH(B30,NXchung!$B$3:$B$57,0),INDEX($K$12:$N$25,MATCH($B22,$J$12:$J$25,0),N$11)))</f>
        <v/>
      </c>
      <c r="G22" s="805"/>
      <c r="I22" s="64"/>
      <c r="J22" s="64" t="s">
        <v>34</v>
      </c>
      <c r="K22" s="57">
        <v>109</v>
      </c>
      <c r="L22" s="57">
        <v>111</v>
      </c>
      <c r="M22" s="57">
        <v>112</v>
      </c>
      <c r="N22" s="57">
        <v>114</v>
      </c>
    </row>
    <row r="23" spans="1:14" ht="45.9" customHeight="1">
      <c r="A23" s="803" t="s">
        <v>202</v>
      </c>
      <c r="B23" s="813" t="s">
        <v>35</v>
      </c>
      <c r="C23" s="805" t="str">
        <f>IF(B30="","",INDEX(NXchung!$B$3:$EP$57,MATCH(B30,NXchung!$B$3:$B$57,0),INDEX($K$12:$N$25,MATCH($B23,$J$12:$J$25,0),K$11)))</f>
        <v/>
      </c>
      <c r="D23" s="808" t="str">
        <f>IF(B30="","",INDEX(NXchung!$B$3:$EP$57,MATCH(B30,NXchung!$B$3:$B$57,0),INDEX($K$12:$N$25,MATCH($B23,$J$12:$J$25,0),L$11)))</f>
        <v/>
      </c>
      <c r="E23" s="805" t="str">
        <f>IF(B30="","",INDEX(NXchung!$B$3:$EP$57,MATCH(B30,NXchung!$B$3:$B$57,0),INDEX($K$12:$N$25,MATCH($B23,$J$12:$J$25,0),M$11)))</f>
        <v>Đ</v>
      </c>
      <c r="F23" s="808" t="str">
        <f>IF(B30="","",INDEX(NXchung!$B$3:$EP$57,MATCH(B30,NXchung!$B$3:$B$57,0),INDEX($K$12:$N$25,MATCH($B23,$J$12:$J$25,0),N$11)))</f>
        <v>Rất ngoan, học có hiệu quả tốt.</v>
      </c>
      <c r="G23" s="805"/>
      <c r="I23" s="64"/>
      <c r="J23" s="64" t="s">
        <v>35</v>
      </c>
      <c r="K23" s="57">
        <v>119</v>
      </c>
      <c r="L23" s="57">
        <v>121</v>
      </c>
      <c r="M23" s="57">
        <v>122</v>
      </c>
      <c r="N23" s="57">
        <v>124</v>
      </c>
    </row>
    <row r="24" spans="1:14" ht="45.9" customHeight="1">
      <c r="A24" s="803" t="s">
        <v>203</v>
      </c>
      <c r="B24" s="813" t="s">
        <v>121</v>
      </c>
      <c r="C24" s="805" t="str">
        <f>IF(B30="","",INDEX(NXchung!$B$3:$EP$57,MATCH(B30,NXchung!$B$3:$B$57,0),INDEX($K$12:$N$25,MATCH($B24,$J$12:$J$25,0),K$11)))</f>
        <v/>
      </c>
      <c r="D24" s="808" t="str">
        <f>IF(B30="","",INDEX(NXchung!$B$3:$EP$57,MATCH(B30,NXchung!$B$3:$B$57,0),INDEX($K$12:$N$25,MATCH($B24,$J$12:$J$25,0),L$11)))</f>
        <v/>
      </c>
      <c r="E24" s="805" t="str">
        <f>IF(B30="","",INDEX(NXchung!$B$3:$EP$57,MATCH(B30,NXchung!$B$3:$B$57,0),INDEX($K$12:$N$25,MATCH($B24,$J$12:$J$25,0),M$11)))</f>
        <v/>
      </c>
      <c r="F24" s="808" t="str">
        <f>IF(B30="","",INDEX(NXchung!$B$3:$EP$57,MATCH(B30,NXchung!$B$3:$B$57,0),INDEX($K$12:$N$25,MATCH($B24,$J$12:$J$25,0),N$11)))</f>
        <v/>
      </c>
      <c r="G24" s="805"/>
      <c r="I24" s="64"/>
      <c r="J24" s="64" t="s">
        <v>121</v>
      </c>
      <c r="K24" s="57">
        <v>129</v>
      </c>
      <c r="L24" s="57">
        <v>131</v>
      </c>
      <c r="M24" s="57">
        <v>132</v>
      </c>
      <c r="N24" s="57">
        <v>134</v>
      </c>
    </row>
    <row r="25" spans="1:14" ht="45.9" customHeight="1">
      <c r="A25" s="803" t="s">
        <v>204</v>
      </c>
      <c r="B25" s="813" t="s">
        <v>122</v>
      </c>
      <c r="C25" s="805" t="str">
        <f>IF(B30="","",INDEX(NXchung!$B$3:$EP$57,MATCH(B30,NXchung!$B$3:$B$57,0),INDEX($K$12:$N$25,MATCH($B25,$J$12:$J$25,0),K$11)))</f>
        <v/>
      </c>
      <c r="D25" s="808" t="str">
        <f>IF(B30="","",INDEX(NXchung!$B$3:$EP$57,MATCH(B30,NXchung!$B$3:$B$57,0),INDEX($K$12:$N$25,MATCH($B25,$J$12:$J$25,0),L$11)))</f>
        <v/>
      </c>
      <c r="E25" s="805" t="str">
        <f>IF(B30="","",INDEX(NXchung!$B$3:$EP$57,MATCH(B30,NXchung!$B$3:$B$57,0),INDEX($K$12:$N$25,MATCH($B25,$J$12:$J$25,0),M$11)))</f>
        <v/>
      </c>
      <c r="F25" s="808" t="str">
        <f>IF(B30="","",INDEX(NXchung!$B$3:$EP$57,MATCH(B30,NXchung!$B$3:$B$57,0),INDEX($K$12:$N$25,MATCH($B25,$J$12:$J$25,0),N$11)))</f>
        <v/>
      </c>
      <c r="G25" s="805"/>
      <c r="I25" s="64"/>
      <c r="J25" s="64" t="s">
        <v>122</v>
      </c>
      <c r="K25" s="57">
        <v>139</v>
      </c>
      <c r="L25" s="57">
        <v>141</v>
      </c>
      <c r="M25" s="57">
        <v>142</v>
      </c>
      <c r="N25" s="57">
        <v>144</v>
      </c>
    </row>
    <row r="26" spans="1:14" s="60" customFormat="1" ht="6" customHeight="1">
      <c r="A26" s="67"/>
      <c r="B26" s="67"/>
      <c r="C26" s="475"/>
      <c r="D26" s="475"/>
      <c r="E26" s="67"/>
      <c r="F26" s="67"/>
      <c r="G26" s="67"/>
    </row>
    <row r="27" spans="1:14" ht="17.25" customHeight="1">
      <c r="D27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27" s="1163"/>
      <c r="F27" s="1163"/>
      <c r="G27" s="1163"/>
      <c r="H27" s="814"/>
    </row>
    <row r="28" spans="1:14" ht="16.5" customHeight="1">
      <c r="D28" s="992" t="s">
        <v>377</v>
      </c>
      <c r="E28" s="992"/>
      <c r="F28" s="992"/>
      <c r="G28" s="992"/>
      <c r="H28" s="814"/>
    </row>
    <row r="29" spans="1:14" ht="81.75" customHeight="1">
      <c r="D29" s="931" t="str">
        <f>IF('Huong dan'!$E$5="","",'Huong dan'!$E$5)</f>
        <v/>
      </c>
      <c r="E29" s="931"/>
      <c r="F29" s="931"/>
      <c r="G29" s="931"/>
      <c r="H29" s="814"/>
    </row>
    <row r="30" spans="1:14" ht="11.25" customHeight="1">
      <c r="A30" s="75"/>
      <c r="B30" s="815">
        <f>IF(MIN(DiemHKII!$B$4:$B$58)&lt;=0,"",MIN(DiemHKII!$B$4:$B$58))</f>
        <v>1</v>
      </c>
      <c r="C30" s="75"/>
      <c r="D30" s="75"/>
      <c r="E30" s="75"/>
      <c r="F30" s="75"/>
      <c r="G30" s="75"/>
    </row>
    <row r="31" spans="1:14" s="60" customFormat="1" ht="21" customHeight="1">
      <c r="A31" s="1128" t="str">
        <f>IF('Huong dan'!$E$3&lt;&gt;"","SỞ GIÁO DỤC VÀ ĐÀO TẠO "&amp;UPPER('Huong dan'!$E$3),"")</f>
        <v>SỞ GIÁO DỤC VÀ ĐÀO TẠO TP. HỒ CHÍ MINH</v>
      </c>
      <c r="B31" s="1128"/>
      <c r="C31" s="1128"/>
      <c r="D31" s="1128"/>
      <c r="E31" s="1129" t="s">
        <v>19</v>
      </c>
      <c r="F31" s="1129"/>
      <c r="G31" s="1129"/>
    </row>
    <row r="32" spans="1:14" ht="17.25" customHeight="1">
      <c r="A32" s="992" t="str">
        <f>IF('Huong dan'!$E$4&lt;&gt;"","TRƯỜNG "&amp;UPPER('Huong dan'!$E$4),"")</f>
        <v>TRƯỜNG THCS VÀ THPT NGUYỄN KHUYẾN</v>
      </c>
      <c r="B32" s="992"/>
      <c r="C32" s="992"/>
      <c r="D32" s="992"/>
      <c r="E32" s="1130" t="s">
        <v>179</v>
      </c>
      <c r="F32" s="1130"/>
      <c r="G32" s="1130"/>
    </row>
    <row r="33" spans="1:10" ht="15" customHeight="1">
      <c r="A33" s="69"/>
      <c r="B33" s="69"/>
      <c r="C33" s="30"/>
    </row>
    <row r="34" spans="1:10" ht="27.75" customHeight="1">
      <c r="A34" s="1013" t="s">
        <v>567</v>
      </c>
      <c r="B34" s="1013"/>
      <c r="C34" s="1013"/>
      <c r="D34" s="1013"/>
      <c r="E34" s="1013"/>
      <c r="F34" s="1013"/>
      <c r="G34" s="1013"/>
    </row>
    <row r="35" spans="1:10" ht="24" customHeight="1">
      <c r="A35" s="1013" t="str">
        <f>"HỌC KỲ II VÀ CẢ NĂM - NĂM HỌC "&amp;'Huong dan'!$C$5</f>
        <v>HỌC KỲ II VÀ CẢ NĂM - NĂM HỌC 2021 - 2022</v>
      </c>
      <c r="B35" s="1013"/>
      <c r="C35" s="1013"/>
      <c r="D35" s="1013"/>
      <c r="E35" s="1013"/>
      <c r="F35" s="1013"/>
      <c r="G35" s="1013"/>
    </row>
    <row r="36" spans="1:10" ht="9" customHeight="1">
      <c r="A36" s="70"/>
      <c r="B36" s="66"/>
      <c r="C36" s="66"/>
      <c r="D36" s="66"/>
      <c r="E36" s="66"/>
      <c r="F36" s="66"/>
      <c r="G36" s="66"/>
    </row>
    <row r="37" spans="1:10" ht="18.75" customHeight="1">
      <c r="A37" s="1167" t="s">
        <v>212</v>
      </c>
      <c r="B37" s="1167"/>
      <c r="C37" s="1167"/>
      <c r="D37" s="1167" t="str">
        <f>IF(B59="","",INDEX(NXchung!$B$3:$EP$57,MATCH(B59,NXchung!$B$3:$B$57,0),3)&amp;" "&amp;INDEX(NXchung!$B$3:$EP$57,MATCH(B59,NXchung!$B$3:$B$57,0),4))</f>
        <v>Chử Ngọc Anh</v>
      </c>
      <c r="E37" s="1167"/>
      <c r="F37" s="77" t="str">
        <f>IF('Huong dan'!$C$3="","","Lớp: "&amp;'Huong dan'!$C$3)</f>
        <v>Lớp: 12A1</v>
      </c>
      <c r="G37" s="71"/>
    </row>
    <row r="38" spans="1:10" ht="18.75" customHeight="1">
      <c r="A38" s="1168" t="s">
        <v>213</v>
      </c>
      <c r="B38" s="1168"/>
      <c r="C38" s="1168"/>
      <c r="D38" s="77" t="str">
        <f>INDEX(NXchung!$B$3:$EP$57,MATCH(B59,NXchung!$B$3:$B$57,0),5)</f>
        <v>14/04/2004</v>
      </c>
      <c r="F38" s="841" t="str">
        <f>IF(B59="","","Nơi sinh: "&amp;INDEX(DiemHKII!$H$4:$H$58,MATCH(B59,DiemHKII!$B$4:$B$58,0),1))</f>
        <v xml:space="preserve">Nơi sinh: </v>
      </c>
      <c r="G38" s="77"/>
    </row>
    <row r="39" spans="1:10" ht="9.75" customHeight="1">
      <c r="A39" s="62"/>
      <c r="B39" s="62"/>
      <c r="C39" s="62"/>
      <c r="D39" s="62"/>
      <c r="E39" s="62"/>
      <c r="F39" s="62"/>
      <c r="G39" s="63"/>
    </row>
    <row r="40" spans="1:10" ht="31.5" customHeight="1">
      <c r="A40" s="801" t="s">
        <v>0</v>
      </c>
      <c r="B40" s="801" t="s">
        <v>59</v>
      </c>
      <c r="C40" s="806" t="s">
        <v>661</v>
      </c>
      <c r="D40" s="801" t="s">
        <v>296</v>
      </c>
      <c r="E40" s="806" t="s">
        <v>662</v>
      </c>
      <c r="F40" s="801" t="s">
        <v>361</v>
      </c>
      <c r="G40" s="802" t="s">
        <v>569</v>
      </c>
    </row>
    <row r="41" spans="1:10" ht="45.9" customHeight="1">
      <c r="A41" s="803" t="s">
        <v>191</v>
      </c>
      <c r="B41" s="813" t="s">
        <v>26</v>
      </c>
      <c r="C41" s="805" t="str">
        <f>IF(B59="","",INDEX(NXchung!$B$3:$EP$57,MATCH(B59,NXchung!$B$3:$B$57,0),INDEX($K$12:$N$25,MATCH($B41,$J$12:$J$25,0),K$11)))</f>
        <v/>
      </c>
      <c r="D41" s="808" t="str">
        <f>IF(B59="","",INDEX(NXchung!$B$3:$EP$57,MATCH(B59,NXchung!$B$3:$B$57,0),INDEX($K$12:$N$25,MATCH($B41,$J$12:$J$25,0),L$11)))</f>
        <v/>
      </c>
      <c r="E41" s="805" t="str">
        <f>IF(B59="","",INDEX(NXchung!$B$3:$EP$57,MATCH(B59,NXchung!$B$3:$B$57,0),INDEX($K$12:$N$25,MATCH($B41,$J$12:$J$25,0),M$11)))</f>
        <v/>
      </c>
      <c r="F41" s="808" t="str">
        <f>IF(B59="","",INDEX(NXchung!$B$3:$EP$57,MATCH(B59,NXchung!$B$3:$B$57,0),INDEX($K$12:$N$25,MATCH($B41,$J$12:$J$25,0),N$11)))</f>
        <v/>
      </c>
      <c r="G41" s="805"/>
      <c r="I41" s="64"/>
      <c r="J41" s="64"/>
    </row>
    <row r="42" spans="1:10" ht="45.9" customHeight="1">
      <c r="A42" s="803" t="s">
        <v>192</v>
      </c>
      <c r="B42" s="813" t="s">
        <v>27</v>
      </c>
      <c r="C42" s="805" t="str">
        <f>IF(B59="","",INDEX(NXchung!$B$3:$EP$57,MATCH(B59,NXchung!$B$3:$B$57,0),INDEX($K$12:$N$25,MATCH($B42,$J$12:$J$25,0),K$11)))</f>
        <v/>
      </c>
      <c r="D42" s="808" t="str">
        <f>IF(B59="","",INDEX(NXchung!$B$3:$EP$57,MATCH(B59,NXchung!$B$3:$B$57,0),INDEX($K$12:$N$25,MATCH($B42,$J$12:$J$25,0),L$11)))</f>
        <v/>
      </c>
      <c r="E42" s="805" t="str">
        <f>IF(B59="","",INDEX(NXchung!$B$3:$EP$57,MATCH(B59,NXchung!$B$3:$B$57,0),INDEX($K$12:$N$25,MATCH($B42,$J$12:$J$25,0),M$11)))</f>
        <v/>
      </c>
      <c r="F42" s="808" t="str">
        <f>IF(B59="","",INDEX(NXchung!$B$3:$EP$57,MATCH(B59,NXchung!$B$3:$B$57,0),INDEX($K$12:$N$25,MATCH($B42,$J$12:$J$25,0),N$11)))</f>
        <v/>
      </c>
      <c r="G42" s="805"/>
      <c r="I42" s="64"/>
      <c r="J42" s="64"/>
    </row>
    <row r="43" spans="1:10" ht="45.9" customHeight="1">
      <c r="A43" s="803" t="s">
        <v>193</v>
      </c>
      <c r="B43" s="813" t="s">
        <v>28</v>
      </c>
      <c r="C43" s="805" t="str">
        <f>IF(B59="","",INDEX(NXchung!$B$3:$EP$57,MATCH(B59,NXchung!$B$3:$B$57,0),INDEX($K$12:$N$25,MATCH($B43,$J$12:$J$25,0),K$11)))</f>
        <v/>
      </c>
      <c r="D43" s="808" t="str">
        <f>IF(B59="","",INDEX(NXchung!$B$3:$EP$57,MATCH(B59,NXchung!$B$3:$B$57,0),INDEX($K$12:$N$25,MATCH($B43,$J$12:$J$25,0),L$11)))</f>
        <v/>
      </c>
      <c r="E43" s="805" t="str">
        <f>IF(B59="","",INDEX(NXchung!$B$3:$EP$57,MATCH(B59,NXchung!$B$3:$B$57,0),INDEX($K$12:$N$25,MATCH($B43,$J$12:$J$25,0),M$11)))</f>
        <v/>
      </c>
      <c r="F43" s="808" t="str">
        <f>IF(B59="","",INDEX(NXchung!$B$3:$EP$57,MATCH(B59,NXchung!$B$3:$B$57,0),INDEX($K$12:$N$25,MATCH($B43,$J$12:$J$25,0),N$11)))</f>
        <v/>
      </c>
      <c r="G43" s="805"/>
      <c r="I43" s="64"/>
      <c r="J43" s="64"/>
    </row>
    <row r="44" spans="1:10" ht="45.9" customHeight="1">
      <c r="A44" s="803" t="s">
        <v>194</v>
      </c>
      <c r="B44" s="813" t="s">
        <v>29</v>
      </c>
      <c r="C44" s="805" t="str">
        <f>IF(B59="","",INDEX(NXchung!$B$3:$EP$57,MATCH(B59,NXchung!$B$3:$B$57,0),INDEX($K$12:$N$25,MATCH($B44,$J$12:$J$25,0),K$11)))</f>
        <v/>
      </c>
      <c r="D44" s="808" t="str">
        <f>IF(B59="","",INDEX(NXchung!$B$3:$EP$57,MATCH(B59,NXchung!$B$3:$B$57,0),INDEX($K$12:$N$25,MATCH($B44,$J$12:$J$25,0),L$11)))</f>
        <v/>
      </c>
      <c r="E44" s="805" t="str">
        <f>IF(B59="","",INDEX(NXchung!$B$3:$EP$57,MATCH(B59,NXchung!$B$3:$B$57,0),INDEX($K$12:$N$25,MATCH($B44,$J$12:$J$25,0),M$11)))</f>
        <v/>
      </c>
      <c r="F44" s="808" t="str">
        <f>IF(B59="","",INDEX(NXchung!$B$3:$EP$57,MATCH(B59,NXchung!$B$3:$B$57,0),INDEX($K$12:$N$25,MATCH($B44,$J$12:$J$25,0),N$11)))</f>
        <v/>
      </c>
      <c r="G44" s="805"/>
      <c r="I44" s="64"/>
      <c r="J44" s="64"/>
    </row>
    <row r="45" spans="1:10" ht="45.9" customHeight="1">
      <c r="A45" s="803" t="s">
        <v>195</v>
      </c>
      <c r="B45" s="813" t="s">
        <v>120</v>
      </c>
      <c r="C45" s="805" t="str">
        <f>IF(B59="","",INDEX(NXchung!$B$3:$EP$57,MATCH(B59,NXchung!$B$3:$B$57,0),INDEX($K$12:$N$25,MATCH($B45,$J$12:$J$25,0),K$11)))</f>
        <v/>
      </c>
      <c r="D45" s="808" t="str">
        <f>IF(B59="","",INDEX(NXchung!$B$3:$EP$57,MATCH(B59,NXchung!$B$3:$B$57,0),INDEX($K$12:$N$25,MATCH($B45,$J$12:$J$25,0),L$11)))</f>
        <v/>
      </c>
      <c r="E45" s="805" t="str">
        <f>IF(B59="","",INDEX(NXchung!$B$3:$EP$57,MATCH(B59,NXchung!$B$3:$B$57,0),INDEX($K$12:$N$25,MATCH($B45,$J$12:$J$25,0),M$11)))</f>
        <v/>
      </c>
      <c r="F45" s="808" t="str">
        <f>IF(B59="","",INDEX(NXchung!$B$3:$EP$57,MATCH(B59,NXchung!$B$3:$B$57,0),INDEX($K$12:$N$25,MATCH($B45,$J$12:$J$25,0),N$11)))</f>
        <v/>
      </c>
      <c r="G45" s="805"/>
      <c r="I45" s="64"/>
      <c r="J45" s="64"/>
    </row>
    <row r="46" spans="1:10" ht="45.9" customHeight="1">
      <c r="A46" s="803" t="s">
        <v>196</v>
      </c>
      <c r="B46" s="813" t="s">
        <v>30</v>
      </c>
      <c r="C46" s="805" t="str">
        <f>IF(B59="","",INDEX(NXchung!$B$3:$EP$57,MATCH(B59,NXchung!$B$3:$B$57,0),INDEX($K$12:$N$25,MATCH($B46,$J$12:$J$25,0),K$11)))</f>
        <v/>
      </c>
      <c r="D46" s="808" t="str">
        <f>IF(B59="","",INDEX(NXchung!$B$3:$EP$57,MATCH(B59,NXchung!$B$3:$B$57,0),INDEX($K$12:$N$25,MATCH($B46,$J$12:$J$25,0),L$11)))</f>
        <v/>
      </c>
      <c r="E46" s="805" t="str">
        <f>IF(B59="","",INDEX(NXchung!$B$3:$EP$57,MATCH(B59,NXchung!$B$3:$B$57,0),INDEX($K$12:$N$25,MATCH($B46,$J$12:$J$25,0),M$11)))</f>
        <v/>
      </c>
      <c r="F46" s="808" t="str">
        <f>IF(B59="","",INDEX(NXchung!$B$3:$EP$57,MATCH(B59,NXchung!$B$3:$B$57,0),INDEX($K$12:$N$25,MATCH($B46,$J$12:$J$25,0),N$11)))</f>
        <v/>
      </c>
      <c r="G46" s="805"/>
      <c r="I46" s="64"/>
      <c r="J46" s="64"/>
    </row>
    <row r="47" spans="1:10" ht="45.9" customHeight="1">
      <c r="A47" s="803" t="s">
        <v>197</v>
      </c>
      <c r="B47" s="813" t="s">
        <v>31</v>
      </c>
      <c r="C47" s="805" t="str">
        <f>IF(B59="","",INDEX(NXchung!$B$3:$EP$57,MATCH(B59,NXchung!$B$3:$B$57,0),INDEX($K$12:$N$25,MATCH($B47,$J$12:$J$25,0),K$11)))</f>
        <v/>
      </c>
      <c r="D47" s="808" t="str">
        <f>IF(B59="","",INDEX(NXchung!$B$3:$EP$57,MATCH(B59,NXchung!$B$3:$B$57,0),INDEX($K$12:$N$25,MATCH($B47,$J$12:$J$25,0),L$11)))</f>
        <v/>
      </c>
      <c r="E47" s="805" t="str">
        <f>IF(B59="","",INDEX(NXchung!$B$3:$EP$57,MATCH(B59,NXchung!$B$3:$B$57,0),INDEX($K$12:$N$25,MATCH($B47,$J$12:$J$25,0),M$11)))</f>
        <v/>
      </c>
      <c r="F47" s="808" t="str">
        <f>IF(B59="","",INDEX(NXchung!$B$3:$EP$57,MATCH(B59,NXchung!$B$3:$B$57,0),INDEX($K$12:$N$25,MATCH($B47,$J$12:$J$25,0),N$11)))</f>
        <v/>
      </c>
      <c r="G47" s="805"/>
      <c r="I47" s="64"/>
      <c r="J47" s="64"/>
    </row>
    <row r="48" spans="1:10" ht="45.9" customHeight="1">
      <c r="A48" s="803" t="s">
        <v>198</v>
      </c>
      <c r="B48" s="813" t="s">
        <v>32</v>
      </c>
      <c r="C48" s="805" t="str">
        <f>IF(B59="","",INDEX(NXchung!$B$3:$EP$57,MATCH(B59,NXchung!$B$3:$B$57,0),INDEX($K$12:$N$25,MATCH($B48,$J$12:$J$25,0),K$11)))</f>
        <v/>
      </c>
      <c r="D48" s="808" t="str">
        <f>IF(B59="","",INDEX(NXchung!$B$3:$EP$57,MATCH(B59,NXchung!$B$3:$B$57,0),INDEX($K$12:$N$25,MATCH($B48,$J$12:$J$25,0),L$11)))</f>
        <v/>
      </c>
      <c r="E48" s="805" t="str">
        <f>IF(B59="","",INDEX(NXchung!$B$3:$EP$57,MATCH(B59,NXchung!$B$3:$B$57,0),INDEX($K$12:$N$25,MATCH($B48,$J$12:$J$25,0),M$11)))</f>
        <v/>
      </c>
      <c r="F48" s="808" t="str">
        <f>IF(B59="","",INDEX(NXchung!$B$3:$EP$57,MATCH(B59,NXchung!$B$3:$B$57,0),INDEX($K$12:$N$25,MATCH($B48,$J$12:$J$25,0),N$11)))</f>
        <v/>
      </c>
      <c r="G48" s="805"/>
      <c r="I48" s="64"/>
      <c r="J48" s="64"/>
    </row>
    <row r="49" spans="1:10" ht="45.9" customHeight="1">
      <c r="A49" s="803" t="s">
        <v>199</v>
      </c>
      <c r="B49" s="813" t="s">
        <v>33</v>
      </c>
      <c r="C49" s="805" t="str">
        <f>IF(B59="","",INDEX(NXchung!$B$3:$EP$57,MATCH(B59,NXchung!$B$3:$B$57,0),INDEX($K$12:$N$25,MATCH($B49,$J$12:$J$25,0),K$11)))</f>
        <v/>
      </c>
      <c r="D49" s="808" t="str">
        <f>IF(B59="","",INDEX(NXchung!$B$3:$EP$57,MATCH(B59,NXchung!$B$3:$B$57,0),INDEX($K$12:$N$25,MATCH($B49,$J$12:$J$25,0),L$11)))</f>
        <v/>
      </c>
      <c r="E49" s="805" t="str">
        <f>IF(B59="","",INDEX(NXchung!$B$3:$EP$57,MATCH(B59,NXchung!$B$3:$B$57,0),INDEX($K$12:$N$25,MATCH($B49,$J$12:$J$25,0),M$11)))</f>
        <v/>
      </c>
      <c r="F49" s="808" t="str">
        <f>IF(B59="","",INDEX(NXchung!$B$3:$EP$57,MATCH(B59,NXchung!$B$3:$B$57,0),INDEX($K$12:$N$25,MATCH($B49,$J$12:$J$25,0),N$11)))</f>
        <v/>
      </c>
      <c r="G49" s="805"/>
      <c r="I49" s="64"/>
      <c r="J49" s="64"/>
    </row>
    <row r="50" spans="1:10" ht="45.9" customHeight="1">
      <c r="A50" s="803" t="s">
        <v>200</v>
      </c>
      <c r="B50" s="813" t="s">
        <v>60</v>
      </c>
      <c r="C50" s="805" t="str">
        <f>IF(B59="","",INDEX(NXchung!$B$3:$EP$57,MATCH(B59,NXchung!$B$3:$B$57,0),INDEX($K$12:$N$25,MATCH($B50,$J$12:$J$25,0),K$11)))</f>
        <v/>
      </c>
      <c r="D50" s="808" t="str">
        <f>IF(B59="","",INDEX(NXchung!$B$3:$EP$57,MATCH(B59,NXchung!$B$3:$B$57,0),INDEX($K$12:$N$25,MATCH($B50,$J$12:$J$25,0),L$11)))</f>
        <v/>
      </c>
      <c r="E50" s="805" t="str">
        <f>IF(B59="","",INDEX(NXchung!$B$3:$EP$57,MATCH(B59,NXchung!$B$3:$B$57,0),INDEX($K$12:$N$25,MATCH($B50,$J$12:$J$25,0),M$11)))</f>
        <v/>
      </c>
      <c r="F50" s="808" t="str">
        <f>IF(B59="","",INDEX(NXchung!$B$3:$EP$57,MATCH(B59,NXchung!$B$3:$B$57,0),INDEX($K$12:$N$25,MATCH($B50,$J$12:$J$25,0),N$11)))</f>
        <v/>
      </c>
      <c r="G50" s="805"/>
      <c r="I50" s="64"/>
      <c r="J50" s="64"/>
    </row>
    <row r="51" spans="1:10" ht="45.9" customHeight="1">
      <c r="A51" s="803" t="s">
        <v>201</v>
      </c>
      <c r="B51" s="813" t="s">
        <v>34</v>
      </c>
      <c r="C51" s="805" t="str">
        <f>IF(B59="","",INDEX(NXchung!$B$3:$EP$57,MATCH(B59,NXchung!$B$3:$B$57,0),INDEX($K$12:$N$25,MATCH($B51,$J$12:$J$25,0),K$11)))</f>
        <v/>
      </c>
      <c r="D51" s="808" t="str">
        <f>IF(B59="","",INDEX(NXchung!$B$3:$EP$57,MATCH(B59,NXchung!$B$3:$B$57,0),INDEX($K$12:$N$25,MATCH($B51,$J$12:$J$25,0),L$11)))</f>
        <v/>
      </c>
      <c r="E51" s="805" t="str">
        <f>IF(B59="","",INDEX(NXchung!$B$3:$EP$57,MATCH(B59,NXchung!$B$3:$B$57,0),INDEX($K$12:$N$25,MATCH($B51,$J$12:$J$25,0),M$11)))</f>
        <v/>
      </c>
      <c r="F51" s="808" t="str">
        <f>IF(B59="","",INDEX(NXchung!$B$3:$EP$57,MATCH(B59,NXchung!$B$3:$B$57,0),INDEX($K$12:$N$25,MATCH($B51,$J$12:$J$25,0),N$11)))</f>
        <v/>
      </c>
      <c r="G51" s="805"/>
      <c r="I51" s="64"/>
      <c r="J51" s="64"/>
    </row>
    <row r="52" spans="1:10" ht="45.9" customHeight="1">
      <c r="A52" s="803" t="s">
        <v>202</v>
      </c>
      <c r="B52" s="813" t="s">
        <v>35</v>
      </c>
      <c r="C52" s="805" t="str">
        <f>IF(B59="","",INDEX(NXchung!$B$3:$EP$57,MATCH(B59,NXchung!$B$3:$B$57,0),INDEX($K$12:$N$25,MATCH($B52,$J$12:$J$25,0),K$11)))</f>
        <v/>
      </c>
      <c r="D52" s="808" t="str">
        <f>IF(B59="","",INDEX(NXchung!$B$3:$EP$57,MATCH(B59,NXchung!$B$3:$B$57,0),INDEX($K$12:$N$25,MATCH($B52,$J$12:$J$25,0),L$11)))</f>
        <v/>
      </c>
      <c r="E52" s="805" t="str">
        <f>IF(B59="","",INDEX(NXchung!$B$3:$EP$57,MATCH(B59,NXchung!$B$3:$B$57,0),INDEX($K$12:$N$25,MATCH($B52,$J$12:$J$25,0),M$11)))</f>
        <v>Đ</v>
      </c>
      <c r="F52" s="808" t="str">
        <f>IF(B59="","",INDEX(NXchung!$B$3:$EP$57,MATCH(B59,NXchung!$B$3:$B$57,0),INDEX($K$12:$N$25,MATCH($B52,$J$12:$J$25,0),N$11)))</f>
        <v>Chăm chỉ, cố gắng, rất ngoan.</v>
      </c>
      <c r="G52" s="805"/>
      <c r="I52" s="64"/>
      <c r="J52" s="64"/>
    </row>
    <row r="53" spans="1:10" ht="45.9" customHeight="1">
      <c r="A53" s="803" t="s">
        <v>203</v>
      </c>
      <c r="B53" s="813" t="s">
        <v>121</v>
      </c>
      <c r="C53" s="805" t="str">
        <f>IF(B59="","",INDEX(NXchung!$B$3:$EP$57,MATCH(B59,NXchung!$B$3:$B$57,0),INDEX($K$12:$N$25,MATCH($B53,$J$12:$J$25,0),K$11)))</f>
        <v/>
      </c>
      <c r="D53" s="808" t="str">
        <f>IF(B59="","",INDEX(NXchung!$B$3:$EP$57,MATCH(B59,NXchung!$B$3:$B$57,0),INDEX($K$12:$N$25,MATCH($B53,$J$12:$J$25,0),L$11)))</f>
        <v/>
      </c>
      <c r="E53" s="805" t="str">
        <f>IF(B59="","",INDEX(NXchung!$B$3:$EP$57,MATCH(B59,NXchung!$B$3:$B$57,0),INDEX($K$12:$N$25,MATCH($B53,$J$12:$J$25,0),M$11)))</f>
        <v/>
      </c>
      <c r="F53" s="808" t="str">
        <f>IF(B59="","",INDEX(NXchung!$B$3:$EP$57,MATCH(B59,NXchung!$B$3:$B$57,0),INDEX($K$12:$N$25,MATCH($B53,$J$12:$J$25,0),N$11)))</f>
        <v/>
      </c>
      <c r="G53" s="805"/>
      <c r="I53" s="64"/>
      <c r="J53" s="64"/>
    </row>
    <row r="54" spans="1:10" ht="45.9" customHeight="1">
      <c r="A54" s="803" t="s">
        <v>204</v>
      </c>
      <c r="B54" s="813" t="s">
        <v>122</v>
      </c>
      <c r="C54" s="805" t="str">
        <f>IF(B59="","",INDEX(NXchung!$B$3:$EP$57,MATCH(B59,NXchung!$B$3:$B$57,0),INDEX($K$12:$N$25,MATCH($B54,$J$12:$J$25,0),K$11)))</f>
        <v/>
      </c>
      <c r="D54" s="808" t="str">
        <f>IF(B59="","",INDEX(NXchung!$B$3:$EP$57,MATCH(B59,NXchung!$B$3:$B$57,0),INDEX($K$12:$N$25,MATCH($B54,$J$12:$J$25,0),L$11)))</f>
        <v/>
      </c>
      <c r="E54" s="805" t="str">
        <f>IF(B59="","",INDEX(NXchung!$B$3:$EP$57,MATCH(B59,NXchung!$B$3:$B$57,0),INDEX($K$12:$N$25,MATCH($B54,$J$12:$J$25,0),M$11)))</f>
        <v/>
      </c>
      <c r="F54" s="808" t="str">
        <f>IF(B59="","",INDEX(NXchung!$B$3:$EP$57,MATCH(B59,NXchung!$B$3:$B$57,0),INDEX($K$12:$N$25,MATCH($B54,$J$12:$J$25,0),N$11)))</f>
        <v/>
      </c>
      <c r="G54" s="805"/>
      <c r="I54" s="64"/>
      <c r="J54" s="64"/>
    </row>
    <row r="55" spans="1:10" s="60" customFormat="1" ht="6" customHeight="1">
      <c r="A55" s="67"/>
      <c r="B55" s="67"/>
      <c r="C55" s="475"/>
      <c r="D55" s="475"/>
      <c r="E55" s="67"/>
      <c r="F55" s="67"/>
      <c r="G55" s="67"/>
    </row>
    <row r="56" spans="1:10" ht="17.25" customHeight="1">
      <c r="D56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56" s="1163"/>
      <c r="F56" s="1163"/>
      <c r="G56" s="1163"/>
      <c r="H56" s="814"/>
    </row>
    <row r="57" spans="1:10" ht="16.5" customHeight="1">
      <c r="D57" s="992" t="s">
        <v>377</v>
      </c>
      <c r="E57" s="992"/>
      <c r="F57" s="992"/>
      <c r="G57" s="992"/>
      <c r="H57" s="814"/>
    </row>
    <row r="58" spans="1:10" ht="81.75" customHeight="1">
      <c r="D58" s="931" t="str">
        <f>IF('Huong dan'!$E$5="","",'Huong dan'!$E$5)</f>
        <v/>
      </c>
      <c r="E58" s="931"/>
      <c r="F58" s="931"/>
      <c r="G58" s="931"/>
      <c r="H58" s="814"/>
    </row>
    <row r="59" spans="1:10" ht="11.25" customHeight="1">
      <c r="A59" s="75"/>
      <c r="B59" s="815">
        <f>IF(B30="","",IF(B30&lt;MAX(DiemHKII!$B$4:$B$58),B30+1,""))</f>
        <v>2</v>
      </c>
      <c r="C59" s="75"/>
      <c r="D59" s="75"/>
      <c r="E59" s="75"/>
      <c r="F59" s="75"/>
      <c r="G59" s="75"/>
    </row>
    <row r="60" spans="1:10" s="60" customFormat="1" ht="21" customHeight="1">
      <c r="A60" s="1128" t="str">
        <f>IF('Huong dan'!$E$3&lt;&gt;"","SỞ GIÁO DỤC VÀ ĐÀO TẠO "&amp;UPPER('Huong dan'!$E$3),"")</f>
        <v>SỞ GIÁO DỤC VÀ ĐÀO TẠO TP. HỒ CHÍ MINH</v>
      </c>
      <c r="B60" s="1128"/>
      <c r="C60" s="1128"/>
      <c r="D60" s="1128"/>
      <c r="E60" s="1129" t="s">
        <v>19</v>
      </c>
      <c r="F60" s="1129"/>
      <c r="G60" s="1129"/>
    </row>
    <row r="61" spans="1:10" ht="17.25" customHeight="1">
      <c r="A61" s="992" t="str">
        <f>IF('Huong dan'!$E$4&lt;&gt;"","TRƯỜNG "&amp;UPPER('Huong dan'!$E$4),"")</f>
        <v>TRƯỜNG THCS VÀ THPT NGUYỄN KHUYẾN</v>
      </c>
      <c r="B61" s="992"/>
      <c r="C61" s="992"/>
      <c r="D61" s="992"/>
      <c r="E61" s="1130" t="s">
        <v>179</v>
      </c>
      <c r="F61" s="1130"/>
      <c r="G61" s="1130"/>
    </row>
    <row r="62" spans="1:10" ht="15" customHeight="1">
      <c r="A62" s="69"/>
      <c r="B62" s="69"/>
      <c r="C62" s="30"/>
    </row>
    <row r="63" spans="1:10" ht="27.75" customHeight="1">
      <c r="A63" s="1013" t="s">
        <v>567</v>
      </c>
      <c r="B63" s="1013"/>
      <c r="C63" s="1013"/>
      <c r="D63" s="1013"/>
      <c r="E63" s="1013"/>
      <c r="F63" s="1013"/>
      <c r="G63" s="1013"/>
    </row>
    <row r="64" spans="1:10" ht="24" customHeight="1">
      <c r="A64" s="1013" t="str">
        <f>"HỌC KỲ II VÀ CẢ NĂM - NĂM HỌC "&amp;'Huong dan'!$C$5</f>
        <v>HỌC KỲ II VÀ CẢ NĂM - NĂM HỌC 2021 - 2022</v>
      </c>
      <c r="B64" s="1013"/>
      <c r="C64" s="1013"/>
      <c r="D64" s="1013"/>
      <c r="E64" s="1013"/>
      <c r="F64" s="1013"/>
      <c r="G64" s="1013"/>
    </row>
    <row r="65" spans="1:10" ht="9" customHeight="1">
      <c r="A65" s="70"/>
      <c r="B65" s="66"/>
      <c r="C65" s="66"/>
      <c r="D65" s="66"/>
      <c r="E65" s="66"/>
      <c r="F65" s="66"/>
      <c r="G65" s="66"/>
    </row>
    <row r="66" spans="1:10" ht="18.75" customHeight="1">
      <c r="A66" s="1167" t="s">
        <v>212</v>
      </c>
      <c r="B66" s="1167"/>
      <c r="C66" s="1167"/>
      <c r="D66" s="1167" t="str">
        <f>IF(B88="","",INDEX(NXchung!$B$3:$EP$57,MATCH(B88,NXchung!$B$3:$B$57,0),3)&amp;" "&amp;INDEX(NXchung!$B$3:$EP$57,MATCH(B88,NXchung!$B$3:$B$57,0),4))</f>
        <v>Lê Tuấn Anh</v>
      </c>
      <c r="E66" s="1167"/>
      <c r="F66" s="77" t="str">
        <f>IF('Huong dan'!$C$3="","","Lớp: "&amp;'Huong dan'!$C$3)</f>
        <v>Lớp: 12A1</v>
      </c>
      <c r="G66" s="71"/>
    </row>
    <row r="67" spans="1:10" ht="18.75" customHeight="1">
      <c r="A67" s="1168" t="s">
        <v>213</v>
      </c>
      <c r="B67" s="1168"/>
      <c r="C67" s="1168"/>
      <c r="D67" s="77" t="str">
        <f>INDEX(NXchung!$B$3:$EP$57,MATCH(B88,NXchung!$B$3:$B$57,0),5)</f>
        <v>20/10/2004</v>
      </c>
      <c r="F67" s="841" t="str">
        <f>IF(B88="","","Nơi sinh: "&amp;INDEX(DiemHKII!$H$4:$H$58,MATCH(B88,DiemHKII!$B$4:$B$58,0),1))</f>
        <v xml:space="preserve">Nơi sinh: </v>
      </c>
      <c r="G67" s="77"/>
    </row>
    <row r="68" spans="1:10" ht="9.75" customHeight="1">
      <c r="A68" s="62"/>
      <c r="B68" s="62"/>
      <c r="C68" s="62"/>
      <c r="D68" s="62"/>
      <c r="E68" s="62"/>
      <c r="F68" s="62"/>
      <c r="G68" s="63"/>
    </row>
    <row r="69" spans="1:10" ht="31.5" customHeight="1">
      <c r="A69" s="801" t="s">
        <v>0</v>
      </c>
      <c r="B69" s="801" t="s">
        <v>59</v>
      </c>
      <c r="C69" s="806" t="s">
        <v>661</v>
      </c>
      <c r="D69" s="801" t="s">
        <v>296</v>
      </c>
      <c r="E69" s="806" t="s">
        <v>662</v>
      </c>
      <c r="F69" s="801" t="s">
        <v>361</v>
      </c>
      <c r="G69" s="802" t="s">
        <v>569</v>
      </c>
    </row>
    <row r="70" spans="1:10" ht="45.9" customHeight="1">
      <c r="A70" s="803" t="s">
        <v>191</v>
      </c>
      <c r="B70" s="813" t="s">
        <v>26</v>
      </c>
      <c r="C70" s="805" t="str">
        <f>IF(B88="","",INDEX(NXchung!$B$3:$EP$57,MATCH(B88,NXchung!$B$3:$B$57,0),INDEX($K$12:$N$25,MATCH($B70,$J$12:$J$25,0),K$11)))</f>
        <v/>
      </c>
      <c r="D70" s="808" t="str">
        <f>IF(B88="","",INDEX(NXchung!$B$3:$EP$57,MATCH(B88,NXchung!$B$3:$B$57,0),INDEX($K$12:$N$25,MATCH($B70,$J$12:$J$25,0),L$11)))</f>
        <v/>
      </c>
      <c r="E70" s="805" t="str">
        <f>IF(B88="","",INDEX(NXchung!$B$3:$EP$57,MATCH(B88,NXchung!$B$3:$B$57,0),INDEX($K$12:$N$25,MATCH($B70,$J$12:$J$25,0),M$11)))</f>
        <v/>
      </c>
      <c r="F70" s="808" t="str">
        <f>IF(B88="","",INDEX(NXchung!$B$3:$EP$57,MATCH(B88,NXchung!$B$3:$B$57,0),INDEX($K$12:$N$25,MATCH($B70,$J$12:$J$25,0),N$11)))</f>
        <v/>
      </c>
      <c r="G70" s="805"/>
      <c r="I70" s="64"/>
      <c r="J70" s="64"/>
    </row>
    <row r="71" spans="1:10" ht="45.9" customHeight="1">
      <c r="A71" s="803" t="s">
        <v>192</v>
      </c>
      <c r="B71" s="813" t="s">
        <v>27</v>
      </c>
      <c r="C71" s="805" t="str">
        <f>IF(B88="","",INDEX(NXchung!$B$3:$EP$57,MATCH(B88,NXchung!$B$3:$B$57,0),INDEX($K$12:$N$25,MATCH($B71,$J$12:$J$25,0),K$11)))</f>
        <v/>
      </c>
      <c r="D71" s="808" t="str">
        <f>IF(B88="","",INDEX(NXchung!$B$3:$EP$57,MATCH(B88,NXchung!$B$3:$B$57,0),INDEX($K$12:$N$25,MATCH($B71,$J$12:$J$25,0),L$11)))</f>
        <v/>
      </c>
      <c r="E71" s="805" t="str">
        <f>IF(B88="","",INDEX(NXchung!$B$3:$EP$57,MATCH(B88,NXchung!$B$3:$B$57,0),INDEX($K$12:$N$25,MATCH($B71,$J$12:$J$25,0),M$11)))</f>
        <v/>
      </c>
      <c r="F71" s="808" t="str">
        <f>IF(B88="","",INDEX(NXchung!$B$3:$EP$57,MATCH(B88,NXchung!$B$3:$B$57,0),INDEX($K$12:$N$25,MATCH($B71,$J$12:$J$25,0),N$11)))</f>
        <v/>
      </c>
      <c r="G71" s="805"/>
      <c r="I71" s="64"/>
      <c r="J71" s="64"/>
    </row>
    <row r="72" spans="1:10" ht="45.9" customHeight="1">
      <c r="A72" s="803" t="s">
        <v>193</v>
      </c>
      <c r="B72" s="813" t="s">
        <v>28</v>
      </c>
      <c r="C72" s="805" t="str">
        <f>IF(B88="","",INDEX(NXchung!$B$3:$EP$57,MATCH(B88,NXchung!$B$3:$B$57,0),INDEX($K$12:$N$25,MATCH($B72,$J$12:$J$25,0),K$11)))</f>
        <v/>
      </c>
      <c r="D72" s="808" t="str">
        <f>IF(B88="","",INDEX(NXchung!$B$3:$EP$57,MATCH(B88,NXchung!$B$3:$B$57,0),INDEX($K$12:$N$25,MATCH($B72,$J$12:$J$25,0),L$11)))</f>
        <v/>
      </c>
      <c r="E72" s="805" t="str">
        <f>IF(B88="","",INDEX(NXchung!$B$3:$EP$57,MATCH(B88,NXchung!$B$3:$B$57,0),INDEX($K$12:$N$25,MATCH($B72,$J$12:$J$25,0),M$11)))</f>
        <v/>
      </c>
      <c r="F72" s="808" t="str">
        <f>IF(B88="","",INDEX(NXchung!$B$3:$EP$57,MATCH(B88,NXchung!$B$3:$B$57,0),INDEX($K$12:$N$25,MATCH($B72,$J$12:$J$25,0),N$11)))</f>
        <v/>
      </c>
      <c r="G72" s="805"/>
      <c r="I72" s="64"/>
      <c r="J72" s="64"/>
    </row>
    <row r="73" spans="1:10" ht="45.9" customHeight="1">
      <c r="A73" s="803" t="s">
        <v>194</v>
      </c>
      <c r="B73" s="813" t="s">
        <v>29</v>
      </c>
      <c r="C73" s="805" t="str">
        <f>IF(B88="","",INDEX(NXchung!$B$3:$EP$57,MATCH(B88,NXchung!$B$3:$B$57,0),INDEX($K$12:$N$25,MATCH($B73,$J$12:$J$25,0),K$11)))</f>
        <v/>
      </c>
      <c r="D73" s="808" t="str">
        <f>IF(B88="","",INDEX(NXchung!$B$3:$EP$57,MATCH(B88,NXchung!$B$3:$B$57,0),INDEX($K$12:$N$25,MATCH($B73,$J$12:$J$25,0),L$11)))</f>
        <v/>
      </c>
      <c r="E73" s="805" t="str">
        <f>IF(B88="","",INDEX(NXchung!$B$3:$EP$57,MATCH(B88,NXchung!$B$3:$B$57,0),INDEX($K$12:$N$25,MATCH($B73,$J$12:$J$25,0),M$11)))</f>
        <v/>
      </c>
      <c r="F73" s="808" t="str">
        <f>IF(B88="","",INDEX(NXchung!$B$3:$EP$57,MATCH(B88,NXchung!$B$3:$B$57,0),INDEX($K$12:$N$25,MATCH($B73,$J$12:$J$25,0),N$11)))</f>
        <v/>
      </c>
      <c r="G73" s="805"/>
      <c r="I73" s="64"/>
      <c r="J73" s="64"/>
    </row>
    <row r="74" spans="1:10" ht="45.9" customHeight="1">
      <c r="A74" s="803" t="s">
        <v>195</v>
      </c>
      <c r="B74" s="813" t="s">
        <v>120</v>
      </c>
      <c r="C74" s="805" t="str">
        <f>IF(B88="","",INDEX(NXchung!$B$3:$EP$57,MATCH(B88,NXchung!$B$3:$B$57,0),INDEX($K$12:$N$25,MATCH($B74,$J$12:$J$25,0),K$11)))</f>
        <v/>
      </c>
      <c r="D74" s="808" t="str">
        <f>IF(B88="","",INDEX(NXchung!$B$3:$EP$57,MATCH(B88,NXchung!$B$3:$B$57,0),INDEX($K$12:$N$25,MATCH($B74,$J$12:$J$25,0),L$11)))</f>
        <v/>
      </c>
      <c r="E74" s="805" t="str">
        <f>IF(B88="","",INDEX(NXchung!$B$3:$EP$57,MATCH(B88,NXchung!$B$3:$B$57,0),INDEX($K$12:$N$25,MATCH($B74,$J$12:$J$25,0),M$11)))</f>
        <v/>
      </c>
      <c r="F74" s="808" t="str">
        <f>IF(B88="","",INDEX(NXchung!$B$3:$EP$57,MATCH(B88,NXchung!$B$3:$B$57,0),INDEX($K$12:$N$25,MATCH($B74,$J$12:$J$25,0),N$11)))</f>
        <v/>
      </c>
      <c r="G74" s="805"/>
      <c r="I74" s="64"/>
      <c r="J74" s="64"/>
    </row>
    <row r="75" spans="1:10" ht="45.9" customHeight="1">
      <c r="A75" s="803" t="s">
        <v>196</v>
      </c>
      <c r="B75" s="813" t="s">
        <v>30</v>
      </c>
      <c r="C75" s="805" t="str">
        <f>IF(B88="","",INDEX(NXchung!$B$3:$EP$57,MATCH(B88,NXchung!$B$3:$B$57,0),INDEX($K$12:$N$25,MATCH($B75,$J$12:$J$25,0),K$11)))</f>
        <v/>
      </c>
      <c r="D75" s="808" t="str">
        <f>IF(B88="","",INDEX(NXchung!$B$3:$EP$57,MATCH(B88,NXchung!$B$3:$B$57,0),INDEX($K$12:$N$25,MATCH($B75,$J$12:$J$25,0),L$11)))</f>
        <v/>
      </c>
      <c r="E75" s="805" t="str">
        <f>IF(B88="","",INDEX(NXchung!$B$3:$EP$57,MATCH(B88,NXchung!$B$3:$B$57,0),INDEX($K$12:$N$25,MATCH($B75,$J$12:$J$25,0),M$11)))</f>
        <v/>
      </c>
      <c r="F75" s="808" t="str">
        <f>IF(B88="","",INDEX(NXchung!$B$3:$EP$57,MATCH(B88,NXchung!$B$3:$B$57,0),INDEX($K$12:$N$25,MATCH($B75,$J$12:$J$25,0),N$11)))</f>
        <v/>
      </c>
      <c r="G75" s="805"/>
      <c r="I75" s="64"/>
      <c r="J75" s="64"/>
    </row>
    <row r="76" spans="1:10" ht="45.9" customHeight="1">
      <c r="A76" s="803" t="s">
        <v>197</v>
      </c>
      <c r="B76" s="813" t="s">
        <v>31</v>
      </c>
      <c r="C76" s="805" t="str">
        <f>IF(B88="","",INDEX(NXchung!$B$3:$EP$57,MATCH(B88,NXchung!$B$3:$B$57,0),INDEX($K$12:$N$25,MATCH($B76,$J$12:$J$25,0),K$11)))</f>
        <v/>
      </c>
      <c r="D76" s="808" t="str">
        <f>IF(B88="","",INDEX(NXchung!$B$3:$EP$57,MATCH(B88,NXchung!$B$3:$B$57,0),INDEX($K$12:$N$25,MATCH($B76,$J$12:$J$25,0),L$11)))</f>
        <v/>
      </c>
      <c r="E76" s="805" t="str">
        <f>IF(B88="","",INDEX(NXchung!$B$3:$EP$57,MATCH(B88,NXchung!$B$3:$B$57,0),INDEX($K$12:$N$25,MATCH($B76,$J$12:$J$25,0),M$11)))</f>
        <v/>
      </c>
      <c r="F76" s="808" t="str">
        <f>IF(B88="","",INDEX(NXchung!$B$3:$EP$57,MATCH(B88,NXchung!$B$3:$B$57,0),INDEX($K$12:$N$25,MATCH($B76,$J$12:$J$25,0),N$11)))</f>
        <v/>
      </c>
      <c r="G76" s="805"/>
      <c r="I76" s="64"/>
      <c r="J76" s="64"/>
    </row>
    <row r="77" spans="1:10" ht="45.9" customHeight="1">
      <c r="A77" s="803" t="s">
        <v>198</v>
      </c>
      <c r="B77" s="813" t="s">
        <v>32</v>
      </c>
      <c r="C77" s="805" t="str">
        <f>IF(B88="","",INDEX(NXchung!$B$3:$EP$57,MATCH(B88,NXchung!$B$3:$B$57,0),INDEX($K$12:$N$25,MATCH($B77,$J$12:$J$25,0),K$11)))</f>
        <v/>
      </c>
      <c r="D77" s="808" t="str">
        <f>IF(B88="","",INDEX(NXchung!$B$3:$EP$57,MATCH(B88,NXchung!$B$3:$B$57,0),INDEX($K$12:$N$25,MATCH($B77,$J$12:$J$25,0),L$11)))</f>
        <v/>
      </c>
      <c r="E77" s="805" t="str">
        <f>IF(B88="","",INDEX(NXchung!$B$3:$EP$57,MATCH(B88,NXchung!$B$3:$B$57,0),INDEX($K$12:$N$25,MATCH($B77,$J$12:$J$25,0),M$11)))</f>
        <v/>
      </c>
      <c r="F77" s="808" t="str">
        <f>IF(B88="","",INDEX(NXchung!$B$3:$EP$57,MATCH(B88,NXchung!$B$3:$B$57,0),INDEX($K$12:$N$25,MATCH($B77,$J$12:$J$25,0),N$11)))</f>
        <v/>
      </c>
      <c r="G77" s="805"/>
      <c r="I77" s="64"/>
      <c r="J77" s="64"/>
    </row>
    <row r="78" spans="1:10" ht="45.9" customHeight="1">
      <c r="A78" s="803" t="s">
        <v>199</v>
      </c>
      <c r="B78" s="813" t="s">
        <v>33</v>
      </c>
      <c r="C78" s="805" t="str">
        <f>IF(B88="","",INDEX(NXchung!$B$3:$EP$57,MATCH(B88,NXchung!$B$3:$B$57,0),INDEX($K$12:$N$25,MATCH($B78,$J$12:$J$25,0),K$11)))</f>
        <v/>
      </c>
      <c r="D78" s="808" t="str">
        <f>IF(B88="","",INDEX(NXchung!$B$3:$EP$57,MATCH(B88,NXchung!$B$3:$B$57,0),INDEX($K$12:$N$25,MATCH($B78,$J$12:$J$25,0),L$11)))</f>
        <v/>
      </c>
      <c r="E78" s="805" t="str">
        <f>IF(B88="","",INDEX(NXchung!$B$3:$EP$57,MATCH(B88,NXchung!$B$3:$B$57,0),INDEX($K$12:$N$25,MATCH($B78,$J$12:$J$25,0),M$11)))</f>
        <v/>
      </c>
      <c r="F78" s="808" t="str">
        <f>IF(B88="","",INDEX(NXchung!$B$3:$EP$57,MATCH(B88,NXchung!$B$3:$B$57,0),INDEX($K$12:$N$25,MATCH($B78,$J$12:$J$25,0),N$11)))</f>
        <v/>
      </c>
      <c r="G78" s="805"/>
      <c r="I78" s="64"/>
      <c r="J78" s="64"/>
    </row>
    <row r="79" spans="1:10" ht="45.9" customHeight="1">
      <c r="A79" s="803" t="s">
        <v>200</v>
      </c>
      <c r="B79" s="813" t="s">
        <v>60</v>
      </c>
      <c r="C79" s="805" t="str">
        <f>IF(B88="","",INDEX(NXchung!$B$3:$EP$57,MATCH(B88,NXchung!$B$3:$B$57,0),INDEX($K$12:$N$25,MATCH($B79,$J$12:$J$25,0),K$11)))</f>
        <v/>
      </c>
      <c r="D79" s="808" t="str">
        <f>IF(B88="","",INDEX(NXchung!$B$3:$EP$57,MATCH(B88,NXchung!$B$3:$B$57,0),INDEX($K$12:$N$25,MATCH($B79,$J$12:$J$25,0),L$11)))</f>
        <v/>
      </c>
      <c r="E79" s="805" t="str">
        <f>IF(B88="","",INDEX(NXchung!$B$3:$EP$57,MATCH(B88,NXchung!$B$3:$B$57,0),INDEX($K$12:$N$25,MATCH($B79,$J$12:$J$25,0),M$11)))</f>
        <v/>
      </c>
      <c r="F79" s="808" t="str">
        <f>IF(B88="","",INDEX(NXchung!$B$3:$EP$57,MATCH(B88,NXchung!$B$3:$B$57,0),INDEX($K$12:$N$25,MATCH($B79,$J$12:$J$25,0),N$11)))</f>
        <v/>
      </c>
      <c r="G79" s="805"/>
      <c r="I79" s="64"/>
      <c r="J79" s="64"/>
    </row>
    <row r="80" spans="1:10" ht="45.9" customHeight="1">
      <c r="A80" s="803" t="s">
        <v>201</v>
      </c>
      <c r="B80" s="813" t="s">
        <v>34</v>
      </c>
      <c r="C80" s="805" t="str">
        <f>IF(B88="","",INDEX(NXchung!$B$3:$EP$57,MATCH(B88,NXchung!$B$3:$B$57,0),INDEX($K$12:$N$25,MATCH($B80,$J$12:$J$25,0),K$11)))</f>
        <v/>
      </c>
      <c r="D80" s="808" t="str">
        <f>IF(B88="","",INDEX(NXchung!$B$3:$EP$57,MATCH(B88,NXchung!$B$3:$B$57,0),INDEX($K$12:$N$25,MATCH($B80,$J$12:$J$25,0),L$11)))</f>
        <v/>
      </c>
      <c r="E80" s="805" t="str">
        <f>IF(B88="","",INDEX(NXchung!$B$3:$EP$57,MATCH(B88,NXchung!$B$3:$B$57,0),INDEX($K$12:$N$25,MATCH($B80,$J$12:$J$25,0),M$11)))</f>
        <v/>
      </c>
      <c r="F80" s="808" t="str">
        <f>IF(B88="","",INDEX(NXchung!$B$3:$EP$57,MATCH(B88,NXchung!$B$3:$B$57,0),INDEX($K$12:$N$25,MATCH($B80,$J$12:$J$25,0),N$11)))</f>
        <v/>
      </c>
      <c r="G80" s="805"/>
      <c r="I80" s="64"/>
      <c r="J80" s="64"/>
    </row>
    <row r="81" spans="1:10" ht="45.9" customHeight="1">
      <c r="A81" s="803" t="s">
        <v>202</v>
      </c>
      <c r="B81" s="813" t="s">
        <v>35</v>
      </c>
      <c r="C81" s="805" t="str">
        <f>IF(B88="","",INDEX(NXchung!$B$3:$EP$57,MATCH(B88,NXchung!$B$3:$B$57,0),INDEX($K$12:$N$25,MATCH($B81,$J$12:$J$25,0),K$11)))</f>
        <v/>
      </c>
      <c r="D81" s="808" t="str">
        <f>IF(B88="","",INDEX(NXchung!$B$3:$EP$57,MATCH(B88,NXchung!$B$3:$B$57,0),INDEX($K$12:$N$25,MATCH($B81,$J$12:$J$25,0),L$11)))</f>
        <v/>
      </c>
      <c r="E81" s="805" t="str">
        <f>IF(B88="","",INDEX(NXchung!$B$3:$EP$57,MATCH(B88,NXchung!$B$3:$B$57,0),INDEX($K$12:$N$25,MATCH($B81,$J$12:$J$25,0),M$11)))</f>
        <v>Đ</v>
      </c>
      <c r="F81" s="808" t="str">
        <f>IF(B88="","",INDEX(NXchung!$B$3:$EP$57,MATCH(B88,NXchung!$B$3:$B$57,0),INDEX($K$12:$N$25,MATCH($B81,$J$12:$J$25,0),N$11)))</f>
        <v>Giỏi, có nhiều tiến bộ trong học tập.</v>
      </c>
      <c r="G81" s="805"/>
      <c r="I81" s="64"/>
      <c r="J81" s="64"/>
    </row>
    <row r="82" spans="1:10" ht="45.9" customHeight="1">
      <c r="A82" s="803" t="s">
        <v>203</v>
      </c>
      <c r="B82" s="813" t="s">
        <v>121</v>
      </c>
      <c r="C82" s="805" t="str">
        <f>IF(B88="","",INDEX(NXchung!$B$3:$EP$57,MATCH(B88,NXchung!$B$3:$B$57,0),INDEX($K$12:$N$25,MATCH($B82,$J$12:$J$25,0),K$11)))</f>
        <v/>
      </c>
      <c r="D82" s="808" t="str">
        <f>IF(B88="","",INDEX(NXchung!$B$3:$EP$57,MATCH(B88,NXchung!$B$3:$B$57,0),INDEX($K$12:$N$25,MATCH($B82,$J$12:$J$25,0),L$11)))</f>
        <v/>
      </c>
      <c r="E82" s="805" t="str">
        <f>IF(B88="","",INDEX(NXchung!$B$3:$EP$57,MATCH(B88,NXchung!$B$3:$B$57,0),INDEX($K$12:$N$25,MATCH($B82,$J$12:$J$25,0),M$11)))</f>
        <v/>
      </c>
      <c r="F82" s="808" t="str">
        <f>IF(B88="","",INDEX(NXchung!$B$3:$EP$57,MATCH(B88,NXchung!$B$3:$B$57,0),INDEX($K$12:$N$25,MATCH($B82,$J$12:$J$25,0),N$11)))</f>
        <v/>
      </c>
      <c r="G82" s="805"/>
      <c r="I82" s="64"/>
      <c r="J82" s="64"/>
    </row>
    <row r="83" spans="1:10" ht="45.9" customHeight="1">
      <c r="A83" s="803" t="s">
        <v>204</v>
      </c>
      <c r="B83" s="813" t="s">
        <v>122</v>
      </c>
      <c r="C83" s="805" t="str">
        <f>IF(B88="","",INDEX(NXchung!$B$3:$EP$57,MATCH(B88,NXchung!$B$3:$B$57,0),INDEX($K$12:$N$25,MATCH($B83,$J$12:$J$25,0),K$11)))</f>
        <v/>
      </c>
      <c r="D83" s="808" t="str">
        <f>IF(B88="","",INDEX(NXchung!$B$3:$EP$57,MATCH(B88,NXchung!$B$3:$B$57,0),INDEX($K$12:$N$25,MATCH($B83,$J$12:$J$25,0),L$11)))</f>
        <v/>
      </c>
      <c r="E83" s="805" t="str">
        <f>IF(B88="","",INDEX(NXchung!$B$3:$EP$57,MATCH(B88,NXchung!$B$3:$B$57,0),INDEX($K$12:$N$25,MATCH($B83,$J$12:$J$25,0),M$11)))</f>
        <v/>
      </c>
      <c r="F83" s="808" t="str">
        <f>IF(B88="","",INDEX(NXchung!$B$3:$EP$57,MATCH(B88,NXchung!$B$3:$B$57,0),INDEX($K$12:$N$25,MATCH($B83,$J$12:$J$25,0),N$11)))</f>
        <v/>
      </c>
      <c r="G83" s="805"/>
      <c r="I83" s="64"/>
      <c r="J83" s="64"/>
    </row>
    <row r="84" spans="1:10" s="60" customFormat="1" ht="6" customHeight="1">
      <c r="A84" s="67"/>
      <c r="B84" s="67"/>
      <c r="C84" s="475"/>
      <c r="D84" s="475"/>
      <c r="E84" s="67"/>
      <c r="F84" s="67"/>
      <c r="G84" s="67"/>
    </row>
    <row r="85" spans="1:10" ht="17.25" customHeight="1">
      <c r="D85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85" s="1163"/>
      <c r="F85" s="1163"/>
      <c r="G85" s="1163"/>
      <c r="H85" s="814"/>
    </row>
    <row r="86" spans="1:10" ht="16.5" customHeight="1">
      <c r="D86" s="992" t="s">
        <v>377</v>
      </c>
      <c r="E86" s="992"/>
      <c r="F86" s="992"/>
      <c r="G86" s="992"/>
      <c r="H86" s="814"/>
    </row>
    <row r="87" spans="1:10" ht="81.75" customHeight="1">
      <c r="D87" s="931" t="str">
        <f>IF('Huong dan'!$E$5="","",'Huong dan'!$E$5)</f>
        <v/>
      </c>
      <c r="E87" s="931"/>
      <c r="F87" s="931"/>
      <c r="G87" s="931"/>
      <c r="H87" s="814"/>
    </row>
    <row r="88" spans="1:10" ht="11.25" customHeight="1">
      <c r="A88" s="75"/>
      <c r="B88" s="815">
        <f>IF(B59="","",IF(B59&lt;MAX(DiemHKII!$B$4:$B$58),B59+1,""))</f>
        <v>3</v>
      </c>
      <c r="C88" s="75"/>
      <c r="D88" s="75"/>
      <c r="E88" s="75"/>
      <c r="F88" s="75"/>
      <c r="G88" s="75"/>
    </row>
    <row r="89" spans="1:10" s="60" customFormat="1" ht="21" customHeight="1">
      <c r="A89" s="1128" t="str">
        <f>IF('Huong dan'!$E$3&lt;&gt;"","SỞ GIÁO DỤC VÀ ĐÀO TẠO "&amp;UPPER('Huong dan'!$E$3),"")</f>
        <v>SỞ GIÁO DỤC VÀ ĐÀO TẠO TP. HỒ CHÍ MINH</v>
      </c>
      <c r="B89" s="1128"/>
      <c r="C89" s="1128"/>
      <c r="D89" s="1128"/>
      <c r="E89" s="1129" t="s">
        <v>19</v>
      </c>
      <c r="F89" s="1129"/>
      <c r="G89" s="1129"/>
    </row>
    <row r="90" spans="1:10" ht="17.25" customHeight="1">
      <c r="A90" s="992" t="str">
        <f>IF('Huong dan'!$E$4&lt;&gt;"","TRƯỜNG "&amp;UPPER('Huong dan'!$E$4),"")</f>
        <v>TRƯỜNG THCS VÀ THPT NGUYỄN KHUYẾN</v>
      </c>
      <c r="B90" s="992"/>
      <c r="C90" s="992"/>
      <c r="D90" s="992"/>
      <c r="E90" s="1130" t="s">
        <v>179</v>
      </c>
      <c r="F90" s="1130"/>
      <c r="G90" s="1130"/>
    </row>
    <row r="91" spans="1:10" ht="15" customHeight="1">
      <c r="A91" s="69"/>
      <c r="B91" s="69"/>
      <c r="C91" s="30"/>
    </row>
    <row r="92" spans="1:10" ht="27.75" customHeight="1">
      <c r="A92" s="1013" t="s">
        <v>567</v>
      </c>
      <c r="B92" s="1013"/>
      <c r="C92" s="1013"/>
      <c r="D92" s="1013"/>
      <c r="E92" s="1013"/>
      <c r="F92" s="1013"/>
      <c r="G92" s="1013"/>
    </row>
    <row r="93" spans="1:10" ht="24" customHeight="1">
      <c r="A93" s="1013" t="str">
        <f>"HỌC KỲ II VÀ CẢ NĂM - NĂM HỌC "&amp;'Huong dan'!$C$5</f>
        <v>HỌC KỲ II VÀ CẢ NĂM - NĂM HỌC 2021 - 2022</v>
      </c>
      <c r="B93" s="1013"/>
      <c r="C93" s="1013"/>
      <c r="D93" s="1013"/>
      <c r="E93" s="1013"/>
      <c r="F93" s="1013"/>
      <c r="G93" s="1013"/>
    </row>
    <row r="94" spans="1:10" ht="9" customHeight="1">
      <c r="A94" s="70"/>
      <c r="B94" s="66"/>
      <c r="C94" s="66"/>
      <c r="D94" s="66"/>
      <c r="E94" s="66"/>
      <c r="F94" s="66"/>
      <c r="G94" s="66"/>
    </row>
    <row r="95" spans="1:10" ht="18.75" customHeight="1">
      <c r="A95" s="1167" t="s">
        <v>212</v>
      </c>
      <c r="B95" s="1167"/>
      <c r="C95" s="1167"/>
      <c r="D95" s="1167" t="str">
        <f>IF(B117="","",INDEX(NXchung!$B$3:$EP$57,MATCH(B117,NXchung!$B$3:$B$57,0),3)&amp;" "&amp;INDEX(NXchung!$B$3:$EP$57,MATCH(B117,NXchung!$B$3:$B$57,0),4))</f>
        <v>Nguyễn Quách Mai Anh</v>
      </c>
      <c r="E95" s="1167"/>
      <c r="F95" s="77" t="str">
        <f>IF('Huong dan'!$C$3="","","Lớp: "&amp;'Huong dan'!$C$3)</f>
        <v>Lớp: 12A1</v>
      </c>
      <c r="G95" s="71"/>
    </row>
    <row r="96" spans="1:10" ht="18.75" customHeight="1">
      <c r="A96" s="1168" t="s">
        <v>213</v>
      </c>
      <c r="B96" s="1168"/>
      <c r="C96" s="1168"/>
      <c r="D96" s="77" t="str">
        <f>INDEX(NXchung!$B$3:$EP$57,MATCH(B117,NXchung!$B$3:$B$57,0),5)</f>
        <v>12/05/2004</v>
      </c>
      <c r="F96" s="841" t="str">
        <f>IF(B117="","","Nơi sinh: "&amp;INDEX(DiemHKII!$H$4:$H$58,MATCH(B117,DiemHKII!$B$4:$B$58,0),1))</f>
        <v xml:space="preserve">Nơi sinh: </v>
      </c>
      <c r="G96" s="77"/>
    </row>
    <row r="97" spans="1:10" ht="9.75" customHeight="1">
      <c r="A97" s="62"/>
      <c r="B97" s="62"/>
      <c r="C97" s="62"/>
      <c r="D97" s="62"/>
      <c r="E97" s="62"/>
      <c r="F97" s="62"/>
      <c r="G97" s="63"/>
    </row>
    <row r="98" spans="1:10" ht="31.5" customHeight="1">
      <c r="A98" s="801" t="s">
        <v>0</v>
      </c>
      <c r="B98" s="801" t="s">
        <v>59</v>
      </c>
      <c r="C98" s="806" t="s">
        <v>661</v>
      </c>
      <c r="D98" s="801" t="s">
        <v>296</v>
      </c>
      <c r="E98" s="806" t="s">
        <v>662</v>
      </c>
      <c r="F98" s="801" t="s">
        <v>361</v>
      </c>
      <c r="G98" s="802" t="s">
        <v>569</v>
      </c>
    </row>
    <row r="99" spans="1:10" ht="45.9" customHeight="1">
      <c r="A99" s="803" t="s">
        <v>191</v>
      </c>
      <c r="B99" s="813" t="s">
        <v>26</v>
      </c>
      <c r="C99" s="805" t="str">
        <f>IF(B117="","",INDEX(NXchung!$B$3:$EP$57,MATCH(B117,NXchung!$B$3:$B$57,0),INDEX($K$12:$N$25,MATCH($B99,$J$12:$J$25,0),K$11)))</f>
        <v/>
      </c>
      <c r="D99" s="808" t="str">
        <f>IF(B117="","",INDEX(NXchung!$B$3:$EP$57,MATCH(B117,NXchung!$B$3:$B$57,0),INDEX($K$12:$N$25,MATCH($B99,$J$12:$J$25,0),L$11)))</f>
        <v/>
      </c>
      <c r="E99" s="805" t="str">
        <f>IF(B117="","",INDEX(NXchung!$B$3:$EP$57,MATCH(B117,NXchung!$B$3:$B$57,0),INDEX($K$12:$N$25,MATCH($B99,$J$12:$J$25,0),M$11)))</f>
        <v/>
      </c>
      <c r="F99" s="808" t="str">
        <f>IF(B117="","",INDEX(NXchung!$B$3:$EP$57,MATCH(B117,NXchung!$B$3:$B$57,0),INDEX($K$12:$N$25,MATCH($B99,$J$12:$J$25,0),N$11)))</f>
        <v/>
      </c>
      <c r="G99" s="805"/>
      <c r="I99" s="64"/>
      <c r="J99" s="64"/>
    </row>
    <row r="100" spans="1:10" ht="45.9" customHeight="1">
      <c r="A100" s="803" t="s">
        <v>192</v>
      </c>
      <c r="B100" s="813" t="s">
        <v>27</v>
      </c>
      <c r="C100" s="805" t="str">
        <f>IF(B117="","",INDEX(NXchung!$B$3:$EP$57,MATCH(B117,NXchung!$B$3:$B$57,0),INDEX($K$12:$N$25,MATCH($B100,$J$12:$J$25,0),K$11)))</f>
        <v/>
      </c>
      <c r="D100" s="808" t="str">
        <f>IF(B117="","",INDEX(NXchung!$B$3:$EP$57,MATCH(B117,NXchung!$B$3:$B$57,0),INDEX($K$12:$N$25,MATCH($B100,$J$12:$J$25,0),L$11)))</f>
        <v/>
      </c>
      <c r="E100" s="805" t="str">
        <f>IF(B117="","",INDEX(NXchung!$B$3:$EP$57,MATCH(B117,NXchung!$B$3:$B$57,0),INDEX($K$12:$N$25,MATCH($B100,$J$12:$J$25,0),M$11)))</f>
        <v/>
      </c>
      <c r="F100" s="808" t="str">
        <f>IF(B117="","",INDEX(NXchung!$B$3:$EP$57,MATCH(B117,NXchung!$B$3:$B$57,0),INDEX($K$12:$N$25,MATCH($B100,$J$12:$J$25,0),N$11)))</f>
        <v/>
      </c>
      <c r="G100" s="805"/>
      <c r="I100" s="64"/>
      <c r="J100" s="64"/>
    </row>
    <row r="101" spans="1:10" ht="45.9" customHeight="1">
      <c r="A101" s="803" t="s">
        <v>193</v>
      </c>
      <c r="B101" s="813" t="s">
        <v>28</v>
      </c>
      <c r="C101" s="805" t="str">
        <f>IF(B117="","",INDEX(NXchung!$B$3:$EP$57,MATCH(B117,NXchung!$B$3:$B$57,0),INDEX($K$12:$N$25,MATCH($B101,$J$12:$J$25,0),K$11)))</f>
        <v/>
      </c>
      <c r="D101" s="808" t="str">
        <f>IF(B117="","",INDEX(NXchung!$B$3:$EP$57,MATCH(B117,NXchung!$B$3:$B$57,0),INDEX($K$12:$N$25,MATCH($B101,$J$12:$J$25,0),L$11)))</f>
        <v/>
      </c>
      <c r="E101" s="805" t="str">
        <f>IF(B117="","",INDEX(NXchung!$B$3:$EP$57,MATCH(B117,NXchung!$B$3:$B$57,0),INDEX($K$12:$N$25,MATCH($B101,$J$12:$J$25,0),M$11)))</f>
        <v/>
      </c>
      <c r="F101" s="808" t="str">
        <f>IF(B117="","",INDEX(NXchung!$B$3:$EP$57,MATCH(B117,NXchung!$B$3:$B$57,0),INDEX($K$12:$N$25,MATCH($B101,$J$12:$J$25,0),N$11)))</f>
        <v/>
      </c>
      <c r="G101" s="805"/>
      <c r="I101" s="64"/>
      <c r="J101" s="64"/>
    </row>
    <row r="102" spans="1:10" ht="45.9" customHeight="1">
      <c r="A102" s="803" t="s">
        <v>194</v>
      </c>
      <c r="B102" s="813" t="s">
        <v>29</v>
      </c>
      <c r="C102" s="805" t="str">
        <f>IF(B117="","",INDEX(NXchung!$B$3:$EP$57,MATCH(B117,NXchung!$B$3:$B$57,0),INDEX($K$12:$N$25,MATCH($B102,$J$12:$J$25,0),K$11)))</f>
        <v/>
      </c>
      <c r="D102" s="808" t="str">
        <f>IF(B117="","",INDEX(NXchung!$B$3:$EP$57,MATCH(B117,NXchung!$B$3:$B$57,0),INDEX($K$12:$N$25,MATCH($B102,$J$12:$J$25,0),L$11)))</f>
        <v/>
      </c>
      <c r="E102" s="805" t="str">
        <f>IF(B117="","",INDEX(NXchung!$B$3:$EP$57,MATCH(B117,NXchung!$B$3:$B$57,0),INDEX($K$12:$N$25,MATCH($B102,$J$12:$J$25,0),M$11)))</f>
        <v/>
      </c>
      <c r="F102" s="808" t="str">
        <f>IF(B117="","",INDEX(NXchung!$B$3:$EP$57,MATCH(B117,NXchung!$B$3:$B$57,0),INDEX($K$12:$N$25,MATCH($B102,$J$12:$J$25,0),N$11)))</f>
        <v/>
      </c>
      <c r="G102" s="805"/>
      <c r="I102" s="64"/>
      <c r="J102" s="64"/>
    </row>
    <row r="103" spans="1:10" ht="45.9" customHeight="1">
      <c r="A103" s="803" t="s">
        <v>195</v>
      </c>
      <c r="B103" s="813" t="s">
        <v>120</v>
      </c>
      <c r="C103" s="805" t="str">
        <f>IF(B117="","",INDEX(NXchung!$B$3:$EP$57,MATCH(B117,NXchung!$B$3:$B$57,0),INDEX($K$12:$N$25,MATCH($B103,$J$12:$J$25,0),K$11)))</f>
        <v/>
      </c>
      <c r="D103" s="808" t="str">
        <f>IF(B117="","",INDEX(NXchung!$B$3:$EP$57,MATCH(B117,NXchung!$B$3:$B$57,0),INDEX($K$12:$N$25,MATCH($B103,$J$12:$J$25,0),L$11)))</f>
        <v/>
      </c>
      <c r="E103" s="805" t="str">
        <f>IF(B117="","",INDEX(NXchung!$B$3:$EP$57,MATCH(B117,NXchung!$B$3:$B$57,0),INDEX($K$12:$N$25,MATCH($B103,$J$12:$J$25,0),M$11)))</f>
        <v/>
      </c>
      <c r="F103" s="808" t="str">
        <f>IF(B117="","",INDEX(NXchung!$B$3:$EP$57,MATCH(B117,NXchung!$B$3:$B$57,0),INDEX($K$12:$N$25,MATCH($B103,$J$12:$J$25,0),N$11)))</f>
        <v/>
      </c>
      <c r="G103" s="805"/>
      <c r="I103" s="64"/>
      <c r="J103" s="64"/>
    </row>
    <row r="104" spans="1:10" ht="45.9" customHeight="1">
      <c r="A104" s="803" t="s">
        <v>196</v>
      </c>
      <c r="B104" s="813" t="s">
        <v>30</v>
      </c>
      <c r="C104" s="805" t="str">
        <f>IF(B117="","",INDEX(NXchung!$B$3:$EP$57,MATCH(B117,NXchung!$B$3:$B$57,0),INDEX($K$12:$N$25,MATCH($B104,$J$12:$J$25,0),K$11)))</f>
        <v/>
      </c>
      <c r="D104" s="808" t="str">
        <f>IF(B117="","",INDEX(NXchung!$B$3:$EP$57,MATCH(B117,NXchung!$B$3:$B$57,0),INDEX($K$12:$N$25,MATCH($B104,$J$12:$J$25,0),L$11)))</f>
        <v/>
      </c>
      <c r="E104" s="805" t="str">
        <f>IF(B117="","",INDEX(NXchung!$B$3:$EP$57,MATCH(B117,NXchung!$B$3:$B$57,0),INDEX($K$12:$N$25,MATCH($B104,$J$12:$J$25,0),M$11)))</f>
        <v/>
      </c>
      <c r="F104" s="808" t="str">
        <f>IF(B117="","",INDEX(NXchung!$B$3:$EP$57,MATCH(B117,NXchung!$B$3:$B$57,0),INDEX($K$12:$N$25,MATCH($B104,$J$12:$J$25,0),N$11)))</f>
        <v/>
      </c>
      <c r="G104" s="805"/>
      <c r="I104" s="64"/>
      <c r="J104" s="64"/>
    </row>
    <row r="105" spans="1:10" ht="45.9" customHeight="1">
      <c r="A105" s="803" t="s">
        <v>197</v>
      </c>
      <c r="B105" s="813" t="s">
        <v>31</v>
      </c>
      <c r="C105" s="805" t="str">
        <f>IF(B117="","",INDEX(NXchung!$B$3:$EP$57,MATCH(B117,NXchung!$B$3:$B$57,0),INDEX($K$12:$N$25,MATCH($B105,$J$12:$J$25,0),K$11)))</f>
        <v/>
      </c>
      <c r="D105" s="808" t="str">
        <f>IF(B117="","",INDEX(NXchung!$B$3:$EP$57,MATCH(B117,NXchung!$B$3:$B$57,0),INDEX($K$12:$N$25,MATCH($B105,$J$12:$J$25,0),L$11)))</f>
        <v/>
      </c>
      <c r="E105" s="805" t="str">
        <f>IF(B117="","",INDEX(NXchung!$B$3:$EP$57,MATCH(B117,NXchung!$B$3:$B$57,0),INDEX($K$12:$N$25,MATCH($B105,$J$12:$J$25,0),M$11)))</f>
        <v/>
      </c>
      <c r="F105" s="808" t="str">
        <f>IF(B117="","",INDEX(NXchung!$B$3:$EP$57,MATCH(B117,NXchung!$B$3:$B$57,0),INDEX($K$12:$N$25,MATCH($B105,$J$12:$J$25,0),N$11)))</f>
        <v/>
      </c>
      <c r="G105" s="805"/>
      <c r="I105" s="64"/>
      <c r="J105" s="64"/>
    </row>
    <row r="106" spans="1:10" ht="45.9" customHeight="1">
      <c r="A106" s="803" t="s">
        <v>198</v>
      </c>
      <c r="B106" s="813" t="s">
        <v>32</v>
      </c>
      <c r="C106" s="805" t="str">
        <f>IF(B117="","",INDEX(NXchung!$B$3:$EP$57,MATCH(B117,NXchung!$B$3:$B$57,0),INDEX($K$12:$N$25,MATCH($B106,$J$12:$J$25,0),K$11)))</f>
        <v/>
      </c>
      <c r="D106" s="808" t="str">
        <f>IF(B117="","",INDEX(NXchung!$B$3:$EP$57,MATCH(B117,NXchung!$B$3:$B$57,0),INDEX($K$12:$N$25,MATCH($B106,$J$12:$J$25,0),L$11)))</f>
        <v/>
      </c>
      <c r="E106" s="805" t="str">
        <f>IF(B117="","",INDEX(NXchung!$B$3:$EP$57,MATCH(B117,NXchung!$B$3:$B$57,0),INDEX($K$12:$N$25,MATCH($B106,$J$12:$J$25,0),M$11)))</f>
        <v/>
      </c>
      <c r="F106" s="808" t="str">
        <f>IF(B117="","",INDEX(NXchung!$B$3:$EP$57,MATCH(B117,NXchung!$B$3:$B$57,0),INDEX($K$12:$N$25,MATCH($B106,$J$12:$J$25,0),N$11)))</f>
        <v/>
      </c>
      <c r="G106" s="805"/>
      <c r="I106" s="64"/>
      <c r="J106" s="64"/>
    </row>
    <row r="107" spans="1:10" ht="45.9" customHeight="1">
      <c r="A107" s="803" t="s">
        <v>199</v>
      </c>
      <c r="B107" s="813" t="s">
        <v>33</v>
      </c>
      <c r="C107" s="805" t="str">
        <f>IF(B117="","",INDEX(NXchung!$B$3:$EP$57,MATCH(B117,NXchung!$B$3:$B$57,0),INDEX($K$12:$N$25,MATCH($B107,$J$12:$J$25,0),K$11)))</f>
        <v/>
      </c>
      <c r="D107" s="808" t="str">
        <f>IF(B117="","",INDEX(NXchung!$B$3:$EP$57,MATCH(B117,NXchung!$B$3:$B$57,0),INDEX($K$12:$N$25,MATCH($B107,$J$12:$J$25,0),L$11)))</f>
        <v/>
      </c>
      <c r="E107" s="805" t="str">
        <f>IF(B117="","",INDEX(NXchung!$B$3:$EP$57,MATCH(B117,NXchung!$B$3:$B$57,0),INDEX($K$12:$N$25,MATCH($B107,$J$12:$J$25,0),M$11)))</f>
        <v/>
      </c>
      <c r="F107" s="808" t="str">
        <f>IF(B117="","",INDEX(NXchung!$B$3:$EP$57,MATCH(B117,NXchung!$B$3:$B$57,0),INDEX($K$12:$N$25,MATCH($B107,$J$12:$J$25,0),N$11)))</f>
        <v/>
      </c>
      <c r="G107" s="805"/>
      <c r="I107" s="64"/>
      <c r="J107" s="64"/>
    </row>
    <row r="108" spans="1:10" ht="45.9" customHeight="1">
      <c r="A108" s="803" t="s">
        <v>200</v>
      </c>
      <c r="B108" s="813" t="s">
        <v>60</v>
      </c>
      <c r="C108" s="805" t="str">
        <f>IF(B117="","",INDEX(NXchung!$B$3:$EP$57,MATCH(B117,NXchung!$B$3:$B$57,0),INDEX($K$12:$N$25,MATCH($B108,$J$12:$J$25,0),K$11)))</f>
        <v/>
      </c>
      <c r="D108" s="808" t="str">
        <f>IF(B117="","",INDEX(NXchung!$B$3:$EP$57,MATCH(B117,NXchung!$B$3:$B$57,0),INDEX($K$12:$N$25,MATCH($B108,$J$12:$J$25,0),L$11)))</f>
        <v/>
      </c>
      <c r="E108" s="805" t="str">
        <f>IF(B117="","",INDEX(NXchung!$B$3:$EP$57,MATCH(B117,NXchung!$B$3:$B$57,0),INDEX($K$12:$N$25,MATCH($B108,$J$12:$J$25,0),M$11)))</f>
        <v/>
      </c>
      <c r="F108" s="808" t="str">
        <f>IF(B117="","",INDEX(NXchung!$B$3:$EP$57,MATCH(B117,NXchung!$B$3:$B$57,0),INDEX($K$12:$N$25,MATCH($B108,$J$12:$J$25,0),N$11)))</f>
        <v/>
      </c>
      <c r="G108" s="805"/>
      <c r="I108" s="64"/>
      <c r="J108" s="64"/>
    </row>
    <row r="109" spans="1:10" ht="45.9" customHeight="1">
      <c r="A109" s="803" t="s">
        <v>201</v>
      </c>
      <c r="B109" s="813" t="s">
        <v>34</v>
      </c>
      <c r="C109" s="805" t="str">
        <f>IF(B117="","",INDEX(NXchung!$B$3:$EP$57,MATCH(B117,NXchung!$B$3:$B$57,0),INDEX($K$12:$N$25,MATCH($B109,$J$12:$J$25,0),K$11)))</f>
        <v/>
      </c>
      <c r="D109" s="808" t="str">
        <f>IF(B117="","",INDEX(NXchung!$B$3:$EP$57,MATCH(B117,NXchung!$B$3:$B$57,0),INDEX($K$12:$N$25,MATCH($B109,$J$12:$J$25,0),L$11)))</f>
        <v/>
      </c>
      <c r="E109" s="805" t="str">
        <f>IF(B117="","",INDEX(NXchung!$B$3:$EP$57,MATCH(B117,NXchung!$B$3:$B$57,0),INDEX($K$12:$N$25,MATCH($B109,$J$12:$J$25,0),M$11)))</f>
        <v/>
      </c>
      <c r="F109" s="808" t="str">
        <f>IF(B117="","",INDEX(NXchung!$B$3:$EP$57,MATCH(B117,NXchung!$B$3:$B$57,0),INDEX($K$12:$N$25,MATCH($B109,$J$12:$J$25,0),N$11)))</f>
        <v/>
      </c>
      <c r="G109" s="805"/>
      <c r="I109" s="64"/>
      <c r="J109" s="64"/>
    </row>
    <row r="110" spans="1:10" ht="45.9" customHeight="1">
      <c r="A110" s="803" t="s">
        <v>202</v>
      </c>
      <c r="B110" s="813" t="s">
        <v>35</v>
      </c>
      <c r="C110" s="805" t="str">
        <f>IF(B117="","",INDEX(NXchung!$B$3:$EP$57,MATCH(B117,NXchung!$B$3:$B$57,0),INDEX($K$12:$N$25,MATCH($B110,$J$12:$J$25,0),K$11)))</f>
        <v/>
      </c>
      <c r="D110" s="808" t="str">
        <f>IF(B117="","",INDEX(NXchung!$B$3:$EP$57,MATCH(B117,NXchung!$B$3:$B$57,0),INDEX($K$12:$N$25,MATCH($B110,$J$12:$J$25,0),L$11)))</f>
        <v/>
      </c>
      <c r="E110" s="805" t="str">
        <f>IF(B117="","",INDEX(NXchung!$B$3:$EP$57,MATCH(B117,NXchung!$B$3:$B$57,0),INDEX($K$12:$N$25,MATCH($B110,$J$12:$J$25,0),M$11)))</f>
        <v>Đ</v>
      </c>
      <c r="F110" s="808" t="str">
        <f>IF(B117="","",INDEX(NXchung!$B$3:$EP$57,MATCH(B117,NXchung!$B$3:$B$57,0),INDEX($K$12:$N$25,MATCH($B110,$J$12:$J$25,0),N$11)))</f>
        <v>Rất ngoan, học có hiệu quả tốt.</v>
      </c>
      <c r="G110" s="805"/>
      <c r="I110" s="64"/>
      <c r="J110" s="64"/>
    </row>
    <row r="111" spans="1:10" ht="45.9" customHeight="1">
      <c r="A111" s="803" t="s">
        <v>203</v>
      </c>
      <c r="B111" s="813" t="s">
        <v>121</v>
      </c>
      <c r="C111" s="805" t="str">
        <f>IF(B117="","",INDEX(NXchung!$B$3:$EP$57,MATCH(B117,NXchung!$B$3:$B$57,0),INDEX($K$12:$N$25,MATCH($B111,$J$12:$J$25,0),K$11)))</f>
        <v/>
      </c>
      <c r="D111" s="808" t="str">
        <f>IF(B117="","",INDEX(NXchung!$B$3:$EP$57,MATCH(B117,NXchung!$B$3:$B$57,0),INDEX($K$12:$N$25,MATCH($B111,$J$12:$J$25,0),L$11)))</f>
        <v/>
      </c>
      <c r="E111" s="805" t="str">
        <f>IF(B117="","",INDEX(NXchung!$B$3:$EP$57,MATCH(B117,NXchung!$B$3:$B$57,0),INDEX($K$12:$N$25,MATCH($B111,$J$12:$J$25,0),M$11)))</f>
        <v/>
      </c>
      <c r="F111" s="808" t="str">
        <f>IF(B117="","",INDEX(NXchung!$B$3:$EP$57,MATCH(B117,NXchung!$B$3:$B$57,0),INDEX($K$12:$N$25,MATCH($B111,$J$12:$J$25,0),N$11)))</f>
        <v/>
      </c>
      <c r="G111" s="805"/>
      <c r="I111" s="64"/>
      <c r="J111" s="64"/>
    </row>
    <row r="112" spans="1:10" ht="45.9" customHeight="1">
      <c r="A112" s="803" t="s">
        <v>204</v>
      </c>
      <c r="B112" s="813" t="s">
        <v>122</v>
      </c>
      <c r="C112" s="805" t="str">
        <f>IF(B117="","",INDEX(NXchung!$B$3:$EP$57,MATCH(B117,NXchung!$B$3:$B$57,0),INDEX($K$12:$N$25,MATCH($B112,$J$12:$J$25,0),K$11)))</f>
        <v/>
      </c>
      <c r="D112" s="808" t="str">
        <f>IF(B117="","",INDEX(NXchung!$B$3:$EP$57,MATCH(B117,NXchung!$B$3:$B$57,0),INDEX($K$12:$N$25,MATCH($B112,$J$12:$J$25,0),L$11)))</f>
        <v/>
      </c>
      <c r="E112" s="805" t="str">
        <f>IF(B117="","",INDEX(NXchung!$B$3:$EP$57,MATCH(B117,NXchung!$B$3:$B$57,0),INDEX($K$12:$N$25,MATCH($B112,$J$12:$J$25,0),M$11)))</f>
        <v/>
      </c>
      <c r="F112" s="808" t="str">
        <f>IF(B117="","",INDEX(NXchung!$B$3:$EP$57,MATCH(B117,NXchung!$B$3:$B$57,0),INDEX($K$12:$N$25,MATCH($B112,$J$12:$J$25,0),N$11)))</f>
        <v/>
      </c>
      <c r="G112" s="805"/>
      <c r="I112" s="64"/>
      <c r="J112" s="64"/>
    </row>
    <row r="113" spans="1:10" s="60" customFormat="1" ht="6" customHeight="1">
      <c r="A113" s="67"/>
      <c r="B113" s="67"/>
      <c r="C113" s="475"/>
      <c r="D113" s="475"/>
      <c r="E113" s="67"/>
      <c r="F113" s="67"/>
      <c r="G113" s="67"/>
    </row>
    <row r="114" spans="1:10" ht="17.25" customHeight="1">
      <c r="D114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14" s="1163"/>
      <c r="F114" s="1163"/>
      <c r="G114" s="1163"/>
      <c r="H114" s="814"/>
    </row>
    <row r="115" spans="1:10" ht="16.5" customHeight="1">
      <c r="D115" s="992" t="s">
        <v>377</v>
      </c>
      <c r="E115" s="992"/>
      <c r="F115" s="992"/>
      <c r="G115" s="992"/>
      <c r="H115" s="814"/>
    </row>
    <row r="116" spans="1:10" ht="81.75" customHeight="1">
      <c r="D116" s="931" t="str">
        <f>IF('Huong dan'!$E$5="","",'Huong dan'!$E$5)</f>
        <v/>
      </c>
      <c r="E116" s="931"/>
      <c r="F116" s="931"/>
      <c r="G116" s="931"/>
      <c r="H116" s="814"/>
    </row>
    <row r="117" spans="1:10" ht="11.25" customHeight="1">
      <c r="A117" s="75"/>
      <c r="B117" s="815">
        <f>IF(B88="","",IF(B88&lt;MAX(DiemHKII!$B$4:$B$58),B88+1,""))</f>
        <v>4</v>
      </c>
      <c r="C117" s="75"/>
      <c r="D117" s="75"/>
      <c r="E117" s="75"/>
      <c r="F117" s="75"/>
      <c r="G117" s="75"/>
    </row>
    <row r="118" spans="1:10" s="60" customFormat="1" ht="21" customHeight="1">
      <c r="A118" s="1128" t="str">
        <f>IF('Huong dan'!$E$3&lt;&gt;"","SỞ GIÁO DỤC VÀ ĐÀO TẠO "&amp;UPPER('Huong dan'!$E$3),"")</f>
        <v>SỞ GIÁO DỤC VÀ ĐÀO TẠO TP. HỒ CHÍ MINH</v>
      </c>
      <c r="B118" s="1128"/>
      <c r="C118" s="1128"/>
      <c r="D118" s="1128"/>
      <c r="E118" s="1129" t="s">
        <v>19</v>
      </c>
      <c r="F118" s="1129"/>
      <c r="G118" s="1129"/>
    </row>
    <row r="119" spans="1:10" ht="17.25" customHeight="1">
      <c r="A119" s="992" t="str">
        <f>IF('Huong dan'!$E$4&lt;&gt;"","TRƯỜNG "&amp;UPPER('Huong dan'!$E$4),"")</f>
        <v>TRƯỜNG THCS VÀ THPT NGUYỄN KHUYẾN</v>
      </c>
      <c r="B119" s="992"/>
      <c r="C119" s="992"/>
      <c r="D119" s="992"/>
      <c r="E119" s="1130" t="s">
        <v>179</v>
      </c>
      <c r="F119" s="1130"/>
      <c r="G119" s="1130"/>
    </row>
    <row r="120" spans="1:10" ht="15" customHeight="1">
      <c r="A120" s="69"/>
      <c r="B120" s="69"/>
      <c r="C120" s="30"/>
    </row>
    <row r="121" spans="1:10" ht="27.75" customHeight="1">
      <c r="A121" s="1013" t="s">
        <v>567</v>
      </c>
      <c r="B121" s="1013"/>
      <c r="C121" s="1013"/>
      <c r="D121" s="1013"/>
      <c r="E121" s="1013"/>
      <c r="F121" s="1013"/>
      <c r="G121" s="1013"/>
    </row>
    <row r="122" spans="1:10" ht="24" customHeight="1">
      <c r="A122" s="1013" t="str">
        <f>"HỌC KỲ II VÀ CẢ NĂM - NĂM HỌC "&amp;'Huong dan'!$C$5</f>
        <v>HỌC KỲ II VÀ CẢ NĂM - NĂM HỌC 2021 - 2022</v>
      </c>
      <c r="B122" s="1013"/>
      <c r="C122" s="1013"/>
      <c r="D122" s="1013"/>
      <c r="E122" s="1013"/>
      <c r="F122" s="1013"/>
      <c r="G122" s="1013"/>
    </row>
    <row r="123" spans="1:10" ht="9" customHeight="1">
      <c r="A123" s="70"/>
      <c r="B123" s="66"/>
      <c r="C123" s="66"/>
      <c r="D123" s="66"/>
      <c r="E123" s="66"/>
      <c r="F123" s="66"/>
      <c r="G123" s="66"/>
    </row>
    <row r="124" spans="1:10" ht="18.75" customHeight="1">
      <c r="A124" s="1167" t="s">
        <v>212</v>
      </c>
      <c r="B124" s="1167"/>
      <c r="C124" s="1167"/>
      <c r="D124" s="1167" t="str">
        <f>IF(B146="","",INDEX(NXchung!$B$3:$EP$57,MATCH(B146,NXchung!$B$3:$B$57,0),3)&amp;" "&amp;INDEX(NXchung!$B$3:$EP$57,MATCH(B146,NXchung!$B$3:$B$57,0),4))</f>
        <v>Vũ Song Anh</v>
      </c>
      <c r="E124" s="1167"/>
      <c r="F124" s="77" t="str">
        <f>IF('Huong dan'!$C$3="","","Lớp: "&amp;'Huong dan'!$C$3)</f>
        <v>Lớp: 12A1</v>
      </c>
      <c r="G124" s="71"/>
    </row>
    <row r="125" spans="1:10" ht="18.75" customHeight="1">
      <c r="A125" s="1168" t="s">
        <v>213</v>
      </c>
      <c r="B125" s="1168"/>
      <c r="C125" s="1168"/>
      <c r="D125" s="77" t="str">
        <f>INDEX(NXchung!$B$3:$EP$57,MATCH(B146,NXchung!$B$3:$B$57,0),5)</f>
        <v>20/04/2004</v>
      </c>
      <c r="F125" s="841" t="str">
        <f>IF(B146="","","Nơi sinh: "&amp;INDEX(DiemHKII!$H$4:$H$58,MATCH(B146,DiemHKII!$B$4:$B$58,0),1))</f>
        <v xml:space="preserve">Nơi sinh: </v>
      </c>
      <c r="G125" s="77"/>
    </row>
    <row r="126" spans="1:10" ht="9.75" customHeight="1">
      <c r="A126" s="62"/>
      <c r="B126" s="62"/>
      <c r="C126" s="62"/>
      <c r="D126" s="62"/>
      <c r="E126" s="62"/>
      <c r="F126" s="62"/>
      <c r="G126" s="63"/>
    </row>
    <row r="127" spans="1:10" ht="31.5" customHeight="1">
      <c r="A127" s="801" t="s">
        <v>0</v>
      </c>
      <c r="B127" s="801" t="s">
        <v>59</v>
      </c>
      <c r="C127" s="806" t="s">
        <v>661</v>
      </c>
      <c r="D127" s="801" t="s">
        <v>296</v>
      </c>
      <c r="E127" s="806" t="s">
        <v>662</v>
      </c>
      <c r="F127" s="801" t="s">
        <v>361</v>
      </c>
      <c r="G127" s="802" t="s">
        <v>569</v>
      </c>
    </row>
    <row r="128" spans="1:10" ht="45.9" customHeight="1">
      <c r="A128" s="803" t="s">
        <v>191</v>
      </c>
      <c r="B128" s="813" t="s">
        <v>26</v>
      </c>
      <c r="C128" s="805" t="str">
        <f>IF(B146="","",INDEX(NXchung!$B$3:$EP$57,MATCH(B146,NXchung!$B$3:$B$57,0),INDEX($K$12:$N$25,MATCH($B128,$J$12:$J$25,0),K$11)))</f>
        <v/>
      </c>
      <c r="D128" s="808" t="str">
        <f>IF(B146="","",INDEX(NXchung!$B$3:$EP$57,MATCH(B146,NXchung!$B$3:$B$57,0),INDEX($K$12:$N$25,MATCH($B128,$J$12:$J$25,0),L$11)))</f>
        <v/>
      </c>
      <c r="E128" s="805" t="str">
        <f>IF(B146="","",INDEX(NXchung!$B$3:$EP$57,MATCH(B146,NXchung!$B$3:$B$57,0),INDEX($K$12:$N$25,MATCH($B128,$J$12:$J$25,0),M$11)))</f>
        <v/>
      </c>
      <c r="F128" s="808" t="str">
        <f>IF(B146="","",INDEX(NXchung!$B$3:$EP$57,MATCH(B146,NXchung!$B$3:$B$57,0),INDEX($K$12:$N$25,MATCH($B128,$J$12:$J$25,0),N$11)))</f>
        <v/>
      </c>
      <c r="G128" s="805"/>
      <c r="I128" s="64"/>
      <c r="J128" s="64"/>
    </row>
    <row r="129" spans="1:10" ht="45.9" customHeight="1">
      <c r="A129" s="803" t="s">
        <v>192</v>
      </c>
      <c r="B129" s="813" t="s">
        <v>27</v>
      </c>
      <c r="C129" s="805" t="str">
        <f>IF(B146="","",INDEX(NXchung!$B$3:$EP$57,MATCH(B146,NXchung!$B$3:$B$57,0),INDEX($K$12:$N$25,MATCH($B129,$J$12:$J$25,0),K$11)))</f>
        <v/>
      </c>
      <c r="D129" s="808" t="str">
        <f>IF(B146="","",INDEX(NXchung!$B$3:$EP$57,MATCH(B146,NXchung!$B$3:$B$57,0),INDEX($K$12:$N$25,MATCH($B129,$J$12:$J$25,0),L$11)))</f>
        <v/>
      </c>
      <c r="E129" s="805" t="str">
        <f>IF(B146="","",INDEX(NXchung!$B$3:$EP$57,MATCH(B146,NXchung!$B$3:$B$57,0),INDEX($K$12:$N$25,MATCH($B129,$J$12:$J$25,0),M$11)))</f>
        <v/>
      </c>
      <c r="F129" s="808" t="str">
        <f>IF(B146="","",INDEX(NXchung!$B$3:$EP$57,MATCH(B146,NXchung!$B$3:$B$57,0),INDEX($K$12:$N$25,MATCH($B129,$J$12:$J$25,0),N$11)))</f>
        <v/>
      </c>
      <c r="G129" s="805"/>
      <c r="I129" s="64"/>
      <c r="J129" s="64"/>
    </row>
    <row r="130" spans="1:10" ht="45.9" customHeight="1">
      <c r="A130" s="803" t="s">
        <v>193</v>
      </c>
      <c r="B130" s="813" t="s">
        <v>28</v>
      </c>
      <c r="C130" s="805" t="str">
        <f>IF(B146="","",INDEX(NXchung!$B$3:$EP$57,MATCH(B146,NXchung!$B$3:$B$57,0),INDEX($K$12:$N$25,MATCH($B130,$J$12:$J$25,0),K$11)))</f>
        <v/>
      </c>
      <c r="D130" s="808" t="str">
        <f>IF(B146="","",INDEX(NXchung!$B$3:$EP$57,MATCH(B146,NXchung!$B$3:$B$57,0),INDEX($K$12:$N$25,MATCH($B130,$J$12:$J$25,0),L$11)))</f>
        <v/>
      </c>
      <c r="E130" s="805" t="str">
        <f>IF(B146="","",INDEX(NXchung!$B$3:$EP$57,MATCH(B146,NXchung!$B$3:$B$57,0),INDEX($K$12:$N$25,MATCH($B130,$J$12:$J$25,0),M$11)))</f>
        <v/>
      </c>
      <c r="F130" s="808" t="str">
        <f>IF(B146="","",INDEX(NXchung!$B$3:$EP$57,MATCH(B146,NXchung!$B$3:$B$57,0),INDEX($K$12:$N$25,MATCH($B130,$J$12:$J$25,0),N$11)))</f>
        <v/>
      </c>
      <c r="G130" s="805"/>
      <c r="I130" s="64"/>
      <c r="J130" s="64"/>
    </row>
    <row r="131" spans="1:10" ht="45.9" customHeight="1">
      <c r="A131" s="803" t="s">
        <v>194</v>
      </c>
      <c r="B131" s="813" t="s">
        <v>29</v>
      </c>
      <c r="C131" s="805" t="str">
        <f>IF(B146="","",INDEX(NXchung!$B$3:$EP$57,MATCH(B146,NXchung!$B$3:$B$57,0),INDEX($K$12:$N$25,MATCH($B131,$J$12:$J$25,0),K$11)))</f>
        <v/>
      </c>
      <c r="D131" s="808" t="str">
        <f>IF(B146="","",INDEX(NXchung!$B$3:$EP$57,MATCH(B146,NXchung!$B$3:$B$57,0),INDEX($K$12:$N$25,MATCH($B131,$J$12:$J$25,0),L$11)))</f>
        <v/>
      </c>
      <c r="E131" s="805" t="str">
        <f>IF(B146="","",INDEX(NXchung!$B$3:$EP$57,MATCH(B146,NXchung!$B$3:$B$57,0),INDEX($K$12:$N$25,MATCH($B131,$J$12:$J$25,0),M$11)))</f>
        <v/>
      </c>
      <c r="F131" s="808" t="str">
        <f>IF(B146="","",INDEX(NXchung!$B$3:$EP$57,MATCH(B146,NXchung!$B$3:$B$57,0),INDEX($K$12:$N$25,MATCH($B131,$J$12:$J$25,0),N$11)))</f>
        <v/>
      </c>
      <c r="G131" s="805"/>
      <c r="I131" s="64"/>
      <c r="J131" s="64"/>
    </row>
    <row r="132" spans="1:10" ht="45.9" customHeight="1">
      <c r="A132" s="803" t="s">
        <v>195</v>
      </c>
      <c r="B132" s="813" t="s">
        <v>120</v>
      </c>
      <c r="C132" s="805" t="str">
        <f>IF(B146="","",INDEX(NXchung!$B$3:$EP$57,MATCH(B146,NXchung!$B$3:$B$57,0),INDEX($K$12:$N$25,MATCH($B132,$J$12:$J$25,0),K$11)))</f>
        <v/>
      </c>
      <c r="D132" s="808" t="str">
        <f>IF(B146="","",INDEX(NXchung!$B$3:$EP$57,MATCH(B146,NXchung!$B$3:$B$57,0),INDEX($K$12:$N$25,MATCH($B132,$J$12:$J$25,0),L$11)))</f>
        <v/>
      </c>
      <c r="E132" s="805" t="str">
        <f>IF(B146="","",INDEX(NXchung!$B$3:$EP$57,MATCH(B146,NXchung!$B$3:$B$57,0),INDEX($K$12:$N$25,MATCH($B132,$J$12:$J$25,0),M$11)))</f>
        <v/>
      </c>
      <c r="F132" s="808" t="str">
        <f>IF(B146="","",INDEX(NXchung!$B$3:$EP$57,MATCH(B146,NXchung!$B$3:$B$57,0),INDEX($K$12:$N$25,MATCH($B132,$J$12:$J$25,0),N$11)))</f>
        <v/>
      </c>
      <c r="G132" s="805"/>
      <c r="I132" s="64"/>
      <c r="J132" s="64"/>
    </row>
    <row r="133" spans="1:10" ht="45.9" customHeight="1">
      <c r="A133" s="803" t="s">
        <v>196</v>
      </c>
      <c r="B133" s="813" t="s">
        <v>30</v>
      </c>
      <c r="C133" s="805" t="str">
        <f>IF(B146="","",INDEX(NXchung!$B$3:$EP$57,MATCH(B146,NXchung!$B$3:$B$57,0),INDEX($K$12:$N$25,MATCH($B133,$J$12:$J$25,0),K$11)))</f>
        <v/>
      </c>
      <c r="D133" s="808" t="str">
        <f>IF(B146="","",INDEX(NXchung!$B$3:$EP$57,MATCH(B146,NXchung!$B$3:$B$57,0),INDEX($K$12:$N$25,MATCH($B133,$J$12:$J$25,0),L$11)))</f>
        <v/>
      </c>
      <c r="E133" s="805" t="str">
        <f>IF(B146="","",INDEX(NXchung!$B$3:$EP$57,MATCH(B146,NXchung!$B$3:$B$57,0),INDEX($K$12:$N$25,MATCH($B133,$J$12:$J$25,0),M$11)))</f>
        <v/>
      </c>
      <c r="F133" s="808" t="str">
        <f>IF(B146="","",INDEX(NXchung!$B$3:$EP$57,MATCH(B146,NXchung!$B$3:$B$57,0),INDEX($K$12:$N$25,MATCH($B133,$J$12:$J$25,0),N$11)))</f>
        <v/>
      </c>
      <c r="G133" s="805"/>
      <c r="I133" s="64"/>
      <c r="J133" s="64"/>
    </row>
    <row r="134" spans="1:10" ht="45.9" customHeight="1">
      <c r="A134" s="803" t="s">
        <v>197</v>
      </c>
      <c r="B134" s="813" t="s">
        <v>31</v>
      </c>
      <c r="C134" s="805" t="str">
        <f>IF(B146="","",INDEX(NXchung!$B$3:$EP$57,MATCH(B146,NXchung!$B$3:$B$57,0),INDEX($K$12:$N$25,MATCH($B134,$J$12:$J$25,0),K$11)))</f>
        <v/>
      </c>
      <c r="D134" s="808" t="str">
        <f>IF(B146="","",INDEX(NXchung!$B$3:$EP$57,MATCH(B146,NXchung!$B$3:$B$57,0),INDEX($K$12:$N$25,MATCH($B134,$J$12:$J$25,0),L$11)))</f>
        <v/>
      </c>
      <c r="E134" s="805" t="str">
        <f>IF(B146="","",INDEX(NXchung!$B$3:$EP$57,MATCH(B146,NXchung!$B$3:$B$57,0),INDEX($K$12:$N$25,MATCH($B134,$J$12:$J$25,0),M$11)))</f>
        <v/>
      </c>
      <c r="F134" s="808" t="str">
        <f>IF(B146="","",INDEX(NXchung!$B$3:$EP$57,MATCH(B146,NXchung!$B$3:$B$57,0),INDEX($K$12:$N$25,MATCH($B134,$J$12:$J$25,0),N$11)))</f>
        <v/>
      </c>
      <c r="G134" s="805"/>
      <c r="I134" s="64"/>
      <c r="J134" s="64"/>
    </row>
    <row r="135" spans="1:10" ht="45.9" customHeight="1">
      <c r="A135" s="803" t="s">
        <v>198</v>
      </c>
      <c r="B135" s="813" t="s">
        <v>32</v>
      </c>
      <c r="C135" s="805" t="str">
        <f>IF(B146="","",INDEX(NXchung!$B$3:$EP$57,MATCH(B146,NXchung!$B$3:$B$57,0),INDEX($K$12:$N$25,MATCH($B135,$J$12:$J$25,0),K$11)))</f>
        <v/>
      </c>
      <c r="D135" s="808" t="str">
        <f>IF(B146="","",INDEX(NXchung!$B$3:$EP$57,MATCH(B146,NXchung!$B$3:$B$57,0),INDEX($K$12:$N$25,MATCH($B135,$J$12:$J$25,0),L$11)))</f>
        <v/>
      </c>
      <c r="E135" s="805" t="str">
        <f>IF(B146="","",INDEX(NXchung!$B$3:$EP$57,MATCH(B146,NXchung!$B$3:$B$57,0),INDEX($K$12:$N$25,MATCH($B135,$J$12:$J$25,0),M$11)))</f>
        <v/>
      </c>
      <c r="F135" s="808" t="str">
        <f>IF(B146="","",INDEX(NXchung!$B$3:$EP$57,MATCH(B146,NXchung!$B$3:$B$57,0),INDEX($K$12:$N$25,MATCH($B135,$J$12:$J$25,0),N$11)))</f>
        <v/>
      </c>
      <c r="G135" s="805"/>
      <c r="I135" s="64"/>
      <c r="J135" s="64"/>
    </row>
    <row r="136" spans="1:10" ht="45.9" customHeight="1">
      <c r="A136" s="803" t="s">
        <v>199</v>
      </c>
      <c r="B136" s="813" t="s">
        <v>33</v>
      </c>
      <c r="C136" s="805" t="str">
        <f>IF(B146="","",INDEX(NXchung!$B$3:$EP$57,MATCH(B146,NXchung!$B$3:$B$57,0),INDEX($K$12:$N$25,MATCH($B136,$J$12:$J$25,0),K$11)))</f>
        <v/>
      </c>
      <c r="D136" s="808" t="str">
        <f>IF(B146="","",INDEX(NXchung!$B$3:$EP$57,MATCH(B146,NXchung!$B$3:$B$57,0),INDEX($K$12:$N$25,MATCH($B136,$J$12:$J$25,0),L$11)))</f>
        <v/>
      </c>
      <c r="E136" s="805" t="str">
        <f>IF(B146="","",INDEX(NXchung!$B$3:$EP$57,MATCH(B146,NXchung!$B$3:$B$57,0),INDEX($K$12:$N$25,MATCH($B136,$J$12:$J$25,0),M$11)))</f>
        <v/>
      </c>
      <c r="F136" s="808" t="str">
        <f>IF(B146="","",INDEX(NXchung!$B$3:$EP$57,MATCH(B146,NXchung!$B$3:$B$57,0),INDEX($K$12:$N$25,MATCH($B136,$J$12:$J$25,0),N$11)))</f>
        <v/>
      </c>
      <c r="G136" s="805"/>
      <c r="I136" s="64"/>
      <c r="J136" s="64"/>
    </row>
    <row r="137" spans="1:10" ht="45.9" customHeight="1">
      <c r="A137" s="803" t="s">
        <v>200</v>
      </c>
      <c r="B137" s="813" t="s">
        <v>60</v>
      </c>
      <c r="C137" s="805" t="str">
        <f>IF(B146="","",INDEX(NXchung!$B$3:$EP$57,MATCH(B146,NXchung!$B$3:$B$57,0),INDEX($K$12:$N$25,MATCH($B137,$J$12:$J$25,0),K$11)))</f>
        <v/>
      </c>
      <c r="D137" s="808" t="str">
        <f>IF(B146="","",INDEX(NXchung!$B$3:$EP$57,MATCH(B146,NXchung!$B$3:$B$57,0),INDEX($K$12:$N$25,MATCH($B137,$J$12:$J$25,0),L$11)))</f>
        <v/>
      </c>
      <c r="E137" s="805" t="str">
        <f>IF(B146="","",INDEX(NXchung!$B$3:$EP$57,MATCH(B146,NXchung!$B$3:$B$57,0),INDEX($K$12:$N$25,MATCH($B137,$J$12:$J$25,0),M$11)))</f>
        <v/>
      </c>
      <c r="F137" s="808" t="str">
        <f>IF(B146="","",INDEX(NXchung!$B$3:$EP$57,MATCH(B146,NXchung!$B$3:$B$57,0),INDEX($K$12:$N$25,MATCH($B137,$J$12:$J$25,0),N$11)))</f>
        <v/>
      </c>
      <c r="G137" s="805"/>
      <c r="I137" s="64"/>
      <c r="J137" s="64"/>
    </row>
    <row r="138" spans="1:10" ht="45.9" customHeight="1">
      <c r="A138" s="803" t="s">
        <v>201</v>
      </c>
      <c r="B138" s="813" t="s">
        <v>34</v>
      </c>
      <c r="C138" s="805" t="str">
        <f>IF(B146="","",INDEX(NXchung!$B$3:$EP$57,MATCH(B146,NXchung!$B$3:$B$57,0),INDEX($K$12:$N$25,MATCH($B138,$J$12:$J$25,0),K$11)))</f>
        <v/>
      </c>
      <c r="D138" s="808" t="str">
        <f>IF(B146="","",INDEX(NXchung!$B$3:$EP$57,MATCH(B146,NXchung!$B$3:$B$57,0),INDEX($K$12:$N$25,MATCH($B138,$J$12:$J$25,0),L$11)))</f>
        <v/>
      </c>
      <c r="E138" s="805" t="str">
        <f>IF(B146="","",INDEX(NXchung!$B$3:$EP$57,MATCH(B146,NXchung!$B$3:$B$57,0),INDEX($K$12:$N$25,MATCH($B138,$J$12:$J$25,0),M$11)))</f>
        <v/>
      </c>
      <c r="F138" s="808" t="str">
        <f>IF(B146="","",INDEX(NXchung!$B$3:$EP$57,MATCH(B146,NXchung!$B$3:$B$57,0),INDEX($K$12:$N$25,MATCH($B138,$J$12:$J$25,0),N$11)))</f>
        <v/>
      </c>
      <c r="G138" s="805"/>
      <c r="I138" s="64"/>
      <c r="J138" s="64"/>
    </row>
    <row r="139" spans="1:10" ht="45.9" customHeight="1">
      <c r="A139" s="803" t="s">
        <v>202</v>
      </c>
      <c r="B139" s="813" t="s">
        <v>35</v>
      </c>
      <c r="C139" s="805" t="str">
        <f>IF(B146="","",INDEX(NXchung!$B$3:$EP$57,MATCH(B146,NXchung!$B$3:$B$57,0),INDEX($K$12:$N$25,MATCH($B139,$J$12:$J$25,0),K$11)))</f>
        <v/>
      </c>
      <c r="D139" s="808" t="str">
        <f>IF(B146="","",INDEX(NXchung!$B$3:$EP$57,MATCH(B146,NXchung!$B$3:$B$57,0),INDEX($K$12:$N$25,MATCH($B139,$J$12:$J$25,0),L$11)))</f>
        <v/>
      </c>
      <c r="E139" s="805" t="str">
        <f>IF(B146="","",INDEX(NXchung!$B$3:$EP$57,MATCH(B146,NXchung!$B$3:$B$57,0),INDEX($K$12:$N$25,MATCH($B139,$J$12:$J$25,0),M$11)))</f>
        <v>Đ</v>
      </c>
      <c r="F139" s="808" t="str">
        <f>IF(B146="","",INDEX(NXchung!$B$3:$EP$57,MATCH(B146,NXchung!$B$3:$B$57,0),INDEX($K$12:$N$25,MATCH($B139,$J$12:$J$25,0),N$11)))</f>
        <v>Chăm chỉ, cố gắng, rất ngoan.</v>
      </c>
      <c r="G139" s="805"/>
      <c r="I139" s="64"/>
      <c r="J139" s="64"/>
    </row>
    <row r="140" spans="1:10" ht="45.9" customHeight="1">
      <c r="A140" s="803" t="s">
        <v>203</v>
      </c>
      <c r="B140" s="813" t="s">
        <v>121</v>
      </c>
      <c r="C140" s="805" t="str">
        <f>IF(B146="","",INDEX(NXchung!$B$3:$EP$57,MATCH(B146,NXchung!$B$3:$B$57,0),INDEX($K$12:$N$25,MATCH($B140,$J$12:$J$25,0),K$11)))</f>
        <v/>
      </c>
      <c r="D140" s="808" t="str">
        <f>IF(B146="","",INDEX(NXchung!$B$3:$EP$57,MATCH(B146,NXchung!$B$3:$B$57,0),INDEX($K$12:$N$25,MATCH($B140,$J$12:$J$25,0),L$11)))</f>
        <v/>
      </c>
      <c r="E140" s="805" t="str">
        <f>IF(B146="","",INDEX(NXchung!$B$3:$EP$57,MATCH(B146,NXchung!$B$3:$B$57,0),INDEX($K$12:$N$25,MATCH($B140,$J$12:$J$25,0),M$11)))</f>
        <v/>
      </c>
      <c r="F140" s="808" t="str">
        <f>IF(B146="","",INDEX(NXchung!$B$3:$EP$57,MATCH(B146,NXchung!$B$3:$B$57,0),INDEX($K$12:$N$25,MATCH($B140,$J$12:$J$25,0),N$11)))</f>
        <v/>
      </c>
      <c r="G140" s="805"/>
      <c r="I140" s="64"/>
      <c r="J140" s="64"/>
    </row>
    <row r="141" spans="1:10" ht="45.9" customHeight="1">
      <c r="A141" s="803" t="s">
        <v>204</v>
      </c>
      <c r="B141" s="813" t="s">
        <v>122</v>
      </c>
      <c r="C141" s="805" t="str">
        <f>IF(B146="","",INDEX(NXchung!$B$3:$EP$57,MATCH(B146,NXchung!$B$3:$B$57,0),INDEX($K$12:$N$25,MATCH($B141,$J$12:$J$25,0),K$11)))</f>
        <v/>
      </c>
      <c r="D141" s="808" t="str">
        <f>IF(B146="","",INDEX(NXchung!$B$3:$EP$57,MATCH(B146,NXchung!$B$3:$B$57,0),INDEX($K$12:$N$25,MATCH($B141,$J$12:$J$25,0),L$11)))</f>
        <v/>
      </c>
      <c r="E141" s="805" t="str">
        <f>IF(B146="","",INDEX(NXchung!$B$3:$EP$57,MATCH(B146,NXchung!$B$3:$B$57,0),INDEX($K$12:$N$25,MATCH($B141,$J$12:$J$25,0),M$11)))</f>
        <v/>
      </c>
      <c r="F141" s="808" t="str">
        <f>IF(B146="","",INDEX(NXchung!$B$3:$EP$57,MATCH(B146,NXchung!$B$3:$B$57,0),INDEX($K$12:$N$25,MATCH($B141,$J$12:$J$25,0),N$11)))</f>
        <v/>
      </c>
      <c r="G141" s="805"/>
      <c r="I141" s="64"/>
      <c r="J141" s="64"/>
    </row>
    <row r="142" spans="1:10" s="60" customFormat="1" ht="6" customHeight="1">
      <c r="A142" s="67"/>
      <c r="B142" s="67"/>
      <c r="C142" s="475"/>
      <c r="D142" s="475"/>
      <c r="E142" s="67"/>
      <c r="F142" s="67"/>
      <c r="G142" s="67"/>
    </row>
    <row r="143" spans="1:10" ht="17.25" customHeight="1">
      <c r="D143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43" s="1163"/>
      <c r="F143" s="1163"/>
      <c r="G143" s="1163"/>
      <c r="H143" s="814"/>
    </row>
    <row r="144" spans="1:10" ht="16.5" customHeight="1">
      <c r="D144" s="992" t="s">
        <v>377</v>
      </c>
      <c r="E144" s="992"/>
      <c r="F144" s="992"/>
      <c r="G144" s="992"/>
      <c r="H144" s="814"/>
    </row>
    <row r="145" spans="1:10" ht="81.75" customHeight="1">
      <c r="D145" s="931" t="str">
        <f>IF('Huong dan'!$E$5="","",'Huong dan'!$E$5)</f>
        <v/>
      </c>
      <c r="E145" s="931"/>
      <c r="F145" s="931"/>
      <c r="G145" s="931"/>
      <c r="H145" s="814"/>
    </row>
    <row r="146" spans="1:10" ht="11.25" customHeight="1">
      <c r="A146" s="75"/>
      <c r="B146" s="815">
        <f>IF(B117="","",IF(B117&lt;MAX(DiemHKII!$B$4:$B$58),B117+1,""))</f>
        <v>5</v>
      </c>
      <c r="C146" s="75"/>
      <c r="D146" s="75"/>
      <c r="E146" s="75"/>
      <c r="F146" s="75"/>
      <c r="G146" s="75"/>
    </row>
    <row r="147" spans="1:10" s="60" customFormat="1" ht="21" customHeight="1">
      <c r="A147" s="1128" t="str">
        <f>IF('Huong dan'!$E$3&lt;&gt;"","SỞ GIÁO DỤC VÀ ĐÀO TẠO "&amp;UPPER('Huong dan'!$E$3),"")</f>
        <v>SỞ GIÁO DỤC VÀ ĐÀO TẠO TP. HỒ CHÍ MINH</v>
      </c>
      <c r="B147" s="1128"/>
      <c r="C147" s="1128"/>
      <c r="D147" s="1128"/>
      <c r="E147" s="1129" t="s">
        <v>19</v>
      </c>
      <c r="F147" s="1129"/>
      <c r="G147" s="1129"/>
    </row>
    <row r="148" spans="1:10" ht="17.25" customHeight="1">
      <c r="A148" s="992" t="str">
        <f>IF('Huong dan'!$E$4&lt;&gt;"","TRƯỜNG "&amp;UPPER('Huong dan'!$E$4),"")</f>
        <v>TRƯỜNG THCS VÀ THPT NGUYỄN KHUYẾN</v>
      </c>
      <c r="B148" s="992"/>
      <c r="C148" s="992"/>
      <c r="D148" s="992"/>
      <c r="E148" s="1130" t="s">
        <v>179</v>
      </c>
      <c r="F148" s="1130"/>
      <c r="G148" s="1130"/>
    </row>
    <row r="149" spans="1:10" ht="15" customHeight="1">
      <c r="A149" s="69"/>
      <c r="B149" s="69"/>
      <c r="C149" s="30"/>
    </row>
    <row r="150" spans="1:10" ht="27.75" customHeight="1">
      <c r="A150" s="1013" t="s">
        <v>567</v>
      </c>
      <c r="B150" s="1013"/>
      <c r="C150" s="1013"/>
      <c r="D150" s="1013"/>
      <c r="E150" s="1013"/>
      <c r="F150" s="1013"/>
      <c r="G150" s="1013"/>
    </row>
    <row r="151" spans="1:10" ht="24" customHeight="1">
      <c r="A151" s="1013" t="str">
        <f>"HỌC KỲ II VÀ CẢ NĂM - NĂM HỌC "&amp;'Huong dan'!$C$5</f>
        <v>HỌC KỲ II VÀ CẢ NĂM - NĂM HỌC 2021 - 2022</v>
      </c>
      <c r="B151" s="1013"/>
      <c r="C151" s="1013"/>
      <c r="D151" s="1013"/>
      <c r="E151" s="1013"/>
      <c r="F151" s="1013"/>
      <c r="G151" s="1013"/>
    </row>
    <row r="152" spans="1:10" ht="9" customHeight="1">
      <c r="A152" s="70"/>
      <c r="B152" s="66"/>
      <c r="C152" s="66"/>
      <c r="D152" s="66"/>
      <c r="E152" s="66"/>
      <c r="F152" s="66"/>
      <c r="G152" s="66"/>
    </row>
    <row r="153" spans="1:10" ht="18.75" customHeight="1">
      <c r="A153" s="1167" t="s">
        <v>212</v>
      </c>
      <c r="B153" s="1167"/>
      <c r="C153" s="1167"/>
      <c r="D153" s="1167" t="str">
        <f>IF(B175="","",INDEX(NXchung!$B$3:$EP$57,MATCH(B175,NXchung!$B$3:$B$57,0),3)&amp;" "&amp;INDEX(NXchung!$B$3:$EP$57,MATCH(B175,NXchung!$B$3:$B$57,0),4))</f>
        <v>Phan Gia Bảo</v>
      </c>
      <c r="E153" s="1167"/>
      <c r="F153" s="77" t="str">
        <f>IF('Huong dan'!$C$3="","","Lớp: "&amp;'Huong dan'!$C$3)</f>
        <v>Lớp: 12A1</v>
      </c>
      <c r="G153" s="71"/>
    </row>
    <row r="154" spans="1:10" ht="18.75" customHeight="1">
      <c r="A154" s="1168" t="s">
        <v>213</v>
      </c>
      <c r="B154" s="1168"/>
      <c r="C154" s="1168"/>
      <c r="D154" s="77" t="str">
        <f>INDEX(NXchung!$B$3:$EP$57,MATCH(B175,NXchung!$B$3:$B$57,0),5)</f>
        <v>27/10/2004</v>
      </c>
      <c r="F154" s="841" t="str">
        <f>IF(B175="","","Nơi sinh: "&amp;INDEX(DiemHKII!$H$4:$H$58,MATCH(B175,DiemHKII!$B$4:$B$58,0),1))</f>
        <v xml:space="preserve">Nơi sinh: </v>
      </c>
      <c r="G154" s="77"/>
    </row>
    <row r="155" spans="1:10" ht="9.75" customHeight="1">
      <c r="A155" s="62"/>
      <c r="B155" s="62"/>
      <c r="C155" s="62"/>
      <c r="D155" s="62"/>
      <c r="E155" s="62"/>
      <c r="F155" s="62"/>
      <c r="G155" s="63"/>
    </row>
    <row r="156" spans="1:10" ht="31.5" customHeight="1">
      <c r="A156" s="801" t="s">
        <v>0</v>
      </c>
      <c r="B156" s="801" t="s">
        <v>59</v>
      </c>
      <c r="C156" s="806" t="s">
        <v>661</v>
      </c>
      <c r="D156" s="801" t="s">
        <v>296</v>
      </c>
      <c r="E156" s="806" t="s">
        <v>662</v>
      </c>
      <c r="F156" s="801" t="s">
        <v>361</v>
      </c>
      <c r="G156" s="802" t="s">
        <v>569</v>
      </c>
    </row>
    <row r="157" spans="1:10" ht="45.9" customHeight="1">
      <c r="A157" s="803" t="s">
        <v>191</v>
      </c>
      <c r="B157" s="813" t="s">
        <v>26</v>
      </c>
      <c r="C157" s="805" t="str">
        <f>IF(B175="","",INDEX(NXchung!$B$3:$EP$57,MATCH(B175,NXchung!$B$3:$B$57,0),INDEX($K$12:$N$25,MATCH($B157,$J$12:$J$25,0),K$11)))</f>
        <v/>
      </c>
      <c r="D157" s="808" t="str">
        <f>IF(B175="","",INDEX(NXchung!$B$3:$EP$57,MATCH(B175,NXchung!$B$3:$B$57,0),INDEX($K$12:$N$25,MATCH($B157,$J$12:$J$25,0),L$11)))</f>
        <v/>
      </c>
      <c r="E157" s="805" t="str">
        <f>IF(B175="","",INDEX(NXchung!$B$3:$EP$57,MATCH(B175,NXchung!$B$3:$B$57,0),INDEX($K$12:$N$25,MATCH($B157,$J$12:$J$25,0),M$11)))</f>
        <v/>
      </c>
      <c r="F157" s="808" t="str">
        <f>IF(B175="","",INDEX(NXchung!$B$3:$EP$57,MATCH(B175,NXchung!$B$3:$B$57,0),INDEX($K$12:$N$25,MATCH($B157,$J$12:$J$25,0),N$11)))</f>
        <v/>
      </c>
      <c r="G157" s="805"/>
      <c r="I157" s="64"/>
      <c r="J157" s="64"/>
    </row>
    <row r="158" spans="1:10" ht="45.9" customHeight="1">
      <c r="A158" s="803" t="s">
        <v>192</v>
      </c>
      <c r="B158" s="813" t="s">
        <v>27</v>
      </c>
      <c r="C158" s="805" t="str">
        <f>IF(B175="","",INDEX(NXchung!$B$3:$EP$57,MATCH(B175,NXchung!$B$3:$B$57,0),INDEX($K$12:$N$25,MATCH($B158,$J$12:$J$25,0),K$11)))</f>
        <v/>
      </c>
      <c r="D158" s="808" t="str">
        <f>IF(B175="","",INDEX(NXchung!$B$3:$EP$57,MATCH(B175,NXchung!$B$3:$B$57,0),INDEX($K$12:$N$25,MATCH($B158,$J$12:$J$25,0),L$11)))</f>
        <v/>
      </c>
      <c r="E158" s="805" t="str">
        <f>IF(B175="","",INDEX(NXchung!$B$3:$EP$57,MATCH(B175,NXchung!$B$3:$B$57,0),INDEX($K$12:$N$25,MATCH($B158,$J$12:$J$25,0),M$11)))</f>
        <v/>
      </c>
      <c r="F158" s="808" t="str">
        <f>IF(B175="","",INDEX(NXchung!$B$3:$EP$57,MATCH(B175,NXchung!$B$3:$B$57,0),INDEX($K$12:$N$25,MATCH($B158,$J$12:$J$25,0),N$11)))</f>
        <v/>
      </c>
      <c r="G158" s="805"/>
      <c r="I158" s="64"/>
      <c r="J158" s="64"/>
    </row>
    <row r="159" spans="1:10" ht="45.9" customHeight="1">
      <c r="A159" s="803" t="s">
        <v>193</v>
      </c>
      <c r="B159" s="813" t="s">
        <v>28</v>
      </c>
      <c r="C159" s="805" t="str">
        <f>IF(B175="","",INDEX(NXchung!$B$3:$EP$57,MATCH(B175,NXchung!$B$3:$B$57,0),INDEX($K$12:$N$25,MATCH($B159,$J$12:$J$25,0),K$11)))</f>
        <v/>
      </c>
      <c r="D159" s="808" t="str">
        <f>IF(B175="","",INDEX(NXchung!$B$3:$EP$57,MATCH(B175,NXchung!$B$3:$B$57,0),INDEX($K$12:$N$25,MATCH($B159,$J$12:$J$25,0),L$11)))</f>
        <v/>
      </c>
      <c r="E159" s="805" t="str">
        <f>IF(B175="","",INDEX(NXchung!$B$3:$EP$57,MATCH(B175,NXchung!$B$3:$B$57,0),INDEX($K$12:$N$25,MATCH($B159,$J$12:$J$25,0),M$11)))</f>
        <v/>
      </c>
      <c r="F159" s="808" t="str">
        <f>IF(B175="","",INDEX(NXchung!$B$3:$EP$57,MATCH(B175,NXchung!$B$3:$B$57,0),INDEX($K$12:$N$25,MATCH($B159,$J$12:$J$25,0),N$11)))</f>
        <v/>
      </c>
      <c r="G159" s="805"/>
      <c r="I159" s="64"/>
      <c r="J159" s="64"/>
    </row>
    <row r="160" spans="1:10" ht="45.9" customHeight="1">
      <c r="A160" s="803" t="s">
        <v>194</v>
      </c>
      <c r="B160" s="813" t="s">
        <v>29</v>
      </c>
      <c r="C160" s="805" t="str">
        <f>IF(B175="","",INDEX(NXchung!$B$3:$EP$57,MATCH(B175,NXchung!$B$3:$B$57,0),INDEX($K$12:$N$25,MATCH($B160,$J$12:$J$25,0),K$11)))</f>
        <v/>
      </c>
      <c r="D160" s="808" t="str">
        <f>IF(B175="","",INDEX(NXchung!$B$3:$EP$57,MATCH(B175,NXchung!$B$3:$B$57,0),INDEX($K$12:$N$25,MATCH($B160,$J$12:$J$25,0),L$11)))</f>
        <v/>
      </c>
      <c r="E160" s="805" t="str">
        <f>IF(B175="","",INDEX(NXchung!$B$3:$EP$57,MATCH(B175,NXchung!$B$3:$B$57,0),INDEX($K$12:$N$25,MATCH($B160,$J$12:$J$25,0),M$11)))</f>
        <v/>
      </c>
      <c r="F160" s="808" t="str">
        <f>IF(B175="","",INDEX(NXchung!$B$3:$EP$57,MATCH(B175,NXchung!$B$3:$B$57,0),INDEX($K$12:$N$25,MATCH($B160,$J$12:$J$25,0),N$11)))</f>
        <v/>
      </c>
      <c r="G160" s="805"/>
      <c r="I160" s="64"/>
      <c r="J160" s="64"/>
    </row>
    <row r="161" spans="1:10" ht="45.9" customHeight="1">
      <c r="A161" s="803" t="s">
        <v>195</v>
      </c>
      <c r="B161" s="813" t="s">
        <v>120</v>
      </c>
      <c r="C161" s="805" t="str">
        <f>IF(B175="","",INDEX(NXchung!$B$3:$EP$57,MATCH(B175,NXchung!$B$3:$B$57,0),INDEX($K$12:$N$25,MATCH($B161,$J$12:$J$25,0),K$11)))</f>
        <v/>
      </c>
      <c r="D161" s="808" t="str">
        <f>IF(B175="","",INDEX(NXchung!$B$3:$EP$57,MATCH(B175,NXchung!$B$3:$B$57,0),INDEX($K$12:$N$25,MATCH($B161,$J$12:$J$25,0),L$11)))</f>
        <v/>
      </c>
      <c r="E161" s="805" t="str">
        <f>IF(B175="","",INDEX(NXchung!$B$3:$EP$57,MATCH(B175,NXchung!$B$3:$B$57,0),INDEX($K$12:$N$25,MATCH($B161,$J$12:$J$25,0),M$11)))</f>
        <v/>
      </c>
      <c r="F161" s="808" t="str">
        <f>IF(B175="","",INDEX(NXchung!$B$3:$EP$57,MATCH(B175,NXchung!$B$3:$B$57,0),INDEX($K$12:$N$25,MATCH($B161,$J$12:$J$25,0),N$11)))</f>
        <v/>
      </c>
      <c r="G161" s="805"/>
      <c r="I161" s="64"/>
      <c r="J161" s="64"/>
    </row>
    <row r="162" spans="1:10" ht="45.9" customHeight="1">
      <c r="A162" s="803" t="s">
        <v>196</v>
      </c>
      <c r="B162" s="813" t="s">
        <v>30</v>
      </c>
      <c r="C162" s="805" t="str">
        <f>IF(B175="","",INDEX(NXchung!$B$3:$EP$57,MATCH(B175,NXchung!$B$3:$B$57,0),INDEX($K$12:$N$25,MATCH($B162,$J$12:$J$25,0),K$11)))</f>
        <v/>
      </c>
      <c r="D162" s="808" t="str">
        <f>IF(B175="","",INDEX(NXchung!$B$3:$EP$57,MATCH(B175,NXchung!$B$3:$B$57,0),INDEX($K$12:$N$25,MATCH($B162,$J$12:$J$25,0),L$11)))</f>
        <v/>
      </c>
      <c r="E162" s="805" t="str">
        <f>IF(B175="","",INDEX(NXchung!$B$3:$EP$57,MATCH(B175,NXchung!$B$3:$B$57,0),INDEX($K$12:$N$25,MATCH($B162,$J$12:$J$25,0),M$11)))</f>
        <v/>
      </c>
      <c r="F162" s="808" t="str">
        <f>IF(B175="","",INDEX(NXchung!$B$3:$EP$57,MATCH(B175,NXchung!$B$3:$B$57,0),INDEX($K$12:$N$25,MATCH($B162,$J$12:$J$25,0),N$11)))</f>
        <v/>
      </c>
      <c r="G162" s="805"/>
      <c r="I162" s="64"/>
      <c r="J162" s="64"/>
    </row>
    <row r="163" spans="1:10" ht="45.9" customHeight="1">
      <c r="A163" s="803" t="s">
        <v>197</v>
      </c>
      <c r="B163" s="813" t="s">
        <v>31</v>
      </c>
      <c r="C163" s="805" t="str">
        <f>IF(B175="","",INDEX(NXchung!$B$3:$EP$57,MATCH(B175,NXchung!$B$3:$B$57,0),INDEX($K$12:$N$25,MATCH($B163,$J$12:$J$25,0),K$11)))</f>
        <v/>
      </c>
      <c r="D163" s="808" t="str">
        <f>IF(B175="","",INDEX(NXchung!$B$3:$EP$57,MATCH(B175,NXchung!$B$3:$B$57,0),INDEX($K$12:$N$25,MATCH($B163,$J$12:$J$25,0),L$11)))</f>
        <v/>
      </c>
      <c r="E163" s="805" t="str">
        <f>IF(B175="","",INDEX(NXchung!$B$3:$EP$57,MATCH(B175,NXchung!$B$3:$B$57,0),INDEX($K$12:$N$25,MATCH($B163,$J$12:$J$25,0),M$11)))</f>
        <v/>
      </c>
      <c r="F163" s="808" t="str">
        <f>IF(B175="","",INDEX(NXchung!$B$3:$EP$57,MATCH(B175,NXchung!$B$3:$B$57,0),INDEX($K$12:$N$25,MATCH($B163,$J$12:$J$25,0),N$11)))</f>
        <v/>
      </c>
      <c r="G163" s="805"/>
      <c r="I163" s="64"/>
      <c r="J163" s="64"/>
    </row>
    <row r="164" spans="1:10" ht="45.9" customHeight="1">
      <c r="A164" s="803" t="s">
        <v>198</v>
      </c>
      <c r="B164" s="813" t="s">
        <v>32</v>
      </c>
      <c r="C164" s="805" t="str">
        <f>IF(B175="","",INDEX(NXchung!$B$3:$EP$57,MATCH(B175,NXchung!$B$3:$B$57,0),INDEX($K$12:$N$25,MATCH($B164,$J$12:$J$25,0),K$11)))</f>
        <v/>
      </c>
      <c r="D164" s="808" t="str">
        <f>IF(B175="","",INDEX(NXchung!$B$3:$EP$57,MATCH(B175,NXchung!$B$3:$B$57,0),INDEX($K$12:$N$25,MATCH($B164,$J$12:$J$25,0),L$11)))</f>
        <v/>
      </c>
      <c r="E164" s="805" t="str">
        <f>IF(B175="","",INDEX(NXchung!$B$3:$EP$57,MATCH(B175,NXchung!$B$3:$B$57,0),INDEX($K$12:$N$25,MATCH($B164,$J$12:$J$25,0),M$11)))</f>
        <v/>
      </c>
      <c r="F164" s="808" t="str">
        <f>IF(B175="","",INDEX(NXchung!$B$3:$EP$57,MATCH(B175,NXchung!$B$3:$B$57,0),INDEX($K$12:$N$25,MATCH($B164,$J$12:$J$25,0),N$11)))</f>
        <v/>
      </c>
      <c r="G164" s="805"/>
      <c r="I164" s="64"/>
      <c r="J164" s="64"/>
    </row>
    <row r="165" spans="1:10" ht="45.9" customHeight="1">
      <c r="A165" s="803" t="s">
        <v>199</v>
      </c>
      <c r="B165" s="813" t="s">
        <v>33</v>
      </c>
      <c r="C165" s="805" t="str">
        <f>IF(B175="","",INDEX(NXchung!$B$3:$EP$57,MATCH(B175,NXchung!$B$3:$B$57,0),INDEX($K$12:$N$25,MATCH($B165,$J$12:$J$25,0),K$11)))</f>
        <v/>
      </c>
      <c r="D165" s="808" t="str">
        <f>IF(B175="","",INDEX(NXchung!$B$3:$EP$57,MATCH(B175,NXchung!$B$3:$B$57,0),INDEX($K$12:$N$25,MATCH($B165,$J$12:$J$25,0),L$11)))</f>
        <v/>
      </c>
      <c r="E165" s="805" t="str">
        <f>IF(B175="","",INDEX(NXchung!$B$3:$EP$57,MATCH(B175,NXchung!$B$3:$B$57,0),INDEX($K$12:$N$25,MATCH($B165,$J$12:$J$25,0),M$11)))</f>
        <v/>
      </c>
      <c r="F165" s="808" t="str">
        <f>IF(B175="","",INDEX(NXchung!$B$3:$EP$57,MATCH(B175,NXchung!$B$3:$B$57,0),INDEX($K$12:$N$25,MATCH($B165,$J$12:$J$25,0),N$11)))</f>
        <v/>
      </c>
      <c r="G165" s="805"/>
      <c r="I165" s="64"/>
      <c r="J165" s="64"/>
    </row>
    <row r="166" spans="1:10" ht="45.9" customHeight="1">
      <c r="A166" s="803" t="s">
        <v>200</v>
      </c>
      <c r="B166" s="813" t="s">
        <v>60</v>
      </c>
      <c r="C166" s="805" t="str">
        <f>IF(B175="","",INDEX(NXchung!$B$3:$EP$57,MATCH(B175,NXchung!$B$3:$B$57,0),INDEX($K$12:$N$25,MATCH($B166,$J$12:$J$25,0),K$11)))</f>
        <v/>
      </c>
      <c r="D166" s="808" t="str">
        <f>IF(B175="","",INDEX(NXchung!$B$3:$EP$57,MATCH(B175,NXchung!$B$3:$B$57,0),INDEX($K$12:$N$25,MATCH($B166,$J$12:$J$25,0),L$11)))</f>
        <v/>
      </c>
      <c r="E166" s="805" t="str">
        <f>IF(B175="","",INDEX(NXchung!$B$3:$EP$57,MATCH(B175,NXchung!$B$3:$B$57,0),INDEX($K$12:$N$25,MATCH($B166,$J$12:$J$25,0),M$11)))</f>
        <v/>
      </c>
      <c r="F166" s="808" t="str">
        <f>IF(B175="","",INDEX(NXchung!$B$3:$EP$57,MATCH(B175,NXchung!$B$3:$B$57,0),INDEX($K$12:$N$25,MATCH($B166,$J$12:$J$25,0),N$11)))</f>
        <v/>
      </c>
      <c r="G166" s="805"/>
      <c r="I166" s="64"/>
      <c r="J166" s="64"/>
    </row>
    <row r="167" spans="1:10" ht="45.9" customHeight="1">
      <c r="A167" s="803" t="s">
        <v>201</v>
      </c>
      <c r="B167" s="813" t="s">
        <v>34</v>
      </c>
      <c r="C167" s="805" t="str">
        <f>IF(B175="","",INDEX(NXchung!$B$3:$EP$57,MATCH(B175,NXchung!$B$3:$B$57,0),INDEX($K$12:$N$25,MATCH($B167,$J$12:$J$25,0),K$11)))</f>
        <v/>
      </c>
      <c r="D167" s="808" t="str">
        <f>IF(B175="","",INDEX(NXchung!$B$3:$EP$57,MATCH(B175,NXchung!$B$3:$B$57,0),INDEX($K$12:$N$25,MATCH($B167,$J$12:$J$25,0),L$11)))</f>
        <v/>
      </c>
      <c r="E167" s="805" t="str">
        <f>IF(B175="","",INDEX(NXchung!$B$3:$EP$57,MATCH(B175,NXchung!$B$3:$B$57,0),INDEX($K$12:$N$25,MATCH($B167,$J$12:$J$25,0),M$11)))</f>
        <v/>
      </c>
      <c r="F167" s="808" t="str">
        <f>IF(B175="","",INDEX(NXchung!$B$3:$EP$57,MATCH(B175,NXchung!$B$3:$B$57,0),INDEX($K$12:$N$25,MATCH($B167,$J$12:$J$25,0),N$11)))</f>
        <v/>
      </c>
      <c r="G167" s="805"/>
      <c r="I167" s="64"/>
      <c r="J167" s="64"/>
    </row>
    <row r="168" spans="1:10" ht="45.9" customHeight="1">
      <c r="A168" s="803" t="s">
        <v>202</v>
      </c>
      <c r="B168" s="813" t="s">
        <v>35</v>
      </c>
      <c r="C168" s="805" t="str">
        <f>IF(B175="","",INDEX(NXchung!$B$3:$EP$57,MATCH(B175,NXchung!$B$3:$B$57,0),INDEX($K$12:$N$25,MATCH($B168,$J$12:$J$25,0),K$11)))</f>
        <v/>
      </c>
      <c r="D168" s="808" t="str">
        <f>IF(B175="","",INDEX(NXchung!$B$3:$EP$57,MATCH(B175,NXchung!$B$3:$B$57,0),INDEX($K$12:$N$25,MATCH($B168,$J$12:$J$25,0),L$11)))</f>
        <v/>
      </c>
      <c r="E168" s="805" t="str">
        <f>IF(B175="","",INDEX(NXchung!$B$3:$EP$57,MATCH(B175,NXchung!$B$3:$B$57,0),INDEX($K$12:$N$25,MATCH($B168,$J$12:$J$25,0),M$11)))</f>
        <v>Đ</v>
      </c>
      <c r="F168" s="808" t="str">
        <f>IF(B175="","",INDEX(NXchung!$B$3:$EP$57,MATCH(B175,NXchung!$B$3:$B$57,0),INDEX($K$12:$N$25,MATCH($B168,$J$12:$J$25,0),N$11)))</f>
        <v>Giỏi, có nhiều tiến bộ trong học tập.</v>
      </c>
      <c r="G168" s="805"/>
      <c r="I168" s="64"/>
      <c r="J168" s="64"/>
    </row>
    <row r="169" spans="1:10" ht="45.9" customHeight="1">
      <c r="A169" s="803" t="s">
        <v>203</v>
      </c>
      <c r="B169" s="813" t="s">
        <v>121</v>
      </c>
      <c r="C169" s="805" t="str">
        <f>IF(B175="","",INDEX(NXchung!$B$3:$EP$57,MATCH(B175,NXchung!$B$3:$B$57,0),INDEX($K$12:$N$25,MATCH($B169,$J$12:$J$25,0),K$11)))</f>
        <v/>
      </c>
      <c r="D169" s="808" t="str">
        <f>IF(B175="","",INDEX(NXchung!$B$3:$EP$57,MATCH(B175,NXchung!$B$3:$B$57,0),INDEX($K$12:$N$25,MATCH($B169,$J$12:$J$25,0),L$11)))</f>
        <v/>
      </c>
      <c r="E169" s="805" t="str">
        <f>IF(B175="","",INDEX(NXchung!$B$3:$EP$57,MATCH(B175,NXchung!$B$3:$B$57,0),INDEX($K$12:$N$25,MATCH($B169,$J$12:$J$25,0),M$11)))</f>
        <v/>
      </c>
      <c r="F169" s="808" t="str">
        <f>IF(B175="","",INDEX(NXchung!$B$3:$EP$57,MATCH(B175,NXchung!$B$3:$B$57,0),INDEX($K$12:$N$25,MATCH($B169,$J$12:$J$25,0),N$11)))</f>
        <v/>
      </c>
      <c r="G169" s="805"/>
      <c r="I169" s="64"/>
      <c r="J169" s="64"/>
    </row>
    <row r="170" spans="1:10" ht="45.9" customHeight="1">
      <c r="A170" s="803" t="s">
        <v>204</v>
      </c>
      <c r="B170" s="813" t="s">
        <v>122</v>
      </c>
      <c r="C170" s="805" t="str">
        <f>IF(B175="","",INDEX(NXchung!$B$3:$EP$57,MATCH(B175,NXchung!$B$3:$B$57,0),INDEX($K$12:$N$25,MATCH($B170,$J$12:$J$25,0),K$11)))</f>
        <v/>
      </c>
      <c r="D170" s="808" t="str">
        <f>IF(B175="","",INDEX(NXchung!$B$3:$EP$57,MATCH(B175,NXchung!$B$3:$B$57,0),INDEX($K$12:$N$25,MATCH($B170,$J$12:$J$25,0),L$11)))</f>
        <v/>
      </c>
      <c r="E170" s="805" t="str">
        <f>IF(B175="","",INDEX(NXchung!$B$3:$EP$57,MATCH(B175,NXchung!$B$3:$B$57,0),INDEX($K$12:$N$25,MATCH($B170,$J$12:$J$25,0),M$11)))</f>
        <v/>
      </c>
      <c r="F170" s="808" t="str">
        <f>IF(B175="","",INDEX(NXchung!$B$3:$EP$57,MATCH(B175,NXchung!$B$3:$B$57,0),INDEX($K$12:$N$25,MATCH($B170,$J$12:$J$25,0),N$11)))</f>
        <v/>
      </c>
      <c r="G170" s="805"/>
      <c r="I170" s="64"/>
      <c r="J170" s="64"/>
    </row>
    <row r="171" spans="1:10" s="60" customFormat="1" ht="6" customHeight="1">
      <c r="A171" s="67"/>
      <c r="B171" s="67"/>
      <c r="C171" s="475"/>
      <c r="D171" s="475"/>
      <c r="E171" s="67"/>
      <c r="F171" s="67"/>
      <c r="G171" s="67"/>
    </row>
    <row r="172" spans="1:10" ht="17.25" customHeight="1">
      <c r="D172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72" s="1163"/>
      <c r="F172" s="1163"/>
      <c r="G172" s="1163"/>
      <c r="H172" s="814"/>
    </row>
    <row r="173" spans="1:10" ht="16.5" customHeight="1">
      <c r="D173" s="992" t="s">
        <v>377</v>
      </c>
      <c r="E173" s="992"/>
      <c r="F173" s="992"/>
      <c r="G173" s="992"/>
      <c r="H173" s="814"/>
    </row>
    <row r="174" spans="1:10" ht="81.75" customHeight="1">
      <c r="D174" s="931" t="str">
        <f>IF('Huong dan'!$E$5="","",'Huong dan'!$E$5)</f>
        <v/>
      </c>
      <c r="E174" s="931"/>
      <c r="F174" s="931"/>
      <c r="G174" s="931"/>
      <c r="H174" s="814"/>
    </row>
    <row r="175" spans="1:10" ht="11.25" customHeight="1">
      <c r="A175" s="75"/>
      <c r="B175" s="815">
        <f>IF(B146="","",IF(B146&lt;MAX(DiemHKII!$B$4:$B$58),B146+1,""))</f>
        <v>6</v>
      </c>
      <c r="C175" s="75"/>
      <c r="D175" s="75"/>
      <c r="E175" s="75"/>
      <c r="F175" s="75"/>
      <c r="G175" s="75"/>
    </row>
    <row r="176" spans="1:10" s="60" customFormat="1" ht="21" customHeight="1">
      <c r="A176" s="1128" t="str">
        <f>IF('Huong dan'!$E$3&lt;&gt;"","SỞ GIÁO DỤC VÀ ĐÀO TẠO "&amp;UPPER('Huong dan'!$E$3),"")</f>
        <v>SỞ GIÁO DỤC VÀ ĐÀO TẠO TP. HỒ CHÍ MINH</v>
      </c>
      <c r="B176" s="1128"/>
      <c r="C176" s="1128"/>
      <c r="D176" s="1128"/>
      <c r="E176" s="1129" t="s">
        <v>19</v>
      </c>
      <c r="F176" s="1129"/>
      <c r="G176" s="1129"/>
    </row>
    <row r="177" spans="1:10" ht="17.25" customHeight="1">
      <c r="A177" s="992" t="str">
        <f>IF('Huong dan'!$E$4&lt;&gt;"","TRƯỜNG "&amp;UPPER('Huong dan'!$E$4),"")</f>
        <v>TRƯỜNG THCS VÀ THPT NGUYỄN KHUYẾN</v>
      </c>
      <c r="B177" s="992"/>
      <c r="C177" s="992"/>
      <c r="D177" s="992"/>
      <c r="E177" s="1130" t="s">
        <v>179</v>
      </c>
      <c r="F177" s="1130"/>
      <c r="G177" s="1130"/>
    </row>
    <row r="178" spans="1:10" ht="15" customHeight="1">
      <c r="A178" s="69"/>
      <c r="B178" s="69"/>
      <c r="C178" s="30"/>
    </row>
    <row r="179" spans="1:10" ht="27.75" customHeight="1">
      <c r="A179" s="1013" t="s">
        <v>567</v>
      </c>
      <c r="B179" s="1013"/>
      <c r="C179" s="1013"/>
      <c r="D179" s="1013"/>
      <c r="E179" s="1013"/>
      <c r="F179" s="1013"/>
      <c r="G179" s="1013"/>
    </row>
    <row r="180" spans="1:10" ht="24" customHeight="1">
      <c r="A180" s="1013" t="str">
        <f>"HỌC KỲ II VÀ CẢ NĂM - NĂM HỌC "&amp;'Huong dan'!$C$5</f>
        <v>HỌC KỲ II VÀ CẢ NĂM - NĂM HỌC 2021 - 2022</v>
      </c>
      <c r="B180" s="1013"/>
      <c r="C180" s="1013"/>
      <c r="D180" s="1013"/>
      <c r="E180" s="1013"/>
      <c r="F180" s="1013"/>
      <c r="G180" s="1013"/>
    </row>
    <row r="181" spans="1:10" ht="9" customHeight="1">
      <c r="A181" s="70"/>
      <c r="B181" s="66"/>
      <c r="C181" s="66"/>
      <c r="D181" s="66"/>
      <c r="E181" s="66"/>
      <c r="F181" s="66"/>
      <c r="G181" s="66"/>
    </row>
    <row r="182" spans="1:10" ht="18.75" customHeight="1">
      <c r="A182" s="1167" t="s">
        <v>212</v>
      </c>
      <c r="B182" s="1167"/>
      <c r="C182" s="1167"/>
      <c r="D182" s="1167" t="str">
        <f>IF(B204="","",INDEX(NXchung!$B$3:$EP$57,MATCH(B204,NXchung!$B$3:$B$57,0),3)&amp;" "&amp;INDEX(NXchung!$B$3:$EP$57,MATCH(B204,NXchung!$B$3:$B$57,0),4))</f>
        <v>Nguyễn Phúc Bình</v>
      </c>
      <c r="E182" s="1167"/>
      <c r="F182" s="77" t="str">
        <f>IF('Huong dan'!$C$3="","","Lớp: "&amp;'Huong dan'!$C$3)</f>
        <v>Lớp: 12A1</v>
      </c>
      <c r="G182" s="71"/>
    </row>
    <row r="183" spans="1:10" ht="18.75" customHeight="1">
      <c r="A183" s="1168" t="s">
        <v>213</v>
      </c>
      <c r="B183" s="1168"/>
      <c r="C183" s="1168"/>
      <c r="D183" s="77" t="str">
        <f>INDEX(NXchung!$B$3:$EP$57,MATCH(B204,NXchung!$B$3:$B$57,0),5)</f>
        <v>20/06/2004</v>
      </c>
      <c r="F183" s="841" t="str">
        <f>IF(B204="","","Nơi sinh: "&amp;INDEX(DiemHKII!$H$4:$H$58,MATCH(B204,DiemHKII!$B$4:$B$58,0),1))</f>
        <v xml:space="preserve">Nơi sinh: </v>
      </c>
      <c r="G183" s="77"/>
    </row>
    <row r="184" spans="1:10" ht="9.75" customHeight="1">
      <c r="A184" s="62"/>
      <c r="B184" s="62"/>
      <c r="C184" s="62"/>
      <c r="D184" s="62"/>
      <c r="E184" s="62"/>
      <c r="F184" s="62"/>
      <c r="G184" s="63"/>
    </row>
    <row r="185" spans="1:10" ht="31.5" customHeight="1">
      <c r="A185" s="801" t="s">
        <v>0</v>
      </c>
      <c r="B185" s="801" t="s">
        <v>59</v>
      </c>
      <c r="C185" s="806" t="s">
        <v>661</v>
      </c>
      <c r="D185" s="801" t="s">
        <v>296</v>
      </c>
      <c r="E185" s="806" t="s">
        <v>662</v>
      </c>
      <c r="F185" s="801" t="s">
        <v>361</v>
      </c>
      <c r="G185" s="802" t="s">
        <v>569</v>
      </c>
    </row>
    <row r="186" spans="1:10" ht="45.9" customHeight="1">
      <c r="A186" s="803" t="s">
        <v>191</v>
      </c>
      <c r="B186" s="813" t="s">
        <v>26</v>
      </c>
      <c r="C186" s="805" t="str">
        <f>IF(B204="","",INDEX(NXchung!$B$3:$EP$57,MATCH(B204,NXchung!$B$3:$B$57,0),INDEX($K$12:$N$25,MATCH($B186,$J$12:$J$25,0),K$11)))</f>
        <v/>
      </c>
      <c r="D186" s="808" t="str">
        <f>IF(B204="","",INDEX(NXchung!$B$3:$EP$57,MATCH(B204,NXchung!$B$3:$B$57,0),INDEX($K$12:$N$25,MATCH($B186,$J$12:$J$25,0),L$11)))</f>
        <v/>
      </c>
      <c r="E186" s="805" t="str">
        <f>IF(B204="","",INDEX(NXchung!$B$3:$EP$57,MATCH(B204,NXchung!$B$3:$B$57,0),INDEX($K$12:$N$25,MATCH($B186,$J$12:$J$25,0),M$11)))</f>
        <v/>
      </c>
      <c r="F186" s="808" t="str">
        <f>IF(B204="","",INDEX(NXchung!$B$3:$EP$57,MATCH(B204,NXchung!$B$3:$B$57,0),INDEX($K$12:$N$25,MATCH($B186,$J$12:$J$25,0),N$11)))</f>
        <v/>
      </c>
      <c r="G186" s="805"/>
      <c r="I186" s="64"/>
      <c r="J186" s="64"/>
    </row>
    <row r="187" spans="1:10" ht="45.9" customHeight="1">
      <c r="A187" s="803" t="s">
        <v>192</v>
      </c>
      <c r="B187" s="813" t="s">
        <v>27</v>
      </c>
      <c r="C187" s="805" t="str">
        <f>IF(B204="","",INDEX(NXchung!$B$3:$EP$57,MATCH(B204,NXchung!$B$3:$B$57,0),INDEX($K$12:$N$25,MATCH($B187,$J$12:$J$25,0),K$11)))</f>
        <v/>
      </c>
      <c r="D187" s="808" t="str">
        <f>IF(B204="","",INDEX(NXchung!$B$3:$EP$57,MATCH(B204,NXchung!$B$3:$B$57,0),INDEX($K$12:$N$25,MATCH($B187,$J$12:$J$25,0),L$11)))</f>
        <v/>
      </c>
      <c r="E187" s="805" t="str">
        <f>IF(B204="","",INDEX(NXchung!$B$3:$EP$57,MATCH(B204,NXchung!$B$3:$B$57,0),INDEX($K$12:$N$25,MATCH($B187,$J$12:$J$25,0),M$11)))</f>
        <v/>
      </c>
      <c r="F187" s="808" t="str">
        <f>IF(B204="","",INDEX(NXchung!$B$3:$EP$57,MATCH(B204,NXchung!$B$3:$B$57,0),INDEX($K$12:$N$25,MATCH($B187,$J$12:$J$25,0),N$11)))</f>
        <v/>
      </c>
      <c r="G187" s="805"/>
      <c r="I187" s="64"/>
      <c r="J187" s="64"/>
    </row>
    <row r="188" spans="1:10" ht="45.9" customHeight="1">
      <c r="A188" s="803" t="s">
        <v>193</v>
      </c>
      <c r="B188" s="813" t="s">
        <v>28</v>
      </c>
      <c r="C188" s="805" t="str">
        <f>IF(B204="","",INDEX(NXchung!$B$3:$EP$57,MATCH(B204,NXchung!$B$3:$B$57,0),INDEX($K$12:$N$25,MATCH($B188,$J$12:$J$25,0),K$11)))</f>
        <v/>
      </c>
      <c r="D188" s="808" t="str">
        <f>IF(B204="","",INDEX(NXchung!$B$3:$EP$57,MATCH(B204,NXchung!$B$3:$B$57,0),INDEX($K$12:$N$25,MATCH($B188,$J$12:$J$25,0),L$11)))</f>
        <v/>
      </c>
      <c r="E188" s="805" t="str">
        <f>IF(B204="","",INDEX(NXchung!$B$3:$EP$57,MATCH(B204,NXchung!$B$3:$B$57,0),INDEX($K$12:$N$25,MATCH($B188,$J$12:$J$25,0),M$11)))</f>
        <v/>
      </c>
      <c r="F188" s="808" t="str">
        <f>IF(B204="","",INDEX(NXchung!$B$3:$EP$57,MATCH(B204,NXchung!$B$3:$B$57,0),INDEX($K$12:$N$25,MATCH($B188,$J$12:$J$25,0),N$11)))</f>
        <v/>
      </c>
      <c r="G188" s="805"/>
      <c r="I188" s="64"/>
      <c r="J188" s="64"/>
    </row>
    <row r="189" spans="1:10" ht="45.9" customHeight="1">
      <c r="A189" s="803" t="s">
        <v>194</v>
      </c>
      <c r="B189" s="813" t="s">
        <v>29</v>
      </c>
      <c r="C189" s="805" t="str">
        <f>IF(B204="","",INDEX(NXchung!$B$3:$EP$57,MATCH(B204,NXchung!$B$3:$B$57,0),INDEX($K$12:$N$25,MATCH($B189,$J$12:$J$25,0),K$11)))</f>
        <v/>
      </c>
      <c r="D189" s="808" t="str">
        <f>IF(B204="","",INDEX(NXchung!$B$3:$EP$57,MATCH(B204,NXchung!$B$3:$B$57,0),INDEX($K$12:$N$25,MATCH($B189,$J$12:$J$25,0),L$11)))</f>
        <v/>
      </c>
      <c r="E189" s="805" t="str">
        <f>IF(B204="","",INDEX(NXchung!$B$3:$EP$57,MATCH(B204,NXchung!$B$3:$B$57,0),INDEX($K$12:$N$25,MATCH($B189,$J$12:$J$25,0),M$11)))</f>
        <v/>
      </c>
      <c r="F189" s="808" t="str">
        <f>IF(B204="","",INDEX(NXchung!$B$3:$EP$57,MATCH(B204,NXchung!$B$3:$B$57,0),INDEX($K$12:$N$25,MATCH($B189,$J$12:$J$25,0),N$11)))</f>
        <v/>
      </c>
      <c r="G189" s="805"/>
      <c r="I189" s="64"/>
      <c r="J189" s="64"/>
    </row>
    <row r="190" spans="1:10" ht="45.9" customHeight="1">
      <c r="A190" s="803" t="s">
        <v>195</v>
      </c>
      <c r="B190" s="813" t="s">
        <v>120</v>
      </c>
      <c r="C190" s="805" t="str">
        <f>IF(B204="","",INDEX(NXchung!$B$3:$EP$57,MATCH(B204,NXchung!$B$3:$B$57,0),INDEX($K$12:$N$25,MATCH($B190,$J$12:$J$25,0),K$11)))</f>
        <v/>
      </c>
      <c r="D190" s="808" t="str">
        <f>IF(B204="","",INDEX(NXchung!$B$3:$EP$57,MATCH(B204,NXchung!$B$3:$B$57,0),INDEX($K$12:$N$25,MATCH($B190,$J$12:$J$25,0),L$11)))</f>
        <v/>
      </c>
      <c r="E190" s="805" t="str">
        <f>IF(B204="","",INDEX(NXchung!$B$3:$EP$57,MATCH(B204,NXchung!$B$3:$B$57,0),INDEX($K$12:$N$25,MATCH($B190,$J$12:$J$25,0),M$11)))</f>
        <v/>
      </c>
      <c r="F190" s="808" t="str">
        <f>IF(B204="","",INDEX(NXchung!$B$3:$EP$57,MATCH(B204,NXchung!$B$3:$B$57,0),INDEX($K$12:$N$25,MATCH($B190,$J$12:$J$25,0),N$11)))</f>
        <v/>
      </c>
      <c r="G190" s="805"/>
      <c r="I190" s="64"/>
      <c r="J190" s="64"/>
    </row>
    <row r="191" spans="1:10" ht="45.9" customHeight="1">
      <c r="A191" s="803" t="s">
        <v>196</v>
      </c>
      <c r="B191" s="813" t="s">
        <v>30</v>
      </c>
      <c r="C191" s="805" t="str">
        <f>IF(B204="","",INDEX(NXchung!$B$3:$EP$57,MATCH(B204,NXchung!$B$3:$B$57,0),INDEX($K$12:$N$25,MATCH($B191,$J$12:$J$25,0),K$11)))</f>
        <v/>
      </c>
      <c r="D191" s="808" t="str">
        <f>IF(B204="","",INDEX(NXchung!$B$3:$EP$57,MATCH(B204,NXchung!$B$3:$B$57,0),INDEX($K$12:$N$25,MATCH($B191,$J$12:$J$25,0),L$11)))</f>
        <v/>
      </c>
      <c r="E191" s="805" t="str">
        <f>IF(B204="","",INDEX(NXchung!$B$3:$EP$57,MATCH(B204,NXchung!$B$3:$B$57,0),INDEX($K$12:$N$25,MATCH($B191,$J$12:$J$25,0),M$11)))</f>
        <v/>
      </c>
      <c r="F191" s="808" t="str">
        <f>IF(B204="","",INDEX(NXchung!$B$3:$EP$57,MATCH(B204,NXchung!$B$3:$B$57,0),INDEX($K$12:$N$25,MATCH($B191,$J$12:$J$25,0),N$11)))</f>
        <v/>
      </c>
      <c r="G191" s="805"/>
      <c r="I191" s="64"/>
      <c r="J191" s="64"/>
    </row>
    <row r="192" spans="1:10" ht="45.9" customHeight="1">
      <c r="A192" s="803" t="s">
        <v>197</v>
      </c>
      <c r="B192" s="813" t="s">
        <v>31</v>
      </c>
      <c r="C192" s="805" t="str">
        <f>IF(B204="","",INDEX(NXchung!$B$3:$EP$57,MATCH(B204,NXchung!$B$3:$B$57,0),INDEX($K$12:$N$25,MATCH($B192,$J$12:$J$25,0),K$11)))</f>
        <v/>
      </c>
      <c r="D192" s="808" t="str">
        <f>IF(B204="","",INDEX(NXchung!$B$3:$EP$57,MATCH(B204,NXchung!$B$3:$B$57,0),INDEX($K$12:$N$25,MATCH($B192,$J$12:$J$25,0),L$11)))</f>
        <v/>
      </c>
      <c r="E192" s="805" t="str">
        <f>IF(B204="","",INDEX(NXchung!$B$3:$EP$57,MATCH(B204,NXchung!$B$3:$B$57,0),INDEX($K$12:$N$25,MATCH($B192,$J$12:$J$25,0),M$11)))</f>
        <v/>
      </c>
      <c r="F192" s="808" t="str">
        <f>IF(B204="","",INDEX(NXchung!$B$3:$EP$57,MATCH(B204,NXchung!$B$3:$B$57,0),INDEX($K$12:$N$25,MATCH($B192,$J$12:$J$25,0),N$11)))</f>
        <v/>
      </c>
      <c r="G192" s="805"/>
      <c r="I192" s="64"/>
      <c r="J192" s="64"/>
    </row>
    <row r="193" spans="1:10" ht="45.9" customHeight="1">
      <c r="A193" s="803" t="s">
        <v>198</v>
      </c>
      <c r="B193" s="813" t="s">
        <v>32</v>
      </c>
      <c r="C193" s="805" t="str">
        <f>IF(B204="","",INDEX(NXchung!$B$3:$EP$57,MATCH(B204,NXchung!$B$3:$B$57,0),INDEX($K$12:$N$25,MATCH($B193,$J$12:$J$25,0),K$11)))</f>
        <v/>
      </c>
      <c r="D193" s="808" t="str">
        <f>IF(B204="","",INDEX(NXchung!$B$3:$EP$57,MATCH(B204,NXchung!$B$3:$B$57,0),INDEX($K$12:$N$25,MATCH($B193,$J$12:$J$25,0),L$11)))</f>
        <v/>
      </c>
      <c r="E193" s="805" t="str">
        <f>IF(B204="","",INDEX(NXchung!$B$3:$EP$57,MATCH(B204,NXchung!$B$3:$B$57,0),INDEX($K$12:$N$25,MATCH($B193,$J$12:$J$25,0),M$11)))</f>
        <v/>
      </c>
      <c r="F193" s="808" t="str">
        <f>IF(B204="","",INDEX(NXchung!$B$3:$EP$57,MATCH(B204,NXchung!$B$3:$B$57,0),INDEX($K$12:$N$25,MATCH($B193,$J$12:$J$25,0),N$11)))</f>
        <v/>
      </c>
      <c r="G193" s="805"/>
      <c r="I193" s="64"/>
      <c r="J193" s="64"/>
    </row>
    <row r="194" spans="1:10" ht="45.9" customHeight="1">
      <c r="A194" s="803" t="s">
        <v>199</v>
      </c>
      <c r="B194" s="813" t="s">
        <v>33</v>
      </c>
      <c r="C194" s="805" t="str">
        <f>IF(B204="","",INDEX(NXchung!$B$3:$EP$57,MATCH(B204,NXchung!$B$3:$B$57,0),INDEX($K$12:$N$25,MATCH($B194,$J$12:$J$25,0),K$11)))</f>
        <v/>
      </c>
      <c r="D194" s="808" t="str">
        <f>IF(B204="","",INDEX(NXchung!$B$3:$EP$57,MATCH(B204,NXchung!$B$3:$B$57,0),INDEX($K$12:$N$25,MATCH($B194,$J$12:$J$25,0),L$11)))</f>
        <v/>
      </c>
      <c r="E194" s="805" t="str">
        <f>IF(B204="","",INDEX(NXchung!$B$3:$EP$57,MATCH(B204,NXchung!$B$3:$B$57,0),INDEX($K$12:$N$25,MATCH($B194,$J$12:$J$25,0),M$11)))</f>
        <v/>
      </c>
      <c r="F194" s="808" t="str">
        <f>IF(B204="","",INDEX(NXchung!$B$3:$EP$57,MATCH(B204,NXchung!$B$3:$B$57,0),INDEX($K$12:$N$25,MATCH($B194,$J$12:$J$25,0),N$11)))</f>
        <v/>
      </c>
      <c r="G194" s="805"/>
      <c r="I194" s="64"/>
      <c r="J194" s="64"/>
    </row>
    <row r="195" spans="1:10" ht="45.9" customHeight="1">
      <c r="A195" s="803" t="s">
        <v>200</v>
      </c>
      <c r="B195" s="813" t="s">
        <v>60</v>
      </c>
      <c r="C195" s="805" t="str">
        <f>IF(B204="","",INDEX(NXchung!$B$3:$EP$57,MATCH(B204,NXchung!$B$3:$B$57,0),INDEX($K$12:$N$25,MATCH($B195,$J$12:$J$25,0),K$11)))</f>
        <v/>
      </c>
      <c r="D195" s="808" t="str">
        <f>IF(B204="","",INDEX(NXchung!$B$3:$EP$57,MATCH(B204,NXchung!$B$3:$B$57,0),INDEX($K$12:$N$25,MATCH($B195,$J$12:$J$25,0),L$11)))</f>
        <v/>
      </c>
      <c r="E195" s="805" t="str">
        <f>IF(B204="","",INDEX(NXchung!$B$3:$EP$57,MATCH(B204,NXchung!$B$3:$B$57,0),INDEX($K$12:$N$25,MATCH($B195,$J$12:$J$25,0),M$11)))</f>
        <v/>
      </c>
      <c r="F195" s="808" t="str">
        <f>IF(B204="","",INDEX(NXchung!$B$3:$EP$57,MATCH(B204,NXchung!$B$3:$B$57,0),INDEX($K$12:$N$25,MATCH($B195,$J$12:$J$25,0),N$11)))</f>
        <v/>
      </c>
      <c r="G195" s="805"/>
      <c r="I195" s="64"/>
      <c r="J195" s="64"/>
    </row>
    <row r="196" spans="1:10" ht="45.9" customHeight="1">
      <c r="A196" s="803" t="s">
        <v>201</v>
      </c>
      <c r="B196" s="813" t="s">
        <v>34</v>
      </c>
      <c r="C196" s="805" t="str">
        <f>IF(B204="","",INDEX(NXchung!$B$3:$EP$57,MATCH(B204,NXchung!$B$3:$B$57,0),INDEX($K$12:$N$25,MATCH($B196,$J$12:$J$25,0),K$11)))</f>
        <v/>
      </c>
      <c r="D196" s="808" t="str">
        <f>IF(B204="","",INDEX(NXchung!$B$3:$EP$57,MATCH(B204,NXchung!$B$3:$B$57,0),INDEX($K$12:$N$25,MATCH($B196,$J$12:$J$25,0),L$11)))</f>
        <v/>
      </c>
      <c r="E196" s="805" t="str">
        <f>IF(B204="","",INDEX(NXchung!$B$3:$EP$57,MATCH(B204,NXchung!$B$3:$B$57,0),INDEX($K$12:$N$25,MATCH($B196,$J$12:$J$25,0),M$11)))</f>
        <v/>
      </c>
      <c r="F196" s="808" t="str">
        <f>IF(B204="","",INDEX(NXchung!$B$3:$EP$57,MATCH(B204,NXchung!$B$3:$B$57,0),INDEX($K$12:$N$25,MATCH($B196,$J$12:$J$25,0),N$11)))</f>
        <v/>
      </c>
      <c r="G196" s="805"/>
      <c r="I196" s="64"/>
      <c r="J196" s="64"/>
    </row>
    <row r="197" spans="1:10" ht="45.9" customHeight="1">
      <c r="A197" s="803" t="s">
        <v>202</v>
      </c>
      <c r="B197" s="813" t="s">
        <v>35</v>
      </c>
      <c r="C197" s="805" t="str">
        <f>IF(B204="","",INDEX(NXchung!$B$3:$EP$57,MATCH(B204,NXchung!$B$3:$B$57,0),INDEX($K$12:$N$25,MATCH($B197,$J$12:$J$25,0),K$11)))</f>
        <v/>
      </c>
      <c r="D197" s="808" t="str">
        <f>IF(B204="","",INDEX(NXchung!$B$3:$EP$57,MATCH(B204,NXchung!$B$3:$B$57,0),INDEX($K$12:$N$25,MATCH($B197,$J$12:$J$25,0),L$11)))</f>
        <v/>
      </c>
      <c r="E197" s="805" t="str">
        <f>IF(B204="","",INDEX(NXchung!$B$3:$EP$57,MATCH(B204,NXchung!$B$3:$B$57,0),INDEX($K$12:$N$25,MATCH($B197,$J$12:$J$25,0),M$11)))</f>
        <v>Đ</v>
      </c>
      <c r="F197" s="808" t="str">
        <f>IF(B204="","",INDEX(NXchung!$B$3:$EP$57,MATCH(B204,NXchung!$B$3:$B$57,0),INDEX($K$12:$N$25,MATCH($B197,$J$12:$J$25,0),N$11)))</f>
        <v>Rất ngoan, học có hiệu quả tốt.</v>
      </c>
      <c r="G197" s="805"/>
      <c r="I197" s="64"/>
      <c r="J197" s="64"/>
    </row>
    <row r="198" spans="1:10" ht="45.9" customHeight="1">
      <c r="A198" s="803" t="s">
        <v>203</v>
      </c>
      <c r="B198" s="813" t="s">
        <v>121</v>
      </c>
      <c r="C198" s="805" t="str">
        <f>IF(B204="","",INDEX(NXchung!$B$3:$EP$57,MATCH(B204,NXchung!$B$3:$B$57,0),INDEX($K$12:$N$25,MATCH($B198,$J$12:$J$25,0),K$11)))</f>
        <v/>
      </c>
      <c r="D198" s="808" t="str">
        <f>IF(B204="","",INDEX(NXchung!$B$3:$EP$57,MATCH(B204,NXchung!$B$3:$B$57,0),INDEX($K$12:$N$25,MATCH($B198,$J$12:$J$25,0),L$11)))</f>
        <v/>
      </c>
      <c r="E198" s="805" t="str">
        <f>IF(B204="","",INDEX(NXchung!$B$3:$EP$57,MATCH(B204,NXchung!$B$3:$B$57,0),INDEX($K$12:$N$25,MATCH($B198,$J$12:$J$25,0),M$11)))</f>
        <v/>
      </c>
      <c r="F198" s="808" t="str">
        <f>IF(B204="","",INDEX(NXchung!$B$3:$EP$57,MATCH(B204,NXchung!$B$3:$B$57,0),INDEX($K$12:$N$25,MATCH($B198,$J$12:$J$25,0),N$11)))</f>
        <v/>
      </c>
      <c r="G198" s="805"/>
      <c r="I198" s="64"/>
      <c r="J198" s="64"/>
    </row>
    <row r="199" spans="1:10" ht="45.9" customHeight="1">
      <c r="A199" s="803" t="s">
        <v>204</v>
      </c>
      <c r="B199" s="813" t="s">
        <v>122</v>
      </c>
      <c r="C199" s="805" t="str">
        <f>IF(B204="","",INDEX(NXchung!$B$3:$EP$57,MATCH(B204,NXchung!$B$3:$B$57,0),INDEX($K$12:$N$25,MATCH($B199,$J$12:$J$25,0),K$11)))</f>
        <v/>
      </c>
      <c r="D199" s="808" t="str">
        <f>IF(B204="","",INDEX(NXchung!$B$3:$EP$57,MATCH(B204,NXchung!$B$3:$B$57,0),INDEX($K$12:$N$25,MATCH($B199,$J$12:$J$25,0),L$11)))</f>
        <v/>
      </c>
      <c r="E199" s="805" t="str">
        <f>IF(B204="","",INDEX(NXchung!$B$3:$EP$57,MATCH(B204,NXchung!$B$3:$B$57,0),INDEX($K$12:$N$25,MATCH($B199,$J$12:$J$25,0),M$11)))</f>
        <v/>
      </c>
      <c r="F199" s="808" t="str">
        <f>IF(B204="","",INDEX(NXchung!$B$3:$EP$57,MATCH(B204,NXchung!$B$3:$B$57,0),INDEX($K$12:$N$25,MATCH($B199,$J$12:$J$25,0),N$11)))</f>
        <v/>
      </c>
      <c r="G199" s="805"/>
      <c r="I199" s="64"/>
      <c r="J199" s="64"/>
    </row>
    <row r="200" spans="1:10" s="60" customFormat="1" ht="6" customHeight="1">
      <c r="A200" s="67"/>
      <c r="B200" s="67"/>
      <c r="C200" s="475"/>
      <c r="D200" s="475"/>
      <c r="E200" s="67"/>
      <c r="F200" s="67"/>
      <c r="G200" s="67"/>
    </row>
    <row r="201" spans="1:10" ht="17.25" customHeight="1">
      <c r="D201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201" s="1163"/>
      <c r="F201" s="1163"/>
      <c r="G201" s="1163"/>
      <c r="H201" s="814"/>
    </row>
    <row r="202" spans="1:10" ht="16.5" customHeight="1">
      <c r="D202" s="992" t="s">
        <v>377</v>
      </c>
      <c r="E202" s="992"/>
      <c r="F202" s="992"/>
      <c r="G202" s="992"/>
      <c r="H202" s="814"/>
    </row>
    <row r="203" spans="1:10" ht="81.75" customHeight="1">
      <c r="D203" s="931" t="str">
        <f>IF('Huong dan'!$E$5="","",'Huong dan'!$E$5)</f>
        <v/>
      </c>
      <c r="E203" s="931"/>
      <c r="F203" s="931"/>
      <c r="G203" s="931"/>
      <c r="H203" s="814"/>
    </row>
    <row r="204" spans="1:10" ht="11.25" customHeight="1">
      <c r="A204" s="75"/>
      <c r="B204" s="815">
        <f>IF(B175="","",IF(B175&lt;MAX(DiemHKII!$B$4:$B$58),B175+1,""))</f>
        <v>7</v>
      </c>
      <c r="C204" s="75"/>
      <c r="D204" s="75"/>
      <c r="E204" s="75"/>
      <c r="F204" s="75"/>
      <c r="G204" s="75"/>
    </row>
    <row r="205" spans="1:10" s="60" customFormat="1" ht="21" customHeight="1">
      <c r="A205" s="1128" t="str">
        <f>IF('Huong dan'!$E$3&lt;&gt;"","SỞ GIÁO DỤC VÀ ĐÀO TẠO "&amp;UPPER('Huong dan'!$E$3),"")</f>
        <v>SỞ GIÁO DỤC VÀ ĐÀO TẠO TP. HỒ CHÍ MINH</v>
      </c>
      <c r="B205" s="1128"/>
      <c r="C205" s="1128"/>
      <c r="D205" s="1128"/>
      <c r="E205" s="1129" t="s">
        <v>19</v>
      </c>
      <c r="F205" s="1129"/>
      <c r="G205" s="1129"/>
    </row>
    <row r="206" spans="1:10" ht="17.25" customHeight="1">
      <c r="A206" s="992" t="str">
        <f>IF('Huong dan'!$E$4&lt;&gt;"","TRƯỜNG "&amp;UPPER('Huong dan'!$E$4),"")</f>
        <v>TRƯỜNG THCS VÀ THPT NGUYỄN KHUYẾN</v>
      </c>
      <c r="B206" s="992"/>
      <c r="C206" s="992"/>
      <c r="D206" s="992"/>
      <c r="E206" s="1130" t="s">
        <v>179</v>
      </c>
      <c r="F206" s="1130"/>
      <c r="G206" s="1130"/>
    </row>
    <row r="207" spans="1:10" ht="15" customHeight="1">
      <c r="A207" s="69"/>
      <c r="B207" s="69"/>
      <c r="C207" s="30"/>
    </row>
    <row r="208" spans="1:10" ht="27.75" customHeight="1">
      <c r="A208" s="1013" t="s">
        <v>567</v>
      </c>
      <c r="B208" s="1013"/>
      <c r="C208" s="1013"/>
      <c r="D208" s="1013"/>
      <c r="E208" s="1013"/>
      <c r="F208" s="1013"/>
      <c r="G208" s="1013"/>
    </row>
    <row r="209" spans="1:10" ht="24" customHeight="1">
      <c r="A209" s="1013" t="str">
        <f>"HỌC KỲ II VÀ CẢ NĂM - NĂM HỌC "&amp;'Huong dan'!$C$5</f>
        <v>HỌC KỲ II VÀ CẢ NĂM - NĂM HỌC 2021 - 2022</v>
      </c>
      <c r="B209" s="1013"/>
      <c r="C209" s="1013"/>
      <c r="D209" s="1013"/>
      <c r="E209" s="1013"/>
      <c r="F209" s="1013"/>
      <c r="G209" s="1013"/>
    </row>
    <row r="210" spans="1:10" ht="9" customHeight="1">
      <c r="A210" s="70"/>
      <c r="B210" s="66"/>
      <c r="C210" s="66"/>
      <c r="D210" s="66"/>
      <c r="E210" s="66"/>
      <c r="F210" s="66"/>
      <c r="G210" s="66"/>
    </row>
    <row r="211" spans="1:10" ht="18.75" customHeight="1">
      <c r="A211" s="1167" t="s">
        <v>212</v>
      </c>
      <c r="B211" s="1167"/>
      <c r="C211" s="1167"/>
      <c r="D211" s="1167" t="str">
        <f>IF(B233="","",INDEX(NXchung!$B$3:$EP$57,MATCH(B233,NXchung!$B$3:$B$57,0),3)&amp;" "&amp;INDEX(NXchung!$B$3:$EP$57,MATCH(B233,NXchung!$B$3:$B$57,0),4))</f>
        <v>Trần Lê Cường</v>
      </c>
      <c r="E211" s="1167"/>
      <c r="F211" s="77" t="str">
        <f>IF('Huong dan'!$C$3="","","Lớp: "&amp;'Huong dan'!$C$3)</f>
        <v>Lớp: 12A1</v>
      </c>
      <c r="G211" s="71"/>
    </row>
    <row r="212" spans="1:10" ht="18.75" customHeight="1">
      <c r="A212" s="1168" t="s">
        <v>213</v>
      </c>
      <c r="B212" s="1168"/>
      <c r="C212" s="1168"/>
      <c r="D212" s="77" t="str">
        <f>INDEX(NXchung!$B$3:$EP$57,MATCH(B233,NXchung!$B$3:$B$57,0),5)</f>
        <v>08/04/2004</v>
      </c>
      <c r="F212" s="841" t="str">
        <f>IF(B233="","","Nơi sinh: "&amp;INDEX(DiemHKII!$H$4:$H$58,MATCH(B233,DiemHKII!$B$4:$B$58,0),1))</f>
        <v xml:space="preserve">Nơi sinh: </v>
      </c>
      <c r="G212" s="77"/>
    </row>
    <row r="213" spans="1:10" ht="9.75" customHeight="1">
      <c r="A213" s="62"/>
      <c r="B213" s="62"/>
      <c r="C213" s="62"/>
      <c r="D213" s="62"/>
      <c r="E213" s="62"/>
      <c r="F213" s="62"/>
      <c r="G213" s="63"/>
    </row>
    <row r="214" spans="1:10" ht="31.5" customHeight="1">
      <c r="A214" s="801" t="s">
        <v>0</v>
      </c>
      <c r="B214" s="801" t="s">
        <v>59</v>
      </c>
      <c r="C214" s="806" t="s">
        <v>661</v>
      </c>
      <c r="D214" s="801" t="s">
        <v>296</v>
      </c>
      <c r="E214" s="806" t="s">
        <v>662</v>
      </c>
      <c r="F214" s="801" t="s">
        <v>361</v>
      </c>
      <c r="G214" s="802" t="s">
        <v>569</v>
      </c>
    </row>
    <row r="215" spans="1:10" ht="45.9" customHeight="1">
      <c r="A215" s="803" t="s">
        <v>191</v>
      </c>
      <c r="B215" s="813" t="s">
        <v>26</v>
      </c>
      <c r="C215" s="805" t="str">
        <f>IF(B233="","",INDEX(NXchung!$B$3:$EP$57,MATCH(B233,NXchung!$B$3:$B$57,0),INDEX($K$12:$N$25,MATCH($B215,$J$12:$J$25,0),K$11)))</f>
        <v/>
      </c>
      <c r="D215" s="808" t="str">
        <f>IF(B233="","",INDEX(NXchung!$B$3:$EP$57,MATCH(B233,NXchung!$B$3:$B$57,0),INDEX($K$12:$N$25,MATCH($B215,$J$12:$J$25,0),L$11)))</f>
        <v/>
      </c>
      <c r="E215" s="805" t="str">
        <f>IF(B233="","",INDEX(NXchung!$B$3:$EP$57,MATCH(B233,NXchung!$B$3:$B$57,0),INDEX($K$12:$N$25,MATCH($B215,$J$12:$J$25,0),M$11)))</f>
        <v/>
      </c>
      <c r="F215" s="808" t="str">
        <f>IF(B233="","",INDEX(NXchung!$B$3:$EP$57,MATCH(B233,NXchung!$B$3:$B$57,0),INDEX($K$12:$N$25,MATCH($B215,$J$12:$J$25,0),N$11)))</f>
        <v/>
      </c>
      <c r="G215" s="805"/>
      <c r="I215" s="64"/>
      <c r="J215" s="64"/>
    </row>
    <row r="216" spans="1:10" ht="45.9" customHeight="1">
      <c r="A216" s="803" t="s">
        <v>192</v>
      </c>
      <c r="B216" s="813" t="s">
        <v>27</v>
      </c>
      <c r="C216" s="805" t="str">
        <f>IF(B233="","",INDEX(NXchung!$B$3:$EP$57,MATCH(B233,NXchung!$B$3:$B$57,0),INDEX($K$12:$N$25,MATCH($B216,$J$12:$J$25,0),K$11)))</f>
        <v/>
      </c>
      <c r="D216" s="808" t="str">
        <f>IF(B233="","",INDEX(NXchung!$B$3:$EP$57,MATCH(B233,NXchung!$B$3:$B$57,0),INDEX($K$12:$N$25,MATCH($B216,$J$12:$J$25,0),L$11)))</f>
        <v/>
      </c>
      <c r="E216" s="805" t="str">
        <f>IF(B233="","",INDEX(NXchung!$B$3:$EP$57,MATCH(B233,NXchung!$B$3:$B$57,0),INDEX($K$12:$N$25,MATCH($B216,$J$12:$J$25,0),M$11)))</f>
        <v/>
      </c>
      <c r="F216" s="808" t="str">
        <f>IF(B233="","",INDEX(NXchung!$B$3:$EP$57,MATCH(B233,NXchung!$B$3:$B$57,0),INDEX($K$12:$N$25,MATCH($B216,$J$12:$J$25,0),N$11)))</f>
        <v/>
      </c>
      <c r="G216" s="805"/>
      <c r="I216" s="64"/>
      <c r="J216" s="64"/>
    </row>
    <row r="217" spans="1:10" ht="45.9" customHeight="1">
      <c r="A217" s="803" t="s">
        <v>193</v>
      </c>
      <c r="B217" s="813" t="s">
        <v>28</v>
      </c>
      <c r="C217" s="805" t="str">
        <f>IF(B233="","",INDEX(NXchung!$B$3:$EP$57,MATCH(B233,NXchung!$B$3:$B$57,0),INDEX($K$12:$N$25,MATCH($B217,$J$12:$J$25,0),K$11)))</f>
        <v/>
      </c>
      <c r="D217" s="808" t="str">
        <f>IF(B233="","",INDEX(NXchung!$B$3:$EP$57,MATCH(B233,NXchung!$B$3:$B$57,0),INDEX($K$12:$N$25,MATCH($B217,$J$12:$J$25,0),L$11)))</f>
        <v/>
      </c>
      <c r="E217" s="805" t="str">
        <f>IF(B233="","",INDEX(NXchung!$B$3:$EP$57,MATCH(B233,NXchung!$B$3:$B$57,0),INDEX($K$12:$N$25,MATCH($B217,$J$12:$J$25,0),M$11)))</f>
        <v/>
      </c>
      <c r="F217" s="808" t="str">
        <f>IF(B233="","",INDEX(NXchung!$B$3:$EP$57,MATCH(B233,NXchung!$B$3:$B$57,0),INDEX($K$12:$N$25,MATCH($B217,$J$12:$J$25,0),N$11)))</f>
        <v/>
      </c>
      <c r="G217" s="805"/>
      <c r="I217" s="64"/>
      <c r="J217" s="64"/>
    </row>
    <row r="218" spans="1:10" ht="45.9" customHeight="1">
      <c r="A218" s="803" t="s">
        <v>194</v>
      </c>
      <c r="B218" s="813" t="s">
        <v>29</v>
      </c>
      <c r="C218" s="805" t="str">
        <f>IF(B233="","",INDEX(NXchung!$B$3:$EP$57,MATCH(B233,NXchung!$B$3:$B$57,0),INDEX($K$12:$N$25,MATCH($B218,$J$12:$J$25,0),K$11)))</f>
        <v/>
      </c>
      <c r="D218" s="808" t="str">
        <f>IF(B233="","",INDEX(NXchung!$B$3:$EP$57,MATCH(B233,NXchung!$B$3:$B$57,0),INDEX($K$12:$N$25,MATCH($B218,$J$12:$J$25,0),L$11)))</f>
        <v/>
      </c>
      <c r="E218" s="805" t="str">
        <f>IF(B233="","",INDEX(NXchung!$B$3:$EP$57,MATCH(B233,NXchung!$B$3:$B$57,0),INDEX($K$12:$N$25,MATCH($B218,$J$12:$J$25,0),M$11)))</f>
        <v/>
      </c>
      <c r="F218" s="808" t="str">
        <f>IF(B233="","",INDEX(NXchung!$B$3:$EP$57,MATCH(B233,NXchung!$B$3:$B$57,0),INDEX($K$12:$N$25,MATCH($B218,$J$12:$J$25,0),N$11)))</f>
        <v/>
      </c>
      <c r="G218" s="805"/>
      <c r="I218" s="64"/>
      <c r="J218" s="64"/>
    </row>
    <row r="219" spans="1:10" ht="45.9" customHeight="1">
      <c r="A219" s="803" t="s">
        <v>195</v>
      </c>
      <c r="B219" s="813" t="s">
        <v>120</v>
      </c>
      <c r="C219" s="805" t="str">
        <f>IF(B233="","",INDEX(NXchung!$B$3:$EP$57,MATCH(B233,NXchung!$B$3:$B$57,0),INDEX($K$12:$N$25,MATCH($B219,$J$12:$J$25,0),K$11)))</f>
        <v/>
      </c>
      <c r="D219" s="808" t="str">
        <f>IF(B233="","",INDEX(NXchung!$B$3:$EP$57,MATCH(B233,NXchung!$B$3:$B$57,0),INDEX($K$12:$N$25,MATCH($B219,$J$12:$J$25,0),L$11)))</f>
        <v/>
      </c>
      <c r="E219" s="805" t="str">
        <f>IF(B233="","",INDEX(NXchung!$B$3:$EP$57,MATCH(B233,NXchung!$B$3:$B$57,0),INDEX($K$12:$N$25,MATCH($B219,$J$12:$J$25,0),M$11)))</f>
        <v/>
      </c>
      <c r="F219" s="808" t="str">
        <f>IF(B233="","",INDEX(NXchung!$B$3:$EP$57,MATCH(B233,NXchung!$B$3:$B$57,0),INDEX($K$12:$N$25,MATCH($B219,$J$12:$J$25,0),N$11)))</f>
        <v/>
      </c>
      <c r="G219" s="805"/>
      <c r="I219" s="64"/>
      <c r="J219" s="64"/>
    </row>
    <row r="220" spans="1:10" ht="45.9" customHeight="1">
      <c r="A220" s="803" t="s">
        <v>196</v>
      </c>
      <c r="B220" s="813" t="s">
        <v>30</v>
      </c>
      <c r="C220" s="805" t="str">
        <f>IF(B233="","",INDEX(NXchung!$B$3:$EP$57,MATCH(B233,NXchung!$B$3:$B$57,0),INDEX($K$12:$N$25,MATCH($B220,$J$12:$J$25,0),K$11)))</f>
        <v/>
      </c>
      <c r="D220" s="808" t="str">
        <f>IF(B233="","",INDEX(NXchung!$B$3:$EP$57,MATCH(B233,NXchung!$B$3:$B$57,0),INDEX($K$12:$N$25,MATCH($B220,$J$12:$J$25,0),L$11)))</f>
        <v/>
      </c>
      <c r="E220" s="805" t="str">
        <f>IF(B233="","",INDEX(NXchung!$B$3:$EP$57,MATCH(B233,NXchung!$B$3:$B$57,0),INDEX($K$12:$N$25,MATCH($B220,$J$12:$J$25,0),M$11)))</f>
        <v/>
      </c>
      <c r="F220" s="808" t="str">
        <f>IF(B233="","",INDEX(NXchung!$B$3:$EP$57,MATCH(B233,NXchung!$B$3:$B$57,0),INDEX($K$12:$N$25,MATCH($B220,$J$12:$J$25,0),N$11)))</f>
        <v/>
      </c>
      <c r="G220" s="805"/>
      <c r="I220" s="64"/>
      <c r="J220" s="64"/>
    </row>
    <row r="221" spans="1:10" ht="45.9" customHeight="1">
      <c r="A221" s="803" t="s">
        <v>197</v>
      </c>
      <c r="B221" s="813" t="s">
        <v>31</v>
      </c>
      <c r="C221" s="805" t="str">
        <f>IF(B233="","",INDEX(NXchung!$B$3:$EP$57,MATCH(B233,NXchung!$B$3:$B$57,0),INDEX($K$12:$N$25,MATCH($B221,$J$12:$J$25,0),K$11)))</f>
        <v/>
      </c>
      <c r="D221" s="808" t="str">
        <f>IF(B233="","",INDEX(NXchung!$B$3:$EP$57,MATCH(B233,NXchung!$B$3:$B$57,0),INDEX($K$12:$N$25,MATCH($B221,$J$12:$J$25,0),L$11)))</f>
        <v/>
      </c>
      <c r="E221" s="805" t="str">
        <f>IF(B233="","",INDEX(NXchung!$B$3:$EP$57,MATCH(B233,NXchung!$B$3:$B$57,0),INDEX($K$12:$N$25,MATCH($B221,$J$12:$J$25,0),M$11)))</f>
        <v/>
      </c>
      <c r="F221" s="808" t="str">
        <f>IF(B233="","",INDEX(NXchung!$B$3:$EP$57,MATCH(B233,NXchung!$B$3:$B$57,0),INDEX($K$12:$N$25,MATCH($B221,$J$12:$J$25,0),N$11)))</f>
        <v/>
      </c>
      <c r="G221" s="805"/>
      <c r="I221" s="64"/>
      <c r="J221" s="64"/>
    </row>
    <row r="222" spans="1:10" ht="45.9" customHeight="1">
      <c r="A222" s="803" t="s">
        <v>198</v>
      </c>
      <c r="B222" s="813" t="s">
        <v>32</v>
      </c>
      <c r="C222" s="805" t="str">
        <f>IF(B233="","",INDEX(NXchung!$B$3:$EP$57,MATCH(B233,NXchung!$B$3:$B$57,0),INDEX($K$12:$N$25,MATCH($B222,$J$12:$J$25,0),K$11)))</f>
        <v/>
      </c>
      <c r="D222" s="808" t="str">
        <f>IF(B233="","",INDEX(NXchung!$B$3:$EP$57,MATCH(B233,NXchung!$B$3:$B$57,0),INDEX($K$12:$N$25,MATCH($B222,$J$12:$J$25,0),L$11)))</f>
        <v/>
      </c>
      <c r="E222" s="805" t="str">
        <f>IF(B233="","",INDEX(NXchung!$B$3:$EP$57,MATCH(B233,NXchung!$B$3:$B$57,0),INDEX($K$12:$N$25,MATCH($B222,$J$12:$J$25,0),M$11)))</f>
        <v/>
      </c>
      <c r="F222" s="808" t="str">
        <f>IF(B233="","",INDEX(NXchung!$B$3:$EP$57,MATCH(B233,NXchung!$B$3:$B$57,0),INDEX($K$12:$N$25,MATCH($B222,$J$12:$J$25,0),N$11)))</f>
        <v/>
      </c>
      <c r="G222" s="805"/>
      <c r="I222" s="64"/>
      <c r="J222" s="64"/>
    </row>
    <row r="223" spans="1:10" ht="45.9" customHeight="1">
      <c r="A223" s="803" t="s">
        <v>199</v>
      </c>
      <c r="B223" s="813" t="s">
        <v>33</v>
      </c>
      <c r="C223" s="805" t="str">
        <f>IF(B233="","",INDEX(NXchung!$B$3:$EP$57,MATCH(B233,NXchung!$B$3:$B$57,0),INDEX($K$12:$N$25,MATCH($B223,$J$12:$J$25,0),K$11)))</f>
        <v/>
      </c>
      <c r="D223" s="808" t="str">
        <f>IF(B233="","",INDEX(NXchung!$B$3:$EP$57,MATCH(B233,NXchung!$B$3:$B$57,0),INDEX($K$12:$N$25,MATCH($B223,$J$12:$J$25,0),L$11)))</f>
        <v/>
      </c>
      <c r="E223" s="805" t="str">
        <f>IF(B233="","",INDEX(NXchung!$B$3:$EP$57,MATCH(B233,NXchung!$B$3:$B$57,0),INDEX($K$12:$N$25,MATCH($B223,$J$12:$J$25,0),M$11)))</f>
        <v/>
      </c>
      <c r="F223" s="808" t="str">
        <f>IF(B233="","",INDEX(NXchung!$B$3:$EP$57,MATCH(B233,NXchung!$B$3:$B$57,0),INDEX($K$12:$N$25,MATCH($B223,$J$12:$J$25,0),N$11)))</f>
        <v/>
      </c>
      <c r="G223" s="805"/>
      <c r="I223" s="64"/>
      <c r="J223" s="64"/>
    </row>
    <row r="224" spans="1:10" ht="45.9" customHeight="1">
      <c r="A224" s="803" t="s">
        <v>200</v>
      </c>
      <c r="B224" s="813" t="s">
        <v>60</v>
      </c>
      <c r="C224" s="805" t="str">
        <f>IF(B233="","",INDEX(NXchung!$B$3:$EP$57,MATCH(B233,NXchung!$B$3:$B$57,0),INDEX($K$12:$N$25,MATCH($B224,$J$12:$J$25,0),K$11)))</f>
        <v/>
      </c>
      <c r="D224" s="808" t="str">
        <f>IF(B233="","",INDEX(NXchung!$B$3:$EP$57,MATCH(B233,NXchung!$B$3:$B$57,0),INDEX($K$12:$N$25,MATCH($B224,$J$12:$J$25,0),L$11)))</f>
        <v/>
      </c>
      <c r="E224" s="805" t="str">
        <f>IF(B233="","",INDEX(NXchung!$B$3:$EP$57,MATCH(B233,NXchung!$B$3:$B$57,0),INDEX($K$12:$N$25,MATCH($B224,$J$12:$J$25,0),M$11)))</f>
        <v/>
      </c>
      <c r="F224" s="808" t="str">
        <f>IF(B233="","",INDEX(NXchung!$B$3:$EP$57,MATCH(B233,NXchung!$B$3:$B$57,0),INDEX($K$12:$N$25,MATCH($B224,$J$12:$J$25,0),N$11)))</f>
        <v/>
      </c>
      <c r="G224" s="805"/>
      <c r="I224" s="64"/>
      <c r="J224" s="64"/>
    </row>
    <row r="225" spans="1:10" ht="45.9" customHeight="1">
      <c r="A225" s="803" t="s">
        <v>201</v>
      </c>
      <c r="B225" s="813" t="s">
        <v>34</v>
      </c>
      <c r="C225" s="805" t="str">
        <f>IF(B233="","",INDEX(NXchung!$B$3:$EP$57,MATCH(B233,NXchung!$B$3:$B$57,0),INDEX($K$12:$N$25,MATCH($B225,$J$12:$J$25,0),K$11)))</f>
        <v/>
      </c>
      <c r="D225" s="808" t="str">
        <f>IF(B233="","",INDEX(NXchung!$B$3:$EP$57,MATCH(B233,NXchung!$B$3:$B$57,0),INDEX($K$12:$N$25,MATCH($B225,$J$12:$J$25,0),L$11)))</f>
        <v/>
      </c>
      <c r="E225" s="805" t="str">
        <f>IF(B233="","",INDEX(NXchung!$B$3:$EP$57,MATCH(B233,NXchung!$B$3:$B$57,0),INDEX($K$12:$N$25,MATCH($B225,$J$12:$J$25,0),M$11)))</f>
        <v/>
      </c>
      <c r="F225" s="808" t="str">
        <f>IF(B233="","",INDEX(NXchung!$B$3:$EP$57,MATCH(B233,NXchung!$B$3:$B$57,0),INDEX($K$12:$N$25,MATCH($B225,$J$12:$J$25,0),N$11)))</f>
        <v/>
      </c>
      <c r="G225" s="805"/>
      <c r="I225" s="64"/>
      <c r="J225" s="64"/>
    </row>
    <row r="226" spans="1:10" ht="45.9" customHeight="1">
      <c r="A226" s="803" t="s">
        <v>202</v>
      </c>
      <c r="B226" s="813" t="s">
        <v>35</v>
      </c>
      <c r="C226" s="805" t="str">
        <f>IF(B233="","",INDEX(NXchung!$B$3:$EP$57,MATCH(B233,NXchung!$B$3:$B$57,0),INDEX($K$12:$N$25,MATCH($B226,$J$12:$J$25,0),K$11)))</f>
        <v/>
      </c>
      <c r="D226" s="808" t="str">
        <f>IF(B233="","",INDEX(NXchung!$B$3:$EP$57,MATCH(B233,NXchung!$B$3:$B$57,0),INDEX($K$12:$N$25,MATCH($B226,$J$12:$J$25,0),L$11)))</f>
        <v/>
      </c>
      <c r="E226" s="805" t="str">
        <f>IF(B233="","",INDEX(NXchung!$B$3:$EP$57,MATCH(B233,NXchung!$B$3:$B$57,0),INDEX($K$12:$N$25,MATCH($B226,$J$12:$J$25,0),M$11)))</f>
        <v>Đ</v>
      </c>
      <c r="F226" s="808" t="str">
        <f>IF(B233="","",INDEX(NXchung!$B$3:$EP$57,MATCH(B233,NXchung!$B$3:$B$57,0),INDEX($K$12:$N$25,MATCH($B226,$J$12:$J$25,0),N$11)))</f>
        <v>Chăm chỉ, cố gắng, rất ngoan.</v>
      </c>
      <c r="G226" s="805"/>
      <c r="I226" s="64"/>
      <c r="J226" s="64"/>
    </row>
    <row r="227" spans="1:10" ht="45.9" customHeight="1">
      <c r="A227" s="803" t="s">
        <v>203</v>
      </c>
      <c r="B227" s="813" t="s">
        <v>121</v>
      </c>
      <c r="C227" s="805" t="str">
        <f>IF(B233="","",INDEX(NXchung!$B$3:$EP$57,MATCH(B233,NXchung!$B$3:$B$57,0),INDEX($K$12:$N$25,MATCH($B227,$J$12:$J$25,0),K$11)))</f>
        <v/>
      </c>
      <c r="D227" s="808" t="str">
        <f>IF(B233="","",INDEX(NXchung!$B$3:$EP$57,MATCH(B233,NXchung!$B$3:$B$57,0),INDEX($K$12:$N$25,MATCH($B227,$J$12:$J$25,0),L$11)))</f>
        <v/>
      </c>
      <c r="E227" s="805" t="str">
        <f>IF(B233="","",INDEX(NXchung!$B$3:$EP$57,MATCH(B233,NXchung!$B$3:$B$57,0),INDEX($K$12:$N$25,MATCH($B227,$J$12:$J$25,0),M$11)))</f>
        <v/>
      </c>
      <c r="F227" s="808" t="str">
        <f>IF(B233="","",INDEX(NXchung!$B$3:$EP$57,MATCH(B233,NXchung!$B$3:$B$57,0),INDEX($K$12:$N$25,MATCH($B227,$J$12:$J$25,0),N$11)))</f>
        <v/>
      </c>
      <c r="G227" s="805"/>
      <c r="I227" s="64"/>
      <c r="J227" s="64"/>
    </row>
    <row r="228" spans="1:10" ht="45.9" customHeight="1">
      <c r="A228" s="803" t="s">
        <v>204</v>
      </c>
      <c r="B228" s="813" t="s">
        <v>122</v>
      </c>
      <c r="C228" s="805" t="str">
        <f>IF(B233="","",INDEX(NXchung!$B$3:$EP$57,MATCH(B233,NXchung!$B$3:$B$57,0),INDEX($K$12:$N$25,MATCH($B228,$J$12:$J$25,0),K$11)))</f>
        <v/>
      </c>
      <c r="D228" s="808" t="str">
        <f>IF(B233="","",INDEX(NXchung!$B$3:$EP$57,MATCH(B233,NXchung!$B$3:$B$57,0),INDEX($K$12:$N$25,MATCH($B228,$J$12:$J$25,0),L$11)))</f>
        <v/>
      </c>
      <c r="E228" s="805" t="str">
        <f>IF(B233="","",INDEX(NXchung!$B$3:$EP$57,MATCH(B233,NXchung!$B$3:$B$57,0),INDEX($K$12:$N$25,MATCH($B228,$J$12:$J$25,0),M$11)))</f>
        <v/>
      </c>
      <c r="F228" s="808" t="str">
        <f>IF(B233="","",INDEX(NXchung!$B$3:$EP$57,MATCH(B233,NXchung!$B$3:$B$57,0),INDEX($K$12:$N$25,MATCH($B228,$J$12:$J$25,0),N$11)))</f>
        <v/>
      </c>
      <c r="G228" s="805"/>
      <c r="I228" s="64"/>
      <c r="J228" s="64"/>
    </row>
    <row r="229" spans="1:10" s="60" customFormat="1" ht="6" customHeight="1">
      <c r="A229" s="67"/>
      <c r="B229" s="67"/>
      <c r="C229" s="475"/>
      <c r="D229" s="475"/>
      <c r="E229" s="67"/>
      <c r="F229" s="67"/>
      <c r="G229" s="67"/>
    </row>
    <row r="230" spans="1:10" ht="17.25" customHeight="1">
      <c r="D230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230" s="1163"/>
      <c r="F230" s="1163"/>
      <c r="G230" s="1163"/>
      <c r="H230" s="814"/>
    </row>
    <row r="231" spans="1:10" ht="16.5" customHeight="1">
      <c r="D231" s="992" t="s">
        <v>377</v>
      </c>
      <c r="E231" s="992"/>
      <c r="F231" s="992"/>
      <c r="G231" s="992"/>
      <c r="H231" s="814"/>
    </row>
    <row r="232" spans="1:10" ht="81.75" customHeight="1">
      <c r="D232" s="931" t="str">
        <f>IF('Huong dan'!$E$5="","",'Huong dan'!$E$5)</f>
        <v/>
      </c>
      <c r="E232" s="931"/>
      <c r="F232" s="931"/>
      <c r="G232" s="931"/>
      <c r="H232" s="814"/>
    </row>
    <row r="233" spans="1:10" ht="11.25" customHeight="1">
      <c r="A233" s="75"/>
      <c r="B233" s="815">
        <f>IF(B204="","",IF(B204&lt;MAX(DiemHKII!$B$4:$B$58),B204+1,""))</f>
        <v>8</v>
      </c>
      <c r="C233" s="75"/>
      <c r="D233" s="75"/>
      <c r="E233" s="75"/>
      <c r="F233" s="75"/>
      <c r="G233" s="75"/>
    </row>
    <row r="234" spans="1:10" s="60" customFormat="1" ht="21" customHeight="1">
      <c r="A234" s="1128" t="str">
        <f>IF('Huong dan'!$E$3&lt;&gt;"","SỞ GIÁO DỤC VÀ ĐÀO TẠO "&amp;UPPER('Huong dan'!$E$3),"")</f>
        <v>SỞ GIÁO DỤC VÀ ĐÀO TẠO TP. HỒ CHÍ MINH</v>
      </c>
      <c r="B234" s="1128"/>
      <c r="C234" s="1128"/>
      <c r="D234" s="1128"/>
      <c r="E234" s="1129" t="s">
        <v>19</v>
      </c>
      <c r="F234" s="1129"/>
      <c r="G234" s="1129"/>
    </row>
    <row r="235" spans="1:10" ht="17.25" customHeight="1">
      <c r="A235" s="992" t="str">
        <f>IF('Huong dan'!$E$4&lt;&gt;"","TRƯỜNG "&amp;UPPER('Huong dan'!$E$4),"")</f>
        <v>TRƯỜNG THCS VÀ THPT NGUYỄN KHUYẾN</v>
      </c>
      <c r="B235" s="992"/>
      <c r="C235" s="992"/>
      <c r="D235" s="992"/>
      <c r="E235" s="1130" t="s">
        <v>179</v>
      </c>
      <c r="F235" s="1130"/>
      <c r="G235" s="1130"/>
    </row>
    <row r="236" spans="1:10" ht="15" customHeight="1">
      <c r="A236" s="69"/>
      <c r="B236" s="69"/>
      <c r="C236" s="30"/>
    </row>
    <row r="237" spans="1:10" ht="27.75" customHeight="1">
      <c r="A237" s="1013" t="s">
        <v>567</v>
      </c>
      <c r="B237" s="1013"/>
      <c r="C237" s="1013"/>
      <c r="D237" s="1013"/>
      <c r="E237" s="1013"/>
      <c r="F237" s="1013"/>
      <c r="G237" s="1013"/>
    </row>
    <row r="238" spans="1:10" ht="24" customHeight="1">
      <c r="A238" s="1013" t="str">
        <f>"HỌC KỲ II VÀ CẢ NĂM - NĂM HỌC "&amp;'Huong dan'!$C$5</f>
        <v>HỌC KỲ II VÀ CẢ NĂM - NĂM HỌC 2021 - 2022</v>
      </c>
      <c r="B238" s="1013"/>
      <c r="C238" s="1013"/>
      <c r="D238" s="1013"/>
      <c r="E238" s="1013"/>
      <c r="F238" s="1013"/>
      <c r="G238" s="1013"/>
    </row>
    <row r="239" spans="1:10" ht="9" customHeight="1">
      <c r="A239" s="70"/>
      <c r="B239" s="66"/>
      <c r="C239" s="66"/>
      <c r="D239" s="66"/>
      <c r="E239" s="66"/>
      <c r="F239" s="66"/>
      <c r="G239" s="66"/>
    </row>
    <row r="240" spans="1:10" ht="18.75" customHeight="1">
      <c r="A240" s="1167" t="s">
        <v>212</v>
      </c>
      <c r="B240" s="1167"/>
      <c r="C240" s="1167"/>
      <c r="D240" s="1167" t="str">
        <f>IF(B262="","",INDEX(NXchung!$B$3:$EP$57,MATCH(B262,NXchung!$B$3:$B$57,0),3)&amp;" "&amp;INDEX(NXchung!$B$3:$EP$57,MATCH(B262,NXchung!$B$3:$B$57,0),4))</f>
        <v>Nguyễn Thanh Duyên</v>
      </c>
      <c r="E240" s="1167"/>
      <c r="F240" s="77" t="str">
        <f>IF('Huong dan'!$C$3="","","Lớp: "&amp;'Huong dan'!$C$3)</f>
        <v>Lớp: 12A1</v>
      </c>
      <c r="G240" s="71"/>
    </row>
    <row r="241" spans="1:10" ht="18.75" customHeight="1">
      <c r="A241" s="1168" t="s">
        <v>213</v>
      </c>
      <c r="B241" s="1168"/>
      <c r="C241" s="1168"/>
      <c r="D241" s="77" t="str">
        <f>INDEX(NXchung!$B$3:$EP$57,MATCH(B262,NXchung!$B$3:$B$57,0),5)</f>
        <v>16/11/2004</v>
      </c>
      <c r="F241" s="841" t="str">
        <f>IF(B262="","","Nơi sinh: "&amp;INDEX(DiemHKII!$H$4:$H$58,MATCH(B262,DiemHKII!$B$4:$B$58,0),1))</f>
        <v xml:space="preserve">Nơi sinh: </v>
      </c>
      <c r="G241" s="77"/>
    </row>
    <row r="242" spans="1:10" ht="9.75" customHeight="1">
      <c r="A242" s="62"/>
      <c r="B242" s="62"/>
      <c r="C242" s="62"/>
      <c r="D242" s="62"/>
      <c r="E242" s="62"/>
      <c r="F242" s="62"/>
      <c r="G242" s="63"/>
    </row>
    <row r="243" spans="1:10" ht="31.5" customHeight="1">
      <c r="A243" s="801" t="s">
        <v>0</v>
      </c>
      <c r="B243" s="801" t="s">
        <v>59</v>
      </c>
      <c r="C243" s="806" t="s">
        <v>661</v>
      </c>
      <c r="D243" s="801" t="s">
        <v>296</v>
      </c>
      <c r="E243" s="806" t="s">
        <v>662</v>
      </c>
      <c r="F243" s="801" t="s">
        <v>361</v>
      </c>
      <c r="G243" s="802" t="s">
        <v>569</v>
      </c>
    </row>
    <row r="244" spans="1:10" ht="45.9" customHeight="1">
      <c r="A244" s="803" t="s">
        <v>191</v>
      </c>
      <c r="B244" s="813" t="s">
        <v>26</v>
      </c>
      <c r="C244" s="805" t="str">
        <f>IF(B262="","",INDEX(NXchung!$B$3:$EP$57,MATCH(B262,NXchung!$B$3:$B$57,0),INDEX($K$12:$N$25,MATCH($B244,$J$12:$J$25,0),K$11)))</f>
        <v/>
      </c>
      <c r="D244" s="808" t="str">
        <f>IF(B262="","",INDEX(NXchung!$B$3:$EP$57,MATCH(B262,NXchung!$B$3:$B$57,0),INDEX($K$12:$N$25,MATCH($B244,$J$12:$J$25,0),L$11)))</f>
        <v/>
      </c>
      <c r="E244" s="805" t="str">
        <f>IF(B262="","",INDEX(NXchung!$B$3:$EP$57,MATCH(B262,NXchung!$B$3:$B$57,0),INDEX($K$12:$N$25,MATCH($B244,$J$12:$J$25,0),M$11)))</f>
        <v/>
      </c>
      <c r="F244" s="808" t="str">
        <f>IF(B262="","",INDEX(NXchung!$B$3:$EP$57,MATCH(B262,NXchung!$B$3:$B$57,0),INDEX($K$12:$N$25,MATCH($B244,$J$12:$J$25,0),N$11)))</f>
        <v/>
      </c>
      <c r="G244" s="805"/>
      <c r="I244" s="64"/>
      <c r="J244" s="64"/>
    </row>
    <row r="245" spans="1:10" ht="45.9" customHeight="1">
      <c r="A245" s="803" t="s">
        <v>192</v>
      </c>
      <c r="B245" s="813" t="s">
        <v>27</v>
      </c>
      <c r="C245" s="805" t="str">
        <f>IF(B262="","",INDEX(NXchung!$B$3:$EP$57,MATCH(B262,NXchung!$B$3:$B$57,0),INDEX($K$12:$N$25,MATCH($B245,$J$12:$J$25,0),K$11)))</f>
        <v/>
      </c>
      <c r="D245" s="808" t="str">
        <f>IF(B262="","",INDEX(NXchung!$B$3:$EP$57,MATCH(B262,NXchung!$B$3:$B$57,0),INDEX($K$12:$N$25,MATCH($B245,$J$12:$J$25,0),L$11)))</f>
        <v/>
      </c>
      <c r="E245" s="805" t="str">
        <f>IF(B262="","",INDEX(NXchung!$B$3:$EP$57,MATCH(B262,NXchung!$B$3:$B$57,0),INDEX($K$12:$N$25,MATCH($B245,$J$12:$J$25,0),M$11)))</f>
        <v/>
      </c>
      <c r="F245" s="808" t="str">
        <f>IF(B262="","",INDEX(NXchung!$B$3:$EP$57,MATCH(B262,NXchung!$B$3:$B$57,0),INDEX($K$12:$N$25,MATCH($B245,$J$12:$J$25,0),N$11)))</f>
        <v/>
      </c>
      <c r="G245" s="805"/>
      <c r="I245" s="64"/>
      <c r="J245" s="64"/>
    </row>
    <row r="246" spans="1:10" ht="45.9" customHeight="1">
      <c r="A246" s="803" t="s">
        <v>193</v>
      </c>
      <c r="B246" s="813" t="s">
        <v>28</v>
      </c>
      <c r="C246" s="805" t="str">
        <f>IF(B262="","",INDEX(NXchung!$B$3:$EP$57,MATCH(B262,NXchung!$B$3:$B$57,0),INDEX($K$12:$N$25,MATCH($B246,$J$12:$J$25,0),K$11)))</f>
        <v/>
      </c>
      <c r="D246" s="808" t="str">
        <f>IF(B262="","",INDEX(NXchung!$B$3:$EP$57,MATCH(B262,NXchung!$B$3:$B$57,0),INDEX($K$12:$N$25,MATCH($B246,$J$12:$J$25,0),L$11)))</f>
        <v/>
      </c>
      <c r="E246" s="805" t="str">
        <f>IF(B262="","",INDEX(NXchung!$B$3:$EP$57,MATCH(B262,NXchung!$B$3:$B$57,0),INDEX($K$12:$N$25,MATCH($B246,$J$12:$J$25,0),M$11)))</f>
        <v/>
      </c>
      <c r="F246" s="808" t="str">
        <f>IF(B262="","",INDEX(NXchung!$B$3:$EP$57,MATCH(B262,NXchung!$B$3:$B$57,0),INDEX($K$12:$N$25,MATCH($B246,$J$12:$J$25,0),N$11)))</f>
        <v/>
      </c>
      <c r="G246" s="805"/>
      <c r="I246" s="64"/>
      <c r="J246" s="64"/>
    </row>
    <row r="247" spans="1:10" ht="45.9" customHeight="1">
      <c r="A247" s="803" t="s">
        <v>194</v>
      </c>
      <c r="B247" s="813" t="s">
        <v>29</v>
      </c>
      <c r="C247" s="805" t="str">
        <f>IF(B262="","",INDEX(NXchung!$B$3:$EP$57,MATCH(B262,NXchung!$B$3:$B$57,0),INDEX($K$12:$N$25,MATCH($B247,$J$12:$J$25,0),K$11)))</f>
        <v/>
      </c>
      <c r="D247" s="808" t="str">
        <f>IF(B262="","",INDEX(NXchung!$B$3:$EP$57,MATCH(B262,NXchung!$B$3:$B$57,0),INDEX($K$12:$N$25,MATCH($B247,$J$12:$J$25,0),L$11)))</f>
        <v/>
      </c>
      <c r="E247" s="805" t="str">
        <f>IF(B262="","",INDEX(NXchung!$B$3:$EP$57,MATCH(B262,NXchung!$B$3:$B$57,0),INDEX($K$12:$N$25,MATCH($B247,$J$12:$J$25,0),M$11)))</f>
        <v/>
      </c>
      <c r="F247" s="808" t="str">
        <f>IF(B262="","",INDEX(NXchung!$B$3:$EP$57,MATCH(B262,NXchung!$B$3:$B$57,0),INDEX($K$12:$N$25,MATCH($B247,$J$12:$J$25,0),N$11)))</f>
        <v/>
      </c>
      <c r="G247" s="805"/>
      <c r="I247" s="64"/>
      <c r="J247" s="64"/>
    </row>
    <row r="248" spans="1:10" ht="45.9" customHeight="1">
      <c r="A248" s="803" t="s">
        <v>195</v>
      </c>
      <c r="B248" s="813" t="s">
        <v>120</v>
      </c>
      <c r="C248" s="805" t="str">
        <f>IF(B262="","",INDEX(NXchung!$B$3:$EP$57,MATCH(B262,NXchung!$B$3:$B$57,0),INDEX($K$12:$N$25,MATCH($B248,$J$12:$J$25,0),K$11)))</f>
        <v/>
      </c>
      <c r="D248" s="808" t="str">
        <f>IF(B262="","",INDEX(NXchung!$B$3:$EP$57,MATCH(B262,NXchung!$B$3:$B$57,0),INDEX($K$12:$N$25,MATCH($B248,$J$12:$J$25,0),L$11)))</f>
        <v/>
      </c>
      <c r="E248" s="805" t="str">
        <f>IF(B262="","",INDEX(NXchung!$B$3:$EP$57,MATCH(B262,NXchung!$B$3:$B$57,0),INDEX($K$12:$N$25,MATCH($B248,$J$12:$J$25,0),M$11)))</f>
        <v/>
      </c>
      <c r="F248" s="808" t="str">
        <f>IF(B262="","",INDEX(NXchung!$B$3:$EP$57,MATCH(B262,NXchung!$B$3:$B$57,0),INDEX($K$12:$N$25,MATCH($B248,$J$12:$J$25,0),N$11)))</f>
        <v/>
      </c>
      <c r="G248" s="805"/>
      <c r="I248" s="64"/>
      <c r="J248" s="64"/>
    </row>
    <row r="249" spans="1:10" ht="45.9" customHeight="1">
      <c r="A249" s="803" t="s">
        <v>196</v>
      </c>
      <c r="B249" s="813" t="s">
        <v>30</v>
      </c>
      <c r="C249" s="805" t="str">
        <f>IF(B262="","",INDEX(NXchung!$B$3:$EP$57,MATCH(B262,NXchung!$B$3:$B$57,0),INDEX($K$12:$N$25,MATCH($B249,$J$12:$J$25,0),K$11)))</f>
        <v/>
      </c>
      <c r="D249" s="808" t="str">
        <f>IF(B262="","",INDEX(NXchung!$B$3:$EP$57,MATCH(B262,NXchung!$B$3:$B$57,0),INDEX($K$12:$N$25,MATCH($B249,$J$12:$J$25,0),L$11)))</f>
        <v/>
      </c>
      <c r="E249" s="805" t="str">
        <f>IF(B262="","",INDEX(NXchung!$B$3:$EP$57,MATCH(B262,NXchung!$B$3:$B$57,0),INDEX($K$12:$N$25,MATCH($B249,$J$12:$J$25,0),M$11)))</f>
        <v/>
      </c>
      <c r="F249" s="808" t="str">
        <f>IF(B262="","",INDEX(NXchung!$B$3:$EP$57,MATCH(B262,NXchung!$B$3:$B$57,0),INDEX($K$12:$N$25,MATCH($B249,$J$12:$J$25,0),N$11)))</f>
        <v/>
      </c>
      <c r="G249" s="805"/>
      <c r="I249" s="64"/>
      <c r="J249" s="64"/>
    </row>
    <row r="250" spans="1:10" ht="45.9" customHeight="1">
      <c r="A250" s="803" t="s">
        <v>197</v>
      </c>
      <c r="B250" s="813" t="s">
        <v>31</v>
      </c>
      <c r="C250" s="805" t="str">
        <f>IF(B262="","",INDEX(NXchung!$B$3:$EP$57,MATCH(B262,NXchung!$B$3:$B$57,0),INDEX($K$12:$N$25,MATCH($B250,$J$12:$J$25,0),K$11)))</f>
        <v/>
      </c>
      <c r="D250" s="808" t="str">
        <f>IF(B262="","",INDEX(NXchung!$B$3:$EP$57,MATCH(B262,NXchung!$B$3:$B$57,0),INDEX($K$12:$N$25,MATCH($B250,$J$12:$J$25,0),L$11)))</f>
        <v/>
      </c>
      <c r="E250" s="805" t="str">
        <f>IF(B262="","",INDEX(NXchung!$B$3:$EP$57,MATCH(B262,NXchung!$B$3:$B$57,0),INDEX($K$12:$N$25,MATCH($B250,$J$12:$J$25,0),M$11)))</f>
        <v/>
      </c>
      <c r="F250" s="808" t="str">
        <f>IF(B262="","",INDEX(NXchung!$B$3:$EP$57,MATCH(B262,NXchung!$B$3:$B$57,0),INDEX($K$12:$N$25,MATCH($B250,$J$12:$J$25,0),N$11)))</f>
        <v/>
      </c>
      <c r="G250" s="805"/>
      <c r="I250" s="64"/>
      <c r="J250" s="64"/>
    </row>
    <row r="251" spans="1:10" ht="45.9" customHeight="1">
      <c r="A251" s="803" t="s">
        <v>198</v>
      </c>
      <c r="B251" s="813" t="s">
        <v>32</v>
      </c>
      <c r="C251" s="805" t="str">
        <f>IF(B262="","",INDEX(NXchung!$B$3:$EP$57,MATCH(B262,NXchung!$B$3:$B$57,0),INDEX($K$12:$N$25,MATCH($B251,$J$12:$J$25,0),K$11)))</f>
        <v/>
      </c>
      <c r="D251" s="808" t="str">
        <f>IF(B262="","",INDEX(NXchung!$B$3:$EP$57,MATCH(B262,NXchung!$B$3:$B$57,0),INDEX($K$12:$N$25,MATCH($B251,$J$12:$J$25,0),L$11)))</f>
        <v/>
      </c>
      <c r="E251" s="805" t="str">
        <f>IF(B262="","",INDEX(NXchung!$B$3:$EP$57,MATCH(B262,NXchung!$B$3:$B$57,0),INDEX($K$12:$N$25,MATCH($B251,$J$12:$J$25,0),M$11)))</f>
        <v/>
      </c>
      <c r="F251" s="808" t="str">
        <f>IF(B262="","",INDEX(NXchung!$B$3:$EP$57,MATCH(B262,NXchung!$B$3:$B$57,0),INDEX($K$12:$N$25,MATCH($B251,$J$12:$J$25,0),N$11)))</f>
        <v/>
      </c>
      <c r="G251" s="805"/>
      <c r="I251" s="64"/>
      <c r="J251" s="64"/>
    </row>
    <row r="252" spans="1:10" ht="45.9" customHeight="1">
      <c r="A252" s="803" t="s">
        <v>199</v>
      </c>
      <c r="B252" s="813" t="s">
        <v>33</v>
      </c>
      <c r="C252" s="805" t="str">
        <f>IF(B262="","",INDEX(NXchung!$B$3:$EP$57,MATCH(B262,NXchung!$B$3:$B$57,0),INDEX($K$12:$N$25,MATCH($B252,$J$12:$J$25,0),K$11)))</f>
        <v/>
      </c>
      <c r="D252" s="808" t="str">
        <f>IF(B262="","",INDEX(NXchung!$B$3:$EP$57,MATCH(B262,NXchung!$B$3:$B$57,0),INDEX($K$12:$N$25,MATCH($B252,$J$12:$J$25,0),L$11)))</f>
        <v/>
      </c>
      <c r="E252" s="805" t="str">
        <f>IF(B262="","",INDEX(NXchung!$B$3:$EP$57,MATCH(B262,NXchung!$B$3:$B$57,0),INDEX($K$12:$N$25,MATCH($B252,$J$12:$J$25,0),M$11)))</f>
        <v/>
      </c>
      <c r="F252" s="808" t="str">
        <f>IF(B262="","",INDEX(NXchung!$B$3:$EP$57,MATCH(B262,NXchung!$B$3:$B$57,0),INDEX($K$12:$N$25,MATCH($B252,$J$12:$J$25,0),N$11)))</f>
        <v/>
      </c>
      <c r="G252" s="805"/>
      <c r="I252" s="64"/>
      <c r="J252" s="64"/>
    </row>
    <row r="253" spans="1:10" ht="45.9" customHeight="1">
      <c r="A253" s="803" t="s">
        <v>200</v>
      </c>
      <c r="B253" s="813" t="s">
        <v>60</v>
      </c>
      <c r="C253" s="805" t="str">
        <f>IF(B262="","",INDEX(NXchung!$B$3:$EP$57,MATCH(B262,NXchung!$B$3:$B$57,0),INDEX($K$12:$N$25,MATCH($B253,$J$12:$J$25,0),K$11)))</f>
        <v/>
      </c>
      <c r="D253" s="808" t="str">
        <f>IF(B262="","",INDEX(NXchung!$B$3:$EP$57,MATCH(B262,NXchung!$B$3:$B$57,0),INDEX($K$12:$N$25,MATCH($B253,$J$12:$J$25,0),L$11)))</f>
        <v/>
      </c>
      <c r="E253" s="805" t="str">
        <f>IF(B262="","",INDEX(NXchung!$B$3:$EP$57,MATCH(B262,NXchung!$B$3:$B$57,0),INDEX($K$12:$N$25,MATCH($B253,$J$12:$J$25,0),M$11)))</f>
        <v/>
      </c>
      <c r="F253" s="808" t="str">
        <f>IF(B262="","",INDEX(NXchung!$B$3:$EP$57,MATCH(B262,NXchung!$B$3:$B$57,0),INDEX($K$12:$N$25,MATCH($B253,$J$12:$J$25,0),N$11)))</f>
        <v/>
      </c>
      <c r="G253" s="805"/>
      <c r="I253" s="64"/>
      <c r="J253" s="64"/>
    </row>
    <row r="254" spans="1:10" ht="45.9" customHeight="1">
      <c r="A254" s="803" t="s">
        <v>201</v>
      </c>
      <c r="B254" s="813" t="s">
        <v>34</v>
      </c>
      <c r="C254" s="805" t="str">
        <f>IF(B262="","",INDEX(NXchung!$B$3:$EP$57,MATCH(B262,NXchung!$B$3:$B$57,0),INDEX($K$12:$N$25,MATCH($B254,$J$12:$J$25,0),K$11)))</f>
        <v/>
      </c>
      <c r="D254" s="808" t="str">
        <f>IF(B262="","",INDEX(NXchung!$B$3:$EP$57,MATCH(B262,NXchung!$B$3:$B$57,0),INDEX($K$12:$N$25,MATCH($B254,$J$12:$J$25,0),L$11)))</f>
        <v/>
      </c>
      <c r="E254" s="805" t="str">
        <f>IF(B262="","",INDEX(NXchung!$B$3:$EP$57,MATCH(B262,NXchung!$B$3:$B$57,0),INDEX($K$12:$N$25,MATCH($B254,$J$12:$J$25,0),M$11)))</f>
        <v/>
      </c>
      <c r="F254" s="808" t="str">
        <f>IF(B262="","",INDEX(NXchung!$B$3:$EP$57,MATCH(B262,NXchung!$B$3:$B$57,0),INDEX($K$12:$N$25,MATCH($B254,$J$12:$J$25,0),N$11)))</f>
        <v/>
      </c>
      <c r="G254" s="805"/>
      <c r="I254" s="64"/>
      <c r="J254" s="64"/>
    </row>
    <row r="255" spans="1:10" ht="45.9" customHeight="1">
      <c r="A255" s="803" t="s">
        <v>202</v>
      </c>
      <c r="B255" s="813" t="s">
        <v>35</v>
      </c>
      <c r="C255" s="805" t="str">
        <f>IF(B262="","",INDEX(NXchung!$B$3:$EP$57,MATCH(B262,NXchung!$B$3:$B$57,0),INDEX($K$12:$N$25,MATCH($B255,$J$12:$J$25,0),K$11)))</f>
        <v/>
      </c>
      <c r="D255" s="808" t="str">
        <f>IF(B262="","",INDEX(NXchung!$B$3:$EP$57,MATCH(B262,NXchung!$B$3:$B$57,0),INDEX($K$12:$N$25,MATCH($B255,$J$12:$J$25,0),L$11)))</f>
        <v/>
      </c>
      <c r="E255" s="805" t="str">
        <f>IF(B262="","",INDEX(NXchung!$B$3:$EP$57,MATCH(B262,NXchung!$B$3:$B$57,0),INDEX($K$12:$N$25,MATCH($B255,$J$12:$J$25,0),M$11)))</f>
        <v>Đ</v>
      </c>
      <c r="F255" s="808" t="str">
        <f>IF(B262="","",INDEX(NXchung!$B$3:$EP$57,MATCH(B262,NXchung!$B$3:$B$57,0),INDEX($K$12:$N$25,MATCH($B255,$J$12:$J$25,0),N$11)))</f>
        <v>Giỏi, có nhiều tiến bộ trong học tập.</v>
      </c>
      <c r="G255" s="805"/>
      <c r="I255" s="64"/>
      <c r="J255" s="64"/>
    </row>
    <row r="256" spans="1:10" ht="45.9" customHeight="1">
      <c r="A256" s="803" t="s">
        <v>203</v>
      </c>
      <c r="B256" s="813" t="s">
        <v>121</v>
      </c>
      <c r="C256" s="805" t="str">
        <f>IF(B262="","",INDEX(NXchung!$B$3:$EP$57,MATCH(B262,NXchung!$B$3:$B$57,0),INDEX($K$12:$N$25,MATCH($B256,$J$12:$J$25,0),K$11)))</f>
        <v/>
      </c>
      <c r="D256" s="808" t="str">
        <f>IF(B262="","",INDEX(NXchung!$B$3:$EP$57,MATCH(B262,NXchung!$B$3:$B$57,0),INDEX($K$12:$N$25,MATCH($B256,$J$12:$J$25,0),L$11)))</f>
        <v/>
      </c>
      <c r="E256" s="805" t="str">
        <f>IF(B262="","",INDEX(NXchung!$B$3:$EP$57,MATCH(B262,NXchung!$B$3:$B$57,0),INDEX($K$12:$N$25,MATCH($B256,$J$12:$J$25,0),M$11)))</f>
        <v/>
      </c>
      <c r="F256" s="808" t="str">
        <f>IF(B262="","",INDEX(NXchung!$B$3:$EP$57,MATCH(B262,NXchung!$B$3:$B$57,0),INDEX($K$12:$N$25,MATCH($B256,$J$12:$J$25,0),N$11)))</f>
        <v/>
      </c>
      <c r="G256" s="805"/>
      <c r="I256" s="64"/>
      <c r="J256" s="64"/>
    </row>
    <row r="257" spans="1:10" ht="45.9" customHeight="1">
      <c r="A257" s="803" t="s">
        <v>204</v>
      </c>
      <c r="B257" s="813" t="s">
        <v>122</v>
      </c>
      <c r="C257" s="805" t="str">
        <f>IF(B262="","",INDEX(NXchung!$B$3:$EP$57,MATCH(B262,NXchung!$B$3:$B$57,0),INDEX($K$12:$N$25,MATCH($B257,$J$12:$J$25,0),K$11)))</f>
        <v/>
      </c>
      <c r="D257" s="808" t="str">
        <f>IF(B262="","",INDEX(NXchung!$B$3:$EP$57,MATCH(B262,NXchung!$B$3:$B$57,0),INDEX($K$12:$N$25,MATCH($B257,$J$12:$J$25,0),L$11)))</f>
        <v/>
      </c>
      <c r="E257" s="805" t="str">
        <f>IF(B262="","",INDEX(NXchung!$B$3:$EP$57,MATCH(B262,NXchung!$B$3:$B$57,0),INDEX($K$12:$N$25,MATCH($B257,$J$12:$J$25,0),M$11)))</f>
        <v/>
      </c>
      <c r="F257" s="808" t="str">
        <f>IF(B262="","",INDEX(NXchung!$B$3:$EP$57,MATCH(B262,NXchung!$B$3:$B$57,0),INDEX($K$12:$N$25,MATCH($B257,$J$12:$J$25,0),N$11)))</f>
        <v/>
      </c>
      <c r="G257" s="805"/>
      <c r="I257" s="64"/>
      <c r="J257" s="64"/>
    </row>
    <row r="258" spans="1:10" s="60" customFormat="1" ht="6" customHeight="1">
      <c r="A258" s="67"/>
      <c r="B258" s="67"/>
      <c r="C258" s="475"/>
      <c r="D258" s="475"/>
      <c r="E258" s="67"/>
      <c r="F258" s="67"/>
      <c r="G258" s="67"/>
    </row>
    <row r="259" spans="1:10" ht="17.25" customHeight="1">
      <c r="D259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259" s="1163"/>
      <c r="F259" s="1163"/>
      <c r="G259" s="1163"/>
      <c r="H259" s="814"/>
    </row>
    <row r="260" spans="1:10" ht="16.5" customHeight="1">
      <c r="D260" s="992" t="s">
        <v>377</v>
      </c>
      <c r="E260" s="992"/>
      <c r="F260" s="992"/>
      <c r="G260" s="992"/>
      <c r="H260" s="814"/>
    </row>
    <row r="261" spans="1:10" ht="81.75" customHeight="1">
      <c r="D261" s="931" t="str">
        <f>IF('Huong dan'!$E$5="","",'Huong dan'!$E$5)</f>
        <v/>
      </c>
      <c r="E261" s="931"/>
      <c r="F261" s="931"/>
      <c r="G261" s="931"/>
      <c r="H261" s="814"/>
    </row>
    <row r="262" spans="1:10" ht="11.25" customHeight="1">
      <c r="A262" s="75"/>
      <c r="B262" s="815">
        <f>IF(B233="","",IF(B233&lt;MAX(DiemHKII!$B$4:$B$58),B233+1,""))</f>
        <v>9</v>
      </c>
      <c r="C262" s="75"/>
      <c r="D262" s="75"/>
      <c r="E262" s="75"/>
      <c r="F262" s="75"/>
      <c r="G262" s="75"/>
    </row>
    <row r="263" spans="1:10" s="60" customFormat="1" ht="21" customHeight="1">
      <c r="A263" s="1128" t="str">
        <f>IF('Huong dan'!$E$3&lt;&gt;"","SỞ GIÁO DỤC VÀ ĐÀO TẠO "&amp;UPPER('Huong dan'!$E$3),"")</f>
        <v>SỞ GIÁO DỤC VÀ ĐÀO TẠO TP. HỒ CHÍ MINH</v>
      </c>
      <c r="B263" s="1128"/>
      <c r="C263" s="1128"/>
      <c r="D263" s="1128"/>
      <c r="E263" s="1129" t="s">
        <v>19</v>
      </c>
      <c r="F263" s="1129"/>
      <c r="G263" s="1129"/>
    </row>
    <row r="264" spans="1:10" ht="17.25" customHeight="1">
      <c r="A264" s="992" t="str">
        <f>IF('Huong dan'!$E$4&lt;&gt;"","TRƯỜNG "&amp;UPPER('Huong dan'!$E$4),"")</f>
        <v>TRƯỜNG THCS VÀ THPT NGUYỄN KHUYẾN</v>
      </c>
      <c r="B264" s="992"/>
      <c r="C264" s="992"/>
      <c r="D264" s="992"/>
      <c r="E264" s="1130" t="s">
        <v>179</v>
      </c>
      <c r="F264" s="1130"/>
      <c r="G264" s="1130"/>
    </row>
    <row r="265" spans="1:10" ht="15" customHeight="1">
      <c r="A265" s="69"/>
      <c r="B265" s="69"/>
      <c r="C265" s="30"/>
    </row>
    <row r="266" spans="1:10" ht="27.75" customHeight="1">
      <c r="A266" s="1013" t="s">
        <v>567</v>
      </c>
      <c r="B266" s="1013"/>
      <c r="C266" s="1013"/>
      <c r="D266" s="1013"/>
      <c r="E266" s="1013"/>
      <c r="F266" s="1013"/>
      <c r="G266" s="1013"/>
    </row>
    <row r="267" spans="1:10" ht="24" customHeight="1">
      <c r="A267" s="1013" t="str">
        <f>"HỌC KỲ II VÀ CẢ NĂM - NĂM HỌC "&amp;'Huong dan'!$C$5</f>
        <v>HỌC KỲ II VÀ CẢ NĂM - NĂM HỌC 2021 - 2022</v>
      </c>
      <c r="B267" s="1013"/>
      <c r="C267" s="1013"/>
      <c r="D267" s="1013"/>
      <c r="E267" s="1013"/>
      <c r="F267" s="1013"/>
      <c r="G267" s="1013"/>
    </row>
    <row r="268" spans="1:10" ht="9" customHeight="1">
      <c r="A268" s="70"/>
      <c r="B268" s="66"/>
      <c r="C268" s="66"/>
      <c r="D268" s="66"/>
      <c r="E268" s="66"/>
      <c r="F268" s="66"/>
      <c r="G268" s="66"/>
    </row>
    <row r="269" spans="1:10" ht="18.75" customHeight="1">
      <c r="A269" s="1167" t="s">
        <v>212</v>
      </c>
      <c r="B269" s="1167"/>
      <c r="C269" s="1167"/>
      <c r="D269" s="1167" t="str">
        <f>IF(B291="","",INDEX(NXchung!$B$3:$EP$57,MATCH(B291,NXchung!$B$3:$B$57,0),3)&amp;" "&amp;INDEX(NXchung!$B$3:$EP$57,MATCH(B291,NXchung!$B$3:$B$57,0),4))</f>
        <v>Trương Đắc Điền</v>
      </c>
      <c r="E269" s="1167"/>
      <c r="F269" s="77" t="str">
        <f>IF('Huong dan'!$C$3="","","Lớp: "&amp;'Huong dan'!$C$3)</f>
        <v>Lớp: 12A1</v>
      </c>
      <c r="G269" s="71"/>
    </row>
    <row r="270" spans="1:10" ht="18.75" customHeight="1">
      <c r="A270" s="1168" t="s">
        <v>213</v>
      </c>
      <c r="B270" s="1168"/>
      <c r="C270" s="1168"/>
      <c r="D270" s="77" t="str">
        <f>INDEX(NXchung!$B$3:$EP$57,MATCH(B291,NXchung!$B$3:$B$57,0),5)</f>
        <v>08/05/2004</v>
      </c>
      <c r="F270" s="841" t="str">
        <f>IF(B291="","","Nơi sinh: "&amp;INDEX(DiemHKII!$H$4:$H$58,MATCH(B291,DiemHKII!$B$4:$B$58,0),1))</f>
        <v xml:space="preserve">Nơi sinh: </v>
      </c>
      <c r="G270" s="77"/>
    </row>
    <row r="271" spans="1:10" ht="9.75" customHeight="1">
      <c r="A271" s="62"/>
      <c r="B271" s="62"/>
      <c r="C271" s="62"/>
      <c r="D271" s="62"/>
      <c r="E271" s="62"/>
      <c r="F271" s="62"/>
      <c r="G271" s="63"/>
    </row>
    <row r="272" spans="1:10" ht="31.5" customHeight="1">
      <c r="A272" s="801" t="s">
        <v>0</v>
      </c>
      <c r="B272" s="801" t="s">
        <v>59</v>
      </c>
      <c r="C272" s="806" t="s">
        <v>661</v>
      </c>
      <c r="D272" s="801" t="s">
        <v>296</v>
      </c>
      <c r="E272" s="806" t="s">
        <v>662</v>
      </c>
      <c r="F272" s="801" t="s">
        <v>361</v>
      </c>
      <c r="G272" s="802" t="s">
        <v>569</v>
      </c>
    </row>
    <row r="273" spans="1:10" ht="45.9" customHeight="1">
      <c r="A273" s="803" t="s">
        <v>191</v>
      </c>
      <c r="B273" s="813" t="s">
        <v>26</v>
      </c>
      <c r="C273" s="805" t="str">
        <f>IF(B291="","",INDEX(NXchung!$B$3:$EP$57,MATCH(B291,NXchung!$B$3:$B$57,0),INDEX($K$12:$N$25,MATCH($B273,$J$12:$J$25,0),K$11)))</f>
        <v/>
      </c>
      <c r="D273" s="808" t="str">
        <f>IF(B291="","",INDEX(NXchung!$B$3:$EP$57,MATCH(B291,NXchung!$B$3:$B$57,0),INDEX($K$12:$N$25,MATCH($B273,$J$12:$J$25,0),L$11)))</f>
        <v/>
      </c>
      <c r="E273" s="805" t="str">
        <f>IF(B291="","",INDEX(NXchung!$B$3:$EP$57,MATCH(B291,NXchung!$B$3:$B$57,0),INDEX($K$12:$N$25,MATCH($B273,$J$12:$J$25,0),M$11)))</f>
        <v/>
      </c>
      <c r="F273" s="808" t="str">
        <f>IF(B291="","",INDEX(NXchung!$B$3:$EP$57,MATCH(B291,NXchung!$B$3:$B$57,0),INDEX($K$12:$N$25,MATCH($B273,$J$12:$J$25,0),N$11)))</f>
        <v/>
      </c>
      <c r="G273" s="805"/>
      <c r="I273" s="64"/>
      <c r="J273" s="64"/>
    </row>
    <row r="274" spans="1:10" ht="45.9" customHeight="1">
      <c r="A274" s="803" t="s">
        <v>192</v>
      </c>
      <c r="B274" s="813" t="s">
        <v>27</v>
      </c>
      <c r="C274" s="805" t="str">
        <f>IF(B291="","",INDEX(NXchung!$B$3:$EP$57,MATCH(B291,NXchung!$B$3:$B$57,0),INDEX($K$12:$N$25,MATCH($B274,$J$12:$J$25,0),K$11)))</f>
        <v/>
      </c>
      <c r="D274" s="808" t="str">
        <f>IF(B291="","",INDEX(NXchung!$B$3:$EP$57,MATCH(B291,NXchung!$B$3:$B$57,0),INDEX($K$12:$N$25,MATCH($B274,$J$12:$J$25,0),L$11)))</f>
        <v/>
      </c>
      <c r="E274" s="805" t="str">
        <f>IF(B291="","",INDEX(NXchung!$B$3:$EP$57,MATCH(B291,NXchung!$B$3:$B$57,0),INDEX($K$12:$N$25,MATCH($B274,$J$12:$J$25,0),M$11)))</f>
        <v/>
      </c>
      <c r="F274" s="808" t="str">
        <f>IF(B291="","",INDEX(NXchung!$B$3:$EP$57,MATCH(B291,NXchung!$B$3:$B$57,0),INDEX($K$12:$N$25,MATCH($B274,$J$12:$J$25,0),N$11)))</f>
        <v/>
      </c>
      <c r="G274" s="805"/>
      <c r="I274" s="64"/>
      <c r="J274" s="64"/>
    </row>
    <row r="275" spans="1:10" ht="45.9" customHeight="1">
      <c r="A275" s="803" t="s">
        <v>193</v>
      </c>
      <c r="B275" s="813" t="s">
        <v>28</v>
      </c>
      <c r="C275" s="805" t="str">
        <f>IF(B291="","",INDEX(NXchung!$B$3:$EP$57,MATCH(B291,NXchung!$B$3:$B$57,0),INDEX($K$12:$N$25,MATCH($B275,$J$12:$J$25,0),K$11)))</f>
        <v/>
      </c>
      <c r="D275" s="808" t="str">
        <f>IF(B291="","",INDEX(NXchung!$B$3:$EP$57,MATCH(B291,NXchung!$B$3:$B$57,0),INDEX($K$12:$N$25,MATCH($B275,$J$12:$J$25,0),L$11)))</f>
        <v/>
      </c>
      <c r="E275" s="805" t="str">
        <f>IF(B291="","",INDEX(NXchung!$B$3:$EP$57,MATCH(B291,NXchung!$B$3:$B$57,0),INDEX($K$12:$N$25,MATCH($B275,$J$12:$J$25,0),M$11)))</f>
        <v/>
      </c>
      <c r="F275" s="808" t="str">
        <f>IF(B291="","",INDEX(NXchung!$B$3:$EP$57,MATCH(B291,NXchung!$B$3:$B$57,0),INDEX($K$12:$N$25,MATCH($B275,$J$12:$J$25,0),N$11)))</f>
        <v/>
      </c>
      <c r="G275" s="805"/>
      <c r="I275" s="64"/>
      <c r="J275" s="64"/>
    </row>
    <row r="276" spans="1:10" ht="45.9" customHeight="1">
      <c r="A276" s="803" t="s">
        <v>194</v>
      </c>
      <c r="B276" s="813" t="s">
        <v>29</v>
      </c>
      <c r="C276" s="805" t="str">
        <f>IF(B291="","",INDEX(NXchung!$B$3:$EP$57,MATCH(B291,NXchung!$B$3:$B$57,0),INDEX($K$12:$N$25,MATCH($B276,$J$12:$J$25,0),K$11)))</f>
        <v/>
      </c>
      <c r="D276" s="808" t="str">
        <f>IF(B291="","",INDEX(NXchung!$B$3:$EP$57,MATCH(B291,NXchung!$B$3:$B$57,0),INDEX($K$12:$N$25,MATCH($B276,$J$12:$J$25,0),L$11)))</f>
        <v/>
      </c>
      <c r="E276" s="805" t="str">
        <f>IF(B291="","",INDEX(NXchung!$B$3:$EP$57,MATCH(B291,NXchung!$B$3:$B$57,0),INDEX($K$12:$N$25,MATCH($B276,$J$12:$J$25,0),M$11)))</f>
        <v/>
      </c>
      <c r="F276" s="808" t="str">
        <f>IF(B291="","",INDEX(NXchung!$B$3:$EP$57,MATCH(B291,NXchung!$B$3:$B$57,0),INDEX($K$12:$N$25,MATCH($B276,$J$12:$J$25,0),N$11)))</f>
        <v/>
      </c>
      <c r="G276" s="805"/>
      <c r="I276" s="64"/>
      <c r="J276" s="64"/>
    </row>
    <row r="277" spans="1:10" ht="45.9" customHeight="1">
      <c r="A277" s="803" t="s">
        <v>195</v>
      </c>
      <c r="B277" s="813" t="s">
        <v>120</v>
      </c>
      <c r="C277" s="805" t="str">
        <f>IF(B291="","",INDEX(NXchung!$B$3:$EP$57,MATCH(B291,NXchung!$B$3:$B$57,0),INDEX($K$12:$N$25,MATCH($B277,$J$12:$J$25,0),K$11)))</f>
        <v/>
      </c>
      <c r="D277" s="808" t="str">
        <f>IF(B291="","",INDEX(NXchung!$B$3:$EP$57,MATCH(B291,NXchung!$B$3:$B$57,0),INDEX($K$12:$N$25,MATCH($B277,$J$12:$J$25,0),L$11)))</f>
        <v/>
      </c>
      <c r="E277" s="805" t="str">
        <f>IF(B291="","",INDEX(NXchung!$B$3:$EP$57,MATCH(B291,NXchung!$B$3:$B$57,0),INDEX($K$12:$N$25,MATCH($B277,$J$12:$J$25,0),M$11)))</f>
        <v/>
      </c>
      <c r="F277" s="808" t="str">
        <f>IF(B291="","",INDEX(NXchung!$B$3:$EP$57,MATCH(B291,NXchung!$B$3:$B$57,0),INDEX($K$12:$N$25,MATCH($B277,$J$12:$J$25,0),N$11)))</f>
        <v/>
      </c>
      <c r="G277" s="805"/>
      <c r="I277" s="64"/>
      <c r="J277" s="64"/>
    </row>
    <row r="278" spans="1:10" ht="45.9" customHeight="1">
      <c r="A278" s="803" t="s">
        <v>196</v>
      </c>
      <c r="B278" s="813" t="s">
        <v>30</v>
      </c>
      <c r="C278" s="805" t="str">
        <f>IF(B291="","",INDEX(NXchung!$B$3:$EP$57,MATCH(B291,NXchung!$B$3:$B$57,0),INDEX($K$12:$N$25,MATCH($B278,$J$12:$J$25,0),K$11)))</f>
        <v/>
      </c>
      <c r="D278" s="808" t="str">
        <f>IF(B291="","",INDEX(NXchung!$B$3:$EP$57,MATCH(B291,NXchung!$B$3:$B$57,0),INDEX($K$12:$N$25,MATCH($B278,$J$12:$J$25,0),L$11)))</f>
        <v/>
      </c>
      <c r="E278" s="805" t="str">
        <f>IF(B291="","",INDEX(NXchung!$B$3:$EP$57,MATCH(B291,NXchung!$B$3:$B$57,0),INDEX($K$12:$N$25,MATCH($B278,$J$12:$J$25,0),M$11)))</f>
        <v/>
      </c>
      <c r="F278" s="808" t="str">
        <f>IF(B291="","",INDEX(NXchung!$B$3:$EP$57,MATCH(B291,NXchung!$B$3:$B$57,0),INDEX($K$12:$N$25,MATCH($B278,$J$12:$J$25,0),N$11)))</f>
        <v/>
      </c>
      <c r="G278" s="805"/>
      <c r="I278" s="64"/>
      <c r="J278" s="64"/>
    </row>
    <row r="279" spans="1:10" ht="45.9" customHeight="1">
      <c r="A279" s="803" t="s">
        <v>197</v>
      </c>
      <c r="B279" s="813" t="s">
        <v>31</v>
      </c>
      <c r="C279" s="805" t="str">
        <f>IF(B291="","",INDEX(NXchung!$B$3:$EP$57,MATCH(B291,NXchung!$B$3:$B$57,0),INDEX($K$12:$N$25,MATCH($B279,$J$12:$J$25,0),K$11)))</f>
        <v/>
      </c>
      <c r="D279" s="808" t="str">
        <f>IF(B291="","",INDEX(NXchung!$B$3:$EP$57,MATCH(B291,NXchung!$B$3:$B$57,0),INDEX($K$12:$N$25,MATCH($B279,$J$12:$J$25,0),L$11)))</f>
        <v/>
      </c>
      <c r="E279" s="805" t="str">
        <f>IF(B291="","",INDEX(NXchung!$B$3:$EP$57,MATCH(B291,NXchung!$B$3:$B$57,0),INDEX($K$12:$N$25,MATCH($B279,$J$12:$J$25,0),M$11)))</f>
        <v/>
      </c>
      <c r="F279" s="808" t="str">
        <f>IF(B291="","",INDEX(NXchung!$B$3:$EP$57,MATCH(B291,NXchung!$B$3:$B$57,0),INDEX($K$12:$N$25,MATCH($B279,$J$12:$J$25,0),N$11)))</f>
        <v/>
      </c>
      <c r="G279" s="805"/>
      <c r="I279" s="64"/>
      <c r="J279" s="64"/>
    </row>
    <row r="280" spans="1:10" ht="45.9" customHeight="1">
      <c r="A280" s="803" t="s">
        <v>198</v>
      </c>
      <c r="B280" s="813" t="s">
        <v>32</v>
      </c>
      <c r="C280" s="805" t="str">
        <f>IF(B291="","",INDEX(NXchung!$B$3:$EP$57,MATCH(B291,NXchung!$B$3:$B$57,0),INDEX($K$12:$N$25,MATCH($B280,$J$12:$J$25,0),K$11)))</f>
        <v/>
      </c>
      <c r="D280" s="808" t="str">
        <f>IF(B291="","",INDEX(NXchung!$B$3:$EP$57,MATCH(B291,NXchung!$B$3:$B$57,0),INDEX($K$12:$N$25,MATCH($B280,$J$12:$J$25,0),L$11)))</f>
        <v/>
      </c>
      <c r="E280" s="805" t="str">
        <f>IF(B291="","",INDEX(NXchung!$B$3:$EP$57,MATCH(B291,NXchung!$B$3:$B$57,0),INDEX($K$12:$N$25,MATCH($B280,$J$12:$J$25,0),M$11)))</f>
        <v/>
      </c>
      <c r="F280" s="808" t="str">
        <f>IF(B291="","",INDEX(NXchung!$B$3:$EP$57,MATCH(B291,NXchung!$B$3:$B$57,0),INDEX($K$12:$N$25,MATCH($B280,$J$12:$J$25,0),N$11)))</f>
        <v/>
      </c>
      <c r="G280" s="805"/>
      <c r="I280" s="64"/>
      <c r="J280" s="64"/>
    </row>
    <row r="281" spans="1:10" ht="45.9" customHeight="1">
      <c r="A281" s="803" t="s">
        <v>199</v>
      </c>
      <c r="B281" s="813" t="s">
        <v>33</v>
      </c>
      <c r="C281" s="805" t="str">
        <f>IF(B291="","",INDEX(NXchung!$B$3:$EP$57,MATCH(B291,NXchung!$B$3:$B$57,0),INDEX($K$12:$N$25,MATCH($B281,$J$12:$J$25,0),K$11)))</f>
        <v/>
      </c>
      <c r="D281" s="808" t="str">
        <f>IF(B291="","",INDEX(NXchung!$B$3:$EP$57,MATCH(B291,NXchung!$B$3:$B$57,0),INDEX($K$12:$N$25,MATCH($B281,$J$12:$J$25,0),L$11)))</f>
        <v/>
      </c>
      <c r="E281" s="805" t="str">
        <f>IF(B291="","",INDEX(NXchung!$B$3:$EP$57,MATCH(B291,NXchung!$B$3:$B$57,0),INDEX($K$12:$N$25,MATCH($B281,$J$12:$J$25,0),M$11)))</f>
        <v/>
      </c>
      <c r="F281" s="808" t="str">
        <f>IF(B291="","",INDEX(NXchung!$B$3:$EP$57,MATCH(B291,NXchung!$B$3:$B$57,0),INDEX($K$12:$N$25,MATCH($B281,$J$12:$J$25,0),N$11)))</f>
        <v/>
      </c>
      <c r="G281" s="805"/>
      <c r="I281" s="64"/>
      <c r="J281" s="64"/>
    </row>
    <row r="282" spans="1:10" ht="45.9" customHeight="1">
      <c r="A282" s="803" t="s">
        <v>200</v>
      </c>
      <c r="B282" s="813" t="s">
        <v>60</v>
      </c>
      <c r="C282" s="805" t="str">
        <f>IF(B291="","",INDEX(NXchung!$B$3:$EP$57,MATCH(B291,NXchung!$B$3:$B$57,0),INDEX($K$12:$N$25,MATCH($B282,$J$12:$J$25,0),K$11)))</f>
        <v/>
      </c>
      <c r="D282" s="808" t="str">
        <f>IF(B291="","",INDEX(NXchung!$B$3:$EP$57,MATCH(B291,NXchung!$B$3:$B$57,0),INDEX($K$12:$N$25,MATCH($B282,$J$12:$J$25,0),L$11)))</f>
        <v/>
      </c>
      <c r="E282" s="805" t="str">
        <f>IF(B291="","",INDEX(NXchung!$B$3:$EP$57,MATCH(B291,NXchung!$B$3:$B$57,0),INDEX($K$12:$N$25,MATCH($B282,$J$12:$J$25,0),M$11)))</f>
        <v/>
      </c>
      <c r="F282" s="808" t="str">
        <f>IF(B291="","",INDEX(NXchung!$B$3:$EP$57,MATCH(B291,NXchung!$B$3:$B$57,0),INDEX($K$12:$N$25,MATCH($B282,$J$12:$J$25,0),N$11)))</f>
        <v/>
      </c>
      <c r="G282" s="805"/>
      <c r="I282" s="64"/>
      <c r="J282" s="64"/>
    </row>
    <row r="283" spans="1:10" ht="45.9" customHeight="1">
      <c r="A283" s="803" t="s">
        <v>201</v>
      </c>
      <c r="B283" s="813" t="s">
        <v>34</v>
      </c>
      <c r="C283" s="805" t="str">
        <f>IF(B291="","",INDEX(NXchung!$B$3:$EP$57,MATCH(B291,NXchung!$B$3:$B$57,0),INDEX($K$12:$N$25,MATCH($B283,$J$12:$J$25,0),K$11)))</f>
        <v/>
      </c>
      <c r="D283" s="808" t="str">
        <f>IF(B291="","",INDEX(NXchung!$B$3:$EP$57,MATCH(B291,NXchung!$B$3:$B$57,0),INDEX($K$12:$N$25,MATCH($B283,$J$12:$J$25,0),L$11)))</f>
        <v/>
      </c>
      <c r="E283" s="805" t="str">
        <f>IF(B291="","",INDEX(NXchung!$B$3:$EP$57,MATCH(B291,NXchung!$B$3:$B$57,0),INDEX($K$12:$N$25,MATCH($B283,$J$12:$J$25,0),M$11)))</f>
        <v/>
      </c>
      <c r="F283" s="808" t="str">
        <f>IF(B291="","",INDEX(NXchung!$B$3:$EP$57,MATCH(B291,NXchung!$B$3:$B$57,0),INDEX($K$12:$N$25,MATCH($B283,$J$12:$J$25,0),N$11)))</f>
        <v/>
      </c>
      <c r="G283" s="805"/>
      <c r="I283" s="64"/>
      <c r="J283" s="64"/>
    </row>
    <row r="284" spans="1:10" ht="45.9" customHeight="1">
      <c r="A284" s="803" t="s">
        <v>202</v>
      </c>
      <c r="B284" s="813" t="s">
        <v>35</v>
      </c>
      <c r="C284" s="805" t="str">
        <f>IF(B291="","",INDEX(NXchung!$B$3:$EP$57,MATCH(B291,NXchung!$B$3:$B$57,0),INDEX($K$12:$N$25,MATCH($B284,$J$12:$J$25,0),K$11)))</f>
        <v/>
      </c>
      <c r="D284" s="808" t="str">
        <f>IF(B291="","",INDEX(NXchung!$B$3:$EP$57,MATCH(B291,NXchung!$B$3:$B$57,0),INDEX($K$12:$N$25,MATCH($B284,$J$12:$J$25,0),L$11)))</f>
        <v/>
      </c>
      <c r="E284" s="805" t="str">
        <f>IF(B291="","",INDEX(NXchung!$B$3:$EP$57,MATCH(B291,NXchung!$B$3:$B$57,0),INDEX($K$12:$N$25,MATCH($B284,$J$12:$J$25,0),M$11)))</f>
        <v>Đ</v>
      </c>
      <c r="F284" s="808" t="str">
        <f>IF(B291="","",INDEX(NXchung!$B$3:$EP$57,MATCH(B291,NXchung!$B$3:$B$57,0),INDEX($K$12:$N$25,MATCH($B284,$J$12:$J$25,0),N$11)))</f>
        <v>Rất ngoan, học có hiệu quả tốt.</v>
      </c>
      <c r="G284" s="805"/>
      <c r="I284" s="64"/>
      <c r="J284" s="64"/>
    </row>
    <row r="285" spans="1:10" ht="45.9" customHeight="1">
      <c r="A285" s="803" t="s">
        <v>203</v>
      </c>
      <c r="B285" s="813" t="s">
        <v>121</v>
      </c>
      <c r="C285" s="805" t="str">
        <f>IF(B291="","",INDEX(NXchung!$B$3:$EP$57,MATCH(B291,NXchung!$B$3:$B$57,0),INDEX($K$12:$N$25,MATCH($B285,$J$12:$J$25,0),K$11)))</f>
        <v/>
      </c>
      <c r="D285" s="808" t="str">
        <f>IF(B291="","",INDEX(NXchung!$B$3:$EP$57,MATCH(B291,NXchung!$B$3:$B$57,0),INDEX($K$12:$N$25,MATCH($B285,$J$12:$J$25,0),L$11)))</f>
        <v/>
      </c>
      <c r="E285" s="805" t="str">
        <f>IF(B291="","",INDEX(NXchung!$B$3:$EP$57,MATCH(B291,NXchung!$B$3:$B$57,0),INDEX($K$12:$N$25,MATCH($B285,$J$12:$J$25,0),M$11)))</f>
        <v/>
      </c>
      <c r="F285" s="808" t="str">
        <f>IF(B291="","",INDEX(NXchung!$B$3:$EP$57,MATCH(B291,NXchung!$B$3:$B$57,0),INDEX($K$12:$N$25,MATCH($B285,$J$12:$J$25,0),N$11)))</f>
        <v/>
      </c>
      <c r="G285" s="805"/>
      <c r="I285" s="64"/>
      <c r="J285" s="64"/>
    </row>
    <row r="286" spans="1:10" ht="45.9" customHeight="1">
      <c r="A286" s="803" t="s">
        <v>204</v>
      </c>
      <c r="B286" s="813" t="s">
        <v>122</v>
      </c>
      <c r="C286" s="805" t="str">
        <f>IF(B291="","",INDEX(NXchung!$B$3:$EP$57,MATCH(B291,NXchung!$B$3:$B$57,0),INDEX($K$12:$N$25,MATCH($B286,$J$12:$J$25,0),K$11)))</f>
        <v/>
      </c>
      <c r="D286" s="808" t="str">
        <f>IF(B291="","",INDEX(NXchung!$B$3:$EP$57,MATCH(B291,NXchung!$B$3:$B$57,0),INDEX($K$12:$N$25,MATCH($B286,$J$12:$J$25,0),L$11)))</f>
        <v/>
      </c>
      <c r="E286" s="805" t="str">
        <f>IF(B291="","",INDEX(NXchung!$B$3:$EP$57,MATCH(B291,NXchung!$B$3:$B$57,0),INDEX($K$12:$N$25,MATCH($B286,$J$12:$J$25,0),M$11)))</f>
        <v/>
      </c>
      <c r="F286" s="808" t="str">
        <f>IF(B291="","",INDEX(NXchung!$B$3:$EP$57,MATCH(B291,NXchung!$B$3:$B$57,0),INDEX($K$12:$N$25,MATCH($B286,$J$12:$J$25,0),N$11)))</f>
        <v/>
      </c>
      <c r="G286" s="805"/>
      <c r="I286" s="64"/>
      <c r="J286" s="64"/>
    </row>
    <row r="287" spans="1:10" s="60" customFormat="1" ht="6" customHeight="1">
      <c r="A287" s="67"/>
      <c r="B287" s="67"/>
      <c r="C287" s="475"/>
      <c r="D287" s="475"/>
      <c r="E287" s="67"/>
      <c r="F287" s="67"/>
      <c r="G287" s="67"/>
    </row>
    <row r="288" spans="1:10" ht="17.25" customHeight="1">
      <c r="D288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288" s="1163"/>
      <c r="F288" s="1163"/>
      <c r="G288" s="1163"/>
      <c r="H288" s="814"/>
    </row>
    <row r="289" spans="1:10" ht="16.5" customHeight="1">
      <c r="D289" s="992" t="s">
        <v>377</v>
      </c>
      <c r="E289" s="992"/>
      <c r="F289" s="992"/>
      <c r="G289" s="992"/>
      <c r="H289" s="814"/>
    </row>
    <row r="290" spans="1:10" ht="81.75" customHeight="1">
      <c r="D290" s="931" t="str">
        <f>IF('Huong dan'!$E$5="","",'Huong dan'!$E$5)</f>
        <v/>
      </c>
      <c r="E290" s="931"/>
      <c r="F290" s="931"/>
      <c r="G290" s="931"/>
      <c r="H290" s="814"/>
    </row>
    <row r="291" spans="1:10" ht="11.25" customHeight="1">
      <c r="A291" s="75"/>
      <c r="B291" s="815">
        <f>IF(B262="","",IF(B262&lt;MAX(DiemHKII!$B$4:$B$58),B262+1,""))</f>
        <v>10</v>
      </c>
      <c r="C291" s="75"/>
      <c r="D291" s="75"/>
      <c r="E291" s="75"/>
      <c r="F291" s="75"/>
      <c r="G291" s="75"/>
    </row>
    <row r="292" spans="1:10" s="60" customFormat="1" ht="21" customHeight="1">
      <c r="A292" s="1128" t="str">
        <f>IF('Huong dan'!$E$3&lt;&gt;"","SỞ GIÁO DỤC VÀ ĐÀO TẠO "&amp;UPPER('Huong dan'!$E$3),"")</f>
        <v>SỞ GIÁO DỤC VÀ ĐÀO TẠO TP. HỒ CHÍ MINH</v>
      </c>
      <c r="B292" s="1128"/>
      <c r="C292" s="1128"/>
      <c r="D292" s="1128"/>
      <c r="E292" s="1129" t="s">
        <v>19</v>
      </c>
      <c r="F292" s="1129"/>
      <c r="G292" s="1129"/>
    </row>
    <row r="293" spans="1:10" ht="17.25" customHeight="1">
      <c r="A293" s="992" t="str">
        <f>IF('Huong dan'!$E$4&lt;&gt;"","TRƯỜNG "&amp;UPPER('Huong dan'!$E$4),"")</f>
        <v>TRƯỜNG THCS VÀ THPT NGUYỄN KHUYẾN</v>
      </c>
      <c r="B293" s="992"/>
      <c r="C293" s="992"/>
      <c r="D293" s="992"/>
      <c r="E293" s="1130" t="s">
        <v>179</v>
      </c>
      <c r="F293" s="1130"/>
      <c r="G293" s="1130"/>
    </row>
    <row r="294" spans="1:10" ht="15" customHeight="1">
      <c r="A294" s="69"/>
      <c r="B294" s="69"/>
      <c r="C294" s="30"/>
    </row>
    <row r="295" spans="1:10" ht="27.75" customHeight="1">
      <c r="A295" s="1013" t="s">
        <v>567</v>
      </c>
      <c r="B295" s="1013"/>
      <c r="C295" s="1013"/>
      <c r="D295" s="1013"/>
      <c r="E295" s="1013"/>
      <c r="F295" s="1013"/>
      <c r="G295" s="1013"/>
    </row>
    <row r="296" spans="1:10" ht="24" customHeight="1">
      <c r="A296" s="1013" t="str">
        <f>"HỌC KỲ II VÀ CẢ NĂM - NĂM HỌC "&amp;'Huong dan'!$C$5</f>
        <v>HỌC KỲ II VÀ CẢ NĂM - NĂM HỌC 2021 - 2022</v>
      </c>
      <c r="B296" s="1013"/>
      <c r="C296" s="1013"/>
      <c r="D296" s="1013"/>
      <c r="E296" s="1013"/>
      <c r="F296" s="1013"/>
      <c r="G296" s="1013"/>
    </row>
    <row r="297" spans="1:10" ht="9" customHeight="1">
      <c r="A297" s="70"/>
      <c r="B297" s="66"/>
      <c r="C297" s="66"/>
      <c r="D297" s="66"/>
      <c r="E297" s="66"/>
      <c r="F297" s="66"/>
      <c r="G297" s="66"/>
    </row>
    <row r="298" spans="1:10" ht="18.75" customHeight="1">
      <c r="A298" s="1167" t="s">
        <v>212</v>
      </c>
      <c r="B298" s="1167"/>
      <c r="C298" s="1167"/>
      <c r="D298" s="1167" t="str">
        <f>IF(B320="","",INDEX(NXchung!$B$3:$EP$57,MATCH(B320,NXchung!$B$3:$B$57,0),3)&amp;" "&amp;INDEX(NXchung!$B$3:$EP$57,MATCH(B320,NXchung!$B$3:$B$57,0),4))</f>
        <v>Hồ Ngọc Hải</v>
      </c>
      <c r="E298" s="1167"/>
      <c r="F298" s="77" t="str">
        <f>IF('Huong dan'!$C$3="","","Lớp: "&amp;'Huong dan'!$C$3)</f>
        <v>Lớp: 12A1</v>
      </c>
      <c r="G298" s="71"/>
    </row>
    <row r="299" spans="1:10" ht="18.75" customHeight="1">
      <c r="A299" s="1168" t="s">
        <v>213</v>
      </c>
      <c r="B299" s="1168"/>
      <c r="C299" s="1168"/>
      <c r="D299" s="77" t="str">
        <f>INDEX(NXchung!$B$3:$EP$57,MATCH(B320,NXchung!$B$3:$B$57,0),5)</f>
        <v>25/10/2004</v>
      </c>
      <c r="F299" s="841" t="str">
        <f>IF(B320="","","Nơi sinh: "&amp;INDEX(DiemHKII!$H$4:$H$58,MATCH(B320,DiemHKII!$B$4:$B$58,0),1))</f>
        <v xml:space="preserve">Nơi sinh: </v>
      </c>
      <c r="G299" s="77"/>
    </row>
    <row r="300" spans="1:10" ht="9.75" customHeight="1">
      <c r="A300" s="62"/>
      <c r="B300" s="62"/>
      <c r="C300" s="62"/>
      <c r="D300" s="62"/>
      <c r="E300" s="62"/>
      <c r="F300" s="62"/>
      <c r="G300" s="63"/>
    </row>
    <row r="301" spans="1:10" ht="31.5" customHeight="1">
      <c r="A301" s="801" t="s">
        <v>0</v>
      </c>
      <c r="B301" s="801" t="s">
        <v>59</v>
      </c>
      <c r="C301" s="806" t="s">
        <v>661</v>
      </c>
      <c r="D301" s="801" t="s">
        <v>296</v>
      </c>
      <c r="E301" s="806" t="s">
        <v>662</v>
      </c>
      <c r="F301" s="801" t="s">
        <v>361</v>
      </c>
      <c r="G301" s="802" t="s">
        <v>569</v>
      </c>
    </row>
    <row r="302" spans="1:10" ht="45.9" customHeight="1">
      <c r="A302" s="803" t="s">
        <v>191</v>
      </c>
      <c r="B302" s="813" t="s">
        <v>26</v>
      </c>
      <c r="C302" s="805" t="str">
        <f>IF(B320="","",INDEX(NXchung!$B$3:$EP$57,MATCH(B320,NXchung!$B$3:$B$57,0),INDEX($K$12:$N$25,MATCH($B302,$J$12:$J$25,0),K$11)))</f>
        <v/>
      </c>
      <c r="D302" s="808" t="str">
        <f>IF(B320="","",INDEX(NXchung!$B$3:$EP$57,MATCH(B320,NXchung!$B$3:$B$57,0),INDEX($K$12:$N$25,MATCH($B302,$J$12:$J$25,0),L$11)))</f>
        <v/>
      </c>
      <c r="E302" s="805" t="str">
        <f>IF(B320="","",INDEX(NXchung!$B$3:$EP$57,MATCH(B320,NXchung!$B$3:$B$57,0),INDEX($K$12:$N$25,MATCH($B302,$J$12:$J$25,0),M$11)))</f>
        <v/>
      </c>
      <c r="F302" s="808" t="str">
        <f>IF(B320="","",INDEX(NXchung!$B$3:$EP$57,MATCH(B320,NXchung!$B$3:$B$57,0),INDEX($K$12:$N$25,MATCH($B302,$J$12:$J$25,0),N$11)))</f>
        <v/>
      </c>
      <c r="G302" s="805"/>
      <c r="I302" s="64"/>
      <c r="J302" s="64"/>
    </row>
    <row r="303" spans="1:10" ht="45.9" customHeight="1">
      <c r="A303" s="803" t="s">
        <v>192</v>
      </c>
      <c r="B303" s="813" t="s">
        <v>27</v>
      </c>
      <c r="C303" s="805" t="str">
        <f>IF(B320="","",INDEX(NXchung!$B$3:$EP$57,MATCH(B320,NXchung!$B$3:$B$57,0),INDEX($K$12:$N$25,MATCH($B303,$J$12:$J$25,0),K$11)))</f>
        <v/>
      </c>
      <c r="D303" s="808" t="str">
        <f>IF(B320="","",INDEX(NXchung!$B$3:$EP$57,MATCH(B320,NXchung!$B$3:$B$57,0),INDEX($K$12:$N$25,MATCH($B303,$J$12:$J$25,0),L$11)))</f>
        <v/>
      </c>
      <c r="E303" s="805" t="str">
        <f>IF(B320="","",INDEX(NXchung!$B$3:$EP$57,MATCH(B320,NXchung!$B$3:$B$57,0),INDEX($K$12:$N$25,MATCH($B303,$J$12:$J$25,0),M$11)))</f>
        <v/>
      </c>
      <c r="F303" s="808" t="str">
        <f>IF(B320="","",INDEX(NXchung!$B$3:$EP$57,MATCH(B320,NXchung!$B$3:$B$57,0),INDEX($K$12:$N$25,MATCH($B303,$J$12:$J$25,0),N$11)))</f>
        <v/>
      </c>
      <c r="G303" s="805"/>
      <c r="I303" s="64"/>
      <c r="J303" s="64"/>
    </row>
    <row r="304" spans="1:10" ht="45.9" customHeight="1">
      <c r="A304" s="803" t="s">
        <v>193</v>
      </c>
      <c r="B304" s="813" t="s">
        <v>28</v>
      </c>
      <c r="C304" s="805" t="str">
        <f>IF(B320="","",INDEX(NXchung!$B$3:$EP$57,MATCH(B320,NXchung!$B$3:$B$57,0),INDEX($K$12:$N$25,MATCH($B304,$J$12:$J$25,0),K$11)))</f>
        <v/>
      </c>
      <c r="D304" s="808" t="str">
        <f>IF(B320="","",INDEX(NXchung!$B$3:$EP$57,MATCH(B320,NXchung!$B$3:$B$57,0),INDEX($K$12:$N$25,MATCH($B304,$J$12:$J$25,0),L$11)))</f>
        <v/>
      </c>
      <c r="E304" s="805" t="str">
        <f>IF(B320="","",INDEX(NXchung!$B$3:$EP$57,MATCH(B320,NXchung!$B$3:$B$57,0),INDEX($K$12:$N$25,MATCH($B304,$J$12:$J$25,0),M$11)))</f>
        <v/>
      </c>
      <c r="F304" s="808" t="str">
        <f>IF(B320="","",INDEX(NXchung!$B$3:$EP$57,MATCH(B320,NXchung!$B$3:$B$57,0),INDEX($K$12:$N$25,MATCH($B304,$J$12:$J$25,0),N$11)))</f>
        <v/>
      </c>
      <c r="G304" s="805"/>
      <c r="I304" s="64"/>
      <c r="J304" s="64"/>
    </row>
    <row r="305" spans="1:10" ht="45.9" customHeight="1">
      <c r="A305" s="803" t="s">
        <v>194</v>
      </c>
      <c r="B305" s="813" t="s">
        <v>29</v>
      </c>
      <c r="C305" s="805" t="str">
        <f>IF(B320="","",INDEX(NXchung!$B$3:$EP$57,MATCH(B320,NXchung!$B$3:$B$57,0),INDEX($K$12:$N$25,MATCH($B305,$J$12:$J$25,0),K$11)))</f>
        <v/>
      </c>
      <c r="D305" s="808" t="str">
        <f>IF(B320="","",INDEX(NXchung!$B$3:$EP$57,MATCH(B320,NXchung!$B$3:$B$57,0),INDEX($K$12:$N$25,MATCH($B305,$J$12:$J$25,0),L$11)))</f>
        <v/>
      </c>
      <c r="E305" s="805" t="str">
        <f>IF(B320="","",INDEX(NXchung!$B$3:$EP$57,MATCH(B320,NXchung!$B$3:$B$57,0),INDEX($K$12:$N$25,MATCH($B305,$J$12:$J$25,0),M$11)))</f>
        <v/>
      </c>
      <c r="F305" s="808" t="str">
        <f>IF(B320="","",INDEX(NXchung!$B$3:$EP$57,MATCH(B320,NXchung!$B$3:$B$57,0),INDEX($K$12:$N$25,MATCH($B305,$J$12:$J$25,0),N$11)))</f>
        <v/>
      </c>
      <c r="G305" s="805"/>
      <c r="I305" s="64"/>
      <c r="J305" s="64"/>
    </row>
    <row r="306" spans="1:10" ht="45.9" customHeight="1">
      <c r="A306" s="803" t="s">
        <v>195</v>
      </c>
      <c r="B306" s="813" t="s">
        <v>120</v>
      </c>
      <c r="C306" s="805" t="str">
        <f>IF(B320="","",INDEX(NXchung!$B$3:$EP$57,MATCH(B320,NXchung!$B$3:$B$57,0),INDEX($K$12:$N$25,MATCH($B306,$J$12:$J$25,0),K$11)))</f>
        <v/>
      </c>
      <c r="D306" s="808" t="str">
        <f>IF(B320="","",INDEX(NXchung!$B$3:$EP$57,MATCH(B320,NXchung!$B$3:$B$57,0),INDEX($K$12:$N$25,MATCH($B306,$J$12:$J$25,0),L$11)))</f>
        <v/>
      </c>
      <c r="E306" s="805" t="str">
        <f>IF(B320="","",INDEX(NXchung!$B$3:$EP$57,MATCH(B320,NXchung!$B$3:$B$57,0),INDEX($K$12:$N$25,MATCH($B306,$J$12:$J$25,0),M$11)))</f>
        <v/>
      </c>
      <c r="F306" s="808" t="str">
        <f>IF(B320="","",INDEX(NXchung!$B$3:$EP$57,MATCH(B320,NXchung!$B$3:$B$57,0),INDEX($K$12:$N$25,MATCH($B306,$J$12:$J$25,0),N$11)))</f>
        <v/>
      </c>
      <c r="G306" s="805"/>
      <c r="I306" s="64"/>
      <c r="J306" s="64"/>
    </row>
    <row r="307" spans="1:10" ht="45.9" customHeight="1">
      <c r="A307" s="803" t="s">
        <v>196</v>
      </c>
      <c r="B307" s="813" t="s">
        <v>30</v>
      </c>
      <c r="C307" s="805" t="str">
        <f>IF(B320="","",INDEX(NXchung!$B$3:$EP$57,MATCH(B320,NXchung!$B$3:$B$57,0),INDEX($K$12:$N$25,MATCH($B307,$J$12:$J$25,0),K$11)))</f>
        <v/>
      </c>
      <c r="D307" s="808" t="str">
        <f>IF(B320="","",INDEX(NXchung!$B$3:$EP$57,MATCH(B320,NXchung!$B$3:$B$57,0),INDEX($K$12:$N$25,MATCH($B307,$J$12:$J$25,0),L$11)))</f>
        <v/>
      </c>
      <c r="E307" s="805" t="str">
        <f>IF(B320="","",INDEX(NXchung!$B$3:$EP$57,MATCH(B320,NXchung!$B$3:$B$57,0),INDEX($K$12:$N$25,MATCH($B307,$J$12:$J$25,0),M$11)))</f>
        <v/>
      </c>
      <c r="F307" s="808" t="str">
        <f>IF(B320="","",INDEX(NXchung!$B$3:$EP$57,MATCH(B320,NXchung!$B$3:$B$57,0),INDEX($K$12:$N$25,MATCH($B307,$J$12:$J$25,0),N$11)))</f>
        <v/>
      </c>
      <c r="G307" s="805"/>
      <c r="I307" s="64"/>
      <c r="J307" s="64"/>
    </row>
    <row r="308" spans="1:10" ht="45.9" customHeight="1">
      <c r="A308" s="803" t="s">
        <v>197</v>
      </c>
      <c r="B308" s="813" t="s">
        <v>31</v>
      </c>
      <c r="C308" s="805" t="str">
        <f>IF(B320="","",INDEX(NXchung!$B$3:$EP$57,MATCH(B320,NXchung!$B$3:$B$57,0),INDEX($K$12:$N$25,MATCH($B308,$J$12:$J$25,0),K$11)))</f>
        <v/>
      </c>
      <c r="D308" s="808" t="str">
        <f>IF(B320="","",INDEX(NXchung!$B$3:$EP$57,MATCH(B320,NXchung!$B$3:$B$57,0),INDEX($K$12:$N$25,MATCH($B308,$J$12:$J$25,0),L$11)))</f>
        <v/>
      </c>
      <c r="E308" s="805" t="str">
        <f>IF(B320="","",INDEX(NXchung!$B$3:$EP$57,MATCH(B320,NXchung!$B$3:$B$57,0),INDEX($K$12:$N$25,MATCH($B308,$J$12:$J$25,0),M$11)))</f>
        <v/>
      </c>
      <c r="F308" s="808" t="str">
        <f>IF(B320="","",INDEX(NXchung!$B$3:$EP$57,MATCH(B320,NXchung!$B$3:$B$57,0),INDEX($K$12:$N$25,MATCH($B308,$J$12:$J$25,0),N$11)))</f>
        <v/>
      </c>
      <c r="G308" s="805"/>
      <c r="I308" s="64"/>
      <c r="J308" s="64"/>
    </row>
    <row r="309" spans="1:10" ht="45.9" customHeight="1">
      <c r="A309" s="803" t="s">
        <v>198</v>
      </c>
      <c r="B309" s="813" t="s">
        <v>32</v>
      </c>
      <c r="C309" s="805" t="str">
        <f>IF(B320="","",INDEX(NXchung!$B$3:$EP$57,MATCH(B320,NXchung!$B$3:$B$57,0),INDEX($K$12:$N$25,MATCH($B309,$J$12:$J$25,0),K$11)))</f>
        <v/>
      </c>
      <c r="D309" s="808" t="str">
        <f>IF(B320="","",INDEX(NXchung!$B$3:$EP$57,MATCH(B320,NXchung!$B$3:$B$57,0),INDEX($K$12:$N$25,MATCH($B309,$J$12:$J$25,0),L$11)))</f>
        <v/>
      </c>
      <c r="E309" s="805" t="str">
        <f>IF(B320="","",INDEX(NXchung!$B$3:$EP$57,MATCH(B320,NXchung!$B$3:$B$57,0),INDEX($K$12:$N$25,MATCH($B309,$J$12:$J$25,0),M$11)))</f>
        <v/>
      </c>
      <c r="F309" s="808" t="str">
        <f>IF(B320="","",INDEX(NXchung!$B$3:$EP$57,MATCH(B320,NXchung!$B$3:$B$57,0),INDEX($K$12:$N$25,MATCH($B309,$J$12:$J$25,0),N$11)))</f>
        <v/>
      </c>
      <c r="G309" s="805"/>
      <c r="I309" s="64"/>
      <c r="J309" s="64"/>
    </row>
    <row r="310" spans="1:10" ht="45.9" customHeight="1">
      <c r="A310" s="803" t="s">
        <v>199</v>
      </c>
      <c r="B310" s="813" t="s">
        <v>33</v>
      </c>
      <c r="C310" s="805" t="str">
        <f>IF(B320="","",INDEX(NXchung!$B$3:$EP$57,MATCH(B320,NXchung!$B$3:$B$57,0),INDEX($K$12:$N$25,MATCH($B310,$J$12:$J$25,0),K$11)))</f>
        <v/>
      </c>
      <c r="D310" s="808" t="str">
        <f>IF(B320="","",INDEX(NXchung!$B$3:$EP$57,MATCH(B320,NXchung!$B$3:$B$57,0),INDEX($K$12:$N$25,MATCH($B310,$J$12:$J$25,0),L$11)))</f>
        <v/>
      </c>
      <c r="E310" s="805" t="str">
        <f>IF(B320="","",INDEX(NXchung!$B$3:$EP$57,MATCH(B320,NXchung!$B$3:$B$57,0),INDEX($K$12:$N$25,MATCH($B310,$J$12:$J$25,0),M$11)))</f>
        <v/>
      </c>
      <c r="F310" s="808" t="str">
        <f>IF(B320="","",INDEX(NXchung!$B$3:$EP$57,MATCH(B320,NXchung!$B$3:$B$57,0),INDEX($K$12:$N$25,MATCH($B310,$J$12:$J$25,0),N$11)))</f>
        <v/>
      </c>
      <c r="G310" s="805"/>
      <c r="I310" s="64"/>
      <c r="J310" s="64"/>
    </row>
    <row r="311" spans="1:10" ht="45.9" customHeight="1">
      <c r="A311" s="803" t="s">
        <v>200</v>
      </c>
      <c r="B311" s="813" t="s">
        <v>60</v>
      </c>
      <c r="C311" s="805" t="str">
        <f>IF(B320="","",INDEX(NXchung!$B$3:$EP$57,MATCH(B320,NXchung!$B$3:$B$57,0),INDEX($K$12:$N$25,MATCH($B311,$J$12:$J$25,0),K$11)))</f>
        <v/>
      </c>
      <c r="D311" s="808" t="str">
        <f>IF(B320="","",INDEX(NXchung!$B$3:$EP$57,MATCH(B320,NXchung!$B$3:$B$57,0),INDEX($K$12:$N$25,MATCH($B311,$J$12:$J$25,0),L$11)))</f>
        <v/>
      </c>
      <c r="E311" s="805" t="str">
        <f>IF(B320="","",INDEX(NXchung!$B$3:$EP$57,MATCH(B320,NXchung!$B$3:$B$57,0),INDEX($K$12:$N$25,MATCH($B311,$J$12:$J$25,0),M$11)))</f>
        <v/>
      </c>
      <c r="F311" s="808" t="str">
        <f>IF(B320="","",INDEX(NXchung!$B$3:$EP$57,MATCH(B320,NXchung!$B$3:$B$57,0),INDEX($K$12:$N$25,MATCH($B311,$J$12:$J$25,0),N$11)))</f>
        <v/>
      </c>
      <c r="G311" s="805"/>
      <c r="I311" s="64"/>
      <c r="J311" s="64"/>
    </row>
    <row r="312" spans="1:10" ht="45.9" customHeight="1">
      <c r="A312" s="803" t="s">
        <v>201</v>
      </c>
      <c r="B312" s="813" t="s">
        <v>34</v>
      </c>
      <c r="C312" s="805" t="str">
        <f>IF(B320="","",INDEX(NXchung!$B$3:$EP$57,MATCH(B320,NXchung!$B$3:$B$57,0),INDEX($K$12:$N$25,MATCH($B312,$J$12:$J$25,0),K$11)))</f>
        <v/>
      </c>
      <c r="D312" s="808" t="str">
        <f>IF(B320="","",INDEX(NXchung!$B$3:$EP$57,MATCH(B320,NXchung!$B$3:$B$57,0),INDEX($K$12:$N$25,MATCH($B312,$J$12:$J$25,0),L$11)))</f>
        <v/>
      </c>
      <c r="E312" s="805" t="str">
        <f>IF(B320="","",INDEX(NXchung!$B$3:$EP$57,MATCH(B320,NXchung!$B$3:$B$57,0),INDEX($K$12:$N$25,MATCH($B312,$J$12:$J$25,0),M$11)))</f>
        <v/>
      </c>
      <c r="F312" s="808" t="str">
        <f>IF(B320="","",INDEX(NXchung!$B$3:$EP$57,MATCH(B320,NXchung!$B$3:$B$57,0),INDEX($K$12:$N$25,MATCH($B312,$J$12:$J$25,0),N$11)))</f>
        <v/>
      </c>
      <c r="G312" s="805"/>
      <c r="I312" s="64"/>
      <c r="J312" s="64"/>
    </row>
    <row r="313" spans="1:10" ht="45.9" customHeight="1">
      <c r="A313" s="803" t="s">
        <v>202</v>
      </c>
      <c r="B313" s="813" t="s">
        <v>35</v>
      </c>
      <c r="C313" s="805" t="str">
        <f>IF(B320="","",INDEX(NXchung!$B$3:$EP$57,MATCH(B320,NXchung!$B$3:$B$57,0),INDEX($K$12:$N$25,MATCH($B313,$J$12:$J$25,0),K$11)))</f>
        <v/>
      </c>
      <c r="D313" s="808" t="str">
        <f>IF(B320="","",INDEX(NXchung!$B$3:$EP$57,MATCH(B320,NXchung!$B$3:$B$57,0),INDEX($K$12:$N$25,MATCH($B313,$J$12:$J$25,0),L$11)))</f>
        <v/>
      </c>
      <c r="E313" s="805" t="str">
        <f>IF(B320="","",INDEX(NXchung!$B$3:$EP$57,MATCH(B320,NXchung!$B$3:$B$57,0),INDEX($K$12:$N$25,MATCH($B313,$J$12:$J$25,0),M$11)))</f>
        <v>Đ</v>
      </c>
      <c r="F313" s="808" t="str">
        <f>IF(B320="","",INDEX(NXchung!$B$3:$EP$57,MATCH(B320,NXchung!$B$3:$B$57,0),INDEX($K$12:$N$25,MATCH($B313,$J$12:$J$25,0),N$11)))</f>
        <v>Chăm chỉ, cố gắng, rất ngoan.</v>
      </c>
      <c r="G313" s="805"/>
      <c r="I313" s="64"/>
      <c r="J313" s="64"/>
    </row>
    <row r="314" spans="1:10" ht="45.9" customHeight="1">
      <c r="A314" s="803" t="s">
        <v>203</v>
      </c>
      <c r="B314" s="813" t="s">
        <v>121</v>
      </c>
      <c r="C314" s="805" t="str">
        <f>IF(B320="","",INDEX(NXchung!$B$3:$EP$57,MATCH(B320,NXchung!$B$3:$B$57,0),INDEX($K$12:$N$25,MATCH($B314,$J$12:$J$25,0),K$11)))</f>
        <v/>
      </c>
      <c r="D314" s="808" t="str">
        <f>IF(B320="","",INDEX(NXchung!$B$3:$EP$57,MATCH(B320,NXchung!$B$3:$B$57,0),INDEX($K$12:$N$25,MATCH($B314,$J$12:$J$25,0),L$11)))</f>
        <v/>
      </c>
      <c r="E314" s="805" t="str">
        <f>IF(B320="","",INDEX(NXchung!$B$3:$EP$57,MATCH(B320,NXchung!$B$3:$B$57,0),INDEX($K$12:$N$25,MATCH($B314,$J$12:$J$25,0),M$11)))</f>
        <v/>
      </c>
      <c r="F314" s="808" t="str">
        <f>IF(B320="","",INDEX(NXchung!$B$3:$EP$57,MATCH(B320,NXchung!$B$3:$B$57,0),INDEX($K$12:$N$25,MATCH($B314,$J$12:$J$25,0),N$11)))</f>
        <v/>
      </c>
      <c r="G314" s="805"/>
      <c r="I314" s="64"/>
      <c r="J314" s="64"/>
    </row>
    <row r="315" spans="1:10" ht="45.9" customHeight="1">
      <c r="A315" s="803" t="s">
        <v>204</v>
      </c>
      <c r="B315" s="813" t="s">
        <v>122</v>
      </c>
      <c r="C315" s="805" t="str">
        <f>IF(B320="","",INDEX(NXchung!$B$3:$EP$57,MATCH(B320,NXchung!$B$3:$B$57,0),INDEX($K$12:$N$25,MATCH($B315,$J$12:$J$25,0),K$11)))</f>
        <v/>
      </c>
      <c r="D315" s="808" t="str">
        <f>IF(B320="","",INDEX(NXchung!$B$3:$EP$57,MATCH(B320,NXchung!$B$3:$B$57,0),INDEX($K$12:$N$25,MATCH($B315,$J$12:$J$25,0),L$11)))</f>
        <v/>
      </c>
      <c r="E315" s="805" t="str">
        <f>IF(B320="","",INDEX(NXchung!$B$3:$EP$57,MATCH(B320,NXchung!$B$3:$B$57,0),INDEX($K$12:$N$25,MATCH($B315,$J$12:$J$25,0),M$11)))</f>
        <v/>
      </c>
      <c r="F315" s="808" t="str">
        <f>IF(B320="","",INDEX(NXchung!$B$3:$EP$57,MATCH(B320,NXchung!$B$3:$B$57,0),INDEX($K$12:$N$25,MATCH($B315,$J$12:$J$25,0),N$11)))</f>
        <v/>
      </c>
      <c r="G315" s="805"/>
      <c r="I315" s="64"/>
      <c r="J315" s="64"/>
    </row>
    <row r="316" spans="1:10" s="60" customFormat="1" ht="6" customHeight="1">
      <c r="A316" s="67"/>
      <c r="B316" s="67"/>
      <c r="C316" s="475"/>
      <c r="D316" s="475"/>
      <c r="E316" s="67"/>
      <c r="F316" s="67"/>
      <c r="G316" s="67"/>
    </row>
    <row r="317" spans="1:10" ht="17.25" customHeight="1">
      <c r="D317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317" s="1163"/>
      <c r="F317" s="1163"/>
      <c r="G317" s="1163"/>
      <c r="H317" s="814"/>
    </row>
    <row r="318" spans="1:10" ht="16.5" customHeight="1">
      <c r="D318" s="992" t="s">
        <v>377</v>
      </c>
      <c r="E318" s="992"/>
      <c r="F318" s="992"/>
      <c r="G318" s="992"/>
      <c r="H318" s="814"/>
    </row>
    <row r="319" spans="1:10" ht="81.75" customHeight="1">
      <c r="D319" s="931" t="str">
        <f>IF('Huong dan'!$E$5="","",'Huong dan'!$E$5)</f>
        <v/>
      </c>
      <c r="E319" s="931"/>
      <c r="F319" s="931"/>
      <c r="G319" s="931"/>
      <c r="H319" s="814"/>
    </row>
    <row r="320" spans="1:10" ht="11.25" customHeight="1">
      <c r="A320" s="75"/>
      <c r="B320" s="815">
        <f>IF(B291="","",IF(B291&lt;MAX(DiemHKII!$B$4:$B$58),B291+1,""))</f>
        <v>11</v>
      </c>
      <c r="C320" s="75"/>
      <c r="D320" s="75"/>
      <c r="E320" s="75"/>
      <c r="F320" s="75"/>
      <c r="G320" s="75"/>
    </row>
    <row r="321" spans="1:10" s="60" customFormat="1" ht="21" customHeight="1">
      <c r="A321" s="1128" t="str">
        <f>IF('Huong dan'!$E$3&lt;&gt;"","SỞ GIÁO DỤC VÀ ĐÀO TẠO "&amp;UPPER('Huong dan'!$E$3),"")</f>
        <v>SỞ GIÁO DỤC VÀ ĐÀO TẠO TP. HỒ CHÍ MINH</v>
      </c>
      <c r="B321" s="1128"/>
      <c r="C321" s="1128"/>
      <c r="D321" s="1128"/>
      <c r="E321" s="1129" t="s">
        <v>19</v>
      </c>
      <c r="F321" s="1129"/>
      <c r="G321" s="1129"/>
    </row>
    <row r="322" spans="1:10" ht="17.25" customHeight="1">
      <c r="A322" s="992" t="str">
        <f>IF('Huong dan'!$E$4&lt;&gt;"","TRƯỜNG "&amp;UPPER('Huong dan'!$E$4),"")</f>
        <v>TRƯỜNG THCS VÀ THPT NGUYỄN KHUYẾN</v>
      </c>
      <c r="B322" s="992"/>
      <c r="C322" s="992"/>
      <c r="D322" s="992"/>
      <c r="E322" s="1130" t="s">
        <v>179</v>
      </c>
      <c r="F322" s="1130"/>
      <c r="G322" s="1130"/>
    </row>
    <row r="323" spans="1:10" ht="15" customHeight="1">
      <c r="A323" s="69"/>
      <c r="B323" s="69"/>
      <c r="C323" s="30"/>
    </row>
    <row r="324" spans="1:10" ht="27.75" customHeight="1">
      <c r="A324" s="1013" t="s">
        <v>567</v>
      </c>
      <c r="B324" s="1013"/>
      <c r="C324" s="1013"/>
      <c r="D324" s="1013"/>
      <c r="E324" s="1013"/>
      <c r="F324" s="1013"/>
      <c r="G324" s="1013"/>
    </row>
    <row r="325" spans="1:10" ht="24" customHeight="1">
      <c r="A325" s="1013" t="str">
        <f>"HỌC KỲ II VÀ CẢ NĂM - NĂM HỌC "&amp;'Huong dan'!$C$5</f>
        <v>HỌC KỲ II VÀ CẢ NĂM - NĂM HỌC 2021 - 2022</v>
      </c>
      <c r="B325" s="1013"/>
      <c r="C325" s="1013"/>
      <c r="D325" s="1013"/>
      <c r="E325" s="1013"/>
      <c r="F325" s="1013"/>
      <c r="G325" s="1013"/>
    </row>
    <row r="326" spans="1:10" ht="9" customHeight="1">
      <c r="A326" s="70"/>
      <c r="B326" s="66"/>
      <c r="C326" s="66"/>
      <c r="D326" s="66"/>
      <c r="E326" s="66"/>
      <c r="F326" s="66"/>
      <c r="G326" s="66"/>
    </row>
    <row r="327" spans="1:10" ht="18.75" customHeight="1">
      <c r="A327" s="1167" t="s">
        <v>212</v>
      </c>
      <c r="B327" s="1167"/>
      <c r="C327" s="1167"/>
      <c r="D327" s="1167" t="str">
        <f>IF(B349="","",INDEX(NXchung!$B$3:$EP$57,MATCH(B349,NXchung!$B$3:$B$57,0),3)&amp;" "&amp;INDEX(NXchung!$B$3:$EP$57,MATCH(B349,NXchung!$B$3:$B$57,0),4))</f>
        <v>Hồ Sơn Hậu</v>
      </c>
      <c r="E327" s="1167"/>
      <c r="F327" s="77" t="str">
        <f>IF('Huong dan'!$C$3="","","Lớp: "&amp;'Huong dan'!$C$3)</f>
        <v>Lớp: 12A1</v>
      </c>
      <c r="G327" s="71"/>
    </row>
    <row r="328" spans="1:10" ht="18.75" customHeight="1">
      <c r="A328" s="1168" t="s">
        <v>213</v>
      </c>
      <c r="B328" s="1168"/>
      <c r="C328" s="1168"/>
      <c r="D328" s="77" t="str">
        <f>INDEX(NXchung!$B$3:$EP$57,MATCH(B349,NXchung!$B$3:$B$57,0),5)</f>
        <v>08/01/2004</v>
      </c>
      <c r="F328" s="841" t="str">
        <f>IF(B349="","","Nơi sinh: "&amp;INDEX(DiemHKII!$H$4:$H$58,MATCH(B349,DiemHKII!$B$4:$B$58,0),1))</f>
        <v xml:space="preserve">Nơi sinh: </v>
      </c>
      <c r="G328" s="77"/>
    </row>
    <row r="329" spans="1:10" ht="9.75" customHeight="1">
      <c r="A329" s="62"/>
      <c r="B329" s="62"/>
      <c r="C329" s="62"/>
      <c r="D329" s="62"/>
      <c r="E329" s="62"/>
      <c r="F329" s="62"/>
      <c r="G329" s="63"/>
    </row>
    <row r="330" spans="1:10" ht="31.5" customHeight="1">
      <c r="A330" s="801" t="s">
        <v>0</v>
      </c>
      <c r="B330" s="801" t="s">
        <v>59</v>
      </c>
      <c r="C330" s="806" t="s">
        <v>661</v>
      </c>
      <c r="D330" s="801" t="s">
        <v>296</v>
      </c>
      <c r="E330" s="806" t="s">
        <v>662</v>
      </c>
      <c r="F330" s="801" t="s">
        <v>361</v>
      </c>
      <c r="G330" s="802" t="s">
        <v>569</v>
      </c>
    </row>
    <row r="331" spans="1:10" ht="45.9" customHeight="1">
      <c r="A331" s="803" t="s">
        <v>191</v>
      </c>
      <c r="B331" s="813" t="s">
        <v>26</v>
      </c>
      <c r="C331" s="805" t="str">
        <f>IF(B349="","",INDEX(NXchung!$B$3:$EP$57,MATCH(B349,NXchung!$B$3:$B$57,0),INDEX($K$12:$N$25,MATCH($B331,$J$12:$J$25,0),K$11)))</f>
        <v/>
      </c>
      <c r="D331" s="808" t="str">
        <f>IF(B349="","",INDEX(NXchung!$B$3:$EP$57,MATCH(B349,NXchung!$B$3:$B$57,0),INDEX($K$12:$N$25,MATCH($B331,$J$12:$J$25,0),L$11)))</f>
        <v/>
      </c>
      <c r="E331" s="805" t="str">
        <f>IF(B349="","",INDEX(NXchung!$B$3:$EP$57,MATCH(B349,NXchung!$B$3:$B$57,0),INDEX($K$12:$N$25,MATCH($B331,$J$12:$J$25,0),M$11)))</f>
        <v/>
      </c>
      <c r="F331" s="808" t="str">
        <f>IF(B349="","",INDEX(NXchung!$B$3:$EP$57,MATCH(B349,NXchung!$B$3:$B$57,0),INDEX($K$12:$N$25,MATCH($B331,$J$12:$J$25,0),N$11)))</f>
        <v/>
      </c>
      <c r="G331" s="805"/>
      <c r="I331" s="64"/>
      <c r="J331" s="64"/>
    </row>
    <row r="332" spans="1:10" ht="45.9" customHeight="1">
      <c r="A332" s="803" t="s">
        <v>192</v>
      </c>
      <c r="B332" s="813" t="s">
        <v>27</v>
      </c>
      <c r="C332" s="805" t="str">
        <f>IF(B349="","",INDEX(NXchung!$B$3:$EP$57,MATCH(B349,NXchung!$B$3:$B$57,0),INDEX($K$12:$N$25,MATCH($B332,$J$12:$J$25,0),K$11)))</f>
        <v/>
      </c>
      <c r="D332" s="808" t="str">
        <f>IF(B349="","",INDEX(NXchung!$B$3:$EP$57,MATCH(B349,NXchung!$B$3:$B$57,0),INDEX($K$12:$N$25,MATCH($B332,$J$12:$J$25,0),L$11)))</f>
        <v/>
      </c>
      <c r="E332" s="805" t="str">
        <f>IF(B349="","",INDEX(NXchung!$B$3:$EP$57,MATCH(B349,NXchung!$B$3:$B$57,0),INDEX($K$12:$N$25,MATCH($B332,$J$12:$J$25,0),M$11)))</f>
        <v/>
      </c>
      <c r="F332" s="808" t="str">
        <f>IF(B349="","",INDEX(NXchung!$B$3:$EP$57,MATCH(B349,NXchung!$B$3:$B$57,0),INDEX($K$12:$N$25,MATCH($B332,$J$12:$J$25,0),N$11)))</f>
        <v/>
      </c>
      <c r="G332" s="805"/>
      <c r="I332" s="64"/>
      <c r="J332" s="64"/>
    </row>
    <row r="333" spans="1:10" ht="45.9" customHeight="1">
      <c r="A333" s="803" t="s">
        <v>193</v>
      </c>
      <c r="B333" s="813" t="s">
        <v>28</v>
      </c>
      <c r="C333" s="805" t="str">
        <f>IF(B349="","",INDEX(NXchung!$B$3:$EP$57,MATCH(B349,NXchung!$B$3:$B$57,0),INDEX($K$12:$N$25,MATCH($B333,$J$12:$J$25,0),K$11)))</f>
        <v/>
      </c>
      <c r="D333" s="808" t="str">
        <f>IF(B349="","",INDEX(NXchung!$B$3:$EP$57,MATCH(B349,NXchung!$B$3:$B$57,0),INDEX($K$12:$N$25,MATCH($B333,$J$12:$J$25,0),L$11)))</f>
        <v/>
      </c>
      <c r="E333" s="805" t="str">
        <f>IF(B349="","",INDEX(NXchung!$B$3:$EP$57,MATCH(B349,NXchung!$B$3:$B$57,0),INDEX($K$12:$N$25,MATCH($B333,$J$12:$J$25,0),M$11)))</f>
        <v/>
      </c>
      <c r="F333" s="808" t="str">
        <f>IF(B349="","",INDEX(NXchung!$B$3:$EP$57,MATCH(B349,NXchung!$B$3:$B$57,0),INDEX($K$12:$N$25,MATCH($B333,$J$12:$J$25,0),N$11)))</f>
        <v/>
      </c>
      <c r="G333" s="805"/>
      <c r="I333" s="64"/>
      <c r="J333" s="64"/>
    </row>
    <row r="334" spans="1:10" ht="45.9" customHeight="1">
      <c r="A334" s="803" t="s">
        <v>194</v>
      </c>
      <c r="B334" s="813" t="s">
        <v>29</v>
      </c>
      <c r="C334" s="805" t="str">
        <f>IF(B349="","",INDEX(NXchung!$B$3:$EP$57,MATCH(B349,NXchung!$B$3:$B$57,0),INDEX($K$12:$N$25,MATCH($B334,$J$12:$J$25,0),K$11)))</f>
        <v/>
      </c>
      <c r="D334" s="808" t="str">
        <f>IF(B349="","",INDEX(NXchung!$B$3:$EP$57,MATCH(B349,NXchung!$B$3:$B$57,0),INDEX($K$12:$N$25,MATCH($B334,$J$12:$J$25,0),L$11)))</f>
        <v/>
      </c>
      <c r="E334" s="805" t="str">
        <f>IF(B349="","",INDEX(NXchung!$B$3:$EP$57,MATCH(B349,NXchung!$B$3:$B$57,0),INDEX($K$12:$N$25,MATCH($B334,$J$12:$J$25,0),M$11)))</f>
        <v/>
      </c>
      <c r="F334" s="808" t="str">
        <f>IF(B349="","",INDEX(NXchung!$B$3:$EP$57,MATCH(B349,NXchung!$B$3:$B$57,0),INDEX($K$12:$N$25,MATCH($B334,$J$12:$J$25,0),N$11)))</f>
        <v/>
      </c>
      <c r="G334" s="805"/>
      <c r="I334" s="64"/>
      <c r="J334" s="64"/>
    </row>
    <row r="335" spans="1:10" ht="45.9" customHeight="1">
      <c r="A335" s="803" t="s">
        <v>195</v>
      </c>
      <c r="B335" s="813" t="s">
        <v>120</v>
      </c>
      <c r="C335" s="805" t="str">
        <f>IF(B349="","",INDEX(NXchung!$B$3:$EP$57,MATCH(B349,NXchung!$B$3:$B$57,0),INDEX($K$12:$N$25,MATCH($B335,$J$12:$J$25,0),K$11)))</f>
        <v/>
      </c>
      <c r="D335" s="808" t="str">
        <f>IF(B349="","",INDEX(NXchung!$B$3:$EP$57,MATCH(B349,NXchung!$B$3:$B$57,0),INDEX($K$12:$N$25,MATCH($B335,$J$12:$J$25,0),L$11)))</f>
        <v/>
      </c>
      <c r="E335" s="805" t="str">
        <f>IF(B349="","",INDEX(NXchung!$B$3:$EP$57,MATCH(B349,NXchung!$B$3:$B$57,0),INDEX($K$12:$N$25,MATCH($B335,$J$12:$J$25,0),M$11)))</f>
        <v/>
      </c>
      <c r="F335" s="808" t="str">
        <f>IF(B349="","",INDEX(NXchung!$B$3:$EP$57,MATCH(B349,NXchung!$B$3:$B$57,0),INDEX($K$12:$N$25,MATCH($B335,$J$12:$J$25,0),N$11)))</f>
        <v/>
      </c>
      <c r="G335" s="805"/>
      <c r="I335" s="64"/>
      <c r="J335" s="64"/>
    </row>
    <row r="336" spans="1:10" ht="45.9" customHeight="1">
      <c r="A336" s="803" t="s">
        <v>196</v>
      </c>
      <c r="B336" s="813" t="s">
        <v>30</v>
      </c>
      <c r="C336" s="805" t="str">
        <f>IF(B349="","",INDEX(NXchung!$B$3:$EP$57,MATCH(B349,NXchung!$B$3:$B$57,0),INDEX($K$12:$N$25,MATCH($B336,$J$12:$J$25,0),K$11)))</f>
        <v/>
      </c>
      <c r="D336" s="808" t="str">
        <f>IF(B349="","",INDEX(NXchung!$B$3:$EP$57,MATCH(B349,NXchung!$B$3:$B$57,0),INDEX($K$12:$N$25,MATCH($B336,$J$12:$J$25,0),L$11)))</f>
        <v/>
      </c>
      <c r="E336" s="805" t="str">
        <f>IF(B349="","",INDEX(NXchung!$B$3:$EP$57,MATCH(B349,NXchung!$B$3:$B$57,0),INDEX($K$12:$N$25,MATCH($B336,$J$12:$J$25,0),M$11)))</f>
        <v/>
      </c>
      <c r="F336" s="808" t="str">
        <f>IF(B349="","",INDEX(NXchung!$B$3:$EP$57,MATCH(B349,NXchung!$B$3:$B$57,0),INDEX($K$12:$N$25,MATCH($B336,$J$12:$J$25,0),N$11)))</f>
        <v/>
      </c>
      <c r="G336" s="805"/>
      <c r="I336" s="64"/>
      <c r="J336" s="64"/>
    </row>
    <row r="337" spans="1:10" ht="45.9" customHeight="1">
      <c r="A337" s="803" t="s">
        <v>197</v>
      </c>
      <c r="B337" s="813" t="s">
        <v>31</v>
      </c>
      <c r="C337" s="805" t="str">
        <f>IF(B349="","",INDEX(NXchung!$B$3:$EP$57,MATCH(B349,NXchung!$B$3:$B$57,0),INDEX($K$12:$N$25,MATCH($B337,$J$12:$J$25,0),K$11)))</f>
        <v/>
      </c>
      <c r="D337" s="808" t="str">
        <f>IF(B349="","",INDEX(NXchung!$B$3:$EP$57,MATCH(B349,NXchung!$B$3:$B$57,0),INDEX($K$12:$N$25,MATCH($B337,$J$12:$J$25,0),L$11)))</f>
        <v/>
      </c>
      <c r="E337" s="805" t="str">
        <f>IF(B349="","",INDEX(NXchung!$B$3:$EP$57,MATCH(B349,NXchung!$B$3:$B$57,0),INDEX($K$12:$N$25,MATCH($B337,$J$12:$J$25,0),M$11)))</f>
        <v/>
      </c>
      <c r="F337" s="808" t="str">
        <f>IF(B349="","",INDEX(NXchung!$B$3:$EP$57,MATCH(B349,NXchung!$B$3:$B$57,0),INDEX($K$12:$N$25,MATCH($B337,$J$12:$J$25,0),N$11)))</f>
        <v/>
      </c>
      <c r="G337" s="805"/>
      <c r="I337" s="64"/>
      <c r="J337" s="64"/>
    </row>
    <row r="338" spans="1:10" ht="45.9" customHeight="1">
      <c r="A338" s="803" t="s">
        <v>198</v>
      </c>
      <c r="B338" s="813" t="s">
        <v>32</v>
      </c>
      <c r="C338" s="805" t="str">
        <f>IF(B349="","",INDEX(NXchung!$B$3:$EP$57,MATCH(B349,NXchung!$B$3:$B$57,0),INDEX($K$12:$N$25,MATCH($B338,$J$12:$J$25,0),K$11)))</f>
        <v/>
      </c>
      <c r="D338" s="808" t="str">
        <f>IF(B349="","",INDEX(NXchung!$B$3:$EP$57,MATCH(B349,NXchung!$B$3:$B$57,0),INDEX($K$12:$N$25,MATCH($B338,$J$12:$J$25,0),L$11)))</f>
        <v/>
      </c>
      <c r="E338" s="805" t="str">
        <f>IF(B349="","",INDEX(NXchung!$B$3:$EP$57,MATCH(B349,NXchung!$B$3:$B$57,0),INDEX($K$12:$N$25,MATCH($B338,$J$12:$J$25,0),M$11)))</f>
        <v/>
      </c>
      <c r="F338" s="808" t="str">
        <f>IF(B349="","",INDEX(NXchung!$B$3:$EP$57,MATCH(B349,NXchung!$B$3:$B$57,0),INDEX($K$12:$N$25,MATCH($B338,$J$12:$J$25,0),N$11)))</f>
        <v/>
      </c>
      <c r="G338" s="805"/>
      <c r="I338" s="64"/>
      <c r="J338" s="64"/>
    </row>
    <row r="339" spans="1:10" ht="45.9" customHeight="1">
      <c r="A339" s="803" t="s">
        <v>199</v>
      </c>
      <c r="B339" s="813" t="s">
        <v>33</v>
      </c>
      <c r="C339" s="805" t="str">
        <f>IF(B349="","",INDEX(NXchung!$B$3:$EP$57,MATCH(B349,NXchung!$B$3:$B$57,0),INDEX($K$12:$N$25,MATCH($B339,$J$12:$J$25,0),K$11)))</f>
        <v/>
      </c>
      <c r="D339" s="808" t="str">
        <f>IF(B349="","",INDEX(NXchung!$B$3:$EP$57,MATCH(B349,NXchung!$B$3:$B$57,0),INDEX($K$12:$N$25,MATCH($B339,$J$12:$J$25,0),L$11)))</f>
        <v/>
      </c>
      <c r="E339" s="805" t="str">
        <f>IF(B349="","",INDEX(NXchung!$B$3:$EP$57,MATCH(B349,NXchung!$B$3:$B$57,0),INDEX($K$12:$N$25,MATCH($B339,$J$12:$J$25,0),M$11)))</f>
        <v/>
      </c>
      <c r="F339" s="808" t="str">
        <f>IF(B349="","",INDEX(NXchung!$B$3:$EP$57,MATCH(B349,NXchung!$B$3:$B$57,0),INDEX($K$12:$N$25,MATCH($B339,$J$12:$J$25,0),N$11)))</f>
        <v/>
      </c>
      <c r="G339" s="805"/>
      <c r="I339" s="64"/>
      <c r="J339" s="64"/>
    </row>
    <row r="340" spans="1:10" ht="45.9" customHeight="1">
      <c r="A340" s="803" t="s">
        <v>200</v>
      </c>
      <c r="B340" s="813" t="s">
        <v>60</v>
      </c>
      <c r="C340" s="805" t="str">
        <f>IF(B349="","",INDEX(NXchung!$B$3:$EP$57,MATCH(B349,NXchung!$B$3:$B$57,0),INDEX($K$12:$N$25,MATCH($B340,$J$12:$J$25,0),K$11)))</f>
        <v/>
      </c>
      <c r="D340" s="808" t="str">
        <f>IF(B349="","",INDEX(NXchung!$B$3:$EP$57,MATCH(B349,NXchung!$B$3:$B$57,0),INDEX($K$12:$N$25,MATCH($B340,$J$12:$J$25,0),L$11)))</f>
        <v/>
      </c>
      <c r="E340" s="805" t="str">
        <f>IF(B349="","",INDEX(NXchung!$B$3:$EP$57,MATCH(B349,NXchung!$B$3:$B$57,0),INDEX($K$12:$N$25,MATCH($B340,$J$12:$J$25,0),M$11)))</f>
        <v/>
      </c>
      <c r="F340" s="808" t="str">
        <f>IF(B349="","",INDEX(NXchung!$B$3:$EP$57,MATCH(B349,NXchung!$B$3:$B$57,0),INDEX($K$12:$N$25,MATCH($B340,$J$12:$J$25,0),N$11)))</f>
        <v/>
      </c>
      <c r="G340" s="805"/>
      <c r="I340" s="64"/>
      <c r="J340" s="64"/>
    </row>
    <row r="341" spans="1:10" ht="45.9" customHeight="1">
      <c r="A341" s="803" t="s">
        <v>201</v>
      </c>
      <c r="B341" s="813" t="s">
        <v>34</v>
      </c>
      <c r="C341" s="805" t="str">
        <f>IF(B349="","",INDEX(NXchung!$B$3:$EP$57,MATCH(B349,NXchung!$B$3:$B$57,0),INDEX($K$12:$N$25,MATCH($B341,$J$12:$J$25,0),K$11)))</f>
        <v/>
      </c>
      <c r="D341" s="808" t="str">
        <f>IF(B349="","",INDEX(NXchung!$B$3:$EP$57,MATCH(B349,NXchung!$B$3:$B$57,0),INDEX($K$12:$N$25,MATCH($B341,$J$12:$J$25,0),L$11)))</f>
        <v/>
      </c>
      <c r="E341" s="805" t="str">
        <f>IF(B349="","",INDEX(NXchung!$B$3:$EP$57,MATCH(B349,NXchung!$B$3:$B$57,0),INDEX($K$12:$N$25,MATCH($B341,$J$12:$J$25,0),M$11)))</f>
        <v/>
      </c>
      <c r="F341" s="808" t="str">
        <f>IF(B349="","",INDEX(NXchung!$B$3:$EP$57,MATCH(B349,NXchung!$B$3:$B$57,0),INDEX($K$12:$N$25,MATCH($B341,$J$12:$J$25,0),N$11)))</f>
        <v/>
      </c>
      <c r="G341" s="805"/>
      <c r="I341" s="64"/>
      <c r="J341" s="64"/>
    </row>
    <row r="342" spans="1:10" ht="45.9" customHeight="1">
      <c r="A342" s="803" t="s">
        <v>202</v>
      </c>
      <c r="B342" s="813" t="s">
        <v>35</v>
      </c>
      <c r="C342" s="805" t="str">
        <f>IF(B349="","",INDEX(NXchung!$B$3:$EP$57,MATCH(B349,NXchung!$B$3:$B$57,0),INDEX($K$12:$N$25,MATCH($B342,$J$12:$J$25,0),K$11)))</f>
        <v/>
      </c>
      <c r="D342" s="808" t="str">
        <f>IF(B349="","",INDEX(NXchung!$B$3:$EP$57,MATCH(B349,NXchung!$B$3:$B$57,0),INDEX($K$12:$N$25,MATCH($B342,$J$12:$J$25,0),L$11)))</f>
        <v/>
      </c>
      <c r="E342" s="805" t="str">
        <f>IF(B349="","",INDEX(NXchung!$B$3:$EP$57,MATCH(B349,NXchung!$B$3:$B$57,0),INDEX($K$12:$N$25,MATCH($B342,$J$12:$J$25,0),M$11)))</f>
        <v>Đ</v>
      </c>
      <c r="F342" s="808" t="str">
        <f>IF(B349="","",INDEX(NXchung!$B$3:$EP$57,MATCH(B349,NXchung!$B$3:$B$57,0),INDEX($K$12:$N$25,MATCH($B342,$J$12:$J$25,0),N$11)))</f>
        <v>Giỏi, có nhiều tiến bộ trong học tập.</v>
      </c>
      <c r="G342" s="805"/>
      <c r="I342" s="64"/>
      <c r="J342" s="64"/>
    </row>
    <row r="343" spans="1:10" ht="45.9" customHeight="1">
      <c r="A343" s="803" t="s">
        <v>203</v>
      </c>
      <c r="B343" s="813" t="s">
        <v>121</v>
      </c>
      <c r="C343" s="805" t="str">
        <f>IF(B349="","",INDEX(NXchung!$B$3:$EP$57,MATCH(B349,NXchung!$B$3:$B$57,0),INDEX($K$12:$N$25,MATCH($B343,$J$12:$J$25,0),K$11)))</f>
        <v/>
      </c>
      <c r="D343" s="808" t="str">
        <f>IF(B349="","",INDEX(NXchung!$B$3:$EP$57,MATCH(B349,NXchung!$B$3:$B$57,0),INDEX($K$12:$N$25,MATCH($B343,$J$12:$J$25,0),L$11)))</f>
        <v/>
      </c>
      <c r="E343" s="805" t="str">
        <f>IF(B349="","",INDEX(NXchung!$B$3:$EP$57,MATCH(B349,NXchung!$B$3:$B$57,0),INDEX($K$12:$N$25,MATCH($B343,$J$12:$J$25,0),M$11)))</f>
        <v/>
      </c>
      <c r="F343" s="808" t="str">
        <f>IF(B349="","",INDEX(NXchung!$B$3:$EP$57,MATCH(B349,NXchung!$B$3:$B$57,0),INDEX($K$12:$N$25,MATCH($B343,$J$12:$J$25,0),N$11)))</f>
        <v/>
      </c>
      <c r="G343" s="805"/>
      <c r="I343" s="64"/>
      <c r="J343" s="64"/>
    </row>
    <row r="344" spans="1:10" ht="45.9" customHeight="1">
      <c r="A344" s="803" t="s">
        <v>204</v>
      </c>
      <c r="B344" s="813" t="s">
        <v>122</v>
      </c>
      <c r="C344" s="805" t="str">
        <f>IF(B349="","",INDEX(NXchung!$B$3:$EP$57,MATCH(B349,NXchung!$B$3:$B$57,0),INDEX($K$12:$N$25,MATCH($B344,$J$12:$J$25,0),K$11)))</f>
        <v/>
      </c>
      <c r="D344" s="808" t="str">
        <f>IF(B349="","",INDEX(NXchung!$B$3:$EP$57,MATCH(B349,NXchung!$B$3:$B$57,0),INDEX($K$12:$N$25,MATCH($B344,$J$12:$J$25,0),L$11)))</f>
        <v/>
      </c>
      <c r="E344" s="805" t="str">
        <f>IF(B349="","",INDEX(NXchung!$B$3:$EP$57,MATCH(B349,NXchung!$B$3:$B$57,0),INDEX($K$12:$N$25,MATCH($B344,$J$12:$J$25,0),M$11)))</f>
        <v/>
      </c>
      <c r="F344" s="808" t="str">
        <f>IF(B349="","",INDEX(NXchung!$B$3:$EP$57,MATCH(B349,NXchung!$B$3:$B$57,0),INDEX($K$12:$N$25,MATCH($B344,$J$12:$J$25,0),N$11)))</f>
        <v/>
      </c>
      <c r="G344" s="805"/>
      <c r="I344" s="64"/>
      <c r="J344" s="64"/>
    </row>
    <row r="345" spans="1:10" s="60" customFormat="1" ht="6" customHeight="1">
      <c r="A345" s="67"/>
      <c r="B345" s="67"/>
      <c r="C345" s="475"/>
      <c r="D345" s="475"/>
      <c r="E345" s="67"/>
      <c r="F345" s="67"/>
      <c r="G345" s="67"/>
    </row>
    <row r="346" spans="1:10" ht="17.25" customHeight="1">
      <c r="D346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346" s="1163"/>
      <c r="F346" s="1163"/>
      <c r="G346" s="1163"/>
      <c r="H346" s="814"/>
    </row>
    <row r="347" spans="1:10" ht="16.5" customHeight="1">
      <c r="D347" s="992" t="s">
        <v>377</v>
      </c>
      <c r="E347" s="992"/>
      <c r="F347" s="992"/>
      <c r="G347" s="992"/>
      <c r="H347" s="814"/>
    </row>
    <row r="348" spans="1:10" ht="81.75" customHeight="1">
      <c r="D348" s="931" t="str">
        <f>IF('Huong dan'!$E$5="","",'Huong dan'!$E$5)</f>
        <v/>
      </c>
      <c r="E348" s="931"/>
      <c r="F348" s="931"/>
      <c r="G348" s="931"/>
      <c r="H348" s="814"/>
    </row>
    <row r="349" spans="1:10" ht="11.25" customHeight="1">
      <c r="A349" s="75"/>
      <c r="B349" s="815">
        <f>IF(B320="","",IF(B320&lt;MAX(DiemHKII!$B$4:$B$58),B320+1,""))</f>
        <v>12</v>
      </c>
      <c r="C349" s="75"/>
      <c r="D349" s="75"/>
      <c r="E349" s="75"/>
      <c r="F349" s="75"/>
      <c r="G349" s="75"/>
    </row>
    <row r="350" spans="1:10" s="60" customFormat="1" ht="21" customHeight="1">
      <c r="A350" s="1128" t="str">
        <f>IF('Huong dan'!$E$3&lt;&gt;"","SỞ GIÁO DỤC VÀ ĐÀO TẠO "&amp;UPPER('Huong dan'!$E$3),"")</f>
        <v>SỞ GIÁO DỤC VÀ ĐÀO TẠO TP. HỒ CHÍ MINH</v>
      </c>
      <c r="B350" s="1128"/>
      <c r="C350" s="1128"/>
      <c r="D350" s="1128"/>
      <c r="E350" s="1129" t="s">
        <v>19</v>
      </c>
      <c r="F350" s="1129"/>
      <c r="G350" s="1129"/>
    </row>
    <row r="351" spans="1:10" ht="17.25" customHeight="1">
      <c r="A351" s="992" t="str">
        <f>IF('Huong dan'!$E$4&lt;&gt;"","TRƯỜNG "&amp;UPPER('Huong dan'!$E$4),"")</f>
        <v>TRƯỜNG THCS VÀ THPT NGUYỄN KHUYẾN</v>
      </c>
      <c r="B351" s="992"/>
      <c r="C351" s="992"/>
      <c r="D351" s="992"/>
      <c r="E351" s="1130" t="s">
        <v>179</v>
      </c>
      <c r="F351" s="1130"/>
      <c r="G351" s="1130"/>
    </row>
    <row r="352" spans="1:10" ht="15" customHeight="1">
      <c r="A352" s="69"/>
      <c r="B352" s="69"/>
      <c r="C352" s="30"/>
    </row>
    <row r="353" spans="1:10" ht="27.75" customHeight="1">
      <c r="A353" s="1013" t="s">
        <v>567</v>
      </c>
      <c r="B353" s="1013"/>
      <c r="C353" s="1013"/>
      <c r="D353" s="1013"/>
      <c r="E353" s="1013"/>
      <c r="F353" s="1013"/>
      <c r="G353" s="1013"/>
    </row>
    <row r="354" spans="1:10" ht="24" customHeight="1">
      <c r="A354" s="1013" t="str">
        <f>"HỌC KỲ II VÀ CẢ NĂM - NĂM HỌC "&amp;'Huong dan'!$C$5</f>
        <v>HỌC KỲ II VÀ CẢ NĂM - NĂM HỌC 2021 - 2022</v>
      </c>
      <c r="B354" s="1013"/>
      <c r="C354" s="1013"/>
      <c r="D354" s="1013"/>
      <c r="E354" s="1013"/>
      <c r="F354" s="1013"/>
      <c r="G354" s="1013"/>
    </row>
    <row r="355" spans="1:10" ht="9" customHeight="1">
      <c r="A355" s="70"/>
      <c r="B355" s="66"/>
      <c r="C355" s="66"/>
      <c r="D355" s="66"/>
      <c r="E355" s="66"/>
      <c r="F355" s="66"/>
      <c r="G355" s="66"/>
    </row>
    <row r="356" spans="1:10" ht="18.75" customHeight="1">
      <c r="A356" s="1167" t="s">
        <v>212</v>
      </c>
      <c r="B356" s="1167"/>
      <c r="C356" s="1167"/>
      <c r="D356" s="1167" t="str">
        <f>IF(B378="","",INDEX(NXchung!$B$3:$EP$57,MATCH(B378,NXchung!$B$3:$B$57,0),3)&amp;" "&amp;INDEX(NXchung!$B$3:$EP$57,MATCH(B378,NXchung!$B$3:$B$57,0),4))</f>
        <v>Nguyễn Thị Thu  Hiền</v>
      </c>
      <c r="E356" s="1167"/>
      <c r="F356" s="77" t="str">
        <f>IF('Huong dan'!$C$3="","","Lớp: "&amp;'Huong dan'!$C$3)</f>
        <v>Lớp: 12A1</v>
      </c>
      <c r="G356" s="71"/>
    </row>
    <row r="357" spans="1:10" ht="18.75" customHeight="1">
      <c r="A357" s="1168" t="s">
        <v>213</v>
      </c>
      <c r="B357" s="1168"/>
      <c r="C357" s="1168"/>
      <c r="D357" s="77" t="str">
        <f>INDEX(NXchung!$B$3:$EP$57,MATCH(B378,NXchung!$B$3:$B$57,0),5)</f>
        <v>20/05/2004</v>
      </c>
      <c r="F357" s="841" t="str">
        <f>IF(B378="","","Nơi sinh: "&amp;INDEX(DiemHKII!$H$4:$H$58,MATCH(B378,DiemHKII!$B$4:$B$58,0),1))</f>
        <v xml:space="preserve">Nơi sinh: </v>
      </c>
      <c r="G357" s="77"/>
    </row>
    <row r="358" spans="1:10" ht="9.75" customHeight="1">
      <c r="A358" s="62"/>
      <c r="B358" s="62"/>
      <c r="C358" s="62"/>
      <c r="D358" s="62"/>
      <c r="E358" s="62"/>
      <c r="F358" s="62"/>
      <c r="G358" s="63"/>
    </row>
    <row r="359" spans="1:10" ht="31.5" customHeight="1">
      <c r="A359" s="801" t="s">
        <v>0</v>
      </c>
      <c r="B359" s="801" t="s">
        <v>59</v>
      </c>
      <c r="C359" s="806" t="s">
        <v>661</v>
      </c>
      <c r="D359" s="801" t="s">
        <v>296</v>
      </c>
      <c r="E359" s="806" t="s">
        <v>662</v>
      </c>
      <c r="F359" s="801" t="s">
        <v>361</v>
      </c>
      <c r="G359" s="802" t="s">
        <v>569</v>
      </c>
    </row>
    <row r="360" spans="1:10" ht="45.9" customHeight="1">
      <c r="A360" s="803" t="s">
        <v>191</v>
      </c>
      <c r="B360" s="813" t="s">
        <v>26</v>
      </c>
      <c r="C360" s="805" t="str">
        <f>IF(B378="","",INDEX(NXchung!$B$3:$EP$57,MATCH(B378,NXchung!$B$3:$B$57,0),INDEX($K$12:$N$25,MATCH($B360,$J$12:$J$25,0),K$11)))</f>
        <v/>
      </c>
      <c r="D360" s="808" t="str">
        <f>IF(B378="","",INDEX(NXchung!$B$3:$EP$57,MATCH(B378,NXchung!$B$3:$B$57,0),INDEX($K$12:$N$25,MATCH($B360,$J$12:$J$25,0),L$11)))</f>
        <v/>
      </c>
      <c r="E360" s="805" t="str">
        <f>IF(B378="","",INDEX(NXchung!$B$3:$EP$57,MATCH(B378,NXchung!$B$3:$B$57,0),INDEX($K$12:$N$25,MATCH($B360,$J$12:$J$25,0),M$11)))</f>
        <v/>
      </c>
      <c r="F360" s="808" t="str">
        <f>IF(B378="","",INDEX(NXchung!$B$3:$EP$57,MATCH(B378,NXchung!$B$3:$B$57,0),INDEX($K$12:$N$25,MATCH($B360,$J$12:$J$25,0),N$11)))</f>
        <v/>
      </c>
      <c r="G360" s="805"/>
      <c r="I360" s="64"/>
      <c r="J360" s="64"/>
    </row>
    <row r="361" spans="1:10" ht="45.9" customHeight="1">
      <c r="A361" s="803" t="s">
        <v>192</v>
      </c>
      <c r="B361" s="813" t="s">
        <v>27</v>
      </c>
      <c r="C361" s="805" t="str">
        <f>IF(B378="","",INDEX(NXchung!$B$3:$EP$57,MATCH(B378,NXchung!$B$3:$B$57,0),INDEX($K$12:$N$25,MATCH($B361,$J$12:$J$25,0),K$11)))</f>
        <v/>
      </c>
      <c r="D361" s="808" t="str">
        <f>IF(B378="","",INDEX(NXchung!$B$3:$EP$57,MATCH(B378,NXchung!$B$3:$B$57,0),INDEX($K$12:$N$25,MATCH($B361,$J$12:$J$25,0),L$11)))</f>
        <v/>
      </c>
      <c r="E361" s="805" t="str">
        <f>IF(B378="","",INDEX(NXchung!$B$3:$EP$57,MATCH(B378,NXchung!$B$3:$B$57,0),INDEX($K$12:$N$25,MATCH($B361,$J$12:$J$25,0),M$11)))</f>
        <v/>
      </c>
      <c r="F361" s="808" t="str">
        <f>IF(B378="","",INDEX(NXchung!$B$3:$EP$57,MATCH(B378,NXchung!$B$3:$B$57,0),INDEX($K$12:$N$25,MATCH($B361,$J$12:$J$25,0),N$11)))</f>
        <v/>
      </c>
      <c r="G361" s="805"/>
      <c r="I361" s="64"/>
      <c r="J361" s="64"/>
    </row>
    <row r="362" spans="1:10" ht="45.9" customHeight="1">
      <c r="A362" s="803" t="s">
        <v>193</v>
      </c>
      <c r="B362" s="813" t="s">
        <v>28</v>
      </c>
      <c r="C362" s="805" t="str">
        <f>IF(B378="","",INDEX(NXchung!$B$3:$EP$57,MATCH(B378,NXchung!$B$3:$B$57,0),INDEX($K$12:$N$25,MATCH($B362,$J$12:$J$25,0),K$11)))</f>
        <v/>
      </c>
      <c r="D362" s="808" t="str">
        <f>IF(B378="","",INDEX(NXchung!$B$3:$EP$57,MATCH(B378,NXchung!$B$3:$B$57,0),INDEX($K$12:$N$25,MATCH($B362,$J$12:$J$25,0),L$11)))</f>
        <v/>
      </c>
      <c r="E362" s="805" t="str">
        <f>IF(B378="","",INDEX(NXchung!$B$3:$EP$57,MATCH(B378,NXchung!$B$3:$B$57,0),INDEX($K$12:$N$25,MATCH($B362,$J$12:$J$25,0),M$11)))</f>
        <v/>
      </c>
      <c r="F362" s="808" t="str">
        <f>IF(B378="","",INDEX(NXchung!$B$3:$EP$57,MATCH(B378,NXchung!$B$3:$B$57,0),INDEX($K$12:$N$25,MATCH($B362,$J$12:$J$25,0),N$11)))</f>
        <v/>
      </c>
      <c r="G362" s="805"/>
      <c r="I362" s="64"/>
      <c r="J362" s="64"/>
    </row>
    <row r="363" spans="1:10" ht="45.9" customHeight="1">
      <c r="A363" s="803" t="s">
        <v>194</v>
      </c>
      <c r="B363" s="813" t="s">
        <v>29</v>
      </c>
      <c r="C363" s="805" t="str">
        <f>IF(B378="","",INDEX(NXchung!$B$3:$EP$57,MATCH(B378,NXchung!$B$3:$B$57,0),INDEX($K$12:$N$25,MATCH($B363,$J$12:$J$25,0),K$11)))</f>
        <v/>
      </c>
      <c r="D363" s="808" t="str">
        <f>IF(B378="","",INDEX(NXchung!$B$3:$EP$57,MATCH(B378,NXchung!$B$3:$B$57,0),INDEX($K$12:$N$25,MATCH($B363,$J$12:$J$25,0),L$11)))</f>
        <v/>
      </c>
      <c r="E363" s="805" t="str">
        <f>IF(B378="","",INDEX(NXchung!$B$3:$EP$57,MATCH(B378,NXchung!$B$3:$B$57,0),INDEX($K$12:$N$25,MATCH($B363,$J$12:$J$25,0),M$11)))</f>
        <v/>
      </c>
      <c r="F363" s="808" t="str">
        <f>IF(B378="","",INDEX(NXchung!$B$3:$EP$57,MATCH(B378,NXchung!$B$3:$B$57,0),INDEX($K$12:$N$25,MATCH($B363,$J$12:$J$25,0),N$11)))</f>
        <v/>
      </c>
      <c r="G363" s="805"/>
      <c r="I363" s="64"/>
      <c r="J363" s="64"/>
    </row>
    <row r="364" spans="1:10" ht="45.9" customHeight="1">
      <c r="A364" s="803" t="s">
        <v>195</v>
      </c>
      <c r="B364" s="813" t="s">
        <v>120</v>
      </c>
      <c r="C364" s="805" t="str">
        <f>IF(B378="","",INDEX(NXchung!$B$3:$EP$57,MATCH(B378,NXchung!$B$3:$B$57,0),INDEX($K$12:$N$25,MATCH($B364,$J$12:$J$25,0),K$11)))</f>
        <v/>
      </c>
      <c r="D364" s="808" t="str">
        <f>IF(B378="","",INDEX(NXchung!$B$3:$EP$57,MATCH(B378,NXchung!$B$3:$B$57,0),INDEX($K$12:$N$25,MATCH($B364,$J$12:$J$25,0),L$11)))</f>
        <v/>
      </c>
      <c r="E364" s="805" t="str">
        <f>IF(B378="","",INDEX(NXchung!$B$3:$EP$57,MATCH(B378,NXchung!$B$3:$B$57,0),INDEX($K$12:$N$25,MATCH($B364,$J$12:$J$25,0),M$11)))</f>
        <v/>
      </c>
      <c r="F364" s="808" t="str">
        <f>IF(B378="","",INDEX(NXchung!$B$3:$EP$57,MATCH(B378,NXchung!$B$3:$B$57,0),INDEX($K$12:$N$25,MATCH($B364,$J$12:$J$25,0),N$11)))</f>
        <v/>
      </c>
      <c r="G364" s="805"/>
      <c r="I364" s="64"/>
      <c r="J364" s="64"/>
    </row>
    <row r="365" spans="1:10" ht="45.9" customHeight="1">
      <c r="A365" s="803" t="s">
        <v>196</v>
      </c>
      <c r="B365" s="813" t="s">
        <v>30</v>
      </c>
      <c r="C365" s="805" t="str">
        <f>IF(B378="","",INDEX(NXchung!$B$3:$EP$57,MATCH(B378,NXchung!$B$3:$B$57,0),INDEX($K$12:$N$25,MATCH($B365,$J$12:$J$25,0),K$11)))</f>
        <v/>
      </c>
      <c r="D365" s="808" t="str">
        <f>IF(B378="","",INDEX(NXchung!$B$3:$EP$57,MATCH(B378,NXchung!$B$3:$B$57,0),INDEX($K$12:$N$25,MATCH($B365,$J$12:$J$25,0),L$11)))</f>
        <v/>
      </c>
      <c r="E365" s="805" t="str">
        <f>IF(B378="","",INDEX(NXchung!$B$3:$EP$57,MATCH(B378,NXchung!$B$3:$B$57,0),INDEX($K$12:$N$25,MATCH($B365,$J$12:$J$25,0),M$11)))</f>
        <v/>
      </c>
      <c r="F365" s="808" t="str">
        <f>IF(B378="","",INDEX(NXchung!$B$3:$EP$57,MATCH(B378,NXchung!$B$3:$B$57,0),INDEX($K$12:$N$25,MATCH($B365,$J$12:$J$25,0),N$11)))</f>
        <v/>
      </c>
      <c r="G365" s="805"/>
      <c r="I365" s="64"/>
      <c r="J365" s="64"/>
    </row>
    <row r="366" spans="1:10" ht="45.9" customHeight="1">
      <c r="A366" s="803" t="s">
        <v>197</v>
      </c>
      <c r="B366" s="813" t="s">
        <v>31</v>
      </c>
      <c r="C366" s="805" t="str">
        <f>IF(B378="","",INDEX(NXchung!$B$3:$EP$57,MATCH(B378,NXchung!$B$3:$B$57,0),INDEX($K$12:$N$25,MATCH($B366,$J$12:$J$25,0),K$11)))</f>
        <v/>
      </c>
      <c r="D366" s="808" t="str">
        <f>IF(B378="","",INDEX(NXchung!$B$3:$EP$57,MATCH(B378,NXchung!$B$3:$B$57,0),INDEX($K$12:$N$25,MATCH($B366,$J$12:$J$25,0),L$11)))</f>
        <v/>
      </c>
      <c r="E366" s="805" t="str">
        <f>IF(B378="","",INDEX(NXchung!$B$3:$EP$57,MATCH(B378,NXchung!$B$3:$B$57,0),INDEX($K$12:$N$25,MATCH($B366,$J$12:$J$25,0),M$11)))</f>
        <v/>
      </c>
      <c r="F366" s="808" t="str">
        <f>IF(B378="","",INDEX(NXchung!$B$3:$EP$57,MATCH(B378,NXchung!$B$3:$B$57,0),INDEX($K$12:$N$25,MATCH($B366,$J$12:$J$25,0),N$11)))</f>
        <v/>
      </c>
      <c r="G366" s="805"/>
      <c r="I366" s="64"/>
      <c r="J366" s="64"/>
    </row>
    <row r="367" spans="1:10" ht="45.9" customHeight="1">
      <c r="A367" s="803" t="s">
        <v>198</v>
      </c>
      <c r="B367" s="813" t="s">
        <v>32</v>
      </c>
      <c r="C367" s="805" t="str">
        <f>IF(B378="","",INDEX(NXchung!$B$3:$EP$57,MATCH(B378,NXchung!$B$3:$B$57,0),INDEX($K$12:$N$25,MATCH($B367,$J$12:$J$25,0),K$11)))</f>
        <v/>
      </c>
      <c r="D367" s="808" t="str">
        <f>IF(B378="","",INDEX(NXchung!$B$3:$EP$57,MATCH(B378,NXchung!$B$3:$B$57,0),INDEX($K$12:$N$25,MATCH($B367,$J$12:$J$25,0),L$11)))</f>
        <v/>
      </c>
      <c r="E367" s="805" t="str">
        <f>IF(B378="","",INDEX(NXchung!$B$3:$EP$57,MATCH(B378,NXchung!$B$3:$B$57,0),INDEX($K$12:$N$25,MATCH($B367,$J$12:$J$25,0),M$11)))</f>
        <v/>
      </c>
      <c r="F367" s="808" t="str">
        <f>IF(B378="","",INDEX(NXchung!$B$3:$EP$57,MATCH(B378,NXchung!$B$3:$B$57,0),INDEX($K$12:$N$25,MATCH($B367,$J$12:$J$25,0),N$11)))</f>
        <v/>
      </c>
      <c r="G367" s="805"/>
      <c r="I367" s="64"/>
      <c r="J367" s="64"/>
    </row>
    <row r="368" spans="1:10" ht="45.9" customHeight="1">
      <c r="A368" s="803" t="s">
        <v>199</v>
      </c>
      <c r="B368" s="813" t="s">
        <v>33</v>
      </c>
      <c r="C368" s="805" t="str">
        <f>IF(B378="","",INDEX(NXchung!$B$3:$EP$57,MATCH(B378,NXchung!$B$3:$B$57,0),INDEX($K$12:$N$25,MATCH($B368,$J$12:$J$25,0),K$11)))</f>
        <v/>
      </c>
      <c r="D368" s="808" t="str">
        <f>IF(B378="","",INDEX(NXchung!$B$3:$EP$57,MATCH(B378,NXchung!$B$3:$B$57,0),INDEX($K$12:$N$25,MATCH($B368,$J$12:$J$25,0),L$11)))</f>
        <v/>
      </c>
      <c r="E368" s="805" t="str">
        <f>IF(B378="","",INDEX(NXchung!$B$3:$EP$57,MATCH(B378,NXchung!$B$3:$B$57,0),INDEX($K$12:$N$25,MATCH($B368,$J$12:$J$25,0),M$11)))</f>
        <v/>
      </c>
      <c r="F368" s="808" t="str">
        <f>IF(B378="","",INDEX(NXchung!$B$3:$EP$57,MATCH(B378,NXchung!$B$3:$B$57,0),INDEX($K$12:$N$25,MATCH($B368,$J$12:$J$25,0),N$11)))</f>
        <v/>
      </c>
      <c r="G368" s="805"/>
      <c r="I368" s="64"/>
      <c r="J368" s="64"/>
    </row>
    <row r="369" spans="1:10" ht="45.9" customHeight="1">
      <c r="A369" s="803" t="s">
        <v>200</v>
      </c>
      <c r="B369" s="813" t="s">
        <v>60</v>
      </c>
      <c r="C369" s="805" t="str">
        <f>IF(B378="","",INDEX(NXchung!$B$3:$EP$57,MATCH(B378,NXchung!$B$3:$B$57,0),INDEX($K$12:$N$25,MATCH($B369,$J$12:$J$25,0),K$11)))</f>
        <v/>
      </c>
      <c r="D369" s="808" t="str">
        <f>IF(B378="","",INDEX(NXchung!$B$3:$EP$57,MATCH(B378,NXchung!$B$3:$B$57,0),INDEX($K$12:$N$25,MATCH($B369,$J$12:$J$25,0),L$11)))</f>
        <v/>
      </c>
      <c r="E369" s="805" t="str">
        <f>IF(B378="","",INDEX(NXchung!$B$3:$EP$57,MATCH(B378,NXchung!$B$3:$B$57,0),INDEX($K$12:$N$25,MATCH($B369,$J$12:$J$25,0),M$11)))</f>
        <v/>
      </c>
      <c r="F369" s="808" t="str">
        <f>IF(B378="","",INDEX(NXchung!$B$3:$EP$57,MATCH(B378,NXchung!$B$3:$B$57,0),INDEX($K$12:$N$25,MATCH($B369,$J$12:$J$25,0),N$11)))</f>
        <v/>
      </c>
      <c r="G369" s="805"/>
      <c r="I369" s="64"/>
      <c r="J369" s="64"/>
    </row>
    <row r="370" spans="1:10" ht="45.9" customHeight="1">
      <c r="A370" s="803" t="s">
        <v>201</v>
      </c>
      <c r="B370" s="813" t="s">
        <v>34</v>
      </c>
      <c r="C370" s="805" t="str">
        <f>IF(B378="","",INDEX(NXchung!$B$3:$EP$57,MATCH(B378,NXchung!$B$3:$B$57,0),INDEX($K$12:$N$25,MATCH($B370,$J$12:$J$25,0),K$11)))</f>
        <v/>
      </c>
      <c r="D370" s="808" t="str">
        <f>IF(B378="","",INDEX(NXchung!$B$3:$EP$57,MATCH(B378,NXchung!$B$3:$B$57,0),INDEX($K$12:$N$25,MATCH($B370,$J$12:$J$25,0),L$11)))</f>
        <v/>
      </c>
      <c r="E370" s="805" t="str">
        <f>IF(B378="","",INDEX(NXchung!$B$3:$EP$57,MATCH(B378,NXchung!$B$3:$B$57,0),INDEX($K$12:$N$25,MATCH($B370,$J$12:$J$25,0),M$11)))</f>
        <v/>
      </c>
      <c r="F370" s="808" t="str">
        <f>IF(B378="","",INDEX(NXchung!$B$3:$EP$57,MATCH(B378,NXchung!$B$3:$B$57,0),INDEX($K$12:$N$25,MATCH($B370,$J$12:$J$25,0),N$11)))</f>
        <v/>
      </c>
      <c r="G370" s="805"/>
      <c r="I370" s="64"/>
      <c r="J370" s="64"/>
    </row>
    <row r="371" spans="1:10" ht="45.9" customHeight="1">
      <c r="A371" s="803" t="s">
        <v>202</v>
      </c>
      <c r="B371" s="813" t="s">
        <v>35</v>
      </c>
      <c r="C371" s="805" t="str">
        <f>IF(B378="","",INDEX(NXchung!$B$3:$EP$57,MATCH(B378,NXchung!$B$3:$B$57,0),INDEX($K$12:$N$25,MATCH($B371,$J$12:$J$25,0),K$11)))</f>
        <v/>
      </c>
      <c r="D371" s="808" t="str">
        <f>IF(B378="","",INDEX(NXchung!$B$3:$EP$57,MATCH(B378,NXchung!$B$3:$B$57,0),INDEX($K$12:$N$25,MATCH($B371,$J$12:$J$25,0),L$11)))</f>
        <v/>
      </c>
      <c r="E371" s="805" t="str">
        <f>IF(B378="","",INDEX(NXchung!$B$3:$EP$57,MATCH(B378,NXchung!$B$3:$B$57,0),INDEX($K$12:$N$25,MATCH($B371,$J$12:$J$25,0),M$11)))</f>
        <v>Đ</v>
      </c>
      <c r="F371" s="808" t="str">
        <f>IF(B378="","",INDEX(NXchung!$B$3:$EP$57,MATCH(B378,NXchung!$B$3:$B$57,0),INDEX($K$12:$N$25,MATCH($B371,$J$12:$J$25,0),N$11)))</f>
        <v>Rất ngoan, học có hiệu quả tốt.</v>
      </c>
      <c r="G371" s="805"/>
      <c r="I371" s="64"/>
      <c r="J371" s="64"/>
    </row>
    <row r="372" spans="1:10" ht="45.9" customHeight="1">
      <c r="A372" s="803" t="s">
        <v>203</v>
      </c>
      <c r="B372" s="813" t="s">
        <v>121</v>
      </c>
      <c r="C372" s="805" t="str">
        <f>IF(B378="","",INDEX(NXchung!$B$3:$EP$57,MATCH(B378,NXchung!$B$3:$B$57,0),INDEX($K$12:$N$25,MATCH($B372,$J$12:$J$25,0),K$11)))</f>
        <v/>
      </c>
      <c r="D372" s="808" t="str">
        <f>IF(B378="","",INDEX(NXchung!$B$3:$EP$57,MATCH(B378,NXchung!$B$3:$B$57,0),INDEX($K$12:$N$25,MATCH($B372,$J$12:$J$25,0),L$11)))</f>
        <v/>
      </c>
      <c r="E372" s="805" t="str">
        <f>IF(B378="","",INDEX(NXchung!$B$3:$EP$57,MATCH(B378,NXchung!$B$3:$B$57,0),INDEX($K$12:$N$25,MATCH($B372,$J$12:$J$25,0),M$11)))</f>
        <v/>
      </c>
      <c r="F372" s="808" t="str">
        <f>IF(B378="","",INDEX(NXchung!$B$3:$EP$57,MATCH(B378,NXchung!$B$3:$B$57,0),INDEX($K$12:$N$25,MATCH($B372,$J$12:$J$25,0),N$11)))</f>
        <v/>
      </c>
      <c r="G372" s="805"/>
      <c r="I372" s="64"/>
      <c r="J372" s="64"/>
    </row>
    <row r="373" spans="1:10" ht="45.9" customHeight="1">
      <c r="A373" s="803" t="s">
        <v>204</v>
      </c>
      <c r="B373" s="813" t="s">
        <v>122</v>
      </c>
      <c r="C373" s="805" t="str">
        <f>IF(B378="","",INDEX(NXchung!$B$3:$EP$57,MATCH(B378,NXchung!$B$3:$B$57,0),INDEX($K$12:$N$25,MATCH($B373,$J$12:$J$25,0),K$11)))</f>
        <v/>
      </c>
      <c r="D373" s="808" t="str">
        <f>IF(B378="","",INDEX(NXchung!$B$3:$EP$57,MATCH(B378,NXchung!$B$3:$B$57,0),INDEX($K$12:$N$25,MATCH($B373,$J$12:$J$25,0),L$11)))</f>
        <v/>
      </c>
      <c r="E373" s="805" t="str">
        <f>IF(B378="","",INDEX(NXchung!$B$3:$EP$57,MATCH(B378,NXchung!$B$3:$B$57,0),INDEX($K$12:$N$25,MATCH($B373,$J$12:$J$25,0),M$11)))</f>
        <v/>
      </c>
      <c r="F373" s="808" t="str">
        <f>IF(B378="","",INDEX(NXchung!$B$3:$EP$57,MATCH(B378,NXchung!$B$3:$B$57,0),INDEX($K$12:$N$25,MATCH($B373,$J$12:$J$25,0),N$11)))</f>
        <v/>
      </c>
      <c r="G373" s="805"/>
      <c r="I373" s="64"/>
      <c r="J373" s="64"/>
    </row>
    <row r="374" spans="1:10" s="60" customFormat="1" ht="6" customHeight="1">
      <c r="A374" s="67"/>
      <c r="B374" s="67"/>
      <c r="C374" s="475"/>
      <c r="D374" s="475"/>
      <c r="E374" s="67"/>
      <c r="F374" s="67"/>
      <c r="G374" s="67"/>
    </row>
    <row r="375" spans="1:10" ht="17.25" customHeight="1">
      <c r="D375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375" s="1163"/>
      <c r="F375" s="1163"/>
      <c r="G375" s="1163"/>
      <c r="H375" s="814"/>
    </row>
    <row r="376" spans="1:10" ht="16.5" customHeight="1">
      <c r="D376" s="992" t="s">
        <v>377</v>
      </c>
      <c r="E376" s="992"/>
      <c r="F376" s="992"/>
      <c r="G376" s="992"/>
      <c r="H376" s="814"/>
    </row>
    <row r="377" spans="1:10" ht="81.75" customHeight="1">
      <c r="D377" s="931" t="str">
        <f>IF('Huong dan'!$E$5="","",'Huong dan'!$E$5)</f>
        <v/>
      </c>
      <c r="E377" s="931"/>
      <c r="F377" s="931"/>
      <c r="G377" s="931"/>
      <c r="H377" s="814"/>
    </row>
    <row r="378" spans="1:10" ht="11.25" customHeight="1">
      <c r="A378" s="75"/>
      <c r="B378" s="815">
        <f>IF(B349="","",IF(B349&lt;MAX(DiemHKII!$B$4:$B$58),B349+1,""))</f>
        <v>13</v>
      </c>
      <c r="C378" s="75"/>
      <c r="D378" s="75"/>
      <c r="E378" s="75"/>
      <c r="F378" s="75"/>
      <c r="G378" s="75"/>
    </row>
    <row r="379" spans="1:10" s="60" customFormat="1" ht="21" customHeight="1">
      <c r="A379" s="1128" t="str">
        <f>IF('Huong dan'!$E$3&lt;&gt;"","SỞ GIÁO DỤC VÀ ĐÀO TẠO "&amp;UPPER('Huong dan'!$E$3),"")</f>
        <v>SỞ GIÁO DỤC VÀ ĐÀO TẠO TP. HỒ CHÍ MINH</v>
      </c>
      <c r="B379" s="1128"/>
      <c r="C379" s="1128"/>
      <c r="D379" s="1128"/>
      <c r="E379" s="1129" t="s">
        <v>19</v>
      </c>
      <c r="F379" s="1129"/>
      <c r="G379" s="1129"/>
    </row>
    <row r="380" spans="1:10" ht="17.25" customHeight="1">
      <c r="A380" s="992" t="str">
        <f>IF('Huong dan'!$E$4&lt;&gt;"","TRƯỜNG "&amp;UPPER('Huong dan'!$E$4),"")</f>
        <v>TRƯỜNG THCS VÀ THPT NGUYỄN KHUYẾN</v>
      </c>
      <c r="B380" s="992"/>
      <c r="C380" s="992"/>
      <c r="D380" s="992"/>
      <c r="E380" s="1130" t="s">
        <v>179</v>
      </c>
      <c r="F380" s="1130"/>
      <c r="G380" s="1130"/>
    </row>
    <row r="381" spans="1:10" ht="15" customHeight="1">
      <c r="A381" s="69"/>
      <c r="B381" s="69"/>
      <c r="C381" s="30"/>
    </row>
    <row r="382" spans="1:10" ht="27.75" customHeight="1">
      <c r="A382" s="1013" t="s">
        <v>567</v>
      </c>
      <c r="B382" s="1013"/>
      <c r="C382" s="1013"/>
      <c r="D382" s="1013"/>
      <c r="E382" s="1013"/>
      <c r="F382" s="1013"/>
      <c r="G382" s="1013"/>
    </row>
    <row r="383" spans="1:10" ht="24" customHeight="1">
      <c r="A383" s="1013" t="str">
        <f>"HỌC KỲ II VÀ CẢ NĂM - NĂM HỌC "&amp;'Huong dan'!$C$5</f>
        <v>HỌC KỲ II VÀ CẢ NĂM - NĂM HỌC 2021 - 2022</v>
      </c>
      <c r="B383" s="1013"/>
      <c r="C383" s="1013"/>
      <c r="D383" s="1013"/>
      <c r="E383" s="1013"/>
      <c r="F383" s="1013"/>
      <c r="G383" s="1013"/>
    </row>
    <row r="384" spans="1:10" ht="9" customHeight="1">
      <c r="A384" s="70"/>
      <c r="B384" s="66"/>
      <c r="C384" s="66"/>
      <c r="D384" s="66"/>
      <c r="E384" s="66"/>
      <c r="F384" s="66"/>
      <c r="G384" s="66"/>
    </row>
    <row r="385" spans="1:10" ht="18.75" customHeight="1">
      <c r="A385" s="1167" t="s">
        <v>212</v>
      </c>
      <c r="B385" s="1167"/>
      <c r="C385" s="1167"/>
      <c r="D385" s="1167" t="str">
        <f>IF(B407="","",INDEX(NXchung!$B$3:$EP$57,MATCH(B407,NXchung!$B$3:$B$57,0),3)&amp;" "&amp;INDEX(NXchung!$B$3:$EP$57,MATCH(B407,NXchung!$B$3:$B$57,0),4))</f>
        <v>Lê Phan Ngọc Hiếu</v>
      </c>
      <c r="E385" s="1167"/>
      <c r="F385" s="77" t="str">
        <f>IF('Huong dan'!$C$3="","","Lớp: "&amp;'Huong dan'!$C$3)</f>
        <v>Lớp: 12A1</v>
      </c>
      <c r="G385" s="71"/>
    </row>
    <row r="386" spans="1:10" ht="18.75" customHeight="1">
      <c r="A386" s="1168" t="s">
        <v>213</v>
      </c>
      <c r="B386" s="1168"/>
      <c r="C386" s="1168"/>
      <c r="D386" s="77" t="str">
        <f>INDEX(NXchung!$B$3:$EP$57,MATCH(B407,NXchung!$B$3:$B$57,0),5)</f>
        <v>01/02/2004</v>
      </c>
      <c r="F386" s="841" t="str">
        <f>IF(B407="","","Nơi sinh: "&amp;INDEX(DiemHKII!$H$4:$H$58,MATCH(B407,DiemHKII!$B$4:$B$58,0),1))</f>
        <v xml:space="preserve">Nơi sinh: </v>
      </c>
      <c r="G386" s="77"/>
    </row>
    <row r="387" spans="1:10" ht="9.75" customHeight="1">
      <c r="A387" s="62"/>
      <c r="B387" s="62"/>
      <c r="C387" s="62"/>
      <c r="D387" s="62"/>
      <c r="E387" s="62"/>
      <c r="F387" s="62"/>
      <c r="G387" s="63"/>
    </row>
    <row r="388" spans="1:10" ht="31.5" customHeight="1">
      <c r="A388" s="801" t="s">
        <v>0</v>
      </c>
      <c r="B388" s="801" t="s">
        <v>59</v>
      </c>
      <c r="C388" s="806" t="s">
        <v>661</v>
      </c>
      <c r="D388" s="801" t="s">
        <v>296</v>
      </c>
      <c r="E388" s="806" t="s">
        <v>662</v>
      </c>
      <c r="F388" s="801" t="s">
        <v>361</v>
      </c>
      <c r="G388" s="802" t="s">
        <v>569</v>
      </c>
    </row>
    <row r="389" spans="1:10" ht="45.9" customHeight="1">
      <c r="A389" s="803" t="s">
        <v>191</v>
      </c>
      <c r="B389" s="813" t="s">
        <v>26</v>
      </c>
      <c r="C389" s="805" t="str">
        <f>IF(B407="","",INDEX(NXchung!$B$3:$EP$57,MATCH(B407,NXchung!$B$3:$B$57,0),INDEX($K$12:$N$25,MATCH($B389,$J$12:$J$25,0),K$11)))</f>
        <v/>
      </c>
      <c r="D389" s="808" t="str">
        <f>IF(B407="","",INDEX(NXchung!$B$3:$EP$57,MATCH(B407,NXchung!$B$3:$B$57,0),INDEX($K$12:$N$25,MATCH($B389,$J$12:$J$25,0),L$11)))</f>
        <v/>
      </c>
      <c r="E389" s="805" t="str">
        <f>IF(B407="","",INDEX(NXchung!$B$3:$EP$57,MATCH(B407,NXchung!$B$3:$B$57,0),INDEX($K$12:$N$25,MATCH($B389,$J$12:$J$25,0),M$11)))</f>
        <v/>
      </c>
      <c r="F389" s="808" t="str">
        <f>IF(B407="","",INDEX(NXchung!$B$3:$EP$57,MATCH(B407,NXchung!$B$3:$B$57,0),INDEX($K$12:$N$25,MATCH($B389,$J$12:$J$25,0),N$11)))</f>
        <v/>
      </c>
      <c r="G389" s="805"/>
      <c r="I389" s="64"/>
      <c r="J389" s="64"/>
    </row>
    <row r="390" spans="1:10" ht="45.9" customHeight="1">
      <c r="A390" s="803" t="s">
        <v>192</v>
      </c>
      <c r="B390" s="813" t="s">
        <v>27</v>
      </c>
      <c r="C390" s="805" t="str">
        <f>IF(B407="","",INDEX(NXchung!$B$3:$EP$57,MATCH(B407,NXchung!$B$3:$B$57,0),INDEX($K$12:$N$25,MATCH($B390,$J$12:$J$25,0),K$11)))</f>
        <v/>
      </c>
      <c r="D390" s="808" t="str">
        <f>IF(B407="","",INDEX(NXchung!$B$3:$EP$57,MATCH(B407,NXchung!$B$3:$B$57,0),INDEX($K$12:$N$25,MATCH($B390,$J$12:$J$25,0),L$11)))</f>
        <v/>
      </c>
      <c r="E390" s="805" t="str">
        <f>IF(B407="","",INDEX(NXchung!$B$3:$EP$57,MATCH(B407,NXchung!$B$3:$B$57,0),INDEX($K$12:$N$25,MATCH($B390,$J$12:$J$25,0),M$11)))</f>
        <v/>
      </c>
      <c r="F390" s="808" t="str">
        <f>IF(B407="","",INDEX(NXchung!$B$3:$EP$57,MATCH(B407,NXchung!$B$3:$B$57,0),INDEX($K$12:$N$25,MATCH($B390,$J$12:$J$25,0),N$11)))</f>
        <v/>
      </c>
      <c r="G390" s="805"/>
      <c r="I390" s="64"/>
      <c r="J390" s="64"/>
    </row>
    <row r="391" spans="1:10" ht="45.9" customHeight="1">
      <c r="A391" s="803" t="s">
        <v>193</v>
      </c>
      <c r="B391" s="813" t="s">
        <v>28</v>
      </c>
      <c r="C391" s="805" t="str">
        <f>IF(B407="","",INDEX(NXchung!$B$3:$EP$57,MATCH(B407,NXchung!$B$3:$B$57,0),INDEX($K$12:$N$25,MATCH($B391,$J$12:$J$25,0),K$11)))</f>
        <v/>
      </c>
      <c r="D391" s="808" t="str">
        <f>IF(B407="","",INDEX(NXchung!$B$3:$EP$57,MATCH(B407,NXchung!$B$3:$B$57,0),INDEX($K$12:$N$25,MATCH($B391,$J$12:$J$25,0),L$11)))</f>
        <v/>
      </c>
      <c r="E391" s="805" t="str">
        <f>IF(B407="","",INDEX(NXchung!$B$3:$EP$57,MATCH(B407,NXchung!$B$3:$B$57,0),INDEX($K$12:$N$25,MATCH($B391,$J$12:$J$25,0),M$11)))</f>
        <v/>
      </c>
      <c r="F391" s="808" t="str">
        <f>IF(B407="","",INDEX(NXchung!$B$3:$EP$57,MATCH(B407,NXchung!$B$3:$B$57,0),INDEX($K$12:$N$25,MATCH($B391,$J$12:$J$25,0),N$11)))</f>
        <v/>
      </c>
      <c r="G391" s="805"/>
      <c r="I391" s="64"/>
      <c r="J391" s="64"/>
    </row>
    <row r="392" spans="1:10" ht="45.9" customHeight="1">
      <c r="A392" s="803" t="s">
        <v>194</v>
      </c>
      <c r="B392" s="813" t="s">
        <v>29</v>
      </c>
      <c r="C392" s="805" t="str">
        <f>IF(B407="","",INDEX(NXchung!$B$3:$EP$57,MATCH(B407,NXchung!$B$3:$B$57,0),INDEX($K$12:$N$25,MATCH($B392,$J$12:$J$25,0),K$11)))</f>
        <v/>
      </c>
      <c r="D392" s="808" t="str">
        <f>IF(B407="","",INDEX(NXchung!$B$3:$EP$57,MATCH(B407,NXchung!$B$3:$B$57,0),INDEX($K$12:$N$25,MATCH($B392,$J$12:$J$25,0),L$11)))</f>
        <v/>
      </c>
      <c r="E392" s="805" t="str">
        <f>IF(B407="","",INDEX(NXchung!$B$3:$EP$57,MATCH(B407,NXchung!$B$3:$B$57,0),INDEX($K$12:$N$25,MATCH($B392,$J$12:$J$25,0),M$11)))</f>
        <v/>
      </c>
      <c r="F392" s="808" t="str">
        <f>IF(B407="","",INDEX(NXchung!$B$3:$EP$57,MATCH(B407,NXchung!$B$3:$B$57,0),INDEX($K$12:$N$25,MATCH($B392,$J$12:$J$25,0),N$11)))</f>
        <v/>
      </c>
      <c r="G392" s="805"/>
      <c r="I392" s="64"/>
      <c r="J392" s="64"/>
    </row>
    <row r="393" spans="1:10" ht="45.9" customHeight="1">
      <c r="A393" s="803" t="s">
        <v>195</v>
      </c>
      <c r="B393" s="813" t="s">
        <v>120</v>
      </c>
      <c r="C393" s="805" t="str">
        <f>IF(B407="","",INDEX(NXchung!$B$3:$EP$57,MATCH(B407,NXchung!$B$3:$B$57,0),INDEX($K$12:$N$25,MATCH($B393,$J$12:$J$25,0),K$11)))</f>
        <v/>
      </c>
      <c r="D393" s="808" t="str">
        <f>IF(B407="","",INDEX(NXchung!$B$3:$EP$57,MATCH(B407,NXchung!$B$3:$B$57,0),INDEX($K$12:$N$25,MATCH($B393,$J$12:$J$25,0),L$11)))</f>
        <v/>
      </c>
      <c r="E393" s="805" t="str">
        <f>IF(B407="","",INDEX(NXchung!$B$3:$EP$57,MATCH(B407,NXchung!$B$3:$B$57,0),INDEX($K$12:$N$25,MATCH($B393,$J$12:$J$25,0),M$11)))</f>
        <v/>
      </c>
      <c r="F393" s="808" t="str">
        <f>IF(B407="","",INDEX(NXchung!$B$3:$EP$57,MATCH(B407,NXchung!$B$3:$B$57,0),INDEX($K$12:$N$25,MATCH($B393,$J$12:$J$25,0),N$11)))</f>
        <v/>
      </c>
      <c r="G393" s="805"/>
      <c r="I393" s="64"/>
      <c r="J393" s="64"/>
    </row>
    <row r="394" spans="1:10" ht="45.9" customHeight="1">
      <c r="A394" s="803" t="s">
        <v>196</v>
      </c>
      <c r="B394" s="813" t="s">
        <v>30</v>
      </c>
      <c r="C394" s="805" t="str">
        <f>IF(B407="","",INDEX(NXchung!$B$3:$EP$57,MATCH(B407,NXchung!$B$3:$B$57,0),INDEX($K$12:$N$25,MATCH($B394,$J$12:$J$25,0),K$11)))</f>
        <v/>
      </c>
      <c r="D394" s="808" t="str">
        <f>IF(B407="","",INDEX(NXchung!$B$3:$EP$57,MATCH(B407,NXchung!$B$3:$B$57,0),INDEX($K$12:$N$25,MATCH($B394,$J$12:$J$25,0),L$11)))</f>
        <v/>
      </c>
      <c r="E394" s="805" t="str">
        <f>IF(B407="","",INDEX(NXchung!$B$3:$EP$57,MATCH(B407,NXchung!$B$3:$B$57,0),INDEX($K$12:$N$25,MATCH($B394,$J$12:$J$25,0),M$11)))</f>
        <v/>
      </c>
      <c r="F394" s="808" t="str">
        <f>IF(B407="","",INDEX(NXchung!$B$3:$EP$57,MATCH(B407,NXchung!$B$3:$B$57,0),INDEX($K$12:$N$25,MATCH($B394,$J$12:$J$25,0),N$11)))</f>
        <v/>
      </c>
      <c r="G394" s="805"/>
      <c r="I394" s="64"/>
      <c r="J394" s="64"/>
    </row>
    <row r="395" spans="1:10" ht="45.9" customHeight="1">
      <c r="A395" s="803" t="s">
        <v>197</v>
      </c>
      <c r="B395" s="813" t="s">
        <v>31</v>
      </c>
      <c r="C395" s="805" t="str">
        <f>IF(B407="","",INDEX(NXchung!$B$3:$EP$57,MATCH(B407,NXchung!$B$3:$B$57,0),INDEX($K$12:$N$25,MATCH($B395,$J$12:$J$25,0),K$11)))</f>
        <v/>
      </c>
      <c r="D395" s="808" t="str">
        <f>IF(B407="","",INDEX(NXchung!$B$3:$EP$57,MATCH(B407,NXchung!$B$3:$B$57,0),INDEX($K$12:$N$25,MATCH($B395,$J$12:$J$25,0),L$11)))</f>
        <v/>
      </c>
      <c r="E395" s="805" t="str">
        <f>IF(B407="","",INDEX(NXchung!$B$3:$EP$57,MATCH(B407,NXchung!$B$3:$B$57,0),INDEX($K$12:$N$25,MATCH($B395,$J$12:$J$25,0),M$11)))</f>
        <v/>
      </c>
      <c r="F395" s="808" t="str">
        <f>IF(B407="","",INDEX(NXchung!$B$3:$EP$57,MATCH(B407,NXchung!$B$3:$B$57,0),INDEX($K$12:$N$25,MATCH($B395,$J$12:$J$25,0),N$11)))</f>
        <v/>
      </c>
      <c r="G395" s="805"/>
      <c r="I395" s="64"/>
      <c r="J395" s="64"/>
    </row>
    <row r="396" spans="1:10" ht="45.9" customHeight="1">
      <c r="A396" s="803" t="s">
        <v>198</v>
      </c>
      <c r="B396" s="813" t="s">
        <v>32</v>
      </c>
      <c r="C396" s="805" t="str">
        <f>IF(B407="","",INDEX(NXchung!$B$3:$EP$57,MATCH(B407,NXchung!$B$3:$B$57,0),INDEX($K$12:$N$25,MATCH($B396,$J$12:$J$25,0),K$11)))</f>
        <v/>
      </c>
      <c r="D396" s="808" t="str">
        <f>IF(B407="","",INDEX(NXchung!$B$3:$EP$57,MATCH(B407,NXchung!$B$3:$B$57,0),INDEX($K$12:$N$25,MATCH($B396,$J$12:$J$25,0),L$11)))</f>
        <v/>
      </c>
      <c r="E396" s="805" t="str">
        <f>IF(B407="","",INDEX(NXchung!$B$3:$EP$57,MATCH(B407,NXchung!$B$3:$B$57,0),INDEX($K$12:$N$25,MATCH($B396,$J$12:$J$25,0),M$11)))</f>
        <v/>
      </c>
      <c r="F396" s="808" t="str">
        <f>IF(B407="","",INDEX(NXchung!$B$3:$EP$57,MATCH(B407,NXchung!$B$3:$B$57,0),INDEX($K$12:$N$25,MATCH($B396,$J$12:$J$25,0),N$11)))</f>
        <v/>
      </c>
      <c r="G396" s="805"/>
      <c r="I396" s="64"/>
      <c r="J396" s="64"/>
    </row>
    <row r="397" spans="1:10" ht="45.9" customHeight="1">
      <c r="A397" s="803" t="s">
        <v>199</v>
      </c>
      <c r="B397" s="813" t="s">
        <v>33</v>
      </c>
      <c r="C397" s="805" t="str">
        <f>IF(B407="","",INDEX(NXchung!$B$3:$EP$57,MATCH(B407,NXchung!$B$3:$B$57,0),INDEX($K$12:$N$25,MATCH($B397,$J$12:$J$25,0),K$11)))</f>
        <v/>
      </c>
      <c r="D397" s="808" t="str">
        <f>IF(B407="","",INDEX(NXchung!$B$3:$EP$57,MATCH(B407,NXchung!$B$3:$B$57,0),INDEX($K$12:$N$25,MATCH($B397,$J$12:$J$25,0),L$11)))</f>
        <v/>
      </c>
      <c r="E397" s="805" t="str">
        <f>IF(B407="","",INDEX(NXchung!$B$3:$EP$57,MATCH(B407,NXchung!$B$3:$B$57,0),INDEX($K$12:$N$25,MATCH($B397,$J$12:$J$25,0),M$11)))</f>
        <v/>
      </c>
      <c r="F397" s="808" t="str">
        <f>IF(B407="","",INDEX(NXchung!$B$3:$EP$57,MATCH(B407,NXchung!$B$3:$B$57,0),INDEX($K$12:$N$25,MATCH($B397,$J$12:$J$25,0),N$11)))</f>
        <v/>
      </c>
      <c r="G397" s="805"/>
      <c r="I397" s="64"/>
      <c r="J397" s="64"/>
    </row>
    <row r="398" spans="1:10" ht="45.9" customHeight="1">
      <c r="A398" s="803" t="s">
        <v>200</v>
      </c>
      <c r="B398" s="813" t="s">
        <v>60</v>
      </c>
      <c r="C398" s="805" t="str">
        <f>IF(B407="","",INDEX(NXchung!$B$3:$EP$57,MATCH(B407,NXchung!$B$3:$B$57,0),INDEX($K$12:$N$25,MATCH($B398,$J$12:$J$25,0),K$11)))</f>
        <v/>
      </c>
      <c r="D398" s="808" t="str">
        <f>IF(B407="","",INDEX(NXchung!$B$3:$EP$57,MATCH(B407,NXchung!$B$3:$B$57,0),INDEX($K$12:$N$25,MATCH($B398,$J$12:$J$25,0),L$11)))</f>
        <v/>
      </c>
      <c r="E398" s="805" t="str">
        <f>IF(B407="","",INDEX(NXchung!$B$3:$EP$57,MATCH(B407,NXchung!$B$3:$B$57,0),INDEX($K$12:$N$25,MATCH($B398,$J$12:$J$25,0),M$11)))</f>
        <v/>
      </c>
      <c r="F398" s="808" t="str">
        <f>IF(B407="","",INDEX(NXchung!$B$3:$EP$57,MATCH(B407,NXchung!$B$3:$B$57,0),INDEX($K$12:$N$25,MATCH($B398,$J$12:$J$25,0),N$11)))</f>
        <v/>
      </c>
      <c r="G398" s="805"/>
      <c r="I398" s="64"/>
      <c r="J398" s="64"/>
    </row>
    <row r="399" spans="1:10" ht="45.9" customHeight="1">
      <c r="A399" s="803" t="s">
        <v>201</v>
      </c>
      <c r="B399" s="813" t="s">
        <v>34</v>
      </c>
      <c r="C399" s="805" t="str">
        <f>IF(B407="","",INDEX(NXchung!$B$3:$EP$57,MATCH(B407,NXchung!$B$3:$B$57,0),INDEX($K$12:$N$25,MATCH($B399,$J$12:$J$25,0),K$11)))</f>
        <v/>
      </c>
      <c r="D399" s="808" t="str">
        <f>IF(B407="","",INDEX(NXchung!$B$3:$EP$57,MATCH(B407,NXchung!$B$3:$B$57,0),INDEX($K$12:$N$25,MATCH($B399,$J$12:$J$25,0),L$11)))</f>
        <v/>
      </c>
      <c r="E399" s="805" t="str">
        <f>IF(B407="","",INDEX(NXchung!$B$3:$EP$57,MATCH(B407,NXchung!$B$3:$B$57,0),INDEX($K$12:$N$25,MATCH($B399,$J$12:$J$25,0),M$11)))</f>
        <v/>
      </c>
      <c r="F399" s="808" t="str">
        <f>IF(B407="","",INDEX(NXchung!$B$3:$EP$57,MATCH(B407,NXchung!$B$3:$B$57,0),INDEX($K$12:$N$25,MATCH($B399,$J$12:$J$25,0),N$11)))</f>
        <v/>
      </c>
      <c r="G399" s="805"/>
      <c r="I399" s="64"/>
      <c r="J399" s="64"/>
    </row>
    <row r="400" spans="1:10" ht="45.9" customHeight="1">
      <c r="A400" s="803" t="s">
        <v>202</v>
      </c>
      <c r="B400" s="813" t="s">
        <v>35</v>
      </c>
      <c r="C400" s="805" t="str">
        <f>IF(B407="","",INDEX(NXchung!$B$3:$EP$57,MATCH(B407,NXchung!$B$3:$B$57,0),INDEX($K$12:$N$25,MATCH($B400,$J$12:$J$25,0),K$11)))</f>
        <v/>
      </c>
      <c r="D400" s="808" t="str">
        <f>IF(B407="","",INDEX(NXchung!$B$3:$EP$57,MATCH(B407,NXchung!$B$3:$B$57,0),INDEX($K$12:$N$25,MATCH($B400,$J$12:$J$25,0),L$11)))</f>
        <v/>
      </c>
      <c r="E400" s="805" t="str">
        <f>IF(B407="","",INDEX(NXchung!$B$3:$EP$57,MATCH(B407,NXchung!$B$3:$B$57,0),INDEX($K$12:$N$25,MATCH($B400,$J$12:$J$25,0),M$11)))</f>
        <v>Đ</v>
      </c>
      <c r="F400" s="808" t="str">
        <f>IF(B407="","",INDEX(NXchung!$B$3:$EP$57,MATCH(B407,NXchung!$B$3:$B$57,0),INDEX($K$12:$N$25,MATCH($B400,$J$12:$J$25,0),N$11)))</f>
        <v>Chăm chỉ, cố gắng, rất ngoan.</v>
      </c>
      <c r="G400" s="805"/>
      <c r="I400" s="64"/>
      <c r="J400" s="64"/>
    </row>
    <row r="401" spans="1:10" ht="45.9" customHeight="1">
      <c r="A401" s="803" t="s">
        <v>203</v>
      </c>
      <c r="B401" s="813" t="s">
        <v>121</v>
      </c>
      <c r="C401" s="805" t="str">
        <f>IF(B407="","",INDEX(NXchung!$B$3:$EP$57,MATCH(B407,NXchung!$B$3:$B$57,0),INDEX($K$12:$N$25,MATCH($B401,$J$12:$J$25,0),K$11)))</f>
        <v/>
      </c>
      <c r="D401" s="808" t="str">
        <f>IF(B407="","",INDEX(NXchung!$B$3:$EP$57,MATCH(B407,NXchung!$B$3:$B$57,0),INDEX($K$12:$N$25,MATCH($B401,$J$12:$J$25,0),L$11)))</f>
        <v/>
      </c>
      <c r="E401" s="805" t="str">
        <f>IF(B407="","",INDEX(NXchung!$B$3:$EP$57,MATCH(B407,NXchung!$B$3:$B$57,0),INDEX($K$12:$N$25,MATCH($B401,$J$12:$J$25,0),M$11)))</f>
        <v/>
      </c>
      <c r="F401" s="808" t="str">
        <f>IF(B407="","",INDEX(NXchung!$B$3:$EP$57,MATCH(B407,NXchung!$B$3:$B$57,0),INDEX($K$12:$N$25,MATCH($B401,$J$12:$J$25,0),N$11)))</f>
        <v/>
      </c>
      <c r="G401" s="805"/>
      <c r="I401" s="64"/>
      <c r="J401" s="64"/>
    </row>
    <row r="402" spans="1:10" ht="45.9" customHeight="1">
      <c r="A402" s="803" t="s">
        <v>204</v>
      </c>
      <c r="B402" s="813" t="s">
        <v>122</v>
      </c>
      <c r="C402" s="805" t="str">
        <f>IF(B407="","",INDEX(NXchung!$B$3:$EP$57,MATCH(B407,NXchung!$B$3:$B$57,0),INDEX($K$12:$N$25,MATCH($B402,$J$12:$J$25,0),K$11)))</f>
        <v/>
      </c>
      <c r="D402" s="808" t="str">
        <f>IF(B407="","",INDEX(NXchung!$B$3:$EP$57,MATCH(B407,NXchung!$B$3:$B$57,0),INDEX($K$12:$N$25,MATCH($B402,$J$12:$J$25,0),L$11)))</f>
        <v/>
      </c>
      <c r="E402" s="805" t="str">
        <f>IF(B407="","",INDEX(NXchung!$B$3:$EP$57,MATCH(B407,NXchung!$B$3:$B$57,0),INDEX($K$12:$N$25,MATCH($B402,$J$12:$J$25,0),M$11)))</f>
        <v/>
      </c>
      <c r="F402" s="808" t="str">
        <f>IF(B407="","",INDEX(NXchung!$B$3:$EP$57,MATCH(B407,NXchung!$B$3:$B$57,0),INDEX($K$12:$N$25,MATCH($B402,$J$12:$J$25,0),N$11)))</f>
        <v/>
      </c>
      <c r="G402" s="805"/>
      <c r="I402" s="64"/>
      <c r="J402" s="64"/>
    </row>
    <row r="403" spans="1:10" s="60" customFormat="1" ht="6" customHeight="1">
      <c r="A403" s="67"/>
      <c r="B403" s="67"/>
      <c r="C403" s="475"/>
      <c r="D403" s="475"/>
      <c r="E403" s="67"/>
      <c r="F403" s="67"/>
      <c r="G403" s="67"/>
    </row>
    <row r="404" spans="1:10" ht="17.25" customHeight="1">
      <c r="D404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404" s="1163"/>
      <c r="F404" s="1163"/>
      <c r="G404" s="1163"/>
      <c r="H404" s="814"/>
    </row>
    <row r="405" spans="1:10" ht="16.5" customHeight="1">
      <c r="D405" s="992" t="s">
        <v>377</v>
      </c>
      <c r="E405" s="992"/>
      <c r="F405" s="992"/>
      <c r="G405" s="992"/>
      <c r="H405" s="814"/>
    </row>
    <row r="406" spans="1:10" ht="81.75" customHeight="1">
      <c r="D406" s="931" t="str">
        <f>IF('Huong dan'!$E$5="","",'Huong dan'!$E$5)</f>
        <v/>
      </c>
      <c r="E406" s="931"/>
      <c r="F406" s="931"/>
      <c r="G406" s="931"/>
      <c r="H406" s="814"/>
    </row>
    <row r="407" spans="1:10" ht="11.25" customHeight="1">
      <c r="A407" s="75"/>
      <c r="B407" s="815">
        <f>IF(B378="","",IF(B378&lt;MAX(DiemHKII!$B$4:$B$58),B378+1,""))</f>
        <v>14</v>
      </c>
      <c r="C407" s="75"/>
      <c r="D407" s="75"/>
      <c r="E407" s="75"/>
      <c r="F407" s="75"/>
      <c r="G407" s="75"/>
    </row>
    <row r="408" spans="1:10" s="60" customFormat="1" ht="21" customHeight="1">
      <c r="A408" s="1128" t="str">
        <f>IF('Huong dan'!$E$3&lt;&gt;"","SỞ GIÁO DỤC VÀ ĐÀO TẠO "&amp;UPPER('Huong dan'!$E$3),"")</f>
        <v>SỞ GIÁO DỤC VÀ ĐÀO TẠO TP. HỒ CHÍ MINH</v>
      </c>
      <c r="B408" s="1128"/>
      <c r="C408" s="1128"/>
      <c r="D408" s="1128"/>
      <c r="E408" s="1129" t="s">
        <v>19</v>
      </c>
      <c r="F408" s="1129"/>
      <c r="G408" s="1129"/>
    </row>
    <row r="409" spans="1:10" ht="17.25" customHeight="1">
      <c r="A409" s="992" t="str">
        <f>IF('Huong dan'!$E$4&lt;&gt;"","TRƯỜNG "&amp;UPPER('Huong dan'!$E$4),"")</f>
        <v>TRƯỜNG THCS VÀ THPT NGUYỄN KHUYẾN</v>
      </c>
      <c r="B409" s="992"/>
      <c r="C409" s="992"/>
      <c r="D409" s="992"/>
      <c r="E409" s="1130" t="s">
        <v>179</v>
      </c>
      <c r="F409" s="1130"/>
      <c r="G409" s="1130"/>
    </row>
    <row r="410" spans="1:10" ht="15" customHeight="1">
      <c r="A410" s="69"/>
      <c r="B410" s="69"/>
      <c r="C410" s="30"/>
    </row>
    <row r="411" spans="1:10" ht="27.75" customHeight="1">
      <c r="A411" s="1013" t="s">
        <v>567</v>
      </c>
      <c r="B411" s="1013"/>
      <c r="C411" s="1013"/>
      <c r="D411" s="1013"/>
      <c r="E411" s="1013"/>
      <c r="F411" s="1013"/>
      <c r="G411" s="1013"/>
    </row>
    <row r="412" spans="1:10" ht="24" customHeight="1">
      <c r="A412" s="1013" t="str">
        <f>"HỌC KỲ II VÀ CẢ NĂM - NĂM HỌC "&amp;'Huong dan'!$C$5</f>
        <v>HỌC KỲ II VÀ CẢ NĂM - NĂM HỌC 2021 - 2022</v>
      </c>
      <c r="B412" s="1013"/>
      <c r="C412" s="1013"/>
      <c r="D412" s="1013"/>
      <c r="E412" s="1013"/>
      <c r="F412" s="1013"/>
      <c r="G412" s="1013"/>
    </row>
    <row r="413" spans="1:10" ht="9" customHeight="1">
      <c r="A413" s="70"/>
      <c r="B413" s="66"/>
      <c r="C413" s="66"/>
      <c r="D413" s="66"/>
      <c r="E413" s="66"/>
      <c r="F413" s="66"/>
      <c r="G413" s="66"/>
    </row>
    <row r="414" spans="1:10" ht="18.75" customHeight="1">
      <c r="A414" s="1167" t="s">
        <v>212</v>
      </c>
      <c r="B414" s="1167"/>
      <c r="C414" s="1167"/>
      <c r="D414" s="1167" t="str">
        <f>IF(B436="","",INDEX(NXchung!$B$3:$EP$57,MATCH(B436,NXchung!$B$3:$B$57,0),3)&amp;" "&amp;INDEX(NXchung!$B$3:$EP$57,MATCH(B436,NXchung!$B$3:$B$57,0),4))</f>
        <v>Trần Hoàng Hưng</v>
      </c>
      <c r="E414" s="1167"/>
      <c r="F414" s="77" t="str">
        <f>IF('Huong dan'!$C$3="","","Lớp: "&amp;'Huong dan'!$C$3)</f>
        <v>Lớp: 12A1</v>
      </c>
      <c r="G414" s="71"/>
    </row>
    <row r="415" spans="1:10" ht="18.75" customHeight="1">
      <c r="A415" s="1168" t="s">
        <v>213</v>
      </c>
      <c r="B415" s="1168"/>
      <c r="C415" s="1168"/>
      <c r="D415" s="77" t="str">
        <f>INDEX(NXchung!$B$3:$EP$57,MATCH(B436,NXchung!$B$3:$B$57,0),5)</f>
        <v>11/06/2004</v>
      </c>
      <c r="F415" s="841" t="str">
        <f>IF(B436="","","Nơi sinh: "&amp;INDEX(DiemHKII!$H$4:$H$58,MATCH(B436,DiemHKII!$B$4:$B$58,0),1))</f>
        <v xml:space="preserve">Nơi sinh: </v>
      </c>
      <c r="G415" s="77"/>
    </row>
    <row r="416" spans="1:10" ht="9.75" customHeight="1">
      <c r="A416" s="62"/>
      <c r="B416" s="62"/>
      <c r="C416" s="62"/>
      <c r="D416" s="62"/>
      <c r="E416" s="62"/>
      <c r="F416" s="62"/>
      <c r="G416" s="63"/>
    </row>
    <row r="417" spans="1:10" ht="31.5" customHeight="1">
      <c r="A417" s="801" t="s">
        <v>0</v>
      </c>
      <c r="B417" s="801" t="s">
        <v>59</v>
      </c>
      <c r="C417" s="806" t="s">
        <v>661</v>
      </c>
      <c r="D417" s="801" t="s">
        <v>296</v>
      </c>
      <c r="E417" s="806" t="s">
        <v>662</v>
      </c>
      <c r="F417" s="801" t="s">
        <v>361</v>
      </c>
      <c r="G417" s="802" t="s">
        <v>569</v>
      </c>
    </row>
    <row r="418" spans="1:10" ht="45.9" customHeight="1">
      <c r="A418" s="803" t="s">
        <v>191</v>
      </c>
      <c r="B418" s="813" t="s">
        <v>26</v>
      </c>
      <c r="C418" s="805" t="str">
        <f>IF(B436="","",INDEX(NXchung!$B$3:$EP$57,MATCH(B436,NXchung!$B$3:$B$57,0),INDEX($K$12:$N$25,MATCH($B418,$J$12:$J$25,0),K$11)))</f>
        <v/>
      </c>
      <c r="D418" s="808" t="str">
        <f>IF(B436="","",INDEX(NXchung!$B$3:$EP$57,MATCH(B436,NXchung!$B$3:$B$57,0),INDEX($K$12:$N$25,MATCH($B418,$J$12:$J$25,0),L$11)))</f>
        <v/>
      </c>
      <c r="E418" s="805" t="str">
        <f>IF(B436="","",INDEX(NXchung!$B$3:$EP$57,MATCH(B436,NXchung!$B$3:$B$57,0),INDEX($K$12:$N$25,MATCH($B418,$J$12:$J$25,0),M$11)))</f>
        <v/>
      </c>
      <c r="F418" s="808" t="str">
        <f>IF(B436="","",INDEX(NXchung!$B$3:$EP$57,MATCH(B436,NXchung!$B$3:$B$57,0),INDEX($K$12:$N$25,MATCH($B418,$J$12:$J$25,0),N$11)))</f>
        <v/>
      </c>
      <c r="G418" s="805"/>
      <c r="I418" s="64"/>
      <c r="J418" s="64"/>
    </row>
    <row r="419" spans="1:10" ht="45.9" customHeight="1">
      <c r="A419" s="803" t="s">
        <v>192</v>
      </c>
      <c r="B419" s="813" t="s">
        <v>27</v>
      </c>
      <c r="C419" s="805" t="str">
        <f>IF(B436="","",INDEX(NXchung!$B$3:$EP$57,MATCH(B436,NXchung!$B$3:$B$57,0),INDEX($K$12:$N$25,MATCH($B419,$J$12:$J$25,0),K$11)))</f>
        <v/>
      </c>
      <c r="D419" s="808" t="str">
        <f>IF(B436="","",INDEX(NXchung!$B$3:$EP$57,MATCH(B436,NXchung!$B$3:$B$57,0),INDEX($K$12:$N$25,MATCH($B419,$J$12:$J$25,0),L$11)))</f>
        <v/>
      </c>
      <c r="E419" s="805" t="str">
        <f>IF(B436="","",INDEX(NXchung!$B$3:$EP$57,MATCH(B436,NXchung!$B$3:$B$57,0),INDEX($K$12:$N$25,MATCH($B419,$J$12:$J$25,0),M$11)))</f>
        <v/>
      </c>
      <c r="F419" s="808" t="str">
        <f>IF(B436="","",INDEX(NXchung!$B$3:$EP$57,MATCH(B436,NXchung!$B$3:$B$57,0),INDEX($K$12:$N$25,MATCH($B419,$J$12:$J$25,0),N$11)))</f>
        <v/>
      </c>
      <c r="G419" s="805"/>
      <c r="I419" s="64"/>
      <c r="J419" s="64"/>
    </row>
    <row r="420" spans="1:10" ht="45.9" customHeight="1">
      <c r="A420" s="803" t="s">
        <v>193</v>
      </c>
      <c r="B420" s="813" t="s">
        <v>28</v>
      </c>
      <c r="C420" s="805" t="str">
        <f>IF(B436="","",INDEX(NXchung!$B$3:$EP$57,MATCH(B436,NXchung!$B$3:$B$57,0),INDEX($K$12:$N$25,MATCH($B420,$J$12:$J$25,0),K$11)))</f>
        <v/>
      </c>
      <c r="D420" s="808" t="str">
        <f>IF(B436="","",INDEX(NXchung!$B$3:$EP$57,MATCH(B436,NXchung!$B$3:$B$57,0),INDEX($K$12:$N$25,MATCH($B420,$J$12:$J$25,0),L$11)))</f>
        <v/>
      </c>
      <c r="E420" s="805" t="str">
        <f>IF(B436="","",INDEX(NXchung!$B$3:$EP$57,MATCH(B436,NXchung!$B$3:$B$57,0),INDEX($K$12:$N$25,MATCH($B420,$J$12:$J$25,0),M$11)))</f>
        <v/>
      </c>
      <c r="F420" s="808" t="str">
        <f>IF(B436="","",INDEX(NXchung!$B$3:$EP$57,MATCH(B436,NXchung!$B$3:$B$57,0),INDEX($K$12:$N$25,MATCH($B420,$J$12:$J$25,0),N$11)))</f>
        <v/>
      </c>
      <c r="G420" s="805"/>
      <c r="I420" s="64"/>
      <c r="J420" s="64"/>
    </row>
    <row r="421" spans="1:10" ht="45.9" customHeight="1">
      <c r="A421" s="803" t="s">
        <v>194</v>
      </c>
      <c r="B421" s="813" t="s">
        <v>29</v>
      </c>
      <c r="C421" s="805" t="str">
        <f>IF(B436="","",INDEX(NXchung!$B$3:$EP$57,MATCH(B436,NXchung!$B$3:$B$57,0),INDEX($K$12:$N$25,MATCH($B421,$J$12:$J$25,0),K$11)))</f>
        <v/>
      </c>
      <c r="D421" s="808" t="str">
        <f>IF(B436="","",INDEX(NXchung!$B$3:$EP$57,MATCH(B436,NXchung!$B$3:$B$57,0),INDEX($K$12:$N$25,MATCH($B421,$J$12:$J$25,0),L$11)))</f>
        <v/>
      </c>
      <c r="E421" s="805" t="str">
        <f>IF(B436="","",INDEX(NXchung!$B$3:$EP$57,MATCH(B436,NXchung!$B$3:$B$57,0),INDEX($K$12:$N$25,MATCH($B421,$J$12:$J$25,0),M$11)))</f>
        <v/>
      </c>
      <c r="F421" s="808" t="str">
        <f>IF(B436="","",INDEX(NXchung!$B$3:$EP$57,MATCH(B436,NXchung!$B$3:$B$57,0),INDEX($K$12:$N$25,MATCH($B421,$J$12:$J$25,0),N$11)))</f>
        <v/>
      </c>
      <c r="G421" s="805"/>
      <c r="I421" s="64"/>
      <c r="J421" s="64"/>
    </row>
    <row r="422" spans="1:10" ht="45.9" customHeight="1">
      <c r="A422" s="803" t="s">
        <v>195</v>
      </c>
      <c r="B422" s="813" t="s">
        <v>120</v>
      </c>
      <c r="C422" s="805" t="str">
        <f>IF(B436="","",INDEX(NXchung!$B$3:$EP$57,MATCH(B436,NXchung!$B$3:$B$57,0),INDEX($K$12:$N$25,MATCH($B422,$J$12:$J$25,0),K$11)))</f>
        <v/>
      </c>
      <c r="D422" s="808" t="str">
        <f>IF(B436="","",INDEX(NXchung!$B$3:$EP$57,MATCH(B436,NXchung!$B$3:$B$57,0),INDEX($K$12:$N$25,MATCH($B422,$J$12:$J$25,0),L$11)))</f>
        <v/>
      </c>
      <c r="E422" s="805" t="str">
        <f>IF(B436="","",INDEX(NXchung!$B$3:$EP$57,MATCH(B436,NXchung!$B$3:$B$57,0),INDEX($K$12:$N$25,MATCH($B422,$J$12:$J$25,0),M$11)))</f>
        <v/>
      </c>
      <c r="F422" s="808" t="str">
        <f>IF(B436="","",INDEX(NXchung!$B$3:$EP$57,MATCH(B436,NXchung!$B$3:$B$57,0),INDEX($K$12:$N$25,MATCH($B422,$J$12:$J$25,0),N$11)))</f>
        <v/>
      </c>
      <c r="G422" s="805"/>
      <c r="I422" s="64"/>
      <c r="J422" s="64"/>
    </row>
    <row r="423" spans="1:10" ht="45.9" customHeight="1">
      <c r="A423" s="803" t="s">
        <v>196</v>
      </c>
      <c r="B423" s="813" t="s">
        <v>30</v>
      </c>
      <c r="C423" s="805" t="str">
        <f>IF(B436="","",INDEX(NXchung!$B$3:$EP$57,MATCH(B436,NXchung!$B$3:$B$57,0),INDEX($K$12:$N$25,MATCH($B423,$J$12:$J$25,0),K$11)))</f>
        <v/>
      </c>
      <c r="D423" s="808" t="str">
        <f>IF(B436="","",INDEX(NXchung!$B$3:$EP$57,MATCH(B436,NXchung!$B$3:$B$57,0),INDEX($K$12:$N$25,MATCH($B423,$J$12:$J$25,0),L$11)))</f>
        <v/>
      </c>
      <c r="E423" s="805" t="str">
        <f>IF(B436="","",INDEX(NXchung!$B$3:$EP$57,MATCH(B436,NXchung!$B$3:$B$57,0),INDEX($K$12:$N$25,MATCH($B423,$J$12:$J$25,0),M$11)))</f>
        <v/>
      </c>
      <c r="F423" s="808" t="str">
        <f>IF(B436="","",INDEX(NXchung!$B$3:$EP$57,MATCH(B436,NXchung!$B$3:$B$57,0),INDEX($K$12:$N$25,MATCH($B423,$J$12:$J$25,0),N$11)))</f>
        <v/>
      </c>
      <c r="G423" s="805"/>
      <c r="I423" s="64"/>
      <c r="J423" s="64"/>
    </row>
    <row r="424" spans="1:10" ht="45.9" customHeight="1">
      <c r="A424" s="803" t="s">
        <v>197</v>
      </c>
      <c r="B424" s="813" t="s">
        <v>31</v>
      </c>
      <c r="C424" s="805" t="str">
        <f>IF(B436="","",INDEX(NXchung!$B$3:$EP$57,MATCH(B436,NXchung!$B$3:$B$57,0),INDEX($K$12:$N$25,MATCH($B424,$J$12:$J$25,0),K$11)))</f>
        <v/>
      </c>
      <c r="D424" s="808" t="str">
        <f>IF(B436="","",INDEX(NXchung!$B$3:$EP$57,MATCH(B436,NXchung!$B$3:$B$57,0),INDEX($K$12:$N$25,MATCH($B424,$J$12:$J$25,0),L$11)))</f>
        <v/>
      </c>
      <c r="E424" s="805" t="str">
        <f>IF(B436="","",INDEX(NXchung!$B$3:$EP$57,MATCH(B436,NXchung!$B$3:$B$57,0),INDEX($K$12:$N$25,MATCH($B424,$J$12:$J$25,0),M$11)))</f>
        <v/>
      </c>
      <c r="F424" s="808" t="str">
        <f>IF(B436="","",INDEX(NXchung!$B$3:$EP$57,MATCH(B436,NXchung!$B$3:$B$57,0),INDEX($K$12:$N$25,MATCH($B424,$J$12:$J$25,0),N$11)))</f>
        <v/>
      </c>
      <c r="G424" s="805"/>
      <c r="I424" s="64"/>
      <c r="J424" s="64"/>
    </row>
    <row r="425" spans="1:10" ht="45.9" customHeight="1">
      <c r="A425" s="803" t="s">
        <v>198</v>
      </c>
      <c r="B425" s="813" t="s">
        <v>32</v>
      </c>
      <c r="C425" s="805" t="str">
        <f>IF(B436="","",INDEX(NXchung!$B$3:$EP$57,MATCH(B436,NXchung!$B$3:$B$57,0),INDEX($K$12:$N$25,MATCH($B425,$J$12:$J$25,0),K$11)))</f>
        <v/>
      </c>
      <c r="D425" s="808" t="str">
        <f>IF(B436="","",INDEX(NXchung!$B$3:$EP$57,MATCH(B436,NXchung!$B$3:$B$57,0),INDEX($K$12:$N$25,MATCH($B425,$J$12:$J$25,0),L$11)))</f>
        <v/>
      </c>
      <c r="E425" s="805" t="str">
        <f>IF(B436="","",INDEX(NXchung!$B$3:$EP$57,MATCH(B436,NXchung!$B$3:$B$57,0),INDEX($K$12:$N$25,MATCH($B425,$J$12:$J$25,0),M$11)))</f>
        <v/>
      </c>
      <c r="F425" s="808" t="str">
        <f>IF(B436="","",INDEX(NXchung!$B$3:$EP$57,MATCH(B436,NXchung!$B$3:$B$57,0),INDEX($K$12:$N$25,MATCH($B425,$J$12:$J$25,0),N$11)))</f>
        <v/>
      </c>
      <c r="G425" s="805"/>
      <c r="I425" s="64"/>
      <c r="J425" s="64"/>
    </row>
    <row r="426" spans="1:10" ht="45.9" customHeight="1">
      <c r="A426" s="803" t="s">
        <v>199</v>
      </c>
      <c r="B426" s="813" t="s">
        <v>33</v>
      </c>
      <c r="C426" s="805" t="str">
        <f>IF(B436="","",INDEX(NXchung!$B$3:$EP$57,MATCH(B436,NXchung!$B$3:$B$57,0),INDEX($K$12:$N$25,MATCH($B426,$J$12:$J$25,0),K$11)))</f>
        <v/>
      </c>
      <c r="D426" s="808" t="str">
        <f>IF(B436="","",INDEX(NXchung!$B$3:$EP$57,MATCH(B436,NXchung!$B$3:$B$57,0),INDEX($K$12:$N$25,MATCH($B426,$J$12:$J$25,0),L$11)))</f>
        <v/>
      </c>
      <c r="E426" s="805" t="str">
        <f>IF(B436="","",INDEX(NXchung!$B$3:$EP$57,MATCH(B436,NXchung!$B$3:$B$57,0),INDEX($K$12:$N$25,MATCH($B426,$J$12:$J$25,0),M$11)))</f>
        <v/>
      </c>
      <c r="F426" s="808" t="str">
        <f>IF(B436="","",INDEX(NXchung!$B$3:$EP$57,MATCH(B436,NXchung!$B$3:$B$57,0),INDEX($K$12:$N$25,MATCH($B426,$J$12:$J$25,0),N$11)))</f>
        <v/>
      </c>
      <c r="G426" s="805"/>
      <c r="I426" s="64"/>
      <c r="J426" s="64"/>
    </row>
    <row r="427" spans="1:10" ht="45.9" customHeight="1">
      <c r="A427" s="803" t="s">
        <v>200</v>
      </c>
      <c r="B427" s="813" t="s">
        <v>60</v>
      </c>
      <c r="C427" s="805" t="str">
        <f>IF(B436="","",INDEX(NXchung!$B$3:$EP$57,MATCH(B436,NXchung!$B$3:$B$57,0),INDEX($K$12:$N$25,MATCH($B427,$J$12:$J$25,0),K$11)))</f>
        <v/>
      </c>
      <c r="D427" s="808" t="str">
        <f>IF(B436="","",INDEX(NXchung!$B$3:$EP$57,MATCH(B436,NXchung!$B$3:$B$57,0),INDEX($K$12:$N$25,MATCH($B427,$J$12:$J$25,0),L$11)))</f>
        <v/>
      </c>
      <c r="E427" s="805" t="str">
        <f>IF(B436="","",INDEX(NXchung!$B$3:$EP$57,MATCH(B436,NXchung!$B$3:$B$57,0),INDEX($K$12:$N$25,MATCH($B427,$J$12:$J$25,0),M$11)))</f>
        <v/>
      </c>
      <c r="F427" s="808" t="str">
        <f>IF(B436="","",INDEX(NXchung!$B$3:$EP$57,MATCH(B436,NXchung!$B$3:$B$57,0),INDEX($K$12:$N$25,MATCH($B427,$J$12:$J$25,0),N$11)))</f>
        <v/>
      </c>
      <c r="G427" s="805"/>
      <c r="I427" s="64"/>
      <c r="J427" s="64"/>
    </row>
    <row r="428" spans="1:10" ht="45.9" customHeight="1">
      <c r="A428" s="803" t="s">
        <v>201</v>
      </c>
      <c r="B428" s="813" t="s">
        <v>34</v>
      </c>
      <c r="C428" s="805" t="str">
        <f>IF(B436="","",INDEX(NXchung!$B$3:$EP$57,MATCH(B436,NXchung!$B$3:$B$57,0),INDEX($K$12:$N$25,MATCH($B428,$J$12:$J$25,0),K$11)))</f>
        <v/>
      </c>
      <c r="D428" s="808" t="str">
        <f>IF(B436="","",INDEX(NXchung!$B$3:$EP$57,MATCH(B436,NXchung!$B$3:$B$57,0),INDEX($K$12:$N$25,MATCH($B428,$J$12:$J$25,0),L$11)))</f>
        <v/>
      </c>
      <c r="E428" s="805" t="str">
        <f>IF(B436="","",INDEX(NXchung!$B$3:$EP$57,MATCH(B436,NXchung!$B$3:$B$57,0),INDEX($K$12:$N$25,MATCH($B428,$J$12:$J$25,0),M$11)))</f>
        <v/>
      </c>
      <c r="F428" s="808" t="str">
        <f>IF(B436="","",INDEX(NXchung!$B$3:$EP$57,MATCH(B436,NXchung!$B$3:$B$57,0),INDEX($K$12:$N$25,MATCH($B428,$J$12:$J$25,0),N$11)))</f>
        <v/>
      </c>
      <c r="G428" s="805"/>
      <c r="I428" s="64"/>
      <c r="J428" s="64"/>
    </row>
    <row r="429" spans="1:10" ht="45.9" customHeight="1">
      <c r="A429" s="803" t="s">
        <v>202</v>
      </c>
      <c r="B429" s="813" t="s">
        <v>35</v>
      </c>
      <c r="C429" s="805" t="str">
        <f>IF(B436="","",INDEX(NXchung!$B$3:$EP$57,MATCH(B436,NXchung!$B$3:$B$57,0),INDEX($K$12:$N$25,MATCH($B429,$J$12:$J$25,0),K$11)))</f>
        <v/>
      </c>
      <c r="D429" s="808" t="str">
        <f>IF(B436="","",INDEX(NXchung!$B$3:$EP$57,MATCH(B436,NXchung!$B$3:$B$57,0),INDEX($K$12:$N$25,MATCH($B429,$J$12:$J$25,0),L$11)))</f>
        <v/>
      </c>
      <c r="E429" s="805" t="str">
        <f>IF(B436="","",INDEX(NXchung!$B$3:$EP$57,MATCH(B436,NXchung!$B$3:$B$57,0),INDEX($K$12:$N$25,MATCH($B429,$J$12:$J$25,0),M$11)))</f>
        <v>Đ</v>
      </c>
      <c r="F429" s="808" t="str">
        <f>IF(B436="","",INDEX(NXchung!$B$3:$EP$57,MATCH(B436,NXchung!$B$3:$B$57,0),INDEX($K$12:$N$25,MATCH($B429,$J$12:$J$25,0),N$11)))</f>
        <v>Giỏi, có nhiều tiến bộ trong học tập.</v>
      </c>
      <c r="G429" s="805"/>
      <c r="I429" s="64"/>
      <c r="J429" s="64"/>
    </row>
    <row r="430" spans="1:10" ht="45.9" customHeight="1">
      <c r="A430" s="803" t="s">
        <v>203</v>
      </c>
      <c r="B430" s="813" t="s">
        <v>121</v>
      </c>
      <c r="C430" s="805" t="str">
        <f>IF(B436="","",INDEX(NXchung!$B$3:$EP$57,MATCH(B436,NXchung!$B$3:$B$57,0),INDEX($K$12:$N$25,MATCH($B430,$J$12:$J$25,0),K$11)))</f>
        <v/>
      </c>
      <c r="D430" s="808" t="str">
        <f>IF(B436="","",INDEX(NXchung!$B$3:$EP$57,MATCH(B436,NXchung!$B$3:$B$57,0),INDEX($K$12:$N$25,MATCH($B430,$J$12:$J$25,0),L$11)))</f>
        <v/>
      </c>
      <c r="E430" s="805" t="str">
        <f>IF(B436="","",INDEX(NXchung!$B$3:$EP$57,MATCH(B436,NXchung!$B$3:$B$57,0),INDEX($K$12:$N$25,MATCH($B430,$J$12:$J$25,0),M$11)))</f>
        <v/>
      </c>
      <c r="F430" s="808" t="str">
        <f>IF(B436="","",INDEX(NXchung!$B$3:$EP$57,MATCH(B436,NXchung!$B$3:$B$57,0),INDEX($K$12:$N$25,MATCH($B430,$J$12:$J$25,0),N$11)))</f>
        <v/>
      </c>
      <c r="G430" s="805"/>
      <c r="I430" s="64"/>
      <c r="J430" s="64"/>
    </row>
    <row r="431" spans="1:10" ht="45.9" customHeight="1">
      <c r="A431" s="803" t="s">
        <v>204</v>
      </c>
      <c r="B431" s="813" t="s">
        <v>122</v>
      </c>
      <c r="C431" s="805" t="str">
        <f>IF(B436="","",INDEX(NXchung!$B$3:$EP$57,MATCH(B436,NXchung!$B$3:$B$57,0),INDEX($K$12:$N$25,MATCH($B431,$J$12:$J$25,0),K$11)))</f>
        <v/>
      </c>
      <c r="D431" s="808" t="str">
        <f>IF(B436="","",INDEX(NXchung!$B$3:$EP$57,MATCH(B436,NXchung!$B$3:$B$57,0),INDEX($K$12:$N$25,MATCH($B431,$J$12:$J$25,0),L$11)))</f>
        <v/>
      </c>
      <c r="E431" s="805" t="str">
        <f>IF(B436="","",INDEX(NXchung!$B$3:$EP$57,MATCH(B436,NXchung!$B$3:$B$57,0),INDEX($K$12:$N$25,MATCH($B431,$J$12:$J$25,0),M$11)))</f>
        <v/>
      </c>
      <c r="F431" s="808" t="str">
        <f>IF(B436="","",INDEX(NXchung!$B$3:$EP$57,MATCH(B436,NXchung!$B$3:$B$57,0),INDEX($K$12:$N$25,MATCH($B431,$J$12:$J$25,0),N$11)))</f>
        <v/>
      </c>
      <c r="G431" s="805"/>
      <c r="I431" s="64"/>
      <c r="J431" s="64"/>
    </row>
    <row r="432" spans="1:10" s="60" customFormat="1" ht="6" customHeight="1">
      <c r="A432" s="67"/>
      <c r="B432" s="67"/>
      <c r="C432" s="475"/>
      <c r="D432" s="475"/>
      <c r="E432" s="67"/>
      <c r="F432" s="67"/>
      <c r="G432" s="67"/>
    </row>
    <row r="433" spans="1:10" ht="17.25" customHeight="1">
      <c r="D433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433" s="1163"/>
      <c r="F433" s="1163"/>
      <c r="G433" s="1163"/>
      <c r="H433" s="814"/>
    </row>
    <row r="434" spans="1:10" ht="16.5" customHeight="1">
      <c r="D434" s="992" t="s">
        <v>377</v>
      </c>
      <c r="E434" s="992"/>
      <c r="F434" s="992"/>
      <c r="G434" s="992"/>
      <c r="H434" s="814"/>
    </row>
    <row r="435" spans="1:10" ht="81.75" customHeight="1">
      <c r="D435" s="931" t="str">
        <f>IF('Huong dan'!$E$5="","",'Huong dan'!$E$5)</f>
        <v/>
      </c>
      <c r="E435" s="931"/>
      <c r="F435" s="931"/>
      <c r="G435" s="931"/>
      <c r="H435" s="814"/>
    </row>
    <row r="436" spans="1:10" ht="11.25" customHeight="1">
      <c r="A436" s="75"/>
      <c r="B436" s="815">
        <f>IF(B407="","",IF(B407&lt;MAX(DiemHKII!$B$4:$B$58),B407+1,""))</f>
        <v>15</v>
      </c>
      <c r="C436" s="75"/>
      <c r="D436" s="75"/>
      <c r="E436" s="75"/>
      <c r="F436" s="75"/>
      <c r="G436" s="75"/>
    </row>
    <row r="437" spans="1:10" s="60" customFormat="1" ht="21" customHeight="1">
      <c r="A437" s="1128" t="str">
        <f>IF('Huong dan'!$E$3&lt;&gt;"","SỞ GIÁO DỤC VÀ ĐÀO TẠO "&amp;UPPER('Huong dan'!$E$3),"")</f>
        <v>SỞ GIÁO DỤC VÀ ĐÀO TẠO TP. HỒ CHÍ MINH</v>
      </c>
      <c r="B437" s="1128"/>
      <c r="C437" s="1128"/>
      <c r="D437" s="1128"/>
      <c r="E437" s="1129" t="s">
        <v>19</v>
      </c>
      <c r="F437" s="1129"/>
      <c r="G437" s="1129"/>
    </row>
    <row r="438" spans="1:10" ht="17.25" customHeight="1">
      <c r="A438" s="992" t="str">
        <f>IF('Huong dan'!$E$4&lt;&gt;"","TRƯỜNG "&amp;UPPER('Huong dan'!$E$4),"")</f>
        <v>TRƯỜNG THCS VÀ THPT NGUYỄN KHUYẾN</v>
      </c>
      <c r="B438" s="992"/>
      <c r="C438" s="992"/>
      <c r="D438" s="992"/>
      <c r="E438" s="1130" t="s">
        <v>179</v>
      </c>
      <c r="F438" s="1130"/>
      <c r="G438" s="1130"/>
    </row>
    <row r="439" spans="1:10" ht="15" customHeight="1">
      <c r="A439" s="69"/>
      <c r="B439" s="69"/>
      <c r="C439" s="30"/>
    </row>
    <row r="440" spans="1:10" ht="27.75" customHeight="1">
      <c r="A440" s="1013" t="s">
        <v>567</v>
      </c>
      <c r="B440" s="1013"/>
      <c r="C440" s="1013"/>
      <c r="D440" s="1013"/>
      <c r="E440" s="1013"/>
      <c r="F440" s="1013"/>
      <c r="G440" s="1013"/>
    </row>
    <row r="441" spans="1:10" ht="24" customHeight="1">
      <c r="A441" s="1013" t="str">
        <f>"HỌC KỲ II VÀ CẢ NĂM - NĂM HỌC "&amp;'Huong dan'!$C$5</f>
        <v>HỌC KỲ II VÀ CẢ NĂM - NĂM HỌC 2021 - 2022</v>
      </c>
      <c r="B441" s="1013"/>
      <c r="C441" s="1013"/>
      <c r="D441" s="1013"/>
      <c r="E441" s="1013"/>
      <c r="F441" s="1013"/>
      <c r="G441" s="1013"/>
    </row>
    <row r="442" spans="1:10" ht="9" customHeight="1">
      <c r="A442" s="70"/>
      <c r="B442" s="66"/>
      <c r="C442" s="66"/>
      <c r="D442" s="66"/>
      <c r="E442" s="66"/>
      <c r="F442" s="66"/>
      <c r="G442" s="66"/>
    </row>
    <row r="443" spans="1:10" ht="18.75" customHeight="1">
      <c r="A443" s="1167" t="s">
        <v>212</v>
      </c>
      <c r="B443" s="1167"/>
      <c r="C443" s="1167"/>
      <c r="D443" s="1167" t="str">
        <f>IF(B465="","",INDEX(NXchung!$B$3:$EP$57,MATCH(B465,NXchung!$B$3:$B$57,0),3)&amp;" "&amp;INDEX(NXchung!$B$3:$EP$57,MATCH(B465,NXchung!$B$3:$B$57,0),4))</f>
        <v>Trần Đăng Khải</v>
      </c>
      <c r="E443" s="1167"/>
      <c r="F443" s="77" t="str">
        <f>IF('Huong dan'!$C$3="","","Lớp: "&amp;'Huong dan'!$C$3)</f>
        <v>Lớp: 12A1</v>
      </c>
      <c r="G443" s="71"/>
    </row>
    <row r="444" spans="1:10" ht="18.75" customHeight="1">
      <c r="A444" s="1168" t="s">
        <v>213</v>
      </c>
      <c r="B444" s="1168"/>
      <c r="C444" s="1168"/>
      <c r="D444" s="77" t="str">
        <f>INDEX(NXchung!$B$3:$EP$57,MATCH(B465,NXchung!$B$3:$B$57,0),5)</f>
        <v>22/04/2004</v>
      </c>
      <c r="F444" s="841" t="str">
        <f>IF(B465="","","Nơi sinh: "&amp;INDEX(DiemHKII!$H$4:$H$58,MATCH(B465,DiemHKII!$B$4:$B$58,0),1))</f>
        <v xml:space="preserve">Nơi sinh: </v>
      </c>
      <c r="G444" s="77"/>
    </row>
    <row r="445" spans="1:10" ht="9.75" customHeight="1">
      <c r="A445" s="62"/>
      <c r="B445" s="62"/>
      <c r="C445" s="62"/>
      <c r="D445" s="62"/>
      <c r="E445" s="62"/>
      <c r="F445" s="62"/>
      <c r="G445" s="63"/>
    </row>
    <row r="446" spans="1:10" ht="31.5" customHeight="1">
      <c r="A446" s="801" t="s">
        <v>0</v>
      </c>
      <c r="B446" s="801" t="s">
        <v>59</v>
      </c>
      <c r="C446" s="806" t="s">
        <v>661</v>
      </c>
      <c r="D446" s="801" t="s">
        <v>296</v>
      </c>
      <c r="E446" s="806" t="s">
        <v>662</v>
      </c>
      <c r="F446" s="801" t="s">
        <v>361</v>
      </c>
      <c r="G446" s="802" t="s">
        <v>569</v>
      </c>
    </row>
    <row r="447" spans="1:10" ht="45.9" customHeight="1">
      <c r="A447" s="803" t="s">
        <v>191</v>
      </c>
      <c r="B447" s="813" t="s">
        <v>26</v>
      </c>
      <c r="C447" s="805" t="str">
        <f>IF(B465="","",INDEX(NXchung!$B$3:$EP$57,MATCH(B465,NXchung!$B$3:$B$57,0),INDEX($K$12:$N$25,MATCH($B447,$J$12:$J$25,0),K$11)))</f>
        <v/>
      </c>
      <c r="D447" s="808" t="str">
        <f>IF(B465="","",INDEX(NXchung!$B$3:$EP$57,MATCH(B465,NXchung!$B$3:$B$57,0),INDEX($K$12:$N$25,MATCH($B447,$J$12:$J$25,0),L$11)))</f>
        <v/>
      </c>
      <c r="E447" s="805" t="str">
        <f>IF(B465="","",INDEX(NXchung!$B$3:$EP$57,MATCH(B465,NXchung!$B$3:$B$57,0),INDEX($K$12:$N$25,MATCH($B447,$J$12:$J$25,0),M$11)))</f>
        <v/>
      </c>
      <c r="F447" s="808" t="str">
        <f>IF(B465="","",INDEX(NXchung!$B$3:$EP$57,MATCH(B465,NXchung!$B$3:$B$57,0),INDEX($K$12:$N$25,MATCH($B447,$J$12:$J$25,0),N$11)))</f>
        <v/>
      </c>
      <c r="G447" s="805"/>
      <c r="I447" s="64"/>
      <c r="J447" s="64"/>
    </row>
    <row r="448" spans="1:10" ht="45.9" customHeight="1">
      <c r="A448" s="803" t="s">
        <v>192</v>
      </c>
      <c r="B448" s="813" t="s">
        <v>27</v>
      </c>
      <c r="C448" s="805" t="str">
        <f>IF(B465="","",INDEX(NXchung!$B$3:$EP$57,MATCH(B465,NXchung!$B$3:$B$57,0),INDEX($K$12:$N$25,MATCH($B448,$J$12:$J$25,0),K$11)))</f>
        <v/>
      </c>
      <c r="D448" s="808" t="str">
        <f>IF(B465="","",INDEX(NXchung!$B$3:$EP$57,MATCH(B465,NXchung!$B$3:$B$57,0),INDEX($K$12:$N$25,MATCH($B448,$J$12:$J$25,0),L$11)))</f>
        <v/>
      </c>
      <c r="E448" s="805" t="str">
        <f>IF(B465="","",INDEX(NXchung!$B$3:$EP$57,MATCH(B465,NXchung!$B$3:$B$57,0),INDEX($K$12:$N$25,MATCH($B448,$J$12:$J$25,0),M$11)))</f>
        <v/>
      </c>
      <c r="F448" s="808" t="str">
        <f>IF(B465="","",INDEX(NXchung!$B$3:$EP$57,MATCH(B465,NXchung!$B$3:$B$57,0),INDEX($K$12:$N$25,MATCH($B448,$J$12:$J$25,0),N$11)))</f>
        <v/>
      </c>
      <c r="G448" s="805"/>
      <c r="I448" s="64"/>
      <c r="J448" s="64"/>
    </row>
    <row r="449" spans="1:10" ht="45.9" customHeight="1">
      <c r="A449" s="803" t="s">
        <v>193</v>
      </c>
      <c r="B449" s="813" t="s">
        <v>28</v>
      </c>
      <c r="C449" s="805" t="str">
        <f>IF(B465="","",INDEX(NXchung!$B$3:$EP$57,MATCH(B465,NXchung!$B$3:$B$57,0),INDEX($K$12:$N$25,MATCH($B449,$J$12:$J$25,0),K$11)))</f>
        <v/>
      </c>
      <c r="D449" s="808" t="str">
        <f>IF(B465="","",INDEX(NXchung!$B$3:$EP$57,MATCH(B465,NXchung!$B$3:$B$57,0),INDEX($K$12:$N$25,MATCH($B449,$J$12:$J$25,0),L$11)))</f>
        <v/>
      </c>
      <c r="E449" s="805" t="str">
        <f>IF(B465="","",INDEX(NXchung!$B$3:$EP$57,MATCH(B465,NXchung!$B$3:$B$57,0),INDEX($K$12:$N$25,MATCH($B449,$J$12:$J$25,0),M$11)))</f>
        <v/>
      </c>
      <c r="F449" s="808" t="str">
        <f>IF(B465="","",INDEX(NXchung!$B$3:$EP$57,MATCH(B465,NXchung!$B$3:$B$57,0),INDEX($K$12:$N$25,MATCH($B449,$J$12:$J$25,0),N$11)))</f>
        <v/>
      </c>
      <c r="G449" s="805"/>
      <c r="I449" s="64"/>
      <c r="J449" s="64"/>
    </row>
    <row r="450" spans="1:10" ht="45.9" customHeight="1">
      <c r="A450" s="803" t="s">
        <v>194</v>
      </c>
      <c r="B450" s="813" t="s">
        <v>29</v>
      </c>
      <c r="C450" s="805" t="str">
        <f>IF(B465="","",INDEX(NXchung!$B$3:$EP$57,MATCH(B465,NXchung!$B$3:$B$57,0),INDEX($K$12:$N$25,MATCH($B450,$J$12:$J$25,0),K$11)))</f>
        <v/>
      </c>
      <c r="D450" s="808" t="str">
        <f>IF(B465="","",INDEX(NXchung!$B$3:$EP$57,MATCH(B465,NXchung!$B$3:$B$57,0),INDEX($K$12:$N$25,MATCH($B450,$J$12:$J$25,0),L$11)))</f>
        <v/>
      </c>
      <c r="E450" s="805" t="str">
        <f>IF(B465="","",INDEX(NXchung!$B$3:$EP$57,MATCH(B465,NXchung!$B$3:$B$57,0),INDEX($K$12:$N$25,MATCH($B450,$J$12:$J$25,0),M$11)))</f>
        <v/>
      </c>
      <c r="F450" s="808" t="str">
        <f>IF(B465="","",INDEX(NXchung!$B$3:$EP$57,MATCH(B465,NXchung!$B$3:$B$57,0),INDEX($K$12:$N$25,MATCH($B450,$J$12:$J$25,0),N$11)))</f>
        <v/>
      </c>
      <c r="G450" s="805"/>
      <c r="I450" s="64"/>
      <c r="J450" s="64"/>
    </row>
    <row r="451" spans="1:10" ht="45.9" customHeight="1">
      <c r="A451" s="803" t="s">
        <v>195</v>
      </c>
      <c r="B451" s="813" t="s">
        <v>120</v>
      </c>
      <c r="C451" s="805" t="str">
        <f>IF(B465="","",INDEX(NXchung!$B$3:$EP$57,MATCH(B465,NXchung!$B$3:$B$57,0),INDEX($K$12:$N$25,MATCH($B451,$J$12:$J$25,0),K$11)))</f>
        <v/>
      </c>
      <c r="D451" s="808" t="str">
        <f>IF(B465="","",INDEX(NXchung!$B$3:$EP$57,MATCH(B465,NXchung!$B$3:$B$57,0),INDEX($K$12:$N$25,MATCH($B451,$J$12:$J$25,0),L$11)))</f>
        <v/>
      </c>
      <c r="E451" s="805" t="str">
        <f>IF(B465="","",INDEX(NXchung!$B$3:$EP$57,MATCH(B465,NXchung!$B$3:$B$57,0),INDEX($K$12:$N$25,MATCH($B451,$J$12:$J$25,0),M$11)))</f>
        <v/>
      </c>
      <c r="F451" s="808" t="str">
        <f>IF(B465="","",INDEX(NXchung!$B$3:$EP$57,MATCH(B465,NXchung!$B$3:$B$57,0),INDEX($K$12:$N$25,MATCH($B451,$J$12:$J$25,0),N$11)))</f>
        <v/>
      </c>
      <c r="G451" s="805"/>
      <c r="I451" s="64"/>
      <c r="J451" s="64"/>
    </row>
    <row r="452" spans="1:10" ht="45.9" customHeight="1">
      <c r="A452" s="803" t="s">
        <v>196</v>
      </c>
      <c r="B452" s="813" t="s">
        <v>30</v>
      </c>
      <c r="C452" s="805" t="str">
        <f>IF(B465="","",INDEX(NXchung!$B$3:$EP$57,MATCH(B465,NXchung!$B$3:$B$57,0),INDEX($K$12:$N$25,MATCH($B452,$J$12:$J$25,0),K$11)))</f>
        <v/>
      </c>
      <c r="D452" s="808" t="str">
        <f>IF(B465="","",INDEX(NXchung!$B$3:$EP$57,MATCH(B465,NXchung!$B$3:$B$57,0),INDEX($K$12:$N$25,MATCH($B452,$J$12:$J$25,0),L$11)))</f>
        <v/>
      </c>
      <c r="E452" s="805" t="str">
        <f>IF(B465="","",INDEX(NXchung!$B$3:$EP$57,MATCH(B465,NXchung!$B$3:$B$57,0),INDEX($K$12:$N$25,MATCH($B452,$J$12:$J$25,0),M$11)))</f>
        <v/>
      </c>
      <c r="F452" s="808" t="str">
        <f>IF(B465="","",INDEX(NXchung!$B$3:$EP$57,MATCH(B465,NXchung!$B$3:$B$57,0),INDEX($K$12:$N$25,MATCH($B452,$J$12:$J$25,0),N$11)))</f>
        <v/>
      </c>
      <c r="G452" s="805"/>
      <c r="I452" s="64"/>
      <c r="J452" s="64"/>
    </row>
    <row r="453" spans="1:10" ht="45.9" customHeight="1">
      <c r="A453" s="803" t="s">
        <v>197</v>
      </c>
      <c r="B453" s="813" t="s">
        <v>31</v>
      </c>
      <c r="C453" s="805" t="str">
        <f>IF(B465="","",INDEX(NXchung!$B$3:$EP$57,MATCH(B465,NXchung!$B$3:$B$57,0),INDEX($K$12:$N$25,MATCH($B453,$J$12:$J$25,0),K$11)))</f>
        <v/>
      </c>
      <c r="D453" s="808" t="str">
        <f>IF(B465="","",INDEX(NXchung!$B$3:$EP$57,MATCH(B465,NXchung!$B$3:$B$57,0),INDEX($K$12:$N$25,MATCH($B453,$J$12:$J$25,0),L$11)))</f>
        <v/>
      </c>
      <c r="E453" s="805" t="str">
        <f>IF(B465="","",INDEX(NXchung!$B$3:$EP$57,MATCH(B465,NXchung!$B$3:$B$57,0),INDEX($K$12:$N$25,MATCH($B453,$J$12:$J$25,0),M$11)))</f>
        <v/>
      </c>
      <c r="F453" s="808" t="str">
        <f>IF(B465="","",INDEX(NXchung!$B$3:$EP$57,MATCH(B465,NXchung!$B$3:$B$57,0),INDEX($K$12:$N$25,MATCH($B453,$J$12:$J$25,0),N$11)))</f>
        <v/>
      </c>
      <c r="G453" s="805"/>
      <c r="I453" s="64"/>
      <c r="J453" s="64"/>
    </row>
    <row r="454" spans="1:10" ht="45.9" customHeight="1">
      <c r="A454" s="803" t="s">
        <v>198</v>
      </c>
      <c r="B454" s="813" t="s">
        <v>32</v>
      </c>
      <c r="C454" s="805" t="str">
        <f>IF(B465="","",INDEX(NXchung!$B$3:$EP$57,MATCH(B465,NXchung!$B$3:$B$57,0),INDEX($K$12:$N$25,MATCH($B454,$J$12:$J$25,0),K$11)))</f>
        <v/>
      </c>
      <c r="D454" s="808" t="str">
        <f>IF(B465="","",INDEX(NXchung!$B$3:$EP$57,MATCH(B465,NXchung!$B$3:$B$57,0),INDEX($K$12:$N$25,MATCH($B454,$J$12:$J$25,0),L$11)))</f>
        <v/>
      </c>
      <c r="E454" s="805" t="str">
        <f>IF(B465="","",INDEX(NXchung!$B$3:$EP$57,MATCH(B465,NXchung!$B$3:$B$57,0),INDEX($K$12:$N$25,MATCH($B454,$J$12:$J$25,0),M$11)))</f>
        <v/>
      </c>
      <c r="F454" s="808" t="str">
        <f>IF(B465="","",INDEX(NXchung!$B$3:$EP$57,MATCH(B465,NXchung!$B$3:$B$57,0),INDEX($K$12:$N$25,MATCH($B454,$J$12:$J$25,0),N$11)))</f>
        <v/>
      </c>
      <c r="G454" s="805"/>
      <c r="I454" s="64"/>
      <c r="J454" s="64"/>
    </row>
    <row r="455" spans="1:10" ht="45.9" customHeight="1">
      <c r="A455" s="803" t="s">
        <v>199</v>
      </c>
      <c r="B455" s="813" t="s">
        <v>33</v>
      </c>
      <c r="C455" s="805" t="str">
        <f>IF(B465="","",INDEX(NXchung!$B$3:$EP$57,MATCH(B465,NXchung!$B$3:$B$57,0),INDEX($K$12:$N$25,MATCH($B455,$J$12:$J$25,0),K$11)))</f>
        <v/>
      </c>
      <c r="D455" s="808" t="str">
        <f>IF(B465="","",INDEX(NXchung!$B$3:$EP$57,MATCH(B465,NXchung!$B$3:$B$57,0),INDEX($K$12:$N$25,MATCH($B455,$J$12:$J$25,0),L$11)))</f>
        <v/>
      </c>
      <c r="E455" s="805" t="str">
        <f>IF(B465="","",INDEX(NXchung!$B$3:$EP$57,MATCH(B465,NXchung!$B$3:$B$57,0),INDEX($K$12:$N$25,MATCH($B455,$J$12:$J$25,0),M$11)))</f>
        <v/>
      </c>
      <c r="F455" s="808" t="str">
        <f>IF(B465="","",INDEX(NXchung!$B$3:$EP$57,MATCH(B465,NXchung!$B$3:$B$57,0),INDEX($K$12:$N$25,MATCH($B455,$J$12:$J$25,0),N$11)))</f>
        <v/>
      </c>
      <c r="G455" s="805"/>
      <c r="I455" s="64"/>
      <c r="J455" s="64"/>
    </row>
    <row r="456" spans="1:10" ht="45.9" customHeight="1">
      <c r="A456" s="803" t="s">
        <v>200</v>
      </c>
      <c r="B456" s="813" t="s">
        <v>60</v>
      </c>
      <c r="C456" s="805" t="str">
        <f>IF(B465="","",INDEX(NXchung!$B$3:$EP$57,MATCH(B465,NXchung!$B$3:$B$57,0),INDEX($K$12:$N$25,MATCH($B456,$J$12:$J$25,0),K$11)))</f>
        <v/>
      </c>
      <c r="D456" s="808" t="str">
        <f>IF(B465="","",INDEX(NXchung!$B$3:$EP$57,MATCH(B465,NXchung!$B$3:$B$57,0),INDEX($K$12:$N$25,MATCH($B456,$J$12:$J$25,0),L$11)))</f>
        <v/>
      </c>
      <c r="E456" s="805" t="str">
        <f>IF(B465="","",INDEX(NXchung!$B$3:$EP$57,MATCH(B465,NXchung!$B$3:$B$57,0),INDEX($K$12:$N$25,MATCH($B456,$J$12:$J$25,0),M$11)))</f>
        <v/>
      </c>
      <c r="F456" s="808" t="str">
        <f>IF(B465="","",INDEX(NXchung!$B$3:$EP$57,MATCH(B465,NXchung!$B$3:$B$57,0),INDEX($K$12:$N$25,MATCH($B456,$J$12:$J$25,0),N$11)))</f>
        <v/>
      </c>
      <c r="G456" s="805"/>
      <c r="I456" s="64"/>
      <c r="J456" s="64"/>
    </row>
    <row r="457" spans="1:10" ht="45.9" customHeight="1">
      <c r="A457" s="803" t="s">
        <v>201</v>
      </c>
      <c r="B457" s="813" t="s">
        <v>34</v>
      </c>
      <c r="C457" s="805" t="str">
        <f>IF(B465="","",INDEX(NXchung!$B$3:$EP$57,MATCH(B465,NXchung!$B$3:$B$57,0),INDEX($K$12:$N$25,MATCH($B457,$J$12:$J$25,0),K$11)))</f>
        <v/>
      </c>
      <c r="D457" s="808" t="str">
        <f>IF(B465="","",INDEX(NXchung!$B$3:$EP$57,MATCH(B465,NXchung!$B$3:$B$57,0),INDEX($K$12:$N$25,MATCH($B457,$J$12:$J$25,0),L$11)))</f>
        <v/>
      </c>
      <c r="E457" s="805" t="str">
        <f>IF(B465="","",INDEX(NXchung!$B$3:$EP$57,MATCH(B465,NXchung!$B$3:$B$57,0),INDEX($K$12:$N$25,MATCH($B457,$J$12:$J$25,0),M$11)))</f>
        <v/>
      </c>
      <c r="F457" s="808" t="str">
        <f>IF(B465="","",INDEX(NXchung!$B$3:$EP$57,MATCH(B465,NXchung!$B$3:$B$57,0),INDEX($K$12:$N$25,MATCH($B457,$J$12:$J$25,0),N$11)))</f>
        <v/>
      </c>
      <c r="G457" s="805"/>
      <c r="I457" s="64"/>
      <c r="J457" s="64"/>
    </row>
    <row r="458" spans="1:10" ht="45.9" customHeight="1">
      <c r="A458" s="803" t="s">
        <v>202</v>
      </c>
      <c r="B458" s="813" t="s">
        <v>35</v>
      </c>
      <c r="C458" s="805" t="str">
        <f>IF(B465="","",INDEX(NXchung!$B$3:$EP$57,MATCH(B465,NXchung!$B$3:$B$57,0),INDEX($K$12:$N$25,MATCH($B458,$J$12:$J$25,0),K$11)))</f>
        <v/>
      </c>
      <c r="D458" s="808" t="str">
        <f>IF(B465="","",INDEX(NXchung!$B$3:$EP$57,MATCH(B465,NXchung!$B$3:$B$57,0),INDEX($K$12:$N$25,MATCH($B458,$J$12:$J$25,0),L$11)))</f>
        <v/>
      </c>
      <c r="E458" s="805" t="str">
        <f>IF(B465="","",INDEX(NXchung!$B$3:$EP$57,MATCH(B465,NXchung!$B$3:$B$57,0),INDEX($K$12:$N$25,MATCH($B458,$J$12:$J$25,0),M$11)))</f>
        <v>Đ</v>
      </c>
      <c r="F458" s="808" t="str">
        <f>IF(B465="","",INDEX(NXchung!$B$3:$EP$57,MATCH(B465,NXchung!$B$3:$B$57,0),INDEX($K$12:$N$25,MATCH($B458,$J$12:$J$25,0),N$11)))</f>
        <v>Rất ngoan, học có hiệu quả tốt.</v>
      </c>
      <c r="G458" s="805"/>
      <c r="I458" s="64"/>
      <c r="J458" s="64"/>
    </row>
    <row r="459" spans="1:10" ht="45.9" customHeight="1">
      <c r="A459" s="803" t="s">
        <v>203</v>
      </c>
      <c r="B459" s="813" t="s">
        <v>121</v>
      </c>
      <c r="C459" s="805" t="str">
        <f>IF(B465="","",INDEX(NXchung!$B$3:$EP$57,MATCH(B465,NXchung!$B$3:$B$57,0),INDEX($K$12:$N$25,MATCH($B459,$J$12:$J$25,0),K$11)))</f>
        <v/>
      </c>
      <c r="D459" s="808" t="str">
        <f>IF(B465="","",INDEX(NXchung!$B$3:$EP$57,MATCH(B465,NXchung!$B$3:$B$57,0),INDEX($K$12:$N$25,MATCH($B459,$J$12:$J$25,0),L$11)))</f>
        <v/>
      </c>
      <c r="E459" s="805" t="str">
        <f>IF(B465="","",INDEX(NXchung!$B$3:$EP$57,MATCH(B465,NXchung!$B$3:$B$57,0),INDEX($K$12:$N$25,MATCH($B459,$J$12:$J$25,0),M$11)))</f>
        <v/>
      </c>
      <c r="F459" s="808" t="str">
        <f>IF(B465="","",INDEX(NXchung!$B$3:$EP$57,MATCH(B465,NXchung!$B$3:$B$57,0),INDEX($K$12:$N$25,MATCH($B459,$J$12:$J$25,0),N$11)))</f>
        <v/>
      </c>
      <c r="G459" s="805"/>
      <c r="I459" s="64"/>
      <c r="J459" s="64"/>
    </row>
    <row r="460" spans="1:10" ht="45.9" customHeight="1">
      <c r="A460" s="803" t="s">
        <v>204</v>
      </c>
      <c r="B460" s="813" t="s">
        <v>122</v>
      </c>
      <c r="C460" s="805" t="str">
        <f>IF(B465="","",INDEX(NXchung!$B$3:$EP$57,MATCH(B465,NXchung!$B$3:$B$57,0),INDEX($K$12:$N$25,MATCH($B460,$J$12:$J$25,0),K$11)))</f>
        <v/>
      </c>
      <c r="D460" s="808" t="str">
        <f>IF(B465="","",INDEX(NXchung!$B$3:$EP$57,MATCH(B465,NXchung!$B$3:$B$57,0),INDEX($K$12:$N$25,MATCH($B460,$J$12:$J$25,0),L$11)))</f>
        <v/>
      </c>
      <c r="E460" s="805" t="str">
        <f>IF(B465="","",INDEX(NXchung!$B$3:$EP$57,MATCH(B465,NXchung!$B$3:$B$57,0),INDEX($K$12:$N$25,MATCH($B460,$J$12:$J$25,0),M$11)))</f>
        <v/>
      </c>
      <c r="F460" s="808" t="str">
        <f>IF(B465="","",INDEX(NXchung!$B$3:$EP$57,MATCH(B465,NXchung!$B$3:$B$57,0),INDEX($K$12:$N$25,MATCH($B460,$J$12:$J$25,0),N$11)))</f>
        <v/>
      </c>
      <c r="G460" s="805"/>
      <c r="I460" s="64"/>
      <c r="J460" s="64"/>
    </row>
    <row r="461" spans="1:10" s="60" customFormat="1" ht="6" customHeight="1">
      <c r="A461" s="67"/>
      <c r="B461" s="67"/>
      <c r="C461" s="475"/>
      <c r="D461" s="475"/>
      <c r="E461" s="67"/>
      <c r="F461" s="67"/>
      <c r="G461" s="67"/>
    </row>
    <row r="462" spans="1:10" ht="17.25" customHeight="1">
      <c r="D462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462" s="1163"/>
      <c r="F462" s="1163"/>
      <c r="G462" s="1163"/>
      <c r="H462" s="814"/>
    </row>
    <row r="463" spans="1:10" ht="16.5" customHeight="1">
      <c r="D463" s="992" t="s">
        <v>377</v>
      </c>
      <c r="E463" s="992"/>
      <c r="F463" s="992"/>
      <c r="G463" s="992"/>
      <c r="H463" s="814"/>
    </row>
    <row r="464" spans="1:10" ht="81.75" customHeight="1">
      <c r="D464" s="931" t="str">
        <f>IF('Huong dan'!$E$5="","",'Huong dan'!$E$5)</f>
        <v/>
      </c>
      <c r="E464" s="931"/>
      <c r="F464" s="931"/>
      <c r="G464" s="931"/>
      <c r="H464" s="814"/>
    </row>
    <row r="465" spans="1:10" ht="11.25" customHeight="1">
      <c r="A465" s="75"/>
      <c r="B465" s="815">
        <f>IF(B436="","",IF(B436&lt;MAX(DiemHKII!$B$4:$B$58),B436+1,""))</f>
        <v>16</v>
      </c>
      <c r="C465" s="75"/>
      <c r="D465" s="75"/>
      <c r="E465" s="75"/>
      <c r="F465" s="75"/>
      <c r="G465" s="75"/>
    </row>
    <row r="466" spans="1:10" s="60" customFormat="1" ht="21" customHeight="1">
      <c r="A466" s="1128" t="str">
        <f>IF('Huong dan'!$E$3&lt;&gt;"","SỞ GIÁO DỤC VÀ ĐÀO TẠO "&amp;UPPER('Huong dan'!$E$3),"")</f>
        <v>SỞ GIÁO DỤC VÀ ĐÀO TẠO TP. HỒ CHÍ MINH</v>
      </c>
      <c r="B466" s="1128"/>
      <c r="C466" s="1128"/>
      <c r="D466" s="1128"/>
      <c r="E466" s="1129" t="s">
        <v>19</v>
      </c>
      <c r="F466" s="1129"/>
      <c r="G466" s="1129"/>
    </row>
    <row r="467" spans="1:10" ht="17.25" customHeight="1">
      <c r="A467" s="992" t="str">
        <f>IF('Huong dan'!$E$4&lt;&gt;"","TRƯỜNG "&amp;UPPER('Huong dan'!$E$4),"")</f>
        <v>TRƯỜNG THCS VÀ THPT NGUYỄN KHUYẾN</v>
      </c>
      <c r="B467" s="992"/>
      <c r="C467" s="992"/>
      <c r="D467" s="992"/>
      <c r="E467" s="1130" t="s">
        <v>179</v>
      </c>
      <c r="F467" s="1130"/>
      <c r="G467" s="1130"/>
    </row>
    <row r="468" spans="1:10" ht="15" customHeight="1">
      <c r="A468" s="69"/>
      <c r="B468" s="69"/>
      <c r="C468" s="30"/>
    </row>
    <row r="469" spans="1:10" ht="27.75" customHeight="1">
      <c r="A469" s="1013" t="s">
        <v>567</v>
      </c>
      <c r="B469" s="1013"/>
      <c r="C469" s="1013"/>
      <c r="D469" s="1013"/>
      <c r="E469" s="1013"/>
      <c r="F469" s="1013"/>
      <c r="G469" s="1013"/>
    </row>
    <row r="470" spans="1:10" ht="24" customHeight="1">
      <c r="A470" s="1013" t="str">
        <f>"HỌC KỲ II VÀ CẢ NĂM - NĂM HỌC "&amp;'Huong dan'!$C$5</f>
        <v>HỌC KỲ II VÀ CẢ NĂM - NĂM HỌC 2021 - 2022</v>
      </c>
      <c r="B470" s="1013"/>
      <c r="C470" s="1013"/>
      <c r="D470" s="1013"/>
      <c r="E470" s="1013"/>
      <c r="F470" s="1013"/>
      <c r="G470" s="1013"/>
    </row>
    <row r="471" spans="1:10" ht="9" customHeight="1">
      <c r="A471" s="70"/>
      <c r="B471" s="66"/>
      <c r="C471" s="66"/>
      <c r="D471" s="66"/>
      <c r="E471" s="66"/>
      <c r="F471" s="66"/>
      <c r="G471" s="66"/>
    </row>
    <row r="472" spans="1:10" ht="18.75" customHeight="1">
      <c r="A472" s="1167" t="s">
        <v>212</v>
      </c>
      <c r="B472" s="1167"/>
      <c r="C472" s="1167"/>
      <c r="D472" s="1167" t="str">
        <f>IF(B494="","",INDEX(NXchung!$B$3:$EP$57,MATCH(B494,NXchung!$B$3:$B$57,0),3)&amp;" "&amp;INDEX(NXchung!$B$3:$EP$57,MATCH(B494,NXchung!$B$3:$B$57,0),4))</f>
        <v>Nguyễn Huỳnh Phúc Khang</v>
      </c>
      <c r="E472" s="1167"/>
      <c r="F472" s="77" t="str">
        <f>IF('Huong dan'!$C$3="","","Lớp: "&amp;'Huong dan'!$C$3)</f>
        <v>Lớp: 12A1</v>
      </c>
      <c r="G472" s="71"/>
    </row>
    <row r="473" spans="1:10" ht="18.75" customHeight="1">
      <c r="A473" s="1168" t="s">
        <v>213</v>
      </c>
      <c r="B473" s="1168"/>
      <c r="C473" s="1168"/>
      <c r="D473" s="77" t="str">
        <f>INDEX(NXchung!$B$3:$EP$57,MATCH(B494,NXchung!$B$3:$B$57,0),5)</f>
        <v>14/12/2004</v>
      </c>
      <c r="F473" s="841" t="str">
        <f>IF(B494="","","Nơi sinh: "&amp;INDEX(DiemHKII!$H$4:$H$58,MATCH(B494,DiemHKII!$B$4:$B$58,0),1))</f>
        <v xml:space="preserve">Nơi sinh: </v>
      </c>
      <c r="G473" s="77"/>
    </row>
    <row r="474" spans="1:10" ht="9.75" customHeight="1">
      <c r="A474" s="62"/>
      <c r="B474" s="62"/>
      <c r="C474" s="62"/>
      <c r="D474" s="62"/>
      <c r="E474" s="62"/>
      <c r="F474" s="62"/>
      <c r="G474" s="63"/>
    </row>
    <row r="475" spans="1:10" ht="31.5" customHeight="1">
      <c r="A475" s="801" t="s">
        <v>0</v>
      </c>
      <c r="B475" s="801" t="s">
        <v>59</v>
      </c>
      <c r="C475" s="806" t="s">
        <v>661</v>
      </c>
      <c r="D475" s="801" t="s">
        <v>296</v>
      </c>
      <c r="E475" s="806" t="s">
        <v>662</v>
      </c>
      <c r="F475" s="801" t="s">
        <v>361</v>
      </c>
      <c r="G475" s="802" t="s">
        <v>569</v>
      </c>
    </row>
    <row r="476" spans="1:10" ht="45.9" customHeight="1">
      <c r="A476" s="803" t="s">
        <v>191</v>
      </c>
      <c r="B476" s="813" t="s">
        <v>26</v>
      </c>
      <c r="C476" s="805" t="str">
        <f>IF(B494="","",INDEX(NXchung!$B$3:$EP$57,MATCH(B494,NXchung!$B$3:$B$57,0),INDEX($K$12:$N$25,MATCH($B476,$J$12:$J$25,0),K$11)))</f>
        <v/>
      </c>
      <c r="D476" s="808" t="str">
        <f>IF(B494="","",INDEX(NXchung!$B$3:$EP$57,MATCH(B494,NXchung!$B$3:$B$57,0),INDEX($K$12:$N$25,MATCH($B476,$J$12:$J$25,0),L$11)))</f>
        <v/>
      </c>
      <c r="E476" s="805" t="str">
        <f>IF(B494="","",INDEX(NXchung!$B$3:$EP$57,MATCH(B494,NXchung!$B$3:$B$57,0),INDEX($K$12:$N$25,MATCH($B476,$J$12:$J$25,0),M$11)))</f>
        <v/>
      </c>
      <c r="F476" s="808" t="str">
        <f>IF(B494="","",INDEX(NXchung!$B$3:$EP$57,MATCH(B494,NXchung!$B$3:$B$57,0),INDEX($K$12:$N$25,MATCH($B476,$J$12:$J$25,0),N$11)))</f>
        <v/>
      </c>
      <c r="G476" s="805"/>
      <c r="I476" s="64"/>
      <c r="J476" s="64"/>
    </row>
    <row r="477" spans="1:10" ht="45.9" customHeight="1">
      <c r="A477" s="803" t="s">
        <v>192</v>
      </c>
      <c r="B477" s="813" t="s">
        <v>27</v>
      </c>
      <c r="C477" s="805" t="str">
        <f>IF(B494="","",INDEX(NXchung!$B$3:$EP$57,MATCH(B494,NXchung!$B$3:$B$57,0),INDEX($K$12:$N$25,MATCH($B477,$J$12:$J$25,0),K$11)))</f>
        <v/>
      </c>
      <c r="D477" s="808" t="str">
        <f>IF(B494="","",INDEX(NXchung!$B$3:$EP$57,MATCH(B494,NXchung!$B$3:$B$57,0),INDEX($K$12:$N$25,MATCH($B477,$J$12:$J$25,0),L$11)))</f>
        <v/>
      </c>
      <c r="E477" s="805" t="str">
        <f>IF(B494="","",INDEX(NXchung!$B$3:$EP$57,MATCH(B494,NXchung!$B$3:$B$57,0),INDEX($K$12:$N$25,MATCH($B477,$J$12:$J$25,0),M$11)))</f>
        <v/>
      </c>
      <c r="F477" s="808" t="str">
        <f>IF(B494="","",INDEX(NXchung!$B$3:$EP$57,MATCH(B494,NXchung!$B$3:$B$57,0),INDEX($K$12:$N$25,MATCH($B477,$J$12:$J$25,0),N$11)))</f>
        <v/>
      </c>
      <c r="G477" s="805"/>
      <c r="I477" s="64"/>
      <c r="J477" s="64"/>
    </row>
    <row r="478" spans="1:10" ht="45.9" customHeight="1">
      <c r="A478" s="803" t="s">
        <v>193</v>
      </c>
      <c r="B478" s="813" t="s">
        <v>28</v>
      </c>
      <c r="C478" s="805" t="str">
        <f>IF(B494="","",INDEX(NXchung!$B$3:$EP$57,MATCH(B494,NXchung!$B$3:$B$57,0),INDEX($K$12:$N$25,MATCH($B478,$J$12:$J$25,0),K$11)))</f>
        <v/>
      </c>
      <c r="D478" s="808" t="str">
        <f>IF(B494="","",INDEX(NXchung!$B$3:$EP$57,MATCH(B494,NXchung!$B$3:$B$57,0),INDEX($K$12:$N$25,MATCH($B478,$J$12:$J$25,0),L$11)))</f>
        <v/>
      </c>
      <c r="E478" s="805" t="str">
        <f>IF(B494="","",INDEX(NXchung!$B$3:$EP$57,MATCH(B494,NXchung!$B$3:$B$57,0),INDEX($K$12:$N$25,MATCH($B478,$J$12:$J$25,0),M$11)))</f>
        <v/>
      </c>
      <c r="F478" s="808" t="str">
        <f>IF(B494="","",INDEX(NXchung!$B$3:$EP$57,MATCH(B494,NXchung!$B$3:$B$57,0),INDEX($K$12:$N$25,MATCH($B478,$J$12:$J$25,0),N$11)))</f>
        <v/>
      </c>
      <c r="G478" s="805"/>
      <c r="I478" s="64"/>
      <c r="J478" s="64"/>
    </row>
    <row r="479" spans="1:10" ht="45.9" customHeight="1">
      <c r="A479" s="803" t="s">
        <v>194</v>
      </c>
      <c r="B479" s="813" t="s">
        <v>29</v>
      </c>
      <c r="C479" s="805" t="str">
        <f>IF(B494="","",INDEX(NXchung!$B$3:$EP$57,MATCH(B494,NXchung!$B$3:$B$57,0),INDEX($K$12:$N$25,MATCH($B479,$J$12:$J$25,0),K$11)))</f>
        <v/>
      </c>
      <c r="D479" s="808" t="str">
        <f>IF(B494="","",INDEX(NXchung!$B$3:$EP$57,MATCH(B494,NXchung!$B$3:$B$57,0),INDEX($K$12:$N$25,MATCH($B479,$J$12:$J$25,0),L$11)))</f>
        <v/>
      </c>
      <c r="E479" s="805" t="str">
        <f>IF(B494="","",INDEX(NXchung!$B$3:$EP$57,MATCH(B494,NXchung!$B$3:$B$57,0),INDEX($K$12:$N$25,MATCH($B479,$J$12:$J$25,0),M$11)))</f>
        <v/>
      </c>
      <c r="F479" s="808" t="str">
        <f>IF(B494="","",INDEX(NXchung!$B$3:$EP$57,MATCH(B494,NXchung!$B$3:$B$57,0),INDEX($K$12:$N$25,MATCH($B479,$J$12:$J$25,0),N$11)))</f>
        <v/>
      </c>
      <c r="G479" s="805"/>
      <c r="I479" s="64"/>
      <c r="J479" s="64"/>
    </row>
    <row r="480" spans="1:10" ht="45.9" customHeight="1">
      <c r="A480" s="803" t="s">
        <v>195</v>
      </c>
      <c r="B480" s="813" t="s">
        <v>120</v>
      </c>
      <c r="C480" s="805" t="str">
        <f>IF(B494="","",INDEX(NXchung!$B$3:$EP$57,MATCH(B494,NXchung!$B$3:$B$57,0),INDEX($K$12:$N$25,MATCH($B480,$J$12:$J$25,0),K$11)))</f>
        <v/>
      </c>
      <c r="D480" s="808" t="str">
        <f>IF(B494="","",INDEX(NXchung!$B$3:$EP$57,MATCH(B494,NXchung!$B$3:$B$57,0),INDEX($K$12:$N$25,MATCH($B480,$J$12:$J$25,0),L$11)))</f>
        <v/>
      </c>
      <c r="E480" s="805" t="str">
        <f>IF(B494="","",INDEX(NXchung!$B$3:$EP$57,MATCH(B494,NXchung!$B$3:$B$57,0),INDEX($K$12:$N$25,MATCH($B480,$J$12:$J$25,0),M$11)))</f>
        <v/>
      </c>
      <c r="F480" s="808" t="str">
        <f>IF(B494="","",INDEX(NXchung!$B$3:$EP$57,MATCH(B494,NXchung!$B$3:$B$57,0),INDEX($K$12:$N$25,MATCH($B480,$J$12:$J$25,0),N$11)))</f>
        <v/>
      </c>
      <c r="G480" s="805"/>
      <c r="I480" s="64"/>
      <c r="J480" s="64"/>
    </row>
    <row r="481" spans="1:10" ht="45.9" customHeight="1">
      <c r="A481" s="803" t="s">
        <v>196</v>
      </c>
      <c r="B481" s="813" t="s">
        <v>30</v>
      </c>
      <c r="C481" s="805" t="str">
        <f>IF(B494="","",INDEX(NXchung!$B$3:$EP$57,MATCH(B494,NXchung!$B$3:$B$57,0),INDEX($K$12:$N$25,MATCH($B481,$J$12:$J$25,0),K$11)))</f>
        <v/>
      </c>
      <c r="D481" s="808" t="str">
        <f>IF(B494="","",INDEX(NXchung!$B$3:$EP$57,MATCH(B494,NXchung!$B$3:$B$57,0),INDEX($K$12:$N$25,MATCH($B481,$J$12:$J$25,0),L$11)))</f>
        <v/>
      </c>
      <c r="E481" s="805" t="str">
        <f>IF(B494="","",INDEX(NXchung!$B$3:$EP$57,MATCH(B494,NXchung!$B$3:$B$57,0),INDEX($K$12:$N$25,MATCH($B481,$J$12:$J$25,0),M$11)))</f>
        <v/>
      </c>
      <c r="F481" s="808" t="str">
        <f>IF(B494="","",INDEX(NXchung!$B$3:$EP$57,MATCH(B494,NXchung!$B$3:$B$57,0),INDEX($K$12:$N$25,MATCH($B481,$J$12:$J$25,0),N$11)))</f>
        <v/>
      </c>
      <c r="G481" s="805"/>
      <c r="I481" s="64"/>
      <c r="J481" s="64"/>
    </row>
    <row r="482" spans="1:10" ht="45.9" customHeight="1">
      <c r="A482" s="803" t="s">
        <v>197</v>
      </c>
      <c r="B482" s="813" t="s">
        <v>31</v>
      </c>
      <c r="C482" s="805" t="str">
        <f>IF(B494="","",INDEX(NXchung!$B$3:$EP$57,MATCH(B494,NXchung!$B$3:$B$57,0),INDEX($K$12:$N$25,MATCH($B482,$J$12:$J$25,0),K$11)))</f>
        <v/>
      </c>
      <c r="D482" s="808" t="str">
        <f>IF(B494="","",INDEX(NXchung!$B$3:$EP$57,MATCH(B494,NXchung!$B$3:$B$57,0),INDEX($K$12:$N$25,MATCH($B482,$J$12:$J$25,0),L$11)))</f>
        <v/>
      </c>
      <c r="E482" s="805" t="str">
        <f>IF(B494="","",INDEX(NXchung!$B$3:$EP$57,MATCH(B494,NXchung!$B$3:$B$57,0),INDEX($K$12:$N$25,MATCH($B482,$J$12:$J$25,0),M$11)))</f>
        <v/>
      </c>
      <c r="F482" s="808" t="str">
        <f>IF(B494="","",INDEX(NXchung!$B$3:$EP$57,MATCH(B494,NXchung!$B$3:$B$57,0),INDEX($K$12:$N$25,MATCH($B482,$J$12:$J$25,0),N$11)))</f>
        <v/>
      </c>
      <c r="G482" s="805"/>
      <c r="I482" s="64"/>
      <c r="J482" s="64"/>
    </row>
    <row r="483" spans="1:10" ht="45.9" customHeight="1">
      <c r="A483" s="803" t="s">
        <v>198</v>
      </c>
      <c r="B483" s="813" t="s">
        <v>32</v>
      </c>
      <c r="C483" s="805" t="str">
        <f>IF(B494="","",INDEX(NXchung!$B$3:$EP$57,MATCH(B494,NXchung!$B$3:$B$57,0),INDEX($K$12:$N$25,MATCH($B483,$J$12:$J$25,0),K$11)))</f>
        <v/>
      </c>
      <c r="D483" s="808" t="str">
        <f>IF(B494="","",INDEX(NXchung!$B$3:$EP$57,MATCH(B494,NXchung!$B$3:$B$57,0),INDEX($K$12:$N$25,MATCH($B483,$J$12:$J$25,0),L$11)))</f>
        <v/>
      </c>
      <c r="E483" s="805" t="str">
        <f>IF(B494="","",INDEX(NXchung!$B$3:$EP$57,MATCH(B494,NXchung!$B$3:$B$57,0),INDEX($K$12:$N$25,MATCH($B483,$J$12:$J$25,0),M$11)))</f>
        <v/>
      </c>
      <c r="F483" s="808" t="str">
        <f>IF(B494="","",INDEX(NXchung!$B$3:$EP$57,MATCH(B494,NXchung!$B$3:$B$57,0),INDEX($K$12:$N$25,MATCH($B483,$J$12:$J$25,0),N$11)))</f>
        <v/>
      </c>
      <c r="G483" s="805"/>
      <c r="I483" s="64"/>
      <c r="J483" s="64"/>
    </row>
    <row r="484" spans="1:10" ht="45.9" customHeight="1">
      <c r="A484" s="803" t="s">
        <v>199</v>
      </c>
      <c r="B484" s="813" t="s">
        <v>33</v>
      </c>
      <c r="C484" s="805" t="str">
        <f>IF(B494="","",INDEX(NXchung!$B$3:$EP$57,MATCH(B494,NXchung!$B$3:$B$57,0),INDEX($K$12:$N$25,MATCH($B484,$J$12:$J$25,0),K$11)))</f>
        <v/>
      </c>
      <c r="D484" s="808" t="str">
        <f>IF(B494="","",INDEX(NXchung!$B$3:$EP$57,MATCH(B494,NXchung!$B$3:$B$57,0),INDEX($K$12:$N$25,MATCH($B484,$J$12:$J$25,0),L$11)))</f>
        <v/>
      </c>
      <c r="E484" s="805" t="str">
        <f>IF(B494="","",INDEX(NXchung!$B$3:$EP$57,MATCH(B494,NXchung!$B$3:$B$57,0),INDEX($K$12:$N$25,MATCH($B484,$J$12:$J$25,0),M$11)))</f>
        <v/>
      </c>
      <c r="F484" s="808" t="str">
        <f>IF(B494="","",INDEX(NXchung!$B$3:$EP$57,MATCH(B494,NXchung!$B$3:$B$57,0),INDEX($K$12:$N$25,MATCH($B484,$J$12:$J$25,0),N$11)))</f>
        <v/>
      </c>
      <c r="G484" s="805"/>
      <c r="I484" s="64"/>
      <c r="J484" s="64"/>
    </row>
    <row r="485" spans="1:10" ht="45.9" customHeight="1">
      <c r="A485" s="803" t="s">
        <v>200</v>
      </c>
      <c r="B485" s="813" t="s">
        <v>60</v>
      </c>
      <c r="C485" s="805" t="str">
        <f>IF(B494="","",INDEX(NXchung!$B$3:$EP$57,MATCH(B494,NXchung!$B$3:$B$57,0),INDEX($K$12:$N$25,MATCH($B485,$J$12:$J$25,0),K$11)))</f>
        <v/>
      </c>
      <c r="D485" s="808" t="str">
        <f>IF(B494="","",INDEX(NXchung!$B$3:$EP$57,MATCH(B494,NXchung!$B$3:$B$57,0),INDEX($K$12:$N$25,MATCH($B485,$J$12:$J$25,0),L$11)))</f>
        <v/>
      </c>
      <c r="E485" s="805" t="str">
        <f>IF(B494="","",INDEX(NXchung!$B$3:$EP$57,MATCH(B494,NXchung!$B$3:$B$57,0),INDEX($K$12:$N$25,MATCH($B485,$J$12:$J$25,0),M$11)))</f>
        <v/>
      </c>
      <c r="F485" s="808" t="str">
        <f>IF(B494="","",INDEX(NXchung!$B$3:$EP$57,MATCH(B494,NXchung!$B$3:$B$57,0),INDEX($K$12:$N$25,MATCH($B485,$J$12:$J$25,0),N$11)))</f>
        <v/>
      </c>
      <c r="G485" s="805"/>
      <c r="I485" s="64"/>
      <c r="J485" s="64"/>
    </row>
    <row r="486" spans="1:10" ht="45.9" customHeight="1">
      <c r="A486" s="803" t="s">
        <v>201</v>
      </c>
      <c r="B486" s="813" t="s">
        <v>34</v>
      </c>
      <c r="C486" s="805" t="str">
        <f>IF(B494="","",INDEX(NXchung!$B$3:$EP$57,MATCH(B494,NXchung!$B$3:$B$57,0),INDEX($K$12:$N$25,MATCH($B486,$J$12:$J$25,0),K$11)))</f>
        <v/>
      </c>
      <c r="D486" s="808" t="str">
        <f>IF(B494="","",INDEX(NXchung!$B$3:$EP$57,MATCH(B494,NXchung!$B$3:$B$57,0),INDEX($K$12:$N$25,MATCH($B486,$J$12:$J$25,0),L$11)))</f>
        <v/>
      </c>
      <c r="E486" s="805" t="str">
        <f>IF(B494="","",INDEX(NXchung!$B$3:$EP$57,MATCH(B494,NXchung!$B$3:$B$57,0),INDEX($K$12:$N$25,MATCH($B486,$J$12:$J$25,0),M$11)))</f>
        <v/>
      </c>
      <c r="F486" s="808" t="str">
        <f>IF(B494="","",INDEX(NXchung!$B$3:$EP$57,MATCH(B494,NXchung!$B$3:$B$57,0),INDEX($K$12:$N$25,MATCH($B486,$J$12:$J$25,0),N$11)))</f>
        <v/>
      </c>
      <c r="G486" s="805"/>
      <c r="I486" s="64"/>
      <c r="J486" s="64"/>
    </row>
    <row r="487" spans="1:10" ht="45.9" customHeight="1">
      <c r="A487" s="803" t="s">
        <v>202</v>
      </c>
      <c r="B487" s="813" t="s">
        <v>35</v>
      </c>
      <c r="C487" s="805" t="str">
        <f>IF(B494="","",INDEX(NXchung!$B$3:$EP$57,MATCH(B494,NXchung!$B$3:$B$57,0),INDEX($K$12:$N$25,MATCH($B487,$J$12:$J$25,0),K$11)))</f>
        <v/>
      </c>
      <c r="D487" s="808" t="str">
        <f>IF(B494="","",INDEX(NXchung!$B$3:$EP$57,MATCH(B494,NXchung!$B$3:$B$57,0),INDEX($K$12:$N$25,MATCH($B487,$J$12:$J$25,0),L$11)))</f>
        <v/>
      </c>
      <c r="E487" s="805" t="str">
        <f>IF(B494="","",INDEX(NXchung!$B$3:$EP$57,MATCH(B494,NXchung!$B$3:$B$57,0),INDEX($K$12:$N$25,MATCH($B487,$J$12:$J$25,0),M$11)))</f>
        <v>Đ</v>
      </c>
      <c r="F487" s="808" t="str">
        <f>IF(B494="","",INDEX(NXchung!$B$3:$EP$57,MATCH(B494,NXchung!$B$3:$B$57,0),INDEX($K$12:$N$25,MATCH($B487,$J$12:$J$25,0),N$11)))</f>
        <v>Chăm chỉ, cố gắng, rất ngoan.</v>
      </c>
      <c r="G487" s="805"/>
      <c r="I487" s="64"/>
      <c r="J487" s="64"/>
    </row>
    <row r="488" spans="1:10" ht="45.9" customHeight="1">
      <c r="A488" s="803" t="s">
        <v>203</v>
      </c>
      <c r="B488" s="813" t="s">
        <v>121</v>
      </c>
      <c r="C488" s="805" t="str">
        <f>IF(B494="","",INDEX(NXchung!$B$3:$EP$57,MATCH(B494,NXchung!$B$3:$B$57,0),INDEX($K$12:$N$25,MATCH($B488,$J$12:$J$25,0),K$11)))</f>
        <v/>
      </c>
      <c r="D488" s="808" t="str">
        <f>IF(B494="","",INDEX(NXchung!$B$3:$EP$57,MATCH(B494,NXchung!$B$3:$B$57,0),INDEX($K$12:$N$25,MATCH($B488,$J$12:$J$25,0),L$11)))</f>
        <v/>
      </c>
      <c r="E488" s="805" t="str">
        <f>IF(B494="","",INDEX(NXchung!$B$3:$EP$57,MATCH(B494,NXchung!$B$3:$B$57,0),INDEX($K$12:$N$25,MATCH($B488,$J$12:$J$25,0),M$11)))</f>
        <v/>
      </c>
      <c r="F488" s="808" t="str">
        <f>IF(B494="","",INDEX(NXchung!$B$3:$EP$57,MATCH(B494,NXchung!$B$3:$B$57,0),INDEX($K$12:$N$25,MATCH($B488,$J$12:$J$25,0),N$11)))</f>
        <v/>
      </c>
      <c r="G488" s="805"/>
      <c r="I488" s="64"/>
      <c r="J488" s="64"/>
    </row>
    <row r="489" spans="1:10" ht="45.9" customHeight="1">
      <c r="A489" s="803" t="s">
        <v>204</v>
      </c>
      <c r="B489" s="813" t="s">
        <v>122</v>
      </c>
      <c r="C489" s="805" t="str">
        <f>IF(B494="","",INDEX(NXchung!$B$3:$EP$57,MATCH(B494,NXchung!$B$3:$B$57,0),INDEX($K$12:$N$25,MATCH($B489,$J$12:$J$25,0),K$11)))</f>
        <v/>
      </c>
      <c r="D489" s="808" t="str">
        <f>IF(B494="","",INDEX(NXchung!$B$3:$EP$57,MATCH(B494,NXchung!$B$3:$B$57,0),INDEX($K$12:$N$25,MATCH($B489,$J$12:$J$25,0),L$11)))</f>
        <v/>
      </c>
      <c r="E489" s="805" t="str">
        <f>IF(B494="","",INDEX(NXchung!$B$3:$EP$57,MATCH(B494,NXchung!$B$3:$B$57,0),INDEX($K$12:$N$25,MATCH($B489,$J$12:$J$25,0),M$11)))</f>
        <v/>
      </c>
      <c r="F489" s="808" t="str">
        <f>IF(B494="","",INDEX(NXchung!$B$3:$EP$57,MATCH(B494,NXchung!$B$3:$B$57,0),INDEX($K$12:$N$25,MATCH($B489,$J$12:$J$25,0),N$11)))</f>
        <v/>
      </c>
      <c r="G489" s="805"/>
      <c r="I489" s="64"/>
      <c r="J489" s="64"/>
    </row>
    <row r="490" spans="1:10" s="60" customFormat="1" ht="6" customHeight="1">
      <c r="A490" s="67"/>
      <c r="B490" s="67"/>
      <c r="C490" s="475"/>
      <c r="D490" s="475"/>
      <c r="E490" s="67"/>
      <c r="F490" s="67"/>
      <c r="G490" s="67"/>
    </row>
    <row r="491" spans="1:10" ht="17.25" customHeight="1">
      <c r="D491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491" s="1163"/>
      <c r="F491" s="1163"/>
      <c r="G491" s="1163"/>
      <c r="H491" s="814"/>
    </row>
    <row r="492" spans="1:10" ht="16.5" customHeight="1">
      <c r="D492" s="992" t="s">
        <v>377</v>
      </c>
      <c r="E492" s="992"/>
      <c r="F492" s="992"/>
      <c r="G492" s="992"/>
      <c r="H492" s="814"/>
    </row>
    <row r="493" spans="1:10" ht="81.75" customHeight="1">
      <c r="D493" s="931" t="str">
        <f>IF('Huong dan'!$E$5="","",'Huong dan'!$E$5)</f>
        <v/>
      </c>
      <c r="E493" s="931"/>
      <c r="F493" s="931"/>
      <c r="G493" s="931"/>
      <c r="H493" s="814"/>
    </row>
    <row r="494" spans="1:10" ht="11.25" customHeight="1">
      <c r="A494" s="75"/>
      <c r="B494" s="815">
        <f>IF(B465="","",IF(B465&lt;MAX(DiemHKII!$B$4:$B$58),B465+1,""))</f>
        <v>17</v>
      </c>
      <c r="C494" s="75"/>
      <c r="D494" s="75"/>
      <c r="E494" s="75"/>
      <c r="F494" s="75"/>
      <c r="G494" s="75"/>
    </row>
    <row r="495" spans="1:10" s="60" customFormat="1" ht="21" customHeight="1">
      <c r="A495" s="1128" t="str">
        <f>IF('Huong dan'!$E$3&lt;&gt;"","SỞ GIÁO DỤC VÀ ĐÀO TẠO "&amp;UPPER('Huong dan'!$E$3),"")</f>
        <v>SỞ GIÁO DỤC VÀ ĐÀO TẠO TP. HỒ CHÍ MINH</v>
      </c>
      <c r="B495" s="1128"/>
      <c r="C495" s="1128"/>
      <c r="D495" s="1128"/>
      <c r="E495" s="1129" t="s">
        <v>19</v>
      </c>
      <c r="F495" s="1129"/>
      <c r="G495" s="1129"/>
    </row>
    <row r="496" spans="1:10" ht="17.25" customHeight="1">
      <c r="A496" s="992" t="str">
        <f>IF('Huong dan'!$E$4&lt;&gt;"","TRƯỜNG "&amp;UPPER('Huong dan'!$E$4),"")</f>
        <v>TRƯỜNG THCS VÀ THPT NGUYỄN KHUYẾN</v>
      </c>
      <c r="B496" s="992"/>
      <c r="C496" s="992"/>
      <c r="D496" s="992"/>
      <c r="E496" s="1130" t="s">
        <v>179</v>
      </c>
      <c r="F496" s="1130"/>
      <c r="G496" s="1130"/>
    </row>
    <row r="497" spans="1:10" ht="15" customHeight="1">
      <c r="A497" s="69"/>
      <c r="B497" s="69"/>
      <c r="C497" s="30"/>
    </row>
    <row r="498" spans="1:10" ht="27.75" customHeight="1">
      <c r="A498" s="1013" t="s">
        <v>567</v>
      </c>
      <c r="B498" s="1013"/>
      <c r="C498" s="1013"/>
      <c r="D498" s="1013"/>
      <c r="E498" s="1013"/>
      <c r="F498" s="1013"/>
      <c r="G498" s="1013"/>
    </row>
    <row r="499" spans="1:10" ht="24" customHeight="1">
      <c r="A499" s="1013" t="str">
        <f>"HỌC KỲ II VÀ CẢ NĂM - NĂM HỌC "&amp;'Huong dan'!$C$5</f>
        <v>HỌC KỲ II VÀ CẢ NĂM - NĂM HỌC 2021 - 2022</v>
      </c>
      <c r="B499" s="1013"/>
      <c r="C499" s="1013"/>
      <c r="D499" s="1013"/>
      <c r="E499" s="1013"/>
      <c r="F499" s="1013"/>
      <c r="G499" s="1013"/>
    </row>
    <row r="500" spans="1:10" ht="9" customHeight="1">
      <c r="A500" s="70"/>
      <c r="B500" s="66"/>
      <c r="C500" s="66"/>
      <c r="D500" s="66"/>
      <c r="E500" s="66"/>
      <c r="F500" s="66"/>
      <c r="G500" s="66"/>
    </row>
    <row r="501" spans="1:10" ht="18.75" customHeight="1">
      <c r="A501" s="1167" t="s">
        <v>212</v>
      </c>
      <c r="B501" s="1167"/>
      <c r="C501" s="1167"/>
      <c r="D501" s="1167" t="str">
        <f>IF(B523="","",INDEX(NXchung!$B$3:$EP$57,MATCH(B523,NXchung!$B$3:$B$57,0),3)&amp;" "&amp;INDEX(NXchung!$B$3:$EP$57,MATCH(B523,NXchung!$B$3:$B$57,0),4))</f>
        <v>Nguyễn Đăng Khoa</v>
      </c>
      <c r="E501" s="1167"/>
      <c r="F501" s="77" t="str">
        <f>IF('Huong dan'!$C$3="","","Lớp: "&amp;'Huong dan'!$C$3)</f>
        <v>Lớp: 12A1</v>
      </c>
      <c r="G501" s="71"/>
    </row>
    <row r="502" spans="1:10" ht="18.75" customHeight="1">
      <c r="A502" s="1168" t="s">
        <v>213</v>
      </c>
      <c r="B502" s="1168"/>
      <c r="C502" s="1168"/>
      <c r="D502" s="77" t="str">
        <f>INDEX(NXchung!$B$3:$EP$57,MATCH(B523,NXchung!$B$3:$B$57,0),5)</f>
        <v>07/11/2004</v>
      </c>
      <c r="F502" s="841" t="str">
        <f>IF(B523="","","Nơi sinh: "&amp;INDEX(DiemHKII!$H$4:$H$58,MATCH(B523,DiemHKII!$B$4:$B$58,0),1))</f>
        <v xml:space="preserve">Nơi sinh: </v>
      </c>
      <c r="G502" s="77"/>
    </row>
    <row r="503" spans="1:10" ht="9.75" customHeight="1">
      <c r="A503" s="62"/>
      <c r="B503" s="62"/>
      <c r="C503" s="62"/>
      <c r="D503" s="62"/>
      <c r="E503" s="62"/>
      <c r="F503" s="62"/>
      <c r="G503" s="63"/>
    </row>
    <row r="504" spans="1:10" ht="31.5" customHeight="1">
      <c r="A504" s="801" t="s">
        <v>0</v>
      </c>
      <c r="B504" s="801" t="s">
        <v>59</v>
      </c>
      <c r="C504" s="806" t="s">
        <v>661</v>
      </c>
      <c r="D504" s="801" t="s">
        <v>296</v>
      </c>
      <c r="E504" s="806" t="s">
        <v>662</v>
      </c>
      <c r="F504" s="801" t="s">
        <v>361</v>
      </c>
      <c r="G504" s="802" t="s">
        <v>569</v>
      </c>
    </row>
    <row r="505" spans="1:10" ht="45.9" customHeight="1">
      <c r="A505" s="803" t="s">
        <v>191</v>
      </c>
      <c r="B505" s="813" t="s">
        <v>26</v>
      </c>
      <c r="C505" s="805" t="str">
        <f>IF(B523="","",INDEX(NXchung!$B$3:$EP$57,MATCH(B523,NXchung!$B$3:$B$57,0),INDEX($K$12:$N$25,MATCH($B505,$J$12:$J$25,0),K$11)))</f>
        <v/>
      </c>
      <c r="D505" s="808" t="str">
        <f>IF(B523="","",INDEX(NXchung!$B$3:$EP$57,MATCH(B523,NXchung!$B$3:$B$57,0),INDEX($K$12:$N$25,MATCH($B505,$J$12:$J$25,0),L$11)))</f>
        <v/>
      </c>
      <c r="E505" s="805" t="str">
        <f>IF(B523="","",INDEX(NXchung!$B$3:$EP$57,MATCH(B523,NXchung!$B$3:$B$57,0),INDEX($K$12:$N$25,MATCH($B505,$J$12:$J$25,0),M$11)))</f>
        <v/>
      </c>
      <c r="F505" s="808" t="str">
        <f>IF(B523="","",INDEX(NXchung!$B$3:$EP$57,MATCH(B523,NXchung!$B$3:$B$57,0),INDEX($K$12:$N$25,MATCH($B505,$J$12:$J$25,0),N$11)))</f>
        <v/>
      </c>
      <c r="G505" s="805"/>
      <c r="I505" s="64"/>
      <c r="J505" s="64"/>
    </row>
    <row r="506" spans="1:10" ht="45.9" customHeight="1">
      <c r="A506" s="803" t="s">
        <v>192</v>
      </c>
      <c r="B506" s="813" t="s">
        <v>27</v>
      </c>
      <c r="C506" s="805" t="str">
        <f>IF(B523="","",INDEX(NXchung!$B$3:$EP$57,MATCH(B523,NXchung!$B$3:$B$57,0),INDEX($K$12:$N$25,MATCH($B506,$J$12:$J$25,0),K$11)))</f>
        <v/>
      </c>
      <c r="D506" s="808" t="str">
        <f>IF(B523="","",INDEX(NXchung!$B$3:$EP$57,MATCH(B523,NXchung!$B$3:$B$57,0),INDEX($K$12:$N$25,MATCH($B506,$J$12:$J$25,0),L$11)))</f>
        <v/>
      </c>
      <c r="E506" s="805" t="str">
        <f>IF(B523="","",INDEX(NXchung!$B$3:$EP$57,MATCH(B523,NXchung!$B$3:$B$57,0),INDEX($K$12:$N$25,MATCH($B506,$J$12:$J$25,0),M$11)))</f>
        <v/>
      </c>
      <c r="F506" s="808" t="str">
        <f>IF(B523="","",INDEX(NXchung!$B$3:$EP$57,MATCH(B523,NXchung!$B$3:$B$57,0),INDEX($K$12:$N$25,MATCH($B506,$J$12:$J$25,0),N$11)))</f>
        <v/>
      </c>
      <c r="G506" s="805"/>
      <c r="I506" s="64"/>
      <c r="J506" s="64"/>
    </row>
    <row r="507" spans="1:10" ht="45.9" customHeight="1">
      <c r="A507" s="803" t="s">
        <v>193</v>
      </c>
      <c r="B507" s="813" t="s">
        <v>28</v>
      </c>
      <c r="C507" s="805" t="str">
        <f>IF(B523="","",INDEX(NXchung!$B$3:$EP$57,MATCH(B523,NXchung!$B$3:$B$57,0),INDEX($K$12:$N$25,MATCH($B507,$J$12:$J$25,0),K$11)))</f>
        <v/>
      </c>
      <c r="D507" s="808" t="str">
        <f>IF(B523="","",INDEX(NXchung!$B$3:$EP$57,MATCH(B523,NXchung!$B$3:$B$57,0),INDEX($K$12:$N$25,MATCH($B507,$J$12:$J$25,0),L$11)))</f>
        <v/>
      </c>
      <c r="E507" s="805" t="str">
        <f>IF(B523="","",INDEX(NXchung!$B$3:$EP$57,MATCH(B523,NXchung!$B$3:$B$57,0),INDEX($K$12:$N$25,MATCH($B507,$J$12:$J$25,0),M$11)))</f>
        <v/>
      </c>
      <c r="F507" s="808" t="str">
        <f>IF(B523="","",INDEX(NXchung!$B$3:$EP$57,MATCH(B523,NXchung!$B$3:$B$57,0),INDEX($K$12:$N$25,MATCH($B507,$J$12:$J$25,0),N$11)))</f>
        <v/>
      </c>
      <c r="G507" s="805"/>
      <c r="I507" s="64"/>
      <c r="J507" s="64"/>
    </row>
    <row r="508" spans="1:10" ht="45.9" customHeight="1">
      <c r="A508" s="803" t="s">
        <v>194</v>
      </c>
      <c r="B508" s="813" t="s">
        <v>29</v>
      </c>
      <c r="C508" s="805" t="str">
        <f>IF(B523="","",INDEX(NXchung!$B$3:$EP$57,MATCH(B523,NXchung!$B$3:$B$57,0),INDEX($K$12:$N$25,MATCH($B508,$J$12:$J$25,0),K$11)))</f>
        <v/>
      </c>
      <c r="D508" s="808" t="str">
        <f>IF(B523="","",INDEX(NXchung!$B$3:$EP$57,MATCH(B523,NXchung!$B$3:$B$57,0),INDEX($K$12:$N$25,MATCH($B508,$J$12:$J$25,0),L$11)))</f>
        <v/>
      </c>
      <c r="E508" s="805" t="str">
        <f>IF(B523="","",INDEX(NXchung!$B$3:$EP$57,MATCH(B523,NXchung!$B$3:$B$57,0),INDEX($K$12:$N$25,MATCH($B508,$J$12:$J$25,0),M$11)))</f>
        <v/>
      </c>
      <c r="F508" s="808" t="str">
        <f>IF(B523="","",INDEX(NXchung!$B$3:$EP$57,MATCH(B523,NXchung!$B$3:$B$57,0),INDEX($K$12:$N$25,MATCH($B508,$J$12:$J$25,0),N$11)))</f>
        <v/>
      </c>
      <c r="G508" s="805"/>
      <c r="I508" s="64"/>
      <c r="J508" s="64"/>
    </row>
    <row r="509" spans="1:10" ht="45.9" customHeight="1">
      <c r="A509" s="803" t="s">
        <v>195</v>
      </c>
      <c r="B509" s="813" t="s">
        <v>120</v>
      </c>
      <c r="C509" s="805" t="str">
        <f>IF(B523="","",INDEX(NXchung!$B$3:$EP$57,MATCH(B523,NXchung!$B$3:$B$57,0),INDEX($K$12:$N$25,MATCH($B509,$J$12:$J$25,0),K$11)))</f>
        <v/>
      </c>
      <c r="D509" s="808" t="str">
        <f>IF(B523="","",INDEX(NXchung!$B$3:$EP$57,MATCH(B523,NXchung!$B$3:$B$57,0),INDEX($K$12:$N$25,MATCH($B509,$J$12:$J$25,0),L$11)))</f>
        <v/>
      </c>
      <c r="E509" s="805" t="str">
        <f>IF(B523="","",INDEX(NXchung!$B$3:$EP$57,MATCH(B523,NXchung!$B$3:$B$57,0),INDEX($K$12:$N$25,MATCH($B509,$J$12:$J$25,0),M$11)))</f>
        <v/>
      </c>
      <c r="F509" s="808" t="str">
        <f>IF(B523="","",INDEX(NXchung!$B$3:$EP$57,MATCH(B523,NXchung!$B$3:$B$57,0),INDEX($K$12:$N$25,MATCH($B509,$J$12:$J$25,0),N$11)))</f>
        <v/>
      </c>
      <c r="G509" s="805"/>
      <c r="I509" s="64"/>
      <c r="J509" s="64"/>
    </row>
    <row r="510" spans="1:10" ht="45.9" customHeight="1">
      <c r="A510" s="803" t="s">
        <v>196</v>
      </c>
      <c r="B510" s="813" t="s">
        <v>30</v>
      </c>
      <c r="C510" s="805" t="str">
        <f>IF(B523="","",INDEX(NXchung!$B$3:$EP$57,MATCH(B523,NXchung!$B$3:$B$57,0),INDEX($K$12:$N$25,MATCH($B510,$J$12:$J$25,0),K$11)))</f>
        <v/>
      </c>
      <c r="D510" s="808" t="str">
        <f>IF(B523="","",INDEX(NXchung!$B$3:$EP$57,MATCH(B523,NXchung!$B$3:$B$57,0),INDEX($K$12:$N$25,MATCH($B510,$J$12:$J$25,0),L$11)))</f>
        <v/>
      </c>
      <c r="E510" s="805" t="str">
        <f>IF(B523="","",INDEX(NXchung!$B$3:$EP$57,MATCH(B523,NXchung!$B$3:$B$57,0),INDEX($K$12:$N$25,MATCH($B510,$J$12:$J$25,0),M$11)))</f>
        <v/>
      </c>
      <c r="F510" s="808" t="str">
        <f>IF(B523="","",INDEX(NXchung!$B$3:$EP$57,MATCH(B523,NXchung!$B$3:$B$57,0),INDEX($K$12:$N$25,MATCH($B510,$J$12:$J$25,0),N$11)))</f>
        <v/>
      </c>
      <c r="G510" s="805"/>
      <c r="I510" s="64"/>
      <c r="J510" s="64"/>
    </row>
    <row r="511" spans="1:10" ht="45.9" customHeight="1">
      <c r="A511" s="803" t="s">
        <v>197</v>
      </c>
      <c r="B511" s="813" t="s">
        <v>31</v>
      </c>
      <c r="C511" s="805" t="str">
        <f>IF(B523="","",INDEX(NXchung!$B$3:$EP$57,MATCH(B523,NXchung!$B$3:$B$57,0),INDEX($K$12:$N$25,MATCH($B511,$J$12:$J$25,0),K$11)))</f>
        <v/>
      </c>
      <c r="D511" s="808" t="str">
        <f>IF(B523="","",INDEX(NXchung!$B$3:$EP$57,MATCH(B523,NXchung!$B$3:$B$57,0),INDEX($K$12:$N$25,MATCH($B511,$J$12:$J$25,0),L$11)))</f>
        <v/>
      </c>
      <c r="E511" s="805" t="str">
        <f>IF(B523="","",INDEX(NXchung!$B$3:$EP$57,MATCH(B523,NXchung!$B$3:$B$57,0),INDEX($K$12:$N$25,MATCH($B511,$J$12:$J$25,0),M$11)))</f>
        <v/>
      </c>
      <c r="F511" s="808" t="str">
        <f>IF(B523="","",INDEX(NXchung!$B$3:$EP$57,MATCH(B523,NXchung!$B$3:$B$57,0),INDEX($K$12:$N$25,MATCH($B511,$J$12:$J$25,0),N$11)))</f>
        <v/>
      </c>
      <c r="G511" s="805"/>
      <c r="I511" s="64"/>
      <c r="J511" s="64"/>
    </row>
    <row r="512" spans="1:10" ht="45.9" customHeight="1">
      <c r="A512" s="803" t="s">
        <v>198</v>
      </c>
      <c r="B512" s="813" t="s">
        <v>32</v>
      </c>
      <c r="C512" s="805" t="str">
        <f>IF(B523="","",INDEX(NXchung!$B$3:$EP$57,MATCH(B523,NXchung!$B$3:$B$57,0),INDEX($K$12:$N$25,MATCH($B512,$J$12:$J$25,0),K$11)))</f>
        <v/>
      </c>
      <c r="D512" s="808" t="str">
        <f>IF(B523="","",INDEX(NXchung!$B$3:$EP$57,MATCH(B523,NXchung!$B$3:$B$57,0),INDEX($K$12:$N$25,MATCH($B512,$J$12:$J$25,0),L$11)))</f>
        <v/>
      </c>
      <c r="E512" s="805" t="str">
        <f>IF(B523="","",INDEX(NXchung!$B$3:$EP$57,MATCH(B523,NXchung!$B$3:$B$57,0),INDEX($K$12:$N$25,MATCH($B512,$J$12:$J$25,0),M$11)))</f>
        <v/>
      </c>
      <c r="F512" s="808" t="str">
        <f>IF(B523="","",INDEX(NXchung!$B$3:$EP$57,MATCH(B523,NXchung!$B$3:$B$57,0),INDEX($K$12:$N$25,MATCH($B512,$J$12:$J$25,0),N$11)))</f>
        <v/>
      </c>
      <c r="G512" s="805"/>
      <c r="I512" s="64"/>
      <c r="J512" s="64"/>
    </row>
    <row r="513" spans="1:10" ht="45.9" customHeight="1">
      <c r="A513" s="803" t="s">
        <v>199</v>
      </c>
      <c r="B513" s="813" t="s">
        <v>33</v>
      </c>
      <c r="C513" s="805" t="str">
        <f>IF(B523="","",INDEX(NXchung!$B$3:$EP$57,MATCH(B523,NXchung!$B$3:$B$57,0),INDEX($K$12:$N$25,MATCH($B513,$J$12:$J$25,0),K$11)))</f>
        <v/>
      </c>
      <c r="D513" s="808" t="str">
        <f>IF(B523="","",INDEX(NXchung!$B$3:$EP$57,MATCH(B523,NXchung!$B$3:$B$57,0),INDEX($K$12:$N$25,MATCH($B513,$J$12:$J$25,0),L$11)))</f>
        <v/>
      </c>
      <c r="E513" s="805" t="str">
        <f>IF(B523="","",INDEX(NXchung!$B$3:$EP$57,MATCH(B523,NXchung!$B$3:$B$57,0),INDEX($K$12:$N$25,MATCH($B513,$J$12:$J$25,0),M$11)))</f>
        <v/>
      </c>
      <c r="F513" s="808" t="str">
        <f>IF(B523="","",INDEX(NXchung!$B$3:$EP$57,MATCH(B523,NXchung!$B$3:$B$57,0),INDEX($K$12:$N$25,MATCH($B513,$J$12:$J$25,0),N$11)))</f>
        <v/>
      </c>
      <c r="G513" s="805"/>
      <c r="I513" s="64"/>
      <c r="J513" s="64"/>
    </row>
    <row r="514" spans="1:10" ht="45.9" customHeight="1">
      <c r="A514" s="803" t="s">
        <v>200</v>
      </c>
      <c r="B514" s="813" t="s">
        <v>60</v>
      </c>
      <c r="C514" s="805" t="str">
        <f>IF(B523="","",INDEX(NXchung!$B$3:$EP$57,MATCH(B523,NXchung!$B$3:$B$57,0),INDEX($K$12:$N$25,MATCH($B514,$J$12:$J$25,0),K$11)))</f>
        <v/>
      </c>
      <c r="D514" s="808" t="str">
        <f>IF(B523="","",INDEX(NXchung!$B$3:$EP$57,MATCH(B523,NXchung!$B$3:$B$57,0),INDEX($K$12:$N$25,MATCH($B514,$J$12:$J$25,0),L$11)))</f>
        <v/>
      </c>
      <c r="E514" s="805" t="str">
        <f>IF(B523="","",INDEX(NXchung!$B$3:$EP$57,MATCH(B523,NXchung!$B$3:$B$57,0),INDEX($K$12:$N$25,MATCH($B514,$J$12:$J$25,0),M$11)))</f>
        <v/>
      </c>
      <c r="F514" s="808" t="str">
        <f>IF(B523="","",INDEX(NXchung!$B$3:$EP$57,MATCH(B523,NXchung!$B$3:$B$57,0),INDEX($K$12:$N$25,MATCH($B514,$J$12:$J$25,0),N$11)))</f>
        <v/>
      </c>
      <c r="G514" s="805"/>
      <c r="I514" s="64"/>
      <c r="J514" s="64"/>
    </row>
    <row r="515" spans="1:10" ht="45.9" customHeight="1">
      <c r="A515" s="803" t="s">
        <v>201</v>
      </c>
      <c r="B515" s="813" t="s">
        <v>34</v>
      </c>
      <c r="C515" s="805" t="str">
        <f>IF(B523="","",INDEX(NXchung!$B$3:$EP$57,MATCH(B523,NXchung!$B$3:$B$57,0),INDEX($K$12:$N$25,MATCH($B515,$J$12:$J$25,0),K$11)))</f>
        <v/>
      </c>
      <c r="D515" s="808" t="str">
        <f>IF(B523="","",INDEX(NXchung!$B$3:$EP$57,MATCH(B523,NXchung!$B$3:$B$57,0),INDEX($K$12:$N$25,MATCH($B515,$J$12:$J$25,0),L$11)))</f>
        <v/>
      </c>
      <c r="E515" s="805" t="str">
        <f>IF(B523="","",INDEX(NXchung!$B$3:$EP$57,MATCH(B523,NXchung!$B$3:$B$57,0),INDEX($K$12:$N$25,MATCH($B515,$J$12:$J$25,0),M$11)))</f>
        <v/>
      </c>
      <c r="F515" s="808" t="str">
        <f>IF(B523="","",INDEX(NXchung!$B$3:$EP$57,MATCH(B523,NXchung!$B$3:$B$57,0),INDEX($K$12:$N$25,MATCH($B515,$J$12:$J$25,0),N$11)))</f>
        <v/>
      </c>
      <c r="G515" s="805"/>
      <c r="I515" s="64"/>
      <c r="J515" s="64"/>
    </row>
    <row r="516" spans="1:10" ht="45.9" customHeight="1">
      <c r="A516" s="803" t="s">
        <v>202</v>
      </c>
      <c r="B516" s="813" t="s">
        <v>35</v>
      </c>
      <c r="C516" s="805" t="str">
        <f>IF(B523="","",INDEX(NXchung!$B$3:$EP$57,MATCH(B523,NXchung!$B$3:$B$57,0),INDEX($K$12:$N$25,MATCH($B516,$J$12:$J$25,0),K$11)))</f>
        <v/>
      </c>
      <c r="D516" s="808" t="str">
        <f>IF(B523="","",INDEX(NXchung!$B$3:$EP$57,MATCH(B523,NXchung!$B$3:$B$57,0),INDEX($K$12:$N$25,MATCH($B516,$J$12:$J$25,0),L$11)))</f>
        <v/>
      </c>
      <c r="E516" s="805" t="str">
        <f>IF(B523="","",INDEX(NXchung!$B$3:$EP$57,MATCH(B523,NXchung!$B$3:$B$57,0),INDEX($K$12:$N$25,MATCH($B516,$J$12:$J$25,0),M$11)))</f>
        <v>Đ</v>
      </c>
      <c r="F516" s="808" t="str">
        <f>IF(B523="","",INDEX(NXchung!$B$3:$EP$57,MATCH(B523,NXchung!$B$3:$B$57,0),INDEX($K$12:$N$25,MATCH($B516,$J$12:$J$25,0),N$11)))</f>
        <v>Giỏi, có nhiều tiến bộ trong học tập.</v>
      </c>
      <c r="G516" s="805"/>
      <c r="I516" s="64"/>
      <c r="J516" s="64"/>
    </row>
    <row r="517" spans="1:10" ht="45.9" customHeight="1">
      <c r="A517" s="803" t="s">
        <v>203</v>
      </c>
      <c r="B517" s="813" t="s">
        <v>121</v>
      </c>
      <c r="C517" s="805" t="str">
        <f>IF(B523="","",INDEX(NXchung!$B$3:$EP$57,MATCH(B523,NXchung!$B$3:$B$57,0),INDEX($K$12:$N$25,MATCH($B517,$J$12:$J$25,0),K$11)))</f>
        <v/>
      </c>
      <c r="D517" s="808" t="str">
        <f>IF(B523="","",INDEX(NXchung!$B$3:$EP$57,MATCH(B523,NXchung!$B$3:$B$57,0),INDEX($K$12:$N$25,MATCH($B517,$J$12:$J$25,0),L$11)))</f>
        <v/>
      </c>
      <c r="E517" s="805" t="str">
        <f>IF(B523="","",INDEX(NXchung!$B$3:$EP$57,MATCH(B523,NXchung!$B$3:$B$57,0),INDEX($K$12:$N$25,MATCH($B517,$J$12:$J$25,0),M$11)))</f>
        <v/>
      </c>
      <c r="F517" s="808" t="str">
        <f>IF(B523="","",INDEX(NXchung!$B$3:$EP$57,MATCH(B523,NXchung!$B$3:$B$57,0),INDEX($K$12:$N$25,MATCH($B517,$J$12:$J$25,0),N$11)))</f>
        <v/>
      </c>
      <c r="G517" s="805"/>
      <c r="I517" s="64"/>
      <c r="J517" s="64"/>
    </row>
    <row r="518" spans="1:10" ht="45.9" customHeight="1">
      <c r="A518" s="803" t="s">
        <v>204</v>
      </c>
      <c r="B518" s="813" t="s">
        <v>122</v>
      </c>
      <c r="C518" s="805" t="str">
        <f>IF(B523="","",INDEX(NXchung!$B$3:$EP$57,MATCH(B523,NXchung!$B$3:$B$57,0),INDEX($K$12:$N$25,MATCH($B518,$J$12:$J$25,0),K$11)))</f>
        <v/>
      </c>
      <c r="D518" s="808" t="str">
        <f>IF(B523="","",INDEX(NXchung!$B$3:$EP$57,MATCH(B523,NXchung!$B$3:$B$57,0),INDEX($K$12:$N$25,MATCH($B518,$J$12:$J$25,0),L$11)))</f>
        <v/>
      </c>
      <c r="E518" s="805" t="str">
        <f>IF(B523="","",INDEX(NXchung!$B$3:$EP$57,MATCH(B523,NXchung!$B$3:$B$57,0),INDEX($K$12:$N$25,MATCH($B518,$J$12:$J$25,0),M$11)))</f>
        <v/>
      </c>
      <c r="F518" s="808" t="str">
        <f>IF(B523="","",INDEX(NXchung!$B$3:$EP$57,MATCH(B523,NXchung!$B$3:$B$57,0),INDEX($K$12:$N$25,MATCH($B518,$J$12:$J$25,0),N$11)))</f>
        <v/>
      </c>
      <c r="G518" s="805"/>
      <c r="I518" s="64"/>
      <c r="J518" s="64"/>
    </row>
    <row r="519" spans="1:10" s="60" customFormat="1" ht="6" customHeight="1">
      <c r="A519" s="67"/>
      <c r="B519" s="67"/>
      <c r="C519" s="475"/>
      <c r="D519" s="475"/>
      <c r="E519" s="67"/>
      <c r="F519" s="67"/>
      <c r="G519" s="67"/>
    </row>
    <row r="520" spans="1:10" ht="17.25" customHeight="1">
      <c r="D520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520" s="1163"/>
      <c r="F520" s="1163"/>
      <c r="G520" s="1163"/>
      <c r="H520" s="814"/>
    </row>
    <row r="521" spans="1:10" ht="16.5" customHeight="1">
      <c r="D521" s="992" t="s">
        <v>377</v>
      </c>
      <c r="E521" s="992"/>
      <c r="F521" s="992"/>
      <c r="G521" s="992"/>
      <c r="H521" s="814"/>
    </row>
    <row r="522" spans="1:10" ht="81.75" customHeight="1">
      <c r="D522" s="931" t="str">
        <f>IF('Huong dan'!$E$5="","",'Huong dan'!$E$5)</f>
        <v/>
      </c>
      <c r="E522" s="931"/>
      <c r="F522" s="931"/>
      <c r="G522" s="931"/>
      <c r="H522" s="814"/>
    </row>
    <row r="523" spans="1:10" ht="11.25" customHeight="1">
      <c r="A523" s="75"/>
      <c r="B523" s="815">
        <f>IF(B494="","",IF(B494&lt;MAX(DiemHKII!$B$4:$B$58),B494+1,""))</f>
        <v>18</v>
      </c>
      <c r="C523" s="75"/>
      <c r="D523" s="75"/>
      <c r="E523" s="75"/>
      <c r="F523" s="75"/>
      <c r="G523" s="75"/>
    </row>
    <row r="524" spans="1:10" s="60" customFormat="1" ht="21" customHeight="1">
      <c r="A524" s="1128" t="str">
        <f>IF('Huong dan'!$E$3&lt;&gt;"","SỞ GIÁO DỤC VÀ ĐÀO TẠO "&amp;UPPER('Huong dan'!$E$3),"")</f>
        <v>SỞ GIÁO DỤC VÀ ĐÀO TẠO TP. HỒ CHÍ MINH</v>
      </c>
      <c r="B524" s="1128"/>
      <c r="C524" s="1128"/>
      <c r="D524" s="1128"/>
      <c r="E524" s="1129" t="s">
        <v>19</v>
      </c>
      <c r="F524" s="1129"/>
      <c r="G524" s="1129"/>
    </row>
    <row r="525" spans="1:10" ht="17.25" customHeight="1">
      <c r="A525" s="992" t="str">
        <f>IF('Huong dan'!$E$4&lt;&gt;"","TRƯỜNG "&amp;UPPER('Huong dan'!$E$4),"")</f>
        <v>TRƯỜNG THCS VÀ THPT NGUYỄN KHUYẾN</v>
      </c>
      <c r="B525" s="992"/>
      <c r="C525" s="992"/>
      <c r="D525" s="992"/>
      <c r="E525" s="1130" t="s">
        <v>179</v>
      </c>
      <c r="F525" s="1130"/>
      <c r="G525" s="1130"/>
    </row>
    <row r="526" spans="1:10" ht="15" customHeight="1">
      <c r="A526" s="69"/>
      <c r="B526" s="69"/>
      <c r="C526" s="30"/>
    </row>
    <row r="527" spans="1:10" ht="27.75" customHeight="1">
      <c r="A527" s="1013" t="s">
        <v>567</v>
      </c>
      <c r="B527" s="1013"/>
      <c r="C527" s="1013"/>
      <c r="D527" s="1013"/>
      <c r="E527" s="1013"/>
      <c r="F527" s="1013"/>
      <c r="G527" s="1013"/>
    </row>
    <row r="528" spans="1:10" ht="24" customHeight="1">
      <c r="A528" s="1013" t="str">
        <f>"HỌC KỲ II VÀ CẢ NĂM - NĂM HỌC "&amp;'Huong dan'!$C$5</f>
        <v>HỌC KỲ II VÀ CẢ NĂM - NĂM HỌC 2021 - 2022</v>
      </c>
      <c r="B528" s="1013"/>
      <c r="C528" s="1013"/>
      <c r="D528" s="1013"/>
      <c r="E528" s="1013"/>
      <c r="F528" s="1013"/>
      <c r="G528" s="1013"/>
    </row>
    <row r="529" spans="1:10" ht="9" customHeight="1">
      <c r="A529" s="70"/>
      <c r="B529" s="66"/>
      <c r="C529" s="66"/>
      <c r="D529" s="66"/>
      <c r="E529" s="66"/>
      <c r="F529" s="66"/>
      <c r="G529" s="66"/>
    </row>
    <row r="530" spans="1:10" ht="18.75" customHeight="1">
      <c r="A530" s="1167" t="s">
        <v>212</v>
      </c>
      <c r="B530" s="1167"/>
      <c r="C530" s="1167"/>
      <c r="D530" s="1167" t="str">
        <f>IF(B552="","",INDEX(NXchung!$B$3:$EP$57,MATCH(B552,NXchung!$B$3:$B$57,0),3)&amp;" "&amp;INDEX(NXchung!$B$3:$EP$57,MATCH(B552,NXchung!$B$3:$B$57,0),4))</f>
        <v>Lê Tiến Khôi</v>
      </c>
      <c r="E530" s="1167"/>
      <c r="F530" s="77" t="str">
        <f>IF('Huong dan'!$C$3="","","Lớp: "&amp;'Huong dan'!$C$3)</f>
        <v>Lớp: 12A1</v>
      </c>
      <c r="G530" s="71"/>
    </row>
    <row r="531" spans="1:10" ht="18.75" customHeight="1">
      <c r="A531" s="1168" t="s">
        <v>213</v>
      </c>
      <c r="B531" s="1168"/>
      <c r="C531" s="1168"/>
      <c r="D531" s="77" t="str">
        <f>INDEX(NXchung!$B$3:$EP$57,MATCH(B552,NXchung!$B$3:$B$57,0),5)</f>
        <v>14/10/2004</v>
      </c>
      <c r="F531" s="841" t="str">
        <f>IF(B552="","","Nơi sinh: "&amp;INDEX(DiemHKII!$H$4:$H$58,MATCH(B552,DiemHKII!$B$4:$B$58,0),1))</f>
        <v xml:space="preserve">Nơi sinh: </v>
      </c>
      <c r="G531" s="77"/>
    </row>
    <row r="532" spans="1:10" ht="9.75" customHeight="1">
      <c r="A532" s="62"/>
      <c r="B532" s="62"/>
      <c r="C532" s="62"/>
      <c r="D532" s="62"/>
      <c r="E532" s="62"/>
      <c r="F532" s="62"/>
      <c r="G532" s="63"/>
    </row>
    <row r="533" spans="1:10" ht="31.5" customHeight="1">
      <c r="A533" s="801" t="s">
        <v>0</v>
      </c>
      <c r="B533" s="801" t="s">
        <v>59</v>
      </c>
      <c r="C533" s="806" t="s">
        <v>661</v>
      </c>
      <c r="D533" s="801" t="s">
        <v>296</v>
      </c>
      <c r="E533" s="806" t="s">
        <v>662</v>
      </c>
      <c r="F533" s="801" t="s">
        <v>361</v>
      </c>
      <c r="G533" s="802" t="s">
        <v>569</v>
      </c>
    </row>
    <row r="534" spans="1:10" ht="45.9" customHeight="1">
      <c r="A534" s="803" t="s">
        <v>191</v>
      </c>
      <c r="B534" s="813" t="s">
        <v>26</v>
      </c>
      <c r="C534" s="805" t="str">
        <f>IF(B552="","",INDEX(NXchung!$B$3:$EP$57,MATCH(B552,NXchung!$B$3:$B$57,0),INDEX($K$12:$N$25,MATCH($B534,$J$12:$J$25,0),K$11)))</f>
        <v/>
      </c>
      <c r="D534" s="808" t="str">
        <f>IF(B552="","",INDEX(NXchung!$B$3:$EP$57,MATCH(B552,NXchung!$B$3:$B$57,0),INDEX($K$12:$N$25,MATCH($B534,$J$12:$J$25,0),L$11)))</f>
        <v/>
      </c>
      <c r="E534" s="805" t="str">
        <f>IF(B552="","",INDEX(NXchung!$B$3:$EP$57,MATCH(B552,NXchung!$B$3:$B$57,0),INDEX($K$12:$N$25,MATCH($B534,$J$12:$J$25,0),M$11)))</f>
        <v/>
      </c>
      <c r="F534" s="808" t="str">
        <f>IF(B552="","",INDEX(NXchung!$B$3:$EP$57,MATCH(B552,NXchung!$B$3:$B$57,0),INDEX($K$12:$N$25,MATCH($B534,$J$12:$J$25,0),N$11)))</f>
        <v/>
      </c>
      <c r="G534" s="805"/>
      <c r="I534" s="64"/>
      <c r="J534" s="64"/>
    </row>
    <row r="535" spans="1:10" ht="45.9" customHeight="1">
      <c r="A535" s="803" t="s">
        <v>192</v>
      </c>
      <c r="B535" s="813" t="s">
        <v>27</v>
      </c>
      <c r="C535" s="805" t="str">
        <f>IF(B552="","",INDEX(NXchung!$B$3:$EP$57,MATCH(B552,NXchung!$B$3:$B$57,0),INDEX($K$12:$N$25,MATCH($B535,$J$12:$J$25,0),K$11)))</f>
        <v/>
      </c>
      <c r="D535" s="808" t="str">
        <f>IF(B552="","",INDEX(NXchung!$B$3:$EP$57,MATCH(B552,NXchung!$B$3:$B$57,0),INDEX($K$12:$N$25,MATCH($B535,$J$12:$J$25,0),L$11)))</f>
        <v/>
      </c>
      <c r="E535" s="805" t="str">
        <f>IF(B552="","",INDEX(NXchung!$B$3:$EP$57,MATCH(B552,NXchung!$B$3:$B$57,0),INDEX($K$12:$N$25,MATCH($B535,$J$12:$J$25,0),M$11)))</f>
        <v/>
      </c>
      <c r="F535" s="808" t="str">
        <f>IF(B552="","",INDEX(NXchung!$B$3:$EP$57,MATCH(B552,NXchung!$B$3:$B$57,0),INDEX($K$12:$N$25,MATCH($B535,$J$12:$J$25,0),N$11)))</f>
        <v/>
      </c>
      <c r="G535" s="805"/>
      <c r="I535" s="64"/>
      <c r="J535" s="64"/>
    </row>
    <row r="536" spans="1:10" ht="45.9" customHeight="1">
      <c r="A536" s="803" t="s">
        <v>193</v>
      </c>
      <c r="B536" s="813" t="s">
        <v>28</v>
      </c>
      <c r="C536" s="805" t="str">
        <f>IF(B552="","",INDEX(NXchung!$B$3:$EP$57,MATCH(B552,NXchung!$B$3:$B$57,0),INDEX($K$12:$N$25,MATCH($B536,$J$12:$J$25,0),K$11)))</f>
        <v/>
      </c>
      <c r="D536" s="808" t="str">
        <f>IF(B552="","",INDEX(NXchung!$B$3:$EP$57,MATCH(B552,NXchung!$B$3:$B$57,0),INDEX($K$12:$N$25,MATCH($B536,$J$12:$J$25,0),L$11)))</f>
        <v/>
      </c>
      <c r="E536" s="805" t="str">
        <f>IF(B552="","",INDEX(NXchung!$B$3:$EP$57,MATCH(B552,NXchung!$B$3:$B$57,0),INDEX($K$12:$N$25,MATCH($B536,$J$12:$J$25,0),M$11)))</f>
        <v/>
      </c>
      <c r="F536" s="808" t="str">
        <f>IF(B552="","",INDEX(NXchung!$B$3:$EP$57,MATCH(B552,NXchung!$B$3:$B$57,0),INDEX($K$12:$N$25,MATCH($B536,$J$12:$J$25,0),N$11)))</f>
        <v/>
      </c>
      <c r="G536" s="805"/>
      <c r="I536" s="64"/>
      <c r="J536" s="64"/>
    </row>
    <row r="537" spans="1:10" ht="45.9" customHeight="1">
      <c r="A537" s="803" t="s">
        <v>194</v>
      </c>
      <c r="B537" s="813" t="s">
        <v>29</v>
      </c>
      <c r="C537" s="805" t="str">
        <f>IF(B552="","",INDEX(NXchung!$B$3:$EP$57,MATCH(B552,NXchung!$B$3:$B$57,0),INDEX($K$12:$N$25,MATCH($B537,$J$12:$J$25,0),K$11)))</f>
        <v/>
      </c>
      <c r="D537" s="808" t="str">
        <f>IF(B552="","",INDEX(NXchung!$B$3:$EP$57,MATCH(B552,NXchung!$B$3:$B$57,0),INDEX($K$12:$N$25,MATCH($B537,$J$12:$J$25,0),L$11)))</f>
        <v/>
      </c>
      <c r="E537" s="805" t="str">
        <f>IF(B552="","",INDEX(NXchung!$B$3:$EP$57,MATCH(B552,NXchung!$B$3:$B$57,0),INDEX($K$12:$N$25,MATCH($B537,$J$12:$J$25,0),M$11)))</f>
        <v/>
      </c>
      <c r="F537" s="808" t="str">
        <f>IF(B552="","",INDEX(NXchung!$B$3:$EP$57,MATCH(B552,NXchung!$B$3:$B$57,0),INDEX($K$12:$N$25,MATCH($B537,$J$12:$J$25,0),N$11)))</f>
        <v/>
      </c>
      <c r="G537" s="805"/>
      <c r="I537" s="64"/>
      <c r="J537" s="64"/>
    </row>
    <row r="538" spans="1:10" ht="45.9" customHeight="1">
      <c r="A538" s="803" t="s">
        <v>195</v>
      </c>
      <c r="B538" s="813" t="s">
        <v>120</v>
      </c>
      <c r="C538" s="805" t="str">
        <f>IF(B552="","",INDEX(NXchung!$B$3:$EP$57,MATCH(B552,NXchung!$B$3:$B$57,0),INDEX($K$12:$N$25,MATCH($B538,$J$12:$J$25,0),K$11)))</f>
        <v/>
      </c>
      <c r="D538" s="808" t="str">
        <f>IF(B552="","",INDEX(NXchung!$B$3:$EP$57,MATCH(B552,NXchung!$B$3:$B$57,0),INDEX($K$12:$N$25,MATCH($B538,$J$12:$J$25,0),L$11)))</f>
        <v/>
      </c>
      <c r="E538" s="805" t="str">
        <f>IF(B552="","",INDEX(NXchung!$B$3:$EP$57,MATCH(B552,NXchung!$B$3:$B$57,0),INDEX($K$12:$N$25,MATCH($B538,$J$12:$J$25,0),M$11)))</f>
        <v/>
      </c>
      <c r="F538" s="808" t="str">
        <f>IF(B552="","",INDEX(NXchung!$B$3:$EP$57,MATCH(B552,NXchung!$B$3:$B$57,0),INDEX($K$12:$N$25,MATCH($B538,$J$12:$J$25,0),N$11)))</f>
        <v/>
      </c>
      <c r="G538" s="805"/>
      <c r="I538" s="64"/>
      <c r="J538" s="64"/>
    </row>
    <row r="539" spans="1:10" ht="45.9" customHeight="1">
      <c r="A539" s="803" t="s">
        <v>196</v>
      </c>
      <c r="B539" s="813" t="s">
        <v>30</v>
      </c>
      <c r="C539" s="805" t="str">
        <f>IF(B552="","",INDEX(NXchung!$B$3:$EP$57,MATCH(B552,NXchung!$B$3:$B$57,0),INDEX($K$12:$N$25,MATCH($B539,$J$12:$J$25,0),K$11)))</f>
        <v/>
      </c>
      <c r="D539" s="808" t="str">
        <f>IF(B552="","",INDEX(NXchung!$B$3:$EP$57,MATCH(B552,NXchung!$B$3:$B$57,0),INDEX($K$12:$N$25,MATCH($B539,$J$12:$J$25,0),L$11)))</f>
        <v/>
      </c>
      <c r="E539" s="805" t="str">
        <f>IF(B552="","",INDEX(NXchung!$B$3:$EP$57,MATCH(B552,NXchung!$B$3:$B$57,0),INDEX($K$12:$N$25,MATCH($B539,$J$12:$J$25,0),M$11)))</f>
        <v/>
      </c>
      <c r="F539" s="808" t="str">
        <f>IF(B552="","",INDEX(NXchung!$B$3:$EP$57,MATCH(B552,NXchung!$B$3:$B$57,0),INDEX($K$12:$N$25,MATCH($B539,$J$12:$J$25,0),N$11)))</f>
        <v/>
      </c>
      <c r="G539" s="805"/>
      <c r="I539" s="64"/>
      <c r="J539" s="64"/>
    </row>
    <row r="540" spans="1:10" ht="45.9" customHeight="1">
      <c r="A540" s="803" t="s">
        <v>197</v>
      </c>
      <c r="B540" s="813" t="s">
        <v>31</v>
      </c>
      <c r="C540" s="805" t="str">
        <f>IF(B552="","",INDEX(NXchung!$B$3:$EP$57,MATCH(B552,NXchung!$B$3:$B$57,0),INDEX($K$12:$N$25,MATCH($B540,$J$12:$J$25,0),K$11)))</f>
        <v/>
      </c>
      <c r="D540" s="808" t="str">
        <f>IF(B552="","",INDEX(NXchung!$B$3:$EP$57,MATCH(B552,NXchung!$B$3:$B$57,0),INDEX($K$12:$N$25,MATCH($B540,$J$12:$J$25,0),L$11)))</f>
        <v/>
      </c>
      <c r="E540" s="805" t="str">
        <f>IF(B552="","",INDEX(NXchung!$B$3:$EP$57,MATCH(B552,NXchung!$B$3:$B$57,0),INDEX($K$12:$N$25,MATCH($B540,$J$12:$J$25,0),M$11)))</f>
        <v/>
      </c>
      <c r="F540" s="808" t="str">
        <f>IF(B552="","",INDEX(NXchung!$B$3:$EP$57,MATCH(B552,NXchung!$B$3:$B$57,0),INDEX($K$12:$N$25,MATCH($B540,$J$12:$J$25,0),N$11)))</f>
        <v/>
      </c>
      <c r="G540" s="805"/>
      <c r="I540" s="64"/>
      <c r="J540" s="64"/>
    </row>
    <row r="541" spans="1:10" ht="45.9" customHeight="1">
      <c r="A541" s="803" t="s">
        <v>198</v>
      </c>
      <c r="B541" s="813" t="s">
        <v>32</v>
      </c>
      <c r="C541" s="805" t="str">
        <f>IF(B552="","",INDEX(NXchung!$B$3:$EP$57,MATCH(B552,NXchung!$B$3:$B$57,0),INDEX($K$12:$N$25,MATCH($B541,$J$12:$J$25,0),K$11)))</f>
        <v/>
      </c>
      <c r="D541" s="808" t="str">
        <f>IF(B552="","",INDEX(NXchung!$B$3:$EP$57,MATCH(B552,NXchung!$B$3:$B$57,0),INDEX($K$12:$N$25,MATCH($B541,$J$12:$J$25,0),L$11)))</f>
        <v/>
      </c>
      <c r="E541" s="805" t="str">
        <f>IF(B552="","",INDEX(NXchung!$B$3:$EP$57,MATCH(B552,NXchung!$B$3:$B$57,0),INDEX($K$12:$N$25,MATCH($B541,$J$12:$J$25,0),M$11)))</f>
        <v/>
      </c>
      <c r="F541" s="808" t="str">
        <f>IF(B552="","",INDEX(NXchung!$B$3:$EP$57,MATCH(B552,NXchung!$B$3:$B$57,0),INDEX($K$12:$N$25,MATCH($B541,$J$12:$J$25,0),N$11)))</f>
        <v/>
      </c>
      <c r="G541" s="805"/>
      <c r="I541" s="64"/>
      <c r="J541" s="64"/>
    </row>
    <row r="542" spans="1:10" ht="45.9" customHeight="1">
      <c r="A542" s="803" t="s">
        <v>199</v>
      </c>
      <c r="B542" s="813" t="s">
        <v>33</v>
      </c>
      <c r="C542" s="805" t="str">
        <f>IF(B552="","",INDEX(NXchung!$B$3:$EP$57,MATCH(B552,NXchung!$B$3:$B$57,0),INDEX($K$12:$N$25,MATCH($B542,$J$12:$J$25,0),K$11)))</f>
        <v/>
      </c>
      <c r="D542" s="808" t="str">
        <f>IF(B552="","",INDEX(NXchung!$B$3:$EP$57,MATCH(B552,NXchung!$B$3:$B$57,0),INDEX($K$12:$N$25,MATCH($B542,$J$12:$J$25,0),L$11)))</f>
        <v/>
      </c>
      <c r="E542" s="805" t="str">
        <f>IF(B552="","",INDEX(NXchung!$B$3:$EP$57,MATCH(B552,NXchung!$B$3:$B$57,0),INDEX($K$12:$N$25,MATCH($B542,$J$12:$J$25,0),M$11)))</f>
        <v/>
      </c>
      <c r="F542" s="808" t="str">
        <f>IF(B552="","",INDEX(NXchung!$B$3:$EP$57,MATCH(B552,NXchung!$B$3:$B$57,0),INDEX($K$12:$N$25,MATCH($B542,$J$12:$J$25,0),N$11)))</f>
        <v/>
      </c>
      <c r="G542" s="805"/>
      <c r="I542" s="64"/>
      <c r="J542" s="64"/>
    </row>
    <row r="543" spans="1:10" ht="45.9" customHeight="1">
      <c r="A543" s="803" t="s">
        <v>200</v>
      </c>
      <c r="B543" s="813" t="s">
        <v>60</v>
      </c>
      <c r="C543" s="805" t="str">
        <f>IF(B552="","",INDEX(NXchung!$B$3:$EP$57,MATCH(B552,NXchung!$B$3:$B$57,0),INDEX($K$12:$N$25,MATCH($B543,$J$12:$J$25,0),K$11)))</f>
        <v/>
      </c>
      <c r="D543" s="808" t="str">
        <f>IF(B552="","",INDEX(NXchung!$B$3:$EP$57,MATCH(B552,NXchung!$B$3:$B$57,0),INDEX($K$12:$N$25,MATCH($B543,$J$12:$J$25,0),L$11)))</f>
        <v/>
      </c>
      <c r="E543" s="805" t="str">
        <f>IF(B552="","",INDEX(NXchung!$B$3:$EP$57,MATCH(B552,NXchung!$B$3:$B$57,0),INDEX($K$12:$N$25,MATCH($B543,$J$12:$J$25,0),M$11)))</f>
        <v/>
      </c>
      <c r="F543" s="808" t="str">
        <f>IF(B552="","",INDEX(NXchung!$B$3:$EP$57,MATCH(B552,NXchung!$B$3:$B$57,0),INDEX($K$12:$N$25,MATCH($B543,$J$12:$J$25,0),N$11)))</f>
        <v/>
      </c>
      <c r="G543" s="805"/>
      <c r="I543" s="64"/>
      <c r="J543" s="64"/>
    </row>
    <row r="544" spans="1:10" ht="45.9" customHeight="1">
      <c r="A544" s="803" t="s">
        <v>201</v>
      </c>
      <c r="B544" s="813" t="s">
        <v>34</v>
      </c>
      <c r="C544" s="805" t="str">
        <f>IF(B552="","",INDEX(NXchung!$B$3:$EP$57,MATCH(B552,NXchung!$B$3:$B$57,0),INDEX($K$12:$N$25,MATCH($B544,$J$12:$J$25,0),K$11)))</f>
        <v/>
      </c>
      <c r="D544" s="808" t="str">
        <f>IF(B552="","",INDEX(NXchung!$B$3:$EP$57,MATCH(B552,NXchung!$B$3:$B$57,0),INDEX($K$12:$N$25,MATCH($B544,$J$12:$J$25,0),L$11)))</f>
        <v/>
      </c>
      <c r="E544" s="805" t="str">
        <f>IF(B552="","",INDEX(NXchung!$B$3:$EP$57,MATCH(B552,NXchung!$B$3:$B$57,0),INDEX($K$12:$N$25,MATCH($B544,$J$12:$J$25,0),M$11)))</f>
        <v/>
      </c>
      <c r="F544" s="808" t="str">
        <f>IF(B552="","",INDEX(NXchung!$B$3:$EP$57,MATCH(B552,NXchung!$B$3:$B$57,0),INDEX($K$12:$N$25,MATCH($B544,$J$12:$J$25,0),N$11)))</f>
        <v/>
      </c>
      <c r="G544" s="805"/>
      <c r="I544" s="64"/>
      <c r="J544" s="64"/>
    </row>
    <row r="545" spans="1:10" ht="45.9" customHeight="1">
      <c r="A545" s="803" t="s">
        <v>202</v>
      </c>
      <c r="B545" s="813" t="s">
        <v>35</v>
      </c>
      <c r="C545" s="805" t="str">
        <f>IF(B552="","",INDEX(NXchung!$B$3:$EP$57,MATCH(B552,NXchung!$B$3:$B$57,0),INDEX($K$12:$N$25,MATCH($B545,$J$12:$J$25,0),K$11)))</f>
        <v/>
      </c>
      <c r="D545" s="808" t="str">
        <f>IF(B552="","",INDEX(NXchung!$B$3:$EP$57,MATCH(B552,NXchung!$B$3:$B$57,0),INDEX($K$12:$N$25,MATCH($B545,$J$12:$J$25,0),L$11)))</f>
        <v/>
      </c>
      <c r="E545" s="805" t="str">
        <f>IF(B552="","",INDEX(NXchung!$B$3:$EP$57,MATCH(B552,NXchung!$B$3:$B$57,0),INDEX($K$12:$N$25,MATCH($B545,$J$12:$J$25,0),M$11)))</f>
        <v>Đ</v>
      </c>
      <c r="F545" s="808" t="str">
        <f>IF(B552="","",INDEX(NXchung!$B$3:$EP$57,MATCH(B552,NXchung!$B$3:$B$57,0),INDEX($K$12:$N$25,MATCH($B545,$J$12:$J$25,0),N$11)))</f>
        <v>Rất ngoan, học có hiệu quả tốt.</v>
      </c>
      <c r="G545" s="805"/>
      <c r="I545" s="64"/>
      <c r="J545" s="64"/>
    </row>
    <row r="546" spans="1:10" ht="45.9" customHeight="1">
      <c r="A546" s="803" t="s">
        <v>203</v>
      </c>
      <c r="B546" s="813" t="s">
        <v>121</v>
      </c>
      <c r="C546" s="805" t="str">
        <f>IF(B552="","",INDEX(NXchung!$B$3:$EP$57,MATCH(B552,NXchung!$B$3:$B$57,0),INDEX($K$12:$N$25,MATCH($B546,$J$12:$J$25,0),K$11)))</f>
        <v/>
      </c>
      <c r="D546" s="808" t="str">
        <f>IF(B552="","",INDEX(NXchung!$B$3:$EP$57,MATCH(B552,NXchung!$B$3:$B$57,0),INDEX($K$12:$N$25,MATCH($B546,$J$12:$J$25,0),L$11)))</f>
        <v/>
      </c>
      <c r="E546" s="805" t="str">
        <f>IF(B552="","",INDEX(NXchung!$B$3:$EP$57,MATCH(B552,NXchung!$B$3:$B$57,0),INDEX($K$12:$N$25,MATCH($B546,$J$12:$J$25,0),M$11)))</f>
        <v/>
      </c>
      <c r="F546" s="808" t="str">
        <f>IF(B552="","",INDEX(NXchung!$B$3:$EP$57,MATCH(B552,NXchung!$B$3:$B$57,0),INDEX($K$12:$N$25,MATCH($B546,$J$12:$J$25,0),N$11)))</f>
        <v/>
      </c>
      <c r="G546" s="805"/>
      <c r="I546" s="64"/>
      <c r="J546" s="64"/>
    </row>
    <row r="547" spans="1:10" ht="45.9" customHeight="1">
      <c r="A547" s="803" t="s">
        <v>204</v>
      </c>
      <c r="B547" s="813" t="s">
        <v>122</v>
      </c>
      <c r="C547" s="805" t="str">
        <f>IF(B552="","",INDEX(NXchung!$B$3:$EP$57,MATCH(B552,NXchung!$B$3:$B$57,0),INDEX($K$12:$N$25,MATCH($B547,$J$12:$J$25,0),K$11)))</f>
        <v/>
      </c>
      <c r="D547" s="808" t="str">
        <f>IF(B552="","",INDEX(NXchung!$B$3:$EP$57,MATCH(B552,NXchung!$B$3:$B$57,0),INDEX($K$12:$N$25,MATCH($B547,$J$12:$J$25,0),L$11)))</f>
        <v/>
      </c>
      <c r="E547" s="805" t="str">
        <f>IF(B552="","",INDEX(NXchung!$B$3:$EP$57,MATCH(B552,NXchung!$B$3:$B$57,0),INDEX($K$12:$N$25,MATCH($B547,$J$12:$J$25,0),M$11)))</f>
        <v/>
      </c>
      <c r="F547" s="808" t="str">
        <f>IF(B552="","",INDEX(NXchung!$B$3:$EP$57,MATCH(B552,NXchung!$B$3:$B$57,0),INDEX($K$12:$N$25,MATCH($B547,$J$12:$J$25,0),N$11)))</f>
        <v/>
      </c>
      <c r="G547" s="805"/>
      <c r="I547" s="64"/>
      <c r="J547" s="64"/>
    </row>
    <row r="548" spans="1:10" s="60" customFormat="1" ht="6" customHeight="1">
      <c r="A548" s="67"/>
      <c r="B548" s="67"/>
      <c r="C548" s="475"/>
      <c r="D548" s="475"/>
      <c r="E548" s="67"/>
      <c r="F548" s="67"/>
      <c r="G548" s="67"/>
    </row>
    <row r="549" spans="1:10" ht="17.25" customHeight="1">
      <c r="D549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549" s="1163"/>
      <c r="F549" s="1163"/>
      <c r="G549" s="1163"/>
      <c r="H549" s="814"/>
    </row>
    <row r="550" spans="1:10" ht="16.5" customHeight="1">
      <c r="D550" s="992" t="s">
        <v>377</v>
      </c>
      <c r="E550" s="992"/>
      <c r="F550" s="992"/>
      <c r="G550" s="992"/>
      <c r="H550" s="814"/>
    </row>
    <row r="551" spans="1:10" ht="81.75" customHeight="1">
      <c r="D551" s="931" t="str">
        <f>IF('Huong dan'!$E$5="","",'Huong dan'!$E$5)</f>
        <v/>
      </c>
      <c r="E551" s="931"/>
      <c r="F551" s="931"/>
      <c r="G551" s="931"/>
      <c r="H551" s="814"/>
    </row>
    <row r="552" spans="1:10" ht="11.25" customHeight="1">
      <c r="A552" s="75"/>
      <c r="B552" s="815">
        <f>IF(B523="","",IF(B523&lt;MAX(DiemHKII!$B$4:$B$58),B523+1,""))</f>
        <v>19</v>
      </c>
      <c r="C552" s="75"/>
      <c r="D552" s="75"/>
      <c r="E552" s="75"/>
      <c r="F552" s="75"/>
      <c r="G552" s="75"/>
    </row>
    <row r="553" spans="1:10" s="60" customFormat="1" ht="21" customHeight="1">
      <c r="A553" s="1128" t="str">
        <f>IF('Huong dan'!$E$3&lt;&gt;"","SỞ GIÁO DỤC VÀ ĐÀO TẠO "&amp;UPPER('Huong dan'!$E$3),"")</f>
        <v>SỞ GIÁO DỤC VÀ ĐÀO TẠO TP. HỒ CHÍ MINH</v>
      </c>
      <c r="B553" s="1128"/>
      <c r="C553" s="1128"/>
      <c r="D553" s="1128"/>
      <c r="E553" s="1129" t="s">
        <v>19</v>
      </c>
      <c r="F553" s="1129"/>
      <c r="G553" s="1129"/>
    </row>
    <row r="554" spans="1:10" ht="17.25" customHeight="1">
      <c r="A554" s="992" t="str">
        <f>IF('Huong dan'!$E$4&lt;&gt;"","TRƯỜNG "&amp;UPPER('Huong dan'!$E$4),"")</f>
        <v>TRƯỜNG THCS VÀ THPT NGUYỄN KHUYẾN</v>
      </c>
      <c r="B554" s="992"/>
      <c r="C554" s="992"/>
      <c r="D554" s="992"/>
      <c r="E554" s="1130" t="s">
        <v>179</v>
      </c>
      <c r="F554" s="1130"/>
      <c r="G554" s="1130"/>
    </row>
    <row r="555" spans="1:10" ht="15" customHeight="1">
      <c r="A555" s="69"/>
      <c r="B555" s="69"/>
      <c r="C555" s="30"/>
    </row>
    <row r="556" spans="1:10" ht="27.75" customHeight="1">
      <c r="A556" s="1013" t="s">
        <v>567</v>
      </c>
      <c r="B556" s="1013"/>
      <c r="C556" s="1013"/>
      <c r="D556" s="1013"/>
      <c r="E556" s="1013"/>
      <c r="F556" s="1013"/>
      <c r="G556" s="1013"/>
    </row>
    <row r="557" spans="1:10" ht="24" customHeight="1">
      <c r="A557" s="1013" t="str">
        <f>"HỌC KỲ II VÀ CẢ NĂM - NĂM HỌC "&amp;'Huong dan'!$C$5</f>
        <v>HỌC KỲ II VÀ CẢ NĂM - NĂM HỌC 2021 - 2022</v>
      </c>
      <c r="B557" s="1013"/>
      <c r="C557" s="1013"/>
      <c r="D557" s="1013"/>
      <c r="E557" s="1013"/>
      <c r="F557" s="1013"/>
      <c r="G557" s="1013"/>
    </row>
    <row r="558" spans="1:10" ht="9" customHeight="1">
      <c r="A558" s="70"/>
      <c r="B558" s="66"/>
      <c r="C558" s="66"/>
      <c r="D558" s="66"/>
      <c r="E558" s="66"/>
      <c r="F558" s="66"/>
      <c r="G558" s="66"/>
    </row>
    <row r="559" spans="1:10" ht="18.75" customHeight="1">
      <c r="A559" s="1167" t="s">
        <v>212</v>
      </c>
      <c r="B559" s="1167"/>
      <c r="C559" s="1167"/>
      <c r="D559" s="1167" t="str">
        <f>IF(B581="","",INDEX(NXchung!$B$3:$EP$57,MATCH(B581,NXchung!$B$3:$B$57,0),3)&amp;" "&amp;INDEX(NXchung!$B$3:$EP$57,MATCH(B581,NXchung!$B$3:$B$57,0),4))</f>
        <v>Nguyễn Phúc Lâm</v>
      </c>
      <c r="E559" s="1167"/>
      <c r="F559" s="77" t="str">
        <f>IF('Huong dan'!$C$3="","","Lớp: "&amp;'Huong dan'!$C$3)</f>
        <v>Lớp: 12A1</v>
      </c>
      <c r="G559" s="71"/>
    </row>
    <row r="560" spans="1:10" ht="18.75" customHeight="1">
      <c r="A560" s="1168" t="s">
        <v>213</v>
      </c>
      <c r="B560" s="1168"/>
      <c r="C560" s="1168"/>
      <c r="D560" s="77" t="str">
        <f>INDEX(NXchung!$B$3:$EP$57,MATCH(B581,NXchung!$B$3:$B$57,0),5)</f>
        <v>02/04/2004</v>
      </c>
      <c r="F560" s="841" t="str">
        <f>IF(B581="","","Nơi sinh: "&amp;INDEX(DiemHKII!$H$4:$H$58,MATCH(B581,DiemHKII!$B$4:$B$58,0),1))</f>
        <v xml:space="preserve">Nơi sinh: </v>
      </c>
      <c r="G560" s="77"/>
    </row>
    <row r="561" spans="1:10" ht="9.75" customHeight="1">
      <c r="A561" s="62"/>
      <c r="B561" s="62"/>
      <c r="C561" s="62"/>
      <c r="D561" s="62"/>
      <c r="E561" s="62"/>
      <c r="F561" s="62"/>
      <c r="G561" s="63"/>
    </row>
    <row r="562" spans="1:10" ht="31.5" customHeight="1">
      <c r="A562" s="801" t="s">
        <v>0</v>
      </c>
      <c r="B562" s="801" t="s">
        <v>59</v>
      </c>
      <c r="C562" s="806" t="s">
        <v>661</v>
      </c>
      <c r="D562" s="801" t="s">
        <v>296</v>
      </c>
      <c r="E562" s="806" t="s">
        <v>662</v>
      </c>
      <c r="F562" s="801" t="s">
        <v>361</v>
      </c>
      <c r="G562" s="802" t="s">
        <v>569</v>
      </c>
    </row>
    <row r="563" spans="1:10" ht="45.9" customHeight="1">
      <c r="A563" s="803" t="s">
        <v>191</v>
      </c>
      <c r="B563" s="813" t="s">
        <v>26</v>
      </c>
      <c r="C563" s="805" t="str">
        <f>IF(B581="","",INDEX(NXchung!$B$3:$EP$57,MATCH(B581,NXchung!$B$3:$B$57,0),INDEX($K$12:$N$25,MATCH($B563,$J$12:$J$25,0),K$11)))</f>
        <v/>
      </c>
      <c r="D563" s="808" t="str">
        <f>IF(B581="","",INDEX(NXchung!$B$3:$EP$57,MATCH(B581,NXchung!$B$3:$B$57,0),INDEX($K$12:$N$25,MATCH($B563,$J$12:$J$25,0),L$11)))</f>
        <v/>
      </c>
      <c r="E563" s="805" t="str">
        <f>IF(B581="","",INDEX(NXchung!$B$3:$EP$57,MATCH(B581,NXchung!$B$3:$B$57,0),INDEX($K$12:$N$25,MATCH($B563,$J$12:$J$25,0),M$11)))</f>
        <v/>
      </c>
      <c r="F563" s="808" t="str">
        <f>IF(B581="","",INDEX(NXchung!$B$3:$EP$57,MATCH(B581,NXchung!$B$3:$B$57,0),INDEX($K$12:$N$25,MATCH($B563,$J$12:$J$25,0),N$11)))</f>
        <v/>
      </c>
      <c r="G563" s="805"/>
      <c r="I563" s="64"/>
      <c r="J563" s="64"/>
    </row>
    <row r="564" spans="1:10" ht="45.9" customHeight="1">
      <c r="A564" s="803" t="s">
        <v>192</v>
      </c>
      <c r="B564" s="813" t="s">
        <v>27</v>
      </c>
      <c r="C564" s="805" t="str">
        <f>IF(B581="","",INDEX(NXchung!$B$3:$EP$57,MATCH(B581,NXchung!$B$3:$B$57,0),INDEX($K$12:$N$25,MATCH($B564,$J$12:$J$25,0),K$11)))</f>
        <v/>
      </c>
      <c r="D564" s="808" t="str">
        <f>IF(B581="","",INDEX(NXchung!$B$3:$EP$57,MATCH(B581,NXchung!$B$3:$B$57,0),INDEX($K$12:$N$25,MATCH($B564,$J$12:$J$25,0),L$11)))</f>
        <v/>
      </c>
      <c r="E564" s="805" t="str">
        <f>IF(B581="","",INDEX(NXchung!$B$3:$EP$57,MATCH(B581,NXchung!$B$3:$B$57,0),INDEX($K$12:$N$25,MATCH($B564,$J$12:$J$25,0),M$11)))</f>
        <v/>
      </c>
      <c r="F564" s="808" t="str">
        <f>IF(B581="","",INDEX(NXchung!$B$3:$EP$57,MATCH(B581,NXchung!$B$3:$B$57,0),INDEX($K$12:$N$25,MATCH($B564,$J$12:$J$25,0),N$11)))</f>
        <v/>
      </c>
      <c r="G564" s="805"/>
      <c r="I564" s="64"/>
      <c r="J564" s="64"/>
    </row>
    <row r="565" spans="1:10" ht="45.9" customHeight="1">
      <c r="A565" s="803" t="s">
        <v>193</v>
      </c>
      <c r="B565" s="813" t="s">
        <v>28</v>
      </c>
      <c r="C565" s="805" t="str">
        <f>IF(B581="","",INDEX(NXchung!$B$3:$EP$57,MATCH(B581,NXchung!$B$3:$B$57,0),INDEX($K$12:$N$25,MATCH($B565,$J$12:$J$25,0),K$11)))</f>
        <v/>
      </c>
      <c r="D565" s="808" t="str">
        <f>IF(B581="","",INDEX(NXchung!$B$3:$EP$57,MATCH(B581,NXchung!$B$3:$B$57,0),INDEX($K$12:$N$25,MATCH($B565,$J$12:$J$25,0),L$11)))</f>
        <v/>
      </c>
      <c r="E565" s="805" t="str">
        <f>IF(B581="","",INDEX(NXchung!$B$3:$EP$57,MATCH(B581,NXchung!$B$3:$B$57,0),INDEX($K$12:$N$25,MATCH($B565,$J$12:$J$25,0),M$11)))</f>
        <v/>
      </c>
      <c r="F565" s="808" t="str">
        <f>IF(B581="","",INDEX(NXchung!$B$3:$EP$57,MATCH(B581,NXchung!$B$3:$B$57,0),INDEX($K$12:$N$25,MATCH($B565,$J$12:$J$25,0),N$11)))</f>
        <v/>
      </c>
      <c r="G565" s="805"/>
      <c r="I565" s="64"/>
      <c r="J565" s="64"/>
    </row>
    <row r="566" spans="1:10" ht="45.9" customHeight="1">
      <c r="A566" s="803" t="s">
        <v>194</v>
      </c>
      <c r="B566" s="813" t="s">
        <v>29</v>
      </c>
      <c r="C566" s="805" t="str">
        <f>IF(B581="","",INDEX(NXchung!$B$3:$EP$57,MATCH(B581,NXchung!$B$3:$B$57,0),INDEX($K$12:$N$25,MATCH($B566,$J$12:$J$25,0),K$11)))</f>
        <v/>
      </c>
      <c r="D566" s="808" t="str">
        <f>IF(B581="","",INDEX(NXchung!$B$3:$EP$57,MATCH(B581,NXchung!$B$3:$B$57,0),INDEX($K$12:$N$25,MATCH($B566,$J$12:$J$25,0),L$11)))</f>
        <v/>
      </c>
      <c r="E566" s="805" t="str">
        <f>IF(B581="","",INDEX(NXchung!$B$3:$EP$57,MATCH(B581,NXchung!$B$3:$B$57,0),INDEX($K$12:$N$25,MATCH($B566,$J$12:$J$25,0),M$11)))</f>
        <v/>
      </c>
      <c r="F566" s="808" t="str">
        <f>IF(B581="","",INDEX(NXchung!$B$3:$EP$57,MATCH(B581,NXchung!$B$3:$B$57,0),INDEX($K$12:$N$25,MATCH($B566,$J$12:$J$25,0),N$11)))</f>
        <v/>
      </c>
      <c r="G566" s="805"/>
      <c r="I566" s="64"/>
      <c r="J566" s="64"/>
    </row>
    <row r="567" spans="1:10" ht="45.9" customHeight="1">
      <c r="A567" s="803" t="s">
        <v>195</v>
      </c>
      <c r="B567" s="813" t="s">
        <v>120</v>
      </c>
      <c r="C567" s="805" t="str">
        <f>IF(B581="","",INDEX(NXchung!$B$3:$EP$57,MATCH(B581,NXchung!$B$3:$B$57,0),INDEX($K$12:$N$25,MATCH($B567,$J$12:$J$25,0),K$11)))</f>
        <v/>
      </c>
      <c r="D567" s="808" t="str">
        <f>IF(B581="","",INDEX(NXchung!$B$3:$EP$57,MATCH(B581,NXchung!$B$3:$B$57,0),INDEX($K$12:$N$25,MATCH($B567,$J$12:$J$25,0),L$11)))</f>
        <v/>
      </c>
      <c r="E567" s="805" t="str">
        <f>IF(B581="","",INDEX(NXchung!$B$3:$EP$57,MATCH(B581,NXchung!$B$3:$B$57,0),INDEX($K$12:$N$25,MATCH($B567,$J$12:$J$25,0),M$11)))</f>
        <v/>
      </c>
      <c r="F567" s="808" t="str">
        <f>IF(B581="","",INDEX(NXchung!$B$3:$EP$57,MATCH(B581,NXchung!$B$3:$B$57,0),INDEX($K$12:$N$25,MATCH($B567,$J$12:$J$25,0),N$11)))</f>
        <v/>
      </c>
      <c r="G567" s="805"/>
      <c r="I567" s="64"/>
      <c r="J567" s="64"/>
    </row>
    <row r="568" spans="1:10" ht="45.9" customHeight="1">
      <c r="A568" s="803" t="s">
        <v>196</v>
      </c>
      <c r="B568" s="813" t="s">
        <v>30</v>
      </c>
      <c r="C568" s="805" t="str">
        <f>IF(B581="","",INDEX(NXchung!$B$3:$EP$57,MATCH(B581,NXchung!$B$3:$B$57,0),INDEX($K$12:$N$25,MATCH($B568,$J$12:$J$25,0),K$11)))</f>
        <v/>
      </c>
      <c r="D568" s="808" t="str">
        <f>IF(B581="","",INDEX(NXchung!$B$3:$EP$57,MATCH(B581,NXchung!$B$3:$B$57,0),INDEX($K$12:$N$25,MATCH($B568,$J$12:$J$25,0),L$11)))</f>
        <v/>
      </c>
      <c r="E568" s="805" t="str">
        <f>IF(B581="","",INDEX(NXchung!$B$3:$EP$57,MATCH(B581,NXchung!$B$3:$B$57,0),INDEX($K$12:$N$25,MATCH($B568,$J$12:$J$25,0),M$11)))</f>
        <v/>
      </c>
      <c r="F568" s="808" t="str">
        <f>IF(B581="","",INDEX(NXchung!$B$3:$EP$57,MATCH(B581,NXchung!$B$3:$B$57,0),INDEX($K$12:$N$25,MATCH($B568,$J$12:$J$25,0),N$11)))</f>
        <v/>
      </c>
      <c r="G568" s="805"/>
      <c r="I568" s="64"/>
      <c r="J568" s="64"/>
    </row>
    <row r="569" spans="1:10" ht="45.9" customHeight="1">
      <c r="A569" s="803" t="s">
        <v>197</v>
      </c>
      <c r="B569" s="813" t="s">
        <v>31</v>
      </c>
      <c r="C569" s="805" t="str">
        <f>IF(B581="","",INDEX(NXchung!$B$3:$EP$57,MATCH(B581,NXchung!$B$3:$B$57,0),INDEX($K$12:$N$25,MATCH($B569,$J$12:$J$25,0),K$11)))</f>
        <v/>
      </c>
      <c r="D569" s="808" t="str">
        <f>IF(B581="","",INDEX(NXchung!$B$3:$EP$57,MATCH(B581,NXchung!$B$3:$B$57,0),INDEX($K$12:$N$25,MATCH($B569,$J$12:$J$25,0),L$11)))</f>
        <v/>
      </c>
      <c r="E569" s="805" t="str">
        <f>IF(B581="","",INDEX(NXchung!$B$3:$EP$57,MATCH(B581,NXchung!$B$3:$B$57,0),INDEX($K$12:$N$25,MATCH($B569,$J$12:$J$25,0),M$11)))</f>
        <v/>
      </c>
      <c r="F569" s="808" t="str">
        <f>IF(B581="","",INDEX(NXchung!$B$3:$EP$57,MATCH(B581,NXchung!$B$3:$B$57,0),INDEX($K$12:$N$25,MATCH($B569,$J$12:$J$25,0),N$11)))</f>
        <v/>
      </c>
      <c r="G569" s="805"/>
      <c r="I569" s="64"/>
      <c r="J569" s="64"/>
    </row>
    <row r="570" spans="1:10" ht="45.9" customHeight="1">
      <c r="A570" s="803" t="s">
        <v>198</v>
      </c>
      <c r="B570" s="813" t="s">
        <v>32</v>
      </c>
      <c r="C570" s="805" t="str">
        <f>IF(B581="","",INDEX(NXchung!$B$3:$EP$57,MATCH(B581,NXchung!$B$3:$B$57,0),INDEX($K$12:$N$25,MATCH($B570,$J$12:$J$25,0),K$11)))</f>
        <v/>
      </c>
      <c r="D570" s="808" t="str">
        <f>IF(B581="","",INDEX(NXchung!$B$3:$EP$57,MATCH(B581,NXchung!$B$3:$B$57,0),INDEX($K$12:$N$25,MATCH($B570,$J$12:$J$25,0),L$11)))</f>
        <v/>
      </c>
      <c r="E570" s="805" t="str">
        <f>IF(B581="","",INDEX(NXchung!$B$3:$EP$57,MATCH(B581,NXchung!$B$3:$B$57,0),INDEX($K$12:$N$25,MATCH($B570,$J$12:$J$25,0),M$11)))</f>
        <v/>
      </c>
      <c r="F570" s="808" t="str">
        <f>IF(B581="","",INDEX(NXchung!$B$3:$EP$57,MATCH(B581,NXchung!$B$3:$B$57,0),INDEX($K$12:$N$25,MATCH($B570,$J$12:$J$25,0),N$11)))</f>
        <v/>
      </c>
      <c r="G570" s="805"/>
      <c r="I570" s="64"/>
      <c r="J570" s="64"/>
    </row>
    <row r="571" spans="1:10" ht="45.9" customHeight="1">
      <c r="A571" s="803" t="s">
        <v>199</v>
      </c>
      <c r="B571" s="813" t="s">
        <v>33</v>
      </c>
      <c r="C571" s="805" t="str">
        <f>IF(B581="","",INDEX(NXchung!$B$3:$EP$57,MATCH(B581,NXchung!$B$3:$B$57,0),INDEX($K$12:$N$25,MATCH($B571,$J$12:$J$25,0),K$11)))</f>
        <v/>
      </c>
      <c r="D571" s="808" t="str">
        <f>IF(B581="","",INDEX(NXchung!$B$3:$EP$57,MATCH(B581,NXchung!$B$3:$B$57,0),INDEX($K$12:$N$25,MATCH($B571,$J$12:$J$25,0),L$11)))</f>
        <v/>
      </c>
      <c r="E571" s="805" t="str">
        <f>IF(B581="","",INDEX(NXchung!$B$3:$EP$57,MATCH(B581,NXchung!$B$3:$B$57,0),INDEX($K$12:$N$25,MATCH($B571,$J$12:$J$25,0),M$11)))</f>
        <v/>
      </c>
      <c r="F571" s="808" t="str">
        <f>IF(B581="","",INDEX(NXchung!$B$3:$EP$57,MATCH(B581,NXchung!$B$3:$B$57,0),INDEX($K$12:$N$25,MATCH($B571,$J$12:$J$25,0),N$11)))</f>
        <v/>
      </c>
      <c r="G571" s="805"/>
      <c r="I571" s="64"/>
      <c r="J571" s="64"/>
    </row>
    <row r="572" spans="1:10" ht="45.9" customHeight="1">
      <c r="A572" s="803" t="s">
        <v>200</v>
      </c>
      <c r="B572" s="813" t="s">
        <v>60</v>
      </c>
      <c r="C572" s="805" t="str">
        <f>IF(B581="","",INDEX(NXchung!$B$3:$EP$57,MATCH(B581,NXchung!$B$3:$B$57,0),INDEX($K$12:$N$25,MATCH($B572,$J$12:$J$25,0),K$11)))</f>
        <v/>
      </c>
      <c r="D572" s="808" t="str">
        <f>IF(B581="","",INDEX(NXchung!$B$3:$EP$57,MATCH(B581,NXchung!$B$3:$B$57,0),INDEX($K$12:$N$25,MATCH($B572,$J$12:$J$25,0),L$11)))</f>
        <v/>
      </c>
      <c r="E572" s="805" t="str">
        <f>IF(B581="","",INDEX(NXchung!$B$3:$EP$57,MATCH(B581,NXchung!$B$3:$B$57,0),INDEX($K$12:$N$25,MATCH($B572,$J$12:$J$25,0),M$11)))</f>
        <v/>
      </c>
      <c r="F572" s="808" t="str">
        <f>IF(B581="","",INDEX(NXchung!$B$3:$EP$57,MATCH(B581,NXchung!$B$3:$B$57,0),INDEX($K$12:$N$25,MATCH($B572,$J$12:$J$25,0),N$11)))</f>
        <v/>
      </c>
      <c r="G572" s="805"/>
      <c r="I572" s="64"/>
      <c r="J572" s="64"/>
    </row>
    <row r="573" spans="1:10" ht="45.9" customHeight="1">
      <c r="A573" s="803" t="s">
        <v>201</v>
      </c>
      <c r="B573" s="813" t="s">
        <v>34</v>
      </c>
      <c r="C573" s="805" t="str">
        <f>IF(B581="","",INDEX(NXchung!$B$3:$EP$57,MATCH(B581,NXchung!$B$3:$B$57,0),INDEX($K$12:$N$25,MATCH($B573,$J$12:$J$25,0),K$11)))</f>
        <v/>
      </c>
      <c r="D573" s="808" t="str">
        <f>IF(B581="","",INDEX(NXchung!$B$3:$EP$57,MATCH(B581,NXchung!$B$3:$B$57,0),INDEX($K$12:$N$25,MATCH($B573,$J$12:$J$25,0),L$11)))</f>
        <v/>
      </c>
      <c r="E573" s="805" t="str">
        <f>IF(B581="","",INDEX(NXchung!$B$3:$EP$57,MATCH(B581,NXchung!$B$3:$B$57,0),INDEX($K$12:$N$25,MATCH($B573,$J$12:$J$25,0),M$11)))</f>
        <v/>
      </c>
      <c r="F573" s="808" t="str">
        <f>IF(B581="","",INDEX(NXchung!$B$3:$EP$57,MATCH(B581,NXchung!$B$3:$B$57,0),INDEX($K$12:$N$25,MATCH($B573,$J$12:$J$25,0),N$11)))</f>
        <v/>
      </c>
      <c r="G573" s="805"/>
      <c r="I573" s="64"/>
      <c r="J573" s="64"/>
    </row>
    <row r="574" spans="1:10" ht="45.9" customHeight="1">
      <c r="A574" s="803" t="s">
        <v>202</v>
      </c>
      <c r="B574" s="813" t="s">
        <v>35</v>
      </c>
      <c r="C574" s="805" t="str">
        <f>IF(B581="","",INDEX(NXchung!$B$3:$EP$57,MATCH(B581,NXchung!$B$3:$B$57,0),INDEX($K$12:$N$25,MATCH($B574,$J$12:$J$25,0),K$11)))</f>
        <v/>
      </c>
      <c r="D574" s="808" t="str">
        <f>IF(B581="","",INDEX(NXchung!$B$3:$EP$57,MATCH(B581,NXchung!$B$3:$B$57,0),INDEX($K$12:$N$25,MATCH($B574,$J$12:$J$25,0),L$11)))</f>
        <v/>
      </c>
      <c r="E574" s="805" t="str">
        <f>IF(B581="","",INDEX(NXchung!$B$3:$EP$57,MATCH(B581,NXchung!$B$3:$B$57,0),INDEX($K$12:$N$25,MATCH($B574,$J$12:$J$25,0),M$11)))</f>
        <v>Đ</v>
      </c>
      <c r="F574" s="808" t="str">
        <f>IF(B581="","",INDEX(NXchung!$B$3:$EP$57,MATCH(B581,NXchung!$B$3:$B$57,0),INDEX($K$12:$N$25,MATCH($B574,$J$12:$J$25,0),N$11)))</f>
        <v>Chăm chỉ, cố gắng, rất ngoan.</v>
      </c>
      <c r="G574" s="805"/>
      <c r="I574" s="64"/>
      <c r="J574" s="64"/>
    </row>
    <row r="575" spans="1:10" ht="45.9" customHeight="1">
      <c r="A575" s="803" t="s">
        <v>203</v>
      </c>
      <c r="B575" s="813" t="s">
        <v>121</v>
      </c>
      <c r="C575" s="805" t="str">
        <f>IF(B581="","",INDEX(NXchung!$B$3:$EP$57,MATCH(B581,NXchung!$B$3:$B$57,0),INDEX($K$12:$N$25,MATCH($B575,$J$12:$J$25,0),K$11)))</f>
        <v/>
      </c>
      <c r="D575" s="808" t="str">
        <f>IF(B581="","",INDEX(NXchung!$B$3:$EP$57,MATCH(B581,NXchung!$B$3:$B$57,0),INDEX($K$12:$N$25,MATCH($B575,$J$12:$J$25,0),L$11)))</f>
        <v/>
      </c>
      <c r="E575" s="805" t="str">
        <f>IF(B581="","",INDEX(NXchung!$B$3:$EP$57,MATCH(B581,NXchung!$B$3:$B$57,0),INDEX($K$12:$N$25,MATCH($B575,$J$12:$J$25,0),M$11)))</f>
        <v/>
      </c>
      <c r="F575" s="808" t="str">
        <f>IF(B581="","",INDEX(NXchung!$B$3:$EP$57,MATCH(B581,NXchung!$B$3:$B$57,0),INDEX($K$12:$N$25,MATCH($B575,$J$12:$J$25,0),N$11)))</f>
        <v/>
      </c>
      <c r="G575" s="805"/>
      <c r="I575" s="64"/>
      <c r="J575" s="64"/>
    </row>
    <row r="576" spans="1:10" ht="45.9" customHeight="1">
      <c r="A576" s="803" t="s">
        <v>204</v>
      </c>
      <c r="B576" s="813" t="s">
        <v>122</v>
      </c>
      <c r="C576" s="805" t="str">
        <f>IF(B581="","",INDEX(NXchung!$B$3:$EP$57,MATCH(B581,NXchung!$B$3:$B$57,0),INDEX($K$12:$N$25,MATCH($B576,$J$12:$J$25,0),K$11)))</f>
        <v/>
      </c>
      <c r="D576" s="808" t="str">
        <f>IF(B581="","",INDEX(NXchung!$B$3:$EP$57,MATCH(B581,NXchung!$B$3:$B$57,0),INDEX($K$12:$N$25,MATCH($B576,$J$12:$J$25,0),L$11)))</f>
        <v/>
      </c>
      <c r="E576" s="805" t="str">
        <f>IF(B581="","",INDEX(NXchung!$B$3:$EP$57,MATCH(B581,NXchung!$B$3:$B$57,0),INDEX($K$12:$N$25,MATCH($B576,$J$12:$J$25,0),M$11)))</f>
        <v/>
      </c>
      <c r="F576" s="808" t="str">
        <f>IF(B581="","",INDEX(NXchung!$B$3:$EP$57,MATCH(B581,NXchung!$B$3:$B$57,0),INDEX($K$12:$N$25,MATCH($B576,$J$12:$J$25,0),N$11)))</f>
        <v/>
      </c>
      <c r="G576" s="805"/>
      <c r="I576" s="64"/>
      <c r="J576" s="64"/>
    </row>
    <row r="577" spans="1:10" s="60" customFormat="1" ht="6" customHeight="1">
      <c r="A577" s="67"/>
      <c r="B577" s="67"/>
      <c r="C577" s="475"/>
      <c r="D577" s="475"/>
      <c r="E577" s="67"/>
      <c r="F577" s="67"/>
      <c r="G577" s="67"/>
    </row>
    <row r="578" spans="1:10" ht="17.25" customHeight="1">
      <c r="D578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578" s="1163"/>
      <c r="F578" s="1163"/>
      <c r="G578" s="1163"/>
      <c r="H578" s="814"/>
    </row>
    <row r="579" spans="1:10" ht="16.5" customHeight="1">
      <c r="D579" s="992" t="s">
        <v>377</v>
      </c>
      <c r="E579" s="992"/>
      <c r="F579" s="992"/>
      <c r="G579" s="992"/>
      <c r="H579" s="814"/>
    </row>
    <row r="580" spans="1:10" ht="81.75" customHeight="1">
      <c r="D580" s="931" t="str">
        <f>IF('Huong dan'!$E$5="","",'Huong dan'!$E$5)</f>
        <v/>
      </c>
      <c r="E580" s="931"/>
      <c r="F580" s="931"/>
      <c r="G580" s="931"/>
      <c r="H580" s="814"/>
    </row>
    <row r="581" spans="1:10" ht="11.25" customHeight="1">
      <c r="A581" s="75"/>
      <c r="B581" s="815">
        <f>IF(B552="","",IF(B552&lt;MAX(DiemHKII!$B$4:$B$58),B552+1,""))</f>
        <v>20</v>
      </c>
      <c r="C581" s="75"/>
      <c r="D581" s="75"/>
      <c r="E581" s="75"/>
      <c r="F581" s="75"/>
      <c r="G581" s="75"/>
    </row>
    <row r="582" spans="1:10" s="60" customFormat="1" ht="21" customHeight="1">
      <c r="A582" s="1128" t="str">
        <f>IF('Huong dan'!$E$3&lt;&gt;"","SỞ GIÁO DỤC VÀ ĐÀO TẠO "&amp;UPPER('Huong dan'!$E$3),"")</f>
        <v>SỞ GIÁO DỤC VÀ ĐÀO TẠO TP. HỒ CHÍ MINH</v>
      </c>
      <c r="B582" s="1128"/>
      <c r="C582" s="1128"/>
      <c r="D582" s="1128"/>
      <c r="E582" s="1129" t="s">
        <v>19</v>
      </c>
      <c r="F582" s="1129"/>
      <c r="G582" s="1129"/>
    </row>
    <row r="583" spans="1:10" ht="17.25" customHeight="1">
      <c r="A583" s="992" t="str">
        <f>IF('Huong dan'!$E$4&lt;&gt;"","TRƯỜNG "&amp;UPPER('Huong dan'!$E$4),"")</f>
        <v>TRƯỜNG THCS VÀ THPT NGUYỄN KHUYẾN</v>
      </c>
      <c r="B583" s="992"/>
      <c r="C583" s="992"/>
      <c r="D583" s="992"/>
      <c r="E583" s="1130" t="s">
        <v>179</v>
      </c>
      <c r="F583" s="1130"/>
      <c r="G583" s="1130"/>
    </row>
    <row r="584" spans="1:10" ht="15" customHeight="1">
      <c r="A584" s="69"/>
      <c r="B584" s="69"/>
      <c r="C584" s="30"/>
    </row>
    <row r="585" spans="1:10" ht="27.75" customHeight="1">
      <c r="A585" s="1013" t="s">
        <v>567</v>
      </c>
      <c r="B585" s="1013"/>
      <c r="C585" s="1013"/>
      <c r="D585" s="1013"/>
      <c r="E585" s="1013"/>
      <c r="F585" s="1013"/>
      <c r="G585" s="1013"/>
    </row>
    <row r="586" spans="1:10" ht="24" customHeight="1">
      <c r="A586" s="1013" t="str">
        <f>"HỌC KỲ II VÀ CẢ NĂM - NĂM HỌC "&amp;'Huong dan'!$C$5</f>
        <v>HỌC KỲ II VÀ CẢ NĂM - NĂM HỌC 2021 - 2022</v>
      </c>
      <c r="B586" s="1013"/>
      <c r="C586" s="1013"/>
      <c r="D586" s="1013"/>
      <c r="E586" s="1013"/>
      <c r="F586" s="1013"/>
      <c r="G586" s="1013"/>
    </row>
    <row r="587" spans="1:10" ht="9" customHeight="1">
      <c r="A587" s="70"/>
      <c r="B587" s="66"/>
      <c r="C587" s="66"/>
      <c r="D587" s="66"/>
      <c r="E587" s="66"/>
      <c r="F587" s="66"/>
      <c r="G587" s="66"/>
    </row>
    <row r="588" spans="1:10" ht="18.75" customHeight="1">
      <c r="A588" s="1167" t="s">
        <v>212</v>
      </c>
      <c r="B588" s="1167"/>
      <c r="C588" s="1167"/>
      <c r="D588" s="1167" t="str">
        <f>IF(B610="","",INDEX(NXchung!$B$3:$EP$57,MATCH(B610,NXchung!$B$3:$B$57,0),3)&amp;" "&amp;INDEX(NXchung!$B$3:$EP$57,MATCH(B610,NXchung!$B$3:$B$57,0),4))</f>
        <v>Phạm Tấn Lộc</v>
      </c>
      <c r="E588" s="1167"/>
      <c r="F588" s="77" t="str">
        <f>IF('Huong dan'!$C$3="","","Lớp: "&amp;'Huong dan'!$C$3)</f>
        <v>Lớp: 12A1</v>
      </c>
      <c r="G588" s="71"/>
    </row>
    <row r="589" spans="1:10" ht="18.75" customHeight="1">
      <c r="A589" s="1168" t="s">
        <v>213</v>
      </c>
      <c r="B589" s="1168"/>
      <c r="C589" s="1168"/>
      <c r="D589" s="77" t="str">
        <f>INDEX(NXchung!$B$3:$EP$57,MATCH(B610,NXchung!$B$3:$B$57,0),5)</f>
        <v>05/07/2004</v>
      </c>
      <c r="F589" s="841" t="str">
        <f>IF(B610="","","Nơi sinh: "&amp;INDEX(DiemHKII!$H$4:$H$58,MATCH(B610,DiemHKII!$B$4:$B$58,0),1))</f>
        <v xml:space="preserve">Nơi sinh: </v>
      </c>
      <c r="G589" s="77"/>
    </row>
    <row r="590" spans="1:10" ht="9.75" customHeight="1">
      <c r="A590" s="62"/>
      <c r="B590" s="62"/>
      <c r="C590" s="62"/>
      <c r="D590" s="62"/>
      <c r="E590" s="62"/>
      <c r="F590" s="62"/>
      <c r="G590" s="63"/>
    </row>
    <row r="591" spans="1:10" ht="31.5" customHeight="1">
      <c r="A591" s="801" t="s">
        <v>0</v>
      </c>
      <c r="B591" s="801" t="s">
        <v>59</v>
      </c>
      <c r="C591" s="806" t="s">
        <v>661</v>
      </c>
      <c r="D591" s="801" t="s">
        <v>296</v>
      </c>
      <c r="E591" s="806" t="s">
        <v>662</v>
      </c>
      <c r="F591" s="801" t="s">
        <v>361</v>
      </c>
      <c r="G591" s="802" t="s">
        <v>569</v>
      </c>
    </row>
    <row r="592" spans="1:10" ht="45.9" customHeight="1">
      <c r="A592" s="803" t="s">
        <v>191</v>
      </c>
      <c r="B592" s="813" t="s">
        <v>26</v>
      </c>
      <c r="C592" s="805" t="str">
        <f>IF(B610="","",INDEX(NXchung!$B$3:$EP$57,MATCH(B610,NXchung!$B$3:$B$57,0),INDEX($K$12:$N$25,MATCH($B592,$J$12:$J$25,0),K$11)))</f>
        <v/>
      </c>
      <c r="D592" s="808" t="str">
        <f>IF(B610="","",INDEX(NXchung!$B$3:$EP$57,MATCH(B610,NXchung!$B$3:$B$57,0),INDEX($K$12:$N$25,MATCH($B592,$J$12:$J$25,0),L$11)))</f>
        <v/>
      </c>
      <c r="E592" s="805" t="str">
        <f>IF(B610="","",INDEX(NXchung!$B$3:$EP$57,MATCH(B610,NXchung!$B$3:$B$57,0),INDEX($K$12:$N$25,MATCH($B592,$J$12:$J$25,0),M$11)))</f>
        <v/>
      </c>
      <c r="F592" s="808" t="str">
        <f>IF(B610="","",INDEX(NXchung!$B$3:$EP$57,MATCH(B610,NXchung!$B$3:$B$57,0),INDEX($K$12:$N$25,MATCH($B592,$J$12:$J$25,0),N$11)))</f>
        <v/>
      </c>
      <c r="G592" s="805"/>
      <c r="I592" s="64"/>
      <c r="J592" s="64"/>
    </row>
    <row r="593" spans="1:10" ht="45.9" customHeight="1">
      <c r="A593" s="803" t="s">
        <v>192</v>
      </c>
      <c r="B593" s="813" t="s">
        <v>27</v>
      </c>
      <c r="C593" s="805" t="str">
        <f>IF(B610="","",INDEX(NXchung!$B$3:$EP$57,MATCH(B610,NXchung!$B$3:$B$57,0),INDEX($K$12:$N$25,MATCH($B593,$J$12:$J$25,0),K$11)))</f>
        <v/>
      </c>
      <c r="D593" s="808" t="str">
        <f>IF(B610="","",INDEX(NXchung!$B$3:$EP$57,MATCH(B610,NXchung!$B$3:$B$57,0),INDEX($K$12:$N$25,MATCH($B593,$J$12:$J$25,0),L$11)))</f>
        <v/>
      </c>
      <c r="E593" s="805" t="str">
        <f>IF(B610="","",INDEX(NXchung!$B$3:$EP$57,MATCH(B610,NXchung!$B$3:$B$57,0),INDEX($K$12:$N$25,MATCH($B593,$J$12:$J$25,0),M$11)))</f>
        <v/>
      </c>
      <c r="F593" s="808" t="str">
        <f>IF(B610="","",INDEX(NXchung!$B$3:$EP$57,MATCH(B610,NXchung!$B$3:$B$57,0),INDEX($K$12:$N$25,MATCH($B593,$J$12:$J$25,0),N$11)))</f>
        <v/>
      </c>
      <c r="G593" s="805"/>
      <c r="I593" s="64"/>
      <c r="J593" s="64"/>
    </row>
    <row r="594" spans="1:10" ht="45.9" customHeight="1">
      <c r="A594" s="803" t="s">
        <v>193</v>
      </c>
      <c r="B594" s="813" t="s">
        <v>28</v>
      </c>
      <c r="C594" s="805" t="str">
        <f>IF(B610="","",INDEX(NXchung!$B$3:$EP$57,MATCH(B610,NXchung!$B$3:$B$57,0),INDEX($K$12:$N$25,MATCH($B594,$J$12:$J$25,0),K$11)))</f>
        <v/>
      </c>
      <c r="D594" s="808" t="str">
        <f>IF(B610="","",INDEX(NXchung!$B$3:$EP$57,MATCH(B610,NXchung!$B$3:$B$57,0),INDEX($K$12:$N$25,MATCH($B594,$J$12:$J$25,0),L$11)))</f>
        <v/>
      </c>
      <c r="E594" s="805" t="str">
        <f>IF(B610="","",INDEX(NXchung!$B$3:$EP$57,MATCH(B610,NXchung!$B$3:$B$57,0),INDEX($K$12:$N$25,MATCH($B594,$J$12:$J$25,0),M$11)))</f>
        <v/>
      </c>
      <c r="F594" s="808" t="str">
        <f>IF(B610="","",INDEX(NXchung!$B$3:$EP$57,MATCH(B610,NXchung!$B$3:$B$57,0),INDEX($K$12:$N$25,MATCH($B594,$J$12:$J$25,0),N$11)))</f>
        <v/>
      </c>
      <c r="G594" s="805"/>
      <c r="I594" s="64"/>
      <c r="J594" s="64"/>
    </row>
    <row r="595" spans="1:10" ht="45.9" customHeight="1">
      <c r="A595" s="803" t="s">
        <v>194</v>
      </c>
      <c r="B595" s="813" t="s">
        <v>29</v>
      </c>
      <c r="C595" s="805" t="str">
        <f>IF(B610="","",INDEX(NXchung!$B$3:$EP$57,MATCH(B610,NXchung!$B$3:$B$57,0),INDEX($K$12:$N$25,MATCH($B595,$J$12:$J$25,0),K$11)))</f>
        <v/>
      </c>
      <c r="D595" s="808" t="str">
        <f>IF(B610="","",INDEX(NXchung!$B$3:$EP$57,MATCH(B610,NXchung!$B$3:$B$57,0),INDEX($K$12:$N$25,MATCH($B595,$J$12:$J$25,0),L$11)))</f>
        <v/>
      </c>
      <c r="E595" s="805" t="str">
        <f>IF(B610="","",INDEX(NXchung!$B$3:$EP$57,MATCH(B610,NXchung!$B$3:$B$57,0),INDEX($K$12:$N$25,MATCH($B595,$J$12:$J$25,0),M$11)))</f>
        <v/>
      </c>
      <c r="F595" s="808" t="str">
        <f>IF(B610="","",INDEX(NXchung!$B$3:$EP$57,MATCH(B610,NXchung!$B$3:$B$57,0),INDEX($K$12:$N$25,MATCH($B595,$J$12:$J$25,0),N$11)))</f>
        <v/>
      </c>
      <c r="G595" s="805"/>
      <c r="I595" s="64"/>
      <c r="J595" s="64"/>
    </row>
    <row r="596" spans="1:10" ht="45.9" customHeight="1">
      <c r="A596" s="803" t="s">
        <v>195</v>
      </c>
      <c r="B596" s="813" t="s">
        <v>120</v>
      </c>
      <c r="C596" s="805" t="str">
        <f>IF(B610="","",INDEX(NXchung!$B$3:$EP$57,MATCH(B610,NXchung!$B$3:$B$57,0),INDEX($K$12:$N$25,MATCH($B596,$J$12:$J$25,0),K$11)))</f>
        <v/>
      </c>
      <c r="D596" s="808" t="str">
        <f>IF(B610="","",INDEX(NXchung!$B$3:$EP$57,MATCH(B610,NXchung!$B$3:$B$57,0),INDEX($K$12:$N$25,MATCH($B596,$J$12:$J$25,0),L$11)))</f>
        <v/>
      </c>
      <c r="E596" s="805" t="str">
        <f>IF(B610="","",INDEX(NXchung!$B$3:$EP$57,MATCH(B610,NXchung!$B$3:$B$57,0),INDEX($K$12:$N$25,MATCH($B596,$J$12:$J$25,0),M$11)))</f>
        <v/>
      </c>
      <c r="F596" s="808" t="str">
        <f>IF(B610="","",INDEX(NXchung!$B$3:$EP$57,MATCH(B610,NXchung!$B$3:$B$57,0),INDEX($K$12:$N$25,MATCH($B596,$J$12:$J$25,0),N$11)))</f>
        <v/>
      </c>
      <c r="G596" s="805"/>
      <c r="I596" s="64"/>
      <c r="J596" s="64"/>
    </row>
    <row r="597" spans="1:10" ht="45.9" customHeight="1">
      <c r="A597" s="803" t="s">
        <v>196</v>
      </c>
      <c r="B597" s="813" t="s">
        <v>30</v>
      </c>
      <c r="C597" s="805" t="str">
        <f>IF(B610="","",INDEX(NXchung!$B$3:$EP$57,MATCH(B610,NXchung!$B$3:$B$57,0),INDEX($K$12:$N$25,MATCH($B597,$J$12:$J$25,0),K$11)))</f>
        <v/>
      </c>
      <c r="D597" s="808" t="str">
        <f>IF(B610="","",INDEX(NXchung!$B$3:$EP$57,MATCH(B610,NXchung!$B$3:$B$57,0),INDEX($K$12:$N$25,MATCH($B597,$J$12:$J$25,0),L$11)))</f>
        <v/>
      </c>
      <c r="E597" s="805" t="str">
        <f>IF(B610="","",INDEX(NXchung!$B$3:$EP$57,MATCH(B610,NXchung!$B$3:$B$57,0),INDEX($K$12:$N$25,MATCH($B597,$J$12:$J$25,0),M$11)))</f>
        <v/>
      </c>
      <c r="F597" s="808" t="str">
        <f>IF(B610="","",INDEX(NXchung!$B$3:$EP$57,MATCH(B610,NXchung!$B$3:$B$57,0),INDEX($K$12:$N$25,MATCH($B597,$J$12:$J$25,0),N$11)))</f>
        <v/>
      </c>
      <c r="G597" s="805"/>
      <c r="I597" s="64"/>
      <c r="J597" s="64"/>
    </row>
    <row r="598" spans="1:10" ht="45.9" customHeight="1">
      <c r="A598" s="803" t="s">
        <v>197</v>
      </c>
      <c r="B598" s="813" t="s">
        <v>31</v>
      </c>
      <c r="C598" s="805" t="str">
        <f>IF(B610="","",INDEX(NXchung!$B$3:$EP$57,MATCH(B610,NXchung!$B$3:$B$57,0),INDEX($K$12:$N$25,MATCH($B598,$J$12:$J$25,0),K$11)))</f>
        <v/>
      </c>
      <c r="D598" s="808" t="str">
        <f>IF(B610="","",INDEX(NXchung!$B$3:$EP$57,MATCH(B610,NXchung!$B$3:$B$57,0),INDEX($K$12:$N$25,MATCH($B598,$J$12:$J$25,0),L$11)))</f>
        <v/>
      </c>
      <c r="E598" s="805" t="str">
        <f>IF(B610="","",INDEX(NXchung!$B$3:$EP$57,MATCH(B610,NXchung!$B$3:$B$57,0),INDEX($K$12:$N$25,MATCH($B598,$J$12:$J$25,0),M$11)))</f>
        <v/>
      </c>
      <c r="F598" s="808" t="str">
        <f>IF(B610="","",INDEX(NXchung!$B$3:$EP$57,MATCH(B610,NXchung!$B$3:$B$57,0),INDEX($K$12:$N$25,MATCH($B598,$J$12:$J$25,0),N$11)))</f>
        <v/>
      </c>
      <c r="G598" s="805"/>
      <c r="I598" s="64"/>
      <c r="J598" s="64"/>
    </row>
    <row r="599" spans="1:10" ht="45.9" customHeight="1">
      <c r="A599" s="803" t="s">
        <v>198</v>
      </c>
      <c r="B599" s="813" t="s">
        <v>32</v>
      </c>
      <c r="C599" s="805" t="str">
        <f>IF(B610="","",INDEX(NXchung!$B$3:$EP$57,MATCH(B610,NXchung!$B$3:$B$57,0),INDEX($K$12:$N$25,MATCH($B599,$J$12:$J$25,0),K$11)))</f>
        <v/>
      </c>
      <c r="D599" s="808" t="str">
        <f>IF(B610="","",INDEX(NXchung!$B$3:$EP$57,MATCH(B610,NXchung!$B$3:$B$57,0),INDEX($K$12:$N$25,MATCH($B599,$J$12:$J$25,0),L$11)))</f>
        <v/>
      </c>
      <c r="E599" s="805" t="str">
        <f>IF(B610="","",INDEX(NXchung!$B$3:$EP$57,MATCH(B610,NXchung!$B$3:$B$57,0),INDEX($K$12:$N$25,MATCH($B599,$J$12:$J$25,0),M$11)))</f>
        <v/>
      </c>
      <c r="F599" s="808" t="str">
        <f>IF(B610="","",INDEX(NXchung!$B$3:$EP$57,MATCH(B610,NXchung!$B$3:$B$57,0),INDEX($K$12:$N$25,MATCH($B599,$J$12:$J$25,0),N$11)))</f>
        <v/>
      </c>
      <c r="G599" s="805"/>
      <c r="I599" s="64"/>
      <c r="J599" s="64"/>
    </row>
    <row r="600" spans="1:10" ht="45.9" customHeight="1">
      <c r="A600" s="803" t="s">
        <v>199</v>
      </c>
      <c r="B600" s="813" t="s">
        <v>33</v>
      </c>
      <c r="C600" s="805" t="str">
        <f>IF(B610="","",INDEX(NXchung!$B$3:$EP$57,MATCH(B610,NXchung!$B$3:$B$57,0),INDEX($K$12:$N$25,MATCH($B600,$J$12:$J$25,0),K$11)))</f>
        <v/>
      </c>
      <c r="D600" s="808" t="str">
        <f>IF(B610="","",INDEX(NXchung!$B$3:$EP$57,MATCH(B610,NXchung!$B$3:$B$57,0),INDEX($K$12:$N$25,MATCH($B600,$J$12:$J$25,0),L$11)))</f>
        <v/>
      </c>
      <c r="E600" s="805" t="str">
        <f>IF(B610="","",INDEX(NXchung!$B$3:$EP$57,MATCH(B610,NXchung!$B$3:$B$57,0),INDEX($K$12:$N$25,MATCH($B600,$J$12:$J$25,0),M$11)))</f>
        <v/>
      </c>
      <c r="F600" s="808" t="str">
        <f>IF(B610="","",INDEX(NXchung!$B$3:$EP$57,MATCH(B610,NXchung!$B$3:$B$57,0),INDEX($K$12:$N$25,MATCH($B600,$J$12:$J$25,0),N$11)))</f>
        <v/>
      </c>
      <c r="G600" s="805"/>
      <c r="I600" s="64"/>
      <c r="J600" s="64"/>
    </row>
    <row r="601" spans="1:10" ht="45.9" customHeight="1">
      <c r="A601" s="803" t="s">
        <v>200</v>
      </c>
      <c r="B601" s="813" t="s">
        <v>60</v>
      </c>
      <c r="C601" s="805" t="str">
        <f>IF(B610="","",INDEX(NXchung!$B$3:$EP$57,MATCH(B610,NXchung!$B$3:$B$57,0),INDEX($K$12:$N$25,MATCH($B601,$J$12:$J$25,0),K$11)))</f>
        <v/>
      </c>
      <c r="D601" s="808" t="str">
        <f>IF(B610="","",INDEX(NXchung!$B$3:$EP$57,MATCH(B610,NXchung!$B$3:$B$57,0),INDEX($K$12:$N$25,MATCH($B601,$J$12:$J$25,0),L$11)))</f>
        <v/>
      </c>
      <c r="E601" s="805" t="str">
        <f>IF(B610="","",INDEX(NXchung!$B$3:$EP$57,MATCH(B610,NXchung!$B$3:$B$57,0),INDEX($K$12:$N$25,MATCH($B601,$J$12:$J$25,0),M$11)))</f>
        <v/>
      </c>
      <c r="F601" s="808" t="str">
        <f>IF(B610="","",INDEX(NXchung!$B$3:$EP$57,MATCH(B610,NXchung!$B$3:$B$57,0),INDEX($K$12:$N$25,MATCH($B601,$J$12:$J$25,0),N$11)))</f>
        <v/>
      </c>
      <c r="G601" s="805"/>
      <c r="I601" s="64"/>
      <c r="J601" s="64"/>
    </row>
    <row r="602" spans="1:10" ht="45.9" customHeight="1">
      <c r="A602" s="803" t="s">
        <v>201</v>
      </c>
      <c r="B602" s="813" t="s">
        <v>34</v>
      </c>
      <c r="C602" s="805" t="str">
        <f>IF(B610="","",INDEX(NXchung!$B$3:$EP$57,MATCH(B610,NXchung!$B$3:$B$57,0),INDEX($K$12:$N$25,MATCH($B602,$J$12:$J$25,0),K$11)))</f>
        <v/>
      </c>
      <c r="D602" s="808" t="str">
        <f>IF(B610="","",INDEX(NXchung!$B$3:$EP$57,MATCH(B610,NXchung!$B$3:$B$57,0),INDEX($K$12:$N$25,MATCH($B602,$J$12:$J$25,0),L$11)))</f>
        <v/>
      </c>
      <c r="E602" s="805" t="str">
        <f>IF(B610="","",INDEX(NXchung!$B$3:$EP$57,MATCH(B610,NXchung!$B$3:$B$57,0),INDEX($K$12:$N$25,MATCH($B602,$J$12:$J$25,0),M$11)))</f>
        <v/>
      </c>
      <c r="F602" s="808" t="str">
        <f>IF(B610="","",INDEX(NXchung!$B$3:$EP$57,MATCH(B610,NXchung!$B$3:$B$57,0),INDEX($K$12:$N$25,MATCH($B602,$J$12:$J$25,0),N$11)))</f>
        <v/>
      </c>
      <c r="G602" s="805"/>
      <c r="I602" s="64"/>
      <c r="J602" s="64"/>
    </row>
    <row r="603" spans="1:10" ht="45.9" customHeight="1">
      <c r="A603" s="803" t="s">
        <v>202</v>
      </c>
      <c r="B603" s="813" t="s">
        <v>35</v>
      </c>
      <c r="C603" s="805" t="str">
        <f>IF(B610="","",INDEX(NXchung!$B$3:$EP$57,MATCH(B610,NXchung!$B$3:$B$57,0),INDEX($K$12:$N$25,MATCH($B603,$J$12:$J$25,0),K$11)))</f>
        <v/>
      </c>
      <c r="D603" s="808" t="str">
        <f>IF(B610="","",INDEX(NXchung!$B$3:$EP$57,MATCH(B610,NXchung!$B$3:$B$57,0),INDEX($K$12:$N$25,MATCH($B603,$J$12:$J$25,0),L$11)))</f>
        <v/>
      </c>
      <c r="E603" s="805" t="str">
        <f>IF(B610="","",INDEX(NXchung!$B$3:$EP$57,MATCH(B610,NXchung!$B$3:$B$57,0),INDEX($K$12:$N$25,MATCH($B603,$J$12:$J$25,0),M$11)))</f>
        <v>Đ</v>
      </c>
      <c r="F603" s="808" t="str">
        <f>IF(B610="","",INDEX(NXchung!$B$3:$EP$57,MATCH(B610,NXchung!$B$3:$B$57,0),INDEX($K$12:$N$25,MATCH($B603,$J$12:$J$25,0),N$11)))</f>
        <v>Giỏi, có nhiều tiến bộ trong học tập.</v>
      </c>
      <c r="G603" s="805"/>
      <c r="I603" s="64"/>
      <c r="J603" s="64"/>
    </row>
    <row r="604" spans="1:10" ht="45.9" customHeight="1">
      <c r="A604" s="803" t="s">
        <v>203</v>
      </c>
      <c r="B604" s="813" t="s">
        <v>121</v>
      </c>
      <c r="C604" s="805" t="str">
        <f>IF(B610="","",INDEX(NXchung!$B$3:$EP$57,MATCH(B610,NXchung!$B$3:$B$57,0),INDEX($K$12:$N$25,MATCH($B604,$J$12:$J$25,0),K$11)))</f>
        <v/>
      </c>
      <c r="D604" s="808" t="str">
        <f>IF(B610="","",INDEX(NXchung!$B$3:$EP$57,MATCH(B610,NXchung!$B$3:$B$57,0),INDEX($K$12:$N$25,MATCH($B604,$J$12:$J$25,0),L$11)))</f>
        <v/>
      </c>
      <c r="E604" s="805" t="str">
        <f>IF(B610="","",INDEX(NXchung!$B$3:$EP$57,MATCH(B610,NXchung!$B$3:$B$57,0),INDEX($K$12:$N$25,MATCH($B604,$J$12:$J$25,0),M$11)))</f>
        <v/>
      </c>
      <c r="F604" s="808" t="str">
        <f>IF(B610="","",INDEX(NXchung!$B$3:$EP$57,MATCH(B610,NXchung!$B$3:$B$57,0),INDEX($K$12:$N$25,MATCH($B604,$J$12:$J$25,0),N$11)))</f>
        <v/>
      </c>
      <c r="G604" s="805"/>
      <c r="I604" s="64"/>
      <c r="J604" s="64"/>
    </row>
    <row r="605" spans="1:10" ht="45.9" customHeight="1">
      <c r="A605" s="803" t="s">
        <v>204</v>
      </c>
      <c r="B605" s="813" t="s">
        <v>122</v>
      </c>
      <c r="C605" s="805" t="str">
        <f>IF(B610="","",INDEX(NXchung!$B$3:$EP$57,MATCH(B610,NXchung!$B$3:$B$57,0),INDEX($K$12:$N$25,MATCH($B605,$J$12:$J$25,0),K$11)))</f>
        <v/>
      </c>
      <c r="D605" s="808" t="str">
        <f>IF(B610="","",INDEX(NXchung!$B$3:$EP$57,MATCH(B610,NXchung!$B$3:$B$57,0),INDEX($K$12:$N$25,MATCH($B605,$J$12:$J$25,0),L$11)))</f>
        <v/>
      </c>
      <c r="E605" s="805" t="str">
        <f>IF(B610="","",INDEX(NXchung!$B$3:$EP$57,MATCH(B610,NXchung!$B$3:$B$57,0),INDEX($K$12:$N$25,MATCH($B605,$J$12:$J$25,0),M$11)))</f>
        <v/>
      </c>
      <c r="F605" s="808" t="str">
        <f>IF(B610="","",INDEX(NXchung!$B$3:$EP$57,MATCH(B610,NXchung!$B$3:$B$57,0),INDEX($K$12:$N$25,MATCH($B605,$J$12:$J$25,0),N$11)))</f>
        <v/>
      </c>
      <c r="G605" s="805"/>
      <c r="I605" s="64"/>
      <c r="J605" s="64"/>
    </row>
    <row r="606" spans="1:10" s="60" customFormat="1" ht="6" customHeight="1">
      <c r="A606" s="67"/>
      <c r="B606" s="67"/>
      <c r="C606" s="475"/>
      <c r="D606" s="475"/>
      <c r="E606" s="67"/>
      <c r="F606" s="67"/>
      <c r="G606" s="67"/>
    </row>
    <row r="607" spans="1:10" ht="17.25" customHeight="1">
      <c r="D607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607" s="1163"/>
      <c r="F607" s="1163"/>
      <c r="G607" s="1163"/>
      <c r="H607" s="814"/>
    </row>
    <row r="608" spans="1:10" ht="16.5" customHeight="1">
      <c r="D608" s="992" t="s">
        <v>377</v>
      </c>
      <c r="E608" s="992"/>
      <c r="F608" s="992"/>
      <c r="G608" s="992"/>
      <c r="H608" s="814"/>
    </row>
    <row r="609" spans="1:10" ht="81.75" customHeight="1">
      <c r="D609" s="931" t="str">
        <f>IF('Huong dan'!$E$5="","",'Huong dan'!$E$5)</f>
        <v/>
      </c>
      <c r="E609" s="931"/>
      <c r="F609" s="931"/>
      <c r="G609" s="931"/>
      <c r="H609" s="814"/>
    </row>
    <row r="610" spans="1:10" ht="11.25" customHeight="1">
      <c r="A610" s="75"/>
      <c r="B610" s="815">
        <f>IF(B581="","",IF(B581&lt;MAX(DiemHKII!$B$4:$B$58),B581+1,""))</f>
        <v>21</v>
      </c>
      <c r="C610" s="75"/>
      <c r="D610" s="75"/>
      <c r="E610" s="75"/>
      <c r="F610" s="75"/>
      <c r="G610" s="75"/>
    </row>
    <row r="611" spans="1:10" s="60" customFormat="1" ht="21" customHeight="1">
      <c r="A611" s="1128" t="str">
        <f>IF('Huong dan'!$E$3&lt;&gt;"","SỞ GIÁO DỤC VÀ ĐÀO TẠO "&amp;UPPER('Huong dan'!$E$3),"")</f>
        <v>SỞ GIÁO DỤC VÀ ĐÀO TẠO TP. HỒ CHÍ MINH</v>
      </c>
      <c r="B611" s="1128"/>
      <c r="C611" s="1128"/>
      <c r="D611" s="1128"/>
      <c r="E611" s="1129" t="s">
        <v>19</v>
      </c>
      <c r="F611" s="1129"/>
      <c r="G611" s="1129"/>
    </row>
    <row r="612" spans="1:10" ht="17.25" customHeight="1">
      <c r="A612" s="992" t="str">
        <f>IF('Huong dan'!$E$4&lt;&gt;"","TRƯỜNG "&amp;UPPER('Huong dan'!$E$4),"")</f>
        <v>TRƯỜNG THCS VÀ THPT NGUYỄN KHUYẾN</v>
      </c>
      <c r="B612" s="992"/>
      <c r="C612" s="992"/>
      <c r="D612" s="992"/>
      <c r="E612" s="1130" t="s">
        <v>179</v>
      </c>
      <c r="F612" s="1130"/>
      <c r="G612" s="1130"/>
    </row>
    <row r="613" spans="1:10" ht="15" customHeight="1">
      <c r="A613" s="69"/>
      <c r="B613" s="69"/>
      <c r="C613" s="30"/>
    </row>
    <row r="614" spans="1:10" ht="27.75" customHeight="1">
      <c r="A614" s="1013" t="s">
        <v>567</v>
      </c>
      <c r="B614" s="1013"/>
      <c r="C614" s="1013"/>
      <c r="D614" s="1013"/>
      <c r="E614" s="1013"/>
      <c r="F614" s="1013"/>
      <c r="G614" s="1013"/>
    </row>
    <row r="615" spans="1:10" ht="24" customHeight="1">
      <c r="A615" s="1013" t="str">
        <f>"HỌC KỲ II VÀ CẢ NĂM - NĂM HỌC "&amp;'Huong dan'!$C$5</f>
        <v>HỌC KỲ II VÀ CẢ NĂM - NĂM HỌC 2021 - 2022</v>
      </c>
      <c r="B615" s="1013"/>
      <c r="C615" s="1013"/>
      <c r="D615" s="1013"/>
      <c r="E615" s="1013"/>
      <c r="F615" s="1013"/>
      <c r="G615" s="1013"/>
    </row>
    <row r="616" spans="1:10" ht="9" customHeight="1">
      <c r="A616" s="70"/>
      <c r="B616" s="66"/>
      <c r="C616" s="66"/>
      <c r="D616" s="66"/>
      <c r="E616" s="66"/>
      <c r="F616" s="66"/>
      <c r="G616" s="66"/>
    </row>
    <row r="617" spans="1:10" ht="18.75" customHeight="1">
      <c r="A617" s="1167" t="s">
        <v>212</v>
      </c>
      <c r="B617" s="1167"/>
      <c r="C617" s="1167"/>
      <c r="D617" s="1167" t="str">
        <f>IF(B639="","",INDEX(NXchung!$B$3:$EP$57,MATCH(B639,NXchung!$B$3:$B$57,0),3)&amp;" "&amp;INDEX(NXchung!$B$3:$EP$57,MATCH(B639,NXchung!$B$3:$B$57,0),4))</f>
        <v>Phạm Thị Khả  My</v>
      </c>
      <c r="E617" s="1167"/>
      <c r="F617" s="77" t="str">
        <f>IF('Huong dan'!$C$3="","","Lớp: "&amp;'Huong dan'!$C$3)</f>
        <v>Lớp: 12A1</v>
      </c>
      <c r="G617" s="71"/>
    </row>
    <row r="618" spans="1:10" ht="18.75" customHeight="1">
      <c r="A618" s="1168" t="s">
        <v>213</v>
      </c>
      <c r="B618" s="1168"/>
      <c r="C618" s="1168"/>
      <c r="D618" s="77" t="str">
        <f>INDEX(NXchung!$B$3:$EP$57,MATCH(B639,NXchung!$B$3:$B$57,0),5)</f>
        <v>28/02/2004</v>
      </c>
      <c r="F618" s="841" t="str">
        <f>IF(B639="","","Nơi sinh: "&amp;INDEX(DiemHKII!$H$4:$H$58,MATCH(B639,DiemHKII!$B$4:$B$58,0),1))</f>
        <v xml:space="preserve">Nơi sinh: </v>
      </c>
      <c r="G618" s="77"/>
    </row>
    <row r="619" spans="1:10" ht="9.75" customHeight="1">
      <c r="A619" s="62"/>
      <c r="B619" s="62"/>
      <c r="C619" s="62"/>
      <c r="D619" s="62"/>
      <c r="E619" s="62"/>
      <c r="F619" s="62"/>
      <c r="G619" s="63"/>
    </row>
    <row r="620" spans="1:10" ht="31.5" customHeight="1">
      <c r="A620" s="801" t="s">
        <v>0</v>
      </c>
      <c r="B620" s="801" t="s">
        <v>59</v>
      </c>
      <c r="C620" s="806" t="s">
        <v>661</v>
      </c>
      <c r="D620" s="801" t="s">
        <v>296</v>
      </c>
      <c r="E620" s="806" t="s">
        <v>662</v>
      </c>
      <c r="F620" s="801" t="s">
        <v>361</v>
      </c>
      <c r="G620" s="802" t="s">
        <v>569</v>
      </c>
    </row>
    <row r="621" spans="1:10" ht="45.9" customHeight="1">
      <c r="A621" s="803" t="s">
        <v>191</v>
      </c>
      <c r="B621" s="813" t="s">
        <v>26</v>
      </c>
      <c r="C621" s="805" t="str">
        <f>IF(B639="","",INDEX(NXchung!$B$3:$EP$57,MATCH(B639,NXchung!$B$3:$B$57,0),INDEX($K$12:$N$25,MATCH($B621,$J$12:$J$25,0),K$11)))</f>
        <v/>
      </c>
      <c r="D621" s="808" t="str">
        <f>IF(B639="","",INDEX(NXchung!$B$3:$EP$57,MATCH(B639,NXchung!$B$3:$B$57,0),INDEX($K$12:$N$25,MATCH($B621,$J$12:$J$25,0),L$11)))</f>
        <v/>
      </c>
      <c r="E621" s="805" t="str">
        <f>IF(B639="","",INDEX(NXchung!$B$3:$EP$57,MATCH(B639,NXchung!$B$3:$B$57,0),INDEX($K$12:$N$25,MATCH($B621,$J$12:$J$25,0),M$11)))</f>
        <v/>
      </c>
      <c r="F621" s="808" t="str">
        <f>IF(B639="","",INDEX(NXchung!$B$3:$EP$57,MATCH(B639,NXchung!$B$3:$B$57,0),INDEX($K$12:$N$25,MATCH($B621,$J$12:$J$25,0),N$11)))</f>
        <v/>
      </c>
      <c r="G621" s="805"/>
      <c r="I621" s="64"/>
      <c r="J621" s="64"/>
    </row>
    <row r="622" spans="1:10" ht="45.9" customHeight="1">
      <c r="A622" s="803" t="s">
        <v>192</v>
      </c>
      <c r="B622" s="813" t="s">
        <v>27</v>
      </c>
      <c r="C622" s="805" t="str">
        <f>IF(B639="","",INDEX(NXchung!$B$3:$EP$57,MATCH(B639,NXchung!$B$3:$B$57,0),INDEX($K$12:$N$25,MATCH($B622,$J$12:$J$25,0),K$11)))</f>
        <v/>
      </c>
      <c r="D622" s="808" t="str">
        <f>IF(B639="","",INDEX(NXchung!$B$3:$EP$57,MATCH(B639,NXchung!$B$3:$B$57,0),INDEX($K$12:$N$25,MATCH($B622,$J$12:$J$25,0),L$11)))</f>
        <v/>
      </c>
      <c r="E622" s="805" t="str">
        <f>IF(B639="","",INDEX(NXchung!$B$3:$EP$57,MATCH(B639,NXchung!$B$3:$B$57,0),INDEX($K$12:$N$25,MATCH($B622,$J$12:$J$25,0),M$11)))</f>
        <v/>
      </c>
      <c r="F622" s="808" t="str">
        <f>IF(B639="","",INDEX(NXchung!$B$3:$EP$57,MATCH(B639,NXchung!$B$3:$B$57,0),INDEX($K$12:$N$25,MATCH($B622,$J$12:$J$25,0),N$11)))</f>
        <v/>
      </c>
      <c r="G622" s="805"/>
      <c r="I622" s="64"/>
      <c r="J622" s="64"/>
    </row>
    <row r="623" spans="1:10" ht="45.9" customHeight="1">
      <c r="A623" s="803" t="s">
        <v>193</v>
      </c>
      <c r="B623" s="813" t="s">
        <v>28</v>
      </c>
      <c r="C623" s="805" t="str">
        <f>IF(B639="","",INDEX(NXchung!$B$3:$EP$57,MATCH(B639,NXchung!$B$3:$B$57,0),INDEX($K$12:$N$25,MATCH($B623,$J$12:$J$25,0),K$11)))</f>
        <v/>
      </c>
      <c r="D623" s="808" t="str">
        <f>IF(B639="","",INDEX(NXchung!$B$3:$EP$57,MATCH(B639,NXchung!$B$3:$B$57,0),INDEX($K$12:$N$25,MATCH($B623,$J$12:$J$25,0),L$11)))</f>
        <v/>
      </c>
      <c r="E623" s="805" t="str">
        <f>IF(B639="","",INDEX(NXchung!$B$3:$EP$57,MATCH(B639,NXchung!$B$3:$B$57,0),INDEX($K$12:$N$25,MATCH($B623,$J$12:$J$25,0),M$11)))</f>
        <v/>
      </c>
      <c r="F623" s="808" t="str">
        <f>IF(B639="","",INDEX(NXchung!$B$3:$EP$57,MATCH(B639,NXchung!$B$3:$B$57,0),INDEX($K$12:$N$25,MATCH($B623,$J$12:$J$25,0),N$11)))</f>
        <v/>
      </c>
      <c r="G623" s="805"/>
      <c r="I623" s="64"/>
      <c r="J623" s="64"/>
    </row>
    <row r="624" spans="1:10" ht="45.9" customHeight="1">
      <c r="A624" s="803" t="s">
        <v>194</v>
      </c>
      <c r="B624" s="813" t="s">
        <v>29</v>
      </c>
      <c r="C624" s="805" t="str">
        <f>IF(B639="","",INDEX(NXchung!$B$3:$EP$57,MATCH(B639,NXchung!$B$3:$B$57,0),INDEX($K$12:$N$25,MATCH($B624,$J$12:$J$25,0),K$11)))</f>
        <v/>
      </c>
      <c r="D624" s="808" t="str">
        <f>IF(B639="","",INDEX(NXchung!$B$3:$EP$57,MATCH(B639,NXchung!$B$3:$B$57,0),INDEX($K$12:$N$25,MATCH($B624,$J$12:$J$25,0),L$11)))</f>
        <v/>
      </c>
      <c r="E624" s="805" t="str">
        <f>IF(B639="","",INDEX(NXchung!$B$3:$EP$57,MATCH(B639,NXchung!$B$3:$B$57,0),INDEX($K$12:$N$25,MATCH($B624,$J$12:$J$25,0),M$11)))</f>
        <v/>
      </c>
      <c r="F624" s="808" t="str">
        <f>IF(B639="","",INDEX(NXchung!$B$3:$EP$57,MATCH(B639,NXchung!$B$3:$B$57,0),INDEX($K$12:$N$25,MATCH($B624,$J$12:$J$25,0),N$11)))</f>
        <v/>
      </c>
      <c r="G624" s="805"/>
      <c r="I624" s="64"/>
      <c r="J624" s="64"/>
    </row>
    <row r="625" spans="1:10" ht="45.9" customHeight="1">
      <c r="A625" s="803" t="s">
        <v>195</v>
      </c>
      <c r="B625" s="813" t="s">
        <v>120</v>
      </c>
      <c r="C625" s="805" t="str">
        <f>IF(B639="","",INDEX(NXchung!$B$3:$EP$57,MATCH(B639,NXchung!$B$3:$B$57,0),INDEX($K$12:$N$25,MATCH($B625,$J$12:$J$25,0),K$11)))</f>
        <v/>
      </c>
      <c r="D625" s="808" t="str">
        <f>IF(B639="","",INDEX(NXchung!$B$3:$EP$57,MATCH(B639,NXchung!$B$3:$B$57,0),INDEX($K$12:$N$25,MATCH($B625,$J$12:$J$25,0),L$11)))</f>
        <v/>
      </c>
      <c r="E625" s="805" t="str">
        <f>IF(B639="","",INDEX(NXchung!$B$3:$EP$57,MATCH(B639,NXchung!$B$3:$B$57,0),INDEX($K$12:$N$25,MATCH($B625,$J$12:$J$25,0),M$11)))</f>
        <v/>
      </c>
      <c r="F625" s="808" t="str">
        <f>IF(B639="","",INDEX(NXchung!$B$3:$EP$57,MATCH(B639,NXchung!$B$3:$B$57,0),INDEX($K$12:$N$25,MATCH($B625,$J$12:$J$25,0),N$11)))</f>
        <v/>
      </c>
      <c r="G625" s="805"/>
      <c r="I625" s="64"/>
      <c r="J625" s="64"/>
    </row>
    <row r="626" spans="1:10" ht="45.9" customHeight="1">
      <c r="A626" s="803" t="s">
        <v>196</v>
      </c>
      <c r="B626" s="813" t="s">
        <v>30</v>
      </c>
      <c r="C626" s="805" t="str">
        <f>IF(B639="","",INDEX(NXchung!$B$3:$EP$57,MATCH(B639,NXchung!$B$3:$B$57,0),INDEX($K$12:$N$25,MATCH($B626,$J$12:$J$25,0),K$11)))</f>
        <v/>
      </c>
      <c r="D626" s="808" t="str">
        <f>IF(B639="","",INDEX(NXchung!$B$3:$EP$57,MATCH(B639,NXchung!$B$3:$B$57,0),INDEX($K$12:$N$25,MATCH($B626,$J$12:$J$25,0),L$11)))</f>
        <v/>
      </c>
      <c r="E626" s="805" t="str">
        <f>IF(B639="","",INDEX(NXchung!$B$3:$EP$57,MATCH(B639,NXchung!$B$3:$B$57,0),INDEX($K$12:$N$25,MATCH($B626,$J$12:$J$25,0),M$11)))</f>
        <v/>
      </c>
      <c r="F626" s="808" t="str">
        <f>IF(B639="","",INDEX(NXchung!$B$3:$EP$57,MATCH(B639,NXchung!$B$3:$B$57,0),INDEX($K$12:$N$25,MATCH($B626,$J$12:$J$25,0),N$11)))</f>
        <v/>
      </c>
      <c r="G626" s="805"/>
      <c r="I626" s="64"/>
      <c r="J626" s="64"/>
    </row>
    <row r="627" spans="1:10" ht="45.9" customHeight="1">
      <c r="A627" s="803" t="s">
        <v>197</v>
      </c>
      <c r="B627" s="813" t="s">
        <v>31</v>
      </c>
      <c r="C627" s="805" t="str">
        <f>IF(B639="","",INDEX(NXchung!$B$3:$EP$57,MATCH(B639,NXchung!$B$3:$B$57,0),INDEX($K$12:$N$25,MATCH($B627,$J$12:$J$25,0),K$11)))</f>
        <v/>
      </c>
      <c r="D627" s="808" t="str">
        <f>IF(B639="","",INDEX(NXchung!$B$3:$EP$57,MATCH(B639,NXchung!$B$3:$B$57,0),INDEX($K$12:$N$25,MATCH($B627,$J$12:$J$25,0),L$11)))</f>
        <v/>
      </c>
      <c r="E627" s="805" t="str">
        <f>IF(B639="","",INDEX(NXchung!$B$3:$EP$57,MATCH(B639,NXchung!$B$3:$B$57,0),INDEX($K$12:$N$25,MATCH($B627,$J$12:$J$25,0),M$11)))</f>
        <v/>
      </c>
      <c r="F627" s="808" t="str">
        <f>IF(B639="","",INDEX(NXchung!$B$3:$EP$57,MATCH(B639,NXchung!$B$3:$B$57,0),INDEX($K$12:$N$25,MATCH($B627,$J$12:$J$25,0),N$11)))</f>
        <v/>
      </c>
      <c r="G627" s="805"/>
      <c r="I627" s="64"/>
      <c r="J627" s="64"/>
    </row>
    <row r="628" spans="1:10" ht="45.9" customHeight="1">
      <c r="A628" s="803" t="s">
        <v>198</v>
      </c>
      <c r="B628" s="813" t="s">
        <v>32</v>
      </c>
      <c r="C628" s="805" t="str">
        <f>IF(B639="","",INDEX(NXchung!$B$3:$EP$57,MATCH(B639,NXchung!$B$3:$B$57,0),INDEX($K$12:$N$25,MATCH($B628,$J$12:$J$25,0),K$11)))</f>
        <v/>
      </c>
      <c r="D628" s="808" t="str">
        <f>IF(B639="","",INDEX(NXchung!$B$3:$EP$57,MATCH(B639,NXchung!$B$3:$B$57,0),INDEX($K$12:$N$25,MATCH($B628,$J$12:$J$25,0),L$11)))</f>
        <v/>
      </c>
      <c r="E628" s="805" t="str">
        <f>IF(B639="","",INDEX(NXchung!$B$3:$EP$57,MATCH(B639,NXchung!$B$3:$B$57,0),INDEX($K$12:$N$25,MATCH($B628,$J$12:$J$25,0),M$11)))</f>
        <v/>
      </c>
      <c r="F628" s="808" t="str">
        <f>IF(B639="","",INDEX(NXchung!$B$3:$EP$57,MATCH(B639,NXchung!$B$3:$B$57,0),INDEX($K$12:$N$25,MATCH($B628,$J$12:$J$25,0),N$11)))</f>
        <v/>
      </c>
      <c r="G628" s="805"/>
      <c r="I628" s="64"/>
      <c r="J628" s="64"/>
    </row>
    <row r="629" spans="1:10" ht="45.9" customHeight="1">
      <c r="A629" s="803" t="s">
        <v>199</v>
      </c>
      <c r="B629" s="813" t="s">
        <v>33</v>
      </c>
      <c r="C629" s="805" t="str">
        <f>IF(B639="","",INDEX(NXchung!$B$3:$EP$57,MATCH(B639,NXchung!$B$3:$B$57,0),INDEX($K$12:$N$25,MATCH($B629,$J$12:$J$25,0),K$11)))</f>
        <v/>
      </c>
      <c r="D629" s="808" t="str">
        <f>IF(B639="","",INDEX(NXchung!$B$3:$EP$57,MATCH(B639,NXchung!$B$3:$B$57,0),INDEX($K$12:$N$25,MATCH($B629,$J$12:$J$25,0),L$11)))</f>
        <v/>
      </c>
      <c r="E629" s="805" t="str">
        <f>IF(B639="","",INDEX(NXchung!$B$3:$EP$57,MATCH(B639,NXchung!$B$3:$B$57,0),INDEX($K$12:$N$25,MATCH($B629,$J$12:$J$25,0),M$11)))</f>
        <v/>
      </c>
      <c r="F629" s="808" t="str">
        <f>IF(B639="","",INDEX(NXchung!$B$3:$EP$57,MATCH(B639,NXchung!$B$3:$B$57,0),INDEX($K$12:$N$25,MATCH($B629,$J$12:$J$25,0),N$11)))</f>
        <v/>
      </c>
      <c r="G629" s="805"/>
      <c r="I629" s="64"/>
      <c r="J629" s="64"/>
    </row>
    <row r="630" spans="1:10" ht="45.9" customHeight="1">
      <c r="A630" s="803" t="s">
        <v>200</v>
      </c>
      <c r="B630" s="813" t="s">
        <v>60</v>
      </c>
      <c r="C630" s="805" t="str">
        <f>IF(B639="","",INDEX(NXchung!$B$3:$EP$57,MATCH(B639,NXchung!$B$3:$B$57,0),INDEX($K$12:$N$25,MATCH($B630,$J$12:$J$25,0),K$11)))</f>
        <v/>
      </c>
      <c r="D630" s="808" t="str">
        <f>IF(B639="","",INDEX(NXchung!$B$3:$EP$57,MATCH(B639,NXchung!$B$3:$B$57,0),INDEX($K$12:$N$25,MATCH($B630,$J$12:$J$25,0),L$11)))</f>
        <v/>
      </c>
      <c r="E630" s="805" t="str">
        <f>IF(B639="","",INDEX(NXchung!$B$3:$EP$57,MATCH(B639,NXchung!$B$3:$B$57,0),INDEX($K$12:$N$25,MATCH($B630,$J$12:$J$25,0),M$11)))</f>
        <v/>
      </c>
      <c r="F630" s="808" t="str">
        <f>IF(B639="","",INDEX(NXchung!$B$3:$EP$57,MATCH(B639,NXchung!$B$3:$B$57,0),INDEX($K$12:$N$25,MATCH($B630,$J$12:$J$25,0),N$11)))</f>
        <v/>
      </c>
      <c r="G630" s="805"/>
      <c r="I630" s="64"/>
      <c r="J630" s="64"/>
    </row>
    <row r="631" spans="1:10" ht="45.9" customHeight="1">
      <c r="A631" s="803" t="s">
        <v>201</v>
      </c>
      <c r="B631" s="813" t="s">
        <v>34</v>
      </c>
      <c r="C631" s="805" t="str">
        <f>IF(B639="","",INDEX(NXchung!$B$3:$EP$57,MATCH(B639,NXchung!$B$3:$B$57,0),INDEX($K$12:$N$25,MATCH($B631,$J$12:$J$25,0),K$11)))</f>
        <v/>
      </c>
      <c r="D631" s="808" t="str">
        <f>IF(B639="","",INDEX(NXchung!$B$3:$EP$57,MATCH(B639,NXchung!$B$3:$B$57,0),INDEX($K$12:$N$25,MATCH($B631,$J$12:$J$25,0),L$11)))</f>
        <v/>
      </c>
      <c r="E631" s="805" t="str">
        <f>IF(B639="","",INDEX(NXchung!$B$3:$EP$57,MATCH(B639,NXchung!$B$3:$B$57,0),INDEX($K$12:$N$25,MATCH($B631,$J$12:$J$25,0),M$11)))</f>
        <v/>
      </c>
      <c r="F631" s="808" t="str">
        <f>IF(B639="","",INDEX(NXchung!$B$3:$EP$57,MATCH(B639,NXchung!$B$3:$B$57,0),INDEX($K$12:$N$25,MATCH($B631,$J$12:$J$25,0),N$11)))</f>
        <v/>
      </c>
      <c r="G631" s="805"/>
      <c r="I631" s="64"/>
      <c r="J631" s="64"/>
    </row>
    <row r="632" spans="1:10" ht="45.9" customHeight="1">
      <c r="A632" s="803" t="s">
        <v>202</v>
      </c>
      <c r="B632" s="813" t="s">
        <v>35</v>
      </c>
      <c r="C632" s="805" t="str">
        <f>IF(B639="","",INDEX(NXchung!$B$3:$EP$57,MATCH(B639,NXchung!$B$3:$B$57,0),INDEX($K$12:$N$25,MATCH($B632,$J$12:$J$25,0),K$11)))</f>
        <v/>
      </c>
      <c r="D632" s="808" t="str">
        <f>IF(B639="","",INDEX(NXchung!$B$3:$EP$57,MATCH(B639,NXchung!$B$3:$B$57,0),INDEX($K$12:$N$25,MATCH($B632,$J$12:$J$25,0),L$11)))</f>
        <v/>
      </c>
      <c r="E632" s="805" t="str">
        <f>IF(B639="","",INDEX(NXchung!$B$3:$EP$57,MATCH(B639,NXchung!$B$3:$B$57,0),INDEX($K$12:$N$25,MATCH($B632,$J$12:$J$25,0),M$11)))</f>
        <v>Đ</v>
      </c>
      <c r="F632" s="808" t="str">
        <f>IF(B639="","",INDEX(NXchung!$B$3:$EP$57,MATCH(B639,NXchung!$B$3:$B$57,0),INDEX($K$12:$N$25,MATCH($B632,$J$12:$J$25,0),N$11)))</f>
        <v>Rất ngoan, học có hiệu quả tốt.</v>
      </c>
      <c r="G632" s="805"/>
      <c r="I632" s="64"/>
      <c r="J632" s="64"/>
    </row>
    <row r="633" spans="1:10" ht="45.9" customHeight="1">
      <c r="A633" s="803" t="s">
        <v>203</v>
      </c>
      <c r="B633" s="813" t="s">
        <v>121</v>
      </c>
      <c r="C633" s="805" t="str">
        <f>IF(B639="","",INDEX(NXchung!$B$3:$EP$57,MATCH(B639,NXchung!$B$3:$B$57,0),INDEX($K$12:$N$25,MATCH($B633,$J$12:$J$25,0),K$11)))</f>
        <v/>
      </c>
      <c r="D633" s="808" t="str">
        <f>IF(B639="","",INDEX(NXchung!$B$3:$EP$57,MATCH(B639,NXchung!$B$3:$B$57,0),INDEX($K$12:$N$25,MATCH($B633,$J$12:$J$25,0),L$11)))</f>
        <v/>
      </c>
      <c r="E633" s="805" t="str">
        <f>IF(B639="","",INDEX(NXchung!$B$3:$EP$57,MATCH(B639,NXchung!$B$3:$B$57,0),INDEX($K$12:$N$25,MATCH($B633,$J$12:$J$25,0),M$11)))</f>
        <v/>
      </c>
      <c r="F633" s="808" t="str">
        <f>IF(B639="","",INDEX(NXchung!$B$3:$EP$57,MATCH(B639,NXchung!$B$3:$B$57,0),INDEX($K$12:$N$25,MATCH($B633,$J$12:$J$25,0),N$11)))</f>
        <v/>
      </c>
      <c r="G633" s="805"/>
      <c r="I633" s="64"/>
      <c r="J633" s="64"/>
    </row>
    <row r="634" spans="1:10" ht="45.9" customHeight="1">
      <c r="A634" s="803" t="s">
        <v>204</v>
      </c>
      <c r="B634" s="813" t="s">
        <v>122</v>
      </c>
      <c r="C634" s="805" t="str">
        <f>IF(B639="","",INDEX(NXchung!$B$3:$EP$57,MATCH(B639,NXchung!$B$3:$B$57,0),INDEX($K$12:$N$25,MATCH($B634,$J$12:$J$25,0),K$11)))</f>
        <v/>
      </c>
      <c r="D634" s="808" t="str">
        <f>IF(B639="","",INDEX(NXchung!$B$3:$EP$57,MATCH(B639,NXchung!$B$3:$B$57,0),INDEX($K$12:$N$25,MATCH($B634,$J$12:$J$25,0),L$11)))</f>
        <v/>
      </c>
      <c r="E634" s="805" t="str">
        <f>IF(B639="","",INDEX(NXchung!$B$3:$EP$57,MATCH(B639,NXchung!$B$3:$B$57,0),INDEX($K$12:$N$25,MATCH($B634,$J$12:$J$25,0),M$11)))</f>
        <v/>
      </c>
      <c r="F634" s="808" t="str">
        <f>IF(B639="","",INDEX(NXchung!$B$3:$EP$57,MATCH(B639,NXchung!$B$3:$B$57,0),INDEX($K$12:$N$25,MATCH($B634,$J$12:$J$25,0),N$11)))</f>
        <v/>
      </c>
      <c r="G634" s="805"/>
      <c r="I634" s="64"/>
      <c r="J634" s="64"/>
    </row>
    <row r="635" spans="1:10" s="60" customFormat="1" ht="6" customHeight="1">
      <c r="A635" s="67"/>
      <c r="B635" s="67"/>
      <c r="C635" s="475"/>
      <c r="D635" s="475"/>
      <c r="E635" s="67"/>
      <c r="F635" s="67"/>
      <c r="G635" s="67"/>
    </row>
    <row r="636" spans="1:10" ht="17.25" customHeight="1">
      <c r="D636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636" s="1163"/>
      <c r="F636" s="1163"/>
      <c r="G636" s="1163"/>
      <c r="H636" s="814"/>
    </row>
    <row r="637" spans="1:10" ht="16.5" customHeight="1">
      <c r="D637" s="992" t="s">
        <v>377</v>
      </c>
      <c r="E637" s="992"/>
      <c r="F637" s="992"/>
      <c r="G637" s="992"/>
      <c r="H637" s="814"/>
    </row>
    <row r="638" spans="1:10" ht="81.75" customHeight="1">
      <c r="D638" s="931" t="str">
        <f>IF('Huong dan'!$E$5="","",'Huong dan'!$E$5)</f>
        <v/>
      </c>
      <c r="E638" s="931"/>
      <c r="F638" s="931"/>
      <c r="G638" s="931"/>
      <c r="H638" s="814"/>
    </row>
    <row r="639" spans="1:10" ht="11.25" customHeight="1">
      <c r="A639" s="75"/>
      <c r="B639" s="815">
        <f>IF(B610="","",IF(B610&lt;MAX(DiemHKII!$B$4:$B$58),B610+1,""))</f>
        <v>22</v>
      </c>
      <c r="C639" s="75"/>
      <c r="D639" s="75"/>
      <c r="E639" s="75"/>
      <c r="F639" s="75"/>
      <c r="G639" s="75"/>
    </row>
    <row r="640" spans="1:10" s="60" customFormat="1" ht="21" customHeight="1">
      <c r="A640" s="1128" t="str">
        <f>IF('Huong dan'!$E$3&lt;&gt;"","SỞ GIÁO DỤC VÀ ĐÀO TẠO "&amp;UPPER('Huong dan'!$E$3),"")</f>
        <v>SỞ GIÁO DỤC VÀ ĐÀO TẠO TP. HỒ CHÍ MINH</v>
      </c>
      <c r="B640" s="1128"/>
      <c r="C640" s="1128"/>
      <c r="D640" s="1128"/>
      <c r="E640" s="1129" t="s">
        <v>19</v>
      </c>
      <c r="F640" s="1129"/>
      <c r="G640" s="1129"/>
    </row>
    <row r="641" spans="1:10" ht="17.25" customHeight="1">
      <c r="A641" s="992" t="str">
        <f>IF('Huong dan'!$E$4&lt;&gt;"","TRƯỜNG "&amp;UPPER('Huong dan'!$E$4),"")</f>
        <v>TRƯỜNG THCS VÀ THPT NGUYỄN KHUYẾN</v>
      </c>
      <c r="B641" s="992"/>
      <c r="C641" s="992"/>
      <c r="D641" s="992"/>
      <c r="E641" s="1130" t="s">
        <v>179</v>
      </c>
      <c r="F641" s="1130"/>
      <c r="G641" s="1130"/>
    </row>
    <row r="642" spans="1:10" ht="15" customHeight="1">
      <c r="A642" s="69"/>
      <c r="B642" s="69"/>
      <c r="C642" s="30"/>
    </row>
    <row r="643" spans="1:10" ht="27.75" customHeight="1">
      <c r="A643" s="1013" t="s">
        <v>567</v>
      </c>
      <c r="B643" s="1013"/>
      <c r="C643" s="1013"/>
      <c r="D643" s="1013"/>
      <c r="E643" s="1013"/>
      <c r="F643" s="1013"/>
      <c r="G643" s="1013"/>
    </row>
    <row r="644" spans="1:10" ht="24" customHeight="1">
      <c r="A644" s="1013" t="str">
        <f>"HỌC KỲ II VÀ CẢ NĂM - NĂM HỌC "&amp;'Huong dan'!$C$5</f>
        <v>HỌC KỲ II VÀ CẢ NĂM - NĂM HỌC 2021 - 2022</v>
      </c>
      <c r="B644" s="1013"/>
      <c r="C644" s="1013"/>
      <c r="D644" s="1013"/>
      <c r="E644" s="1013"/>
      <c r="F644" s="1013"/>
      <c r="G644" s="1013"/>
    </row>
    <row r="645" spans="1:10" ht="9" customHeight="1">
      <c r="A645" s="70"/>
      <c r="B645" s="66"/>
      <c r="C645" s="66"/>
      <c r="D645" s="66"/>
      <c r="E645" s="66"/>
      <c r="F645" s="66"/>
      <c r="G645" s="66"/>
    </row>
    <row r="646" spans="1:10" ht="18.75" customHeight="1">
      <c r="A646" s="1167" t="s">
        <v>212</v>
      </c>
      <c r="B646" s="1167"/>
      <c r="C646" s="1167"/>
      <c r="D646" s="1167" t="str">
        <f>IF(B668="","",INDEX(NXchung!$B$3:$EP$57,MATCH(B668,NXchung!$B$3:$B$57,0),3)&amp;" "&amp;INDEX(NXchung!$B$3:$EP$57,MATCH(B668,NXchung!$B$3:$B$57,0),4))</f>
        <v>Lê Na</v>
      </c>
      <c r="E646" s="1167"/>
      <c r="F646" s="77" t="str">
        <f>IF('Huong dan'!$C$3="","","Lớp: "&amp;'Huong dan'!$C$3)</f>
        <v>Lớp: 12A1</v>
      </c>
      <c r="G646" s="71"/>
    </row>
    <row r="647" spans="1:10" ht="18.75" customHeight="1">
      <c r="A647" s="1168" t="s">
        <v>213</v>
      </c>
      <c r="B647" s="1168"/>
      <c r="C647" s="1168"/>
      <c r="D647" s="77" t="str">
        <f>INDEX(NXchung!$B$3:$EP$57,MATCH(B668,NXchung!$B$3:$B$57,0),5)</f>
        <v>29/02/2004</v>
      </c>
      <c r="F647" s="841" t="str">
        <f>IF(B668="","","Nơi sinh: "&amp;INDEX(DiemHKII!$H$4:$H$58,MATCH(B668,DiemHKII!$B$4:$B$58,0),1))</f>
        <v xml:space="preserve">Nơi sinh: </v>
      </c>
      <c r="G647" s="77"/>
    </row>
    <row r="648" spans="1:10" ht="9.75" customHeight="1">
      <c r="A648" s="62"/>
      <c r="B648" s="62"/>
      <c r="C648" s="62"/>
      <c r="D648" s="62"/>
      <c r="E648" s="62"/>
      <c r="F648" s="62"/>
      <c r="G648" s="63"/>
    </row>
    <row r="649" spans="1:10" ht="31.5" customHeight="1">
      <c r="A649" s="801" t="s">
        <v>0</v>
      </c>
      <c r="B649" s="801" t="s">
        <v>59</v>
      </c>
      <c r="C649" s="806" t="s">
        <v>661</v>
      </c>
      <c r="D649" s="801" t="s">
        <v>296</v>
      </c>
      <c r="E649" s="806" t="s">
        <v>662</v>
      </c>
      <c r="F649" s="801" t="s">
        <v>361</v>
      </c>
      <c r="G649" s="802" t="s">
        <v>569</v>
      </c>
    </row>
    <row r="650" spans="1:10" ht="45.9" customHeight="1">
      <c r="A650" s="803" t="s">
        <v>191</v>
      </c>
      <c r="B650" s="813" t="s">
        <v>26</v>
      </c>
      <c r="C650" s="805" t="str">
        <f>IF(B668="","",INDEX(NXchung!$B$3:$EP$57,MATCH(B668,NXchung!$B$3:$B$57,0),INDEX($K$12:$N$25,MATCH($B650,$J$12:$J$25,0),K$11)))</f>
        <v/>
      </c>
      <c r="D650" s="808" t="str">
        <f>IF(B668="","",INDEX(NXchung!$B$3:$EP$57,MATCH(B668,NXchung!$B$3:$B$57,0),INDEX($K$12:$N$25,MATCH($B650,$J$12:$J$25,0),L$11)))</f>
        <v/>
      </c>
      <c r="E650" s="805" t="str">
        <f>IF(B668="","",INDEX(NXchung!$B$3:$EP$57,MATCH(B668,NXchung!$B$3:$B$57,0),INDEX($K$12:$N$25,MATCH($B650,$J$12:$J$25,0),M$11)))</f>
        <v/>
      </c>
      <c r="F650" s="808" t="str">
        <f>IF(B668="","",INDEX(NXchung!$B$3:$EP$57,MATCH(B668,NXchung!$B$3:$B$57,0),INDEX($K$12:$N$25,MATCH($B650,$J$12:$J$25,0),N$11)))</f>
        <v/>
      </c>
      <c r="G650" s="805"/>
      <c r="I650" s="64"/>
      <c r="J650" s="64"/>
    </row>
    <row r="651" spans="1:10" ht="45.9" customHeight="1">
      <c r="A651" s="803" t="s">
        <v>192</v>
      </c>
      <c r="B651" s="813" t="s">
        <v>27</v>
      </c>
      <c r="C651" s="805" t="str">
        <f>IF(B668="","",INDEX(NXchung!$B$3:$EP$57,MATCH(B668,NXchung!$B$3:$B$57,0),INDEX($K$12:$N$25,MATCH($B651,$J$12:$J$25,0),K$11)))</f>
        <v/>
      </c>
      <c r="D651" s="808" t="str">
        <f>IF(B668="","",INDEX(NXchung!$B$3:$EP$57,MATCH(B668,NXchung!$B$3:$B$57,0),INDEX($K$12:$N$25,MATCH($B651,$J$12:$J$25,0),L$11)))</f>
        <v/>
      </c>
      <c r="E651" s="805" t="str">
        <f>IF(B668="","",INDEX(NXchung!$B$3:$EP$57,MATCH(B668,NXchung!$B$3:$B$57,0),INDEX($K$12:$N$25,MATCH($B651,$J$12:$J$25,0),M$11)))</f>
        <v/>
      </c>
      <c r="F651" s="808" t="str">
        <f>IF(B668="","",INDEX(NXchung!$B$3:$EP$57,MATCH(B668,NXchung!$B$3:$B$57,0),INDEX($K$12:$N$25,MATCH($B651,$J$12:$J$25,0),N$11)))</f>
        <v/>
      </c>
      <c r="G651" s="805"/>
      <c r="I651" s="64"/>
      <c r="J651" s="64"/>
    </row>
    <row r="652" spans="1:10" ht="45.9" customHeight="1">
      <c r="A652" s="803" t="s">
        <v>193</v>
      </c>
      <c r="B652" s="813" t="s">
        <v>28</v>
      </c>
      <c r="C652" s="805" t="str">
        <f>IF(B668="","",INDEX(NXchung!$B$3:$EP$57,MATCH(B668,NXchung!$B$3:$B$57,0),INDEX($K$12:$N$25,MATCH($B652,$J$12:$J$25,0),K$11)))</f>
        <v/>
      </c>
      <c r="D652" s="808" t="str">
        <f>IF(B668="","",INDEX(NXchung!$B$3:$EP$57,MATCH(B668,NXchung!$B$3:$B$57,0),INDEX($K$12:$N$25,MATCH($B652,$J$12:$J$25,0),L$11)))</f>
        <v/>
      </c>
      <c r="E652" s="805" t="str">
        <f>IF(B668="","",INDEX(NXchung!$B$3:$EP$57,MATCH(B668,NXchung!$B$3:$B$57,0),INDEX($K$12:$N$25,MATCH($B652,$J$12:$J$25,0),M$11)))</f>
        <v/>
      </c>
      <c r="F652" s="808" t="str">
        <f>IF(B668="","",INDEX(NXchung!$B$3:$EP$57,MATCH(B668,NXchung!$B$3:$B$57,0),INDEX($K$12:$N$25,MATCH($B652,$J$12:$J$25,0),N$11)))</f>
        <v/>
      </c>
      <c r="G652" s="805"/>
      <c r="I652" s="64"/>
      <c r="J652" s="64"/>
    </row>
    <row r="653" spans="1:10" ht="45.9" customHeight="1">
      <c r="A653" s="803" t="s">
        <v>194</v>
      </c>
      <c r="B653" s="813" t="s">
        <v>29</v>
      </c>
      <c r="C653" s="805" t="str">
        <f>IF(B668="","",INDEX(NXchung!$B$3:$EP$57,MATCH(B668,NXchung!$B$3:$B$57,0),INDEX($K$12:$N$25,MATCH($B653,$J$12:$J$25,0),K$11)))</f>
        <v/>
      </c>
      <c r="D653" s="808" t="str">
        <f>IF(B668="","",INDEX(NXchung!$B$3:$EP$57,MATCH(B668,NXchung!$B$3:$B$57,0),INDEX($K$12:$N$25,MATCH($B653,$J$12:$J$25,0),L$11)))</f>
        <v/>
      </c>
      <c r="E653" s="805" t="str">
        <f>IF(B668="","",INDEX(NXchung!$B$3:$EP$57,MATCH(B668,NXchung!$B$3:$B$57,0),INDEX($K$12:$N$25,MATCH($B653,$J$12:$J$25,0),M$11)))</f>
        <v/>
      </c>
      <c r="F653" s="808" t="str">
        <f>IF(B668="","",INDEX(NXchung!$B$3:$EP$57,MATCH(B668,NXchung!$B$3:$B$57,0),INDEX($K$12:$N$25,MATCH($B653,$J$12:$J$25,0),N$11)))</f>
        <v/>
      </c>
      <c r="G653" s="805"/>
      <c r="I653" s="64"/>
      <c r="J653" s="64"/>
    </row>
    <row r="654" spans="1:10" ht="45.9" customHeight="1">
      <c r="A654" s="803" t="s">
        <v>195</v>
      </c>
      <c r="B654" s="813" t="s">
        <v>120</v>
      </c>
      <c r="C654" s="805" t="str">
        <f>IF(B668="","",INDEX(NXchung!$B$3:$EP$57,MATCH(B668,NXchung!$B$3:$B$57,0),INDEX($K$12:$N$25,MATCH($B654,$J$12:$J$25,0),K$11)))</f>
        <v/>
      </c>
      <c r="D654" s="808" t="str">
        <f>IF(B668="","",INDEX(NXchung!$B$3:$EP$57,MATCH(B668,NXchung!$B$3:$B$57,0),INDEX($K$12:$N$25,MATCH($B654,$J$12:$J$25,0),L$11)))</f>
        <v/>
      </c>
      <c r="E654" s="805" t="str">
        <f>IF(B668="","",INDEX(NXchung!$B$3:$EP$57,MATCH(B668,NXchung!$B$3:$B$57,0),INDEX($K$12:$N$25,MATCH($B654,$J$12:$J$25,0),M$11)))</f>
        <v/>
      </c>
      <c r="F654" s="808" t="str">
        <f>IF(B668="","",INDEX(NXchung!$B$3:$EP$57,MATCH(B668,NXchung!$B$3:$B$57,0),INDEX($K$12:$N$25,MATCH($B654,$J$12:$J$25,0),N$11)))</f>
        <v/>
      </c>
      <c r="G654" s="805"/>
      <c r="I654" s="64"/>
      <c r="J654" s="64"/>
    </row>
    <row r="655" spans="1:10" ht="45.9" customHeight="1">
      <c r="A655" s="803" t="s">
        <v>196</v>
      </c>
      <c r="B655" s="813" t="s">
        <v>30</v>
      </c>
      <c r="C655" s="805" t="str">
        <f>IF(B668="","",INDEX(NXchung!$B$3:$EP$57,MATCH(B668,NXchung!$B$3:$B$57,0),INDEX($K$12:$N$25,MATCH($B655,$J$12:$J$25,0),K$11)))</f>
        <v/>
      </c>
      <c r="D655" s="808" t="str">
        <f>IF(B668="","",INDEX(NXchung!$B$3:$EP$57,MATCH(B668,NXchung!$B$3:$B$57,0),INDEX($K$12:$N$25,MATCH($B655,$J$12:$J$25,0),L$11)))</f>
        <v/>
      </c>
      <c r="E655" s="805" t="str">
        <f>IF(B668="","",INDEX(NXchung!$B$3:$EP$57,MATCH(B668,NXchung!$B$3:$B$57,0),INDEX($K$12:$N$25,MATCH($B655,$J$12:$J$25,0),M$11)))</f>
        <v/>
      </c>
      <c r="F655" s="808" t="str">
        <f>IF(B668="","",INDEX(NXchung!$B$3:$EP$57,MATCH(B668,NXchung!$B$3:$B$57,0),INDEX($K$12:$N$25,MATCH($B655,$J$12:$J$25,0),N$11)))</f>
        <v/>
      </c>
      <c r="G655" s="805"/>
      <c r="I655" s="64"/>
      <c r="J655" s="64"/>
    </row>
    <row r="656" spans="1:10" ht="45.9" customHeight="1">
      <c r="A656" s="803" t="s">
        <v>197</v>
      </c>
      <c r="B656" s="813" t="s">
        <v>31</v>
      </c>
      <c r="C656" s="805" t="str">
        <f>IF(B668="","",INDEX(NXchung!$B$3:$EP$57,MATCH(B668,NXchung!$B$3:$B$57,0),INDEX($K$12:$N$25,MATCH($B656,$J$12:$J$25,0),K$11)))</f>
        <v/>
      </c>
      <c r="D656" s="808" t="str">
        <f>IF(B668="","",INDEX(NXchung!$B$3:$EP$57,MATCH(B668,NXchung!$B$3:$B$57,0),INDEX($K$12:$N$25,MATCH($B656,$J$12:$J$25,0),L$11)))</f>
        <v/>
      </c>
      <c r="E656" s="805" t="str">
        <f>IF(B668="","",INDEX(NXchung!$B$3:$EP$57,MATCH(B668,NXchung!$B$3:$B$57,0),INDEX($K$12:$N$25,MATCH($B656,$J$12:$J$25,0),M$11)))</f>
        <v/>
      </c>
      <c r="F656" s="808" t="str">
        <f>IF(B668="","",INDEX(NXchung!$B$3:$EP$57,MATCH(B668,NXchung!$B$3:$B$57,0),INDEX($K$12:$N$25,MATCH($B656,$J$12:$J$25,0),N$11)))</f>
        <v/>
      </c>
      <c r="G656" s="805"/>
      <c r="I656" s="64"/>
      <c r="J656" s="64"/>
    </row>
    <row r="657" spans="1:10" ht="45.9" customHeight="1">
      <c r="A657" s="803" t="s">
        <v>198</v>
      </c>
      <c r="B657" s="813" t="s">
        <v>32</v>
      </c>
      <c r="C657" s="805" t="str">
        <f>IF(B668="","",INDEX(NXchung!$B$3:$EP$57,MATCH(B668,NXchung!$B$3:$B$57,0),INDEX($K$12:$N$25,MATCH($B657,$J$12:$J$25,0),K$11)))</f>
        <v/>
      </c>
      <c r="D657" s="808" t="str">
        <f>IF(B668="","",INDEX(NXchung!$B$3:$EP$57,MATCH(B668,NXchung!$B$3:$B$57,0),INDEX($K$12:$N$25,MATCH($B657,$J$12:$J$25,0),L$11)))</f>
        <v/>
      </c>
      <c r="E657" s="805" t="str">
        <f>IF(B668="","",INDEX(NXchung!$B$3:$EP$57,MATCH(B668,NXchung!$B$3:$B$57,0),INDEX($K$12:$N$25,MATCH($B657,$J$12:$J$25,0),M$11)))</f>
        <v/>
      </c>
      <c r="F657" s="808" t="str">
        <f>IF(B668="","",INDEX(NXchung!$B$3:$EP$57,MATCH(B668,NXchung!$B$3:$B$57,0),INDEX($K$12:$N$25,MATCH($B657,$J$12:$J$25,0),N$11)))</f>
        <v/>
      </c>
      <c r="G657" s="805"/>
      <c r="I657" s="64"/>
      <c r="J657" s="64"/>
    </row>
    <row r="658" spans="1:10" ht="45.9" customHeight="1">
      <c r="A658" s="803" t="s">
        <v>199</v>
      </c>
      <c r="B658" s="813" t="s">
        <v>33</v>
      </c>
      <c r="C658" s="805" t="str">
        <f>IF(B668="","",INDEX(NXchung!$B$3:$EP$57,MATCH(B668,NXchung!$B$3:$B$57,0),INDEX($K$12:$N$25,MATCH($B658,$J$12:$J$25,0),K$11)))</f>
        <v/>
      </c>
      <c r="D658" s="808" t="str">
        <f>IF(B668="","",INDEX(NXchung!$B$3:$EP$57,MATCH(B668,NXchung!$B$3:$B$57,0),INDEX($K$12:$N$25,MATCH($B658,$J$12:$J$25,0),L$11)))</f>
        <v/>
      </c>
      <c r="E658" s="805" t="str">
        <f>IF(B668="","",INDEX(NXchung!$B$3:$EP$57,MATCH(B668,NXchung!$B$3:$B$57,0),INDEX($K$12:$N$25,MATCH($B658,$J$12:$J$25,0),M$11)))</f>
        <v/>
      </c>
      <c r="F658" s="808" t="str">
        <f>IF(B668="","",INDEX(NXchung!$B$3:$EP$57,MATCH(B668,NXchung!$B$3:$B$57,0),INDEX($K$12:$N$25,MATCH($B658,$J$12:$J$25,0),N$11)))</f>
        <v/>
      </c>
      <c r="G658" s="805"/>
      <c r="I658" s="64"/>
      <c r="J658" s="64"/>
    </row>
    <row r="659" spans="1:10" ht="45.9" customHeight="1">
      <c r="A659" s="803" t="s">
        <v>200</v>
      </c>
      <c r="B659" s="813" t="s">
        <v>60</v>
      </c>
      <c r="C659" s="805" t="str">
        <f>IF(B668="","",INDEX(NXchung!$B$3:$EP$57,MATCH(B668,NXchung!$B$3:$B$57,0),INDEX($K$12:$N$25,MATCH($B659,$J$12:$J$25,0),K$11)))</f>
        <v/>
      </c>
      <c r="D659" s="808" t="str">
        <f>IF(B668="","",INDEX(NXchung!$B$3:$EP$57,MATCH(B668,NXchung!$B$3:$B$57,0),INDEX($K$12:$N$25,MATCH($B659,$J$12:$J$25,0),L$11)))</f>
        <v/>
      </c>
      <c r="E659" s="805" t="str">
        <f>IF(B668="","",INDEX(NXchung!$B$3:$EP$57,MATCH(B668,NXchung!$B$3:$B$57,0),INDEX($K$12:$N$25,MATCH($B659,$J$12:$J$25,0),M$11)))</f>
        <v/>
      </c>
      <c r="F659" s="808" t="str">
        <f>IF(B668="","",INDEX(NXchung!$B$3:$EP$57,MATCH(B668,NXchung!$B$3:$B$57,0),INDEX($K$12:$N$25,MATCH($B659,$J$12:$J$25,0),N$11)))</f>
        <v/>
      </c>
      <c r="G659" s="805"/>
      <c r="I659" s="64"/>
      <c r="J659" s="64"/>
    </row>
    <row r="660" spans="1:10" ht="45.9" customHeight="1">
      <c r="A660" s="803" t="s">
        <v>201</v>
      </c>
      <c r="B660" s="813" t="s">
        <v>34</v>
      </c>
      <c r="C660" s="805" t="str">
        <f>IF(B668="","",INDEX(NXchung!$B$3:$EP$57,MATCH(B668,NXchung!$B$3:$B$57,0),INDEX($K$12:$N$25,MATCH($B660,$J$12:$J$25,0),K$11)))</f>
        <v/>
      </c>
      <c r="D660" s="808" t="str">
        <f>IF(B668="","",INDEX(NXchung!$B$3:$EP$57,MATCH(B668,NXchung!$B$3:$B$57,0),INDEX($K$12:$N$25,MATCH($B660,$J$12:$J$25,0),L$11)))</f>
        <v/>
      </c>
      <c r="E660" s="805" t="str">
        <f>IF(B668="","",INDEX(NXchung!$B$3:$EP$57,MATCH(B668,NXchung!$B$3:$B$57,0),INDEX($K$12:$N$25,MATCH($B660,$J$12:$J$25,0),M$11)))</f>
        <v/>
      </c>
      <c r="F660" s="808" t="str">
        <f>IF(B668="","",INDEX(NXchung!$B$3:$EP$57,MATCH(B668,NXchung!$B$3:$B$57,0),INDEX($K$12:$N$25,MATCH($B660,$J$12:$J$25,0),N$11)))</f>
        <v/>
      </c>
      <c r="G660" s="805"/>
      <c r="I660" s="64"/>
      <c r="J660" s="64"/>
    </row>
    <row r="661" spans="1:10" ht="45.9" customHeight="1">
      <c r="A661" s="803" t="s">
        <v>202</v>
      </c>
      <c r="B661" s="813" t="s">
        <v>35</v>
      </c>
      <c r="C661" s="805" t="str">
        <f>IF(B668="","",INDEX(NXchung!$B$3:$EP$57,MATCH(B668,NXchung!$B$3:$B$57,0),INDEX($K$12:$N$25,MATCH($B661,$J$12:$J$25,0),K$11)))</f>
        <v/>
      </c>
      <c r="D661" s="808" t="str">
        <f>IF(B668="","",INDEX(NXchung!$B$3:$EP$57,MATCH(B668,NXchung!$B$3:$B$57,0),INDEX($K$12:$N$25,MATCH($B661,$J$12:$J$25,0),L$11)))</f>
        <v/>
      </c>
      <c r="E661" s="805" t="str">
        <f>IF(B668="","",INDEX(NXchung!$B$3:$EP$57,MATCH(B668,NXchung!$B$3:$B$57,0),INDEX($K$12:$N$25,MATCH($B661,$J$12:$J$25,0),M$11)))</f>
        <v>Đ</v>
      </c>
      <c r="F661" s="808" t="str">
        <f>IF(B668="","",INDEX(NXchung!$B$3:$EP$57,MATCH(B668,NXchung!$B$3:$B$57,0),INDEX($K$12:$N$25,MATCH($B661,$J$12:$J$25,0),N$11)))</f>
        <v>Chăm chỉ, cố gắng, rất ngoan.</v>
      </c>
      <c r="G661" s="805"/>
      <c r="I661" s="64"/>
      <c r="J661" s="64"/>
    </row>
    <row r="662" spans="1:10" ht="45.9" customHeight="1">
      <c r="A662" s="803" t="s">
        <v>203</v>
      </c>
      <c r="B662" s="813" t="s">
        <v>121</v>
      </c>
      <c r="C662" s="805" t="str">
        <f>IF(B668="","",INDEX(NXchung!$B$3:$EP$57,MATCH(B668,NXchung!$B$3:$B$57,0),INDEX($K$12:$N$25,MATCH($B662,$J$12:$J$25,0),K$11)))</f>
        <v/>
      </c>
      <c r="D662" s="808" t="str">
        <f>IF(B668="","",INDEX(NXchung!$B$3:$EP$57,MATCH(B668,NXchung!$B$3:$B$57,0),INDEX($K$12:$N$25,MATCH($B662,$J$12:$J$25,0),L$11)))</f>
        <v/>
      </c>
      <c r="E662" s="805" t="str">
        <f>IF(B668="","",INDEX(NXchung!$B$3:$EP$57,MATCH(B668,NXchung!$B$3:$B$57,0),INDEX($K$12:$N$25,MATCH($B662,$J$12:$J$25,0),M$11)))</f>
        <v/>
      </c>
      <c r="F662" s="808" t="str">
        <f>IF(B668="","",INDEX(NXchung!$B$3:$EP$57,MATCH(B668,NXchung!$B$3:$B$57,0),INDEX($K$12:$N$25,MATCH($B662,$J$12:$J$25,0),N$11)))</f>
        <v/>
      </c>
      <c r="G662" s="805"/>
      <c r="I662" s="64"/>
      <c r="J662" s="64"/>
    </row>
    <row r="663" spans="1:10" ht="45.9" customHeight="1">
      <c r="A663" s="803" t="s">
        <v>204</v>
      </c>
      <c r="B663" s="813" t="s">
        <v>122</v>
      </c>
      <c r="C663" s="805" t="str">
        <f>IF(B668="","",INDEX(NXchung!$B$3:$EP$57,MATCH(B668,NXchung!$B$3:$B$57,0),INDEX($K$12:$N$25,MATCH($B663,$J$12:$J$25,0),K$11)))</f>
        <v/>
      </c>
      <c r="D663" s="808" t="str">
        <f>IF(B668="","",INDEX(NXchung!$B$3:$EP$57,MATCH(B668,NXchung!$B$3:$B$57,0),INDEX($K$12:$N$25,MATCH($B663,$J$12:$J$25,0),L$11)))</f>
        <v/>
      </c>
      <c r="E663" s="805" t="str">
        <f>IF(B668="","",INDEX(NXchung!$B$3:$EP$57,MATCH(B668,NXchung!$B$3:$B$57,0),INDEX($K$12:$N$25,MATCH($B663,$J$12:$J$25,0),M$11)))</f>
        <v/>
      </c>
      <c r="F663" s="808" t="str">
        <f>IF(B668="","",INDEX(NXchung!$B$3:$EP$57,MATCH(B668,NXchung!$B$3:$B$57,0),INDEX($K$12:$N$25,MATCH($B663,$J$12:$J$25,0),N$11)))</f>
        <v/>
      </c>
      <c r="G663" s="805"/>
      <c r="I663" s="64"/>
      <c r="J663" s="64"/>
    </row>
    <row r="664" spans="1:10" s="60" customFormat="1" ht="6" customHeight="1">
      <c r="A664" s="67"/>
      <c r="B664" s="67"/>
      <c r="C664" s="475"/>
      <c r="D664" s="475"/>
      <c r="E664" s="67"/>
      <c r="F664" s="67"/>
      <c r="G664" s="67"/>
    </row>
    <row r="665" spans="1:10" ht="17.25" customHeight="1">
      <c r="D665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665" s="1163"/>
      <c r="F665" s="1163"/>
      <c r="G665" s="1163"/>
      <c r="H665" s="814"/>
    </row>
    <row r="666" spans="1:10" ht="16.5" customHeight="1">
      <c r="D666" s="992" t="s">
        <v>377</v>
      </c>
      <c r="E666" s="992"/>
      <c r="F666" s="992"/>
      <c r="G666" s="992"/>
      <c r="H666" s="814"/>
    </row>
    <row r="667" spans="1:10" ht="81.75" customHeight="1">
      <c r="D667" s="931" t="str">
        <f>IF('Huong dan'!$E$5="","",'Huong dan'!$E$5)</f>
        <v/>
      </c>
      <c r="E667" s="931"/>
      <c r="F667" s="931"/>
      <c r="G667" s="931"/>
      <c r="H667" s="814"/>
    </row>
    <row r="668" spans="1:10" ht="11.25" customHeight="1">
      <c r="A668" s="75"/>
      <c r="B668" s="815">
        <f>IF(B639="","",IF(B639&lt;MAX(DiemHKII!$B$4:$B$58),B639+1,""))</f>
        <v>23</v>
      </c>
      <c r="C668" s="75"/>
      <c r="D668" s="75"/>
      <c r="E668" s="75"/>
      <c r="F668" s="75"/>
      <c r="G668" s="75"/>
    </row>
    <row r="669" spans="1:10" s="60" customFormat="1" ht="21" customHeight="1">
      <c r="A669" s="1128" t="str">
        <f>IF('Huong dan'!$E$3&lt;&gt;"","SỞ GIÁO DỤC VÀ ĐÀO TẠO "&amp;UPPER('Huong dan'!$E$3),"")</f>
        <v>SỞ GIÁO DỤC VÀ ĐÀO TẠO TP. HỒ CHÍ MINH</v>
      </c>
      <c r="B669" s="1128"/>
      <c r="C669" s="1128"/>
      <c r="D669" s="1128"/>
      <c r="E669" s="1129" t="s">
        <v>19</v>
      </c>
      <c r="F669" s="1129"/>
      <c r="G669" s="1129"/>
    </row>
    <row r="670" spans="1:10" ht="17.25" customHeight="1">
      <c r="A670" s="992" t="str">
        <f>IF('Huong dan'!$E$4&lt;&gt;"","TRƯỜNG "&amp;UPPER('Huong dan'!$E$4),"")</f>
        <v>TRƯỜNG THCS VÀ THPT NGUYỄN KHUYẾN</v>
      </c>
      <c r="B670" s="992"/>
      <c r="C670" s="992"/>
      <c r="D670" s="992"/>
      <c r="E670" s="1130" t="s">
        <v>179</v>
      </c>
      <c r="F670" s="1130"/>
      <c r="G670" s="1130"/>
    </row>
    <row r="671" spans="1:10" ht="15" customHeight="1">
      <c r="A671" s="69"/>
      <c r="B671" s="69"/>
      <c r="C671" s="30"/>
    </row>
    <row r="672" spans="1:10" ht="27.75" customHeight="1">
      <c r="A672" s="1013" t="s">
        <v>567</v>
      </c>
      <c r="B672" s="1013"/>
      <c r="C672" s="1013"/>
      <c r="D672" s="1013"/>
      <c r="E672" s="1013"/>
      <c r="F672" s="1013"/>
      <c r="G672" s="1013"/>
    </row>
    <row r="673" spans="1:10" ht="24" customHeight="1">
      <c r="A673" s="1013" t="str">
        <f>"HỌC KỲ II VÀ CẢ NĂM - NĂM HỌC "&amp;'Huong dan'!$C$5</f>
        <v>HỌC KỲ II VÀ CẢ NĂM - NĂM HỌC 2021 - 2022</v>
      </c>
      <c r="B673" s="1013"/>
      <c r="C673" s="1013"/>
      <c r="D673" s="1013"/>
      <c r="E673" s="1013"/>
      <c r="F673" s="1013"/>
      <c r="G673" s="1013"/>
    </row>
    <row r="674" spans="1:10" ht="9" customHeight="1">
      <c r="A674" s="70"/>
      <c r="B674" s="66"/>
      <c r="C674" s="66"/>
      <c r="D674" s="66"/>
      <c r="E674" s="66"/>
      <c r="F674" s="66"/>
      <c r="G674" s="66"/>
    </row>
    <row r="675" spans="1:10" ht="18.75" customHeight="1">
      <c r="A675" s="1167" t="s">
        <v>212</v>
      </c>
      <c r="B675" s="1167"/>
      <c r="C675" s="1167"/>
      <c r="D675" s="1167" t="str">
        <f>IF(B697="","",INDEX(NXchung!$B$3:$EP$57,MATCH(B697,NXchung!$B$3:$B$57,0),3)&amp;" "&amp;INDEX(NXchung!$B$3:$EP$57,MATCH(B697,NXchung!$B$3:$B$57,0),4))</f>
        <v>Quách Tống Minh Nhật</v>
      </c>
      <c r="E675" s="1167"/>
      <c r="F675" s="77" t="str">
        <f>IF('Huong dan'!$C$3="","","Lớp: "&amp;'Huong dan'!$C$3)</f>
        <v>Lớp: 12A1</v>
      </c>
      <c r="G675" s="71"/>
    </row>
    <row r="676" spans="1:10" ht="18.75" customHeight="1">
      <c r="A676" s="1168" t="s">
        <v>213</v>
      </c>
      <c r="B676" s="1168"/>
      <c r="C676" s="1168"/>
      <c r="D676" s="77" t="str">
        <f>INDEX(NXchung!$B$3:$EP$57,MATCH(B697,NXchung!$B$3:$B$57,0),5)</f>
        <v>01/12/2004</v>
      </c>
      <c r="F676" s="841" t="str">
        <f>IF(B697="","","Nơi sinh: "&amp;INDEX(DiemHKII!$H$4:$H$58,MATCH(B697,DiemHKII!$B$4:$B$58,0),1))</f>
        <v xml:space="preserve">Nơi sinh: </v>
      </c>
      <c r="G676" s="77"/>
    </row>
    <row r="677" spans="1:10" ht="9.75" customHeight="1">
      <c r="A677" s="62"/>
      <c r="B677" s="62"/>
      <c r="C677" s="62"/>
      <c r="D677" s="62"/>
      <c r="E677" s="62"/>
      <c r="F677" s="62"/>
      <c r="G677" s="63"/>
    </row>
    <row r="678" spans="1:10" ht="31.5" customHeight="1">
      <c r="A678" s="801" t="s">
        <v>0</v>
      </c>
      <c r="B678" s="801" t="s">
        <v>59</v>
      </c>
      <c r="C678" s="806" t="s">
        <v>661</v>
      </c>
      <c r="D678" s="801" t="s">
        <v>296</v>
      </c>
      <c r="E678" s="806" t="s">
        <v>662</v>
      </c>
      <c r="F678" s="801" t="s">
        <v>361</v>
      </c>
      <c r="G678" s="802" t="s">
        <v>569</v>
      </c>
    </row>
    <row r="679" spans="1:10" ht="45.9" customHeight="1">
      <c r="A679" s="803" t="s">
        <v>191</v>
      </c>
      <c r="B679" s="813" t="s">
        <v>26</v>
      </c>
      <c r="C679" s="805" t="str">
        <f>IF(B697="","",INDEX(NXchung!$B$3:$EP$57,MATCH(B697,NXchung!$B$3:$B$57,0),INDEX($K$12:$N$25,MATCH($B679,$J$12:$J$25,0),K$11)))</f>
        <v/>
      </c>
      <c r="D679" s="808" t="str">
        <f>IF(B697="","",INDEX(NXchung!$B$3:$EP$57,MATCH(B697,NXchung!$B$3:$B$57,0),INDEX($K$12:$N$25,MATCH($B679,$J$12:$J$25,0),L$11)))</f>
        <v/>
      </c>
      <c r="E679" s="805" t="str">
        <f>IF(B697="","",INDEX(NXchung!$B$3:$EP$57,MATCH(B697,NXchung!$B$3:$B$57,0),INDEX($K$12:$N$25,MATCH($B679,$J$12:$J$25,0),M$11)))</f>
        <v/>
      </c>
      <c r="F679" s="808" t="str">
        <f>IF(B697="","",INDEX(NXchung!$B$3:$EP$57,MATCH(B697,NXchung!$B$3:$B$57,0),INDEX($K$12:$N$25,MATCH($B679,$J$12:$J$25,0),N$11)))</f>
        <v/>
      </c>
      <c r="G679" s="805"/>
      <c r="I679" s="64"/>
      <c r="J679" s="64"/>
    </row>
    <row r="680" spans="1:10" ht="45.9" customHeight="1">
      <c r="A680" s="803" t="s">
        <v>192</v>
      </c>
      <c r="B680" s="813" t="s">
        <v>27</v>
      </c>
      <c r="C680" s="805" t="str">
        <f>IF(B697="","",INDEX(NXchung!$B$3:$EP$57,MATCH(B697,NXchung!$B$3:$B$57,0),INDEX($K$12:$N$25,MATCH($B680,$J$12:$J$25,0),K$11)))</f>
        <v/>
      </c>
      <c r="D680" s="808" t="str">
        <f>IF(B697="","",INDEX(NXchung!$B$3:$EP$57,MATCH(B697,NXchung!$B$3:$B$57,0),INDEX($K$12:$N$25,MATCH($B680,$J$12:$J$25,0),L$11)))</f>
        <v/>
      </c>
      <c r="E680" s="805" t="str">
        <f>IF(B697="","",INDEX(NXchung!$B$3:$EP$57,MATCH(B697,NXchung!$B$3:$B$57,0),INDEX($K$12:$N$25,MATCH($B680,$J$12:$J$25,0),M$11)))</f>
        <v/>
      </c>
      <c r="F680" s="808" t="str">
        <f>IF(B697="","",INDEX(NXchung!$B$3:$EP$57,MATCH(B697,NXchung!$B$3:$B$57,0),INDEX($K$12:$N$25,MATCH($B680,$J$12:$J$25,0),N$11)))</f>
        <v/>
      </c>
      <c r="G680" s="805"/>
      <c r="I680" s="64"/>
      <c r="J680" s="64"/>
    </row>
    <row r="681" spans="1:10" ht="45.9" customHeight="1">
      <c r="A681" s="803" t="s">
        <v>193</v>
      </c>
      <c r="B681" s="813" t="s">
        <v>28</v>
      </c>
      <c r="C681" s="805" t="str">
        <f>IF(B697="","",INDEX(NXchung!$B$3:$EP$57,MATCH(B697,NXchung!$B$3:$B$57,0),INDEX($K$12:$N$25,MATCH($B681,$J$12:$J$25,0),K$11)))</f>
        <v/>
      </c>
      <c r="D681" s="808" t="str">
        <f>IF(B697="","",INDEX(NXchung!$B$3:$EP$57,MATCH(B697,NXchung!$B$3:$B$57,0),INDEX($K$12:$N$25,MATCH($B681,$J$12:$J$25,0),L$11)))</f>
        <v/>
      </c>
      <c r="E681" s="805" t="str">
        <f>IF(B697="","",INDEX(NXchung!$B$3:$EP$57,MATCH(B697,NXchung!$B$3:$B$57,0),INDEX($K$12:$N$25,MATCH($B681,$J$12:$J$25,0),M$11)))</f>
        <v/>
      </c>
      <c r="F681" s="808" t="str">
        <f>IF(B697="","",INDEX(NXchung!$B$3:$EP$57,MATCH(B697,NXchung!$B$3:$B$57,0),INDEX($K$12:$N$25,MATCH($B681,$J$12:$J$25,0),N$11)))</f>
        <v/>
      </c>
      <c r="G681" s="805"/>
      <c r="I681" s="64"/>
      <c r="J681" s="64"/>
    </row>
    <row r="682" spans="1:10" ht="45.9" customHeight="1">
      <c r="A682" s="803" t="s">
        <v>194</v>
      </c>
      <c r="B682" s="813" t="s">
        <v>29</v>
      </c>
      <c r="C682" s="805" t="str">
        <f>IF(B697="","",INDEX(NXchung!$B$3:$EP$57,MATCH(B697,NXchung!$B$3:$B$57,0),INDEX($K$12:$N$25,MATCH($B682,$J$12:$J$25,0),K$11)))</f>
        <v/>
      </c>
      <c r="D682" s="808" t="str">
        <f>IF(B697="","",INDEX(NXchung!$B$3:$EP$57,MATCH(B697,NXchung!$B$3:$B$57,0),INDEX($K$12:$N$25,MATCH($B682,$J$12:$J$25,0),L$11)))</f>
        <v/>
      </c>
      <c r="E682" s="805" t="str">
        <f>IF(B697="","",INDEX(NXchung!$B$3:$EP$57,MATCH(B697,NXchung!$B$3:$B$57,0),INDEX($K$12:$N$25,MATCH($B682,$J$12:$J$25,0),M$11)))</f>
        <v/>
      </c>
      <c r="F682" s="808" t="str">
        <f>IF(B697="","",INDEX(NXchung!$B$3:$EP$57,MATCH(B697,NXchung!$B$3:$B$57,0),INDEX($K$12:$N$25,MATCH($B682,$J$12:$J$25,0),N$11)))</f>
        <v/>
      </c>
      <c r="G682" s="805"/>
      <c r="I682" s="64"/>
      <c r="J682" s="64"/>
    </row>
    <row r="683" spans="1:10" ht="45.9" customHeight="1">
      <c r="A683" s="803" t="s">
        <v>195</v>
      </c>
      <c r="B683" s="813" t="s">
        <v>120</v>
      </c>
      <c r="C683" s="805" t="str">
        <f>IF(B697="","",INDEX(NXchung!$B$3:$EP$57,MATCH(B697,NXchung!$B$3:$B$57,0),INDEX($K$12:$N$25,MATCH($B683,$J$12:$J$25,0),K$11)))</f>
        <v/>
      </c>
      <c r="D683" s="808" t="str">
        <f>IF(B697="","",INDEX(NXchung!$B$3:$EP$57,MATCH(B697,NXchung!$B$3:$B$57,0),INDEX($K$12:$N$25,MATCH($B683,$J$12:$J$25,0),L$11)))</f>
        <v/>
      </c>
      <c r="E683" s="805" t="str">
        <f>IF(B697="","",INDEX(NXchung!$B$3:$EP$57,MATCH(B697,NXchung!$B$3:$B$57,0),INDEX($K$12:$N$25,MATCH($B683,$J$12:$J$25,0),M$11)))</f>
        <v/>
      </c>
      <c r="F683" s="808" t="str">
        <f>IF(B697="","",INDEX(NXchung!$B$3:$EP$57,MATCH(B697,NXchung!$B$3:$B$57,0),INDEX($K$12:$N$25,MATCH($B683,$J$12:$J$25,0),N$11)))</f>
        <v/>
      </c>
      <c r="G683" s="805"/>
      <c r="I683" s="64"/>
      <c r="J683" s="64"/>
    </row>
    <row r="684" spans="1:10" ht="45.9" customHeight="1">
      <c r="A684" s="803" t="s">
        <v>196</v>
      </c>
      <c r="B684" s="813" t="s">
        <v>30</v>
      </c>
      <c r="C684" s="805" t="str">
        <f>IF(B697="","",INDEX(NXchung!$B$3:$EP$57,MATCH(B697,NXchung!$B$3:$B$57,0),INDEX($K$12:$N$25,MATCH($B684,$J$12:$J$25,0),K$11)))</f>
        <v/>
      </c>
      <c r="D684" s="808" t="str">
        <f>IF(B697="","",INDEX(NXchung!$B$3:$EP$57,MATCH(B697,NXchung!$B$3:$B$57,0),INDEX($K$12:$N$25,MATCH($B684,$J$12:$J$25,0),L$11)))</f>
        <v/>
      </c>
      <c r="E684" s="805" t="str">
        <f>IF(B697="","",INDEX(NXchung!$B$3:$EP$57,MATCH(B697,NXchung!$B$3:$B$57,0),INDEX($K$12:$N$25,MATCH($B684,$J$12:$J$25,0),M$11)))</f>
        <v/>
      </c>
      <c r="F684" s="808" t="str">
        <f>IF(B697="","",INDEX(NXchung!$B$3:$EP$57,MATCH(B697,NXchung!$B$3:$B$57,0),INDEX($K$12:$N$25,MATCH($B684,$J$12:$J$25,0),N$11)))</f>
        <v/>
      </c>
      <c r="G684" s="805"/>
      <c r="I684" s="64"/>
      <c r="J684" s="64"/>
    </row>
    <row r="685" spans="1:10" ht="45.9" customHeight="1">
      <c r="A685" s="803" t="s">
        <v>197</v>
      </c>
      <c r="B685" s="813" t="s">
        <v>31</v>
      </c>
      <c r="C685" s="805" t="str">
        <f>IF(B697="","",INDEX(NXchung!$B$3:$EP$57,MATCH(B697,NXchung!$B$3:$B$57,0),INDEX($K$12:$N$25,MATCH($B685,$J$12:$J$25,0),K$11)))</f>
        <v/>
      </c>
      <c r="D685" s="808" t="str">
        <f>IF(B697="","",INDEX(NXchung!$B$3:$EP$57,MATCH(B697,NXchung!$B$3:$B$57,0),INDEX($K$12:$N$25,MATCH($B685,$J$12:$J$25,0),L$11)))</f>
        <v/>
      </c>
      <c r="E685" s="805" t="str">
        <f>IF(B697="","",INDEX(NXchung!$B$3:$EP$57,MATCH(B697,NXchung!$B$3:$B$57,0),INDEX($K$12:$N$25,MATCH($B685,$J$12:$J$25,0),M$11)))</f>
        <v/>
      </c>
      <c r="F685" s="808" t="str">
        <f>IF(B697="","",INDEX(NXchung!$B$3:$EP$57,MATCH(B697,NXchung!$B$3:$B$57,0),INDEX($K$12:$N$25,MATCH($B685,$J$12:$J$25,0),N$11)))</f>
        <v/>
      </c>
      <c r="G685" s="805"/>
      <c r="I685" s="64"/>
      <c r="J685" s="64"/>
    </row>
    <row r="686" spans="1:10" ht="45.9" customHeight="1">
      <c r="A686" s="803" t="s">
        <v>198</v>
      </c>
      <c r="B686" s="813" t="s">
        <v>32</v>
      </c>
      <c r="C686" s="805" t="str">
        <f>IF(B697="","",INDEX(NXchung!$B$3:$EP$57,MATCH(B697,NXchung!$B$3:$B$57,0),INDEX($K$12:$N$25,MATCH($B686,$J$12:$J$25,0),K$11)))</f>
        <v/>
      </c>
      <c r="D686" s="808" t="str">
        <f>IF(B697="","",INDEX(NXchung!$B$3:$EP$57,MATCH(B697,NXchung!$B$3:$B$57,0),INDEX($K$12:$N$25,MATCH($B686,$J$12:$J$25,0),L$11)))</f>
        <v/>
      </c>
      <c r="E686" s="805" t="str">
        <f>IF(B697="","",INDEX(NXchung!$B$3:$EP$57,MATCH(B697,NXchung!$B$3:$B$57,0),INDEX($K$12:$N$25,MATCH($B686,$J$12:$J$25,0),M$11)))</f>
        <v/>
      </c>
      <c r="F686" s="808" t="str">
        <f>IF(B697="","",INDEX(NXchung!$B$3:$EP$57,MATCH(B697,NXchung!$B$3:$B$57,0),INDEX($K$12:$N$25,MATCH($B686,$J$12:$J$25,0),N$11)))</f>
        <v/>
      </c>
      <c r="G686" s="805"/>
      <c r="I686" s="64"/>
      <c r="J686" s="64"/>
    </row>
    <row r="687" spans="1:10" ht="45.9" customHeight="1">
      <c r="A687" s="803" t="s">
        <v>199</v>
      </c>
      <c r="B687" s="813" t="s">
        <v>33</v>
      </c>
      <c r="C687" s="805" t="str">
        <f>IF(B697="","",INDEX(NXchung!$B$3:$EP$57,MATCH(B697,NXchung!$B$3:$B$57,0),INDEX($K$12:$N$25,MATCH($B687,$J$12:$J$25,0),K$11)))</f>
        <v/>
      </c>
      <c r="D687" s="808" t="str">
        <f>IF(B697="","",INDEX(NXchung!$B$3:$EP$57,MATCH(B697,NXchung!$B$3:$B$57,0),INDEX($K$12:$N$25,MATCH($B687,$J$12:$J$25,0),L$11)))</f>
        <v/>
      </c>
      <c r="E687" s="805" t="str">
        <f>IF(B697="","",INDEX(NXchung!$B$3:$EP$57,MATCH(B697,NXchung!$B$3:$B$57,0),INDEX($K$12:$N$25,MATCH($B687,$J$12:$J$25,0),M$11)))</f>
        <v/>
      </c>
      <c r="F687" s="808" t="str">
        <f>IF(B697="","",INDEX(NXchung!$B$3:$EP$57,MATCH(B697,NXchung!$B$3:$B$57,0),INDEX($K$12:$N$25,MATCH($B687,$J$12:$J$25,0),N$11)))</f>
        <v/>
      </c>
      <c r="G687" s="805"/>
      <c r="I687" s="64"/>
      <c r="J687" s="64"/>
    </row>
    <row r="688" spans="1:10" ht="45.9" customHeight="1">
      <c r="A688" s="803" t="s">
        <v>200</v>
      </c>
      <c r="B688" s="813" t="s">
        <v>60</v>
      </c>
      <c r="C688" s="805" t="str">
        <f>IF(B697="","",INDEX(NXchung!$B$3:$EP$57,MATCH(B697,NXchung!$B$3:$B$57,0),INDEX($K$12:$N$25,MATCH($B688,$J$12:$J$25,0),K$11)))</f>
        <v/>
      </c>
      <c r="D688" s="808" t="str">
        <f>IF(B697="","",INDEX(NXchung!$B$3:$EP$57,MATCH(B697,NXchung!$B$3:$B$57,0),INDEX($K$12:$N$25,MATCH($B688,$J$12:$J$25,0),L$11)))</f>
        <v/>
      </c>
      <c r="E688" s="805" t="str">
        <f>IF(B697="","",INDEX(NXchung!$B$3:$EP$57,MATCH(B697,NXchung!$B$3:$B$57,0),INDEX($K$12:$N$25,MATCH($B688,$J$12:$J$25,0),M$11)))</f>
        <v/>
      </c>
      <c r="F688" s="808" t="str">
        <f>IF(B697="","",INDEX(NXchung!$B$3:$EP$57,MATCH(B697,NXchung!$B$3:$B$57,0),INDEX($K$12:$N$25,MATCH($B688,$J$12:$J$25,0),N$11)))</f>
        <v/>
      </c>
      <c r="G688" s="805"/>
      <c r="I688" s="64"/>
      <c r="J688" s="64"/>
    </row>
    <row r="689" spans="1:10" ht="45.9" customHeight="1">
      <c r="A689" s="803" t="s">
        <v>201</v>
      </c>
      <c r="B689" s="813" t="s">
        <v>34</v>
      </c>
      <c r="C689" s="805" t="str">
        <f>IF(B697="","",INDEX(NXchung!$B$3:$EP$57,MATCH(B697,NXchung!$B$3:$B$57,0),INDEX($K$12:$N$25,MATCH($B689,$J$12:$J$25,0),K$11)))</f>
        <v/>
      </c>
      <c r="D689" s="808" t="str">
        <f>IF(B697="","",INDEX(NXchung!$B$3:$EP$57,MATCH(B697,NXchung!$B$3:$B$57,0),INDEX($K$12:$N$25,MATCH($B689,$J$12:$J$25,0),L$11)))</f>
        <v/>
      </c>
      <c r="E689" s="805" t="str">
        <f>IF(B697="","",INDEX(NXchung!$B$3:$EP$57,MATCH(B697,NXchung!$B$3:$B$57,0),INDEX($K$12:$N$25,MATCH($B689,$J$12:$J$25,0),M$11)))</f>
        <v/>
      </c>
      <c r="F689" s="808" t="str">
        <f>IF(B697="","",INDEX(NXchung!$B$3:$EP$57,MATCH(B697,NXchung!$B$3:$B$57,0),INDEX($K$12:$N$25,MATCH($B689,$J$12:$J$25,0),N$11)))</f>
        <v/>
      </c>
      <c r="G689" s="805"/>
      <c r="I689" s="64"/>
      <c r="J689" s="64"/>
    </row>
    <row r="690" spans="1:10" ht="45.9" customHeight="1">
      <c r="A690" s="803" t="s">
        <v>202</v>
      </c>
      <c r="B690" s="813" t="s">
        <v>35</v>
      </c>
      <c r="C690" s="805" t="str">
        <f>IF(B697="","",INDEX(NXchung!$B$3:$EP$57,MATCH(B697,NXchung!$B$3:$B$57,0),INDEX($K$12:$N$25,MATCH($B690,$J$12:$J$25,0),K$11)))</f>
        <v/>
      </c>
      <c r="D690" s="808" t="str">
        <f>IF(B697="","",INDEX(NXchung!$B$3:$EP$57,MATCH(B697,NXchung!$B$3:$B$57,0),INDEX($K$12:$N$25,MATCH($B690,$J$12:$J$25,0),L$11)))</f>
        <v/>
      </c>
      <c r="E690" s="805" t="str">
        <f>IF(B697="","",INDEX(NXchung!$B$3:$EP$57,MATCH(B697,NXchung!$B$3:$B$57,0),INDEX($K$12:$N$25,MATCH($B690,$J$12:$J$25,0),M$11)))</f>
        <v>Đ</v>
      </c>
      <c r="F690" s="808" t="str">
        <f>IF(B697="","",INDEX(NXchung!$B$3:$EP$57,MATCH(B697,NXchung!$B$3:$B$57,0),INDEX($K$12:$N$25,MATCH($B690,$J$12:$J$25,0),N$11)))</f>
        <v>Giỏi, có nhiều tiến bộ trong học tập.</v>
      </c>
      <c r="G690" s="805"/>
      <c r="I690" s="64"/>
      <c r="J690" s="64"/>
    </row>
    <row r="691" spans="1:10" ht="45.9" customHeight="1">
      <c r="A691" s="803" t="s">
        <v>203</v>
      </c>
      <c r="B691" s="813" t="s">
        <v>121</v>
      </c>
      <c r="C691" s="805" t="str">
        <f>IF(B697="","",INDEX(NXchung!$B$3:$EP$57,MATCH(B697,NXchung!$B$3:$B$57,0),INDEX($K$12:$N$25,MATCH($B691,$J$12:$J$25,0),K$11)))</f>
        <v/>
      </c>
      <c r="D691" s="808" t="str">
        <f>IF(B697="","",INDEX(NXchung!$B$3:$EP$57,MATCH(B697,NXchung!$B$3:$B$57,0),INDEX($K$12:$N$25,MATCH($B691,$J$12:$J$25,0),L$11)))</f>
        <v/>
      </c>
      <c r="E691" s="805" t="str">
        <f>IF(B697="","",INDEX(NXchung!$B$3:$EP$57,MATCH(B697,NXchung!$B$3:$B$57,0),INDEX($K$12:$N$25,MATCH($B691,$J$12:$J$25,0),M$11)))</f>
        <v/>
      </c>
      <c r="F691" s="808" t="str">
        <f>IF(B697="","",INDEX(NXchung!$B$3:$EP$57,MATCH(B697,NXchung!$B$3:$B$57,0),INDEX($K$12:$N$25,MATCH($B691,$J$12:$J$25,0),N$11)))</f>
        <v/>
      </c>
      <c r="G691" s="805"/>
      <c r="I691" s="64"/>
      <c r="J691" s="64"/>
    </row>
    <row r="692" spans="1:10" ht="45.9" customHeight="1">
      <c r="A692" s="803" t="s">
        <v>204</v>
      </c>
      <c r="B692" s="813" t="s">
        <v>122</v>
      </c>
      <c r="C692" s="805" t="str">
        <f>IF(B697="","",INDEX(NXchung!$B$3:$EP$57,MATCH(B697,NXchung!$B$3:$B$57,0),INDEX($K$12:$N$25,MATCH($B692,$J$12:$J$25,0),K$11)))</f>
        <v/>
      </c>
      <c r="D692" s="808" t="str">
        <f>IF(B697="","",INDEX(NXchung!$B$3:$EP$57,MATCH(B697,NXchung!$B$3:$B$57,0),INDEX($K$12:$N$25,MATCH($B692,$J$12:$J$25,0),L$11)))</f>
        <v/>
      </c>
      <c r="E692" s="805" t="str">
        <f>IF(B697="","",INDEX(NXchung!$B$3:$EP$57,MATCH(B697,NXchung!$B$3:$B$57,0),INDEX($K$12:$N$25,MATCH($B692,$J$12:$J$25,0),M$11)))</f>
        <v/>
      </c>
      <c r="F692" s="808" t="str">
        <f>IF(B697="","",INDEX(NXchung!$B$3:$EP$57,MATCH(B697,NXchung!$B$3:$B$57,0),INDEX($K$12:$N$25,MATCH($B692,$J$12:$J$25,0),N$11)))</f>
        <v/>
      </c>
      <c r="G692" s="805"/>
      <c r="I692" s="64"/>
      <c r="J692" s="64"/>
    </row>
    <row r="693" spans="1:10" s="60" customFormat="1" ht="6" customHeight="1">
      <c r="A693" s="67"/>
      <c r="B693" s="67"/>
      <c r="C693" s="475"/>
      <c r="D693" s="475"/>
      <c r="E693" s="67"/>
      <c r="F693" s="67"/>
      <c r="G693" s="67"/>
    </row>
    <row r="694" spans="1:10" ht="17.25" customHeight="1">
      <c r="D694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694" s="1163"/>
      <c r="F694" s="1163"/>
      <c r="G694" s="1163"/>
      <c r="H694" s="814"/>
    </row>
    <row r="695" spans="1:10" ht="16.5" customHeight="1">
      <c r="D695" s="992" t="s">
        <v>377</v>
      </c>
      <c r="E695" s="992"/>
      <c r="F695" s="992"/>
      <c r="G695" s="992"/>
      <c r="H695" s="814"/>
    </row>
    <row r="696" spans="1:10" ht="81.75" customHeight="1">
      <c r="D696" s="931" t="str">
        <f>IF('Huong dan'!$E$5="","",'Huong dan'!$E$5)</f>
        <v/>
      </c>
      <c r="E696" s="931"/>
      <c r="F696" s="931"/>
      <c r="G696" s="931"/>
      <c r="H696" s="814"/>
    </row>
    <row r="697" spans="1:10" ht="11.25" customHeight="1">
      <c r="A697" s="75"/>
      <c r="B697" s="815">
        <f>IF(B668="","",IF(B668&lt;MAX(DiemHKII!$B$4:$B$58),B668+1,""))</f>
        <v>24</v>
      </c>
      <c r="C697" s="75"/>
      <c r="D697" s="75"/>
      <c r="E697" s="75"/>
      <c r="F697" s="75"/>
      <c r="G697" s="75"/>
    </row>
    <row r="698" spans="1:10" s="60" customFormat="1" ht="21" customHeight="1">
      <c r="A698" s="1128" t="str">
        <f>IF('Huong dan'!$E$3&lt;&gt;"","SỞ GIÁO DỤC VÀ ĐÀO TẠO "&amp;UPPER('Huong dan'!$E$3),"")</f>
        <v>SỞ GIÁO DỤC VÀ ĐÀO TẠO TP. HỒ CHÍ MINH</v>
      </c>
      <c r="B698" s="1128"/>
      <c r="C698" s="1128"/>
      <c r="D698" s="1128"/>
      <c r="E698" s="1129" t="s">
        <v>19</v>
      </c>
      <c r="F698" s="1129"/>
      <c r="G698" s="1129"/>
    </row>
    <row r="699" spans="1:10" ht="17.25" customHeight="1">
      <c r="A699" s="992" t="str">
        <f>IF('Huong dan'!$E$4&lt;&gt;"","TRƯỜNG "&amp;UPPER('Huong dan'!$E$4),"")</f>
        <v>TRƯỜNG THCS VÀ THPT NGUYỄN KHUYẾN</v>
      </c>
      <c r="B699" s="992"/>
      <c r="C699" s="992"/>
      <c r="D699" s="992"/>
      <c r="E699" s="1130" t="s">
        <v>179</v>
      </c>
      <c r="F699" s="1130"/>
      <c r="G699" s="1130"/>
    </row>
    <row r="700" spans="1:10" ht="15" customHeight="1">
      <c r="A700" s="69"/>
      <c r="B700" s="69"/>
      <c r="C700" s="30"/>
    </row>
    <row r="701" spans="1:10" ht="27.75" customHeight="1">
      <c r="A701" s="1013" t="s">
        <v>567</v>
      </c>
      <c r="B701" s="1013"/>
      <c r="C701" s="1013"/>
      <c r="D701" s="1013"/>
      <c r="E701" s="1013"/>
      <c r="F701" s="1013"/>
      <c r="G701" s="1013"/>
    </row>
    <row r="702" spans="1:10" ht="24" customHeight="1">
      <c r="A702" s="1013" t="str">
        <f>"HỌC KỲ II VÀ CẢ NĂM - NĂM HỌC "&amp;'Huong dan'!$C$5</f>
        <v>HỌC KỲ II VÀ CẢ NĂM - NĂM HỌC 2021 - 2022</v>
      </c>
      <c r="B702" s="1013"/>
      <c r="C702" s="1013"/>
      <c r="D702" s="1013"/>
      <c r="E702" s="1013"/>
      <c r="F702" s="1013"/>
      <c r="G702" s="1013"/>
    </row>
    <row r="703" spans="1:10" ht="9" customHeight="1">
      <c r="A703" s="70"/>
      <c r="B703" s="66"/>
      <c r="C703" s="66"/>
      <c r="D703" s="66"/>
      <c r="E703" s="66"/>
      <c r="F703" s="66"/>
      <c r="G703" s="66"/>
    </row>
    <row r="704" spans="1:10" ht="18.75" customHeight="1">
      <c r="A704" s="1167" t="s">
        <v>212</v>
      </c>
      <c r="B704" s="1167"/>
      <c r="C704" s="1167"/>
      <c r="D704" s="1167" t="str">
        <f>IF(B726="","",INDEX(NXchung!$B$3:$EP$57,MATCH(B726,NXchung!$B$3:$B$57,0),3)&amp;" "&amp;INDEX(NXchung!$B$3:$EP$57,MATCH(B726,NXchung!$B$3:$B$57,0),4))</f>
        <v>Nguyễn Thục Nhi</v>
      </c>
      <c r="E704" s="1167"/>
      <c r="F704" s="77" t="str">
        <f>IF('Huong dan'!$C$3="","","Lớp: "&amp;'Huong dan'!$C$3)</f>
        <v>Lớp: 12A1</v>
      </c>
      <c r="G704" s="71"/>
    </row>
    <row r="705" spans="1:10" ht="18.75" customHeight="1">
      <c r="A705" s="1168" t="s">
        <v>213</v>
      </c>
      <c r="B705" s="1168"/>
      <c r="C705" s="1168"/>
      <c r="D705" s="77" t="str">
        <f>INDEX(NXchung!$B$3:$EP$57,MATCH(B726,NXchung!$B$3:$B$57,0),5)</f>
        <v>04/10/2004</v>
      </c>
      <c r="F705" s="841" t="str">
        <f>IF(B726="","","Nơi sinh: "&amp;INDEX(DiemHKII!$H$4:$H$58,MATCH(B726,DiemHKII!$B$4:$B$58,0),1))</f>
        <v xml:space="preserve">Nơi sinh: </v>
      </c>
      <c r="G705" s="77"/>
    </row>
    <row r="706" spans="1:10" ht="9.75" customHeight="1">
      <c r="A706" s="62"/>
      <c r="B706" s="62"/>
      <c r="C706" s="62"/>
      <c r="D706" s="62"/>
      <c r="E706" s="62"/>
      <c r="F706" s="62"/>
      <c r="G706" s="63"/>
    </row>
    <row r="707" spans="1:10" ht="31.5" customHeight="1">
      <c r="A707" s="801" t="s">
        <v>0</v>
      </c>
      <c r="B707" s="801" t="s">
        <v>59</v>
      </c>
      <c r="C707" s="806" t="s">
        <v>661</v>
      </c>
      <c r="D707" s="801" t="s">
        <v>296</v>
      </c>
      <c r="E707" s="806" t="s">
        <v>662</v>
      </c>
      <c r="F707" s="801" t="s">
        <v>361</v>
      </c>
      <c r="G707" s="802" t="s">
        <v>569</v>
      </c>
    </row>
    <row r="708" spans="1:10" ht="45.9" customHeight="1">
      <c r="A708" s="803" t="s">
        <v>191</v>
      </c>
      <c r="B708" s="813" t="s">
        <v>26</v>
      </c>
      <c r="C708" s="805" t="str">
        <f>IF(B726="","",INDEX(NXchung!$B$3:$EP$57,MATCH(B726,NXchung!$B$3:$B$57,0),INDEX($K$12:$N$25,MATCH($B708,$J$12:$J$25,0),K$11)))</f>
        <v/>
      </c>
      <c r="D708" s="808" t="str">
        <f>IF(B726="","",INDEX(NXchung!$B$3:$EP$57,MATCH(B726,NXchung!$B$3:$B$57,0),INDEX($K$12:$N$25,MATCH($B708,$J$12:$J$25,0),L$11)))</f>
        <v/>
      </c>
      <c r="E708" s="805" t="str">
        <f>IF(B726="","",INDEX(NXchung!$B$3:$EP$57,MATCH(B726,NXchung!$B$3:$B$57,0),INDEX($K$12:$N$25,MATCH($B708,$J$12:$J$25,0),M$11)))</f>
        <v/>
      </c>
      <c r="F708" s="808" t="str">
        <f>IF(B726="","",INDEX(NXchung!$B$3:$EP$57,MATCH(B726,NXchung!$B$3:$B$57,0),INDEX($K$12:$N$25,MATCH($B708,$J$12:$J$25,0),N$11)))</f>
        <v/>
      </c>
      <c r="G708" s="805"/>
      <c r="I708" s="64"/>
      <c r="J708" s="64"/>
    </row>
    <row r="709" spans="1:10" ht="45.9" customHeight="1">
      <c r="A709" s="803" t="s">
        <v>192</v>
      </c>
      <c r="B709" s="813" t="s">
        <v>27</v>
      </c>
      <c r="C709" s="805" t="str">
        <f>IF(B726="","",INDEX(NXchung!$B$3:$EP$57,MATCH(B726,NXchung!$B$3:$B$57,0),INDEX($K$12:$N$25,MATCH($B709,$J$12:$J$25,0),K$11)))</f>
        <v/>
      </c>
      <c r="D709" s="808" t="str">
        <f>IF(B726="","",INDEX(NXchung!$B$3:$EP$57,MATCH(B726,NXchung!$B$3:$B$57,0),INDEX($K$12:$N$25,MATCH($B709,$J$12:$J$25,0),L$11)))</f>
        <v/>
      </c>
      <c r="E709" s="805" t="str">
        <f>IF(B726="","",INDEX(NXchung!$B$3:$EP$57,MATCH(B726,NXchung!$B$3:$B$57,0),INDEX($K$12:$N$25,MATCH($B709,$J$12:$J$25,0),M$11)))</f>
        <v/>
      </c>
      <c r="F709" s="808" t="str">
        <f>IF(B726="","",INDEX(NXchung!$B$3:$EP$57,MATCH(B726,NXchung!$B$3:$B$57,0),INDEX($K$12:$N$25,MATCH($B709,$J$12:$J$25,0),N$11)))</f>
        <v/>
      </c>
      <c r="G709" s="805"/>
      <c r="I709" s="64"/>
      <c r="J709" s="64"/>
    </row>
    <row r="710" spans="1:10" ht="45.9" customHeight="1">
      <c r="A710" s="803" t="s">
        <v>193</v>
      </c>
      <c r="B710" s="813" t="s">
        <v>28</v>
      </c>
      <c r="C710" s="805" t="str">
        <f>IF(B726="","",INDEX(NXchung!$B$3:$EP$57,MATCH(B726,NXchung!$B$3:$B$57,0),INDEX($K$12:$N$25,MATCH($B710,$J$12:$J$25,0),K$11)))</f>
        <v/>
      </c>
      <c r="D710" s="808" t="str">
        <f>IF(B726="","",INDEX(NXchung!$B$3:$EP$57,MATCH(B726,NXchung!$B$3:$B$57,0),INDEX($K$12:$N$25,MATCH($B710,$J$12:$J$25,0),L$11)))</f>
        <v/>
      </c>
      <c r="E710" s="805" t="str">
        <f>IF(B726="","",INDEX(NXchung!$B$3:$EP$57,MATCH(B726,NXchung!$B$3:$B$57,0),INDEX($K$12:$N$25,MATCH($B710,$J$12:$J$25,0),M$11)))</f>
        <v/>
      </c>
      <c r="F710" s="808" t="str">
        <f>IF(B726="","",INDEX(NXchung!$B$3:$EP$57,MATCH(B726,NXchung!$B$3:$B$57,0),INDEX($K$12:$N$25,MATCH($B710,$J$12:$J$25,0),N$11)))</f>
        <v/>
      </c>
      <c r="G710" s="805"/>
      <c r="I710" s="64"/>
      <c r="J710" s="64"/>
    </row>
    <row r="711" spans="1:10" ht="45.9" customHeight="1">
      <c r="A711" s="803" t="s">
        <v>194</v>
      </c>
      <c r="B711" s="813" t="s">
        <v>29</v>
      </c>
      <c r="C711" s="805" t="str">
        <f>IF(B726="","",INDEX(NXchung!$B$3:$EP$57,MATCH(B726,NXchung!$B$3:$B$57,0),INDEX($K$12:$N$25,MATCH($B711,$J$12:$J$25,0),K$11)))</f>
        <v/>
      </c>
      <c r="D711" s="808" t="str">
        <f>IF(B726="","",INDEX(NXchung!$B$3:$EP$57,MATCH(B726,NXchung!$B$3:$B$57,0),INDEX($K$12:$N$25,MATCH($B711,$J$12:$J$25,0),L$11)))</f>
        <v/>
      </c>
      <c r="E711" s="805" t="str">
        <f>IF(B726="","",INDEX(NXchung!$B$3:$EP$57,MATCH(B726,NXchung!$B$3:$B$57,0),INDEX($K$12:$N$25,MATCH($B711,$J$12:$J$25,0),M$11)))</f>
        <v/>
      </c>
      <c r="F711" s="808" t="str">
        <f>IF(B726="","",INDEX(NXchung!$B$3:$EP$57,MATCH(B726,NXchung!$B$3:$B$57,0),INDEX($K$12:$N$25,MATCH($B711,$J$12:$J$25,0),N$11)))</f>
        <v/>
      </c>
      <c r="G711" s="805"/>
      <c r="I711" s="64"/>
      <c r="J711" s="64"/>
    </row>
    <row r="712" spans="1:10" ht="45.9" customHeight="1">
      <c r="A712" s="803" t="s">
        <v>195</v>
      </c>
      <c r="B712" s="813" t="s">
        <v>120</v>
      </c>
      <c r="C712" s="805" t="str">
        <f>IF(B726="","",INDEX(NXchung!$B$3:$EP$57,MATCH(B726,NXchung!$B$3:$B$57,0),INDEX($K$12:$N$25,MATCH($B712,$J$12:$J$25,0),K$11)))</f>
        <v/>
      </c>
      <c r="D712" s="808" t="str">
        <f>IF(B726="","",INDEX(NXchung!$B$3:$EP$57,MATCH(B726,NXchung!$B$3:$B$57,0),INDEX($K$12:$N$25,MATCH($B712,$J$12:$J$25,0),L$11)))</f>
        <v/>
      </c>
      <c r="E712" s="805" t="str">
        <f>IF(B726="","",INDEX(NXchung!$B$3:$EP$57,MATCH(B726,NXchung!$B$3:$B$57,0),INDEX($K$12:$N$25,MATCH($B712,$J$12:$J$25,0),M$11)))</f>
        <v/>
      </c>
      <c r="F712" s="808" t="str">
        <f>IF(B726="","",INDEX(NXchung!$B$3:$EP$57,MATCH(B726,NXchung!$B$3:$B$57,0),INDEX($K$12:$N$25,MATCH($B712,$J$12:$J$25,0),N$11)))</f>
        <v/>
      </c>
      <c r="G712" s="805"/>
      <c r="I712" s="64"/>
      <c r="J712" s="64"/>
    </row>
    <row r="713" spans="1:10" ht="45.9" customHeight="1">
      <c r="A713" s="803" t="s">
        <v>196</v>
      </c>
      <c r="B713" s="813" t="s">
        <v>30</v>
      </c>
      <c r="C713" s="805" t="str">
        <f>IF(B726="","",INDEX(NXchung!$B$3:$EP$57,MATCH(B726,NXchung!$B$3:$B$57,0),INDEX($K$12:$N$25,MATCH($B713,$J$12:$J$25,0),K$11)))</f>
        <v/>
      </c>
      <c r="D713" s="808" t="str">
        <f>IF(B726="","",INDEX(NXchung!$B$3:$EP$57,MATCH(B726,NXchung!$B$3:$B$57,0),INDEX($K$12:$N$25,MATCH($B713,$J$12:$J$25,0),L$11)))</f>
        <v/>
      </c>
      <c r="E713" s="805" t="str">
        <f>IF(B726="","",INDEX(NXchung!$B$3:$EP$57,MATCH(B726,NXchung!$B$3:$B$57,0),INDEX($K$12:$N$25,MATCH($B713,$J$12:$J$25,0),M$11)))</f>
        <v/>
      </c>
      <c r="F713" s="808" t="str">
        <f>IF(B726="","",INDEX(NXchung!$B$3:$EP$57,MATCH(B726,NXchung!$B$3:$B$57,0),INDEX($K$12:$N$25,MATCH($B713,$J$12:$J$25,0),N$11)))</f>
        <v/>
      </c>
      <c r="G713" s="805"/>
      <c r="I713" s="64"/>
      <c r="J713" s="64"/>
    </row>
    <row r="714" spans="1:10" ht="45.9" customHeight="1">
      <c r="A714" s="803" t="s">
        <v>197</v>
      </c>
      <c r="B714" s="813" t="s">
        <v>31</v>
      </c>
      <c r="C714" s="805" t="str">
        <f>IF(B726="","",INDEX(NXchung!$B$3:$EP$57,MATCH(B726,NXchung!$B$3:$B$57,0),INDEX($K$12:$N$25,MATCH($B714,$J$12:$J$25,0),K$11)))</f>
        <v/>
      </c>
      <c r="D714" s="808" t="str">
        <f>IF(B726="","",INDEX(NXchung!$B$3:$EP$57,MATCH(B726,NXchung!$B$3:$B$57,0),INDEX($K$12:$N$25,MATCH($B714,$J$12:$J$25,0),L$11)))</f>
        <v/>
      </c>
      <c r="E714" s="805" t="str">
        <f>IF(B726="","",INDEX(NXchung!$B$3:$EP$57,MATCH(B726,NXchung!$B$3:$B$57,0),INDEX($K$12:$N$25,MATCH($B714,$J$12:$J$25,0),M$11)))</f>
        <v/>
      </c>
      <c r="F714" s="808" t="str">
        <f>IF(B726="","",INDEX(NXchung!$B$3:$EP$57,MATCH(B726,NXchung!$B$3:$B$57,0),INDEX($K$12:$N$25,MATCH($B714,$J$12:$J$25,0),N$11)))</f>
        <v/>
      </c>
      <c r="G714" s="805"/>
      <c r="I714" s="64"/>
      <c r="J714" s="64"/>
    </row>
    <row r="715" spans="1:10" ht="45.9" customHeight="1">
      <c r="A715" s="803" t="s">
        <v>198</v>
      </c>
      <c r="B715" s="813" t="s">
        <v>32</v>
      </c>
      <c r="C715" s="805" t="str">
        <f>IF(B726="","",INDEX(NXchung!$B$3:$EP$57,MATCH(B726,NXchung!$B$3:$B$57,0),INDEX($K$12:$N$25,MATCH($B715,$J$12:$J$25,0),K$11)))</f>
        <v/>
      </c>
      <c r="D715" s="808" t="str">
        <f>IF(B726="","",INDEX(NXchung!$B$3:$EP$57,MATCH(B726,NXchung!$B$3:$B$57,0),INDEX($K$12:$N$25,MATCH($B715,$J$12:$J$25,0),L$11)))</f>
        <v/>
      </c>
      <c r="E715" s="805" t="str">
        <f>IF(B726="","",INDEX(NXchung!$B$3:$EP$57,MATCH(B726,NXchung!$B$3:$B$57,0),INDEX($K$12:$N$25,MATCH($B715,$J$12:$J$25,0),M$11)))</f>
        <v/>
      </c>
      <c r="F715" s="808" t="str">
        <f>IF(B726="","",INDEX(NXchung!$B$3:$EP$57,MATCH(B726,NXchung!$B$3:$B$57,0),INDEX($K$12:$N$25,MATCH($B715,$J$12:$J$25,0),N$11)))</f>
        <v/>
      </c>
      <c r="G715" s="805"/>
      <c r="I715" s="64"/>
      <c r="J715" s="64"/>
    </row>
    <row r="716" spans="1:10" ht="45.9" customHeight="1">
      <c r="A716" s="803" t="s">
        <v>199</v>
      </c>
      <c r="B716" s="813" t="s">
        <v>33</v>
      </c>
      <c r="C716" s="805" t="str">
        <f>IF(B726="","",INDEX(NXchung!$B$3:$EP$57,MATCH(B726,NXchung!$B$3:$B$57,0),INDEX($K$12:$N$25,MATCH($B716,$J$12:$J$25,0),K$11)))</f>
        <v/>
      </c>
      <c r="D716" s="808" t="str">
        <f>IF(B726="","",INDEX(NXchung!$B$3:$EP$57,MATCH(B726,NXchung!$B$3:$B$57,0),INDEX($K$12:$N$25,MATCH($B716,$J$12:$J$25,0),L$11)))</f>
        <v/>
      </c>
      <c r="E716" s="805" t="str">
        <f>IF(B726="","",INDEX(NXchung!$B$3:$EP$57,MATCH(B726,NXchung!$B$3:$B$57,0),INDEX($K$12:$N$25,MATCH($B716,$J$12:$J$25,0),M$11)))</f>
        <v/>
      </c>
      <c r="F716" s="808" t="str">
        <f>IF(B726="","",INDEX(NXchung!$B$3:$EP$57,MATCH(B726,NXchung!$B$3:$B$57,0),INDEX($K$12:$N$25,MATCH($B716,$J$12:$J$25,0),N$11)))</f>
        <v/>
      </c>
      <c r="G716" s="805"/>
      <c r="I716" s="64"/>
      <c r="J716" s="64"/>
    </row>
    <row r="717" spans="1:10" ht="45.9" customHeight="1">
      <c r="A717" s="803" t="s">
        <v>200</v>
      </c>
      <c r="B717" s="813" t="s">
        <v>60</v>
      </c>
      <c r="C717" s="805" t="str">
        <f>IF(B726="","",INDEX(NXchung!$B$3:$EP$57,MATCH(B726,NXchung!$B$3:$B$57,0),INDEX($K$12:$N$25,MATCH($B717,$J$12:$J$25,0),K$11)))</f>
        <v/>
      </c>
      <c r="D717" s="808" t="str">
        <f>IF(B726="","",INDEX(NXchung!$B$3:$EP$57,MATCH(B726,NXchung!$B$3:$B$57,0),INDEX($K$12:$N$25,MATCH($B717,$J$12:$J$25,0),L$11)))</f>
        <v/>
      </c>
      <c r="E717" s="805" t="str">
        <f>IF(B726="","",INDEX(NXchung!$B$3:$EP$57,MATCH(B726,NXchung!$B$3:$B$57,0),INDEX($K$12:$N$25,MATCH($B717,$J$12:$J$25,0),M$11)))</f>
        <v/>
      </c>
      <c r="F717" s="808" t="str">
        <f>IF(B726="","",INDEX(NXchung!$B$3:$EP$57,MATCH(B726,NXchung!$B$3:$B$57,0),INDEX($K$12:$N$25,MATCH($B717,$J$12:$J$25,0),N$11)))</f>
        <v/>
      </c>
      <c r="G717" s="805"/>
      <c r="I717" s="64"/>
      <c r="J717" s="64"/>
    </row>
    <row r="718" spans="1:10" ht="45.9" customHeight="1">
      <c r="A718" s="803" t="s">
        <v>201</v>
      </c>
      <c r="B718" s="813" t="s">
        <v>34</v>
      </c>
      <c r="C718" s="805" t="str">
        <f>IF(B726="","",INDEX(NXchung!$B$3:$EP$57,MATCH(B726,NXchung!$B$3:$B$57,0),INDEX($K$12:$N$25,MATCH($B718,$J$12:$J$25,0),K$11)))</f>
        <v/>
      </c>
      <c r="D718" s="808" t="str">
        <f>IF(B726="","",INDEX(NXchung!$B$3:$EP$57,MATCH(B726,NXchung!$B$3:$B$57,0),INDEX($K$12:$N$25,MATCH($B718,$J$12:$J$25,0),L$11)))</f>
        <v/>
      </c>
      <c r="E718" s="805" t="str">
        <f>IF(B726="","",INDEX(NXchung!$B$3:$EP$57,MATCH(B726,NXchung!$B$3:$B$57,0),INDEX($K$12:$N$25,MATCH($B718,$J$12:$J$25,0),M$11)))</f>
        <v/>
      </c>
      <c r="F718" s="808" t="str">
        <f>IF(B726="","",INDEX(NXchung!$B$3:$EP$57,MATCH(B726,NXchung!$B$3:$B$57,0),INDEX($K$12:$N$25,MATCH($B718,$J$12:$J$25,0),N$11)))</f>
        <v/>
      </c>
      <c r="G718" s="805"/>
      <c r="I718" s="64"/>
      <c r="J718" s="64"/>
    </row>
    <row r="719" spans="1:10" ht="45.9" customHeight="1">
      <c r="A719" s="803" t="s">
        <v>202</v>
      </c>
      <c r="B719" s="813" t="s">
        <v>35</v>
      </c>
      <c r="C719" s="805" t="str">
        <f>IF(B726="","",INDEX(NXchung!$B$3:$EP$57,MATCH(B726,NXchung!$B$3:$B$57,0),INDEX($K$12:$N$25,MATCH($B719,$J$12:$J$25,0),K$11)))</f>
        <v/>
      </c>
      <c r="D719" s="808" t="str">
        <f>IF(B726="","",INDEX(NXchung!$B$3:$EP$57,MATCH(B726,NXchung!$B$3:$B$57,0),INDEX($K$12:$N$25,MATCH($B719,$J$12:$J$25,0),L$11)))</f>
        <v/>
      </c>
      <c r="E719" s="805" t="str">
        <f>IF(B726="","",INDEX(NXchung!$B$3:$EP$57,MATCH(B726,NXchung!$B$3:$B$57,0),INDEX($K$12:$N$25,MATCH($B719,$J$12:$J$25,0),M$11)))</f>
        <v>Đ</v>
      </c>
      <c r="F719" s="808" t="str">
        <f>IF(B726="","",INDEX(NXchung!$B$3:$EP$57,MATCH(B726,NXchung!$B$3:$B$57,0),INDEX($K$12:$N$25,MATCH($B719,$J$12:$J$25,0),N$11)))</f>
        <v>Rất ngoan, học có hiệu quả tốt.</v>
      </c>
      <c r="G719" s="805"/>
      <c r="I719" s="64"/>
      <c r="J719" s="64"/>
    </row>
    <row r="720" spans="1:10" ht="45.9" customHeight="1">
      <c r="A720" s="803" t="s">
        <v>203</v>
      </c>
      <c r="B720" s="813" t="s">
        <v>121</v>
      </c>
      <c r="C720" s="805" t="str">
        <f>IF(B726="","",INDEX(NXchung!$B$3:$EP$57,MATCH(B726,NXchung!$B$3:$B$57,0),INDEX($K$12:$N$25,MATCH($B720,$J$12:$J$25,0),K$11)))</f>
        <v/>
      </c>
      <c r="D720" s="808" t="str">
        <f>IF(B726="","",INDEX(NXchung!$B$3:$EP$57,MATCH(B726,NXchung!$B$3:$B$57,0),INDEX($K$12:$N$25,MATCH($B720,$J$12:$J$25,0),L$11)))</f>
        <v/>
      </c>
      <c r="E720" s="805" t="str">
        <f>IF(B726="","",INDEX(NXchung!$B$3:$EP$57,MATCH(B726,NXchung!$B$3:$B$57,0),INDEX($K$12:$N$25,MATCH($B720,$J$12:$J$25,0),M$11)))</f>
        <v/>
      </c>
      <c r="F720" s="808" t="str">
        <f>IF(B726="","",INDEX(NXchung!$B$3:$EP$57,MATCH(B726,NXchung!$B$3:$B$57,0),INDEX($K$12:$N$25,MATCH($B720,$J$12:$J$25,0),N$11)))</f>
        <v/>
      </c>
      <c r="G720" s="805"/>
      <c r="I720" s="64"/>
      <c r="J720" s="64"/>
    </row>
    <row r="721" spans="1:10" ht="45.9" customHeight="1">
      <c r="A721" s="803" t="s">
        <v>204</v>
      </c>
      <c r="B721" s="813" t="s">
        <v>122</v>
      </c>
      <c r="C721" s="805" t="str">
        <f>IF(B726="","",INDEX(NXchung!$B$3:$EP$57,MATCH(B726,NXchung!$B$3:$B$57,0),INDEX($K$12:$N$25,MATCH($B721,$J$12:$J$25,0),K$11)))</f>
        <v/>
      </c>
      <c r="D721" s="808" t="str">
        <f>IF(B726="","",INDEX(NXchung!$B$3:$EP$57,MATCH(B726,NXchung!$B$3:$B$57,0),INDEX($K$12:$N$25,MATCH($B721,$J$12:$J$25,0),L$11)))</f>
        <v/>
      </c>
      <c r="E721" s="805" t="str">
        <f>IF(B726="","",INDEX(NXchung!$B$3:$EP$57,MATCH(B726,NXchung!$B$3:$B$57,0),INDEX($K$12:$N$25,MATCH($B721,$J$12:$J$25,0),M$11)))</f>
        <v/>
      </c>
      <c r="F721" s="808" t="str">
        <f>IF(B726="","",INDEX(NXchung!$B$3:$EP$57,MATCH(B726,NXchung!$B$3:$B$57,0),INDEX($K$12:$N$25,MATCH($B721,$J$12:$J$25,0),N$11)))</f>
        <v/>
      </c>
      <c r="G721" s="805"/>
      <c r="I721" s="64"/>
      <c r="J721" s="64"/>
    </row>
    <row r="722" spans="1:10" s="60" customFormat="1" ht="6" customHeight="1">
      <c r="A722" s="67"/>
      <c r="B722" s="67"/>
      <c r="C722" s="475"/>
      <c r="D722" s="475"/>
      <c r="E722" s="67"/>
      <c r="F722" s="67"/>
      <c r="G722" s="67"/>
    </row>
    <row r="723" spans="1:10" ht="17.25" customHeight="1">
      <c r="D723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723" s="1163"/>
      <c r="F723" s="1163"/>
      <c r="G723" s="1163"/>
      <c r="H723" s="814"/>
    </row>
    <row r="724" spans="1:10" ht="16.5" customHeight="1">
      <c r="D724" s="992" t="s">
        <v>377</v>
      </c>
      <c r="E724" s="992"/>
      <c r="F724" s="992"/>
      <c r="G724" s="992"/>
      <c r="H724" s="814"/>
    </row>
    <row r="725" spans="1:10" ht="81.75" customHeight="1">
      <c r="D725" s="931" t="str">
        <f>IF('Huong dan'!$E$5="","",'Huong dan'!$E$5)</f>
        <v/>
      </c>
      <c r="E725" s="931"/>
      <c r="F725" s="931"/>
      <c r="G725" s="931"/>
      <c r="H725" s="814"/>
    </row>
    <row r="726" spans="1:10" ht="11.25" customHeight="1">
      <c r="A726" s="75"/>
      <c r="B726" s="815">
        <f>IF(B697="","",IF(B697&lt;MAX(DiemHKII!$B$4:$B$58),B697+1,""))</f>
        <v>25</v>
      </c>
      <c r="C726" s="75"/>
      <c r="D726" s="75"/>
      <c r="E726" s="75"/>
      <c r="F726" s="75"/>
      <c r="G726" s="75"/>
    </row>
    <row r="727" spans="1:10" s="60" customFormat="1" ht="21" customHeight="1">
      <c r="A727" s="1128" t="str">
        <f>IF('Huong dan'!$E$3&lt;&gt;"","SỞ GIÁO DỤC VÀ ĐÀO TẠO "&amp;UPPER('Huong dan'!$E$3),"")</f>
        <v>SỞ GIÁO DỤC VÀ ĐÀO TẠO TP. HỒ CHÍ MINH</v>
      </c>
      <c r="B727" s="1128"/>
      <c r="C727" s="1128"/>
      <c r="D727" s="1128"/>
      <c r="E727" s="1129" t="s">
        <v>19</v>
      </c>
      <c r="F727" s="1129"/>
      <c r="G727" s="1129"/>
    </row>
    <row r="728" spans="1:10" ht="17.25" customHeight="1">
      <c r="A728" s="992" t="str">
        <f>IF('Huong dan'!$E$4&lt;&gt;"","TRƯỜNG "&amp;UPPER('Huong dan'!$E$4),"")</f>
        <v>TRƯỜNG THCS VÀ THPT NGUYỄN KHUYẾN</v>
      </c>
      <c r="B728" s="992"/>
      <c r="C728" s="992"/>
      <c r="D728" s="992"/>
      <c r="E728" s="1130" t="s">
        <v>179</v>
      </c>
      <c r="F728" s="1130"/>
      <c r="G728" s="1130"/>
    </row>
    <row r="729" spans="1:10" ht="15" customHeight="1">
      <c r="A729" s="69"/>
      <c r="B729" s="69"/>
      <c r="C729" s="30"/>
    </row>
    <row r="730" spans="1:10" ht="27.75" customHeight="1">
      <c r="A730" s="1013" t="s">
        <v>567</v>
      </c>
      <c r="B730" s="1013"/>
      <c r="C730" s="1013"/>
      <c r="D730" s="1013"/>
      <c r="E730" s="1013"/>
      <c r="F730" s="1013"/>
      <c r="G730" s="1013"/>
    </row>
    <row r="731" spans="1:10" ht="24" customHeight="1">
      <c r="A731" s="1013" t="str">
        <f>"HỌC KỲ II VÀ CẢ NĂM - NĂM HỌC "&amp;'Huong dan'!$C$5</f>
        <v>HỌC KỲ II VÀ CẢ NĂM - NĂM HỌC 2021 - 2022</v>
      </c>
      <c r="B731" s="1013"/>
      <c r="C731" s="1013"/>
      <c r="D731" s="1013"/>
      <c r="E731" s="1013"/>
      <c r="F731" s="1013"/>
      <c r="G731" s="1013"/>
    </row>
    <row r="732" spans="1:10" ht="9" customHeight="1">
      <c r="A732" s="70"/>
      <c r="B732" s="66"/>
      <c r="C732" s="66"/>
      <c r="D732" s="66"/>
      <c r="E732" s="66"/>
      <c r="F732" s="66"/>
      <c r="G732" s="66"/>
    </row>
    <row r="733" spans="1:10" ht="18.75" customHeight="1">
      <c r="A733" s="1167" t="s">
        <v>212</v>
      </c>
      <c r="B733" s="1167"/>
      <c r="C733" s="1167"/>
      <c r="D733" s="1167" t="str">
        <f>IF(B755="","",INDEX(NXchung!$B$3:$EP$57,MATCH(B755,NXchung!$B$3:$B$57,0),3)&amp;" "&amp;INDEX(NXchung!$B$3:$EP$57,MATCH(B755,NXchung!$B$3:$B$57,0),4))</f>
        <v>Trần Thị Hải Như</v>
      </c>
      <c r="E733" s="1167"/>
      <c r="F733" s="77" t="str">
        <f>IF('Huong dan'!$C$3="","","Lớp: "&amp;'Huong dan'!$C$3)</f>
        <v>Lớp: 12A1</v>
      </c>
      <c r="G733" s="71"/>
    </row>
    <row r="734" spans="1:10" ht="18.75" customHeight="1">
      <c r="A734" s="1168" t="s">
        <v>213</v>
      </c>
      <c r="B734" s="1168"/>
      <c r="C734" s="1168"/>
      <c r="D734" s="77" t="str">
        <f>INDEX(NXchung!$B$3:$EP$57,MATCH(B755,NXchung!$B$3:$B$57,0),5)</f>
        <v>17/08/2004</v>
      </c>
      <c r="F734" s="841" t="str">
        <f>IF(B755="","","Nơi sinh: "&amp;INDEX(DiemHKII!$H$4:$H$58,MATCH(B755,DiemHKII!$B$4:$B$58,0),1))</f>
        <v xml:space="preserve">Nơi sinh: </v>
      </c>
      <c r="G734" s="77"/>
    </row>
    <row r="735" spans="1:10" ht="9.75" customHeight="1">
      <c r="A735" s="62"/>
      <c r="B735" s="62"/>
      <c r="C735" s="62"/>
      <c r="D735" s="62"/>
      <c r="E735" s="62"/>
      <c r="F735" s="62"/>
      <c r="G735" s="63"/>
    </row>
    <row r="736" spans="1:10" ht="31.5" customHeight="1">
      <c r="A736" s="801" t="s">
        <v>0</v>
      </c>
      <c r="B736" s="801" t="s">
        <v>59</v>
      </c>
      <c r="C736" s="806" t="s">
        <v>661</v>
      </c>
      <c r="D736" s="801" t="s">
        <v>296</v>
      </c>
      <c r="E736" s="806" t="s">
        <v>662</v>
      </c>
      <c r="F736" s="801" t="s">
        <v>361</v>
      </c>
      <c r="G736" s="802" t="s">
        <v>569</v>
      </c>
    </row>
    <row r="737" spans="1:10" ht="45.9" customHeight="1">
      <c r="A737" s="803" t="s">
        <v>191</v>
      </c>
      <c r="B737" s="813" t="s">
        <v>26</v>
      </c>
      <c r="C737" s="805" t="str">
        <f>IF(B755="","",INDEX(NXchung!$B$3:$EP$57,MATCH(B755,NXchung!$B$3:$B$57,0),INDEX($K$12:$N$25,MATCH($B737,$J$12:$J$25,0),K$11)))</f>
        <v/>
      </c>
      <c r="D737" s="808" t="str">
        <f>IF(B755="","",INDEX(NXchung!$B$3:$EP$57,MATCH(B755,NXchung!$B$3:$B$57,0),INDEX($K$12:$N$25,MATCH($B737,$J$12:$J$25,0),L$11)))</f>
        <v/>
      </c>
      <c r="E737" s="805" t="str">
        <f>IF(B755="","",INDEX(NXchung!$B$3:$EP$57,MATCH(B755,NXchung!$B$3:$B$57,0),INDEX($K$12:$N$25,MATCH($B737,$J$12:$J$25,0),M$11)))</f>
        <v/>
      </c>
      <c r="F737" s="808" t="str">
        <f>IF(B755="","",INDEX(NXchung!$B$3:$EP$57,MATCH(B755,NXchung!$B$3:$B$57,0),INDEX($K$12:$N$25,MATCH($B737,$J$12:$J$25,0),N$11)))</f>
        <v/>
      </c>
      <c r="G737" s="805"/>
      <c r="I737" s="64"/>
      <c r="J737" s="64"/>
    </row>
    <row r="738" spans="1:10" ht="45.9" customHeight="1">
      <c r="A738" s="803" t="s">
        <v>192</v>
      </c>
      <c r="B738" s="813" t="s">
        <v>27</v>
      </c>
      <c r="C738" s="805" t="str">
        <f>IF(B755="","",INDEX(NXchung!$B$3:$EP$57,MATCH(B755,NXchung!$B$3:$B$57,0),INDEX($K$12:$N$25,MATCH($B738,$J$12:$J$25,0),K$11)))</f>
        <v/>
      </c>
      <c r="D738" s="808" t="str">
        <f>IF(B755="","",INDEX(NXchung!$B$3:$EP$57,MATCH(B755,NXchung!$B$3:$B$57,0),INDEX($K$12:$N$25,MATCH($B738,$J$12:$J$25,0),L$11)))</f>
        <v/>
      </c>
      <c r="E738" s="805" t="str">
        <f>IF(B755="","",INDEX(NXchung!$B$3:$EP$57,MATCH(B755,NXchung!$B$3:$B$57,0),INDEX($K$12:$N$25,MATCH($B738,$J$12:$J$25,0),M$11)))</f>
        <v/>
      </c>
      <c r="F738" s="808" t="str">
        <f>IF(B755="","",INDEX(NXchung!$B$3:$EP$57,MATCH(B755,NXchung!$B$3:$B$57,0),INDEX($K$12:$N$25,MATCH($B738,$J$12:$J$25,0),N$11)))</f>
        <v/>
      </c>
      <c r="G738" s="805"/>
      <c r="I738" s="64"/>
      <c r="J738" s="64"/>
    </row>
    <row r="739" spans="1:10" ht="45.9" customHeight="1">
      <c r="A739" s="803" t="s">
        <v>193</v>
      </c>
      <c r="B739" s="813" t="s">
        <v>28</v>
      </c>
      <c r="C739" s="805" t="str">
        <f>IF(B755="","",INDEX(NXchung!$B$3:$EP$57,MATCH(B755,NXchung!$B$3:$B$57,0),INDEX($K$12:$N$25,MATCH($B739,$J$12:$J$25,0),K$11)))</f>
        <v/>
      </c>
      <c r="D739" s="808" t="str">
        <f>IF(B755="","",INDEX(NXchung!$B$3:$EP$57,MATCH(B755,NXchung!$B$3:$B$57,0),INDEX($K$12:$N$25,MATCH($B739,$J$12:$J$25,0),L$11)))</f>
        <v/>
      </c>
      <c r="E739" s="805" t="str">
        <f>IF(B755="","",INDEX(NXchung!$B$3:$EP$57,MATCH(B755,NXchung!$B$3:$B$57,0),INDEX($K$12:$N$25,MATCH($B739,$J$12:$J$25,0),M$11)))</f>
        <v/>
      </c>
      <c r="F739" s="808" t="str">
        <f>IF(B755="","",INDEX(NXchung!$B$3:$EP$57,MATCH(B755,NXchung!$B$3:$B$57,0),INDEX($K$12:$N$25,MATCH($B739,$J$12:$J$25,0),N$11)))</f>
        <v/>
      </c>
      <c r="G739" s="805"/>
      <c r="I739" s="64"/>
      <c r="J739" s="64"/>
    </row>
    <row r="740" spans="1:10" ht="45.9" customHeight="1">
      <c r="A740" s="803" t="s">
        <v>194</v>
      </c>
      <c r="B740" s="813" t="s">
        <v>29</v>
      </c>
      <c r="C740" s="805" t="str">
        <f>IF(B755="","",INDEX(NXchung!$B$3:$EP$57,MATCH(B755,NXchung!$B$3:$B$57,0),INDEX($K$12:$N$25,MATCH($B740,$J$12:$J$25,0),K$11)))</f>
        <v/>
      </c>
      <c r="D740" s="808" t="str">
        <f>IF(B755="","",INDEX(NXchung!$B$3:$EP$57,MATCH(B755,NXchung!$B$3:$B$57,0),INDEX($K$12:$N$25,MATCH($B740,$J$12:$J$25,0),L$11)))</f>
        <v/>
      </c>
      <c r="E740" s="805" t="str">
        <f>IF(B755="","",INDEX(NXchung!$B$3:$EP$57,MATCH(B755,NXchung!$B$3:$B$57,0),INDEX($K$12:$N$25,MATCH($B740,$J$12:$J$25,0),M$11)))</f>
        <v/>
      </c>
      <c r="F740" s="808" t="str">
        <f>IF(B755="","",INDEX(NXchung!$B$3:$EP$57,MATCH(B755,NXchung!$B$3:$B$57,0),INDEX($K$12:$N$25,MATCH($B740,$J$12:$J$25,0),N$11)))</f>
        <v/>
      </c>
      <c r="G740" s="805"/>
      <c r="I740" s="64"/>
      <c r="J740" s="64"/>
    </row>
    <row r="741" spans="1:10" ht="45.9" customHeight="1">
      <c r="A741" s="803" t="s">
        <v>195</v>
      </c>
      <c r="B741" s="813" t="s">
        <v>120</v>
      </c>
      <c r="C741" s="805" t="str">
        <f>IF(B755="","",INDEX(NXchung!$B$3:$EP$57,MATCH(B755,NXchung!$B$3:$B$57,0),INDEX($K$12:$N$25,MATCH($B741,$J$12:$J$25,0),K$11)))</f>
        <v/>
      </c>
      <c r="D741" s="808" t="str">
        <f>IF(B755="","",INDEX(NXchung!$B$3:$EP$57,MATCH(B755,NXchung!$B$3:$B$57,0),INDEX($K$12:$N$25,MATCH($B741,$J$12:$J$25,0),L$11)))</f>
        <v/>
      </c>
      <c r="E741" s="805" t="str">
        <f>IF(B755="","",INDEX(NXchung!$B$3:$EP$57,MATCH(B755,NXchung!$B$3:$B$57,0),INDEX($K$12:$N$25,MATCH($B741,$J$12:$J$25,0),M$11)))</f>
        <v/>
      </c>
      <c r="F741" s="808" t="str">
        <f>IF(B755="","",INDEX(NXchung!$B$3:$EP$57,MATCH(B755,NXchung!$B$3:$B$57,0),INDEX($K$12:$N$25,MATCH($B741,$J$12:$J$25,0),N$11)))</f>
        <v/>
      </c>
      <c r="G741" s="805"/>
      <c r="I741" s="64"/>
      <c r="J741" s="64"/>
    </row>
    <row r="742" spans="1:10" ht="45.9" customHeight="1">
      <c r="A742" s="803" t="s">
        <v>196</v>
      </c>
      <c r="B742" s="813" t="s">
        <v>30</v>
      </c>
      <c r="C742" s="805" t="str">
        <f>IF(B755="","",INDEX(NXchung!$B$3:$EP$57,MATCH(B755,NXchung!$B$3:$B$57,0),INDEX($K$12:$N$25,MATCH($B742,$J$12:$J$25,0),K$11)))</f>
        <v/>
      </c>
      <c r="D742" s="808" t="str">
        <f>IF(B755="","",INDEX(NXchung!$B$3:$EP$57,MATCH(B755,NXchung!$B$3:$B$57,0),INDEX($K$12:$N$25,MATCH($B742,$J$12:$J$25,0),L$11)))</f>
        <v/>
      </c>
      <c r="E742" s="805" t="str">
        <f>IF(B755="","",INDEX(NXchung!$B$3:$EP$57,MATCH(B755,NXchung!$B$3:$B$57,0),INDEX($K$12:$N$25,MATCH($B742,$J$12:$J$25,0),M$11)))</f>
        <v/>
      </c>
      <c r="F742" s="808" t="str">
        <f>IF(B755="","",INDEX(NXchung!$B$3:$EP$57,MATCH(B755,NXchung!$B$3:$B$57,0),INDEX($K$12:$N$25,MATCH($B742,$J$12:$J$25,0),N$11)))</f>
        <v/>
      </c>
      <c r="G742" s="805"/>
      <c r="I742" s="64"/>
      <c r="J742" s="64"/>
    </row>
    <row r="743" spans="1:10" ht="45.9" customHeight="1">
      <c r="A743" s="803" t="s">
        <v>197</v>
      </c>
      <c r="B743" s="813" t="s">
        <v>31</v>
      </c>
      <c r="C743" s="805" t="str">
        <f>IF(B755="","",INDEX(NXchung!$B$3:$EP$57,MATCH(B755,NXchung!$B$3:$B$57,0),INDEX($K$12:$N$25,MATCH($B743,$J$12:$J$25,0),K$11)))</f>
        <v/>
      </c>
      <c r="D743" s="808" t="str">
        <f>IF(B755="","",INDEX(NXchung!$B$3:$EP$57,MATCH(B755,NXchung!$B$3:$B$57,0),INDEX($K$12:$N$25,MATCH($B743,$J$12:$J$25,0),L$11)))</f>
        <v/>
      </c>
      <c r="E743" s="805" t="str">
        <f>IF(B755="","",INDEX(NXchung!$B$3:$EP$57,MATCH(B755,NXchung!$B$3:$B$57,0),INDEX($K$12:$N$25,MATCH($B743,$J$12:$J$25,0),M$11)))</f>
        <v/>
      </c>
      <c r="F743" s="808" t="str">
        <f>IF(B755="","",INDEX(NXchung!$B$3:$EP$57,MATCH(B755,NXchung!$B$3:$B$57,0),INDEX($K$12:$N$25,MATCH($B743,$J$12:$J$25,0),N$11)))</f>
        <v/>
      </c>
      <c r="G743" s="805"/>
      <c r="I743" s="64"/>
      <c r="J743" s="64"/>
    </row>
    <row r="744" spans="1:10" ht="45.9" customHeight="1">
      <c r="A744" s="803" t="s">
        <v>198</v>
      </c>
      <c r="B744" s="813" t="s">
        <v>32</v>
      </c>
      <c r="C744" s="805" t="str">
        <f>IF(B755="","",INDEX(NXchung!$B$3:$EP$57,MATCH(B755,NXchung!$B$3:$B$57,0),INDEX($K$12:$N$25,MATCH($B744,$J$12:$J$25,0),K$11)))</f>
        <v/>
      </c>
      <c r="D744" s="808" t="str">
        <f>IF(B755="","",INDEX(NXchung!$B$3:$EP$57,MATCH(B755,NXchung!$B$3:$B$57,0),INDEX($K$12:$N$25,MATCH($B744,$J$12:$J$25,0),L$11)))</f>
        <v/>
      </c>
      <c r="E744" s="805" t="str">
        <f>IF(B755="","",INDEX(NXchung!$B$3:$EP$57,MATCH(B755,NXchung!$B$3:$B$57,0),INDEX($K$12:$N$25,MATCH($B744,$J$12:$J$25,0),M$11)))</f>
        <v/>
      </c>
      <c r="F744" s="808" t="str">
        <f>IF(B755="","",INDEX(NXchung!$B$3:$EP$57,MATCH(B755,NXchung!$B$3:$B$57,0),INDEX($K$12:$N$25,MATCH($B744,$J$12:$J$25,0),N$11)))</f>
        <v/>
      </c>
      <c r="G744" s="805"/>
      <c r="I744" s="64"/>
      <c r="J744" s="64"/>
    </row>
    <row r="745" spans="1:10" ht="45.9" customHeight="1">
      <c r="A745" s="803" t="s">
        <v>199</v>
      </c>
      <c r="B745" s="813" t="s">
        <v>33</v>
      </c>
      <c r="C745" s="805" t="str">
        <f>IF(B755="","",INDEX(NXchung!$B$3:$EP$57,MATCH(B755,NXchung!$B$3:$B$57,0),INDEX($K$12:$N$25,MATCH($B745,$J$12:$J$25,0),K$11)))</f>
        <v/>
      </c>
      <c r="D745" s="808" t="str">
        <f>IF(B755="","",INDEX(NXchung!$B$3:$EP$57,MATCH(B755,NXchung!$B$3:$B$57,0),INDEX($K$12:$N$25,MATCH($B745,$J$12:$J$25,0),L$11)))</f>
        <v/>
      </c>
      <c r="E745" s="805" t="str">
        <f>IF(B755="","",INDEX(NXchung!$B$3:$EP$57,MATCH(B755,NXchung!$B$3:$B$57,0),INDEX($K$12:$N$25,MATCH($B745,$J$12:$J$25,0),M$11)))</f>
        <v/>
      </c>
      <c r="F745" s="808" t="str">
        <f>IF(B755="","",INDEX(NXchung!$B$3:$EP$57,MATCH(B755,NXchung!$B$3:$B$57,0),INDEX($K$12:$N$25,MATCH($B745,$J$12:$J$25,0),N$11)))</f>
        <v/>
      </c>
      <c r="G745" s="805"/>
      <c r="I745" s="64"/>
      <c r="J745" s="64"/>
    </row>
    <row r="746" spans="1:10" ht="45.9" customHeight="1">
      <c r="A746" s="803" t="s">
        <v>200</v>
      </c>
      <c r="B746" s="813" t="s">
        <v>60</v>
      </c>
      <c r="C746" s="805" t="str">
        <f>IF(B755="","",INDEX(NXchung!$B$3:$EP$57,MATCH(B755,NXchung!$B$3:$B$57,0),INDEX($K$12:$N$25,MATCH($B746,$J$12:$J$25,0),K$11)))</f>
        <v/>
      </c>
      <c r="D746" s="808" t="str">
        <f>IF(B755="","",INDEX(NXchung!$B$3:$EP$57,MATCH(B755,NXchung!$B$3:$B$57,0),INDEX($K$12:$N$25,MATCH($B746,$J$12:$J$25,0),L$11)))</f>
        <v/>
      </c>
      <c r="E746" s="805" t="str">
        <f>IF(B755="","",INDEX(NXchung!$B$3:$EP$57,MATCH(B755,NXchung!$B$3:$B$57,0),INDEX($K$12:$N$25,MATCH($B746,$J$12:$J$25,0),M$11)))</f>
        <v/>
      </c>
      <c r="F746" s="808" t="str">
        <f>IF(B755="","",INDEX(NXchung!$B$3:$EP$57,MATCH(B755,NXchung!$B$3:$B$57,0),INDEX($K$12:$N$25,MATCH($B746,$J$12:$J$25,0),N$11)))</f>
        <v/>
      </c>
      <c r="G746" s="805"/>
      <c r="I746" s="64"/>
      <c r="J746" s="64"/>
    </row>
    <row r="747" spans="1:10" ht="45.9" customHeight="1">
      <c r="A747" s="803" t="s">
        <v>201</v>
      </c>
      <c r="B747" s="813" t="s">
        <v>34</v>
      </c>
      <c r="C747" s="805" t="str">
        <f>IF(B755="","",INDEX(NXchung!$B$3:$EP$57,MATCH(B755,NXchung!$B$3:$B$57,0),INDEX($K$12:$N$25,MATCH($B747,$J$12:$J$25,0),K$11)))</f>
        <v/>
      </c>
      <c r="D747" s="808" t="str">
        <f>IF(B755="","",INDEX(NXchung!$B$3:$EP$57,MATCH(B755,NXchung!$B$3:$B$57,0),INDEX($K$12:$N$25,MATCH($B747,$J$12:$J$25,0),L$11)))</f>
        <v/>
      </c>
      <c r="E747" s="805" t="str">
        <f>IF(B755="","",INDEX(NXchung!$B$3:$EP$57,MATCH(B755,NXchung!$B$3:$B$57,0),INDEX($K$12:$N$25,MATCH($B747,$J$12:$J$25,0),M$11)))</f>
        <v/>
      </c>
      <c r="F747" s="808" t="str">
        <f>IF(B755="","",INDEX(NXchung!$B$3:$EP$57,MATCH(B755,NXchung!$B$3:$B$57,0),INDEX($K$12:$N$25,MATCH($B747,$J$12:$J$25,0),N$11)))</f>
        <v/>
      </c>
      <c r="G747" s="805"/>
      <c r="I747" s="64"/>
      <c r="J747" s="64"/>
    </row>
    <row r="748" spans="1:10" ht="45.9" customHeight="1">
      <c r="A748" s="803" t="s">
        <v>202</v>
      </c>
      <c r="B748" s="813" t="s">
        <v>35</v>
      </c>
      <c r="C748" s="805" t="str">
        <f>IF(B755="","",INDEX(NXchung!$B$3:$EP$57,MATCH(B755,NXchung!$B$3:$B$57,0),INDEX($K$12:$N$25,MATCH($B748,$J$12:$J$25,0),K$11)))</f>
        <v/>
      </c>
      <c r="D748" s="808" t="str">
        <f>IF(B755="","",INDEX(NXchung!$B$3:$EP$57,MATCH(B755,NXchung!$B$3:$B$57,0),INDEX($K$12:$N$25,MATCH($B748,$J$12:$J$25,0),L$11)))</f>
        <v/>
      </c>
      <c r="E748" s="805" t="str">
        <f>IF(B755="","",INDEX(NXchung!$B$3:$EP$57,MATCH(B755,NXchung!$B$3:$B$57,0),INDEX($K$12:$N$25,MATCH($B748,$J$12:$J$25,0),M$11)))</f>
        <v>Đ</v>
      </c>
      <c r="F748" s="808" t="str">
        <f>IF(B755="","",INDEX(NXchung!$B$3:$EP$57,MATCH(B755,NXchung!$B$3:$B$57,0),INDEX($K$12:$N$25,MATCH($B748,$J$12:$J$25,0),N$11)))</f>
        <v>Chăm chỉ, cố gắng, rất ngoan.</v>
      </c>
      <c r="G748" s="805"/>
      <c r="I748" s="64"/>
      <c r="J748" s="64"/>
    </row>
    <row r="749" spans="1:10" ht="45.9" customHeight="1">
      <c r="A749" s="803" t="s">
        <v>203</v>
      </c>
      <c r="B749" s="813" t="s">
        <v>121</v>
      </c>
      <c r="C749" s="805" t="str">
        <f>IF(B755="","",INDEX(NXchung!$B$3:$EP$57,MATCH(B755,NXchung!$B$3:$B$57,0),INDEX($K$12:$N$25,MATCH($B749,$J$12:$J$25,0),K$11)))</f>
        <v/>
      </c>
      <c r="D749" s="808" t="str">
        <f>IF(B755="","",INDEX(NXchung!$B$3:$EP$57,MATCH(B755,NXchung!$B$3:$B$57,0),INDEX($K$12:$N$25,MATCH($B749,$J$12:$J$25,0),L$11)))</f>
        <v/>
      </c>
      <c r="E749" s="805" t="str">
        <f>IF(B755="","",INDEX(NXchung!$B$3:$EP$57,MATCH(B755,NXchung!$B$3:$B$57,0),INDEX($K$12:$N$25,MATCH($B749,$J$12:$J$25,0),M$11)))</f>
        <v/>
      </c>
      <c r="F749" s="808" t="str">
        <f>IF(B755="","",INDEX(NXchung!$B$3:$EP$57,MATCH(B755,NXchung!$B$3:$B$57,0),INDEX($K$12:$N$25,MATCH($B749,$J$12:$J$25,0),N$11)))</f>
        <v/>
      </c>
      <c r="G749" s="805"/>
      <c r="I749" s="64"/>
      <c r="J749" s="64"/>
    </row>
    <row r="750" spans="1:10" ht="45.9" customHeight="1">
      <c r="A750" s="803" t="s">
        <v>204</v>
      </c>
      <c r="B750" s="813" t="s">
        <v>122</v>
      </c>
      <c r="C750" s="805" t="str">
        <f>IF(B755="","",INDEX(NXchung!$B$3:$EP$57,MATCH(B755,NXchung!$B$3:$B$57,0),INDEX($K$12:$N$25,MATCH($B750,$J$12:$J$25,0),K$11)))</f>
        <v/>
      </c>
      <c r="D750" s="808" t="str">
        <f>IF(B755="","",INDEX(NXchung!$B$3:$EP$57,MATCH(B755,NXchung!$B$3:$B$57,0),INDEX($K$12:$N$25,MATCH($B750,$J$12:$J$25,0),L$11)))</f>
        <v/>
      </c>
      <c r="E750" s="805" t="str">
        <f>IF(B755="","",INDEX(NXchung!$B$3:$EP$57,MATCH(B755,NXchung!$B$3:$B$57,0),INDEX($K$12:$N$25,MATCH($B750,$J$12:$J$25,0),M$11)))</f>
        <v/>
      </c>
      <c r="F750" s="808" t="str">
        <f>IF(B755="","",INDEX(NXchung!$B$3:$EP$57,MATCH(B755,NXchung!$B$3:$B$57,0),INDEX($K$12:$N$25,MATCH($B750,$J$12:$J$25,0),N$11)))</f>
        <v/>
      </c>
      <c r="G750" s="805"/>
      <c r="I750" s="64"/>
      <c r="J750" s="64"/>
    </row>
    <row r="751" spans="1:10" s="60" customFormat="1" ht="6" customHeight="1">
      <c r="A751" s="67"/>
      <c r="B751" s="67"/>
      <c r="C751" s="475"/>
      <c r="D751" s="475"/>
      <c r="E751" s="67"/>
      <c r="F751" s="67"/>
      <c r="G751" s="67"/>
    </row>
    <row r="752" spans="1:10" ht="17.25" customHeight="1">
      <c r="D752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752" s="1163"/>
      <c r="F752" s="1163"/>
      <c r="G752" s="1163"/>
      <c r="H752" s="814"/>
    </row>
    <row r="753" spans="1:10" ht="16.5" customHeight="1">
      <c r="D753" s="992" t="s">
        <v>377</v>
      </c>
      <c r="E753" s="992"/>
      <c r="F753" s="992"/>
      <c r="G753" s="992"/>
      <c r="H753" s="814"/>
    </row>
    <row r="754" spans="1:10" ht="81.75" customHeight="1">
      <c r="D754" s="931" t="str">
        <f>IF('Huong dan'!$E$5="","",'Huong dan'!$E$5)</f>
        <v/>
      </c>
      <c r="E754" s="931"/>
      <c r="F754" s="931"/>
      <c r="G754" s="931"/>
      <c r="H754" s="814"/>
    </row>
    <row r="755" spans="1:10" ht="11.25" customHeight="1">
      <c r="A755" s="75"/>
      <c r="B755" s="815">
        <f>IF(B726="","",IF(B726&lt;MAX(DiemHKII!$B$4:$B$58),B726+1,""))</f>
        <v>26</v>
      </c>
      <c r="C755" s="75"/>
      <c r="D755" s="75"/>
      <c r="E755" s="75"/>
      <c r="F755" s="75"/>
      <c r="G755" s="75"/>
    </row>
    <row r="756" spans="1:10" s="60" customFormat="1" ht="21" customHeight="1">
      <c r="A756" s="1128" t="str">
        <f>IF('Huong dan'!$E$3&lt;&gt;"","SỞ GIÁO DỤC VÀ ĐÀO TẠO "&amp;UPPER('Huong dan'!$E$3),"")</f>
        <v>SỞ GIÁO DỤC VÀ ĐÀO TẠO TP. HỒ CHÍ MINH</v>
      </c>
      <c r="B756" s="1128"/>
      <c r="C756" s="1128"/>
      <c r="D756" s="1128"/>
      <c r="E756" s="1129" t="s">
        <v>19</v>
      </c>
      <c r="F756" s="1129"/>
      <c r="G756" s="1129"/>
    </row>
    <row r="757" spans="1:10" ht="17.25" customHeight="1">
      <c r="A757" s="992" t="str">
        <f>IF('Huong dan'!$E$4&lt;&gt;"","TRƯỜNG "&amp;UPPER('Huong dan'!$E$4),"")</f>
        <v>TRƯỜNG THCS VÀ THPT NGUYỄN KHUYẾN</v>
      </c>
      <c r="B757" s="992"/>
      <c r="C757" s="992"/>
      <c r="D757" s="992"/>
      <c r="E757" s="1130" t="s">
        <v>179</v>
      </c>
      <c r="F757" s="1130"/>
      <c r="G757" s="1130"/>
    </row>
    <row r="758" spans="1:10" ht="15" customHeight="1">
      <c r="A758" s="69"/>
      <c r="B758" s="69"/>
      <c r="C758" s="30"/>
    </row>
    <row r="759" spans="1:10" ht="27.75" customHeight="1">
      <c r="A759" s="1013" t="s">
        <v>567</v>
      </c>
      <c r="B759" s="1013"/>
      <c r="C759" s="1013"/>
      <c r="D759" s="1013"/>
      <c r="E759" s="1013"/>
      <c r="F759" s="1013"/>
      <c r="G759" s="1013"/>
    </row>
    <row r="760" spans="1:10" ht="24" customHeight="1">
      <c r="A760" s="1013" t="str">
        <f>"HỌC KỲ II VÀ CẢ NĂM - NĂM HỌC "&amp;'Huong dan'!$C$5</f>
        <v>HỌC KỲ II VÀ CẢ NĂM - NĂM HỌC 2021 - 2022</v>
      </c>
      <c r="B760" s="1013"/>
      <c r="C760" s="1013"/>
      <c r="D760" s="1013"/>
      <c r="E760" s="1013"/>
      <c r="F760" s="1013"/>
      <c r="G760" s="1013"/>
    </row>
    <row r="761" spans="1:10" ht="9" customHeight="1">
      <c r="A761" s="70"/>
      <c r="B761" s="66"/>
      <c r="C761" s="66"/>
      <c r="D761" s="66"/>
      <c r="E761" s="66"/>
      <c r="F761" s="66"/>
      <c r="G761" s="66"/>
    </row>
    <row r="762" spans="1:10" ht="18.75" customHeight="1">
      <c r="A762" s="1167" t="s">
        <v>212</v>
      </c>
      <c r="B762" s="1167"/>
      <c r="C762" s="1167"/>
      <c r="D762" s="1167" t="str">
        <f>IF(B784="","",INDEX(NXchung!$B$3:$EP$57,MATCH(B784,NXchung!$B$3:$B$57,0),3)&amp;" "&amp;INDEX(NXchung!$B$3:$EP$57,MATCH(B784,NXchung!$B$3:$B$57,0),4))</f>
        <v>Nguyễn Bá Nhật Quang</v>
      </c>
      <c r="E762" s="1167"/>
      <c r="F762" s="77" t="str">
        <f>IF('Huong dan'!$C$3="","","Lớp: "&amp;'Huong dan'!$C$3)</f>
        <v>Lớp: 12A1</v>
      </c>
      <c r="G762" s="71"/>
    </row>
    <row r="763" spans="1:10" ht="18.75" customHeight="1">
      <c r="A763" s="1168" t="s">
        <v>213</v>
      </c>
      <c r="B763" s="1168"/>
      <c r="C763" s="1168"/>
      <c r="D763" s="77" t="str">
        <f>INDEX(NXchung!$B$3:$EP$57,MATCH(B784,NXchung!$B$3:$B$57,0),5)</f>
        <v>18/07/2004</v>
      </c>
      <c r="F763" s="841" t="str">
        <f>IF(B784="","","Nơi sinh: "&amp;INDEX(DiemHKII!$H$4:$H$58,MATCH(B784,DiemHKII!$B$4:$B$58,0),1))</f>
        <v xml:space="preserve">Nơi sinh: </v>
      </c>
      <c r="G763" s="77"/>
    </row>
    <row r="764" spans="1:10" ht="9.75" customHeight="1">
      <c r="A764" s="62"/>
      <c r="B764" s="62"/>
      <c r="C764" s="62"/>
      <c r="D764" s="62"/>
      <c r="E764" s="62"/>
      <c r="F764" s="62"/>
      <c r="G764" s="63"/>
    </row>
    <row r="765" spans="1:10" ht="31.5" customHeight="1">
      <c r="A765" s="801" t="s">
        <v>0</v>
      </c>
      <c r="B765" s="801" t="s">
        <v>59</v>
      </c>
      <c r="C765" s="806" t="s">
        <v>661</v>
      </c>
      <c r="D765" s="801" t="s">
        <v>296</v>
      </c>
      <c r="E765" s="806" t="s">
        <v>662</v>
      </c>
      <c r="F765" s="801" t="s">
        <v>361</v>
      </c>
      <c r="G765" s="802" t="s">
        <v>569</v>
      </c>
    </row>
    <row r="766" spans="1:10" ht="45.9" customHeight="1">
      <c r="A766" s="803" t="s">
        <v>191</v>
      </c>
      <c r="B766" s="813" t="s">
        <v>26</v>
      </c>
      <c r="C766" s="805" t="str">
        <f>IF(B784="","",INDEX(NXchung!$B$3:$EP$57,MATCH(B784,NXchung!$B$3:$B$57,0),INDEX($K$12:$N$25,MATCH($B766,$J$12:$J$25,0),K$11)))</f>
        <v/>
      </c>
      <c r="D766" s="808" t="str">
        <f>IF(B784="","",INDEX(NXchung!$B$3:$EP$57,MATCH(B784,NXchung!$B$3:$B$57,0),INDEX($K$12:$N$25,MATCH($B766,$J$12:$J$25,0),L$11)))</f>
        <v/>
      </c>
      <c r="E766" s="805" t="str">
        <f>IF(B784="","",INDEX(NXchung!$B$3:$EP$57,MATCH(B784,NXchung!$B$3:$B$57,0),INDEX($K$12:$N$25,MATCH($B766,$J$12:$J$25,0),M$11)))</f>
        <v/>
      </c>
      <c r="F766" s="808" t="str">
        <f>IF(B784="","",INDEX(NXchung!$B$3:$EP$57,MATCH(B784,NXchung!$B$3:$B$57,0),INDEX($K$12:$N$25,MATCH($B766,$J$12:$J$25,0),N$11)))</f>
        <v/>
      </c>
      <c r="G766" s="805"/>
      <c r="I766" s="64"/>
      <c r="J766" s="64"/>
    </row>
    <row r="767" spans="1:10" ht="45.9" customHeight="1">
      <c r="A767" s="803" t="s">
        <v>192</v>
      </c>
      <c r="B767" s="813" t="s">
        <v>27</v>
      </c>
      <c r="C767" s="805" t="str">
        <f>IF(B784="","",INDEX(NXchung!$B$3:$EP$57,MATCH(B784,NXchung!$B$3:$B$57,0),INDEX($K$12:$N$25,MATCH($B767,$J$12:$J$25,0),K$11)))</f>
        <v/>
      </c>
      <c r="D767" s="808" t="str">
        <f>IF(B784="","",INDEX(NXchung!$B$3:$EP$57,MATCH(B784,NXchung!$B$3:$B$57,0),INDEX($K$12:$N$25,MATCH($B767,$J$12:$J$25,0),L$11)))</f>
        <v/>
      </c>
      <c r="E767" s="805" t="str">
        <f>IF(B784="","",INDEX(NXchung!$B$3:$EP$57,MATCH(B784,NXchung!$B$3:$B$57,0),INDEX($K$12:$N$25,MATCH($B767,$J$12:$J$25,0),M$11)))</f>
        <v/>
      </c>
      <c r="F767" s="808" t="str">
        <f>IF(B784="","",INDEX(NXchung!$B$3:$EP$57,MATCH(B784,NXchung!$B$3:$B$57,0),INDEX($K$12:$N$25,MATCH($B767,$J$12:$J$25,0),N$11)))</f>
        <v/>
      </c>
      <c r="G767" s="805"/>
      <c r="I767" s="64"/>
      <c r="J767" s="64"/>
    </row>
    <row r="768" spans="1:10" ht="45.9" customHeight="1">
      <c r="A768" s="803" t="s">
        <v>193</v>
      </c>
      <c r="B768" s="813" t="s">
        <v>28</v>
      </c>
      <c r="C768" s="805" t="str">
        <f>IF(B784="","",INDEX(NXchung!$B$3:$EP$57,MATCH(B784,NXchung!$B$3:$B$57,0),INDEX($K$12:$N$25,MATCH($B768,$J$12:$J$25,0),K$11)))</f>
        <v/>
      </c>
      <c r="D768" s="808" t="str">
        <f>IF(B784="","",INDEX(NXchung!$B$3:$EP$57,MATCH(B784,NXchung!$B$3:$B$57,0),INDEX($K$12:$N$25,MATCH($B768,$J$12:$J$25,0),L$11)))</f>
        <v/>
      </c>
      <c r="E768" s="805" t="str">
        <f>IF(B784="","",INDEX(NXchung!$B$3:$EP$57,MATCH(B784,NXchung!$B$3:$B$57,0),INDEX($K$12:$N$25,MATCH($B768,$J$12:$J$25,0),M$11)))</f>
        <v/>
      </c>
      <c r="F768" s="808" t="str">
        <f>IF(B784="","",INDEX(NXchung!$B$3:$EP$57,MATCH(B784,NXchung!$B$3:$B$57,0),INDEX($K$12:$N$25,MATCH($B768,$J$12:$J$25,0),N$11)))</f>
        <v/>
      </c>
      <c r="G768" s="805"/>
      <c r="I768" s="64"/>
      <c r="J768" s="64"/>
    </row>
    <row r="769" spans="1:10" ht="45.9" customHeight="1">
      <c r="A769" s="803" t="s">
        <v>194</v>
      </c>
      <c r="B769" s="813" t="s">
        <v>29</v>
      </c>
      <c r="C769" s="805" t="str">
        <f>IF(B784="","",INDEX(NXchung!$B$3:$EP$57,MATCH(B784,NXchung!$B$3:$B$57,0),INDEX($K$12:$N$25,MATCH($B769,$J$12:$J$25,0),K$11)))</f>
        <v/>
      </c>
      <c r="D769" s="808" t="str">
        <f>IF(B784="","",INDEX(NXchung!$B$3:$EP$57,MATCH(B784,NXchung!$B$3:$B$57,0),INDEX($K$12:$N$25,MATCH($B769,$J$12:$J$25,0),L$11)))</f>
        <v/>
      </c>
      <c r="E769" s="805" t="str">
        <f>IF(B784="","",INDEX(NXchung!$B$3:$EP$57,MATCH(B784,NXchung!$B$3:$B$57,0),INDEX($K$12:$N$25,MATCH($B769,$J$12:$J$25,0),M$11)))</f>
        <v/>
      </c>
      <c r="F769" s="808" t="str">
        <f>IF(B784="","",INDEX(NXchung!$B$3:$EP$57,MATCH(B784,NXchung!$B$3:$B$57,0),INDEX($K$12:$N$25,MATCH($B769,$J$12:$J$25,0),N$11)))</f>
        <v/>
      </c>
      <c r="G769" s="805"/>
      <c r="I769" s="64"/>
      <c r="J769" s="64"/>
    </row>
    <row r="770" spans="1:10" ht="45.9" customHeight="1">
      <c r="A770" s="803" t="s">
        <v>195</v>
      </c>
      <c r="B770" s="813" t="s">
        <v>120</v>
      </c>
      <c r="C770" s="805" t="str">
        <f>IF(B784="","",INDEX(NXchung!$B$3:$EP$57,MATCH(B784,NXchung!$B$3:$B$57,0),INDEX($K$12:$N$25,MATCH($B770,$J$12:$J$25,0),K$11)))</f>
        <v/>
      </c>
      <c r="D770" s="808" t="str">
        <f>IF(B784="","",INDEX(NXchung!$B$3:$EP$57,MATCH(B784,NXchung!$B$3:$B$57,0),INDEX($K$12:$N$25,MATCH($B770,$J$12:$J$25,0),L$11)))</f>
        <v/>
      </c>
      <c r="E770" s="805" t="str">
        <f>IF(B784="","",INDEX(NXchung!$B$3:$EP$57,MATCH(B784,NXchung!$B$3:$B$57,0),INDEX($K$12:$N$25,MATCH($B770,$J$12:$J$25,0),M$11)))</f>
        <v/>
      </c>
      <c r="F770" s="808" t="str">
        <f>IF(B784="","",INDEX(NXchung!$B$3:$EP$57,MATCH(B784,NXchung!$B$3:$B$57,0),INDEX($K$12:$N$25,MATCH($B770,$J$12:$J$25,0),N$11)))</f>
        <v/>
      </c>
      <c r="G770" s="805"/>
      <c r="I770" s="64"/>
      <c r="J770" s="64"/>
    </row>
    <row r="771" spans="1:10" ht="45.9" customHeight="1">
      <c r="A771" s="803" t="s">
        <v>196</v>
      </c>
      <c r="B771" s="813" t="s">
        <v>30</v>
      </c>
      <c r="C771" s="805" t="str">
        <f>IF(B784="","",INDEX(NXchung!$B$3:$EP$57,MATCH(B784,NXchung!$B$3:$B$57,0),INDEX($K$12:$N$25,MATCH($B771,$J$12:$J$25,0),K$11)))</f>
        <v/>
      </c>
      <c r="D771" s="808" t="str">
        <f>IF(B784="","",INDEX(NXchung!$B$3:$EP$57,MATCH(B784,NXchung!$B$3:$B$57,0),INDEX($K$12:$N$25,MATCH($B771,$J$12:$J$25,0),L$11)))</f>
        <v/>
      </c>
      <c r="E771" s="805" t="str">
        <f>IF(B784="","",INDEX(NXchung!$B$3:$EP$57,MATCH(B784,NXchung!$B$3:$B$57,0),INDEX($K$12:$N$25,MATCH($B771,$J$12:$J$25,0),M$11)))</f>
        <v/>
      </c>
      <c r="F771" s="808" t="str">
        <f>IF(B784="","",INDEX(NXchung!$B$3:$EP$57,MATCH(B784,NXchung!$B$3:$B$57,0),INDEX($K$12:$N$25,MATCH($B771,$J$12:$J$25,0),N$11)))</f>
        <v/>
      </c>
      <c r="G771" s="805"/>
      <c r="I771" s="64"/>
      <c r="J771" s="64"/>
    </row>
    <row r="772" spans="1:10" ht="45.9" customHeight="1">
      <c r="A772" s="803" t="s">
        <v>197</v>
      </c>
      <c r="B772" s="813" t="s">
        <v>31</v>
      </c>
      <c r="C772" s="805" t="str">
        <f>IF(B784="","",INDEX(NXchung!$B$3:$EP$57,MATCH(B784,NXchung!$B$3:$B$57,0),INDEX($K$12:$N$25,MATCH($B772,$J$12:$J$25,0),K$11)))</f>
        <v/>
      </c>
      <c r="D772" s="808" t="str">
        <f>IF(B784="","",INDEX(NXchung!$B$3:$EP$57,MATCH(B784,NXchung!$B$3:$B$57,0),INDEX($K$12:$N$25,MATCH($B772,$J$12:$J$25,0),L$11)))</f>
        <v/>
      </c>
      <c r="E772" s="805" t="str">
        <f>IF(B784="","",INDEX(NXchung!$B$3:$EP$57,MATCH(B784,NXchung!$B$3:$B$57,0),INDEX($K$12:$N$25,MATCH($B772,$J$12:$J$25,0),M$11)))</f>
        <v/>
      </c>
      <c r="F772" s="808" t="str">
        <f>IF(B784="","",INDEX(NXchung!$B$3:$EP$57,MATCH(B784,NXchung!$B$3:$B$57,0),INDEX($K$12:$N$25,MATCH($B772,$J$12:$J$25,0),N$11)))</f>
        <v/>
      </c>
      <c r="G772" s="805"/>
      <c r="I772" s="64"/>
      <c r="J772" s="64"/>
    </row>
    <row r="773" spans="1:10" ht="45.9" customHeight="1">
      <c r="A773" s="803" t="s">
        <v>198</v>
      </c>
      <c r="B773" s="813" t="s">
        <v>32</v>
      </c>
      <c r="C773" s="805" t="str">
        <f>IF(B784="","",INDEX(NXchung!$B$3:$EP$57,MATCH(B784,NXchung!$B$3:$B$57,0),INDEX($K$12:$N$25,MATCH($B773,$J$12:$J$25,0),K$11)))</f>
        <v/>
      </c>
      <c r="D773" s="808" t="str">
        <f>IF(B784="","",INDEX(NXchung!$B$3:$EP$57,MATCH(B784,NXchung!$B$3:$B$57,0),INDEX($K$12:$N$25,MATCH($B773,$J$12:$J$25,0),L$11)))</f>
        <v/>
      </c>
      <c r="E773" s="805" t="str">
        <f>IF(B784="","",INDEX(NXchung!$B$3:$EP$57,MATCH(B784,NXchung!$B$3:$B$57,0),INDEX($K$12:$N$25,MATCH($B773,$J$12:$J$25,0),M$11)))</f>
        <v/>
      </c>
      <c r="F773" s="808" t="str">
        <f>IF(B784="","",INDEX(NXchung!$B$3:$EP$57,MATCH(B784,NXchung!$B$3:$B$57,0),INDEX($K$12:$N$25,MATCH($B773,$J$12:$J$25,0),N$11)))</f>
        <v/>
      </c>
      <c r="G773" s="805"/>
      <c r="I773" s="64"/>
      <c r="J773" s="64"/>
    </row>
    <row r="774" spans="1:10" ht="45.9" customHeight="1">
      <c r="A774" s="803" t="s">
        <v>199</v>
      </c>
      <c r="B774" s="813" t="s">
        <v>33</v>
      </c>
      <c r="C774" s="805" t="str">
        <f>IF(B784="","",INDEX(NXchung!$B$3:$EP$57,MATCH(B784,NXchung!$B$3:$B$57,0),INDEX($K$12:$N$25,MATCH($B774,$J$12:$J$25,0),K$11)))</f>
        <v/>
      </c>
      <c r="D774" s="808" t="str">
        <f>IF(B784="","",INDEX(NXchung!$B$3:$EP$57,MATCH(B784,NXchung!$B$3:$B$57,0),INDEX($K$12:$N$25,MATCH($B774,$J$12:$J$25,0),L$11)))</f>
        <v/>
      </c>
      <c r="E774" s="805" t="str">
        <f>IF(B784="","",INDEX(NXchung!$B$3:$EP$57,MATCH(B784,NXchung!$B$3:$B$57,0),INDEX($K$12:$N$25,MATCH($B774,$J$12:$J$25,0),M$11)))</f>
        <v/>
      </c>
      <c r="F774" s="808" t="str">
        <f>IF(B784="","",INDEX(NXchung!$B$3:$EP$57,MATCH(B784,NXchung!$B$3:$B$57,0),INDEX($K$12:$N$25,MATCH($B774,$J$12:$J$25,0),N$11)))</f>
        <v/>
      </c>
      <c r="G774" s="805"/>
      <c r="I774" s="64"/>
      <c r="J774" s="64"/>
    </row>
    <row r="775" spans="1:10" ht="45.9" customHeight="1">
      <c r="A775" s="803" t="s">
        <v>200</v>
      </c>
      <c r="B775" s="813" t="s">
        <v>60</v>
      </c>
      <c r="C775" s="805" t="str">
        <f>IF(B784="","",INDEX(NXchung!$B$3:$EP$57,MATCH(B784,NXchung!$B$3:$B$57,0),INDEX($K$12:$N$25,MATCH($B775,$J$12:$J$25,0),K$11)))</f>
        <v/>
      </c>
      <c r="D775" s="808" t="str">
        <f>IF(B784="","",INDEX(NXchung!$B$3:$EP$57,MATCH(B784,NXchung!$B$3:$B$57,0),INDEX($K$12:$N$25,MATCH($B775,$J$12:$J$25,0),L$11)))</f>
        <v/>
      </c>
      <c r="E775" s="805" t="str">
        <f>IF(B784="","",INDEX(NXchung!$B$3:$EP$57,MATCH(B784,NXchung!$B$3:$B$57,0),INDEX($K$12:$N$25,MATCH($B775,$J$12:$J$25,0),M$11)))</f>
        <v/>
      </c>
      <c r="F775" s="808" t="str">
        <f>IF(B784="","",INDEX(NXchung!$B$3:$EP$57,MATCH(B784,NXchung!$B$3:$B$57,0),INDEX($K$12:$N$25,MATCH($B775,$J$12:$J$25,0),N$11)))</f>
        <v/>
      </c>
      <c r="G775" s="805"/>
      <c r="I775" s="64"/>
      <c r="J775" s="64"/>
    </row>
    <row r="776" spans="1:10" ht="45.9" customHeight="1">
      <c r="A776" s="803" t="s">
        <v>201</v>
      </c>
      <c r="B776" s="813" t="s">
        <v>34</v>
      </c>
      <c r="C776" s="805" t="str">
        <f>IF(B784="","",INDEX(NXchung!$B$3:$EP$57,MATCH(B784,NXchung!$B$3:$B$57,0),INDEX($K$12:$N$25,MATCH($B776,$J$12:$J$25,0),K$11)))</f>
        <v/>
      </c>
      <c r="D776" s="808" t="str">
        <f>IF(B784="","",INDEX(NXchung!$B$3:$EP$57,MATCH(B784,NXchung!$B$3:$B$57,0),INDEX($K$12:$N$25,MATCH($B776,$J$12:$J$25,0),L$11)))</f>
        <v/>
      </c>
      <c r="E776" s="805" t="str">
        <f>IF(B784="","",INDEX(NXchung!$B$3:$EP$57,MATCH(B784,NXchung!$B$3:$B$57,0),INDEX($K$12:$N$25,MATCH($B776,$J$12:$J$25,0),M$11)))</f>
        <v/>
      </c>
      <c r="F776" s="808" t="str">
        <f>IF(B784="","",INDEX(NXchung!$B$3:$EP$57,MATCH(B784,NXchung!$B$3:$B$57,0),INDEX($K$12:$N$25,MATCH($B776,$J$12:$J$25,0),N$11)))</f>
        <v/>
      </c>
      <c r="G776" s="805"/>
      <c r="I776" s="64"/>
      <c r="J776" s="64"/>
    </row>
    <row r="777" spans="1:10" ht="45.9" customHeight="1">
      <c r="A777" s="803" t="s">
        <v>202</v>
      </c>
      <c r="B777" s="813" t="s">
        <v>35</v>
      </c>
      <c r="C777" s="805" t="str">
        <f>IF(B784="","",INDEX(NXchung!$B$3:$EP$57,MATCH(B784,NXchung!$B$3:$B$57,0),INDEX($K$12:$N$25,MATCH($B777,$J$12:$J$25,0),K$11)))</f>
        <v/>
      </c>
      <c r="D777" s="808" t="str">
        <f>IF(B784="","",INDEX(NXchung!$B$3:$EP$57,MATCH(B784,NXchung!$B$3:$B$57,0),INDEX($K$12:$N$25,MATCH($B777,$J$12:$J$25,0),L$11)))</f>
        <v/>
      </c>
      <c r="E777" s="805" t="str">
        <f>IF(B784="","",INDEX(NXchung!$B$3:$EP$57,MATCH(B784,NXchung!$B$3:$B$57,0),INDEX($K$12:$N$25,MATCH($B777,$J$12:$J$25,0),M$11)))</f>
        <v>Đ</v>
      </c>
      <c r="F777" s="808" t="str">
        <f>IF(B784="","",INDEX(NXchung!$B$3:$EP$57,MATCH(B784,NXchung!$B$3:$B$57,0),INDEX($K$12:$N$25,MATCH($B777,$J$12:$J$25,0),N$11)))</f>
        <v>Giỏi, có nhiều tiến bộ trong học tập.</v>
      </c>
      <c r="G777" s="805"/>
      <c r="I777" s="64"/>
      <c r="J777" s="64"/>
    </row>
    <row r="778" spans="1:10" ht="45.9" customHeight="1">
      <c r="A778" s="803" t="s">
        <v>203</v>
      </c>
      <c r="B778" s="813" t="s">
        <v>121</v>
      </c>
      <c r="C778" s="805" t="str">
        <f>IF(B784="","",INDEX(NXchung!$B$3:$EP$57,MATCH(B784,NXchung!$B$3:$B$57,0),INDEX($K$12:$N$25,MATCH($B778,$J$12:$J$25,0),K$11)))</f>
        <v/>
      </c>
      <c r="D778" s="808" t="str">
        <f>IF(B784="","",INDEX(NXchung!$B$3:$EP$57,MATCH(B784,NXchung!$B$3:$B$57,0),INDEX($K$12:$N$25,MATCH($B778,$J$12:$J$25,0),L$11)))</f>
        <v/>
      </c>
      <c r="E778" s="805" t="str">
        <f>IF(B784="","",INDEX(NXchung!$B$3:$EP$57,MATCH(B784,NXchung!$B$3:$B$57,0),INDEX($K$12:$N$25,MATCH($B778,$J$12:$J$25,0),M$11)))</f>
        <v/>
      </c>
      <c r="F778" s="808" t="str">
        <f>IF(B784="","",INDEX(NXchung!$B$3:$EP$57,MATCH(B784,NXchung!$B$3:$B$57,0),INDEX($K$12:$N$25,MATCH($B778,$J$12:$J$25,0),N$11)))</f>
        <v/>
      </c>
      <c r="G778" s="805"/>
      <c r="I778" s="64"/>
      <c r="J778" s="64"/>
    </row>
    <row r="779" spans="1:10" ht="45.9" customHeight="1">
      <c r="A779" s="803" t="s">
        <v>204</v>
      </c>
      <c r="B779" s="813" t="s">
        <v>122</v>
      </c>
      <c r="C779" s="805" t="str">
        <f>IF(B784="","",INDEX(NXchung!$B$3:$EP$57,MATCH(B784,NXchung!$B$3:$B$57,0),INDEX($K$12:$N$25,MATCH($B779,$J$12:$J$25,0),K$11)))</f>
        <v/>
      </c>
      <c r="D779" s="808" t="str">
        <f>IF(B784="","",INDEX(NXchung!$B$3:$EP$57,MATCH(B784,NXchung!$B$3:$B$57,0),INDEX($K$12:$N$25,MATCH($B779,$J$12:$J$25,0),L$11)))</f>
        <v/>
      </c>
      <c r="E779" s="805" t="str">
        <f>IF(B784="","",INDEX(NXchung!$B$3:$EP$57,MATCH(B784,NXchung!$B$3:$B$57,0),INDEX($K$12:$N$25,MATCH($B779,$J$12:$J$25,0),M$11)))</f>
        <v/>
      </c>
      <c r="F779" s="808" t="str">
        <f>IF(B784="","",INDEX(NXchung!$B$3:$EP$57,MATCH(B784,NXchung!$B$3:$B$57,0),INDEX($K$12:$N$25,MATCH($B779,$J$12:$J$25,0),N$11)))</f>
        <v/>
      </c>
      <c r="G779" s="805"/>
      <c r="I779" s="64"/>
      <c r="J779" s="64"/>
    </row>
    <row r="780" spans="1:10" s="60" customFormat="1" ht="6" customHeight="1">
      <c r="A780" s="67"/>
      <c r="B780" s="67"/>
      <c r="C780" s="475"/>
      <c r="D780" s="475"/>
      <c r="E780" s="67"/>
      <c r="F780" s="67"/>
      <c r="G780" s="67"/>
    </row>
    <row r="781" spans="1:10" ht="17.25" customHeight="1">
      <c r="D781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781" s="1163"/>
      <c r="F781" s="1163"/>
      <c r="G781" s="1163"/>
      <c r="H781" s="814"/>
    </row>
    <row r="782" spans="1:10" ht="16.5" customHeight="1">
      <c r="D782" s="992" t="s">
        <v>377</v>
      </c>
      <c r="E782" s="992"/>
      <c r="F782" s="992"/>
      <c r="G782" s="992"/>
      <c r="H782" s="814"/>
    </row>
    <row r="783" spans="1:10" ht="81.75" customHeight="1">
      <c r="D783" s="931" t="str">
        <f>IF('Huong dan'!$E$5="","",'Huong dan'!$E$5)</f>
        <v/>
      </c>
      <c r="E783" s="931"/>
      <c r="F783" s="931"/>
      <c r="G783" s="931"/>
      <c r="H783" s="814"/>
    </row>
    <row r="784" spans="1:10" ht="11.25" customHeight="1">
      <c r="A784" s="75"/>
      <c r="B784" s="815">
        <f>IF(B755="","",IF(B755&lt;MAX(DiemHKII!$B$4:$B$58),B755+1,""))</f>
        <v>27</v>
      </c>
      <c r="C784" s="75"/>
      <c r="D784" s="75"/>
      <c r="E784" s="75"/>
      <c r="F784" s="75"/>
      <c r="G784" s="75"/>
    </row>
    <row r="785" spans="1:10" s="60" customFormat="1" ht="21" customHeight="1">
      <c r="A785" s="1128" t="str">
        <f>IF('Huong dan'!$E$3&lt;&gt;"","SỞ GIÁO DỤC VÀ ĐÀO TẠO "&amp;UPPER('Huong dan'!$E$3),"")</f>
        <v>SỞ GIÁO DỤC VÀ ĐÀO TẠO TP. HỒ CHÍ MINH</v>
      </c>
      <c r="B785" s="1128"/>
      <c r="C785" s="1128"/>
      <c r="D785" s="1128"/>
      <c r="E785" s="1129" t="s">
        <v>19</v>
      </c>
      <c r="F785" s="1129"/>
      <c r="G785" s="1129"/>
    </row>
    <row r="786" spans="1:10" ht="17.25" customHeight="1">
      <c r="A786" s="992" t="str">
        <f>IF('Huong dan'!$E$4&lt;&gt;"","TRƯỜNG "&amp;UPPER('Huong dan'!$E$4),"")</f>
        <v>TRƯỜNG THCS VÀ THPT NGUYỄN KHUYẾN</v>
      </c>
      <c r="B786" s="992"/>
      <c r="C786" s="992"/>
      <c r="D786" s="992"/>
      <c r="E786" s="1130" t="s">
        <v>179</v>
      </c>
      <c r="F786" s="1130"/>
      <c r="G786" s="1130"/>
    </row>
    <row r="787" spans="1:10" ht="15" customHeight="1">
      <c r="A787" s="69"/>
      <c r="B787" s="69"/>
      <c r="C787" s="30"/>
    </row>
    <row r="788" spans="1:10" ht="27.75" customHeight="1">
      <c r="A788" s="1013" t="s">
        <v>567</v>
      </c>
      <c r="B788" s="1013"/>
      <c r="C788" s="1013"/>
      <c r="D788" s="1013"/>
      <c r="E788" s="1013"/>
      <c r="F788" s="1013"/>
      <c r="G788" s="1013"/>
    </row>
    <row r="789" spans="1:10" ht="24" customHeight="1">
      <c r="A789" s="1013" t="str">
        <f>"HỌC KỲ II VÀ CẢ NĂM - NĂM HỌC "&amp;'Huong dan'!$C$5</f>
        <v>HỌC KỲ II VÀ CẢ NĂM - NĂM HỌC 2021 - 2022</v>
      </c>
      <c r="B789" s="1013"/>
      <c r="C789" s="1013"/>
      <c r="D789" s="1013"/>
      <c r="E789" s="1013"/>
      <c r="F789" s="1013"/>
      <c r="G789" s="1013"/>
    </row>
    <row r="790" spans="1:10" ht="9" customHeight="1">
      <c r="A790" s="70"/>
      <c r="B790" s="66"/>
      <c r="C790" s="66"/>
      <c r="D790" s="66"/>
      <c r="E790" s="66"/>
      <c r="F790" s="66"/>
      <c r="G790" s="66"/>
    </row>
    <row r="791" spans="1:10" ht="18.75" customHeight="1">
      <c r="A791" s="1167" t="s">
        <v>212</v>
      </c>
      <c r="B791" s="1167"/>
      <c r="C791" s="1167"/>
      <c r="D791" s="1167" t="str">
        <f>IF(B813="","",INDEX(NXchung!$B$3:$EP$57,MATCH(B813,NXchung!$B$3:$B$57,0),3)&amp;" "&amp;INDEX(NXchung!$B$3:$EP$57,MATCH(B813,NXchung!$B$3:$B$57,0),4))</f>
        <v>Phan Trương Kiến Quốc</v>
      </c>
      <c r="E791" s="1167"/>
      <c r="F791" s="77" t="str">
        <f>IF('Huong dan'!$C$3="","","Lớp: "&amp;'Huong dan'!$C$3)</f>
        <v>Lớp: 12A1</v>
      </c>
      <c r="G791" s="71"/>
    </row>
    <row r="792" spans="1:10" ht="18.75" customHeight="1">
      <c r="A792" s="1168" t="s">
        <v>213</v>
      </c>
      <c r="B792" s="1168"/>
      <c r="C792" s="1168"/>
      <c r="D792" s="77" t="str">
        <f>INDEX(NXchung!$B$3:$EP$57,MATCH(B813,NXchung!$B$3:$B$57,0),5)</f>
        <v>03/12/2004</v>
      </c>
      <c r="F792" s="841" t="str">
        <f>IF(B813="","","Nơi sinh: "&amp;INDEX(DiemHKII!$H$4:$H$58,MATCH(B813,DiemHKII!$B$4:$B$58,0),1))</f>
        <v xml:space="preserve">Nơi sinh: </v>
      </c>
      <c r="G792" s="77"/>
    </row>
    <row r="793" spans="1:10" ht="9.75" customHeight="1">
      <c r="A793" s="62"/>
      <c r="B793" s="62"/>
      <c r="C793" s="62"/>
      <c r="D793" s="62"/>
      <c r="E793" s="62"/>
      <c r="F793" s="62"/>
      <c r="G793" s="63"/>
    </row>
    <row r="794" spans="1:10" ht="31.5" customHeight="1">
      <c r="A794" s="801" t="s">
        <v>0</v>
      </c>
      <c r="B794" s="801" t="s">
        <v>59</v>
      </c>
      <c r="C794" s="806" t="s">
        <v>661</v>
      </c>
      <c r="D794" s="801" t="s">
        <v>296</v>
      </c>
      <c r="E794" s="806" t="s">
        <v>662</v>
      </c>
      <c r="F794" s="801" t="s">
        <v>361</v>
      </c>
      <c r="G794" s="802" t="s">
        <v>569</v>
      </c>
    </row>
    <row r="795" spans="1:10" ht="45.9" customHeight="1">
      <c r="A795" s="803" t="s">
        <v>191</v>
      </c>
      <c r="B795" s="813" t="s">
        <v>26</v>
      </c>
      <c r="C795" s="805" t="str">
        <f>IF(B813="","",INDEX(NXchung!$B$3:$EP$57,MATCH(B813,NXchung!$B$3:$B$57,0),INDEX($K$12:$N$25,MATCH($B795,$J$12:$J$25,0),K$11)))</f>
        <v/>
      </c>
      <c r="D795" s="808" t="str">
        <f>IF(B813="","",INDEX(NXchung!$B$3:$EP$57,MATCH(B813,NXchung!$B$3:$B$57,0),INDEX($K$12:$N$25,MATCH($B795,$J$12:$J$25,0),L$11)))</f>
        <v/>
      </c>
      <c r="E795" s="805" t="str">
        <f>IF(B813="","",INDEX(NXchung!$B$3:$EP$57,MATCH(B813,NXchung!$B$3:$B$57,0),INDEX($K$12:$N$25,MATCH($B795,$J$12:$J$25,0),M$11)))</f>
        <v/>
      </c>
      <c r="F795" s="808" t="str">
        <f>IF(B813="","",INDEX(NXchung!$B$3:$EP$57,MATCH(B813,NXchung!$B$3:$B$57,0),INDEX($K$12:$N$25,MATCH($B795,$J$12:$J$25,0),N$11)))</f>
        <v/>
      </c>
      <c r="G795" s="805"/>
      <c r="I795" s="64"/>
      <c r="J795" s="64"/>
    </row>
    <row r="796" spans="1:10" ht="45.9" customHeight="1">
      <c r="A796" s="803" t="s">
        <v>192</v>
      </c>
      <c r="B796" s="813" t="s">
        <v>27</v>
      </c>
      <c r="C796" s="805" t="str">
        <f>IF(B813="","",INDEX(NXchung!$B$3:$EP$57,MATCH(B813,NXchung!$B$3:$B$57,0),INDEX($K$12:$N$25,MATCH($B796,$J$12:$J$25,0),K$11)))</f>
        <v/>
      </c>
      <c r="D796" s="808" t="str">
        <f>IF(B813="","",INDEX(NXchung!$B$3:$EP$57,MATCH(B813,NXchung!$B$3:$B$57,0),INDEX($K$12:$N$25,MATCH($B796,$J$12:$J$25,0),L$11)))</f>
        <v/>
      </c>
      <c r="E796" s="805" t="str">
        <f>IF(B813="","",INDEX(NXchung!$B$3:$EP$57,MATCH(B813,NXchung!$B$3:$B$57,0),INDEX($K$12:$N$25,MATCH($B796,$J$12:$J$25,0),M$11)))</f>
        <v/>
      </c>
      <c r="F796" s="808" t="str">
        <f>IF(B813="","",INDEX(NXchung!$B$3:$EP$57,MATCH(B813,NXchung!$B$3:$B$57,0),INDEX($K$12:$N$25,MATCH($B796,$J$12:$J$25,0),N$11)))</f>
        <v/>
      </c>
      <c r="G796" s="805"/>
      <c r="I796" s="64"/>
      <c r="J796" s="64"/>
    </row>
    <row r="797" spans="1:10" ht="45.9" customHeight="1">
      <c r="A797" s="803" t="s">
        <v>193</v>
      </c>
      <c r="B797" s="813" t="s">
        <v>28</v>
      </c>
      <c r="C797" s="805" t="str">
        <f>IF(B813="","",INDEX(NXchung!$B$3:$EP$57,MATCH(B813,NXchung!$B$3:$B$57,0),INDEX($K$12:$N$25,MATCH($B797,$J$12:$J$25,0),K$11)))</f>
        <v/>
      </c>
      <c r="D797" s="808" t="str">
        <f>IF(B813="","",INDEX(NXchung!$B$3:$EP$57,MATCH(B813,NXchung!$B$3:$B$57,0),INDEX($K$12:$N$25,MATCH($B797,$J$12:$J$25,0),L$11)))</f>
        <v/>
      </c>
      <c r="E797" s="805" t="str">
        <f>IF(B813="","",INDEX(NXchung!$B$3:$EP$57,MATCH(B813,NXchung!$B$3:$B$57,0),INDEX($K$12:$N$25,MATCH($B797,$J$12:$J$25,0),M$11)))</f>
        <v/>
      </c>
      <c r="F797" s="808" t="str">
        <f>IF(B813="","",INDEX(NXchung!$B$3:$EP$57,MATCH(B813,NXchung!$B$3:$B$57,0),INDEX($K$12:$N$25,MATCH($B797,$J$12:$J$25,0),N$11)))</f>
        <v/>
      </c>
      <c r="G797" s="805"/>
      <c r="I797" s="64"/>
      <c r="J797" s="64"/>
    </row>
    <row r="798" spans="1:10" ht="45.9" customHeight="1">
      <c r="A798" s="803" t="s">
        <v>194</v>
      </c>
      <c r="B798" s="813" t="s">
        <v>29</v>
      </c>
      <c r="C798" s="805" t="str">
        <f>IF(B813="","",INDEX(NXchung!$B$3:$EP$57,MATCH(B813,NXchung!$B$3:$B$57,0),INDEX($K$12:$N$25,MATCH($B798,$J$12:$J$25,0),K$11)))</f>
        <v/>
      </c>
      <c r="D798" s="808" t="str">
        <f>IF(B813="","",INDEX(NXchung!$B$3:$EP$57,MATCH(B813,NXchung!$B$3:$B$57,0),INDEX($K$12:$N$25,MATCH($B798,$J$12:$J$25,0),L$11)))</f>
        <v/>
      </c>
      <c r="E798" s="805" t="str">
        <f>IF(B813="","",INDEX(NXchung!$B$3:$EP$57,MATCH(B813,NXchung!$B$3:$B$57,0),INDEX($K$12:$N$25,MATCH($B798,$J$12:$J$25,0),M$11)))</f>
        <v/>
      </c>
      <c r="F798" s="808" t="str">
        <f>IF(B813="","",INDEX(NXchung!$B$3:$EP$57,MATCH(B813,NXchung!$B$3:$B$57,0),INDEX($K$12:$N$25,MATCH($B798,$J$12:$J$25,0),N$11)))</f>
        <v/>
      </c>
      <c r="G798" s="805"/>
      <c r="I798" s="64"/>
      <c r="J798" s="64"/>
    </row>
    <row r="799" spans="1:10" ht="45.9" customHeight="1">
      <c r="A799" s="803" t="s">
        <v>195</v>
      </c>
      <c r="B799" s="813" t="s">
        <v>120</v>
      </c>
      <c r="C799" s="805" t="str">
        <f>IF(B813="","",INDEX(NXchung!$B$3:$EP$57,MATCH(B813,NXchung!$B$3:$B$57,0),INDEX($K$12:$N$25,MATCH($B799,$J$12:$J$25,0),K$11)))</f>
        <v/>
      </c>
      <c r="D799" s="808" t="str">
        <f>IF(B813="","",INDEX(NXchung!$B$3:$EP$57,MATCH(B813,NXchung!$B$3:$B$57,0),INDEX($K$12:$N$25,MATCH($B799,$J$12:$J$25,0),L$11)))</f>
        <v/>
      </c>
      <c r="E799" s="805" t="str">
        <f>IF(B813="","",INDEX(NXchung!$B$3:$EP$57,MATCH(B813,NXchung!$B$3:$B$57,0),INDEX($K$12:$N$25,MATCH($B799,$J$12:$J$25,0),M$11)))</f>
        <v/>
      </c>
      <c r="F799" s="808" t="str">
        <f>IF(B813="","",INDEX(NXchung!$B$3:$EP$57,MATCH(B813,NXchung!$B$3:$B$57,0),INDEX($K$12:$N$25,MATCH($B799,$J$12:$J$25,0),N$11)))</f>
        <v/>
      </c>
      <c r="G799" s="805"/>
      <c r="I799" s="64"/>
      <c r="J799" s="64"/>
    </row>
    <row r="800" spans="1:10" ht="45.9" customHeight="1">
      <c r="A800" s="803" t="s">
        <v>196</v>
      </c>
      <c r="B800" s="813" t="s">
        <v>30</v>
      </c>
      <c r="C800" s="805" t="str">
        <f>IF(B813="","",INDEX(NXchung!$B$3:$EP$57,MATCH(B813,NXchung!$B$3:$B$57,0),INDEX($K$12:$N$25,MATCH($B800,$J$12:$J$25,0),K$11)))</f>
        <v/>
      </c>
      <c r="D800" s="808" t="str">
        <f>IF(B813="","",INDEX(NXchung!$B$3:$EP$57,MATCH(B813,NXchung!$B$3:$B$57,0),INDEX($K$12:$N$25,MATCH($B800,$J$12:$J$25,0),L$11)))</f>
        <v/>
      </c>
      <c r="E800" s="805" t="str">
        <f>IF(B813="","",INDEX(NXchung!$B$3:$EP$57,MATCH(B813,NXchung!$B$3:$B$57,0),INDEX($K$12:$N$25,MATCH($B800,$J$12:$J$25,0),M$11)))</f>
        <v/>
      </c>
      <c r="F800" s="808" t="str">
        <f>IF(B813="","",INDEX(NXchung!$B$3:$EP$57,MATCH(B813,NXchung!$B$3:$B$57,0),INDEX($K$12:$N$25,MATCH($B800,$J$12:$J$25,0),N$11)))</f>
        <v/>
      </c>
      <c r="G800" s="805"/>
      <c r="I800" s="64"/>
      <c r="J800" s="64"/>
    </row>
    <row r="801" spans="1:10" ht="45.9" customHeight="1">
      <c r="A801" s="803" t="s">
        <v>197</v>
      </c>
      <c r="B801" s="813" t="s">
        <v>31</v>
      </c>
      <c r="C801" s="805" t="str">
        <f>IF(B813="","",INDEX(NXchung!$B$3:$EP$57,MATCH(B813,NXchung!$B$3:$B$57,0),INDEX($K$12:$N$25,MATCH($B801,$J$12:$J$25,0),K$11)))</f>
        <v/>
      </c>
      <c r="D801" s="808" t="str">
        <f>IF(B813="","",INDEX(NXchung!$B$3:$EP$57,MATCH(B813,NXchung!$B$3:$B$57,0),INDEX($K$12:$N$25,MATCH($B801,$J$12:$J$25,0),L$11)))</f>
        <v/>
      </c>
      <c r="E801" s="805" t="str">
        <f>IF(B813="","",INDEX(NXchung!$B$3:$EP$57,MATCH(B813,NXchung!$B$3:$B$57,0),INDEX($K$12:$N$25,MATCH($B801,$J$12:$J$25,0),M$11)))</f>
        <v/>
      </c>
      <c r="F801" s="808" t="str">
        <f>IF(B813="","",INDEX(NXchung!$B$3:$EP$57,MATCH(B813,NXchung!$B$3:$B$57,0),INDEX($K$12:$N$25,MATCH($B801,$J$12:$J$25,0),N$11)))</f>
        <v/>
      </c>
      <c r="G801" s="805"/>
      <c r="I801" s="64"/>
      <c r="J801" s="64"/>
    </row>
    <row r="802" spans="1:10" ht="45.9" customHeight="1">
      <c r="A802" s="803" t="s">
        <v>198</v>
      </c>
      <c r="B802" s="813" t="s">
        <v>32</v>
      </c>
      <c r="C802" s="805" t="str">
        <f>IF(B813="","",INDEX(NXchung!$B$3:$EP$57,MATCH(B813,NXchung!$B$3:$B$57,0),INDEX($K$12:$N$25,MATCH($B802,$J$12:$J$25,0),K$11)))</f>
        <v/>
      </c>
      <c r="D802" s="808" t="str">
        <f>IF(B813="","",INDEX(NXchung!$B$3:$EP$57,MATCH(B813,NXchung!$B$3:$B$57,0),INDEX($K$12:$N$25,MATCH($B802,$J$12:$J$25,0),L$11)))</f>
        <v/>
      </c>
      <c r="E802" s="805" t="str">
        <f>IF(B813="","",INDEX(NXchung!$B$3:$EP$57,MATCH(B813,NXchung!$B$3:$B$57,0),INDEX($K$12:$N$25,MATCH($B802,$J$12:$J$25,0),M$11)))</f>
        <v/>
      </c>
      <c r="F802" s="808" t="str">
        <f>IF(B813="","",INDEX(NXchung!$B$3:$EP$57,MATCH(B813,NXchung!$B$3:$B$57,0),INDEX($K$12:$N$25,MATCH($B802,$J$12:$J$25,0),N$11)))</f>
        <v/>
      </c>
      <c r="G802" s="805"/>
      <c r="I802" s="64"/>
      <c r="J802" s="64"/>
    </row>
    <row r="803" spans="1:10" ht="45.9" customHeight="1">
      <c r="A803" s="803" t="s">
        <v>199</v>
      </c>
      <c r="B803" s="813" t="s">
        <v>33</v>
      </c>
      <c r="C803" s="805" t="str">
        <f>IF(B813="","",INDEX(NXchung!$B$3:$EP$57,MATCH(B813,NXchung!$B$3:$B$57,0),INDEX($K$12:$N$25,MATCH($B803,$J$12:$J$25,0),K$11)))</f>
        <v/>
      </c>
      <c r="D803" s="808" t="str">
        <f>IF(B813="","",INDEX(NXchung!$B$3:$EP$57,MATCH(B813,NXchung!$B$3:$B$57,0),INDEX($K$12:$N$25,MATCH($B803,$J$12:$J$25,0),L$11)))</f>
        <v/>
      </c>
      <c r="E803" s="805" t="str">
        <f>IF(B813="","",INDEX(NXchung!$B$3:$EP$57,MATCH(B813,NXchung!$B$3:$B$57,0),INDEX($K$12:$N$25,MATCH($B803,$J$12:$J$25,0),M$11)))</f>
        <v/>
      </c>
      <c r="F803" s="808" t="str">
        <f>IF(B813="","",INDEX(NXchung!$B$3:$EP$57,MATCH(B813,NXchung!$B$3:$B$57,0),INDEX($K$12:$N$25,MATCH($B803,$J$12:$J$25,0),N$11)))</f>
        <v/>
      </c>
      <c r="G803" s="805"/>
      <c r="I803" s="64"/>
      <c r="J803" s="64"/>
    </row>
    <row r="804" spans="1:10" ht="45.9" customHeight="1">
      <c r="A804" s="803" t="s">
        <v>200</v>
      </c>
      <c r="B804" s="813" t="s">
        <v>60</v>
      </c>
      <c r="C804" s="805" t="str">
        <f>IF(B813="","",INDEX(NXchung!$B$3:$EP$57,MATCH(B813,NXchung!$B$3:$B$57,0),INDEX($K$12:$N$25,MATCH($B804,$J$12:$J$25,0),K$11)))</f>
        <v/>
      </c>
      <c r="D804" s="808" t="str">
        <f>IF(B813="","",INDEX(NXchung!$B$3:$EP$57,MATCH(B813,NXchung!$B$3:$B$57,0),INDEX($K$12:$N$25,MATCH($B804,$J$12:$J$25,0),L$11)))</f>
        <v/>
      </c>
      <c r="E804" s="805" t="str">
        <f>IF(B813="","",INDEX(NXchung!$B$3:$EP$57,MATCH(B813,NXchung!$B$3:$B$57,0),INDEX($K$12:$N$25,MATCH($B804,$J$12:$J$25,0),M$11)))</f>
        <v/>
      </c>
      <c r="F804" s="808" t="str">
        <f>IF(B813="","",INDEX(NXchung!$B$3:$EP$57,MATCH(B813,NXchung!$B$3:$B$57,0),INDEX($K$12:$N$25,MATCH($B804,$J$12:$J$25,0),N$11)))</f>
        <v/>
      </c>
      <c r="G804" s="805"/>
      <c r="I804" s="64"/>
      <c r="J804" s="64"/>
    </row>
    <row r="805" spans="1:10" ht="45.9" customHeight="1">
      <c r="A805" s="803" t="s">
        <v>201</v>
      </c>
      <c r="B805" s="813" t="s">
        <v>34</v>
      </c>
      <c r="C805" s="805" t="str">
        <f>IF(B813="","",INDEX(NXchung!$B$3:$EP$57,MATCH(B813,NXchung!$B$3:$B$57,0),INDEX($K$12:$N$25,MATCH($B805,$J$12:$J$25,0),K$11)))</f>
        <v/>
      </c>
      <c r="D805" s="808" t="str">
        <f>IF(B813="","",INDEX(NXchung!$B$3:$EP$57,MATCH(B813,NXchung!$B$3:$B$57,0),INDEX($K$12:$N$25,MATCH($B805,$J$12:$J$25,0),L$11)))</f>
        <v/>
      </c>
      <c r="E805" s="805" t="str">
        <f>IF(B813="","",INDEX(NXchung!$B$3:$EP$57,MATCH(B813,NXchung!$B$3:$B$57,0),INDEX($K$12:$N$25,MATCH($B805,$J$12:$J$25,0),M$11)))</f>
        <v/>
      </c>
      <c r="F805" s="808" t="str">
        <f>IF(B813="","",INDEX(NXchung!$B$3:$EP$57,MATCH(B813,NXchung!$B$3:$B$57,0),INDEX($K$12:$N$25,MATCH($B805,$J$12:$J$25,0),N$11)))</f>
        <v/>
      </c>
      <c r="G805" s="805"/>
      <c r="I805" s="64"/>
      <c r="J805" s="64"/>
    </row>
    <row r="806" spans="1:10" ht="45.9" customHeight="1">
      <c r="A806" s="803" t="s">
        <v>202</v>
      </c>
      <c r="B806" s="813" t="s">
        <v>35</v>
      </c>
      <c r="C806" s="805" t="str">
        <f>IF(B813="","",INDEX(NXchung!$B$3:$EP$57,MATCH(B813,NXchung!$B$3:$B$57,0),INDEX($K$12:$N$25,MATCH($B806,$J$12:$J$25,0),K$11)))</f>
        <v/>
      </c>
      <c r="D806" s="808" t="str">
        <f>IF(B813="","",INDEX(NXchung!$B$3:$EP$57,MATCH(B813,NXchung!$B$3:$B$57,0),INDEX($K$12:$N$25,MATCH($B806,$J$12:$J$25,0),L$11)))</f>
        <v/>
      </c>
      <c r="E806" s="805" t="str">
        <f>IF(B813="","",INDEX(NXchung!$B$3:$EP$57,MATCH(B813,NXchung!$B$3:$B$57,0),INDEX($K$12:$N$25,MATCH($B806,$J$12:$J$25,0),M$11)))</f>
        <v>Đ</v>
      </c>
      <c r="F806" s="808" t="str">
        <f>IF(B813="","",INDEX(NXchung!$B$3:$EP$57,MATCH(B813,NXchung!$B$3:$B$57,0),INDEX($K$12:$N$25,MATCH($B806,$J$12:$J$25,0),N$11)))</f>
        <v>Rất ngoan, học có hiệu quả tốt.</v>
      </c>
      <c r="G806" s="805"/>
      <c r="I806" s="64"/>
      <c r="J806" s="64"/>
    </row>
    <row r="807" spans="1:10" ht="45.9" customHeight="1">
      <c r="A807" s="803" t="s">
        <v>203</v>
      </c>
      <c r="B807" s="813" t="s">
        <v>121</v>
      </c>
      <c r="C807" s="805" t="str">
        <f>IF(B813="","",INDEX(NXchung!$B$3:$EP$57,MATCH(B813,NXchung!$B$3:$B$57,0),INDEX($K$12:$N$25,MATCH($B807,$J$12:$J$25,0),K$11)))</f>
        <v/>
      </c>
      <c r="D807" s="808" t="str">
        <f>IF(B813="","",INDEX(NXchung!$B$3:$EP$57,MATCH(B813,NXchung!$B$3:$B$57,0),INDEX($K$12:$N$25,MATCH($B807,$J$12:$J$25,0),L$11)))</f>
        <v/>
      </c>
      <c r="E807" s="805" t="str">
        <f>IF(B813="","",INDEX(NXchung!$B$3:$EP$57,MATCH(B813,NXchung!$B$3:$B$57,0),INDEX($K$12:$N$25,MATCH($B807,$J$12:$J$25,0),M$11)))</f>
        <v/>
      </c>
      <c r="F807" s="808" t="str">
        <f>IF(B813="","",INDEX(NXchung!$B$3:$EP$57,MATCH(B813,NXchung!$B$3:$B$57,0),INDEX($K$12:$N$25,MATCH($B807,$J$12:$J$25,0),N$11)))</f>
        <v/>
      </c>
      <c r="G807" s="805"/>
      <c r="I807" s="64"/>
      <c r="J807" s="64"/>
    </row>
    <row r="808" spans="1:10" ht="45.9" customHeight="1">
      <c r="A808" s="803" t="s">
        <v>204</v>
      </c>
      <c r="B808" s="813" t="s">
        <v>122</v>
      </c>
      <c r="C808" s="805" t="str">
        <f>IF(B813="","",INDEX(NXchung!$B$3:$EP$57,MATCH(B813,NXchung!$B$3:$B$57,0),INDEX($K$12:$N$25,MATCH($B808,$J$12:$J$25,0),K$11)))</f>
        <v/>
      </c>
      <c r="D808" s="808" t="str">
        <f>IF(B813="","",INDEX(NXchung!$B$3:$EP$57,MATCH(B813,NXchung!$B$3:$B$57,0),INDEX($K$12:$N$25,MATCH($B808,$J$12:$J$25,0),L$11)))</f>
        <v/>
      </c>
      <c r="E808" s="805" t="str">
        <f>IF(B813="","",INDEX(NXchung!$B$3:$EP$57,MATCH(B813,NXchung!$B$3:$B$57,0),INDEX($K$12:$N$25,MATCH($B808,$J$12:$J$25,0),M$11)))</f>
        <v/>
      </c>
      <c r="F808" s="808" t="str">
        <f>IF(B813="","",INDEX(NXchung!$B$3:$EP$57,MATCH(B813,NXchung!$B$3:$B$57,0),INDEX($K$12:$N$25,MATCH($B808,$J$12:$J$25,0),N$11)))</f>
        <v/>
      </c>
      <c r="G808" s="805"/>
      <c r="I808" s="64"/>
      <c r="J808" s="64"/>
    </row>
    <row r="809" spans="1:10" s="60" customFormat="1" ht="6" customHeight="1">
      <c r="A809" s="67"/>
      <c r="B809" s="67"/>
      <c r="C809" s="475"/>
      <c r="D809" s="475"/>
      <c r="E809" s="67"/>
      <c r="F809" s="67"/>
      <c r="G809" s="67"/>
    </row>
    <row r="810" spans="1:10" ht="17.25" customHeight="1">
      <c r="D810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810" s="1163"/>
      <c r="F810" s="1163"/>
      <c r="G810" s="1163"/>
      <c r="H810" s="814"/>
    </row>
    <row r="811" spans="1:10" ht="16.5" customHeight="1">
      <c r="D811" s="992" t="s">
        <v>377</v>
      </c>
      <c r="E811" s="992"/>
      <c r="F811" s="992"/>
      <c r="G811" s="992"/>
      <c r="H811" s="814"/>
    </row>
    <row r="812" spans="1:10" ht="81.75" customHeight="1">
      <c r="D812" s="931" t="str">
        <f>IF('Huong dan'!$E$5="","",'Huong dan'!$E$5)</f>
        <v/>
      </c>
      <c r="E812" s="931"/>
      <c r="F812" s="931"/>
      <c r="G812" s="931"/>
      <c r="H812" s="814"/>
    </row>
    <row r="813" spans="1:10" ht="11.25" customHeight="1">
      <c r="A813" s="75"/>
      <c r="B813" s="815">
        <f>IF(B784="","",IF(B784&lt;MAX(DiemHKII!$B$4:$B$58),B784+1,""))</f>
        <v>28</v>
      </c>
      <c r="C813" s="75"/>
      <c r="D813" s="75"/>
      <c r="E813" s="75"/>
      <c r="F813" s="75"/>
      <c r="G813" s="75"/>
    </row>
    <row r="814" spans="1:10" s="60" customFormat="1" ht="21" customHeight="1">
      <c r="A814" s="1128" t="str">
        <f>IF('Huong dan'!$E$3&lt;&gt;"","SỞ GIÁO DỤC VÀ ĐÀO TẠO "&amp;UPPER('Huong dan'!$E$3),"")</f>
        <v>SỞ GIÁO DỤC VÀ ĐÀO TẠO TP. HỒ CHÍ MINH</v>
      </c>
      <c r="B814" s="1128"/>
      <c r="C814" s="1128"/>
      <c r="D814" s="1128"/>
      <c r="E814" s="1129" t="s">
        <v>19</v>
      </c>
      <c r="F814" s="1129"/>
      <c r="G814" s="1129"/>
    </row>
    <row r="815" spans="1:10" ht="17.25" customHeight="1">
      <c r="A815" s="992" t="str">
        <f>IF('Huong dan'!$E$4&lt;&gt;"","TRƯỜNG "&amp;UPPER('Huong dan'!$E$4),"")</f>
        <v>TRƯỜNG THCS VÀ THPT NGUYỄN KHUYẾN</v>
      </c>
      <c r="B815" s="992"/>
      <c r="C815" s="992"/>
      <c r="D815" s="992"/>
      <c r="E815" s="1130" t="s">
        <v>179</v>
      </c>
      <c r="F815" s="1130"/>
      <c r="G815" s="1130"/>
    </row>
    <row r="816" spans="1:10" ht="15" customHeight="1">
      <c r="A816" s="69"/>
      <c r="B816" s="69"/>
      <c r="C816" s="30"/>
    </row>
    <row r="817" spans="1:10" ht="27.75" customHeight="1">
      <c r="A817" s="1013" t="s">
        <v>567</v>
      </c>
      <c r="B817" s="1013"/>
      <c r="C817" s="1013"/>
      <c r="D817" s="1013"/>
      <c r="E817" s="1013"/>
      <c r="F817" s="1013"/>
      <c r="G817" s="1013"/>
    </row>
    <row r="818" spans="1:10" ht="24" customHeight="1">
      <c r="A818" s="1013" t="str">
        <f>"HỌC KỲ II VÀ CẢ NĂM - NĂM HỌC "&amp;'Huong dan'!$C$5</f>
        <v>HỌC KỲ II VÀ CẢ NĂM - NĂM HỌC 2021 - 2022</v>
      </c>
      <c r="B818" s="1013"/>
      <c r="C818" s="1013"/>
      <c r="D818" s="1013"/>
      <c r="E818" s="1013"/>
      <c r="F818" s="1013"/>
      <c r="G818" s="1013"/>
    </row>
    <row r="819" spans="1:10" ht="9" customHeight="1">
      <c r="A819" s="70"/>
      <c r="B819" s="66"/>
      <c r="C819" s="66"/>
      <c r="D819" s="66"/>
      <c r="E819" s="66"/>
      <c r="F819" s="66"/>
      <c r="G819" s="66"/>
    </row>
    <row r="820" spans="1:10" ht="18.75" customHeight="1">
      <c r="A820" s="1167" t="s">
        <v>212</v>
      </c>
      <c r="B820" s="1167"/>
      <c r="C820" s="1167"/>
      <c r="D820" s="1167" t="str">
        <f>IF(B842="","",INDEX(NXchung!$B$3:$EP$57,MATCH(B842,NXchung!$B$3:$B$57,0),3)&amp;" "&amp;INDEX(NXchung!$B$3:$EP$57,MATCH(B842,NXchung!$B$3:$B$57,0),4))</f>
        <v>Trần Thị Như Quỳnh</v>
      </c>
      <c r="E820" s="1167"/>
      <c r="F820" s="77" t="str">
        <f>IF('Huong dan'!$C$3="","","Lớp: "&amp;'Huong dan'!$C$3)</f>
        <v>Lớp: 12A1</v>
      </c>
      <c r="G820" s="71"/>
    </row>
    <row r="821" spans="1:10" ht="18.75" customHeight="1">
      <c r="A821" s="1168" t="s">
        <v>213</v>
      </c>
      <c r="B821" s="1168"/>
      <c r="C821" s="1168"/>
      <c r="D821" s="77" t="str">
        <f>INDEX(NXchung!$B$3:$EP$57,MATCH(B842,NXchung!$B$3:$B$57,0),5)</f>
        <v>28/01/2004</v>
      </c>
      <c r="F821" s="841" t="str">
        <f>IF(B842="","","Nơi sinh: "&amp;INDEX(DiemHKII!$H$4:$H$58,MATCH(B842,DiemHKII!$B$4:$B$58,0),1))</f>
        <v xml:space="preserve">Nơi sinh: </v>
      </c>
      <c r="G821" s="77"/>
    </row>
    <row r="822" spans="1:10" ht="9.75" customHeight="1">
      <c r="A822" s="62"/>
      <c r="B822" s="62"/>
      <c r="C822" s="62"/>
      <c r="D822" s="62"/>
      <c r="E822" s="62"/>
      <c r="F822" s="62"/>
      <c r="G822" s="63"/>
    </row>
    <row r="823" spans="1:10" ht="31.5" customHeight="1">
      <c r="A823" s="801" t="s">
        <v>0</v>
      </c>
      <c r="B823" s="801" t="s">
        <v>59</v>
      </c>
      <c r="C823" s="806" t="s">
        <v>661</v>
      </c>
      <c r="D823" s="801" t="s">
        <v>296</v>
      </c>
      <c r="E823" s="806" t="s">
        <v>662</v>
      </c>
      <c r="F823" s="801" t="s">
        <v>361</v>
      </c>
      <c r="G823" s="802" t="s">
        <v>569</v>
      </c>
    </row>
    <row r="824" spans="1:10" ht="45.9" customHeight="1">
      <c r="A824" s="803" t="s">
        <v>191</v>
      </c>
      <c r="B824" s="813" t="s">
        <v>26</v>
      </c>
      <c r="C824" s="805" t="str">
        <f>IF(B842="","",INDEX(NXchung!$B$3:$EP$57,MATCH(B842,NXchung!$B$3:$B$57,0),INDEX($K$12:$N$25,MATCH($B824,$J$12:$J$25,0),K$11)))</f>
        <v/>
      </c>
      <c r="D824" s="808" t="str">
        <f>IF(B842="","",INDEX(NXchung!$B$3:$EP$57,MATCH(B842,NXchung!$B$3:$B$57,0),INDEX($K$12:$N$25,MATCH($B824,$J$12:$J$25,0),L$11)))</f>
        <v/>
      </c>
      <c r="E824" s="805" t="str">
        <f>IF(B842="","",INDEX(NXchung!$B$3:$EP$57,MATCH(B842,NXchung!$B$3:$B$57,0),INDEX($K$12:$N$25,MATCH($B824,$J$12:$J$25,0),M$11)))</f>
        <v/>
      </c>
      <c r="F824" s="808" t="str">
        <f>IF(B842="","",INDEX(NXchung!$B$3:$EP$57,MATCH(B842,NXchung!$B$3:$B$57,0),INDEX($K$12:$N$25,MATCH($B824,$J$12:$J$25,0),N$11)))</f>
        <v/>
      </c>
      <c r="G824" s="805"/>
      <c r="I824" s="64"/>
      <c r="J824" s="64"/>
    </row>
    <row r="825" spans="1:10" ht="45.9" customHeight="1">
      <c r="A825" s="803" t="s">
        <v>192</v>
      </c>
      <c r="B825" s="813" t="s">
        <v>27</v>
      </c>
      <c r="C825" s="805" t="str">
        <f>IF(B842="","",INDEX(NXchung!$B$3:$EP$57,MATCH(B842,NXchung!$B$3:$B$57,0),INDEX($K$12:$N$25,MATCH($B825,$J$12:$J$25,0),K$11)))</f>
        <v/>
      </c>
      <c r="D825" s="808" t="str">
        <f>IF(B842="","",INDEX(NXchung!$B$3:$EP$57,MATCH(B842,NXchung!$B$3:$B$57,0),INDEX($K$12:$N$25,MATCH($B825,$J$12:$J$25,0),L$11)))</f>
        <v/>
      </c>
      <c r="E825" s="805" t="str">
        <f>IF(B842="","",INDEX(NXchung!$B$3:$EP$57,MATCH(B842,NXchung!$B$3:$B$57,0),INDEX($K$12:$N$25,MATCH($B825,$J$12:$J$25,0),M$11)))</f>
        <v/>
      </c>
      <c r="F825" s="808" t="str">
        <f>IF(B842="","",INDEX(NXchung!$B$3:$EP$57,MATCH(B842,NXchung!$B$3:$B$57,0),INDEX($K$12:$N$25,MATCH($B825,$J$12:$J$25,0),N$11)))</f>
        <v/>
      </c>
      <c r="G825" s="805"/>
      <c r="I825" s="64"/>
      <c r="J825" s="64"/>
    </row>
    <row r="826" spans="1:10" ht="45.9" customHeight="1">
      <c r="A826" s="803" t="s">
        <v>193</v>
      </c>
      <c r="B826" s="813" t="s">
        <v>28</v>
      </c>
      <c r="C826" s="805" t="str">
        <f>IF(B842="","",INDEX(NXchung!$B$3:$EP$57,MATCH(B842,NXchung!$B$3:$B$57,0),INDEX($K$12:$N$25,MATCH($B826,$J$12:$J$25,0),K$11)))</f>
        <v/>
      </c>
      <c r="D826" s="808" t="str">
        <f>IF(B842="","",INDEX(NXchung!$B$3:$EP$57,MATCH(B842,NXchung!$B$3:$B$57,0),INDEX($K$12:$N$25,MATCH($B826,$J$12:$J$25,0),L$11)))</f>
        <v/>
      </c>
      <c r="E826" s="805" t="str">
        <f>IF(B842="","",INDEX(NXchung!$B$3:$EP$57,MATCH(B842,NXchung!$B$3:$B$57,0),INDEX($K$12:$N$25,MATCH($B826,$J$12:$J$25,0),M$11)))</f>
        <v/>
      </c>
      <c r="F826" s="808" t="str">
        <f>IF(B842="","",INDEX(NXchung!$B$3:$EP$57,MATCH(B842,NXchung!$B$3:$B$57,0),INDEX($K$12:$N$25,MATCH($B826,$J$12:$J$25,0),N$11)))</f>
        <v/>
      </c>
      <c r="G826" s="805"/>
      <c r="I826" s="64"/>
      <c r="J826" s="64"/>
    </row>
    <row r="827" spans="1:10" ht="45.9" customHeight="1">
      <c r="A827" s="803" t="s">
        <v>194</v>
      </c>
      <c r="B827" s="813" t="s">
        <v>29</v>
      </c>
      <c r="C827" s="805" t="str">
        <f>IF(B842="","",INDEX(NXchung!$B$3:$EP$57,MATCH(B842,NXchung!$B$3:$B$57,0),INDEX($K$12:$N$25,MATCH($B827,$J$12:$J$25,0),K$11)))</f>
        <v/>
      </c>
      <c r="D827" s="808" t="str">
        <f>IF(B842="","",INDEX(NXchung!$B$3:$EP$57,MATCH(B842,NXchung!$B$3:$B$57,0),INDEX($K$12:$N$25,MATCH($B827,$J$12:$J$25,0),L$11)))</f>
        <v/>
      </c>
      <c r="E827" s="805" t="str">
        <f>IF(B842="","",INDEX(NXchung!$B$3:$EP$57,MATCH(B842,NXchung!$B$3:$B$57,0),INDEX($K$12:$N$25,MATCH($B827,$J$12:$J$25,0),M$11)))</f>
        <v/>
      </c>
      <c r="F827" s="808" t="str">
        <f>IF(B842="","",INDEX(NXchung!$B$3:$EP$57,MATCH(B842,NXchung!$B$3:$B$57,0),INDEX($K$12:$N$25,MATCH($B827,$J$12:$J$25,0),N$11)))</f>
        <v/>
      </c>
      <c r="G827" s="805"/>
      <c r="I827" s="64"/>
      <c r="J827" s="64"/>
    </row>
    <row r="828" spans="1:10" ht="45.9" customHeight="1">
      <c r="A828" s="803" t="s">
        <v>195</v>
      </c>
      <c r="B828" s="813" t="s">
        <v>120</v>
      </c>
      <c r="C828" s="805" t="str">
        <f>IF(B842="","",INDEX(NXchung!$B$3:$EP$57,MATCH(B842,NXchung!$B$3:$B$57,0),INDEX($K$12:$N$25,MATCH($B828,$J$12:$J$25,0),K$11)))</f>
        <v/>
      </c>
      <c r="D828" s="808" t="str">
        <f>IF(B842="","",INDEX(NXchung!$B$3:$EP$57,MATCH(B842,NXchung!$B$3:$B$57,0),INDEX($K$12:$N$25,MATCH($B828,$J$12:$J$25,0),L$11)))</f>
        <v/>
      </c>
      <c r="E828" s="805" t="str">
        <f>IF(B842="","",INDEX(NXchung!$B$3:$EP$57,MATCH(B842,NXchung!$B$3:$B$57,0),INDEX($K$12:$N$25,MATCH($B828,$J$12:$J$25,0),M$11)))</f>
        <v/>
      </c>
      <c r="F828" s="808" t="str">
        <f>IF(B842="","",INDEX(NXchung!$B$3:$EP$57,MATCH(B842,NXchung!$B$3:$B$57,0),INDEX($K$12:$N$25,MATCH($B828,$J$12:$J$25,0),N$11)))</f>
        <v/>
      </c>
      <c r="G828" s="805"/>
      <c r="I828" s="64"/>
      <c r="J828" s="64"/>
    </row>
    <row r="829" spans="1:10" ht="45.9" customHeight="1">
      <c r="A829" s="803" t="s">
        <v>196</v>
      </c>
      <c r="B829" s="813" t="s">
        <v>30</v>
      </c>
      <c r="C829" s="805" t="str">
        <f>IF(B842="","",INDEX(NXchung!$B$3:$EP$57,MATCH(B842,NXchung!$B$3:$B$57,0),INDEX($K$12:$N$25,MATCH($B829,$J$12:$J$25,0),K$11)))</f>
        <v/>
      </c>
      <c r="D829" s="808" t="str">
        <f>IF(B842="","",INDEX(NXchung!$B$3:$EP$57,MATCH(B842,NXchung!$B$3:$B$57,0),INDEX($K$12:$N$25,MATCH($B829,$J$12:$J$25,0),L$11)))</f>
        <v/>
      </c>
      <c r="E829" s="805" t="str">
        <f>IF(B842="","",INDEX(NXchung!$B$3:$EP$57,MATCH(B842,NXchung!$B$3:$B$57,0),INDEX($K$12:$N$25,MATCH($B829,$J$12:$J$25,0),M$11)))</f>
        <v/>
      </c>
      <c r="F829" s="808" t="str">
        <f>IF(B842="","",INDEX(NXchung!$B$3:$EP$57,MATCH(B842,NXchung!$B$3:$B$57,0),INDEX($K$12:$N$25,MATCH($B829,$J$12:$J$25,0),N$11)))</f>
        <v/>
      </c>
      <c r="G829" s="805"/>
      <c r="I829" s="64"/>
      <c r="J829" s="64"/>
    </row>
    <row r="830" spans="1:10" ht="45.9" customHeight="1">
      <c r="A830" s="803" t="s">
        <v>197</v>
      </c>
      <c r="B830" s="813" t="s">
        <v>31</v>
      </c>
      <c r="C830" s="805" t="str">
        <f>IF(B842="","",INDEX(NXchung!$B$3:$EP$57,MATCH(B842,NXchung!$B$3:$B$57,0),INDEX($K$12:$N$25,MATCH($B830,$J$12:$J$25,0),K$11)))</f>
        <v/>
      </c>
      <c r="D830" s="808" t="str">
        <f>IF(B842="","",INDEX(NXchung!$B$3:$EP$57,MATCH(B842,NXchung!$B$3:$B$57,0),INDEX($K$12:$N$25,MATCH($B830,$J$12:$J$25,0),L$11)))</f>
        <v/>
      </c>
      <c r="E830" s="805" t="str">
        <f>IF(B842="","",INDEX(NXchung!$B$3:$EP$57,MATCH(B842,NXchung!$B$3:$B$57,0),INDEX($K$12:$N$25,MATCH($B830,$J$12:$J$25,0),M$11)))</f>
        <v/>
      </c>
      <c r="F830" s="808" t="str">
        <f>IF(B842="","",INDEX(NXchung!$B$3:$EP$57,MATCH(B842,NXchung!$B$3:$B$57,0),INDEX($K$12:$N$25,MATCH($B830,$J$12:$J$25,0),N$11)))</f>
        <v/>
      </c>
      <c r="G830" s="805"/>
      <c r="I830" s="64"/>
      <c r="J830" s="64"/>
    </row>
    <row r="831" spans="1:10" ht="45.9" customHeight="1">
      <c r="A831" s="803" t="s">
        <v>198</v>
      </c>
      <c r="B831" s="813" t="s">
        <v>32</v>
      </c>
      <c r="C831" s="805" t="str">
        <f>IF(B842="","",INDEX(NXchung!$B$3:$EP$57,MATCH(B842,NXchung!$B$3:$B$57,0),INDEX($K$12:$N$25,MATCH($B831,$J$12:$J$25,0),K$11)))</f>
        <v/>
      </c>
      <c r="D831" s="808" t="str">
        <f>IF(B842="","",INDEX(NXchung!$B$3:$EP$57,MATCH(B842,NXchung!$B$3:$B$57,0),INDEX($K$12:$N$25,MATCH($B831,$J$12:$J$25,0),L$11)))</f>
        <v/>
      </c>
      <c r="E831" s="805" t="str">
        <f>IF(B842="","",INDEX(NXchung!$B$3:$EP$57,MATCH(B842,NXchung!$B$3:$B$57,0),INDEX($K$12:$N$25,MATCH($B831,$J$12:$J$25,0),M$11)))</f>
        <v/>
      </c>
      <c r="F831" s="808" t="str">
        <f>IF(B842="","",INDEX(NXchung!$B$3:$EP$57,MATCH(B842,NXchung!$B$3:$B$57,0),INDEX($K$12:$N$25,MATCH($B831,$J$12:$J$25,0),N$11)))</f>
        <v/>
      </c>
      <c r="G831" s="805"/>
      <c r="I831" s="64"/>
      <c r="J831" s="64"/>
    </row>
    <row r="832" spans="1:10" ht="45.9" customHeight="1">
      <c r="A832" s="803" t="s">
        <v>199</v>
      </c>
      <c r="B832" s="813" t="s">
        <v>33</v>
      </c>
      <c r="C832" s="805" t="str">
        <f>IF(B842="","",INDEX(NXchung!$B$3:$EP$57,MATCH(B842,NXchung!$B$3:$B$57,0),INDEX($K$12:$N$25,MATCH($B832,$J$12:$J$25,0),K$11)))</f>
        <v/>
      </c>
      <c r="D832" s="808" t="str">
        <f>IF(B842="","",INDEX(NXchung!$B$3:$EP$57,MATCH(B842,NXchung!$B$3:$B$57,0),INDEX($K$12:$N$25,MATCH($B832,$J$12:$J$25,0),L$11)))</f>
        <v/>
      </c>
      <c r="E832" s="805" t="str">
        <f>IF(B842="","",INDEX(NXchung!$B$3:$EP$57,MATCH(B842,NXchung!$B$3:$B$57,0),INDEX($K$12:$N$25,MATCH($B832,$J$12:$J$25,0),M$11)))</f>
        <v/>
      </c>
      <c r="F832" s="808" t="str">
        <f>IF(B842="","",INDEX(NXchung!$B$3:$EP$57,MATCH(B842,NXchung!$B$3:$B$57,0),INDEX($K$12:$N$25,MATCH($B832,$J$12:$J$25,0),N$11)))</f>
        <v/>
      </c>
      <c r="G832" s="805"/>
      <c r="I832" s="64"/>
      <c r="J832" s="64"/>
    </row>
    <row r="833" spans="1:10" ht="45.9" customHeight="1">
      <c r="A833" s="803" t="s">
        <v>200</v>
      </c>
      <c r="B833" s="813" t="s">
        <v>60</v>
      </c>
      <c r="C833" s="805" t="str">
        <f>IF(B842="","",INDEX(NXchung!$B$3:$EP$57,MATCH(B842,NXchung!$B$3:$B$57,0),INDEX($K$12:$N$25,MATCH($B833,$J$12:$J$25,0),K$11)))</f>
        <v/>
      </c>
      <c r="D833" s="808" t="str">
        <f>IF(B842="","",INDEX(NXchung!$B$3:$EP$57,MATCH(B842,NXchung!$B$3:$B$57,0),INDEX($K$12:$N$25,MATCH($B833,$J$12:$J$25,0),L$11)))</f>
        <v/>
      </c>
      <c r="E833" s="805" t="str">
        <f>IF(B842="","",INDEX(NXchung!$B$3:$EP$57,MATCH(B842,NXchung!$B$3:$B$57,0),INDEX($K$12:$N$25,MATCH($B833,$J$12:$J$25,0),M$11)))</f>
        <v/>
      </c>
      <c r="F833" s="808" t="str">
        <f>IF(B842="","",INDEX(NXchung!$B$3:$EP$57,MATCH(B842,NXchung!$B$3:$B$57,0),INDEX($K$12:$N$25,MATCH($B833,$J$12:$J$25,0),N$11)))</f>
        <v/>
      </c>
      <c r="G833" s="805"/>
      <c r="I833" s="64"/>
      <c r="J833" s="64"/>
    </row>
    <row r="834" spans="1:10" ht="45.9" customHeight="1">
      <c r="A834" s="803" t="s">
        <v>201</v>
      </c>
      <c r="B834" s="813" t="s">
        <v>34</v>
      </c>
      <c r="C834" s="805" t="str">
        <f>IF(B842="","",INDEX(NXchung!$B$3:$EP$57,MATCH(B842,NXchung!$B$3:$B$57,0),INDEX($K$12:$N$25,MATCH($B834,$J$12:$J$25,0),K$11)))</f>
        <v/>
      </c>
      <c r="D834" s="808" t="str">
        <f>IF(B842="","",INDEX(NXchung!$B$3:$EP$57,MATCH(B842,NXchung!$B$3:$B$57,0),INDEX($K$12:$N$25,MATCH($B834,$J$12:$J$25,0),L$11)))</f>
        <v/>
      </c>
      <c r="E834" s="805" t="str">
        <f>IF(B842="","",INDEX(NXchung!$B$3:$EP$57,MATCH(B842,NXchung!$B$3:$B$57,0),INDEX($K$12:$N$25,MATCH($B834,$J$12:$J$25,0),M$11)))</f>
        <v/>
      </c>
      <c r="F834" s="808" t="str">
        <f>IF(B842="","",INDEX(NXchung!$B$3:$EP$57,MATCH(B842,NXchung!$B$3:$B$57,0),INDEX($K$12:$N$25,MATCH($B834,$J$12:$J$25,0),N$11)))</f>
        <v/>
      </c>
      <c r="G834" s="805"/>
      <c r="I834" s="64"/>
      <c r="J834" s="64"/>
    </row>
    <row r="835" spans="1:10" ht="45.9" customHeight="1">
      <c r="A835" s="803" t="s">
        <v>202</v>
      </c>
      <c r="B835" s="813" t="s">
        <v>35</v>
      </c>
      <c r="C835" s="805" t="str">
        <f>IF(B842="","",INDEX(NXchung!$B$3:$EP$57,MATCH(B842,NXchung!$B$3:$B$57,0),INDEX($K$12:$N$25,MATCH($B835,$J$12:$J$25,0),K$11)))</f>
        <v/>
      </c>
      <c r="D835" s="808" t="str">
        <f>IF(B842="","",INDEX(NXchung!$B$3:$EP$57,MATCH(B842,NXchung!$B$3:$B$57,0),INDEX($K$12:$N$25,MATCH($B835,$J$12:$J$25,0),L$11)))</f>
        <v/>
      </c>
      <c r="E835" s="805" t="str">
        <f>IF(B842="","",INDEX(NXchung!$B$3:$EP$57,MATCH(B842,NXchung!$B$3:$B$57,0),INDEX($K$12:$N$25,MATCH($B835,$J$12:$J$25,0),M$11)))</f>
        <v>Đ</v>
      </c>
      <c r="F835" s="808" t="str">
        <f>IF(B842="","",INDEX(NXchung!$B$3:$EP$57,MATCH(B842,NXchung!$B$3:$B$57,0),INDEX($K$12:$N$25,MATCH($B835,$J$12:$J$25,0),N$11)))</f>
        <v>Chăm chỉ, cố gắng, rất ngoan.</v>
      </c>
      <c r="G835" s="805"/>
      <c r="I835" s="64"/>
      <c r="J835" s="64"/>
    </row>
    <row r="836" spans="1:10" ht="45.9" customHeight="1">
      <c r="A836" s="803" t="s">
        <v>203</v>
      </c>
      <c r="B836" s="813" t="s">
        <v>121</v>
      </c>
      <c r="C836" s="805" t="str">
        <f>IF(B842="","",INDEX(NXchung!$B$3:$EP$57,MATCH(B842,NXchung!$B$3:$B$57,0),INDEX($K$12:$N$25,MATCH($B836,$J$12:$J$25,0),K$11)))</f>
        <v/>
      </c>
      <c r="D836" s="808" t="str">
        <f>IF(B842="","",INDEX(NXchung!$B$3:$EP$57,MATCH(B842,NXchung!$B$3:$B$57,0),INDEX($K$12:$N$25,MATCH($B836,$J$12:$J$25,0),L$11)))</f>
        <v/>
      </c>
      <c r="E836" s="805" t="str">
        <f>IF(B842="","",INDEX(NXchung!$B$3:$EP$57,MATCH(B842,NXchung!$B$3:$B$57,0),INDEX($K$12:$N$25,MATCH($B836,$J$12:$J$25,0),M$11)))</f>
        <v/>
      </c>
      <c r="F836" s="808" t="str">
        <f>IF(B842="","",INDEX(NXchung!$B$3:$EP$57,MATCH(B842,NXchung!$B$3:$B$57,0),INDEX($K$12:$N$25,MATCH($B836,$J$12:$J$25,0),N$11)))</f>
        <v/>
      </c>
      <c r="G836" s="805"/>
      <c r="I836" s="64"/>
      <c r="J836" s="64"/>
    </row>
    <row r="837" spans="1:10" ht="45.9" customHeight="1">
      <c r="A837" s="803" t="s">
        <v>204</v>
      </c>
      <c r="B837" s="813" t="s">
        <v>122</v>
      </c>
      <c r="C837" s="805" t="str">
        <f>IF(B842="","",INDEX(NXchung!$B$3:$EP$57,MATCH(B842,NXchung!$B$3:$B$57,0),INDEX($K$12:$N$25,MATCH($B837,$J$12:$J$25,0),K$11)))</f>
        <v/>
      </c>
      <c r="D837" s="808" t="str">
        <f>IF(B842="","",INDEX(NXchung!$B$3:$EP$57,MATCH(B842,NXchung!$B$3:$B$57,0),INDEX($K$12:$N$25,MATCH($B837,$J$12:$J$25,0),L$11)))</f>
        <v/>
      </c>
      <c r="E837" s="805" t="str">
        <f>IF(B842="","",INDEX(NXchung!$B$3:$EP$57,MATCH(B842,NXchung!$B$3:$B$57,0),INDEX($K$12:$N$25,MATCH($B837,$J$12:$J$25,0),M$11)))</f>
        <v/>
      </c>
      <c r="F837" s="808" t="str">
        <f>IF(B842="","",INDEX(NXchung!$B$3:$EP$57,MATCH(B842,NXchung!$B$3:$B$57,0),INDEX($K$12:$N$25,MATCH($B837,$J$12:$J$25,0),N$11)))</f>
        <v/>
      </c>
      <c r="G837" s="805"/>
      <c r="I837" s="64"/>
      <c r="J837" s="64"/>
    </row>
    <row r="838" spans="1:10" s="60" customFormat="1" ht="6" customHeight="1">
      <c r="A838" s="67"/>
      <c r="B838" s="67"/>
      <c r="C838" s="475"/>
      <c r="D838" s="475"/>
      <c r="E838" s="67"/>
      <c r="F838" s="67"/>
      <c r="G838" s="67"/>
    </row>
    <row r="839" spans="1:10" ht="17.25" customHeight="1">
      <c r="D839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839" s="1163"/>
      <c r="F839" s="1163"/>
      <c r="G839" s="1163"/>
      <c r="H839" s="814"/>
    </row>
    <row r="840" spans="1:10" ht="16.5" customHeight="1">
      <c r="D840" s="992" t="s">
        <v>377</v>
      </c>
      <c r="E840" s="992"/>
      <c r="F840" s="992"/>
      <c r="G840" s="992"/>
      <c r="H840" s="814"/>
    </row>
    <row r="841" spans="1:10" ht="81.75" customHeight="1">
      <c r="D841" s="931" t="str">
        <f>IF('Huong dan'!$E$5="","",'Huong dan'!$E$5)</f>
        <v/>
      </c>
      <c r="E841" s="931"/>
      <c r="F841" s="931"/>
      <c r="G841" s="931"/>
      <c r="H841" s="814"/>
    </row>
    <row r="842" spans="1:10" ht="11.25" customHeight="1">
      <c r="A842" s="75"/>
      <c r="B842" s="815">
        <f>IF(B813="","",IF(B813&lt;MAX(DiemHKII!$B$4:$B$58),B813+1,""))</f>
        <v>29</v>
      </c>
      <c r="C842" s="75"/>
      <c r="D842" s="75"/>
      <c r="E842" s="75"/>
      <c r="F842" s="75"/>
      <c r="G842" s="75"/>
    </row>
    <row r="843" spans="1:10" s="60" customFormat="1" ht="21" customHeight="1">
      <c r="A843" s="1128" t="str">
        <f>IF('Huong dan'!$E$3&lt;&gt;"","SỞ GIÁO DỤC VÀ ĐÀO TẠO "&amp;UPPER('Huong dan'!$E$3),"")</f>
        <v>SỞ GIÁO DỤC VÀ ĐÀO TẠO TP. HỒ CHÍ MINH</v>
      </c>
      <c r="B843" s="1128"/>
      <c r="C843" s="1128"/>
      <c r="D843" s="1128"/>
      <c r="E843" s="1129" t="s">
        <v>19</v>
      </c>
      <c r="F843" s="1129"/>
      <c r="G843" s="1129"/>
    </row>
    <row r="844" spans="1:10" ht="17.25" customHeight="1">
      <c r="A844" s="992" t="str">
        <f>IF('Huong dan'!$E$4&lt;&gt;"","TRƯỜNG "&amp;UPPER('Huong dan'!$E$4),"")</f>
        <v>TRƯỜNG THCS VÀ THPT NGUYỄN KHUYẾN</v>
      </c>
      <c r="B844" s="992"/>
      <c r="C844" s="992"/>
      <c r="D844" s="992"/>
      <c r="E844" s="1130" t="s">
        <v>179</v>
      </c>
      <c r="F844" s="1130"/>
      <c r="G844" s="1130"/>
    </row>
    <row r="845" spans="1:10" ht="15" customHeight="1">
      <c r="A845" s="69"/>
      <c r="B845" s="69"/>
      <c r="C845" s="30"/>
    </row>
    <row r="846" spans="1:10" ht="27.75" customHeight="1">
      <c r="A846" s="1013" t="s">
        <v>567</v>
      </c>
      <c r="B846" s="1013"/>
      <c r="C846" s="1013"/>
      <c r="D846" s="1013"/>
      <c r="E846" s="1013"/>
      <c r="F846" s="1013"/>
      <c r="G846" s="1013"/>
    </row>
    <row r="847" spans="1:10" ht="24" customHeight="1">
      <c r="A847" s="1013" t="str">
        <f>"HỌC KỲ II VÀ CẢ NĂM - NĂM HỌC "&amp;'Huong dan'!$C$5</f>
        <v>HỌC KỲ II VÀ CẢ NĂM - NĂM HỌC 2021 - 2022</v>
      </c>
      <c r="B847" s="1013"/>
      <c r="C847" s="1013"/>
      <c r="D847" s="1013"/>
      <c r="E847" s="1013"/>
      <c r="F847" s="1013"/>
      <c r="G847" s="1013"/>
    </row>
    <row r="848" spans="1:10" ht="9" customHeight="1">
      <c r="A848" s="70"/>
      <c r="B848" s="66"/>
      <c r="C848" s="66"/>
      <c r="D848" s="66"/>
      <c r="E848" s="66"/>
      <c r="F848" s="66"/>
      <c r="G848" s="66"/>
    </row>
    <row r="849" spans="1:10" ht="18.75" customHeight="1">
      <c r="A849" s="1167" t="s">
        <v>212</v>
      </c>
      <c r="B849" s="1167"/>
      <c r="C849" s="1167"/>
      <c r="D849" s="1167" t="str">
        <f>IF(B871="","",INDEX(NXchung!$B$3:$EP$57,MATCH(B871,NXchung!$B$3:$B$57,0),3)&amp;" "&amp;INDEX(NXchung!$B$3:$EP$57,MATCH(B871,NXchung!$B$3:$B$57,0),4))</f>
        <v>Nguyễn Thái Sơn</v>
      </c>
      <c r="E849" s="1167"/>
      <c r="F849" s="77" t="str">
        <f>IF('Huong dan'!$C$3="","","Lớp: "&amp;'Huong dan'!$C$3)</f>
        <v>Lớp: 12A1</v>
      </c>
      <c r="G849" s="71"/>
    </row>
    <row r="850" spans="1:10" ht="18.75" customHeight="1">
      <c r="A850" s="1168" t="s">
        <v>213</v>
      </c>
      <c r="B850" s="1168"/>
      <c r="C850" s="1168"/>
      <c r="D850" s="77" t="str">
        <f>INDEX(NXchung!$B$3:$EP$57,MATCH(B871,NXchung!$B$3:$B$57,0),5)</f>
        <v>14/04/2004</v>
      </c>
      <c r="F850" s="841" t="str">
        <f>IF(B871="","","Nơi sinh: "&amp;INDEX(DiemHKII!$H$4:$H$58,MATCH(B871,DiemHKII!$B$4:$B$58,0),1))</f>
        <v xml:space="preserve">Nơi sinh: </v>
      </c>
      <c r="G850" s="77"/>
    </row>
    <row r="851" spans="1:10" ht="9.75" customHeight="1">
      <c r="A851" s="62"/>
      <c r="B851" s="62"/>
      <c r="C851" s="62"/>
      <c r="D851" s="62"/>
      <c r="E851" s="62"/>
      <c r="F851" s="62"/>
      <c r="G851" s="63"/>
    </row>
    <row r="852" spans="1:10" ht="31.5" customHeight="1">
      <c r="A852" s="801" t="s">
        <v>0</v>
      </c>
      <c r="B852" s="801" t="s">
        <v>59</v>
      </c>
      <c r="C852" s="806" t="s">
        <v>661</v>
      </c>
      <c r="D852" s="801" t="s">
        <v>296</v>
      </c>
      <c r="E852" s="806" t="s">
        <v>662</v>
      </c>
      <c r="F852" s="801" t="s">
        <v>361</v>
      </c>
      <c r="G852" s="802" t="s">
        <v>569</v>
      </c>
    </row>
    <row r="853" spans="1:10" ht="45.9" customHeight="1">
      <c r="A853" s="803" t="s">
        <v>191</v>
      </c>
      <c r="B853" s="813" t="s">
        <v>26</v>
      </c>
      <c r="C853" s="805" t="str">
        <f>IF(B871="","",INDEX(NXchung!$B$3:$EP$57,MATCH(B871,NXchung!$B$3:$B$57,0),INDEX($K$12:$N$25,MATCH($B853,$J$12:$J$25,0),K$11)))</f>
        <v/>
      </c>
      <c r="D853" s="808" t="str">
        <f>IF(B871="","",INDEX(NXchung!$B$3:$EP$57,MATCH(B871,NXchung!$B$3:$B$57,0),INDEX($K$12:$N$25,MATCH($B853,$J$12:$J$25,0),L$11)))</f>
        <v/>
      </c>
      <c r="E853" s="805" t="str">
        <f>IF(B871="","",INDEX(NXchung!$B$3:$EP$57,MATCH(B871,NXchung!$B$3:$B$57,0),INDEX($K$12:$N$25,MATCH($B853,$J$12:$J$25,0),M$11)))</f>
        <v/>
      </c>
      <c r="F853" s="808" t="str">
        <f>IF(B871="","",INDEX(NXchung!$B$3:$EP$57,MATCH(B871,NXchung!$B$3:$B$57,0),INDEX($K$12:$N$25,MATCH($B853,$J$12:$J$25,0),N$11)))</f>
        <v/>
      </c>
      <c r="G853" s="805"/>
      <c r="I853" s="64"/>
      <c r="J853" s="64"/>
    </row>
    <row r="854" spans="1:10" ht="45.9" customHeight="1">
      <c r="A854" s="803" t="s">
        <v>192</v>
      </c>
      <c r="B854" s="813" t="s">
        <v>27</v>
      </c>
      <c r="C854" s="805" t="str">
        <f>IF(B871="","",INDEX(NXchung!$B$3:$EP$57,MATCH(B871,NXchung!$B$3:$B$57,0),INDEX($K$12:$N$25,MATCH($B854,$J$12:$J$25,0),K$11)))</f>
        <v/>
      </c>
      <c r="D854" s="808" t="str">
        <f>IF(B871="","",INDEX(NXchung!$B$3:$EP$57,MATCH(B871,NXchung!$B$3:$B$57,0),INDEX($K$12:$N$25,MATCH($B854,$J$12:$J$25,0),L$11)))</f>
        <v/>
      </c>
      <c r="E854" s="805" t="str">
        <f>IF(B871="","",INDEX(NXchung!$B$3:$EP$57,MATCH(B871,NXchung!$B$3:$B$57,0),INDEX($K$12:$N$25,MATCH($B854,$J$12:$J$25,0),M$11)))</f>
        <v/>
      </c>
      <c r="F854" s="808" t="str">
        <f>IF(B871="","",INDEX(NXchung!$B$3:$EP$57,MATCH(B871,NXchung!$B$3:$B$57,0),INDEX($K$12:$N$25,MATCH($B854,$J$12:$J$25,0),N$11)))</f>
        <v/>
      </c>
      <c r="G854" s="805"/>
      <c r="I854" s="64"/>
      <c r="J854" s="64"/>
    </row>
    <row r="855" spans="1:10" ht="45.9" customHeight="1">
      <c r="A855" s="803" t="s">
        <v>193</v>
      </c>
      <c r="B855" s="813" t="s">
        <v>28</v>
      </c>
      <c r="C855" s="805" t="str">
        <f>IF(B871="","",INDEX(NXchung!$B$3:$EP$57,MATCH(B871,NXchung!$B$3:$B$57,0),INDEX($K$12:$N$25,MATCH($B855,$J$12:$J$25,0),K$11)))</f>
        <v/>
      </c>
      <c r="D855" s="808" t="str">
        <f>IF(B871="","",INDEX(NXchung!$B$3:$EP$57,MATCH(B871,NXchung!$B$3:$B$57,0),INDEX($K$12:$N$25,MATCH($B855,$J$12:$J$25,0),L$11)))</f>
        <v/>
      </c>
      <c r="E855" s="805" t="str">
        <f>IF(B871="","",INDEX(NXchung!$B$3:$EP$57,MATCH(B871,NXchung!$B$3:$B$57,0),INDEX($K$12:$N$25,MATCH($B855,$J$12:$J$25,0),M$11)))</f>
        <v/>
      </c>
      <c r="F855" s="808" t="str">
        <f>IF(B871="","",INDEX(NXchung!$B$3:$EP$57,MATCH(B871,NXchung!$B$3:$B$57,0),INDEX($K$12:$N$25,MATCH($B855,$J$12:$J$25,0),N$11)))</f>
        <v/>
      </c>
      <c r="G855" s="805"/>
      <c r="I855" s="64"/>
      <c r="J855" s="64"/>
    </row>
    <row r="856" spans="1:10" ht="45.9" customHeight="1">
      <c r="A856" s="803" t="s">
        <v>194</v>
      </c>
      <c r="B856" s="813" t="s">
        <v>29</v>
      </c>
      <c r="C856" s="805" t="str">
        <f>IF(B871="","",INDEX(NXchung!$B$3:$EP$57,MATCH(B871,NXchung!$B$3:$B$57,0),INDEX($K$12:$N$25,MATCH($B856,$J$12:$J$25,0),K$11)))</f>
        <v/>
      </c>
      <c r="D856" s="808" t="str">
        <f>IF(B871="","",INDEX(NXchung!$B$3:$EP$57,MATCH(B871,NXchung!$B$3:$B$57,0),INDEX($K$12:$N$25,MATCH($B856,$J$12:$J$25,0),L$11)))</f>
        <v/>
      </c>
      <c r="E856" s="805" t="str">
        <f>IF(B871="","",INDEX(NXchung!$B$3:$EP$57,MATCH(B871,NXchung!$B$3:$B$57,0),INDEX($K$12:$N$25,MATCH($B856,$J$12:$J$25,0),M$11)))</f>
        <v/>
      </c>
      <c r="F856" s="808" t="str">
        <f>IF(B871="","",INDEX(NXchung!$B$3:$EP$57,MATCH(B871,NXchung!$B$3:$B$57,0),INDEX($K$12:$N$25,MATCH($B856,$J$12:$J$25,0),N$11)))</f>
        <v/>
      </c>
      <c r="G856" s="805"/>
      <c r="I856" s="64"/>
      <c r="J856" s="64"/>
    </row>
    <row r="857" spans="1:10" ht="45.9" customHeight="1">
      <c r="A857" s="803" t="s">
        <v>195</v>
      </c>
      <c r="B857" s="813" t="s">
        <v>120</v>
      </c>
      <c r="C857" s="805" t="str">
        <f>IF(B871="","",INDEX(NXchung!$B$3:$EP$57,MATCH(B871,NXchung!$B$3:$B$57,0),INDEX($K$12:$N$25,MATCH($B857,$J$12:$J$25,0),K$11)))</f>
        <v/>
      </c>
      <c r="D857" s="808" t="str">
        <f>IF(B871="","",INDEX(NXchung!$B$3:$EP$57,MATCH(B871,NXchung!$B$3:$B$57,0),INDEX($K$12:$N$25,MATCH($B857,$J$12:$J$25,0),L$11)))</f>
        <v/>
      </c>
      <c r="E857" s="805" t="str">
        <f>IF(B871="","",INDEX(NXchung!$B$3:$EP$57,MATCH(B871,NXchung!$B$3:$B$57,0),INDEX($K$12:$N$25,MATCH($B857,$J$12:$J$25,0),M$11)))</f>
        <v/>
      </c>
      <c r="F857" s="808" t="str">
        <f>IF(B871="","",INDEX(NXchung!$B$3:$EP$57,MATCH(B871,NXchung!$B$3:$B$57,0),INDEX($K$12:$N$25,MATCH($B857,$J$12:$J$25,0),N$11)))</f>
        <v/>
      </c>
      <c r="G857" s="805"/>
      <c r="I857" s="64"/>
      <c r="J857" s="64"/>
    </row>
    <row r="858" spans="1:10" ht="45.9" customHeight="1">
      <c r="A858" s="803" t="s">
        <v>196</v>
      </c>
      <c r="B858" s="813" t="s">
        <v>30</v>
      </c>
      <c r="C858" s="805" t="str">
        <f>IF(B871="","",INDEX(NXchung!$B$3:$EP$57,MATCH(B871,NXchung!$B$3:$B$57,0),INDEX($K$12:$N$25,MATCH($B858,$J$12:$J$25,0),K$11)))</f>
        <v/>
      </c>
      <c r="D858" s="808" t="str">
        <f>IF(B871="","",INDEX(NXchung!$B$3:$EP$57,MATCH(B871,NXchung!$B$3:$B$57,0),INDEX($K$12:$N$25,MATCH($B858,$J$12:$J$25,0),L$11)))</f>
        <v/>
      </c>
      <c r="E858" s="805" t="str">
        <f>IF(B871="","",INDEX(NXchung!$B$3:$EP$57,MATCH(B871,NXchung!$B$3:$B$57,0),INDEX($K$12:$N$25,MATCH($B858,$J$12:$J$25,0),M$11)))</f>
        <v/>
      </c>
      <c r="F858" s="808" t="str">
        <f>IF(B871="","",INDEX(NXchung!$B$3:$EP$57,MATCH(B871,NXchung!$B$3:$B$57,0),INDEX($K$12:$N$25,MATCH($B858,$J$12:$J$25,0),N$11)))</f>
        <v/>
      </c>
      <c r="G858" s="805"/>
      <c r="I858" s="64"/>
      <c r="J858" s="64"/>
    </row>
    <row r="859" spans="1:10" ht="45.9" customHeight="1">
      <c r="A859" s="803" t="s">
        <v>197</v>
      </c>
      <c r="B859" s="813" t="s">
        <v>31</v>
      </c>
      <c r="C859" s="805" t="str">
        <f>IF(B871="","",INDEX(NXchung!$B$3:$EP$57,MATCH(B871,NXchung!$B$3:$B$57,0),INDEX($K$12:$N$25,MATCH($B859,$J$12:$J$25,0),K$11)))</f>
        <v/>
      </c>
      <c r="D859" s="808" t="str">
        <f>IF(B871="","",INDEX(NXchung!$B$3:$EP$57,MATCH(B871,NXchung!$B$3:$B$57,0),INDEX($K$12:$N$25,MATCH($B859,$J$12:$J$25,0),L$11)))</f>
        <v/>
      </c>
      <c r="E859" s="805" t="str">
        <f>IF(B871="","",INDEX(NXchung!$B$3:$EP$57,MATCH(B871,NXchung!$B$3:$B$57,0),INDEX($K$12:$N$25,MATCH($B859,$J$12:$J$25,0),M$11)))</f>
        <v/>
      </c>
      <c r="F859" s="808" t="str">
        <f>IF(B871="","",INDEX(NXchung!$B$3:$EP$57,MATCH(B871,NXchung!$B$3:$B$57,0),INDEX($K$12:$N$25,MATCH($B859,$J$12:$J$25,0),N$11)))</f>
        <v/>
      </c>
      <c r="G859" s="805"/>
      <c r="I859" s="64"/>
      <c r="J859" s="64"/>
    </row>
    <row r="860" spans="1:10" ht="45.9" customHeight="1">
      <c r="A860" s="803" t="s">
        <v>198</v>
      </c>
      <c r="B860" s="813" t="s">
        <v>32</v>
      </c>
      <c r="C860" s="805" t="str">
        <f>IF(B871="","",INDEX(NXchung!$B$3:$EP$57,MATCH(B871,NXchung!$B$3:$B$57,0),INDEX($K$12:$N$25,MATCH($B860,$J$12:$J$25,0),K$11)))</f>
        <v/>
      </c>
      <c r="D860" s="808" t="str">
        <f>IF(B871="","",INDEX(NXchung!$B$3:$EP$57,MATCH(B871,NXchung!$B$3:$B$57,0),INDEX($K$12:$N$25,MATCH($B860,$J$12:$J$25,0),L$11)))</f>
        <v/>
      </c>
      <c r="E860" s="805" t="str">
        <f>IF(B871="","",INDEX(NXchung!$B$3:$EP$57,MATCH(B871,NXchung!$B$3:$B$57,0),INDEX($K$12:$N$25,MATCH($B860,$J$12:$J$25,0),M$11)))</f>
        <v/>
      </c>
      <c r="F860" s="808" t="str">
        <f>IF(B871="","",INDEX(NXchung!$B$3:$EP$57,MATCH(B871,NXchung!$B$3:$B$57,0),INDEX($K$12:$N$25,MATCH($B860,$J$12:$J$25,0),N$11)))</f>
        <v/>
      </c>
      <c r="G860" s="805"/>
      <c r="I860" s="64"/>
      <c r="J860" s="64"/>
    </row>
    <row r="861" spans="1:10" ht="45.9" customHeight="1">
      <c r="A861" s="803" t="s">
        <v>199</v>
      </c>
      <c r="B861" s="813" t="s">
        <v>33</v>
      </c>
      <c r="C861" s="805" t="str">
        <f>IF(B871="","",INDEX(NXchung!$B$3:$EP$57,MATCH(B871,NXchung!$B$3:$B$57,0),INDEX($K$12:$N$25,MATCH($B861,$J$12:$J$25,0),K$11)))</f>
        <v/>
      </c>
      <c r="D861" s="808" t="str">
        <f>IF(B871="","",INDEX(NXchung!$B$3:$EP$57,MATCH(B871,NXchung!$B$3:$B$57,0),INDEX($K$12:$N$25,MATCH($B861,$J$12:$J$25,0),L$11)))</f>
        <v/>
      </c>
      <c r="E861" s="805" t="str">
        <f>IF(B871="","",INDEX(NXchung!$B$3:$EP$57,MATCH(B871,NXchung!$B$3:$B$57,0),INDEX($K$12:$N$25,MATCH($B861,$J$12:$J$25,0),M$11)))</f>
        <v/>
      </c>
      <c r="F861" s="808" t="str">
        <f>IF(B871="","",INDEX(NXchung!$B$3:$EP$57,MATCH(B871,NXchung!$B$3:$B$57,0),INDEX($K$12:$N$25,MATCH($B861,$J$12:$J$25,0),N$11)))</f>
        <v/>
      </c>
      <c r="G861" s="805"/>
      <c r="I861" s="64"/>
      <c r="J861" s="64"/>
    </row>
    <row r="862" spans="1:10" ht="45.9" customHeight="1">
      <c r="A862" s="803" t="s">
        <v>200</v>
      </c>
      <c r="B862" s="813" t="s">
        <v>60</v>
      </c>
      <c r="C862" s="805" t="str">
        <f>IF(B871="","",INDEX(NXchung!$B$3:$EP$57,MATCH(B871,NXchung!$B$3:$B$57,0),INDEX($K$12:$N$25,MATCH($B862,$J$12:$J$25,0),K$11)))</f>
        <v/>
      </c>
      <c r="D862" s="808" t="str">
        <f>IF(B871="","",INDEX(NXchung!$B$3:$EP$57,MATCH(B871,NXchung!$B$3:$B$57,0),INDEX($K$12:$N$25,MATCH($B862,$J$12:$J$25,0),L$11)))</f>
        <v/>
      </c>
      <c r="E862" s="805" t="str">
        <f>IF(B871="","",INDEX(NXchung!$B$3:$EP$57,MATCH(B871,NXchung!$B$3:$B$57,0),INDEX($K$12:$N$25,MATCH($B862,$J$12:$J$25,0),M$11)))</f>
        <v/>
      </c>
      <c r="F862" s="808" t="str">
        <f>IF(B871="","",INDEX(NXchung!$B$3:$EP$57,MATCH(B871,NXchung!$B$3:$B$57,0),INDEX($K$12:$N$25,MATCH($B862,$J$12:$J$25,0),N$11)))</f>
        <v/>
      </c>
      <c r="G862" s="805"/>
      <c r="I862" s="64"/>
      <c r="J862" s="64"/>
    </row>
    <row r="863" spans="1:10" ht="45.9" customHeight="1">
      <c r="A863" s="803" t="s">
        <v>201</v>
      </c>
      <c r="B863" s="813" t="s">
        <v>34</v>
      </c>
      <c r="C863" s="805" t="str">
        <f>IF(B871="","",INDEX(NXchung!$B$3:$EP$57,MATCH(B871,NXchung!$B$3:$B$57,0),INDEX($K$12:$N$25,MATCH($B863,$J$12:$J$25,0),K$11)))</f>
        <v/>
      </c>
      <c r="D863" s="808" t="str">
        <f>IF(B871="","",INDEX(NXchung!$B$3:$EP$57,MATCH(B871,NXchung!$B$3:$B$57,0),INDEX($K$12:$N$25,MATCH($B863,$J$12:$J$25,0),L$11)))</f>
        <v/>
      </c>
      <c r="E863" s="805" t="str">
        <f>IF(B871="","",INDEX(NXchung!$B$3:$EP$57,MATCH(B871,NXchung!$B$3:$B$57,0),INDEX($K$12:$N$25,MATCH($B863,$J$12:$J$25,0),M$11)))</f>
        <v/>
      </c>
      <c r="F863" s="808" t="str">
        <f>IF(B871="","",INDEX(NXchung!$B$3:$EP$57,MATCH(B871,NXchung!$B$3:$B$57,0),INDEX($K$12:$N$25,MATCH($B863,$J$12:$J$25,0),N$11)))</f>
        <v/>
      </c>
      <c r="G863" s="805"/>
      <c r="I863" s="64"/>
      <c r="J863" s="64"/>
    </row>
    <row r="864" spans="1:10" ht="45.9" customHeight="1">
      <c r="A864" s="803" t="s">
        <v>202</v>
      </c>
      <c r="B864" s="813" t="s">
        <v>35</v>
      </c>
      <c r="C864" s="805" t="str">
        <f>IF(B871="","",INDEX(NXchung!$B$3:$EP$57,MATCH(B871,NXchung!$B$3:$B$57,0),INDEX($K$12:$N$25,MATCH($B864,$J$12:$J$25,0),K$11)))</f>
        <v/>
      </c>
      <c r="D864" s="808" t="str">
        <f>IF(B871="","",INDEX(NXchung!$B$3:$EP$57,MATCH(B871,NXchung!$B$3:$B$57,0),INDEX($K$12:$N$25,MATCH($B864,$J$12:$J$25,0),L$11)))</f>
        <v/>
      </c>
      <c r="E864" s="805" t="str">
        <f>IF(B871="","",INDEX(NXchung!$B$3:$EP$57,MATCH(B871,NXchung!$B$3:$B$57,0),INDEX($K$12:$N$25,MATCH($B864,$J$12:$J$25,0),M$11)))</f>
        <v>Đ</v>
      </c>
      <c r="F864" s="808" t="str">
        <f>IF(B871="","",INDEX(NXchung!$B$3:$EP$57,MATCH(B871,NXchung!$B$3:$B$57,0),INDEX($K$12:$N$25,MATCH($B864,$J$12:$J$25,0),N$11)))</f>
        <v>Giỏi, có nhiều tiến bộ trong học tập.</v>
      </c>
      <c r="G864" s="805"/>
      <c r="I864" s="64"/>
      <c r="J864" s="64"/>
    </row>
    <row r="865" spans="1:10" ht="45.9" customHeight="1">
      <c r="A865" s="803" t="s">
        <v>203</v>
      </c>
      <c r="B865" s="813" t="s">
        <v>121</v>
      </c>
      <c r="C865" s="805" t="str">
        <f>IF(B871="","",INDEX(NXchung!$B$3:$EP$57,MATCH(B871,NXchung!$B$3:$B$57,0),INDEX($K$12:$N$25,MATCH($B865,$J$12:$J$25,0),K$11)))</f>
        <v/>
      </c>
      <c r="D865" s="808" t="str">
        <f>IF(B871="","",INDEX(NXchung!$B$3:$EP$57,MATCH(B871,NXchung!$B$3:$B$57,0),INDEX($K$12:$N$25,MATCH($B865,$J$12:$J$25,0),L$11)))</f>
        <v/>
      </c>
      <c r="E865" s="805" t="str">
        <f>IF(B871="","",INDEX(NXchung!$B$3:$EP$57,MATCH(B871,NXchung!$B$3:$B$57,0),INDEX($K$12:$N$25,MATCH($B865,$J$12:$J$25,0),M$11)))</f>
        <v/>
      </c>
      <c r="F865" s="808" t="str">
        <f>IF(B871="","",INDEX(NXchung!$B$3:$EP$57,MATCH(B871,NXchung!$B$3:$B$57,0),INDEX($K$12:$N$25,MATCH($B865,$J$12:$J$25,0),N$11)))</f>
        <v/>
      </c>
      <c r="G865" s="805"/>
      <c r="I865" s="64"/>
      <c r="J865" s="64"/>
    </row>
    <row r="866" spans="1:10" ht="45.9" customHeight="1">
      <c r="A866" s="803" t="s">
        <v>204</v>
      </c>
      <c r="B866" s="813" t="s">
        <v>122</v>
      </c>
      <c r="C866" s="805" t="str">
        <f>IF(B871="","",INDEX(NXchung!$B$3:$EP$57,MATCH(B871,NXchung!$B$3:$B$57,0),INDEX($K$12:$N$25,MATCH($B866,$J$12:$J$25,0),K$11)))</f>
        <v/>
      </c>
      <c r="D866" s="808" t="str">
        <f>IF(B871="","",INDEX(NXchung!$B$3:$EP$57,MATCH(B871,NXchung!$B$3:$B$57,0),INDEX($K$12:$N$25,MATCH($B866,$J$12:$J$25,0),L$11)))</f>
        <v/>
      </c>
      <c r="E866" s="805" t="str">
        <f>IF(B871="","",INDEX(NXchung!$B$3:$EP$57,MATCH(B871,NXchung!$B$3:$B$57,0),INDEX($K$12:$N$25,MATCH($B866,$J$12:$J$25,0),M$11)))</f>
        <v/>
      </c>
      <c r="F866" s="808" t="str">
        <f>IF(B871="","",INDEX(NXchung!$B$3:$EP$57,MATCH(B871,NXchung!$B$3:$B$57,0),INDEX($K$12:$N$25,MATCH($B866,$J$12:$J$25,0),N$11)))</f>
        <v/>
      </c>
      <c r="G866" s="805"/>
      <c r="I866" s="64"/>
      <c r="J866" s="64"/>
    </row>
    <row r="867" spans="1:10" s="60" customFormat="1" ht="6" customHeight="1">
      <c r="A867" s="67"/>
      <c r="B867" s="67"/>
      <c r="C867" s="475"/>
      <c r="D867" s="475"/>
      <c r="E867" s="67"/>
      <c r="F867" s="67"/>
      <c r="G867" s="67"/>
    </row>
    <row r="868" spans="1:10" ht="17.25" customHeight="1">
      <c r="D868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868" s="1163"/>
      <c r="F868" s="1163"/>
      <c r="G868" s="1163"/>
      <c r="H868" s="814"/>
    </row>
    <row r="869" spans="1:10" ht="16.5" customHeight="1">
      <c r="D869" s="992" t="s">
        <v>377</v>
      </c>
      <c r="E869" s="992"/>
      <c r="F869" s="992"/>
      <c r="G869" s="992"/>
      <c r="H869" s="814"/>
    </row>
    <row r="870" spans="1:10" ht="81.75" customHeight="1">
      <c r="D870" s="931" t="str">
        <f>IF('Huong dan'!$E$5="","",'Huong dan'!$E$5)</f>
        <v/>
      </c>
      <c r="E870" s="931"/>
      <c r="F870" s="931"/>
      <c r="G870" s="931"/>
      <c r="H870" s="814"/>
    </row>
    <row r="871" spans="1:10" ht="11.25" customHeight="1">
      <c r="A871" s="75"/>
      <c r="B871" s="815">
        <f>IF(B842="","",IF(B842&lt;MAX(DiemHKII!$B$4:$B$58),B842+1,""))</f>
        <v>30</v>
      </c>
      <c r="C871" s="75"/>
      <c r="D871" s="75"/>
      <c r="E871" s="75"/>
      <c r="F871" s="75"/>
      <c r="G871" s="75"/>
    </row>
    <row r="872" spans="1:10" s="60" customFormat="1" ht="21" customHeight="1">
      <c r="A872" s="1128" t="str">
        <f>IF('Huong dan'!$E$3&lt;&gt;"","SỞ GIÁO DỤC VÀ ĐÀO TẠO "&amp;UPPER('Huong dan'!$E$3),"")</f>
        <v>SỞ GIÁO DỤC VÀ ĐÀO TẠO TP. HỒ CHÍ MINH</v>
      </c>
      <c r="B872" s="1128"/>
      <c r="C872" s="1128"/>
      <c r="D872" s="1128"/>
      <c r="E872" s="1129" t="s">
        <v>19</v>
      </c>
      <c r="F872" s="1129"/>
      <c r="G872" s="1129"/>
    </row>
    <row r="873" spans="1:10" ht="17.25" customHeight="1">
      <c r="A873" s="992" t="str">
        <f>IF('Huong dan'!$E$4&lt;&gt;"","TRƯỜNG "&amp;UPPER('Huong dan'!$E$4),"")</f>
        <v>TRƯỜNG THCS VÀ THPT NGUYỄN KHUYẾN</v>
      </c>
      <c r="B873" s="992"/>
      <c r="C873" s="992"/>
      <c r="D873" s="992"/>
      <c r="E873" s="1130" t="s">
        <v>179</v>
      </c>
      <c r="F873" s="1130"/>
      <c r="G873" s="1130"/>
    </row>
    <row r="874" spans="1:10" ht="15" customHeight="1">
      <c r="A874" s="69"/>
      <c r="B874" s="69"/>
      <c r="C874" s="30"/>
    </row>
    <row r="875" spans="1:10" ht="27.75" customHeight="1">
      <c r="A875" s="1013" t="s">
        <v>567</v>
      </c>
      <c r="B875" s="1013"/>
      <c r="C875" s="1013"/>
      <c r="D875" s="1013"/>
      <c r="E875" s="1013"/>
      <c r="F875" s="1013"/>
      <c r="G875" s="1013"/>
    </row>
    <row r="876" spans="1:10" ht="24" customHeight="1">
      <c r="A876" s="1013" t="str">
        <f>"HỌC KỲ II VÀ CẢ NĂM - NĂM HỌC "&amp;'Huong dan'!$C$5</f>
        <v>HỌC KỲ II VÀ CẢ NĂM - NĂM HỌC 2021 - 2022</v>
      </c>
      <c r="B876" s="1013"/>
      <c r="C876" s="1013"/>
      <c r="D876" s="1013"/>
      <c r="E876" s="1013"/>
      <c r="F876" s="1013"/>
      <c r="G876" s="1013"/>
    </row>
    <row r="877" spans="1:10" ht="9" customHeight="1">
      <c r="A877" s="70"/>
      <c r="B877" s="66"/>
      <c r="C877" s="66"/>
      <c r="D877" s="66"/>
      <c r="E877" s="66"/>
      <c r="F877" s="66"/>
      <c r="G877" s="66"/>
    </row>
    <row r="878" spans="1:10" ht="18.75" customHeight="1">
      <c r="A878" s="1167" t="s">
        <v>212</v>
      </c>
      <c r="B878" s="1167"/>
      <c r="C878" s="1167"/>
      <c r="D878" s="1167" t="str">
        <f>IF(B900="","",INDEX(NXchung!$B$3:$EP$57,MATCH(B900,NXchung!$B$3:$B$57,0),3)&amp;" "&amp;INDEX(NXchung!$B$3:$EP$57,MATCH(B900,NXchung!$B$3:$B$57,0),4))</f>
        <v>Đặng Hoàng Tân</v>
      </c>
      <c r="E878" s="1167"/>
      <c r="F878" s="77" t="str">
        <f>IF('Huong dan'!$C$3="","","Lớp: "&amp;'Huong dan'!$C$3)</f>
        <v>Lớp: 12A1</v>
      </c>
      <c r="G878" s="71"/>
    </row>
    <row r="879" spans="1:10" ht="18.75" customHeight="1">
      <c r="A879" s="1168" t="s">
        <v>213</v>
      </c>
      <c r="B879" s="1168"/>
      <c r="C879" s="1168"/>
      <c r="D879" s="77" t="str">
        <f>INDEX(NXchung!$B$3:$EP$57,MATCH(B900,NXchung!$B$3:$B$57,0),5)</f>
        <v>26/09/2004</v>
      </c>
      <c r="F879" s="841" t="str">
        <f>IF(B900="","","Nơi sinh: "&amp;INDEX(DiemHKII!$H$4:$H$58,MATCH(B900,DiemHKII!$B$4:$B$58,0),1))</f>
        <v xml:space="preserve">Nơi sinh: </v>
      </c>
      <c r="G879" s="77"/>
    </row>
    <row r="880" spans="1:10" ht="9.75" customHeight="1">
      <c r="A880" s="62"/>
      <c r="B880" s="62"/>
      <c r="C880" s="62"/>
      <c r="D880" s="62"/>
      <c r="E880" s="62"/>
      <c r="F880" s="62"/>
      <c r="G880" s="63"/>
    </row>
    <row r="881" spans="1:10" ht="31.5" customHeight="1">
      <c r="A881" s="801" t="s">
        <v>0</v>
      </c>
      <c r="B881" s="801" t="s">
        <v>59</v>
      </c>
      <c r="C881" s="806" t="s">
        <v>661</v>
      </c>
      <c r="D881" s="801" t="s">
        <v>296</v>
      </c>
      <c r="E881" s="806" t="s">
        <v>662</v>
      </c>
      <c r="F881" s="801" t="s">
        <v>361</v>
      </c>
      <c r="G881" s="802" t="s">
        <v>569</v>
      </c>
    </row>
    <row r="882" spans="1:10" ht="45.9" customHeight="1">
      <c r="A882" s="803" t="s">
        <v>191</v>
      </c>
      <c r="B882" s="813" t="s">
        <v>26</v>
      </c>
      <c r="C882" s="805" t="str">
        <f>IF(B900="","",INDEX(NXchung!$B$3:$EP$57,MATCH(B900,NXchung!$B$3:$B$57,0),INDEX($K$12:$N$25,MATCH($B882,$J$12:$J$25,0),K$11)))</f>
        <v/>
      </c>
      <c r="D882" s="808" t="str">
        <f>IF(B900="","",INDEX(NXchung!$B$3:$EP$57,MATCH(B900,NXchung!$B$3:$B$57,0),INDEX($K$12:$N$25,MATCH($B882,$J$12:$J$25,0),L$11)))</f>
        <v/>
      </c>
      <c r="E882" s="805" t="str">
        <f>IF(B900="","",INDEX(NXchung!$B$3:$EP$57,MATCH(B900,NXchung!$B$3:$B$57,0),INDEX($K$12:$N$25,MATCH($B882,$J$12:$J$25,0),M$11)))</f>
        <v/>
      </c>
      <c r="F882" s="808" t="str">
        <f>IF(B900="","",INDEX(NXchung!$B$3:$EP$57,MATCH(B900,NXchung!$B$3:$B$57,0),INDEX($K$12:$N$25,MATCH($B882,$J$12:$J$25,0),N$11)))</f>
        <v/>
      </c>
      <c r="G882" s="805"/>
      <c r="I882" s="64"/>
      <c r="J882" s="64"/>
    </row>
    <row r="883" spans="1:10" ht="45.9" customHeight="1">
      <c r="A883" s="803" t="s">
        <v>192</v>
      </c>
      <c r="B883" s="813" t="s">
        <v>27</v>
      </c>
      <c r="C883" s="805" t="str">
        <f>IF(B900="","",INDEX(NXchung!$B$3:$EP$57,MATCH(B900,NXchung!$B$3:$B$57,0),INDEX($K$12:$N$25,MATCH($B883,$J$12:$J$25,0),K$11)))</f>
        <v/>
      </c>
      <c r="D883" s="808" t="str">
        <f>IF(B900="","",INDEX(NXchung!$B$3:$EP$57,MATCH(B900,NXchung!$B$3:$B$57,0),INDEX($K$12:$N$25,MATCH($B883,$J$12:$J$25,0),L$11)))</f>
        <v/>
      </c>
      <c r="E883" s="805" t="str">
        <f>IF(B900="","",INDEX(NXchung!$B$3:$EP$57,MATCH(B900,NXchung!$B$3:$B$57,0),INDEX($K$12:$N$25,MATCH($B883,$J$12:$J$25,0),M$11)))</f>
        <v/>
      </c>
      <c r="F883" s="808" t="str">
        <f>IF(B900="","",INDEX(NXchung!$B$3:$EP$57,MATCH(B900,NXchung!$B$3:$B$57,0),INDEX($K$12:$N$25,MATCH($B883,$J$12:$J$25,0),N$11)))</f>
        <v/>
      </c>
      <c r="G883" s="805"/>
      <c r="I883" s="64"/>
      <c r="J883" s="64"/>
    </row>
    <row r="884" spans="1:10" ht="45.9" customHeight="1">
      <c r="A884" s="803" t="s">
        <v>193</v>
      </c>
      <c r="B884" s="813" t="s">
        <v>28</v>
      </c>
      <c r="C884" s="805" t="str">
        <f>IF(B900="","",INDEX(NXchung!$B$3:$EP$57,MATCH(B900,NXchung!$B$3:$B$57,0),INDEX($K$12:$N$25,MATCH($B884,$J$12:$J$25,0),K$11)))</f>
        <v/>
      </c>
      <c r="D884" s="808" t="str">
        <f>IF(B900="","",INDEX(NXchung!$B$3:$EP$57,MATCH(B900,NXchung!$B$3:$B$57,0),INDEX($K$12:$N$25,MATCH($B884,$J$12:$J$25,0),L$11)))</f>
        <v/>
      </c>
      <c r="E884" s="805" t="str">
        <f>IF(B900="","",INDEX(NXchung!$B$3:$EP$57,MATCH(B900,NXchung!$B$3:$B$57,0),INDEX($K$12:$N$25,MATCH($B884,$J$12:$J$25,0),M$11)))</f>
        <v/>
      </c>
      <c r="F884" s="808" t="str">
        <f>IF(B900="","",INDEX(NXchung!$B$3:$EP$57,MATCH(B900,NXchung!$B$3:$B$57,0),INDEX($K$12:$N$25,MATCH($B884,$J$12:$J$25,0),N$11)))</f>
        <v/>
      </c>
      <c r="G884" s="805"/>
      <c r="I884" s="64"/>
      <c r="J884" s="64"/>
    </row>
    <row r="885" spans="1:10" ht="45.9" customHeight="1">
      <c r="A885" s="803" t="s">
        <v>194</v>
      </c>
      <c r="B885" s="813" t="s">
        <v>29</v>
      </c>
      <c r="C885" s="805" t="str">
        <f>IF(B900="","",INDEX(NXchung!$B$3:$EP$57,MATCH(B900,NXchung!$B$3:$B$57,0),INDEX($K$12:$N$25,MATCH($B885,$J$12:$J$25,0),K$11)))</f>
        <v/>
      </c>
      <c r="D885" s="808" t="str">
        <f>IF(B900="","",INDEX(NXchung!$B$3:$EP$57,MATCH(B900,NXchung!$B$3:$B$57,0),INDEX($K$12:$N$25,MATCH($B885,$J$12:$J$25,0),L$11)))</f>
        <v/>
      </c>
      <c r="E885" s="805" t="str">
        <f>IF(B900="","",INDEX(NXchung!$B$3:$EP$57,MATCH(B900,NXchung!$B$3:$B$57,0),INDEX($K$12:$N$25,MATCH($B885,$J$12:$J$25,0),M$11)))</f>
        <v/>
      </c>
      <c r="F885" s="808" t="str">
        <f>IF(B900="","",INDEX(NXchung!$B$3:$EP$57,MATCH(B900,NXchung!$B$3:$B$57,0),INDEX($K$12:$N$25,MATCH($B885,$J$12:$J$25,0),N$11)))</f>
        <v/>
      </c>
      <c r="G885" s="805"/>
      <c r="I885" s="64"/>
      <c r="J885" s="64"/>
    </row>
    <row r="886" spans="1:10" ht="45.9" customHeight="1">
      <c r="A886" s="803" t="s">
        <v>195</v>
      </c>
      <c r="B886" s="813" t="s">
        <v>120</v>
      </c>
      <c r="C886" s="805" t="str">
        <f>IF(B900="","",INDEX(NXchung!$B$3:$EP$57,MATCH(B900,NXchung!$B$3:$B$57,0),INDEX($K$12:$N$25,MATCH($B886,$J$12:$J$25,0),K$11)))</f>
        <v/>
      </c>
      <c r="D886" s="808" t="str">
        <f>IF(B900="","",INDEX(NXchung!$B$3:$EP$57,MATCH(B900,NXchung!$B$3:$B$57,0),INDEX($K$12:$N$25,MATCH($B886,$J$12:$J$25,0),L$11)))</f>
        <v/>
      </c>
      <c r="E886" s="805" t="str">
        <f>IF(B900="","",INDEX(NXchung!$B$3:$EP$57,MATCH(B900,NXchung!$B$3:$B$57,0),INDEX($K$12:$N$25,MATCH($B886,$J$12:$J$25,0),M$11)))</f>
        <v/>
      </c>
      <c r="F886" s="808" t="str">
        <f>IF(B900="","",INDEX(NXchung!$B$3:$EP$57,MATCH(B900,NXchung!$B$3:$B$57,0),INDEX($K$12:$N$25,MATCH($B886,$J$12:$J$25,0),N$11)))</f>
        <v/>
      </c>
      <c r="G886" s="805"/>
      <c r="I886" s="64"/>
      <c r="J886" s="64"/>
    </row>
    <row r="887" spans="1:10" ht="45.9" customHeight="1">
      <c r="A887" s="803" t="s">
        <v>196</v>
      </c>
      <c r="B887" s="813" t="s">
        <v>30</v>
      </c>
      <c r="C887" s="805" t="str">
        <f>IF(B900="","",INDEX(NXchung!$B$3:$EP$57,MATCH(B900,NXchung!$B$3:$B$57,0),INDEX($K$12:$N$25,MATCH($B887,$J$12:$J$25,0),K$11)))</f>
        <v/>
      </c>
      <c r="D887" s="808" t="str">
        <f>IF(B900="","",INDEX(NXchung!$B$3:$EP$57,MATCH(B900,NXchung!$B$3:$B$57,0),INDEX($K$12:$N$25,MATCH($B887,$J$12:$J$25,0),L$11)))</f>
        <v/>
      </c>
      <c r="E887" s="805" t="str">
        <f>IF(B900="","",INDEX(NXchung!$B$3:$EP$57,MATCH(B900,NXchung!$B$3:$B$57,0),INDEX($K$12:$N$25,MATCH($B887,$J$12:$J$25,0),M$11)))</f>
        <v/>
      </c>
      <c r="F887" s="808" t="str">
        <f>IF(B900="","",INDEX(NXchung!$B$3:$EP$57,MATCH(B900,NXchung!$B$3:$B$57,0),INDEX($K$12:$N$25,MATCH($B887,$J$12:$J$25,0),N$11)))</f>
        <v/>
      </c>
      <c r="G887" s="805"/>
      <c r="I887" s="64"/>
      <c r="J887" s="64"/>
    </row>
    <row r="888" spans="1:10" ht="45.9" customHeight="1">
      <c r="A888" s="803" t="s">
        <v>197</v>
      </c>
      <c r="B888" s="813" t="s">
        <v>31</v>
      </c>
      <c r="C888" s="805" t="str">
        <f>IF(B900="","",INDEX(NXchung!$B$3:$EP$57,MATCH(B900,NXchung!$B$3:$B$57,0),INDEX($K$12:$N$25,MATCH($B888,$J$12:$J$25,0),K$11)))</f>
        <v/>
      </c>
      <c r="D888" s="808" t="str">
        <f>IF(B900="","",INDEX(NXchung!$B$3:$EP$57,MATCH(B900,NXchung!$B$3:$B$57,0),INDEX($K$12:$N$25,MATCH($B888,$J$12:$J$25,0),L$11)))</f>
        <v/>
      </c>
      <c r="E888" s="805" t="str">
        <f>IF(B900="","",INDEX(NXchung!$B$3:$EP$57,MATCH(B900,NXchung!$B$3:$B$57,0),INDEX($K$12:$N$25,MATCH($B888,$J$12:$J$25,0),M$11)))</f>
        <v/>
      </c>
      <c r="F888" s="808" t="str">
        <f>IF(B900="","",INDEX(NXchung!$B$3:$EP$57,MATCH(B900,NXchung!$B$3:$B$57,0),INDEX($K$12:$N$25,MATCH($B888,$J$12:$J$25,0),N$11)))</f>
        <v/>
      </c>
      <c r="G888" s="805"/>
      <c r="I888" s="64"/>
      <c r="J888" s="64"/>
    </row>
    <row r="889" spans="1:10" ht="45.9" customHeight="1">
      <c r="A889" s="803" t="s">
        <v>198</v>
      </c>
      <c r="B889" s="813" t="s">
        <v>32</v>
      </c>
      <c r="C889" s="805" t="str">
        <f>IF(B900="","",INDEX(NXchung!$B$3:$EP$57,MATCH(B900,NXchung!$B$3:$B$57,0),INDEX($K$12:$N$25,MATCH($B889,$J$12:$J$25,0),K$11)))</f>
        <v/>
      </c>
      <c r="D889" s="808" t="str">
        <f>IF(B900="","",INDEX(NXchung!$B$3:$EP$57,MATCH(B900,NXchung!$B$3:$B$57,0),INDEX($K$12:$N$25,MATCH($B889,$J$12:$J$25,0),L$11)))</f>
        <v/>
      </c>
      <c r="E889" s="805" t="str">
        <f>IF(B900="","",INDEX(NXchung!$B$3:$EP$57,MATCH(B900,NXchung!$B$3:$B$57,0),INDEX($K$12:$N$25,MATCH($B889,$J$12:$J$25,0),M$11)))</f>
        <v/>
      </c>
      <c r="F889" s="808" t="str">
        <f>IF(B900="","",INDEX(NXchung!$B$3:$EP$57,MATCH(B900,NXchung!$B$3:$B$57,0),INDEX($K$12:$N$25,MATCH($B889,$J$12:$J$25,0),N$11)))</f>
        <v/>
      </c>
      <c r="G889" s="805"/>
      <c r="I889" s="64"/>
      <c r="J889" s="64"/>
    </row>
    <row r="890" spans="1:10" ht="45.9" customHeight="1">
      <c r="A890" s="803" t="s">
        <v>199</v>
      </c>
      <c r="B890" s="813" t="s">
        <v>33</v>
      </c>
      <c r="C890" s="805" t="str">
        <f>IF(B900="","",INDEX(NXchung!$B$3:$EP$57,MATCH(B900,NXchung!$B$3:$B$57,0),INDEX($K$12:$N$25,MATCH($B890,$J$12:$J$25,0),K$11)))</f>
        <v/>
      </c>
      <c r="D890" s="808" t="str">
        <f>IF(B900="","",INDEX(NXchung!$B$3:$EP$57,MATCH(B900,NXchung!$B$3:$B$57,0),INDEX($K$12:$N$25,MATCH($B890,$J$12:$J$25,0),L$11)))</f>
        <v/>
      </c>
      <c r="E890" s="805" t="str">
        <f>IF(B900="","",INDEX(NXchung!$B$3:$EP$57,MATCH(B900,NXchung!$B$3:$B$57,0),INDEX($K$12:$N$25,MATCH($B890,$J$12:$J$25,0),M$11)))</f>
        <v/>
      </c>
      <c r="F890" s="808" t="str">
        <f>IF(B900="","",INDEX(NXchung!$B$3:$EP$57,MATCH(B900,NXchung!$B$3:$B$57,0),INDEX($K$12:$N$25,MATCH($B890,$J$12:$J$25,0),N$11)))</f>
        <v/>
      </c>
      <c r="G890" s="805"/>
      <c r="I890" s="64"/>
      <c r="J890" s="64"/>
    </row>
    <row r="891" spans="1:10" ht="45.9" customHeight="1">
      <c r="A891" s="803" t="s">
        <v>200</v>
      </c>
      <c r="B891" s="813" t="s">
        <v>60</v>
      </c>
      <c r="C891" s="805" t="str">
        <f>IF(B900="","",INDEX(NXchung!$B$3:$EP$57,MATCH(B900,NXchung!$B$3:$B$57,0),INDEX($K$12:$N$25,MATCH($B891,$J$12:$J$25,0),K$11)))</f>
        <v/>
      </c>
      <c r="D891" s="808" t="str">
        <f>IF(B900="","",INDEX(NXchung!$B$3:$EP$57,MATCH(B900,NXchung!$B$3:$B$57,0),INDEX($K$12:$N$25,MATCH($B891,$J$12:$J$25,0),L$11)))</f>
        <v/>
      </c>
      <c r="E891" s="805" t="str">
        <f>IF(B900="","",INDEX(NXchung!$B$3:$EP$57,MATCH(B900,NXchung!$B$3:$B$57,0),INDEX($K$12:$N$25,MATCH($B891,$J$12:$J$25,0),M$11)))</f>
        <v/>
      </c>
      <c r="F891" s="808" t="str">
        <f>IF(B900="","",INDEX(NXchung!$B$3:$EP$57,MATCH(B900,NXchung!$B$3:$B$57,0),INDEX($K$12:$N$25,MATCH($B891,$J$12:$J$25,0),N$11)))</f>
        <v/>
      </c>
      <c r="G891" s="805"/>
      <c r="I891" s="64"/>
      <c r="J891" s="64"/>
    </row>
    <row r="892" spans="1:10" ht="45.9" customHeight="1">
      <c r="A892" s="803" t="s">
        <v>201</v>
      </c>
      <c r="B892" s="813" t="s">
        <v>34</v>
      </c>
      <c r="C892" s="805" t="str">
        <f>IF(B900="","",INDEX(NXchung!$B$3:$EP$57,MATCH(B900,NXchung!$B$3:$B$57,0),INDEX($K$12:$N$25,MATCH($B892,$J$12:$J$25,0),K$11)))</f>
        <v/>
      </c>
      <c r="D892" s="808" t="str">
        <f>IF(B900="","",INDEX(NXchung!$B$3:$EP$57,MATCH(B900,NXchung!$B$3:$B$57,0),INDEX($K$12:$N$25,MATCH($B892,$J$12:$J$25,0),L$11)))</f>
        <v/>
      </c>
      <c r="E892" s="805" t="str">
        <f>IF(B900="","",INDEX(NXchung!$B$3:$EP$57,MATCH(B900,NXchung!$B$3:$B$57,0),INDEX($K$12:$N$25,MATCH($B892,$J$12:$J$25,0),M$11)))</f>
        <v/>
      </c>
      <c r="F892" s="808" t="str">
        <f>IF(B900="","",INDEX(NXchung!$B$3:$EP$57,MATCH(B900,NXchung!$B$3:$B$57,0),INDEX($K$12:$N$25,MATCH($B892,$J$12:$J$25,0),N$11)))</f>
        <v/>
      </c>
      <c r="G892" s="805"/>
      <c r="I892" s="64"/>
      <c r="J892" s="64"/>
    </row>
    <row r="893" spans="1:10" ht="45.9" customHeight="1">
      <c r="A893" s="803" t="s">
        <v>202</v>
      </c>
      <c r="B893" s="813" t="s">
        <v>35</v>
      </c>
      <c r="C893" s="805" t="str">
        <f>IF(B900="","",INDEX(NXchung!$B$3:$EP$57,MATCH(B900,NXchung!$B$3:$B$57,0),INDEX($K$12:$N$25,MATCH($B893,$J$12:$J$25,0),K$11)))</f>
        <v/>
      </c>
      <c r="D893" s="808" t="str">
        <f>IF(B900="","",INDEX(NXchung!$B$3:$EP$57,MATCH(B900,NXchung!$B$3:$B$57,0),INDEX($K$12:$N$25,MATCH($B893,$J$12:$J$25,0),L$11)))</f>
        <v/>
      </c>
      <c r="E893" s="805" t="str">
        <f>IF(B900="","",INDEX(NXchung!$B$3:$EP$57,MATCH(B900,NXchung!$B$3:$B$57,0),INDEX($K$12:$N$25,MATCH($B893,$J$12:$J$25,0),M$11)))</f>
        <v>Đ</v>
      </c>
      <c r="F893" s="808" t="str">
        <f>IF(B900="","",INDEX(NXchung!$B$3:$EP$57,MATCH(B900,NXchung!$B$3:$B$57,0),INDEX($K$12:$N$25,MATCH($B893,$J$12:$J$25,0),N$11)))</f>
        <v>Rất ngoan, học có hiệu quả tốt.</v>
      </c>
      <c r="G893" s="805"/>
      <c r="I893" s="64"/>
      <c r="J893" s="64"/>
    </row>
    <row r="894" spans="1:10" ht="45.9" customHeight="1">
      <c r="A894" s="803" t="s">
        <v>203</v>
      </c>
      <c r="B894" s="813" t="s">
        <v>121</v>
      </c>
      <c r="C894" s="805" t="str">
        <f>IF(B900="","",INDEX(NXchung!$B$3:$EP$57,MATCH(B900,NXchung!$B$3:$B$57,0),INDEX($K$12:$N$25,MATCH($B894,$J$12:$J$25,0),K$11)))</f>
        <v/>
      </c>
      <c r="D894" s="808" t="str">
        <f>IF(B900="","",INDEX(NXchung!$B$3:$EP$57,MATCH(B900,NXchung!$B$3:$B$57,0),INDEX($K$12:$N$25,MATCH($B894,$J$12:$J$25,0),L$11)))</f>
        <v/>
      </c>
      <c r="E894" s="805" t="str">
        <f>IF(B900="","",INDEX(NXchung!$B$3:$EP$57,MATCH(B900,NXchung!$B$3:$B$57,0),INDEX($K$12:$N$25,MATCH($B894,$J$12:$J$25,0),M$11)))</f>
        <v/>
      </c>
      <c r="F894" s="808" t="str">
        <f>IF(B900="","",INDEX(NXchung!$B$3:$EP$57,MATCH(B900,NXchung!$B$3:$B$57,0),INDEX($K$12:$N$25,MATCH($B894,$J$12:$J$25,0),N$11)))</f>
        <v/>
      </c>
      <c r="G894" s="805"/>
      <c r="I894" s="64"/>
      <c r="J894" s="64"/>
    </row>
    <row r="895" spans="1:10" ht="45.9" customHeight="1">
      <c r="A895" s="803" t="s">
        <v>204</v>
      </c>
      <c r="B895" s="813" t="s">
        <v>122</v>
      </c>
      <c r="C895" s="805" t="str">
        <f>IF(B900="","",INDEX(NXchung!$B$3:$EP$57,MATCH(B900,NXchung!$B$3:$B$57,0),INDEX($K$12:$N$25,MATCH($B895,$J$12:$J$25,0),K$11)))</f>
        <v/>
      </c>
      <c r="D895" s="808" t="str">
        <f>IF(B900="","",INDEX(NXchung!$B$3:$EP$57,MATCH(B900,NXchung!$B$3:$B$57,0),INDEX($K$12:$N$25,MATCH($B895,$J$12:$J$25,0),L$11)))</f>
        <v/>
      </c>
      <c r="E895" s="805" t="str">
        <f>IF(B900="","",INDEX(NXchung!$B$3:$EP$57,MATCH(B900,NXchung!$B$3:$B$57,0),INDEX($K$12:$N$25,MATCH($B895,$J$12:$J$25,0),M$11)))</f>
        <v/>
      </c>
      <c r="F895" s="808" t="str">
        <f>IF(B900="","",INDEX(NXchung!$B$3:$EP$57,MATCH(B900,NXchung!$B$3:$B$57,0),INDEX($K$12:$N$25,MATCH($B895,$J$12:$J$25,0),N$11)))</f>
        <v/>
      </c>
      <c r="G895" s="805"/>
      <c r="I895" s="64"/>
      <c r="J895" s="64"/>
    </row>
    <row r="896" spans="1:10" s="60" customFormat="1" ht="6" customHeight="1">
      <c r="A896" s="67"/>
      <c r="B896" s="67"/>
      <c r="C896" s="475"/>
      <c r="D896" s="475"/>
      <c r="E896" s="67"/>
      <c r="F896" s="67"/>
      <c r="G896" s="67"/>
    </row>
    <row r="897" spans="1:10" ht="17.25" customHeight="1">
      <c r="D897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897" s="1163"/>
      <c r="F897" s="1163"/>
      <c r="G897" s="1163"/>
      <c r="H897" s="814"/>
    </row>
    <row r="898" spans="1:10" ht="16.5" customHeight="1">
      <c r="D898" s="992" t="s">
        <v>377</v>
      </c>
      <c r="E898" s="992"/>
      <c r="F898" s="992"/>
      <c r="G898" s="992"/>
      <c r="H898" s="814"/>
    </row>
    <row r="899" spans="1:10" ht="81.75" customHeight="1">
      <c r="D899" s="931" t="str">
        <f>IF('Huong dan'!$E$5="","",'Huong dan'!$E$5)</f>
        <v/>
      </c>
      <c r="E899" s="931"/>
      <c r="F899" s="931"/>
      <c r="G899" s="931"/>
      <c r="H899" s="814"/>
    </row>
    <row r="900" spans="1:10" ht="11.25" customHeight="1">
      <c r="A900" s="75"/>
      <c r="B900" s="815">
        <f>IF(B871="","",IF(B871&lt;MAX(DiemHKII!$B$4:$B$58),B871+1,""))</f>
        <v>31</v>
      </c>
      <c r="C900" s="75"/>
      <c r="D900" s="75"/>
      <c r="E900" s="75"/>
      <c r="F900" s="75"/>
      <c r="G900" s="75"/>
    </row>
    <row r="901" spans="1:10" s="60" customFormat="1" ht="21" customHeight="1">
      <c r="A901" s="1128" t="str">
        <f>IF('Huong dan'!$E$3&lt;&gt;"","SỞ GIÁO DỤC VÀ ĐÀO TẠO "&amp;UPPER('Huong dan'!$E$3),"")</f>
        <v>SỞ GIÁO DỤC VÀ ĐÀO TẠO TP. HỒ CHÍ MINH</v>
      </c>
      <c r="B901" s="1128"/>
      <c r="C901" s="1128"/>
      <c r="D901" s="1128"/>
      <c r="E901" s="1129" t="s">
        <v>19</v>
      </c>
      <c r="F901" s="1129"/>
      <c r="G901" s="1129"/>
    </row>
    <row r="902" spans="1:10" ht="17.25" customHeight="1">
      <c r="A902" s="992" t="str">
        <f>IF('Huong dan'!$E$4&lt;&gt;"","TRƯỜNG "&amp;UPPER('Huong dan'!$E$4),"")</f>
        <v>TRƯỜNG THCS VÀ THPT NGUYỄN KHUYẾN</v>
      </c>
      <c r="B902" s="992"/>
      <c r="C902" s="992"/>
      <c r="D902" s="992"/>
      <c r="E902" s="1130" t="s">
        <v>179</v>
      </c>
      <c r="F902" s="1130"/>
      <c r="G902" s="1130"/>
    </row>
    <row r="903" spans="1:10" ht="15" customHeight="1">
      <c r="A903" s="69"/>
      <c r="B903" s="69"/>
      <c r="C903" s="30"/>
    </row>
    <row r="904" spans="1:10" ht="27.75" customHeight="1">
      <c r="A904" s="1013" t="s">
        <v>567</v>
      </c>
      <c r="B904" s="1013"/>
      <c r="C904" s="1013"/>
      <c r="D904" s="1013"/>
      <c r="E904" s="1013"/>
      <c r="F904" s="1013"/>
      <c r="G904" s="1013"/>
    </row>
    <row r="905" spans="1:10" ht="24" customHeight="1">
      <c r="A905" s="1013" t="str">
        <f>"HỌC KỲ II VÀ CẢ NĂM - NĂM HỌC "&amp;'Huong dan'!$C$5</f>
        <v>HỌC KỲ II VÀ CẢ NĂM - NĂM HỌC 2021 - 2022</v>
      </c>
      <c r="B905" s="1013"/>
      <c r="C905" s="1013"/>
      <c r="D905" s="1013"/>
      <c r="E905" s="1013"/>
      <c r="F905" s="1013"/>
      <c r="G905" s="1013"/>
    </row>
    <row r="906" spans="1:10" ht="9" customHeight="1">
      <c r="A906" s="70"/>
      <c r="B906" s="66"/>
      <c r="C906" s="66"/>
      <c r="D906" s="66"/>
      <c r="E906" s="66"/>
      <c r="F906" s="66"/>
      <c r="G906" s="66"/>
    </row>
    <row r="907" spans="1:10" ht="18.75" customHeight="1">
      <c r="A907" s="1167" t="s">
        <v>212</v>
      </c>
      <c r="B907" s="1167"/>
      <c r="C907" s="1167"/>
      <c r="D907" s="1167" t="str">
        <f>IF(B929="","",INDEX(NXchung!$B$3:$EP$57,MATCH(B929,NXchung!$B$3:$B$57,0),3)&amp;" "&amp;INDEX(NXchung!$B$3:$EP$57,MATCH(B929,NXchung!$B$3:$B$57,0),4))</f>
        <v>Hồ Quang Thành</v>
      </c>
      <c r="E907" s="1167"/>
      <c r="F907" s="77" t="str">
        <f>IF('Huong dan'!$C$3="","","Lớp: "&amp;'Huong dan'!$C$3)</f>
        <v>Lớp: 12A1</v>
      </c>
      <c r="G907" s="71"/>
    </row>
    <row r="908" spans="1:10" ht="18.75" customHeight="1">
      <c r="A908" s="1168" t="s">
        <v>213</v>
      </c>
      <c r="B908" s="1168"/>
      <c r="C908" s="1168"/>
      <c r="D908" s="77" t="str">
        <f>INDEX(NXchung!$B$3:$EP$57,MATCH(B929,NXchung!$B$3:$B$57,0),5)</f>
        <v>28/02/2004</v>
      </c>
      <c r="F908" s="841" t="str">
        <f>IF(B929="","","Nơi sinh: "&amp;INDEX(DiemHKII!$H$4:$H$58,MATCH(B929,DiemHKII!$B$4:$B$58,0),1))</f>
        <v xml:space="preserve">Nơi sinh: </v>
      </c>
      <c r="G908" s="77"/>
    </row>
    <row r="909" spans="1:10" ht="9.75" customHeight="1">
      <c r="A909" s="62"/>
      <c r="B909" s="62"/>
      <c r="C909" s="62"/>
      <c r="D909" s="62"/>
      <c r="E909" s="62"/>
      <c r="F909" s="62"/>
      <c r="G909" s="63"/>
    </row>
    <row r="910" spans="1:10" ht="31.5" customHeight="1">
      <c r="A910" s="801" t="s">
        <v>0</v>
      </c>
      <c r="B910" s="801" t="s">
        <v>59</v>
      </c>
      <c r="C910" s="806" t="s">
        <v>661</v>
      </c>
      <c r="D910" s="801" t="s">
        <v>296</v>
      </c>
      <c r="E910" s="806" t="s">
        <v>662</v>
      </c>
      <c r="F910" s="801" t="s">
        <v>361</v>
      </c>
      <c r="G910" s="802" t="s">
        <v>569</v>
      </c>
    </row>
    <row r="911" spans="1:10" ht="45.9" customHeight="1">
      <c r="A911" s="803" t="s">
        <v>191</v>
      </c>
      <c r="B911" s="813" t="s">
        <v>26</v>
      </c>
      <c r="C911" s="805" t="str">
        <f>IF(B929="","",INDEX(NXchung!$B$3:$EP$57,MATCH(B929,NXchung!$B$3:$B$57,0),INDEX($K$12:$N$25,MATCH($B911,$J$12:$J$25,0),K$11)))</f>
        <v/>
      </c>
      <c r="D911" s="808" t="str">
        <f>IF(B929="","",INDEX(NXchung!$B$3:$EP$57,MATCH(B929,NXchung!$B$3:$B$57,0),INDEX($K$12:$N$25,MATCH($B911,$J$12:$J$25,0),L$11)))</f>
        <v/>
      </c>
      <c r="E911" s="805" t="str">
        <f>IF(B929="","",INDEX(NXchung!$B$3:$EP$57,MATCH(B929,NXchung!$B$3:$B$57,0),INDEX($K$12:$N$25,MATCH($B911,$J$12:$J$25,0),M$11)))</f>
        <v/>
      </c>
      <c r="F911" s="808" t="str">
        <f>IF(B929="","",INDEX(NXchung!$B$3:$EP$57,MATCH(B929,NXchung!$B$3:$B$57,0),INDEX($K$12:$N$25,MATCH($B911,$J$12:$J$25,0),N$11)))</f>
        <v/>
      </c>
      <c r="G911" s="805"/>
      <c r="I911" s="64"/>
      <c r="J911" s="64"/>
    </row>
    <row r="912" spans="1:10" ht="45.9" customHeight="1">
      <c r="A912" s="803" t="s">
        <v>192</v>
      </c>
      <c r="B912" s="813" t="s">
        <v>27</v>
      </c>
      <c r="C912" s="805" t="str">
        <f>IF(B929="","",INDEX(NXchung!$B$3:$EP$57,MATCH(B929,NXchung!$B$3:$B$57,0),INDEX($K$12:$N$25,MATCH($B912,$J$12:$J$25,0),K$11)))</f>
        <v/>
      </c>
      <c r="D912" s="808" t="str">
        <f>IF(B929="","",INDEX(NXchung!$B$3:$EP$57,MATCH(B929,NXchung!$B$3:$B$57,0),INDEX($K$12:$N$25,MATCH($B912,$J$12:$J$25,0),L$11)))</f>
        <v/>
      </c>
      <c r="E912" s="805" t="str">
        <f>IF(B929="","",INDEX(NXchung!$B$3:$EP$57,MATCH(B929,NXchung!$B$3:$B$57,0),INDEX($K$12:$N$25,MATCH($B912,$J$12:$J$25,0),M$11)))</f>
        <v/>
      </c>
      <c r="F912" s="808" t="str">
        <f>IF(B929="","",INDEX(NXchung!$B$3:$EP$57,MATCH(B929,NXchung!$B$3:$B$57,0),INDEX($K$12:$N$25,MATCH($B912,$J$12:$J$25,0),N$11)))</f>
        <v/>
      </c>
      <c r="G912" s="805"/>
      <c r="I912" s="64"/>
      <c r="J912" s="64"/>
    </row>
    <row r="913" spans="1:10" ht="45.9" customHeight="1">
      <c r="A913" s="803" t="s">
        <v>193</v>
      </c>
      <c r="B913" s="813" t="s">
        <v>28</v>
      </c>
      <c r="C913" s="805" t="str">
        <f>IF(B929="","",INDEX(NXchung!$B$3:$EP$57,MATCH(B929,NXchung!$B$3:$B$57,0),INDEX($K$12:$N$25,MATCH($B913,$J$12:$J$25,0),K$11)))</f>
        <v/>
      </c>
      <c r="D913" s="808" t="str">
        <f>IF(B929="","",INDEX(NXchung!$B$3:$EP$57,MATCH(B929,NXchung!$B$3:$B$57,0),INDEX($K$12:$N$25,MATCH($B913,$J$12:$J$25,0),L$11)))</f>
        <v/>
      </c>
      <c r="E913" s="805" t="str">
        <f>IF(B929="","",INDEX(NXchung!$B$3:$EP$57,MATCH(B929,NXchung!$B$3:$B$57,0),INDEX($K$12:$N$25,MATCH($B913,$J$12:$J$25,0),M$11)))</f>
        <v/>
      </c>
      <c r="F913" s="808" t="str">
        <f>IF(B929="","",INDEX(NXchung!$B$3:$EP$57,MATCH(B929,NXchung!$B$3:$B$57,0),INDEX($K$12:$N$25,MATCH($B913,$J$12:$J$25,0),N$11)))</f>
        <v/>
      </c>
      <c r="G913" s="805"/>
      <c r="I913" s="64"/>
      <c r="J913" s="64"/>
    </row>
    <row r="914" spans="1:10" ht="45.9" customHeight="1">
      <c r="A914" s="803" t="s">
        <v>194</v>
      </c>
      <c r="B914" s="813" t="s">
        <v>29</v>
      </c>
      <c r="C914" s="805" t="str">
        <f>IF(B929="","",INDEX(NXchung!$B$3:$EP$57,MATCH(B929,NXchung!$B$3:$B$57,0),INDEX($K$12:$N$25,MATCH($B914,$J$12:$J$25,0),K$11)))</f>
        <v/>
      </c>
      <c r="D914" s="808" t="str">
        <f>IF(B929="","",INDEX(NXchung!$B$3:$EP$57,MATCH(B929,NXchung!$B$3:$B$57,0),INDEX($K$12:$N$25,MATCH($B914,$J$12:$J$25,0),L$11)))</f>
        <v/>
      </c>
      <c r="E914" s="805" t="str">
        <f>IF(B929="","",INDEX(NXchung!$B$3:$EP$57,MATCH(B929,NXchung!$B$3:$B$57,0),INDEX($K$12:$N$25,MATCH($B914,$J$12:$J$25,0),M$11)))</f>
        <v/>
      </c>
      <c r="F914" s="808" t="str">
        <f>IF(B929="","",INDEX(NXchung!$B$3:$EP$57,MATCH(B929,NXchung!$B$3:$B$57,0),INDEX($K$12:$N$25,MATCH($B914,$J$12:$J$25,0),N$11)))</f>
        <v/>
      </c>
      <c r="G914" s="805"/>
      <c r="I914" s="64"/>
      <c r="J914" s="64"/>
    </row>
    <row r="915" spans="1:10" ht="45.9" customHeight="1">
      <c r="A915" s="803" t="s">
        <v>195</v>
      </c>
      <c r="B915" s="813" t="s">
        <v>120</v>
      </c>
      <c r="C915" s="805" t="str">
        <f>IF(B929="","",INDEX(NXchung!$B$3:$EP$57,MATCH(B929,NXchung!$B$3:$B$57,0),INDEX($K$12:$N$25,MATCH($B915,$J$12:$J$25,0),K$11)))</f>
        <v/>
      </c>
      <c r="D915" s="808" t="str">
        <f>IF(B929="","",INDEX(NXchung!$B$3:$EP$57,MATCH(B929,NXchung!$B$3:$B$57,0),INDEX($K$12:$N$25,MATCH($B915,$J$12:$J$25,0),L$11)))</f>
        <v/>
      </c>
      <c r="E915" s="805" t="str">
        <f>IF(B929="","",INDEX(NXchung!$B$3:$EP$57,MATCH(B929,NXchung!$B$3:$B$57,0),INDEX($K$12:$N$25,MATCH($B915,$J$12:$J$25,0),M$11)))</f>
        <v/>
      </c>
      <c r="F915" s="808" t="str">
        <f>IF(B929="","",INDEX(NXchung!$B$3:$EP$57,MATCH(B929,NXchung!$B$3:$B$57,0),INDEX($K$12:$N$25,MATCH($B915,$J$12:$J$25,0),N$11)))</f>
        <v/>
      </c>
      <c r="G915" s="805"/>
      <c r="I915" s="64"/>
      <c r="J915" s="64"/>
    </row>
    <row r="916" spans="1:10" ht="45.9" customHeight="1">
      <c r="A916" s="803" t="s">
        <v>196</v>
      </c>
      <c r="B916" s="813" t="s">
        <v>30</v>
      </c>
      <c r="C916" s="805" t="str">
        <f>IF(B929="","",INDEX(NXchung!$B$3:$EP$57,MATCH(B929,NXchung!$B$3:$B$57,0),INDEX($K$12:$N$25,MATCH($B916,$J$12:$J$25,0),K$11)))</f>
        <v/>
      </c>
      <c r="D916" s="808" t="str">
        <f>IF(B929="","",INDEX(NXchung!$B$3:$EP$57,MATCH(B929,NXchung!$B$3:$B$57,0),INDEX($K$12:$N$25,MATCH($B916,$J$12:$J$25,0),L$11)))</f>
        <v/>
      </c>
      <c r="E916" s="805" t="str">
        <f>IF(B929="","",INDEX(NXchung!$B$3:$EP$57,MATCH(B929,NXchung!$B$3:$B$57,0),INDEX($K$12:$N$25,MATCH($B916,$J$12:$J$25,0),M$11)))</f>
        <v/>
      </c>
      <c r="F916" s="808" t="str">
        <f>IF(B929="","",INDEX(NXchung!$B$3:$EP$57,MATCH(B929,NXchung!$B$3:$B$57,0),INDEX($K$12:$N$25,MATCH($B916,$J$12:$J$25,0),N$11)))</f>
        <v/>
      </c>
      <c r="G916" s="805"/>
      <c r="I916" s="64"/>
      <c r="J916" s="64"/>
    </row>
    <row r="917" spans="1:10" ht="45.9" customHeight="1">
      <c r="A917" s="803" t="s">
        <v>197</v>
      </c>
      <c r="B917" s="813" t="s">
        <v>31</v>
      </c>
      <c r="C917" s="805" t="str">
        <f>IF(B929="","",INDEX(NXchung!$B$3:$EP$57,MATCH(B929,NXchung!$B$3:$B$57,0),INDEX($K$12:$N$25,MATCH($B917,$J$12:$J$25,0),K$11)))</f>
        <v/>
      </c>
      <c r="D917" s="808" t="str">
        <f>IF(B929="","",INDEX(NXchung!$B$3:$EP$57,MATCH(B929,NXchung!$B$3:$B$57,0),INDEX($K$12:$N$25,MATCH($B917,$J$12:$J$25,0),L$11)))</f>
        <v/>
      </c>
      <c r="E917" s="805" t="str">
        <f>IF(B929="","",INDEX(NXchung!$B$3:$EP$57,MATCH(B929,NXchung!$B$3:$B$57,0),INDEX($K$12:$N$25,MATCH($B917,$J$12:$J$25,0),M$11)))</f>
        <v/>
      </c>
      <c r="F917" s="808" t="str">
        <f>IF(B929="","",INDEX(NXchung!$B$3:$EP$57,MATCH(B929,NXchung!$B$3:$B$57,0),INDEX($K$12:$N$25,MATCH($B917,$J$12:$J$25,0),N$11)))</f>
        <v/>
      </c>
      <c r="G917" s="805"/>
      <c r="I917" s="64"/>
      <c r="J917" s="64"/>
    </row>
    <row r="918" spans="1:10" ht="45.9" customHeight="1">
      <c r="A918" s="803" t="s">
        <v>198</v>
      </c>
      <c r="B918" s="813" t="s">
        <v>32</v>
      </c>
      <c r="C918" s="805" t="str">
        <f>IF(B929="","",INDEX(NXchung!$B$3:$EP$57,MATCH(B929,NXchung!$B$3:$B$57,0),INDEX($K$12:$N$25,MATCH($B918,$J$12:$J$25,0),K$11)))</f>
        <v/>
      </c>
      <c r="D918" s="808" t="str">
        <f>IF(B929="","",INDEX(NXchung!$B$3:$EP$57,MATCH(B929,NXchung!$B$3:$B$57,0),INDEX($K$12:$N$25,MATCH($B918,$J$12:$J$25,0),L$11)))</f>
        <v/>
      </c>
      <c r="E918" s="805" t="str">
        <f>IF(B929="","",INDEX(NXchung!$B$3:$EP$57,MATCH(B929,NXchung!$B$3:$B$57,0),INDEX($K$12:$N$25,MATCH($B918,$J$12:$J$25,0),M$11)))</f>
        <v/>
      </c>
      <c r="F918" s="808" t="str">
        <f>IF(B929="","",INDEX(NXchung!$B$3:$EP$57,MATCH(B929,NXchung!$B$3:$B$57,0),INDEX($K$12:$N$25,MATCH($B918,$J$12:$J$25,0),N$11)))</f>
        <v/>
      </c>
      <c r="G918" s="805"/>
      <c r="I918" s="64"/>
      <c r="J918" s="64"/>
    </row>
    <row r="919" spans="1:10" ht="45.9" customHeight="1">
      <c r="A919" s="803" t="s">
        <v>199</v>
      </c>
      <c r="B919" s="813" t="s">
        <v>33</v>
      </c>
      <c r="C919" s="805" t="str">
        <f>IF(B929="","",INDEX(NXchung!$B$3:$EP$57,MATCH(B929,NXchung!$B$3:$B$57,0),INDEX($K$12:$N$25,MATCH($B919,$J$12:$J$25,0),K$11)))</f>
        <v/>
      </c>
      <c r="D919" s="808" t="str">
        <f>IF(B929="","",INDEX(NXchung!$B$3:$EP$57,MATCH(B929,NXchung!$B$3:$B$57,0),INDEX($K$12:$N$25,MATCH($B919,$J$12:$J$25,0),L$11)))</f>
        <v/>
      </c>
      <c r="E919" s="805" t="str">
        <f>IF(B929="","",INDEX(NXchung!$B$3:$EP$57,MATCH(B929,NXchung!$B$3:$B$57,0),INDEX($K$12:$N$25,MATCH($B919,$J$12:$J$25,0),M$11)))</f>
        <v/>
      </c>
      <c r="F919" s="808" t="str">
        <f>IF(B929="","",INDEX(NXchung!$B$3:$EP$57,MATCH(B929,NXchung!$B$3:$B$57,0),INDEX($K$12:$N$25,MATCH($B919,$J$12:$J$25,0),N$11)))</f>
        <v/>
      </c>
      <c r="G919" s="805"/>
      <c r="I919" s="64"/>
      <c r="J919" s="64"/>
    </row>
    <row r="920" spans="1:10" ht="45.9" customHeight="1">
      <c r="A920" s="803" t="s">
        <v>200</v>
      </c>
      <c r="B920" s="813" t="s">
        <v>60</v>
      </c>
      <c r="C920" s="805" t="str">
        <f>IF(B929="","",INDEX(NXchung!$B$3:$EP$57,MATCH(B929,NXchung!$B$3:$B$57,0),INDEX($K$12:$N$25,MATCH($B920,$J$12:$J$25,0),K$11)))</f>
        <v/>
      </c>
      <c r="D920" s="808" t="str">
        <f>IF(B929="","",INDEX(NXchung!$B$3:$EP$57,MATCH(B929,NXchung!$B$3:$B$57,0),INDEX($K$12:$N$25,MATCH($B920,$J$12:$J$25,0),L$11)))</f>
        <v/>
      </c>
      <c r="E920" s="805" t="str">
        <f>IF(B929="","",INDEX(NXchung!$B$3:$EP$57,MATCH(B929,NXchung!$B$3:$B$57,0),INDEX($K$12:$N$25,MATCH($B920,$J$12:$J$25,0),M$11)))</f>
        <v/>
      </c>
      <c r="F920" s="808" t="str">
        <f>IF(B929="","",INDEX(NXchung!$B$3:$EP$57,MATCH(B929,NXchung!$B$3:$B$57,0),INDEX($K$12:$N$25,MATCH($B920,$J$12:$J$25,0),N$11)))</f>
        <v/>
      </c>
      <c r="G920" s="805"/>
      <c r="I920" s="64"/>
      <c r="J920" s="64"/>
    </row>
    <row r="921" spans="1:10" ht="45.9" customHeight="1">
      <c r="A921" s="803" t="s">
        <v>201</v>
      </c>
      <c r="B921" s="813" t="s">
        <v>34</v>
      </c>
      <c r="C921" s="805" t="str">
        <f>IF(B929="","",INDEX(NXchung!$B$3:$EP$57,MATCH(B929,NXchung!$B$3:$B$57,0),INDEX($K$12:$N$25,MATCH($B921,$J$12:$J$25,0),K$11)))</f>
        <v/>
      </c>
      <c r="D921" s="808" t="str">
        <f>IF(B929="","",INDEX(NXchung!$B$3:$EP$57,MATCH(B929,NXchung!$B$3:$B$57,0),INDEX($K$12:$N$25,MATCH($B921,$J$12:$J$25,0),L$11)))</f>
        <v/>
      </c>
      <c r="E921" s="805" t="str">
        <f>IF(B929="","",INDEX(NXchung!$B$3:$EP$57,MATCH(B929,NXchung!$B$3:$B$57,0),INDEX($K$12:$N$25,MATCH($B921,$J$12:$J$25,0),M$11)))</f>
        <v/>
      </c>
      <c r="F921" s="808" t="str">
        <f>IF(B929="","",INDEX(NXchung!$B$3:$EP$57,MATCH(B929,NXchung!$B$3:$B$57,0),INDEX($K$12:$N$25,MATCH($B921,$J$12:$J$25,0),N$11)))</f>
        <v/>
      </c>
      <c r="G921" s="805"/>
      <c r="I921" s="64"/>
      <c r="J921" s="64"/>
    </row>
    <row r="922" spans="1:10" ht="45.9" customHeight="1">
      <c r="A922" s="803" t="s">
        <v>202</v>
      </c>
      <c r="B922" s="813" t="s">
        <v>35</v>
      </c>
      <c r="C922" s="805" t="str">
        <f>IF(B929="","",INDEX(NXchung!$B$3:$EP$57,MATCH(B929,NXchung!$B$3:$B$57,0),INDEX($K$12:$N$25,MATCH($B922,$J$12:$J$25,0),K$11)))</f>
        <v/>
      </c>
      <c r="D922" s="808" t="str">
        <f>IF(B929="","",INDEX(NXchung!$B$3:$EP$57,MATCH(B929,NXchung!$B$3:$B$57,0),INDEX($K$12:$N$25,MATCH($B922,$J$12:$J$25,0),L$11)))</f>
        <v/>
      </c>
      <c r="E922" s="805" t="str">
        <f>IF(B929="","",INDEX(NXchung!$B$3:$EP$57,MATCH(B929,NXchung!$B$3:$B$57,0),INDEX($K$12:$N$25,MATCH($B922,$J$12:$J$25,0),M$11)))</f>
        <v>Đ</v>
      </c>
      <c r="F922" s="808" t="str">
        <f>IF(B929="","",INDEX(NXchung!$B$3:$EP$57,MATCH(B929,NXchung!$B$3:$B$57,0),INDEX($K$12:$N$25,MATCH($B922,$J$12:$J$25,0),N$11)))</f>
        <v>Chăm chỉ, cố gắng, rất ngoan.</v>
      </c>
      <c r="G922" s="805"/>
      <c r="I922" s="64"/>
      <c r="J922" s="64"/>
    </row>
    <row r="923" spans="1:10" ht="45.9" customHeight="1">
      <c r="A923" s="803" t="s">
        <v>203</v>
      </c>
      <c r="B923" s="813" t="s">
        <v>121</v>
      </c>
      <c r="C923" s="805" t="str">
        <f>IF(B929="","",INDEX(NXchung!$B$3:$EP$57,MATCH(B929,NXchung!$B$3:$B$57,0),INDEX($K$12:$N$25,MATCH($B923,$J$12:$J$25,0),K$11)))</f>
        <v/>
      </c>
      <c r="D923" s="808" t="str">
        <f>IF(B929="","",INDEX(NXchung!$B$3:$EP$57,MATCH(B929,NXchung!$B$3:$B$57,0),INDEX($K$12:$N$25,MATCH($B923,$J$12:$J$25,0),L$11)))</f>
        <v/>
      </c>
      <c r="E923" s="805" t="str">
        <f>IF(B929="","",INDEX(NXchung!$B$3:$EP$57,MATCH(B929,NXchung!$B$3:$B$57,0),INDEX($K$12:$N$25,MATCH($B923,$J$12:$J$25,0),M$11)))</f>
        <v/>
      </c>
      <c r="F923" s="808" t="str">
        <f>IF(B929="","",INDEX(NXchung!$B$3:$EP$57,MATCH(B929,NXchung!$B$3:$B$57,0),INDEX($K$12:$N$25,MATCH($B923,$J$12:$J$25,0),N$11)))</f>
        <v/>
      </c>
      <c r="G923" s="805"/>
      <c r="I923" s="64"/>
      <c r="J923" s="64"/>
    </row>
    <row r="924" spans="1:10" ht="45.9" customHeight="1">
      <c r="A924" s="803" t="s">
        <v>204</v>
      </c>
      <c r="B924" s="813" t="s">
        <v>122</v>
      </c>
      <c r="C924" s="805" t="str">
        <f>IF(B929="","",INDEX(NXchung!$B$3:$EP$57,MATCH(B929,NXchung!$B$3:$B$57,0),INDEX($K$12:$N$25,MATCH($B924,$J$12:$J$25,0),K$11)))</f>
        <v/>
      </c>
      <c r="D924" s="808" t="str">
        <f>IF(B929="","",INDEX(NXchung!$B$3:$EP$57,MATCH(B929,NXchung!$B$3:$B$57,0),INDEX($K$12:$N$25,MATCH($B924,$J$12:$J$25,0),L$11)))</f>
        <v/>
      </c>
      <c r="E924" s="805" t="str">
        <f>IF(B929="","",INDEX(NXchung!$B$3:$EP$57,MATCH(B929,NXchung!$B$3:$B$57,0),INDEX($K$12:$N$25,MATCH($B924,$J$12:$J$25,0),M$11)))</f>
        <v/>
      </c>
      <c r="F924" s="808" t="str">
        <f>IF(B929="","",INDEX(NXchung!$B$3:$EP$57,MATCH(B929,NXchung!$B$3:$B$57,0),INDEX($K$12:$N$25,MATCH($B924,$J$12:$J$25,0),N$11)))</f>
        <v/>
      </c>
      <c r="G924" s="805"/>
      <c r="I924" s="64"/>
      <c r="J924" s="64"/>
    </row>
    <row r="925" spans="1:10" s="60" customFormat="1" ht="6" customHeight="1">
      <c r="A925" s="67"/>
      <c r="B925" s="67"/>
      <c r="C925" s="475"/>
      <c r="D925" s="475"/>
      <c r="E925" s="67"/>
      <c r="F925" s="67"/>
      <c r="G925" s="67"/>
    </row>
    <row r="926" spans="1:10" ht="17.25" customHeight="1">
      <c r="D926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926" s="1163"/>
      <c r="F926" s="1163"/>
      <c r="G926" s="1163"/>
      <c r="H926" s="814"/>
    </row>
    <row r="927" spans="1:10" ht="16.5" customHeight="1">
      <c r="D927" s="992" t="s">
        <v>377</v>
      </c>
      <c r="E927" s="992"/>
      <c r="F927" s="992"/>
      <c r="G927" s="992"/>
      <c r="H927" s="814"/>
    </row>
    <row r="928" spans="1:10" ht="81.75" customHeight="1">
      <c r="D928" s="931" t="str">
        <f>IF('Huong dan'!$E$5="","",'Huong dan'!$E$5)</f>
        <v/>
      </c>
      <c r="E928" s="931"/>
      <c r="F928" s="931"/>
      <c r="G928" s="931"/>
      <c r="H928" s="814"/>
    </row>
    <row r="929" spans="1:10" ht="11.25" customHeight="1">
      <c r="A929" s="75"/>
      <c r="B929" s="815">
        <f>IF(B900="","",IF(B900&lt;MAX(DiemHKII!$B$4:$B$58),B900+1,""))</f>
        <v>32</v>
      </c>
      <c r="C929" s="75"/>
      <c r="D929" s="75"/>
      <c r="E929" s="75"/>
      <c r="F929" s="75"/>
      <c r="G929" s="75"/>
    </row>
    <row r="930" spans="1:10" s="60" customFormat="1" ht="21" customHeight="1">
      <c r="A930" s="1128" t="str">
        <f>IF('Huong dan'!$E$3&lt;&gt;"","SỞ GIÁO DỤC VÀ ĐÀO TẠO "&amp;UPPER('Huong dan'!$E$3),"")</f>
        <v>SỞ GIÁO DỤC VÀ ĐÀO TẠO TP. HỒ CHÍ MINH</v>
      </c>
      <c r="B930" s="1128"/>
      <c r="C930" s="1128"/>
      <c r="D930" s="1128"/>
      <c r="E930" s="1129" t="s">
        <v>19</v>
      </c>
      <c r="F930" s="1129"/>
      <c r="G930" s="1129"/>
    </row>
    <row r="931" spans="1:10" ht="17.25" customHeight="1">
      <c r="A931" s="992" t="str">
        <f>IF('Huong dan'!$E$4&lt;&gt;"","TRƯỜNG "&amp;UPPER('Huong dan'!$E$4),"")</f>
        <v>TRƯỜNG THCS VÀ THPT NGUYỄN KHUYẾN</v>
      </c>
      <c r="B931" s="992"/>
      <c r="C931" s="992"/>
      <c r="D931" s="992"/>
      <c r="E931" s="1130" t="s">
        <v>179</v>
      </c>
      <c r="F931" s="1130"/>
      <c r="G931" s="1130"/>
    </row>
    <row r="932" spans="1:10" ht="15" customHeight="1">
      <c r="A932" s="69"/>
      <c r="B932" s="69"/>
      <c r="C932" s="30"/>
    </row>
    <row r="933" spans="1:10" ht="27.75" customHeight="1">
      <c r="A933" s="1013" t="s">
        <v>567</v>
      </c>
      <c r="B933" s="1013"/>
      <c r="C933" s="1013"/>
      <c r="D933" s="1013"/>
      <c r="E933" s="1013"/>
      <c r="F933" s="1013"/>
      <c r="G933" s="1013"/>
    </row>
    <row r="934" spans="1:10" ht="24" customHeight="1">
      <c r="A934" s="1013" t="str">
        <f>"HỌC KỲ II VÀ CẢ NĂM - NĂM HỌC "&amp;'Huong dan'!$C$5</f>
        <v>HỌC KỲ II VÀ CẢ NĂM - NĂM HỌC 2021 - 2022</v>
      </c>
      <c r="B934" s="1013"/>
      <c r="C934" s="1013"/>
      <c r="D934" s="1013"/>
      <c r="E934" s="1013"/>
      <c r="F934" s="1013"/>
      <c r="G934" s="1013"/>
    </row>
    <row r="935" spans="1:10" ht="9" customHeight="1">
      <c r="A935" s="70"/>
      <c r="B935" s="66"/>
      <c r="C935" s="66"/>
      <c r="D935" s="66"/>
      <c r="E935" s="66"/>
      <c r="F935" s="66"/>
      <c r="G935" s="66"/>
    </row>
    <row r="936" spans="1:10" ht="18.75" customHeight="1">
      <c r="A936" s="1167" t="s">
        <v>212</v>
      </c>
      <c r="B936" s="1167"/>
      <c r="C936" s="1167"/>
      <c r="D936" s="1167" t="str">
        <f>IF(B958="","",INDEX(NXchung!$B$3:$EP$57,MATCH(B958,NXchung!$B$3:$B$57,0),3)&amp;" "&amp;INDEX(NXchung!$B$3:$EP$57,MATCH(B958,NXchung!$B$3:$B$57,0),4))</f>
        <v>Trần Thịnh Thịnh</v>
      </c>
      <c r="E936" s="1167"/>
      <c r="F936" s="77" t="str">
        <f>IF('Huong dan'!$C$3="","","Lớp: "&amp;'Huong dan'!$C$3)</f>
        <v>Lớp: 12A1</v>
      </c>
      <c r="G936" s="71"/>
    </row>
    <row r="937" spans="1:10" ht="18.75" customHeight="1">
      <c r="A937" s="1168" t="s">
        <v>213</v>
      </c>
      <c r="B937" s="1168"/>
      <c r="C937" s="1168"/>
      <c r="D937" s="77" t="str">
        <f>INDEX(NXchung!$B$3:$EP$57,MATCH(B958,NXchung!$B$3:$B$57,0),5)</f>
        <v>18/08/2004</v>
      </c>
      <c r="F937" s="841" t="str">
        <f>IF(B958="","","Nơi sinh: "&amp;INDEX(DiemHKII!$H$4:$H$58,MATCH(B958,DiemHKII!$B$4:$B$58,0),1))</f>
        <v xml:space="preserve">Nơi sinh: </v>
      </c>
      <c r="G937" s="77"/>
    </row>
    <row r="938" spans="1:10" ht="9.75" customHeight="1">
      <c r="A938" s="62"/>
      <c r="B938" s="62"/>
      <c r="C938" s="62"/>
      <c r="D938" s="62"/>
      <c r="E938" s="62"/>
      <c r="F938" s="62"/>
      <c r="G938" s="63"/>
    </row>
    <row r="939" spans="1:10" ht="31.5" customHeight="1">
      <c r="A939" s="801" t="s">
        <v>0</v>
      </c>
      <c r="B939" s="801" t="s">
        <v>59</v>
      </c>
      <c r="C939" s="806" t="s">
        <v>661</v>
      </c>
      <c r="D939" s="801" t="s">
        <v>296</v>
      </c>
      <c r="E939" s="806" t="s">
        <v>662</v>
      </c>
      <c r="F939" s="801" t="s">
        <v>361</v>
      </c>
      <c r="G939" s="802" t="s">
        <v>569</v>
      </c>
    </row>
    <row r="940" spans="1:10" ht="45.9" customHeight="1">
      <c r="A940" s="803" t="s">
        <v>191</v>
      </c>
      <c r="B940" s="813" t="s">
        <v>26</v>
      </c>
      <c r="C940" s="805" t="str">
        <f>IF(B958="","",INDEX(NXchung!$B$3:$EP$57,MATCH(B958,NXchung!$B$3:$B$57,0),INDEX($K$12:$N$25,MATCH($B940,$J$12:$J$25,0),K$11)))</f>
        <v/>
      </c>
      <c r="D940" s="808" t="str">
        <f>IF(B958="","",INDEX(NXchung!$B$3:$EP$57,MATCH(B958,NXchung!$B$3:$B$57,0),INDEX($K$12:$N$25,MATCH($B940,$J$12:$J$25,0),L$11)))</f>
        <v/>
      </c>
      <c r="E940" s="805" t="str">
        <f>IF(B958="","",INDEX(NXchung!$B$3:$EP$57,MATCH(B958,NXchung!$B$3:$B$57,0),INDEX($K$12:$N$25,MATCH($B940,$J$12:$J$25,0),M$11)))</f>
        <v/>
      </c>
      <c r="F940" s="808" t="str">
        <f>IF(B958="","",INDEX(NXchung!$B$3:$EP$57,MATCH(B958,NXchung!$B$3:$B$57,0),INDEX($K$12:$N$25,MATCH($B940,$J$12:$J$25,0),N$11)))</f>
        <v/>
      </c>
      <c r="G940" s="805"/>
      <c r="I940" s="64"/>
      <c r="J940" s="64"/>
    </row>
    <row r="941" spans="1:10" ht="45.9" customHeight="1">
      <c r="A941" s="803" t="s">
        <v>192</v>
      </c>
      <c r="B941" s="813" t="s">
        <v>27</v>
      </c>
      <c r="C941" s="805" t="str">
        <f>IF(B958="","",INDEX(NXchung!$B$3:$EP$57,MATCH(B958,NXchung!$B$3:$B$57,0),INDEX($K$12:$N$25,MATCH($B941,$J$12:$J$25,0),K$11)))</f>
        <v/>
      </c>
      <c r="D941" s="808" t="str">
        <f>IF(B958="","",INDEX(NXchung!$B$3:$EP$57,MATCH(B958,NXchung!$B$3:$B$57,0),INDEX($K$12:$N$25,MATCH($B941,$J$12:$J$25,0),L$11)))</f>
        <v/>
      </c>
      <c r="E941" s="805" t="str">
        <f>IF(B958="","",INDEX(NXchung!$B$3:$EP$57,MATCH(B958,NXchung!$B$3:$B$57,0),INDEX($K$12:$N$25,MATCH($B941,$J$12:$J$25,0),M$11)))</f>
        <v/>
      </c>
      <c r="F941" s="808" t="str">
        <f>IF(B958="","",INDEX(NXchung!$B$3:$EP$57,MATCH(B958,NXchung!$B$3:$B$57,0),INDEX($K$12:$N$25,MATCH($B941,$J$12:$J$25,0),N$11)))</f>
        <v/>
      </c>
      <c r="G941" s="805"/>
      <c r="I941" s="64"/>
      <c r="J941" s="64"/>
    </row>
    <row r="942" spans="1:10" ht="45.9" customHeight="1">
      <c r="A942" s="803" t="s">
        <v>193</v>
      </c>
      <c r="B942" s="813" t="s">
        <v>28</v>
      </c>
      <c r="C942" s="805" t="str">
        <f>IF(B958="","",INDEX(NXchung!$B$3:$EP$57,MATCH(B958,NXchung!$B$3:$B$57,0),INDEX($K$12:$N$25,MATCH($B942,$J$12:$J$25,0),K$11)))</f>
        <v/>
      </c>
      <c r="D942" s="808" t="str">
        <f>IF(B958="","",INDEX(NXchung!$B$3:$EP$57,MATCH(B958,NXchung!$B$3:$B$57,0),INDEX($K$12:$N$25,MATCH($B942,$J$12:$J$25,0),L$11)))</f>
        <v/>
      </c>
      <c r="E942" s="805" t="str">
        <f>IF(B958="","",INDEX(NXchung!$B$3:$EP$57,MATCH(B958,NXchung!$B$3:$B$57,0),INDEX($K$12:$N$25,MATCH($B942,$J$12:$J$25,0),M$11)))</f>
        <v/>
      </c>
      <c r="F942" s="808" t="str">
        <f>IF(B958="","",INDEX(NXchung!$B$3:$EP$57,MATCH(B958,NXchung!$B$3:$B$57,0),INDEX($K$12:$N$25,MATCH($B942,$J$12:$J$25,0),N$11)))</f>
        <v/>
      </c>
      <c r="G942" s="805"/>
      <c r="I942" s="64"/>
      <c r="J942" s="64"/>
    </row>
    <row r="943" spans="1:10" ht="45.9" customHeight="1">
      <c r="A943" s="803" t="s">
        <v>194</v>
      </c>
      <c r="B943" s="813" t="s">
        <v>29</v>
      </c>
      <c r="C943" s="805" t="str">
        <f>IF(B958="","",INDEX(NXchung!$B$3:$EP$57,MATCH(B958,NXchung!$B$3:$B$57,0),INDEX($K$12:$N$25,MATCH($B943,$J$12:$J$25,0),K$11)))</f>
        <v/>
      </c>
      <c r="D943" s="808" t="str">
        <f>IF(B958="","",INDEX(NXchung!$B$3:$EP$57,MATCH(B958,NXchung!$B$3:$B$57,0),INDEX($K$12:$N$25,MATCH($B943,$J$12:$J$25,0),L$11)))</f>
        <v/>
      </c>
      <c r="E943" s="805" t="str">
        <f>IF(B958="","",INDEX(NXchung!$B$3:$EP$57,MATCH(B958,NXchung!$B$3:$B$57,0),INDEX($K$12:$N$25,MATCH($B943,$J$12:$J$25,0),M$11)))</f>
        <v/>
      </c>
      <c r="F943" s="808" t="str">
        <f>IF(B958="","",INDEX(NXchung!$B$3:$EP$57,MATCH(B958,NXchung!$B$3:$B$57,0),INDEX($K$12:$N$25,MATCH($B943,$J$12:$J$25,0),N$11)))</f>
        <v/>
      </c>
      <c r="G943" s="805"/>
      <c r="I943" s="64"/>
      <c r="J943" s="64"/>
    </row>
    <row r="944" spans="1:10" ht="45.9" customHeight="1">
      <c r="A944" s="803" t="s">
        <v>195</v>
      </c>
      <c r="B944" s="813" t="s">
        <v>120</v>
      </c>
      <c r="C944" s="805" t="str">
        <f>IF(B958="","",INDEX(NXchung!$B$3:$EP$57,MATCH(B958,NXchung!$B$3:$B$57,0),INDEX($K$12:$N$25,MATCH($B944,$J$12:$J$25,0),K$11)))</f>
        <v/>
      </c>
      <c r="D944" s="808" t="str">
        <f>IF(B958="","",INDEX(NXchung!$B$3:$EP$57,MATCH(B958,NXchung!$B$3:$B$57,0),INDEX($K$12:$N$25,MATCH($B944,$J$12:$J$25,0),L$11)))</f>
        <v/>
      </c>
      <c r="E944" s="805" t="str">
        <f>IF(B958="","",INDEX(NXchung!$B$3:$EP$57,MATCH(B958,NXchung!$B$3:$B$57,0),INDEX($K$12:$N$25,MATCH($B944,$J$12:$J$25,0),M$11)))</f>
        <v/>
      </c>
      <c r="F944" s="808" t="str">
        <f>IF(B958="","",INDEX(NXchung!$B$3:$EP$57,MATCH(B958,NXchung!$B$3:$B$57,0),INDEX($K$12:$N$25,MATCH($B944,$J$12:$J$25,0),N$11)))</f>
        <v/>
      </c>
      <c r="G944" s="805"/>
      <c r="I944" s="64"/>
      <c r="J944" s="64"/>
    </row>
    <row r="945" spans="1:10" ht="45.9" customHeight="1">
      <c r="A945" s="803" t="s">
        <v>196</v>
      </c>
      <c r="B945" s="813" t="s">
        <v>30</v>
      </c>
      <c r="C945" s="805" t="str">
        <f>IF(B958="","",INDEX(NXchung!$B$3:$EP$57,MATCH(B958,NXchung!$B$3:$B$57,0),INDEX($K$12:$N$25,MATCH($B945,$J$12:$J$25,0),K$11)))</f>
        <v/>
      </c>
      <c r="D945" s="808" t="str">
        <f>IF(B958="","",INDEX(NXchung!$B$3:$EP$57,MATCH(B958,NXchung!$B$3:$B$57,0),INDEX($K$12:$N$25,MATCH($B945,$J$12:$J$25,0),L$11)))</f>
        <v/>
      </c>
      <c r="E945" s="805" t="str">
        <f>IF(B958="","",INDEX(NXchung!$B$3:$EP$57,MATCH(B958,NXchung!$B$3:$B$57,0),INDEX($K$12:$N$25,MATCH($B945,$J$12:$J$25,0),M$11)))</f>
        <v/>
      </c>
      <c r="F945" s="808" t="str">
        <f>IF(B958="","",INDEX(NXchung!$B$3:$EP$57,MATCH(B958,NXchung!$B$3:$B$57,0),INDEX($K$12:$N$25,MATCH($B945,$J$12:$J$25,0),N$11)))</f>
        <v/>
      </c>
      <c r="G945" s="805"/>
      <c r="I945" s="64"/>
      <c r="J945" s="64"/>
    </row>
    <row r="946" spans="1:10" ht="45.9" customHeight="1">
      <c r="A946" s="803" t="s">
        <v>197</v>
      </c>
      <c r="B946" s="813" t="s">
        <v>31</v>
      </c>
      <c r="C946" s="805" t="str">
        <f>IF(B958="","",INDEX(NXchung!$B$3:$EP$57,MATCH(B958,NXchung!$B$3:$B$57,0),INDEX($K$12:$N$25,MATCH($B946,$J$12:$J$25,0),K$11)))</f>
        <v/>
      </c>
      <c r="D946" s="808" t="str">
        <f>IF(B958="","",INDEX(NXchung!$B$3:$EP$57,MATCH(B958,NXchung!$B$3:$B$57,0),INDEX($K$12:$N$25,MATCH($B946,$J$12:$J$25,0),L$11)))</f>
        <v/>
      </c>
      <c r="E946" s="805" t="str">
        <f>IF(B958="","",INDEX(NXchung!$B$3:$EP$57,MATCH(B958,NXchung!$B$3:$B$57,0),INDEX($K$12:$N$25,MATCH($B946,$J$12:$J$25,0),M$11)))</f>
        <v/>
      </c>
      <c r="F946" s="808" t="str">
        <f>IF(B958="","",INDEX(NXchung!$B$3:$EP$57,MATCH(B958,NXchung!$B$3:$B$57,0),INDEX($K$12:$N$25,MATCH($B946,$J$12:$J$25,0),N$11)))</f>
        <v/>
      </c>
      <c r="G946" s="805"/>
      <c r="I946" s="64"/>
      <c r="J946" s="64"/>
    </row>
    <row r="947" spans="1:10" ht="45.9" customHeight="1">
      <c r="A947" s="803" t="s">
        <v>198</v>
      </c>
      <c r="B947" s="813" t="s">
        <v>32</v>
      </c>
      <c r="C947" s="805" t="str">
        <f>IF(B958="","",INDEX(NXchung!$B$3:$EP$57,MATCH(B958,NXchung!$B$3:$B$57,0),INDEX($K$12:$N$25,MATCH($B947,$J$12:$J$25,0),K$11)))</f>
        <v/>
      </c>
      <c r="D947" s="808" t="str">
        <f>IF(B958="","",INDEX(NXchung!$B$3:$EP$57,MATCH(B958,NXchung!$B$3:$B$57,0),INDEX($K$12:$N$25,MATCH($B947,$J$12:$J$25,0),L$11)))</f>
        <v/>
      </c>
      <c r="E947" s="805" t="str">
        <f>IF(B958="","",INDEX(NXchung!$B$3:$EP$57,MATCH(B958,NXchung!$B$3:$B$57,0),INDEX($K$12:$N$25,MATCH($B947,$J$12:$J$25,0),M$11)))</f>
        <v/>
      </c>
      <c r="F947" s="808" t="str">
        <f>IF(B958="","",INDEX(NXchung!$B$3:$EP$57,MATCH(B958,NXchung!$B$3:$B$57,0),INDEX($K$12:$N$25,MATCH($B947,$J$12:$J$25,0),N$11)))</f>
        <v/>
      </c>
      <c r="G947" s="805"/>
      <c r="I947" s="64"/>
      <c r="J947" s="64"/>
    </row>
    <row r="948" spans="1:10" ht="45.9" customHeight="1">
      <c r="A948" s="803" t="s">
        <v>199</v>
      </c>
      <c r="B948" s="813" t="s">
        <v>33</v>
      </c>
      <c r="C948" s="805" t="str">
        <f>IF(B958="","",INDEX(NXchung!$B$3:$EP$57,MATCH(B958,NXchung!$B$3:$B$57,0),INDEX($K$12:$N$25,MATCH($B948,$J$12:$J$25,0),K$11)))</f>
        <v/>
      </c>
      <c r="D948" s="808" t="str">
        <f>IF(B958="","",INDEX(NXchung!$B$3:$EP$57,MATCH(B958,NXchung!$B$3:$B$57,0),INDEX($K$12:$N$25,MATCH($B948,$J$12:$J$25,0),L$11)))</f>
        <v/>
      </c>
      <c r="E948" s="805" t="str">
        <f>IF(B958="","",INDEX(NXchung!$B$3:$EP$57,MATCH(B958,NXchung!$B$3:$B$57,0),INDEX($K$12:$N$25,MATCH($B948,$J$12:$J$25,0),M$11)))</f>
        <v/>
      </c>
      <c r="F948" s="808" t="str">
        <f>IF(B958="","",INDEX(NXchung!$B$3:$EP$57,MATCH(B958,NXchung!$B$3:$B$57,0),INDEX($K$12:$N$25,MATCH($B948,$J$12:$J$25,0),N$11)))</f>
        <v/>
      </c>
      <c r="G948" s="805"/>
      <c r="I948" s="64"/>
      <c r="J948" s="64"/>
    </row>
    <row r="949" spans="1:10" ht="45.9" customHeight="1">
      <c r="A949" s="803" t="s">
        <v>200</v>
      </c>
      <c r="B949" s="813" t="s">
        <v>60</v>
      </c>
      <c r="C949" s="805" t="str">
        <f>IF(B958="","",INDEX(NXchung!$B$3:$EP$57,MATCH(B958,NXchung!$B$3:$B$57,0),INDEX($K$12:$N$25,MATCH($B949,$J$12:$J$25,0),K$11)))</f>
        <v/>
      </c>
      <c r="D949" s="808" t="str">
        <f>IF(B958="","",INDEX(NXchung!$B$3:$EP$57,MATCH(B958,NXchung!$B$3:$B$57,0),INDEX($K$12:$N$25,MATCH($B949,$J$12:$J$25,0),L$11)))</f>
        <v/>
      </c>
      <c r="E949" s="805" t="str">
        <f>IF(B958="","",INDEX(NXchung!$B$3:$EP$57,MATCH(B958,NXchung!$B$3:$B$57,0),INDEX($K$12:$N$25,MATCH($B949,$J$12:$J$25,0),M$11)))</f>
        <v/>
      </c>
      <c r="F949" s="808" t="str">
        <f>IF(B958="","",INDEX(NXchung!$B$3:$EP$57,MATCH(B958,NXchung!$B$3:$B$57,0),INDEX($K$12:$N$25,MATCH($B949,$J$12:$J$25,0),N$11)))</f>
        <v/>
      </c>
      <c r="G949" s="805"/>
      <c r="I949" s="64"/>
      <c r="J949" s="64"/>
    </row>
    <row r="950" spans="1:10" ht="45.9" customHeight="1">
      <c r="A950" s="803" t="s">
        <v>201</v>
      </c>
      <c r="B950" s="813" t="s">
        <v>34</v>
      </c>
      <c r="C950" s="805" t="str">
        <f>IF(B958="","",INDEX(NXchung!$B$3:$EP$57,MATCH(B958,NXchung!$B$3:$B$57,0),INDEX($K$12:$N$25,MATCH($B950,$J$12:$J$25,0),K$11)))</f>
        <v/>
      </c>
      <c r="D950" s="808" t="str">
        <f>IF(B958="","",INDEX(NXchung!$B$3:$EP$57,MATCH(B958,NXchung!$B$3:$B$57,0),INDEX($K$12:$N$25,MATCH($B950,$J$12:$J$25,0),L$11)))</f>
        <v/>
      </c>
      <c r="E950" s="805" t="str">
        <f>IF(B958="","",INDEX(NXchung!$B$3:$EP$57,MATCH(B958,NXchung!$B$3:$B$57,0),INDEX($K$12:$N$25,MATCH($B950,$J$12:$J$25,0),M$11)))</f>
        <v/>
      </c>
      <c r="F950" s="808" t="str">
        <f>IF(B958="","",INDEX(NXchung!$B$3:$EP$57,MATCH(B958,NXchung!$B$3:$B$57,0),INDEX($K$12:$N$25,MATCH($B950,$J$12:$J$25,0),N$11)))</f>
        <v/>
      </c>
      <c r="G950" s="805"/>
      <c r="I950" s="64"/>
      <c r="J950" s="64"/>
    </row>
    <row r="951" spans="1:10" ht="45.9" customHeight="1">
      <c r="A951" s="803" t="s">
        <v>202</v>
      </c>
      <c r="B951" s="813" t="s">
        <v>35</v>
      </c>
      <c r="C951" s="805" t="str">
        <f>IF(B958="","",INDEX(NXchung!$B$3:$EP$57,MATCH(B958,NXchung!$B$3:$B$57,0),INDEX($K$12:$N$25,MATCH($B951,$J$12:$J$25,0),K$11)))</f>
        <v/>
      </c>
      <c r="D951" s="808" t="str">
        <f>IF(B958="","",INDEX(NXchung!$B$3:$EP$57,MATCH(B958,NXchung!$B$3:$B$57,0),INDEX($K$12:$N$25,MATCH($B951,$J$12:$J$25,0),L$11)))</f>
        <v/>
      </c>
      <c r="E951" s="805" t="str">
        <f>IF(B958="","",INDEX(NXchung!$B$3:$EP$57,MATCH(B958,NXchung!$B$3:$B$57,0),INDEX($K$12:$N$25,MATCH($B951,$J$12:$J$25,0),M$11)))</f>
        <v>Đ</v>
      </c>
      <c r="F951" s="808" t="str">
        <f>IF(B958="","",INDEX(NXchung!$B$3:$EP$57,MATCH(B958,NXchung!$B$3:$B$57,0),INDEX($K$12:$N$25,MATCH($B951,$J$12:$J$25,0),N$11)))</f>
        <v>Giỏi, có nhiều tiến bộ trong học tập.</v>
      </c>
      <c r="G951" s="805"/>
      <c r="I951" s="64"/>
      <c r="J951" s="64"/>
    </row>
    <row r="952" spans="1:10" ht="45.9" customHeight="1">
      <c r="A952" s="803" t="s">
        <v>203</v>
      </c>
      <c r="B952" s="813" t="s">
        <v>121</v>
      </c>
      <c r="C952" s="805" t="str">
        <f>IF(B958="","",INDEX(NXchung!$B$3:$EP$57,MATCH(B958,NXchung!$B$3:$B$57,0),INDEX($K$12:$N$25,MATCH($B952,$J$12:$J$25,0),K$11)))</f>
        <v/>
      </c>
      <c r="D952" s="808" t="str">
        <f>IF(B958="","",INDEX(NXchung!$B$3:$EP$57,MATCH(B958,NXchung!$B$3:$B$57,0),INDEX($K$12:$N$25,MATCH($B952,$J$12:$J$25,0),L$11)))</f>
        <v/>
      </c>
      <c r="E952" s="805" t="str">
        <f>IF(B958="","",INDEX(NXchung!$B$3:$EP$57,MATCH(B958,NXchung!$B$3:$B$57,0),INDEX($K$12:$N$25,MATCH($B952,$J$12:$J$25,0),M$11)))</f>
        <v/>
      </c>
      <c r="F952" s="808" t="str">
        <f>IF(B958="","",INDEX(NXchung!$B$3:$EP$57,MATCH(B958,NXchung!$B$3:$B$57,0),INDEX($K$12:$N$25,MATCH($B952,$J$12:$J$25,0),N$11)))</f>
        <v/>
      </c>
      <c r="G952" s="805"/>
      <c r="I952" s="64"/>
      <c r="J952" s="64"/>
    </row>
    <row r="953" spans="1:10" ht="45.9" customHeight="1">
      <c r="A953" s="803" t="s">
        <v>204</v>
      </c>
      <c r="B953" s="813" t="s">
        <v>122</v>
      </c>
      <c r="C953" s="805" t="str">
        <f>IF(B958="","",INDEX(NXchung!$B$3:$EP$57,MATCH(B958,NXchung!$B$3:$B$57,0),INDEX($K$12:$N$25,MATCH($B953,$J$12:$J$25,0),K$11)))</f>
        <v/>
      </c>
      <c r="D953" s="808" t="str">
        <f>IF(B958="","",INDEX(NXchung!$B$3:$EP$57,MATCH(B958,NXchung!$B$3:$B$57,0),INDEX($K$12:$N$25,MATCH($B953,$J$12:$J$25,0),L$11)))</f>
        <v/>
      </c>
      <c r="E953" s="805" t="str">
        <f>IF(B958="","",INDEX(NXchung!$B$3:$EP$57,MATCH(B958,NXchung!$B$3:$B$57,0),INDEX($K$12:$N$25,MATCH($B953,$J$12:$J$25,0),M$11)))</f>
        <v/>
      </c>
      <c r="F953" s="808" t="str">
        <f>IF(B958="","",INDEX(NXchung!$B$3:$EP$57,MATCH(B958,NXchung!$B$3:$B$57,0),INDEX($K$12:$N$25,MATCH($B953,$J$12:$J$25,0),N$11)))</f>
        <v/>
      </c>
      <c r="G953" s="805"/>
      <c r="I953" s="64"/>
      <c r="J953" s="64"/>
    </row>
    <row r="954" spans="1:10" s="60" customFormat="1" ht="6" customHeight="1">
      <c r="A954" s="67"/>
      <c r="B954" s="67"/>
      <c r="C954" s="475"/>
      <c r="D954" s="475"/>
      <c r="E954" s="67"/>
      <c r="F954" s="67"/>
      <c r="G954" s="67"/>
    </row>
    <row r="955" spans="1:10" ht="17.25" customHeight="1">
      <c r="D955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955" s="1163"/>
      <c r="F955" s="1163"/>
      <c r="G955" s="1163"/>
      <c r="H955" s="814"/>
    </row>
    <row r="956" spans="1:10" ht="16.5" customHeight="1">
      <c r="D956" s="992" t="s">
        <v>377</v>
      </c>
      <c r="E956" s="992"/>
      <c r="F956" s="992"/>
      <c r="G956" s="992"/>
      <c r="H956" s="814"/>
    </row>
    <row r="957" spans="1:10" ht="81.75" customHeight="1">
      <c r="D957" s="931" t="str">
        <f>IF('Huong dan'!$E$5="","",'Huong dan'!$E$5)</f>
        <v/>
      </c>
      <c r="E957" s="931"/>
      <c r="F957" s="931"/>
      <c r="G957" s="931"/>
      <c r="H957" s="814"/>
    </row>
    <row r="958" spans="1:10" ht="11.25" customHeight="1">
      <c r="A958" s="75"/>
      <c r="B958" s="815">
        <f>IF(B929="","",IF(B929&lt;MAX(DiemHKII!$B$4:$B$58),B929+1,""))</f>
        <v>33</v>
      </c>
      <c r="C958" s="75"/>
      <c r="D958" s="75"/>
      <c r="E958" s="75"/>
      <c r="F958" s="75"/>
      <c r="G958" s="75"/>
    </row>
    <row r="959" spans="1:10" s="60" customFormat="1" ht="21" customHeight="1">
      <c r="A959" s="1128" t="str">
        <f>IF('Huong dan'!$E$3&lt;&gt;"","SỞ GIÁO DỤC VÀ ĐÀO TẠO "&amp;UPPER('Huong dan'!$E$3),"")</f>
        <v>SỞ GIÁO DỤC VÀ ĐÀO TẠO TP. HỒ CHÍ MINH</v>
      </c>
      <c r="B959" s="1128"/>
      <c r="C959" s="1128"/>
      <c r="D959" s="1128"/>
      <c r="E959" s="1129" t="s">
        <v>19</v>
      </c>
      <c r="F959" s="1129"/>
      <c r="G959" s="1129"/>
    </row>
    <row r="960" spans="1:10" ht="17.25" customHeight="1">
      <c r="A960" s="992" t="str">
        <f>IF('Huong dan'!$E$4&lt;&gt;"","TRƯỜNG "&amp;UPPER('Huong dan'!$E$4),"")</f>
        <v>TRƯỜNG THCS VÀ THPT NGUYỄN KHUYẾN</v>
      </c>
      <c r="B960" s="992"/>
      <c r="C960" s="992"/>
      <c r="D960" s="992"/>
      <c r="E960" s="1130" t="s">
        <v>179</v>
      </c>
      <c r="F960" s="1130"/>
      <c r="G960" s="1130"/>
    </row>
    <row r="961" spans="1:10" ht="15" customHeight="1">
      <c r="A961" s="69"/>
      <c r="B961" s="69"/>
      <c r="C961" s="30"/>
    </row>
    <row r="962" spans="1:10" ht="27.75" customHeight="1">
      <c r="A962" s="1013" t="s">
        <v>567</v>
      </c>
      <c r="B962" s="1013"/>
      <c r="C962" s="1013"/>
      <c r="D962" s="1013"/>
      <c r="E962" s="1013"/>
      <c r="F962" s="1013"/>
      <c r="G962" s="1013"/>
    </row>
    <row r="963" spans="1:10" ht="24" customHeight="1">
      <c r="A963" s="1013" t="str">
        <f>"HỌC KỲ II VÀ CẢ NĂM - NĂM HỌC "&amp;'Huong dan'!$C$5</f>
        <v>HỌC KỲ II VÀ CẢ NĂM - NĂM HỌC 2021 - 2022</v>
      </c>
      <c r="B963" s="1013"/>
      <c r="C963" s="1013"/>
      <c r="D963" s="1013"/>
      <c r="E963" s="1013"/>
      <c r="F963" s="1013"/>
      <c r="G963" s="1013"/>
    </row>
    <row r="964" spans="1:10" ht="9" customHeight="1">
      <c r="A964" s="70"/>
      <c r="B964" s="66"/>
      <c r="C964" s="66"/>
      <c r="D964" s="66"/>
      <c r="E964" s="66"/>
      <c r="F964" s="66"/>
      <c r="G964" s="66"/>
    </row>
    <row r="965" spans="1:10" ht="18.75" customHeight="1">
      <c r="A965" s="1167" t="s">
        <v>212</v>
      </c>
      <c r="B965" s="1167"/>
      <c r="C965" s="1167"/>
      <c r="D965" s="1167" t="str">
        <f>IF(B987="","",INDEX(NXchung!$B$3:$EP$57,MATCH(B987,NXchung!$B$3:$B$57,0),3)&amp;" "&amp;INDEX(NXchung!$B$3:$EP$57,MATCH(B987,NXchung!$B$3:$B$57,0),4))</f>
        <v>Trần Kim Bảo Trân</v>
      </c>
      <c r="E965" s="1167"/>
      <c r="F965" s="77" t="str">
        <f>IF('Huong dan'!$C$3="","","Lớp: "&amp;'Huong dan'!$C$3)</f>
        <v>Lớp: 12A1</v>
      </c>
      <c r="G965" s="71"/>
    </row>
    <row r="966" spans="1:10" ht="18.75" customHeight="1">
      <c r="A966" s="1168" t="s">
        <v>213</v>
      </c>
      <c r="B966" s="1168"/>
      <c r="C966" s="1168"/>
      <c r="D966" s="77" t="str">
        <f>INDEX(NXchung!$B$3:$EP$57,MATCH(B987,NXchung!$B$3:$B$57,0),5)</f>
        <v>05/06/2004</v>
      </c>
      <c r="F966" s="841" t="str">
        <f>IF(B987="","","Nơi sinh: "&amp;INDEX(DiemHKII!$H$4:$H$58,MATCH(B987,DiemHKII!$B$4:$B$58,0),1))</f>
        <v xml:space="preserve">Nơi sinh: </v>
      </c>
      <c r="G966" s="77"/>
    </row>
    <row r="967" spans="1:10" ht="9.75" customHeight="1">
      <c r="A967" s="62"/>
      <c r="B967" s="62"/>
      <c r="C967" s="62"/>
      <c r="D967" s="62"/>
      <c r="E967" s="62"/>
      <c r="F967" s="62"/>
      <c r="G967" s="63"/>
    </row>
    <row r="968" spans="1:10" ht="31.5" customHeight="1">
      <c r="A968" s="801" t="s">
        <v>0</v>
      </c>
      <c r="B968" s="801" t="s">
        <v>59</v>
      </c>
      <c r="C968" s="806" t="s">
        <v>661</v>
      </c>
      <c r="D968" s="801" t="s">
        <v>296</v>
      </c>
      <c r="E968" s="806" t="s">
        <v>662</v>
      </c>
      <c r="F968" s="801" t="s">
        <v>361</v>
      </c>
      <c r="G968" s="802" t="s">
        <v>569</v>
      </c>
    </row>
    <row r="969" spans="1:10" ht="45.9" customHeight="1">
      <c r="A969" s="803" t="s">
        <v>191</v>
      </c>
      <c r="B969" s="813" t="s">
        <v>26</v>
      </c>
      <c r="C969" s="805" t="str">
        <f>IF(B987="","",INDEX(NXchung!$B$3:$EP$57,MATCH(B987,NXchung!$B$3:$B$57,0),INDEX($K$12:$N$25,MATCH($B969,$J$12:$J$25,0),K$11)))</f>
        <v/>
      </c>
      <c r="D969" s="808" t="str">
        <f>IF(B987="","",INDEX(NXchung!$B$3:$EP$57,MATCH(B987,NXchung!$B$3:$B$57,0),INDEX($K$12:$N$25,MATCH($B969,$J$12:$J$25,0),L$11)))</f>
        <v/>
      </c>
      <c r="E969" s="805" t="str">
        <f>IF(B987="","",INDEX(NXchung!$B$3:$EP$57,MATCH(B987,NXchung!$B$3:$B$57,0),INDEX($K$12:$N$25,MATCH($B969,$J$12:$J$25,0),M$11)))</f>
        <v/>
      </c>
      <c r="F969" s="808" t="str">
        <f>IF(B987="","",INDEX(NXchung!$B$3:$EP$57,MATCH(B987,NXchung!$B$3:$B$57,0),INDEX($K$12:$N$25,MATCH($B969,$J$12:$J$25,0),N$11)))</f>
        <v/>
      </c>
      <c r="G969" s="805"/>
      <c r="I969" s="64"/>
      <c r="J969" s="64"/>
    </row>
    <row r="970" spans="1:10" ht="45.9" customHeight="1">
      <c r="A970" s="803" t="s">
        <v>192</v>
      </c>
      <c r="B970" s="813" t="s">
        <v>27</v>
      </c>
      <c r="C970" s="805" t="str">
        <f>IF(B987="","",INDEX(NXchung!$B$3:$EP$57,MATCH(B987,NXchung!$B$3:$B$57,0),INDEX($K$12:$N$25,MATCH($B970,$J$12:$J$25,0),K$11)))</f>
        <v/>
      </c>
      <c r="D970" s="808" t="str">
        <f>IF(B987="","",INDEX(NXchung!$B$3:$EP$57,MATCH(B987,NXchung!$B$3:$B$57,0),INDEX($K$12:$N$25,MATCH($B970,$J$12:$J$25,0),L$11)))</f>
        <v/>
      </c>
      <c r="E970" s="805" t="str">
        <f>IF(B987="","",INDEX(NXchung!$B$3:$EP$57,MATCH(B987,NXchung!$B$3:$B$57,0),INDEX($K$12:$N$25,MATCH($B970,$J$12:$J$25,0),M$11)))</f>
        <v/>
      </c>
      <c r="F970" s="808" t="str">
        <f>IF(B987="","",INDEX(NXchung!$B$3:$EP$57,MATCH(B987,NXchung!$B$3:$B$57,0),INDEX($K$12:$N$25,MATCH($B970,$J$12:$J$25,0),N$11)))</f>
        <v/>
      </c>
      <c r="G970" s="805"/>
      <c r="I970" s="64"/>
      <c r="J970" s="64"/>
    </row>
    <row r="971" spans="1:10" ht="45.9" customHeight="1">
      <c r="A971" s="803" t="s">
        <v>193</v>
      </c>
      <c r="B971" s="813" t="s">
        <v>28</v>
      </c>
      <c r="C971" s="805" t="str">
        <f>IF(B987="","",INDEX(NXchung!$B$3:$EP$57,MATCH(B987,NXchung!$B$3:$B$57,0),INDEX($K$12:$N$25,MATCH($B971,$J$12:$J$25,0),K$11)))</f>
        <v/>
      </c>
      <c r="D971" s="808" t="str">
        <f>IF(B987="","",INDEX(NXchung!$B$3:$EP$57,MATCH(B987,NXchung!$B$3:$B$57,0),INDEX($K$12:$N$25,MATCH($B971,$J$12:$J$25,0),L$11)))</f>
        <v/>
      </c>
      <c r="E971" s="805" t="str">
        <f>IF(B987="","",INDEX(NXchung!$B$3:$EP$57,MATCH(B987,NXchung!$B$3:$B$57,0),INDEX($K$12:$N$25,MATCH($B971,$J$12:$J$25,0),M$11)))</f>
        <v/>
      </c>
      <c r="F971" s="808" t="str">
        <f>IF(B987="","",INDEX(NXchung!$B$3:$EP$57,MATCH(B987,NXchung!$B$3:$B$57,0),INDEX($K$12:$N$25,MATCH($B971,$J$12:$J$25,0),N$11)))</f>
        <v/>
      </c>
      <c r="G971" s="805"/>
      <c r="I971" s="64"/>
      <c r="J971" s="64"/>
    </row>
    <row r="972" spans="1:10" ht="45.9" customHeight="1">
      <c r="A972" s="803" t="s">
        <v>194</v>
      </c>
      <c r="B972" s="813" t="s">
        <v>29</v>
      </c>
      <c r="C972" s="805" t="str">
        <f>IF(B987="","",INDEX(NXchung!$B$3:$EP$57,MATCH(B987,NXchung!$B$3:$B$57,0),INDEX($K$12:$N$25,MATCH($B972,$J$12:$J$25,0),K$11)))</f>
        <v/>
      </c>
      <c r="D972" s="808" t="str">
        <f>IF(B987="","",INDEX(NXchung!$B$3:$EP$57,MATCH(B987,NXchung!$B$3:$B$57,0),INDEX($K$12:$N$25,MATCH($B972,$J$12:$J$25,0),L$11)))</f>
        <v/>
      </c>
      <c r="E972" s="805" t="str">
        <f>IF(B987="","",INDEX(NXchung!$B$3:$EP$57,MATCH(B987,NXchung!$B$3:$B$57,0),INDEX($K$12:$N$25,MATCH($B972,$J$12:$J$25,0),M$11)))</f>
        <v/>
      </c>
      <c r="F972" s="808" t="str">
        <f>IF(B987="","",INDEX(NXchung!$B$3:$EP$57,MATCH(B987,NXchung!$B$3:$B$57,0),INDEX($K$12:$N$25,MATCH($B972,$J$12:$J$25,0),N$11)))</f>
        <v/>
      </c>
      <c r="G972" s="805"/>
      <c r="I972" s="64"/>
      <c r="J972" s="64"/>
    </row>
    <row r="973" spans="1:10" ht="45.9" customHeight="1">
      <c r="A973" s="803" t="s">
        <v>195</v>
      </c>
      <c r="B973" s="813" t="s">
        <v>120</v>
      </c>
      <c r="C973" s="805" t="str">
        <f>IF(B987="","",INDEX(NXchung!$B$3:$EP$57,MATCH(B987,NXchung!$B$3:$B$57,0),INDEX($K$12:$N$25,MATCH($B973,$J$12:$J$25,0),K$11)))</f>
        <v/>
      </c>
      <c r="D973" s="808" t="str">
        <f>IF(B987="","",INDEX(NXchung!$B$3:$EP$57,MATCH(B987,NXchung!$B$3:$B$57,0),INDEX($K$12:$N$25,MATCH($B973,$J$12:$J$25,0),L$11)))</f>
        <v/>
      </c>
      <c r="E973" s="805" t="str">
        <f>IF(B987="","",INDEX(NXchung!$B$3:$EP$57,MATCH(B987,NXchung!$B$3:$B$57,0),INDEX($K$12:$N$25,MATCH($B973,$J$12:$J$25,0),M$11)))</f>
        <v/>
      </c>
      <c r="F973" s="808" t="str">
        <f>IF(B987="","",INDEX(NXchung!$B$3:$EP$57,MATCH(B987,NXchung!$B$3:$B$57,0),INDEX($K$12:$N$25,MATCH($B973,$J$12:$J$25,0),N$11)))</f>
        <v/>
      </c>
      <c r="G973" s="805"/>
      <c r="I973" s="64"/>
      <c r="J973" s="64"/>
    </row>
    <row r="974" spans="1:10" ht="45.9" customHeight="1">
      <c r="A974" s="803" t="s">
        <v>196</v>
      </c>
      <c r="B974" s="813" t="s">
        <v>30</v>
      </c>
      <c r="C974" s="805" t="str">
        <f>IF(B987="","",INDEX(NXchung!$B$3:$EP$57,MATCH(B987,NXchung!$B$3:$B$57,0),INDEX($K$12:$N$25,MATCH($B974,$J$12:$J$25,0),K$11)))</f>
        <v/>
      </c>
      <c r="D974" s="808" t="str">
        <f>IF(B987="","",INDEX(NXchung!$B$3:$EP$57,MATCH(B987,NXchung!$B$3:$B$57,0),INDEX($K$12:$N$25,MATCH($B974,$J$12:$J$25,0),L$11)))</f>
        <v/>
      </c>
      <c r="E974" s="805" t="str">
        <f>IF(B987="","",INDEX(NXchung!$B$3:$EP$57,MATCH(B987,NXchung!$B$3:$B$57,0),INDEX($K$12:$N$25,MATCH($B974,$J$12:$J$25,0),M$11)))</f>
        <v/>
      </c>
      <c r="F974" s="808" t="str">
        <f>IF(B987="","",INDEX(NXchung!$B$3:$EP$57,MATCH(B987,NXchung!$B$3:$B$57,0),INDEX($K$12:$N$25,MATCH($B974,$J$12:$J$25,0),N$11)))</f>
        <v/>
      </c>
      <c r="G974" s="805"/>
      <c r="I974" s="64"/>
      <c r="J974" s="64"/>
    </row>
    <row r="975" spans="1:10" ht="45.9" customHeight="1">
      <c r="A975" s="803" t="s">
        <v>197</v>
      </c>
      <c r="B975" s="813" t="s">
        <v>31</v>
      </c>
      <c r="C975" s="805" t="str">
        <f>IF(B987="","",INDEX(NXchung!$B$3:$EP$57,MATCH(B987,NXchung!$B$3:$B$57,0),INDEX($K$12:$N$25,MATCH($B975,$J$12:$J$25,0),K$11)))</f>
        <v/>
      </c>
      <c r="D975" s="808" t="str">
        <f>IF(B987="","",INDEX(NXchung!$B$3:$EP$57,MATCH(B987,NXchung!$B$3:$B$57,0),INDEX($K$12:$N$25,MATCH($B975,$J$12:$J$25,0),L$11)))</f>
        <v/>
      </c>
      <c r="E975" s="805" t="str">
        <f>IF(B987="","",INDEX(NXchung!$B$3:$EP$57,MATCH(B987,NXchung!$B$3:$B$57,0),INDEX($K$12:$N$25,MATCH($B975,$J$12:$J$25,0),M$11)))</f>
        <v/>
      </c>
      <c r="F975" s="808" t="str">
        <f>IF(B987="","",INDEX(NXchung!$B$3:$EP$57,MATCH(B987,NXchung!$B$3:$B$57,0),INDEX($K$12:$N$25,MATCH($B975,$J$12:$J$25,0),N$11)))</f>
        <v/>
      </c>
      <c r="G975" s="805"/>
      <c r="I975" s="64"/>
      <c r="J975" s="64"/>
    </row>
    <row r="976" spans="1:10" ht="45.9" customHeight="1">
      <c r="A976" s="803" t="s">
        <v>198</v>
      </c>
      <c r="B976" s="813" t="s">
        <v>32</v>
      </c>
      <c r="C976" s="805" t="str">
        <f>IF(B987="","",INDEX(NXchung!$B$3:$EP$57,MATCH(B987,NXchung!$B$3:$B$57,0),INDEX($K$12:$N$25,MATCH($B976,$J$12:$J$25,0),K$11)))</f>
        <v/>
      </c>
      <c r="D976" s="808" t="str">
        <f>IF(B987="","",INDEX(NXchung!$B$3:$EP$57,MATCH(B987,NXchung!$B$3:$B$57,0),INDEX($K$12:$N$25,MATCH($B976,$J$12:$J$25,0),L$11)))</f>
        <v/>
      </c>
      <c r="E976" s="805" t="str">
        <f>IF(B987="","",INDEX(NXchung!$B$3:$EP$57,MATCH(B987,NXchung!$B$3:$B$57,0),INDEX($K$12:$N$25,MATCH($B976,$J$12:$J$25,0),M$11)))</f>
        <v/>
      </c>
      <c r="F976" s="808" t="str">
        <f>IF(B987="","",INDEX(NXchung!$B$3:$EP$57,MATCH(B987,NXchung!$B$3:$B$57,0),INDEX($K$12:$N$25,MATCH($B976,$J$12:$J$25,0),N$11)))</f>
        <v/>
      </c>
      <c r="G976" s="805"/>
      <c r="I976" s="64"/>
      <c r="J976" s="64"/>
    </row>
    <row r="977" spans="1:10" ht="45.9" customHeight="1">
      <c r="A977" s="803" t="s">
        <v>199</v>
      </c>
      <c r="B977" s="813" t="s">
        <v>33</v>
      </c>
      <c r="C977" s="805" t="str">
        <f>IF(B987="","",INDEX(NXchung!$B$3:$EP$57,MATCH(B987,NXchung!$B$3:$B$57,0),INDEX($K$12:$N$25,MATCH($B977,$J$12:$J$25,0),K$11)))</f>
        <v/>
      </c>
      <c r="D977" s="808" t="str">
        <f>IF(B987="","",INDEX(NXchung!$B$3:$EP$57,MATCH(B987,NXchung!$B$3:$B$57,0),INDEX($K$12:$N$25,MATCH($B977,$J$12:$J$25,0),L$11)))</f>
        <v/>
      </c>
      <c r="E977" s="805" t="str">
        <f>IF(B987="","",INDEX(NXchung!$B$3:$EP$57,MATCH(B987,NXchung!$B$3:$B$57,0),INDEX($K$12:$N$25,MATCH($B977,$J$12:$J$25,0),M$11)))</f>
        <v/>
      </c>
      <c r="F977" s="808" t="str">
        <f>IF(B987="","",INDEX(NXchung!$B$3:$EP$57,MATCH(B987,NXchung!$B$3:$B$57,0),INDEX($K$12:$N$25,MATCH($B977,$J$12:$J$25,0),N$11)))</f>
        <v/>
      </c>
      <c r="G977" s="805"/>
      <c r="I977" s="64"/>
      <c r="J977" s="64"/>
    </row>
    <row r="978" spans="1:10" ht="45.9" customHeight="1">
      <c r="A978" s="803" t="s">
        <v>200</v>
      </c>
      <c r="B978" s="813" t="s">
        <v>60</v>
      </c>
      <c r="C978" s="805" t="str">
        <f>IF(B987="","",INDEX(NXchung!$B$3:$EP$57,MATCH(B987,NXchung!$B$3:$B$57,0),INDEX($K$12:$N$25,MATCH($B978,$J$12:$J$25,0),K$11)))</f>
        <v/>
      </c>
      <c r="D978" s="808" t="str">
        <f>IF(B987="","",INDEX(NXchung!$B$3:$EP$57,MATCH(B987,NXchung!$B$3:$B$57,0),INDEX($K$12:$N$25,MATCH($B978,$J$12:$J$25,0),L$11)))</f>
        <v/>
      </c>
      <c r="E978" s="805" t="str">
        <f>IF(B987="","",INDEX(NXchung!$B$3:$EP$57,MATCH(B987,NXchung!$B$3:$B$57,0),INDEX($K$12:$N$25,MATCH($B978,$J$12:$J$25,0),M$11)))</f>
        <v/>
      </c>
      <c r="F978" s="808" t="str">
        <f>IF(B987="","",INDEX(NXchung!$B$3:$EP$57,MATCH(B987,NXchung!$B$3:$B$57,0),INDEX($K$12:$N$25,MATCH($B978,$J$12:$J$25,0),N$11)))</f>
        <v/>
      </c>
      <c r="G978" s="805"/>
      <c r="I978" s="64"/>
      <c r="J978" s="64"/>
    </row>
    <row r="979" spans="1:10" ht="45.9" customHeight="1">
      <c r="A979" s="803" t="s">
        <v>201</v>
      </c>
      <c r="B979" s="813" t="s">
        <v>34</v>
      </c>
      <c r="C979" s="805" t="str">
        <f>IF(B987="","",INDEX(NXchung!$B$3:$EP$57,MATCH(B987,NXchung!$B$3:$B$57,0),INDEX($K$12:$N$25,MATCH($B979,$J$12:$J$25,0),K$11)))</f>
        <v/>
      </c>
      <c r="D979" s="808" t="str">
        <f>IF(B987="","",INDEX(NXchung!$B$3:$EP$57,MATCH(B987,NXchung!$B$3:$B$57,0),INDEX($K$12:$N$25,MATCH($B979,$J$12:$J$25,0),L$11)))</f>
        <v/>
      </c>
      <c r="E979" s="805" t="str">
        <f>IF(B987="","",INDEX(NXchung!$B$3:$EP$57,MATCH(B987,NXchung!$B$3:$B$57,0),INDEX($K$12:$N$25,MATCH($B979,$J$12:$J$25,0),M$11)))</f>
        <v/>
      </c>
      <c r="F979" s="808" t="str">
        <f>IF(B987="","",INDEX(NXchung!$B$3:$EP$57,MATCH(B987,NXchung!$B$3:$B$57,0),INDEX($K$12:$N$25,MATCH($B979,$J$12:$J$25,0),N$11)))</f>
        <v/>
      </c>
      <c r="G979" s="805"/>
      <c r="I979" s="64"/>
      <c r="J979" s="64"/>
    </row>
    <row r="980" spans="1:10" ht="45.9" customHeight="1">
      <c r="A980" s="803" t="s">
        <v>202</v>
      </c>
      <c r="B980" s="813" t="s">
        <v>35</v>
      </c>
      <c r="C980" s="805" t="str">
        <f>IF(B987="","",INDEX(NXchung!$B$3:$EP$57,MATCH(B987,NXchung!$B$3:$B$57,0),INDEX($K$12:$N$25,MATCH($B980,$J$12:$J$25,0),K$11)))</f>
        <v/>
      </c>
      <c r="D980" s="808" t="str">
        <f>IF(B987="","",INDEX(NXchung!$B$3:$EP$57,MATCH(B987,NXchung!$B$3:$B$57,0),INDEX($K$12:$N$25,MATCH($B980,$J$12:$J$25,0),L$11)))</f>
        <v/>
      </c>
      <c r="E980" s="805" t="str">
        <f>IF(B987="","",INDEX(NXchung!$B$3:$EP$57,MATCH(B987,NXchung!$B$3:$B$57,0),INDEX($K$12:$N$25,MATCH($B980,$J$12:$J$25,0),M$11)))</f>
        <v>Đ</v>
      </c>
      <c r="F980" s="808" t="str">
        <f>IF(B987="","",INDEX(NXchung!$B$3:$EP$57,MATCH(B987,NXchung!$B$3:$B$57,0),INDEX($K$12:$N$25,MATCH($B980,$J$12:$J$25,0),N$11)))</f>
        <v>Rất ngoan, học có hiệu quả tốt.</v>
      </c>
      <c r="G980" s="805"/>
      <c r="I980" s="64"/>
      <c r="J980" s="64"/>
    </row>
    <row r="981" spans="1:10" ht="45.9" customHeight="1">
      <c r="A981" s="803" t="s">
        <v>203</v>
      </c>
      <c r="B981" s="813" t="s">
        <v>121</v>
      </c>
      <c r="C981" s="805" t="str">
        <f>IF(B987="","",INDEX(NXchung!$B$3:$EP$57,MATCH(B987,NXchung!$B$3:$B$57,0),INDEX($K$12:$N$25,MATCH($B981,$J$12:$J$25,0),K$11)))</f>
        <v/>
      </c>
      <c r="D981" s="808" t="str">
        <f>IF(B987="","",INDEX(NXchung!$B$3:$EP$57,MATCH(B987,NXchung!$B$3:$B$57,0),INDEX($K$12:$N$25,MATCH($B981,$J$12:$J$25,0),L$11)))</f>
        <v/>
      </c>
      <c r="E981" s="805" t="str">
        <f>IF(B987="","",INDEX(NXchung!$B$3:$EP$57,MATCH(B987,NXchung!$B$3:$B$57,0),INDEX($K$12:$N$25,MATCH($B981,$J$12:$J$25,0),M$11)))</f>
        <v/>
      </c>
      <c r="F981" s="808" t="str">
        <f>IF(B987="","",INDEX(NXchung!$B$3:$EP$57,MATCH(B987,NXchung!$B$3:$B$57,0),INDEX($K$12:$N$25,MATCH($B981,$J$12:$J$25,0),N$11)))</f>
        <v/>
      </c>
      <c r="G981" s="805"/>
      <c r="I981" s="64"/>
      <c r="J981" s="64"/>
    </row>
    <row r="982" spans="1:10" ht="45.9" customHeight="1">
      <c r="A982" s="803" t="s">
        <v>204</v>
      </c>
      <c r="B982" s="813" t="s">
        <v>122</v>
      </c>
      <c r="C982" s="805" t="str">
        <f>IF(B987="","",INDEX(NXchung!$B$3:$EP$57,MATCH(B987,NXchung!$B$3:$B$57,0),INDEX($K$12:$N$25,MATCH($B982,$J$12:$J$25,0),K$11)))</f>
        <v/>
      </c>
      <c r="D982" s="808" t="str">
        <f>IF(B987="","",INDEX(NXchung!$B$3:$EP$57,MATCH(B987,NXchung!$B$3:$B$57,0),INDEX($K$12:$N$25,MATCH($B982,$J$12:$J$25,0),L$11)))</f>
        <v/>
      </c>
      <c r="E982" s="805" t="str">
        <f>IF(B987="","",INDEX(NXchung!$B$3:$EP$57,MATCH(B987,NXchung!$B$3:$B$57,0),INDEX($K$12:$N$25,MATCH($B982,$J$12:$J$25,0),M$11)))</f>
        <v/>
      </c>
      <c r="F982" s="808" t="str">
        <f>IF(B987="","",INDEX(NXchung!$B$3:$EP$57,MATCH(B987,NXchung!$B$3:$B$57,0),INDEX($K$12:$N$25,MATCH($B982,$J$12:$J$25,0),N$11)))</f>
        <v/>
      </c>
      <c r="G982" s="805"/>
      <c r="I982" s="64"/>
      <c r="J982" s="64"/>
    </row>
    <row r="983" spans="1:10" s="60" customFormat="1" ht="6" customHeight="1">
      <c r="A983" s="67"/>
      <c r="B983" s="67"/>
      <c r="C983" s="475"/>
      <c r="D983" s="475"/>
      <c r="E983" s="67"/>
      <c r="F983" s="67"/>
      <c r="G983" s="67"/>
    </row>
    <row r="984" spans="1:10" ht="17.25" customHeight="1">
      <c r="D984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984" s="1163"/>
      <c r="F984" s="1163"/>
      <c r="G984" s="1163"/>
      <c r="H984" s="814"/>
    </row>
    <row r="985" spans="1:10" ht="16.5" customHeight="1">
      <c r="D985" s="992" t="s">
        <v>377</v>
      </c>
      <c r="E985" s="992"/>
      <c r="F985" s="992"/>
      <c r="G985" s="992"/>
      <c r="H985" s="814"/>
    </row>
    <row r="986" spans="1:10" ht="81.75" customHeight="1">
      <c r="D986" s="931" t="str">
        <f>IF('Huong dan'!$E$5="","",'Huong dan'!$E$5)</f>
        <v/>
      </c>
      <c r="E986" s="931"/>
      <c r="F986" s="931"/>
      <c r="G986" s="931"/>
      <c r="H986" s="814"/>
    </row>
    <row r="987" spans="1:10" ht="11.25" customHeight="1">
      <c r="A987" s="75"/>
      <c r="B987" s="815">
        <f>IF(B958="","",IF(B958&lt;MAX(DiemHKII!$B$4:$B$58),B958+1,""))</f>
        <v>34</v>
      </c>
      <c r="C987" s="75"/>
      <c r="D987" s="75"/>
      <c r="E987" s="75"/>
      <c r="F987" s="75"/>
      <c r="G987" s="75"/>
    </row>
    <row r="988" spans="1:10" s="60" customFormat="1" ht="21" customHeight="1">
      <c r="A988" s="1128" t="str">
        <f>IF('Huong dan'!$E$3&lt;&gt;"","SỞ GIÁO DỤC VÀ ĐÀO TẠO "&amp;UPPER('Huong dan'!$E$3),"")</f>
        <v>SỞ GIÁO DỤC VÀ ĐÀO TẠO TP. HỒ CHÍ MINH</v>
      </c>
      <c r="B988" s="1128"/>
      <c r="C988" s="1128"/>
      <c r="D988" s="1128"/>
      <c r="E988" s="1129" t="s">
        <v>19</v>
      </c>
      <c r="F988" s="1129"/>
      <c r="G988" s="1129"/>
    </row>
    <row r="989" spans="1:10" ht="17.25" customHeight="1">
      <c r="A989" s="992" t="str">
        <f>IF('Huong dan'!$E$4&lt;&gt;"","TRƯỜNG "&amp;UPPER('Huong dan'!$E$4),"")</f>
        <v>TRƯỜNG THCS VÀ THPT NGUYỄN KHUYẾN</v>
      </c>
      <c r="B989" s="992"/>
      <c r="C989" s="992"/>
      <c r="D989" s="992"/>
      <c r="E989" s="1130" t="s">
        <v>179</v>
      </c>
      <c r="F989" s="1130"/>
      <c r="G989" s="1130"/>
    </row>
    <row r="990" spans="1:10" ht="15" customHeight="1">
      <c r="A990" s="69"/>
      <c r="B990" s="69"/>
      <c r="C990" s="30"/>
    </row>
    <row r="991" spans="1:10" ht="27.75" customHeight="1">
      <c r="A991" s="1013" t="s">
        <v>567</v>
      </c>
      <c r="B991" s="1013"/>
      <c r="C991" s="1013"/>
      <c r="D991" s="1013"/>
      <c r="E991" s="1013"/>
      <c r="F991" s="1013"/>
      <c r="G991" s="1013"/>
    </row>
    <row r="992" spans="1:10" ht="24" customHeight="1">
      <c r="A992" s="1013" t="str">
        <f>"HỌC KỲ II VÀ CẢ NĂM - NĂM HỌC "&amp;'Huong dan'!$C$5</f>
        <v>HỌC KỲ II VÀ CẢ NĂM - NĂM HỌC 2021 - 2022</v>
      </c>
      <c r="B992" s="1013"/>
      <c r="C992" s="1013"/>
      <c r="D992" s="1013"/>
      <c r="E992" s="1013"/>
      <c r="F992" s="1013"/>
      <c r="G992" s="1013"/>
    </row>
    <row r="993" spans="1:10" ht="9" customHeight="1">
      <c r="A993" s="70"/>
      <c r="B993" s="66"/>
      <c r="C993" s="66"/>
      <c r="D993" s="66"/>
      <c r="E993" s="66"/>
      <c r="F993" s="66"/>
      <c r="G993" s="66"/>
    </row>
    <row r="994" spans="1:10" ht="18.75" customHeight="1">
      <c r="A994" s="1167" t="s">
        <v>212</v>
      </c>
      <c r="B994" s="1167"/>
      <c r="C994" s="1167"/>
      <c r="D994" s="1167" t="str">
        <f>IF(B1016="","",INDEX(NXchung!$B$3:$EP$57,MATCH(B1016,NXchung!$B$3:$B$57,0),3)&amp;" "&amp;INDEX(NXchung!$B$3:$EP$57,MATCH(B1016,NXchung!$B$3:$B$57,0),4))</f>
        <v>Phạm Đức Trung</v>
      </c>
      <c r="E994" s="1167"/>
      <c r="F994" s="77" t="str">
        <f>IF('Huong dan'!$C$3="","","Lớp: "&amp;'Huong dan'!$C$3)</f>
        <v>Lớp: 12A1</v>
      </c>
      <c r="G994" s="71"/>
    </row>
    <row r="995" spans="1:10" ht="18.75" customHeight="1">
      <c r="A995" s="1168" t="s">
        <v>213</v>
      </c>
      <c r="B995" s="1168"/>
      <c r="C995" s="1168"/>
      <c r="D995" s="77" t="str">
        <f>INDEX(NXchung!$B$3:$EP$57,MATCH(B1016,NXchung!$B$3:$B$57,0),5)</f>
        <v>07/10/2004</v>
      </c>
      <c r="F995" s="841" t="str">
        <f>IF(B1016="","","Nơi sinh: "&amp;INDEX(DiemHKII!$H$4:$H$58,MATCH(B1016,DiemHKII!$B$4:$B$58,0),1))</f>
        <v xml:space="preserve">Nơi sinh: </v>
      </c>
      <c r="G995" s="77"/>
    </row>
    <row r="996" spans="1:10" ht="9.75" customHeight="1">
      <c r="A996" s="62"/>
      <c r="B996" s="62"/>
      <c r="C996" s="62"/>
      <c r="D996" s="62"/>
      <c r="E996" s="62"/>
      <c r="F996" s="62"/>
      <c r="G996" s="63"/>
    </row>
    <row r="997" spans="1:10" ht="31.5" customHeight="1">
      <c r="A997" s="801" t="s">
        <v>0</v>
      </c>
      <c r="B997" s="801" t="s">
        <v>59</v>
      </c>
      <c r="C997" s="806" t="s">
        <v>661</v>
      </c>
      <c r="D997" s="801" t="s">
        <v>296</v>
      </c>
      <c r="E997" s="806" t="s">
        <v>662</v>
      </c>
      <c r="F997" s="801" t="s">
        <v>361</v>
      </c>
      <c r="G997" s="802" t="s">
        <v>569</v>
      </c>
    </row>
    <row r="998" spans="1:10" ht="45.9" customHeight="1">
      <c r="A998" s="803" t="s">
        <v>191</v>
      </c>
      <c r="B998" s="813" t="s">
        <v>26</v>
      </c>
      <c r="C998" s="805" t="str">
        <f>IF(B1016="","",INDEX(NXchung!$B$3:$EP$57,MATCH(B1016,NXchung!$B$3:$B$57,0),INDEX($K$12:$N$25,MATCH($B998,$J$12:$J$25,0),K$11)))</f>
        <v/>
      </c>
      <c r="D998" s="808" t="str">
        <f>IF(B1016="","",INDEX(NXchung!$B$3:$EP$57,MATCH(B1016,NXchung!$B$3:$B$57,0),INDEX($K$12:$N$25,MATCH($B998,$J$12:$J$25,0),L$11)))</f>
        <v/>
      </c>
      <c r="E998" s="805" t="str">
        <f>IF(B1016="","",INDEX(NXchung!$B$3:$EP$57,MATCH(B1016,NXchung!$B$3:$B$57,0),INDEX($K$12:$N$25,MATCH($B998,$J$12:$J$25,0),M$11)))</f>
        <v/>
      </c>
      <c r="F998" s="808" t="str">
        <f>IF(B1016="","",INDEX(NXchung!$B$3:$EP$57,MATCH(B1016,NXchung!$B$3:$B$57,0),INDEX($K$12:$N$25,MATCH($B998,$J$12:$J$25,0),N$11)))</f>
        <v/>
      </c>
      <c r="G998" s="805"/>
      <c r="I998" s="64"/>
      <c r="J998" s="64"/>
    </row>
    <row r="999" spans="1:10" ht="45.9" customHeight="1">
      <c r="A999" s="803" t="s">
        <v>192</v>
      </c>
      <c r="B999" s="813" t="s">
        <v>27</v>
      </c>
      <c r="C999" s="805" t="str">
        <f>IF(B1016="","",INDEX(NXchung!$B$3:$EP$57,MATCH(B1016,NXchung!$B$3:$B$57,0),INDEX($K$12:$N$25,MATCH($B999,$J$12:$J$25,0),K$11)))</f>
        <v/>
      </c>
      <c r="D999" s="808" t="str">
        <f>IF(B1016="","",INDEX(NXchung!$B$3:$EP$57,MATCH(B1016,NXchung!$B$3:$B$57,0),INDEX($K$12:$N$25,MATCH($B999,$J$12:$J$25,0),L$11)))</f>
        <v/>
      </c>
      <c r="E999" s="805" t="str">
        <f>IF(B1016="","",INDEX(NXchung!$B$3:$EP$57,MATCH(B1016,NXchung!$B$3:$B$57,0),INDEX($K$12:$N$25,MATCH($B999,$J$12:$J$25,0),M$11)))</f>
        <v/>
      </c>
      <c r="F999" s="808" t="str">
        <f>IF(B1016="","",INDEX(NXchung!$B$3:$EP$57,MATCH(B1016,NXchung!$B$3:$B$57,0),INDEX($K$12:$N$25,MATCH($B999,$J$12:$J$25,0),N$11)))</f>
        <v/>
      </c>
      <c r="G999" s="805"/>
      <c r="I999" s="64"/>
      <c r="J999" s="64"/>
    </row>
    <row r="1000" spans="1:10" ht="45.9" customHeight="1">
      <c r="A1000" s="803" t="s">
        <v>193</v>
      </c>
      <c r="B1000" s="813" t="s">
        <v>28</v>
      </c>
      <c r="C1000" s="805" t="str">
        <f>IF(B1016="","",INDEX(NXchung!$B$3:$EP$57,MATCH(B1016,NXchung!$B$3:$B$57,0),INDEX($K$12:$N$25,MATCH($B1000,$J$12:$J$25,0),K$11)))</f>
        <v/>
      </c>
      <c r="D1000" s="808" t="str">
        <f>IF(B1016="","",INDEX(NXchung!$B$3:$EP$57,MATCH(B1016,NXchung!$B$3:$B$57,0),INDEX($K$12:$N$25,MATCH($B1000,$J$12:$J$25,0),L$11)))</f>
        <v/>
      </c>
      <c r="E1000" s="805" t="str">
        <f>IF(B1016="","",INDEX(NXchung!$B$3:$EP$57,MATCH(B1016,NXchung!$B$3:$B$57,0),INDEX($K$12:$N$25,MATCH($B1000,$J$12:$J$25,0),M$11)))</f>
        <v/>
      </c>
      <c r="F1000" s="808" t="str">
        <f>IF(B1016="","",INDEX(NXchung!$B$3:$EP$57,MATCH(B1016,NXchung!$B$3:$B$57,0),INDEX($K$12:$N$25,MATCH($B1000,$J$12:$J$25,0),N$11)))</f>
        <v/>
      </c>
      <c r="G1000" s="805"/>
      <c r="I1000" s="64"/>
      <c r="J1000" s="64"/>
    </row>
    <row r="1001" spans="1:10" ht="45.9" customHeight="1">
      <c r="A1001" s="803" t="s">
        <v>194</v>
      </c>
      <c r="B1001" s="813" t="s">
        <v>29</v>
      </c>
      <c r="C1001" s="805" t="str">
        <f>IF(B1016="","",INDEX(NXchung!$B$3:$EP$57,MATCH(B1016,NXchung!$B$3:$B$57,0),INDEX($K$12:$N$25,MATCH($B1001,$J$12:$J$25,0),K$11)))</f>
        <v/>
      </c>
      <c r="D1001" s="808" t="str">
        <f>IF(B1016="","",INDEX(NXchung!$B$3:$EP$57,MATCH(B1016,NXchung!$B$3:$B$57,0),INDEX($K$12:$N$25,MATCH($B1001,$J$12:$J$25,0),L$11)))</f>
        <v/>
      </c>
      <c r="E1001" s="805" t="str">
        <f>IF(B1016="","",INDEX(NXchung!$B$3:$EP$57,MATCH(B1016,NXchung!$B$3:$B$57,0),INDEX($K$12:$N$25,MATCH($B1001,$J$12:$J$25,0),M$11)))</f>
        <v/>
      </c>
      <c r="F1001" s="808" t="str">
        <f>IF(B1016="","",INDEX(NXchung!$B$3:$EP$57,MATCH(B1016,NXchung!$B$3:$B$57,0),INDEX($K$12:$N$25,MATCH($B1001,$J$12:$J$25,0),N$11)))</f>
        <v/>
      </c>
      <c r="G1001" s="805"/>
      <c r="I1001" s="64"/>
      <c r="J1001" s="64"/>
    </row>
    <row r="1002" spans="1:10" ht="45.9" customHeight="1">
      <c r="A1002" s="803" t="s">
        <v>195</v>
      </c>
      <c r="B1002" s="813" t="s">
        <v>120</v>
      </c>
      <c r="C1002" s="805" t="str">
        <f>IF(B1016="","",INDEX(NXchung!$B$3:$EP$57,MATCH(B1016,NXchung!$B$3:$B$57,0),INDEX($K$12:$N$25,MATCH($B1002,$J$12:$J$25,0),K$11)))</f>
        <v/>
      </c>
      <c r="D1002" s="808" t="str">
        <f>IF(B1016="","",INDEX(NXchung!$B$3:$EP$57,MATCH(B1016,NXchung!$B$3:$B$57,0),INDEX($K$12:$N$25,MATCH($B1002,$J$12:$J$25,0),L$11)))</f>
        <v/>
      </c>
      <c r="E1002" s="805" t="str">
        <f>IF(B1016="","",INDEX(NXchung!$B$3:$EP$57,MATCH(B1016,NXchung!$B$3:$B$57,0),INDEX($K$12:$N$25,MATCH($B1002,$J$12:$J$25,0),M$11)))</f>
        <v/>
      </c>
      <c r="F1002" s="808" t="str">
        <f>IF(B1016="","",INDEX(NXchung!$B$3:$EP$57,MATCH(B1016,NXchung!$B$3:$B$57,0),INDEX($K$12:$N$25,MATCH($B1002,$J$12:$J$25,0),N$11)))</f>
        <v/>
      </c>
      <c r="G1002" s="805"/>
      <c r="I1002" s="64"/>
      <c r="J1002" s="64"/>
    </row>
    <row r="1003" spans="1:10" ht="45.9" customHeight="1">
      <c r="A1003" s="803" t="s">
        <v>196</v>
      </c>
      <c r="B1003" s="813" t="s">
        <v>30</v>
      </c>
      <c r="C1003" s="805" t="str">
        <f>IF(B1016="","",INDEX(NXchung!$B$3:$EP$57,MATCH(B1016,NXchung!$B$3:$B$57,0),INDEX($K$12:$N$25,MATCH($B1003,$J$12:$J$25,0),K$11)))</f>
        <v/>
      </c>
      <c r="D1003" s="808" t="str">
        <f>IF(B1016="","",INDEX(NXchung!$B$3:$EP$57,MATCH(B1016,NXchung!$B$3:$B$57,0),INDEX($K$12:$N$25,MATCH($B1003,$J$12:$J$25,0),L$11)))</f>
        <v/>
      </c>
      <c r="E1003" s="805" t="str">
        <f>IF(B1016="","",INDEX(NXchung!$B$3:$EP$57,MATCH(B1016,NXchung!$B$3:$B$57,0),INDEX($K$12:$N$25,MATCH($B1003,$J$12:$J$25,0),M$11)))</f>
        <v/>
      </c>
      <c r="F1003" s="808" t="str">
        <f>IF(B1016="","",INDEX(NXchung!$B$3:$EP$57,MATCH(B1016,NXchung!$B$3:$B$57,0),INDEX($K$12:$N$25,MATCH($B1003,$J$12:$J$25,0),N$11)))</f>
        <v/>
      </c>
      <c r="G1003" s="805"/>
      <c r="I1003" s="64"/>
      <c r="J1003" s="64"/>
    </row>
    <row r="1004" spans="1:10" ht="45.9" customHeight="1">
      <c r="A1004" s="803" t="s">
        <v>197</v>
      </c>
      <c r="B1004" s="813" t="s">
        <v>31</v>
      </c>
      <c r="C1004" s="805" t="str">
        <f>IF(B1016="","",INDEX(NXchung!$B$3:$EP$57,MATCH(B1016,NXchung!$B$3:$B$57,0),INDEX($K$12:$N$25,MATCH($B1004,$J$12:$J$25,0),K$11)))</f>
        <v/>
      </c>
      <c r="D1004" s="808" t="str">
        <f>IF(B1016="","",INDEX(NXchung!$B$3:$EP$57,MATCH(B1016,NXchung!$B$3:$B$57,0),INDEX($K$12:$N$25,MATCH($B1004,$J$12:$J$25,0),L$11)))</f>
        <v/>
      </c>
      <c r="E1004" s="805" t="str">
        <f>IF(B1016="","",INDEX(NXchung!$B$3:$EP$57,MATCH(B1016,NXchung!$B$3:$B$57,0),INDEX($K$12:$N$25,MATCH($B1004,$J$12:$J$25,0),M$11)))</f>
        <v/>
      </c>
      <c r="F1004" s="808" t="str">
        <f>IF(B1016="","",INDEX(NXchung!$B$3:$EP$57,MATCH(B1016,NXchung!$B$3:$B$57,0),INDEX($K$12:$N$25,MATCH($B1004,$J$12:$J$25,0),N$11)))</f>
        <v/>
      </c>
      <c r="G1004" s="805"/>
      <c r="I1004" s="64"/>
      <c r="J1004" s="64"/>
    </row>
    <row r="1005" spans="1:10" ht="45.9" customHeight="1">
      <c r="A1005" s="803" t="s">
        <v>198</v>
      </c>
      <c r="B1005" s="813" t="s">
        <v>32</v>
      </c>
      <c r="C1005" s="805" t="str">
        <f>IF(B1016="","",INDEX(NXchung!$B$3:$EP$57,MATCH(B1016,NXchung!$B$3:$B$57,0),INDEX($K$12:$N$25,MATCH($B1005,$J$12:$J$25,0),K$11)))</f>
        <v/>
      </c>
      <c r="D1005" s="808" t="str">
        <f>IF(B1016="","",INDEX(NXchung!$B$3:$EP$57,MATCH(B1016,NXchung!$B$3:$B$57,0),INDEX($K$12:$N$25,MATCH($B1005,$J$12:$J$25,0),L$11)))</f>
        <v/>
      </c>
      <c r="E1005" s="805" t="str">
        <f>IF(B1016="","",INDEX(NXchung!$B$3:$EP$57,MATCH(B1016,NXchung!$B$3:$B$57,0),INDEX($K$12:$N$25,MATCH($B1005,$J$12:$J$25,0),M$11)))</f>
        <v/>
      </c>
      <c r="F1005" s="808" t="str">
        <f>IF(B1016="","",INDEX(NXchung!$B$3:$EP$57,MATCH(B1016,NXchung!$B$3:$B$57,0),INDEX($K$12:$N$25,MATCH($B1005,$J$12:$J$25,0),N$11)))</f>
        <v/>
      </c>
      <c r="G1005" s="805"/>
      <c r="I1005" s="64"/>
      <c r="J1005" s="64"/>
    </row>
    <row r="1006" spans="1:10" ht="45.9" customHeight="1">
      <c r="A1006" s="803" t="s">
        <v>199</v>
      </c>
      <c r="B1006" s="813" t="s">
        <v>33</v>
      </c>
      <c r="C1006" s="805" t="str">
        <f>IF(B1016="","",INDEX(NXchung!$B$3:$EP$57,MATCH(B1016,NXchung!$B$3:$B$57,0),INDEX($K$12:$N$25,MATCH($B1006,$J$12:$J$25,0),K$11)))</f>
        <v/>
      </c>
      <c r="D1006" s="808" t="str">
        <f>IF(B1016="","",INDEX(NXchung!$B$3:$EP$57,MATCH(B1016,NXchung!$B$3:$B$57,0),INDEX($K$12:$N$25,MATCH($B1006,$J$12:$J$25,0),L$11)))</f>
        <v/>
      </c>
      <c r="E1006" s="805" t="str">
        <f>IF(B1016="","",INDEX(NXchung!$B$3:$EP$57,MATCH(B1016,NXchung!$B$3:$B$57,0),INDEX($K$12:$N$25,MATCH($B1006,$J$12:$J$25,0),M$11)))</f>
        <v/>
      </c>
      <c r="F1006" s="808" t="str">
        <f>IF(B1016="","",INDEX(NXchung!$B$3:$EP$57,MATCH(B1016,NXchung!$B$3:$B$57,0),INDEX($K$12:$N$25,MATCH($B1006,$J$12:$J$25,0),N$11)))</f>
        <v/>
      </c>
      <c r="G1006" s="805"/>
      <c r="I1006" s="64"/>
      <c r="J1006" s="64"/>
    </row>
    <row r="1007" spans="1:10" ht="45.9" customHeight="1">
      <c r="A1007" s="803" t="s">
        <v>200</v>
      </c>
      <c r="B1007" s="813" t="s">
        <v>60</v>
      </c>
      <c r="C1007" s="805" t="str">
        <f>IF(B1016="","",INDEX(NXchung!$B$3:$EP$57,MATCH(B1016,NXchung!$B$3:$B$57,0),INDEX($K$12:$N$25,MATCH($B1007,$J$12:$J$25,0),K$11)))</f>
        <v/>
      </c>
      <c r="D1007" s="808" t="str">
        <f>IF(B1016="","",INDEX(NXchung!$B$3:$EP$57,MATCH(B1016,NXchung!$B$3:$B$57,0),INDEX($K$12:$N$25,MATCH($B1007,$J$12:$J$25,0),L$11)))</f>
        <v/>
      </c>
      <c r="E1007" s="805" t="str">
        <f>IF(B1016="","",INDEX(NXchung!$B$3:$EP$57,MATCH(B1016,NXchung!$B$3:$B$57,0),INDEX($K$12:$N$25,MATCH($B1007,$J$12:$J$25,0),M$11)))</f>
        <v/>
      </c>
      <c r="F1007" s="808" t="str">
        <f>IF(B1016="","",INDEX(NXchung!$B$3:$EP$57,MATCH(B1016,NXchung!$B$3:$B$57,0),INDEX($K$12:$N$25,MATCH($B1007,$J$12:$J$25,0),N$11)))</f>
        <v/>
      </c>
      <c r="G1007" s="805"/>
      <c r="I1007" s="64"/>
      <c r="J1007" s="64"/>
    </row>
    <row r="1008" spans="1:10" ht="45.9" customHeight="1">
      <c r="A1008" s="803" t="s">
        <v>201</v>
      </c>
      <c r="B1008" s="813" t="s">
        <v>34</v>
      </c>
      <c r="C1008" s="805" t="str">
        <f>IF(B1016="","",INDEX(NXchung!$B$3:$EP$57,MATCH(B1016,NXchung!$B$3:$B$57,0),INDEX($K$12:$N$25,MATCH($B1008,$J$12:$J$25,0),K$11)))</f>
        <v/>
      </c>
      <c r="D1008" s="808" t="str">
        <f>IF(B1016="","",INDEX(NXchung!$B$3:$EP$57,MATCH(B1016,NXchung!$B$3:$B$57,0),INDEX($K$12:$N$25,MATCH($B1008,$J$12:$J$25,0),L$11)))</f>
        <v/>
      </c>
      <c r="E1008" s="805" t="str">
        <f>IF(B1016="","",INDEX(NXchung!$B$3:$EP$57,MATCH(B1016,NXchung!$B$3:$B$57,0),INDEX($K$12:$N$25,MATCH($B1008,$J$12:$J$25,0),M$11)))</f>
        <v/>
      </c>
      <c r="F1008" s="808" t="str">
        <f>IF(B1016="","",INDEX(NXchung!$B$3:$EP$57,MATCH(B1016,NXchung!$B$3:$B$57,0),INDEX($K$12:$N$25,MATCH($B1008,$J$12:$J$25,0),N$11)))</f>
        <v/>
      </c>
      <c r="G1008" s="805"/>
      <c r="I1008" s="64"/>
      <c r="J1008" s="64"/>
    </row>
    <row r="1009" spans="1:10" ht="45.9" customHeight="1">
      <c r="A1009" s="803" t="s">
        <v>202</v>
      </c>
      <c r="B1009" s="813" t="s">
        <v>35</v>
      </c>
      <c r="C1009" s="805" t="str">
        <f>IF(B1016="","",INDEX(NXchung!$B$3:$EP$57,MATCH(B1016,NXchung!$B$3:$B$57,0),INDEX($K$12:$N$25,MATCH($B1009,$J$12:$J$25,0),K$11)))</f>
        <v/>
      </c>
      <c r="D1009" s="808" t="str">
        <f>IF(B1016="","",INDEX(NXchung!$B$3:$EP$57,MATCH(B1016,NXchung!$B$3:$B$57,0),INDEX($K$12:$N$25,MATCH($B1009,$J$12:$J$25,0),L$11)))</f>
        <v/>
      </c>
      <c r="E1009" s="805" t="str">
        <f>IF(B1016="","",INDEX(NXchung!$B$3:$EP$57,MATCH(B1016,NXchung!$B$3:$B$57,0),INDEX($K$12:$N$25,MATCH($B1009,$J$12:$J$25,0),M$11)))</f>
        <v>Đ</v>
      </c>
      <c r="F1009" s="808" t="str">
        <f>IF(B1016="","",INDEX(NXchung!$B$3:$EP$57,MATCH(B1016,NXchung!$B$3:$B$57,0),INDEX($K$12:$N$25,MATCH($B1009,$J$12:$J$25,0),N$11)))</f>
        <v>Chăm chỉ, cố gắng, rất ngoan.</v>
      </c>
      <c r="G1009" s="805"/>
      <c r="I1009" s="64"/>
      <c r="J1009" s="64"/>
    </row>
    <row r="1010" spans="1:10" ht="45.9" customHeight="1">
      <c r="A1010" s="803" t="s">
        <v>203</v>
      </c>
      <c r="B1010" s="813" t="s">
        <v>121</v>
      </c>
      <c r="C1010" s="805" t="str">
        <f>IF(B1016="","",INDEX(NXchung!$B$3:$EP$57,MATCH(B1016,NXchung!$B$3:$B$57,0),INDEX($K$12:$N$25,MATCH($B1010,$J$12:$J$25,0),K$11)))</f>
        <v/>
      </c>
      <c r="D1010" s="808" t="str">
        <f>IF(B1016="","",INDEX(NXchung!$B$3:$EP$57,MATCH(B1016,NXchung!$B$3:$B$57,0),INDEX($K$12:$N$25,MATCH($B1010,$J$12:$J$25,0),L$11)))</f>
        <v/>
      </c>
      <c r="E1010" s="805" t="str">
        <f>IF(B1016="","",INDEX(NXchung!$B$3:$EP$57,MATCH(B1016,NXchung!$B$3:$B$57,0),INDEX($K$12:$N$25,MATCH($B1010,$J$12:$J$25,0),M$11)))</f>
        <v/>
      </c>
      <c r="F1010" s="808" t="str">
        <f>IF(B1016="","",INDEX(NXchung!$B$3:$EP$57,MATCH(B1016,NXchung!$B$3:$B$57,0),INDEX($K$12:$N$25,MATCH($B1010,$J$12:$J$25,0),N$11)))</f>
        <v/>
      </c>
      <c r="G1010" s="805"/>
      <c r="I1010" s="64"/>
      <c r="J1010" s="64"/>
    </row>
    <row r="1011" spans="1:10" ht="45.9" customHeight="1">
      <c r="A1011" s="803" t="s">
        <v>204</v>
      </c>
      <c r="B1011" s="813" t="s">
        <v>122</v>
      </c>
      <c r="C1011" s="805" t="str">
        <f>IF(B1016="","",INDEX(NXchung!$B$3:$EP$57,MATCH(B1016,NXchung!$B$3:$B$57,0),INDEX($K$12:$N$25,MATCH($B1011,$J$12:$J$25,0),K$11)))</f>
        <v/>
      </c>
      <c r="D1011" s="808" t="str">
        <f>IF(B1016="","",INDEX(NXchung!$B$3:$EP$57,MATCH(B1016,NXchung!$B$3:$B$57,0),INDEX($K$12:$N$25,MATCH($B1011,$J$12:$J$25,0),L$11)))</f>
        <v/>
      </c>
      <c r="E1011" s="805" t="str">
        <f>IF(B1016="","",INDEX(NXchung!$B$3:$EP$57,MATCH(B1016,NXchung!$B$3:$B$57,0),INDEX($K$12:$N$25,MATCH($B1011,$J$12:$J$25,0),M$11)))</f>
        <v/>
      </c>
      <c r="F1011" s="808" t="str">
        <f>IF(B1016="","",INDEX(NXchung!$B$3:$EP$57,MATCH(B1016,NXchung!$B$3:$B$57,0),INDEX($K$12:$N$25,MATCH($B1011,$J$12:$J$25,0),N$11)))</f>
        <v/>
      </c>
      <c r="G1011" s="805"/>
      <c r="I1011" s="64"/>
      <c r="J1011" s="64"/>
    </row>
    <row r="1012" spans="1:10" s="60" customFormat="1" ht="6" customHeight="1">
      <c r="A1012" s="67"/>
      <c r="B1012" s="67"/>
      <c r="C1012" s="475"/>
      <c r="D1012" s="475"/>
      <c r="E1012" s="67"/>
      <c r="F1012" s="67"/>
      <c r="G1012" s="67"/>
    </row>
    <row r="1013" spans="1:10" ht="17.25" customHeight="1">
      <c r="D1013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013" s="1163"/>
      <c r="F1013" s="1163"/>
      <c r="G1013" s="1163"/>
      <c r="H1013" s="814"/>
    </row>
    <row r="1014" spans="1:10" ht="16.5" customHeight="1">
      <c r="D1014" s="992" t="s">
        <v>377</v>
      </c>
      <c r="E1014" s="992"/>
      <c r="F1014" s="992"/>
      <c r="G1014" s="992"/>
      <c r="H1014" s="814"/>
    </row>
    <row r="1015" spans="1:10" ht="81.75" customHeight="1">
      <c r="D1015" s="931" t="str">
        <f>IF('Huong dan'!$E$5="","",'Huong dan'!$E$5)</f>
        <v/>
      </c>
      <c r="E1015" s="931"/>
      <c r="F1015" s="931"/>
      <c r="G1015" s="931"/>
      <c r="H1015" s="814"/>
    </row>
    <row r="1016" spans="1:10" ht="11.25" customHeight="1">
      <c r="A1016" s="75"/>
      <c r="B1016" s="815">
        <f>IF(B987="","",IF(B987&lt;MAX(DiemHKII!$B$4:$B$58),B987+1,""))</f>
        <v>35</v>
      </c>
      <c r="C1016" s="75"/>
      <c r="D1016" s="75"/>
      <c r="E1016" s="75"/>
      <c r="F1016" s="75"/>
      <c r="G1016" s="75"/>
    </row>
    <row r="1017" spans="1:10" s="60" customFormat="1" ht="21" customHeight="1">
      <c r="A1017" s="1128" t="str">
        <f>IF('Huong dan'!$E$3&lt;&gt;"","SỞ GIÁO DỤC VÀ ĐÀO TẠO "&amp;UPPER('Huong dan'!$E$3),"")</f>
        <v>SỞ GIÁO DỤC VÀ ĐÀO TẠO TP. HỒ CHÍ MINH</v>
      </c>
      <c r="B1017" s="1128"/>
      <c r="C1017" s="1128"/>
      <c r="D1017" s="1128"/>
      <c r="E1017" s="1129" t="s">
        <v>19</v>
      </c>
      <c r="F1017" s="1129"/>
      <c r="G1017" s="1129"/>
    </row>
    <row r="1018" spans="1:10" ht="17.25" customHeight="1">
      <c r="A1018" s="992" t="str">
        <f>IF('Huong dan'!$E$4&lt;&gt;"","TRƯỜNG "&amp;UPPER('Huong dan'!$E$4),"")</f>
        <v>TRƯỜNG THCS VÀ THPT NGUYỄN KHUYẾN</v>
      </c>
      <c r="B1018" s="992"/>
      <c r="C1018" s="992"/>
      <c r="D1018" s="992"/>
      <c r="E1018" s="1130" t="s">
        <v>179</v>
      </c>
      <c r="F1018" s="1130"/>
      <c r="G1018" s="1130"/>
    </row>
    <row r="1019" spans="1:10" ht="15" customHeight="1">
      <c r="A1019" s="69"/>
      <c r="B1019" s="69"/>
      <c r="C1019" s="30"/>
    </row>
    <row r="1020" spans="1:10" ht="27.75" customHeight="1">
      <c r="A1020" s="1013" t="s">
        <v>567</v>
      </c>
      <c r="B1020" s="1013"/>
      <c r="C1020" s="1013"/>
      <c r="D1020" s="1013"/>
      <c r="E1020" s="1013"/>
      <c r="F1020" s="1013"/>
      <c r="G1020" s="1013"/>
    </row>
    <row r="1021" spans="1:10" ht="24" customHeight="1">
      <c r="A1021" s="1013" t="str">
        <f>"HỌC KỲ II VÀ CẢ NĂM - NĂM HỌC "&amp;'Huong dan'!$C$5</f>
        <v>HỌC KỲ II VÀ CẢ NĂM - NĂM HỌC 2021 - 2022</v>
      </c>
      <c r="B1021" s="1013"/>
      <c r="C1021" s="1013"/>
      <c r="D1021" s="1013"/>
      <c r="E1021" s="1013"/>
      <c r="F1021" s="1013"/>
      <c r="G1021" s="1013"/>
    </row>
    <row r="1022" spans="1:10" ht="9" customHeight="1">
      <c r="A1022" s="70"/>
      <c r="B1022" s="66"/>
      <c r="C1022" s="66"/>
      <c r="D1022" s="66"/>
      <c r="E1022" s="66"/>
      <c r="F1022" s="66"/>
      <c r="G1022" s="66"/>
    </row>
    <row r="1023" spans="1:10" ht="18.75" customHeight="1">
      <c r="A1023" s="1167" t="s">
        <v>212</v>
      </c>
      <c r="B1023" s="1167"/>
      <c r="C1023" s="1167"/>
      <c r="D1023" s="1167" t="str">
        <f>IF(B1045="","",INDEX(NXchung!$B$3:$EP$57,MATCH(B1045,NXchung!$B$3:$B$57,0),3)&amp;" "&amp;INDEX(NXchung!$B$3:$EP$57,MATCH(B1045,NXchung!$B$3:$B$57,0),4))</f>
        <v>Võ Thủy Vân</v>
      </c>
      <c r="E1023" s="1167"/>
      <c r="F1023" s="77" t="str">
        <f>IF('Huong dan'!$C$3="","","Lớp: "&amp;'Huong dan'!$C$3)</f>
        <v>Lớp: 12A1</v>
      </c>
      <c r="G1023" s="71"/>
    </row>
    <row r="1024" spans="1:10" ht="18.75" customHeight="1">
      <c r="A1024" s="1168" t="s">
        <v>213</v>
      </c>
      <c r="B1024" s="1168"/>
      <c r="C1024" s="1168"/>
      <c r="D1024" s="77" t="str">
        <f>INDEX(NXchung!$B$3:$EP$57,MATCH(B1045,NXchung!$B$3:$B$57,0),5)</f>
        <v>30/10/2004</v>
      </c>
      <c r="F1024" s="841" t="str">
        <f>IF(B1045="","","Nơi sinh: "&amp;INDEX(DiemHKII!$H$4:$H$58,MATCH(B1045,DiemHKII!$B$4:$B$58,0),1))</f>
        <v xml:space="preserve">Nơi sinh: </v>
      </c>
      <c r="G1024" s="77"/>
    </row>
    <row r="1025" spans="1:10" ht="9.75" customHeight="1">
      <c r="A1025" s="62"/>
      <c r="B1025" s="62"/>
      <c r="C1025" s="62"/>
      <c r="D1025" s="62"/>
      <c r="E1025" s="62"/>
      <c r="F1025" s="62"/>
      <c r="G1025" s="63"/>
    </row>
    <row r="1026" spans="1:10" ht="31.5" customHeight="1">
      <c r="A1026" s="801" t="s">
        <v>0</v>
      </c>
      <c r="B1026" s="801" t="s">
        <v>59</v>
      </c>
      <c r="C1026" s="806" t="s">
        <v>661</v>
      </c>
      <c r="D1026" s="801" t="s">
        <v>296</v>
      </c>
      <c r="E1026" s="806" t="s">
        <v>662</v>
      </c>
      <c r="F1026" s="801" t="s">
        <v>361</v>
      </c>
      <c r="G1026" s="802" t="s">
        <v>569</v>
      </c>
    </row>
    <row r="1027" spans="1:10" ht="45.9" customHeight="1">
      <c r="A1027" s="803" t="s">
        <v>191</v>
      </c>
      <c r="B1027" s="813" t="s">
        <v>26</v>
      </c>
      <c r="C1027" s="805" t="str">
        <f>IF(B1045="","",INDEX(NXchung!$B$3:$EP$57,MATCH(B1045,NXchung!$B$3:$B$57,0),INDEX($K$12:$N$25,MATCH($B1027,$J$12:$J$25,0),K$11)))</f>
        <v/>
      </c>
      <c r="D1027" s="808" t="str">
        <f>IF(B1045="","",INDEX(NXchung!$B$3:$EP$57,MATCH(B1045,NXchung!$B$3:$B$57,0),INDEX($K$12:$N$25,MATCH($B1027,$J$12:$J$25,0),L$11)))</f>
        <v/>
      </c>
      <c r="E1027" s="805" t="str">
        <f>IF(B1045="","",INDEX(NXchung!$B$3:$EP$57,MATCH(B1045,NXchung!$B$3:$B$57,0),INDEX($K$12:$N$25,MATCH($B1027,$J$12:$J$25,0),M$11)))</f>
        <v/>
      </c>
      <c r="F1027" s="808" t="str">
        <f>IF(B1045="","",INDEX(NXchung!$B$3:$EP$57,MATCH(B1045,NXchung!$B$3:$B$57,0),INDEX($K$12:$N$25,MATCH($B1027,$J$12:$J$25,0),N$11)))</f>
        <v/>
      </c>
      <c r="G1027" s="805"/>
      <c r="I1027" s="64"/>
      <c r="J1027" s="64"/>
    </row>
    <row r="1028" spans="1:10" ht="45.9" customHeight="1">
      <c r="A1028" s="803" t="s">
        <v>192</v>
      </c>
      <c r="B1028" s="813" t="s">
        <v>27</v>
      </c>
      <c r="C1028" s="805" t="str">
        <f>IF(B1045="","",INDEX(NXchung!$B$3:$EP$57,MATCH(B1045,NXchung!$B$3:$B$57,0),INDEX($K$12:$N$25,MATCH($B1028,$J$12:$J$25,0),K$11)))</f>
        <v/>
      </c>
      <c r="D1028" s="808" t="str">
        <f>IF(B1045="","",INDEX(NXchung!$B$3:$EP$57,MATCH(B1045,NXchung!$B$3:$B$57,0),INDEX($K$12:$N$25,MATCH($B1028,$J$12:$J$25,0),L$11)))</f>
        <v/>
      </c>
      <c r="E1028" s="805" t="str">
        <f>IF(B1045="","",INDEX(NXchung!$B$3:$EP$57,MATCH(B1045,NXchung!$B$3:$B$57,0),INDEX($K$12:$N$25,MATCH($B1028,$J$12:$J$25,0),M$11)))</f>
        <v/>
      </c>
      <c r="F1028" s="808" t="str">
        <f>IF(B1045="","",INDEX(NXchung!$B$3:$EP$57,MATCH(B1045,NXchung!$B$3:$B$57,0),INDEX($K$12:$N$25,MATCH($B1028,$J$12:$J$25,0),N$11)))</f>
        <v/>
      </c>
      <c r="G1028" s="805"/>
      <c r="I1028" s="64"/>
      <c r="J1028" s="64"/>
    </row>
    <row r="1029" spans="1:10" ht="45.9" customHeight="1">
      <c r="A1029" s="803" t="s">
        <v>193</v>
      </c>
      <c r="B1029" s="813" t="s">
        <v>28</v>
      </c>
      <c r="C1029" s="805" t="str">
        <f>IF(B1045="","",INDEX(NXchung!$B$3:$EP$57,MATCH(B1045,NXchung!$B$3:$B$57,0),INDEX($K$12:$N$25,MATCH($B1029,$J$12:$J$25,0),K$11)))</f>
        <v/>
      </c>
      <c r="D1029" s="808" t="str">
        <f>IF(B1045="","",INDEX(NXchung!$B$3:$EP$57,MATCH(B1045,NXchung!$B$3:$B$57,0),INDEX($K$12:$N$25,MATCH($B1029,$J$12:$J$25,0),L$11)))</f>
        <v/>
      </c>
      <c r="E1029" s="805" t="str">
        <f>IF(B1045="","",INDEX(NXchung!$B$3:$EP$57,MATCH(B1045,NXchung!$B$3:$B$57,0),INDEX($K$12:$N$25,MATCH($B1029,$J$12:$J$25,0),M$11)))</f>
        <v/>
      </c>
      <c r="F1029" s="808" t="str">
        <f>IF(B1045="","",INDEX(NXchung!$B$3:$EP$57,MATCH(B1045,NXchung!$B$3:$B$57,0),INDEX($K$12:$N$25,MATCH($B1029,$J$12:$J$25,0),N$11)))</f>
        <v/>
      </c>
      <c r="G1029" s="805"/>
      <c r="I1029" s="64"/>
      <c r="J1029" s="64"/>
    </row>
    <row r="1030" spans="1:10" ht="45.9" customHeight="1">
      <c r="A1030" s="803" t="s">
        <v>194</v>
      </c>
      <c r="B1030" s="813" t="s">
        <v>29</v>
      </c>
      <c r="C1030" s="805" t="str">
        <f>IF(B1045="","",INDEX(NXchung!$B$3:$EP$57,MATCH(B1045,NXchung!$B$3:$B$57,0),INDEX($K$12:$N$25,MATCH($B1030,$J$12:$J$25,0),K$11)))</f>
        <v/>
      </c>
      <c r="D1030" s="808" t="str">
        <f>IF(B1045="","",INDEX(NXchung!$B$3:$EP$57,MATCH(B1045,NXchung!$B$3:$B$57,0),INDEX($K$12:$N$25,MATCH($B1030,$J$12:$J$25,0),L$11)))</f>
        <v/>
      </c>
      <c r="E1030" s="805" t="str">
        <f>IF(B1045="","",INDEX(NXchung!$B$3:$EP$57,MATCH(B1045,NXchung!$B$3:$B$57,0),INDEX($K$12:$N$25,MATCH($B1030,$J$12:$J$25,0),M$11)))</f>
        <v/>
      </c>
      <c r="F1030" s="808" t="str">
        <f>IF(B1045="","",INDEX(NXchung!$B$3:$EP$57,MATCH(B1045,NXchung!$B$3:$B$57,0),INDEX($K$12:$N$25,MATCH($B1030,$J$12:$J$25,0),N$11)))</f>
        <v/>
      </c>
      <c r="G1030" s="805"/>
      <c r="I1030" s="64"/>
      <c r="J1030" s="64"/>
    </row>
    <row r="1031" spans="1:10" ht="45.9" customHeight="1">
      <c r="A1031" s="803" t="s">
        <v>195</v>
      </c>
      <c r="B1031" s="813" t="s">
        <v>120</v>
      </c>
      <c r="C1031" s="805" t="str">
        <f>IF(B1045="","",INDEX(NXchung!$B$3:$EP$57,MATCH(B1045,NXchung!$B$3:$B$57,0),INDEX($K$12:$N$25,MATCH($B1031,$J$12:$J$25,0),K$11)))</f>
        <v/>
      </c>
      <c r="D1031" s="808" t="str">
        <f>IF(B1045="","",INDEX(NXchung!$B$3:$EP$57,MATCH(B1045,NXchung!$B$3:$B$57,0),INDEX($K$12:$N$25,MATCH($B1031,$J$12:$J$25,0),L$11)))</f>
        <v/>
      </c>
      <c r="E1031" s="805" t="str">
        <f>IF(B1045="","",INDEX(NXchung!$B$3:$EP$57,MATCH(B1045,NXchung!$B$3:$B$57,0),INDEX($K$12:$N$25,MATCH($B1031,$J$12:$J$25,0),M$11)))</f>
        <v/>
      </c>
      <c r="F1031" s="808" t="str">
        <f>IF(B1045="","",INDEX(NXchung!$B$3:$EP$57,MATCH(B1045,NXchung!$B$3:$B$57,0),INDEX($K$12:$N$25,MATCH($B1031,$J$12:$J$25,0),N$11)))</f>
        <v/>
      </c>
      <c r="G1031" s="805"/>
      <c r="I1031" s="64"/>
      <c r="J1031" s="64"/>
    </row>
    <row r="1032" spans="1:10" ht="45.9" customHeight="1">
      <c r="A1032" s="803" t="s">
        <v>196</v>
      </c>
      <c r="B1032" s="813" t="s">
        <v>30</v>
      </c>
      <c r="C1032" s="805" t="str">
        <f>IF(B1045="","",INDEX(NXchung!$B$3:$EP$57,MATCH(B1045,NXchung!$B$3:$B$57,0),INDEX($K$12:$N$25,MATCH($B1032,$J$12:$J$25,0),K$11)))</f>
        <v/>
      </c>
      <c r="D1032" s="808" t="str">
        <f>IF(B1045="","",INDEX(NXchung!$B$3:$EP$57,MATCH(B1045,NXchung!$B$3:$B$57,0),INDEX($K$12:$N$25,MATCH($B1032,$J$12:$J$25,0),L$11)))</f>
        <v/>
      </c>
      <c r="E1032" s="805" t="str">
        <f>IF(B1045="","",INDEX(NXchung!$B$3:$EP$57,MATCH(B1045,NXchung!$B$3:$B$57,0),INDEX($K$12:$N$25,MATCH($B1032,$J$12:$J$25,0),M$11)))</f>
        <v/>
      </c>
      <c r="F1032" s="808" t="str">
        <f>IF(B1045="","",INDEX(NXchung!$B$3:$EP$57,MATCH(B1045,NXchung!$B$3:$B$57,0),INDEX($K$12:$N$25,MATCH($B1032,$J$12:$J$25,0),N$11)))</f>
        <v/>
      </c>
      <c r="G1032" s="805"/>
      <c r="I1032" s="64"/>
      <c r="J1032" s="64"/>
    </row>
    <row r="1033" spans="1:10" ht="45.9" customHeight="1">
      <c r="A1033" s="803" t="s">
        <v>197</v>
      </c>
      <c r="B1033" s="813" t="s">
        <v>31</v>
      </c>
      <c r="C1033" s="805" t="str">
        <f>IF(B1045="","",INDEX(NXchung!$B$3:$EP$57,MATCH(B1045,NXchung!$B$3:$B$57,0),INDEX($K$12:$N$25,MATCH($B1033,$J$12:$J$25,0),K$11)))</f>
        <v/>
      </c>
      <c r="D1033" s="808" t="str">
        <f>IF(B1045="","",INDEX(NXchung!$B$3:$EP$57,MATCH(B1045,NXchung!$B$3:$B$57,0),INDEX($K$12:$N$25,MATCH($B1033,$J$12:$J$25,0),L$11)))</f>
        <v/>
      </c>
      <c r="E1033" s="805" t="str">
        <f>IF(B1045="","",INDEX(NXchung!$B$3:$EP$57,MATCH(B1045,NXchung!$B$3:$B$57,0),INDEX($K$12:$N$25,MATCH($B1033,$J$12:$J$25,0),M$11)))</f>
        <v/>
      </c>
      <c r="F1033" s="808" t="str">
        <f>IF(B1045="","",INDEX(NXchung!$B$3:$EP$57,MATCH(B1045,NXchung!$B$3:$B$57,0),INDEX($K$12:$N$25,MATCH($B1033,$J$12:$J$25,0),N$11)))</f>
        <v/>
      </c>
      <c r="G1033" s="805"/>
      <c r="I1033" s="64"/>
      <c r="J1033" s="64"/>
    </row>
    <row r="1034" spans="1:10" ht="45.9" customHeight="1">
      <c r="A1034" s="803" t="s">
        <v>198</v>
      </c>
      <c r="B1034" s="813" t="s">
        <v>32</v>
      </c>
      <c r="C1034" s="805" t="str">
        <f>IF(B1045="","",INDEX(NXchung!$B$3:$EP$57,MATCH(B1045,NXchung!$B$3:$B$57,0),INDEX($K$12:$N$25,MATCH($B1034,$J$12:$J$25,0),K$11)))</f>
        <v/>
      </c>
      <c r="D1034" s="808" t="str">
        <f>IF(B1045="","",INDEX(NXchung!$B$3:$EP$57,MATCH(B1045,NXchung!$B$3:$B$57,0),INDEX($K$12:$N$25,MATCH($B1034,$J$12:$J$25,0),L$11)))</f>
        <v/>
      </c>
      <c r="E1034" s="805" t="str">
        <f>IF(B1045="","",INDEX(NXchung!$B$3:$EP$57,MATCH(B1045,NXchung!$B$3:$B$57,0),INDEX($K$12:$N$25,MATCH($B1034,$J$12:$J$25,0),M$11)))</f>
        <v/>
      </c>
      <c r="F1034" s="808" t="str">
        <f>IF(B1045="","",INDEX(NXchung!$B$3:$EP$57,MATCH(B1045,NXchung!$B$3:$B$57,0),INDEX($K$12:$N$25,MATCH($B1034,$J$12:$J$25,0),N$11)))</f>
        <v/>
      </c>
      <c r="G1034" s="805"/>
      <c r="I1034" s="64"/>
      <c r="J1034" s="64"/>
    </row>
    <row r="1035" spans="1:10" ht="45.9" customHeight="1">
      <c r="A1035" s="803" t="s">
        <v>199</v>
      </c>
      <c r="B1035" s="813" t="s">
        <v>33</v>
      </c>
      <c r="C1035" s="805" t="str">
        <f>IF(B1045="","",INDEX(NXchung!$B$3:$EP$57,MATCH(B1045,NXchung!$B$3:$B$57,0),INDEX($K$12:$N$25,MATCH($B1035,$J$12:$J$25,0),K$11)))</f>
        <v/>
      </c>
      <c r="D1035" s="808" t="str">
        <f>IF(B1045="","",INDEX(NXchung!$B$3:$EP$57,MATCH(B1045,NXchung!$B$3:$B$57,0),INDEX($K$12:$N$25,MATCH($B1035,$J$12:$J$25,0),L$11)))</f>
        <v/>
      </c>
      <c r="E1035" s="805" t="str">
        <f>IF(B1045="","",INDEX(NXchung!$B$3:$EP$57,MATCH(B1045,NXchung!$B$3:$B$57,0),INDEX($K$12:$N$25,MATCH($B1035,$J$12:$J$25,0),M$11)))</f>
        <v/>
      </c>
      <c r="F1035" s="808" t="str">
        <f>IF(B1045="","",INDEX(NXchung!$B$3:$EP$57,MATCH(B1045,NXchung!$B$3:$B$57,0),INDEX($K$12:$N$25,MATCH($B1035,$J$12:$J$25,0),N$11)))</f>
        <v/>
      </c>
      <c r="G1035" s="805"/>
      <c r="I1035" s="64"/>
      <c r="J1035" s="64"/>
    </row>
    <row r="1036" spans="1:10" ht="45.9" customHeight="1">
      <c r="A1036" s="803" t="s">
        <v>200</v>
      </c>
      <c r="B1036" s="813" t="s">
        <v>60</v>
      </c>
      <c r="C1036" s="805" t="str">
        <f>IF(B1045="","",INDEX(NXchung!$B$3:$EP$57,MATCH(B1045,NXchung!$B$3:$B$57,0),INDEX($K$12:$N$25,MATCH($B1036,$J$12:$J$25,0),K$11)))</f>
        <v/>
      </c>
      <c r="D1036" s="808" t="str">
        <f>IF(B1045="","",INDEX(NXchung!$B$3:$EP$57,MATCH(B1045,NXchung!$B$3:$B$57,0),INDEX($K$12:$N$25,MATCH($B1036,$J$12:$J$25,0),L$11)))</f>
        <v/>
      </c>
      <c r="E1036" s="805" t="str">
        <f>IF(B1045="","",INDEX(NXchung!$B$3:$EP$57,MATCH(B1045,NXchung!$B$3:$B$57,0),INDEX($K$12:$N$25,MATCH($B1036,$J$12:$J$25,0),M$11)))</f>
        <v/>
      </c>
      <c r="F1036" s="808" t="str">
        <f>IF(B1045="","",INDEX(NXchung!$B$3:$EP$57,MATCH(B1045,NXchung!$B$3:$B$57,0),INDEX($K$12:$N$25,MATCH($B1036,$J$12:$J$25,0),N$11)))</f>
        <v/>
      </c>
      <c r="G1036" s="805"/>
      <c r="I1036" s="64"/>
      <c r="J1036" s="64"/>
    </row>
    <row r="1037" spans="1:10" ht="45.9" customHeight="1">
      <c r="A1037" s="803" t="s">
        <v>201</v>
      </c>
      <c r="B1037" s="813" t="s">
        <v>34</v>
      </c>
      <c r="C1037" s="805" t="str">
        <f>IF(B1045="","",INDEX(NXchung!$B$3:$EP$57,MATCH(B1045,NXchung!$B$3:$B$57,0),INDEX($K$12:$N$25,MATCH($B1037,$J$12:$J$25,0),K$11)))</f>
        <v/>
      </c>
      <c r="D1037" s="808" t="str">
        <f>IF(B1045="","",INDEX(NXchung!$B$3:$EP$57,MATCH(B1045,NXchung!$B$3:$B$57,0),INDEX($K$12:$N$25,MATCH($B1037,$J$12:$J$25,0),L$11)))</f>
        <v/>
      </c>
      <c r="E1037" s="805" t="str">
        <f>IF(B1045="","",INDEX(NXchung!$B$3:$EP$57,MATCH(B1045,NXchung!$B$3:$B$57,0),INDEX($K$12:$N$25,MATCH($B1037,$J$12:$J$25,0),M$11)))</f>
        <v/>
      </c>
      <c r="F1037" s="808" t="str">
        <f>IF(B1045="","",INDEX(NXchung!$B$3:$EP$57,MATCH(B1045,NXchung!$B$3:$B$57,0),INDEX($K$12:$N$25,MATCH($B1037,$J$12:$J$25,0),N$11)))</f>
        <v/>
      </c>
      <c r="G1037" s="805"/>
      <c r="I1037" s="64"/>
      <c r="J1037" s="64"/>
    </row>
    <row r="1038" spans="1:10" ht="45.9" customHeight="1">
      <c r="A1038" s="803" t="s">
        <v>202</v>
      </c>
      <c r="B1038" s="813" t="s">
        <v>35</v>
      </c>
      <c r="C1038" s="805" t="str">
        <f>IF(B1045="","",INDEX(NXchung!$B$3:$EP$57,MATCH(B1045,NXchung!$B$3:$B$57,0),INDEX($K$12:$N$25,MATCH($B1038,$J$12:$J$25,0),K$11)))</f>
        <v/>
      </c>
      <c r="D1038" s="808" t="str">
        <f>IF(B1045="","",INDEX(NXchung!$B$3:$EP$57,MATCH(B1045,NXchung!$B$3:$B$57,0),INDEX($K$12:$N$25,MATCH($B1038,$J$12:$J$25,0),L$11)))</f>
        <v/>
      </c>
      <c r="E1038" s="805" t="str">
        <f>IF(B1045="","",INDEX(NXchung!$B$3:$EP$57,MATCH(B1045,NXchung!$B$3:$B$57,0),INDEX($K$12:$N$25,MATCH($B1038,$J$12:$J$25,0),M$11)))</f>
        <v>Đ</v>
      </c>
      <c r="F1038" s="808" t="str">
        <f>IF(B1045="","",INDEX(NXchung!$B$3:$EP$57,MATCH(B1045,NXchung!$B$3:$B$57,0),INDEX($K$12:$N$25,MATCH($B1038,$J$12:$J$25,0),N$11)))</f>
        <v>Giỏi, có nhiều tiến bộ trong học tập.</v>
      </c>
      <c r="G1038" s="805"/>
      <c r="I1038" s="64"/>
      <c r="J1038" s="64"/>
    </row>
    <row r="1039" spans="1:10" ht="45.9" customHeight="1">
      <c r="A1039" s="803" t="s">
        <v>203</v>
      </c>
      <c r="B1039" s="813" t="s">
        <v>121</v>
      </c>
      <c r="C1039" s="805" t="str">
        <f>IF(B1045="","",INDEX(NXchung!$B$3:$EP$57,MATCH(B1045,NXchung!$B$3:$B$57,0),INDEX($K$12:$N$25,MATCH($B1039,$J$12:$J$25,0),K$11)))</f>
        <v/>
      </c>
      <c r="D1039" s="808" t="str">
        <f>IF(B1045="","",INDEX(NXchung!$B$3:$EP$57,MATCH(B1045,NXchung!$B$3:$B$57,0),INDEX($K$12:$N$25,MATCH($B1039,$J$12:$J$25,0),L$11)))</f>
        <v/>
      </c>
      <c r="E1039" s="805" t="str">
        <f>IF(B1045="","",INDEX(NXchung!$B$3:$EP$57,MATCH(B1045,NXchung!$B$3:$B$57,0),INDEX($K$12:$N$25,MATCH($B1039,$J$12:$J$25,0),M$11)))</f>
        <v/>
      </c>
      <c r="F1039" s="808" t="str">
        <f>IF(B1045="","",INDEX(NXchung!$B$3:$EP$57,MATCH(B1045,NXchung!$B$3:$B$57,0),INDEX($K$12:$N$25,MATCH($B1039,$J$12:$J$25,0),N$11)))</f>
        <v/>
      </c>
      <c r="G1039" s="805"/>
      <c r="I1039" s="64"/>
      <c r="J1039" s="64"/>
    </row>
    <row r="1040" spans="1:10" ht="45.9" customHeight="1">
      <c r="A1040" s="803" t="s">
        <v>204</v>
      </c>
      <c r="B1040" s="813" t="s">
        <v>122</v>
      </c>
      <c r="C1040" s="805" t="str">
        <f>IF(B1045="","",INDEX(NXchung!$B$3:$EP$57,MATCH(B1045,NXchung!$B$3:$B$57,0),INDEX($K$12:$N$25,MATCH($B1040,$J$12:$J$25,0),K$11)))</f>
        <v/>
      </c>
      <c r="D1040" s="808" t="str">
        <f>IF(B1045="","",INDEX(NXchung!$B$3:$EP$57,MATCH(B1045,NXchung!$B$3:$B$57,0),INDEX($K$12:$N$25,MATCH($B1040,$J$12:$J$25,0),L$11)))</f>
        <v/>
      </c>
      <c r="E1040" s="805" t="str">
        <f>IF(B1045="","",INDEX(NXchung!$B$3:$EP$57,MATCH(B1045,NXchung!$B$3:$B$57,0),INDEX($K$12:$N$25,MATCH($B1040,$J$12:$J$25,0),M$11)))</f>
        <v/>
      </c>
      <c r="F1040" s="808" t="str">
        <f>IF(B1045="","",INDEX(NXchung!$B$3:$EP$57,MATCH(B1045,NXchung!$B$3:$B$57,0),INDEX($K$12:$N$25,MATCH($B1040,$J$12:$J$25,0),N$11)))</f>
        <v/>
      </c>
      <c r="G1040" s="805"/>
      <c r="I1040" s="64"/>
      <c r="J1040" s="64"/>
    </row>
    <row r="1041" spans="1:10" s="60" customFormat="1" ht="6" customHeight="1">
      <c r="A1041" s="67"/>
      <c r="B1041" s="67"/>
      <c r="C1041" s="475"/>
      <c r="D1041" s="475"/>
      <c r="E1041" s="67"/>
      <c r="F1041" s="67"/>
      <c r="G1041" s="67"/>
    </row>
    <row r="1042" spans="1:10" ht="17.25" customHeight="1">
      <c r="D1042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042" s="1163"/>
      <c r="F1042" s="1163"/>
      <c r="G1042" s="1163"/>
      <c r="H1042" s="814"/>
    </row>
    <row r="1043" spans="1:10" ht="16.5" customHeight="1">
      <c r="D1043" s="992" t="s">
        <v>377</v>
      </c>
      <c r="E1043" s="992"/>
      <c r="F1043" s="992"/>
      <c r="G1043" s="992"/>
      <c r="H1043" s="814"/>
    </row>
    <row r="1044" spans="1:10" ht="81.75" customHeight="1">
      <c r="D1044" s="931" t="str">
        <f>IF('Huong dan'!$E$5="","",'Huong dan'!$E$5)</f>
        <v/>
      </c>
      <c r="E1044" s="931"/>
      <c r="F1044" s="931"/>
      <c r="G1044" s="931"/>
      <c r="H1044" s="814"/>
    </row>
    <row r="1045" spans="1:10" ht="11.25" customHeight="1">
      <c r="A1045" s="75"/>
      <c r="B1045" s="815">
        <f>IF(B1016="","",IF(B1016&lt;MAX(DiemHKII!$B$4:$B$58),B1016+1,""))</f>
        <v>36</v>
      </c>
      <c r="C1045" s="75"/>
      <c r="D1045" s="75"/>
      <c r="E1045" s="75"/>
      <c r="F1045" s="75"/>
      <c r="G1045" s="75"/>
    </row>
    <row r="1046" spans="1:10" s="60" customFormat="1" ht="21" customHeight="1">
      <c r="A1046" s="1128" t="str">
        <f>IF('Huong dan'!$E$3&lt;&gt;"","SỞ GIÁO DỤC VÀ ĐÀO TẠO "&amp;UPPER('Huong dan'!$E$3),"")</f>
        <v>SỞ GIÁO DỤC VÀ ĐÀO TẠO TP. HỒ CHÍ MINH</v>
      </c>
      <c r="B1046" s="1128"/>
      <c r="C1046" s="1128"/>
      <c r="D1046" s="1128"/>
      <c r="E1046" s="1129" t="s">
        <v>19</v>
      </c>
      <c r="F1046" s="1129"/>
      <c r="G1046" s="1129"/>
    </row>
    <row r="1047" spans="1:10" ht="17.25" customHeight="1">
      <c r="A1047" s="992" t="str">
        <f>IF('Huong dan'!$E$4&lt;&gt;"","TRƯỜNG "&amp;UPPER('Huong dan'!$E$4),"")</f>
        <v>TRƯỜNG THCS VÀ THPT NGUYỄN KHUYẾN</v>
      </c>
      <c r="B1047" s="992"/>
      <c r="C1047" s="992"/>
      <c r="D1047" s="992"/>
      <c r="E1047" s="1130" t="s">
        <v>179</v>
      </c>
      <c r="F1047" s="1130"/>
      <c r="G1047" s="1130"/>
    </row>
    <row r="1048" spans="1:10" ht="15" customHeight="1">
      <c r="A1048" s="69"/>
      <c r="B1048" s="69"/>
      <c r="C1048" s="30"/>
    </row>
    <row r="1049" spans="1:10" ht="27.75" customHeight="1">
      <c r="A1049" s="1013" t="s">
        <v>567</v>
      </c>
      <c r="B1049" s="1013"/>
      <c r="C1049" s="1013"/>
      <c r="D1049" s="1013"/>
      <c r="E1049" s="1013"/>
      <c r="F1049" s="1013"/>
      <c r="G1049" s="1013"/>
    </row>
    <row r="1050" spans="1:10" ht="24" customHeight="1">
      <c r="A1050" s="1013" t="str">
        <f>"HỌC KỲ II VÀ CẢ NĂM - NĂM HỌC "&amp;'Huong dan'!$C$5</f>
        <v>HỌC KỲ II VÀ CẢ NĂM - NĂM HỌC 2021 - 2022</v>
      </c>
      <c r="B1050" s="1013"/>
      <c r="C1050" s="1013"/>
      <c r="D1050" s="1013"/>
      <c r="E1050" s="1013"/>
      <c r="F1050" s="1013"/>
      <c r="G1050" s="1013"/>
    </row>
    <row r="1051" spans="1:10" ht="9" customHeight="1">
      <c r="A1051" s="70"/>
      <c r="B1051" s="66"/>
      <c r="C1051" s="66"/>
      <c r="D1051" s="66"/>
      <c r="E1051" s="66"/>
      <c r="F1051" s="66"/>
      <c r="G1051" s="66"/>
    </row>
    <row r="1052" spans="1:10" ht="18.75" customHeight="1">
      <c r="A1052" s="1167" t="s">
        <v>212</v>
      </c>
      <c r="B1052" s="1167"/>
      <c r="C1052" s="1167"/>
      <c r="D1052" s="1167" t="str">
        <f>IF(B1074="","",INDEX(NXchung!$B$3:$EP$57,MATCH(B1074,NXchung!$B$3:$B$57,0),3)&amp;" "&amp;INDEX(NXchung!$B$3:$EP$57,MATCH(B1074,NXchung!$B$3:$B$57,0),4))</f>
        <v/>
      </c>
      <c r="E1052" s="1167"/>
      <c r="F1052" s="77" t="str">
        <f>IF('Huong dan'!$C$3="","","Lớp: "&amp;'Huong dan'!$C$3)</f>
        <v>Lớp: 12A1</v>
      </c>
      <c r="G1052" s="71"/>
    </row>
    <row r="1053" spans="1:10" ht="18.75" customHeight="1">
      <c r="A1053" s="1168" t="s">
        <v>213</v>
      </c>
      <c r="B1053" s="1168"/>
      <c r="C1053" s="1168"/>
      <c r="D1053" s="77" t="str">
        <f>INDEX(NXchung!$B$3:$EP$57,MATCH(B1074,NXchung!$B$3:$B$57,0),5)</f>
        <v/>
      </c>
      <c r="F1053" s="841" t="str">
        <f>IF(B1074="","","Nơi sinh: "&amp;INDEX(DiemHKII!$H$4:$H$58,MATCH(B1074,DiemHKII!$B$4:$B$58,0),1))</f>
        <v/>
      </c>
      <c r="G1053" s="77"/>
    </row>
    <row r="1054" spans="1:10" ht="9.75" customHeight="1">
      <c r="A1054" s="62"/>
      <c r="B1054" s="62"/>
      <c r="C1054" s="62"/>
      <c r="D1054" s="62"/>
      <c r="E1054" s="62"/>
      <c r="F1054" s="62"/>
      <c r="G1054" s="63"/>
    </row>
    <row r="1055" spans="1:10" ht="31.5" customHeight="1">
      <c r="A1055" s="801" t="s">
        <v>0</v>
      </c>
      <c r="B1055" s="801" t="s">
        <v>59</v>
      </c>
      <c r="C1055" s="806" t="s">
        <v>661</v>
      </c>
      <c r="D1055" s="801" t="s">
        <v>296</v>
      </c>
      <c r="E1055" s="806" t="s">
        <v>662</v>
      </c>
      <c r="F1055" s="801" t="s">
        <v>361</v>
      </c>
      <c r="G1055" s="802" t="s">
        <v>569</v>
      </c>
    </row>
    <row r="1056" spans="1:10" ht="45.9" customHeight="1">
      <c r="A1056" s="803" t="s">
        <v>191</v>
      </c>
      <c r="B1056" s="813" t="s">
        <v>26</v>
      </c>
      <c r="C1056" s="805" t="str">
        <f>IF(B1074="","",INDEX(NXchung!$B$3:$EP$57,MATCH(B1074,NXchung!$B$3:$B$57,0),INDEX($K$12:$N$25,MATCH($B1056,$J$12:$J$25,0),K$11)))</f>
        <v/>
      </c>
      <c r="D1056" s="808" t="str">
        <f>IF(B1074="","",INDEX(NXchung!$B$3:$EP$57,MATCH(B1074,NXchung!$B$3:$B$57,0),INDEX($K$12:$N$25,MATCH($B1056,$J$12:$J$25,0),L$11)))</f>
        <v/>
      </c>
      <c r="E1056" s="805" t="str">
        <f>IF(B1074="","",INDEX(NXchung!$B$3:$EP$57,MATCH(B1074,NXchung!$B$3:$B$57,0),INDEX($K$12:$N$25,MATCH($B1056,$J$12:$J$25,0),M$11)))</f>
        <v/>
      </c>
      <c r="F1056" s="808" t="str">
        <f>IF(B1074="","",INDEX(NXchung!$B$3:$EP$57,MATCH(B1074,NXchung!$B$3:$B$57,0),INDEX($K$12:$N$25,MATCH($B1056,$J$12:$J$25,0),N$11)))</f>
        <v/>
      </c>
      <c r="G1056" s="805"/>
      <c r="I1056" s="64"/>
      <c r="J1056" s="64"/>
    </row>
    <row r="1057" spans="1:10" ht="45.9" customHeight="1">
      <c r="A1057" s="803" t="s">
        <v>192</v>
      </c>
      <c r="B1057" s="813" t="s">
        <v>27</v>
      </c>
      <c r="C1057" s="805" t="str">
        <f>IF(B1074="","",INDEX(NXchung!$B$3:$EP$57,MATCH(B1074,NXchung!$B$3:$B$57,0),INDEX($K$12:$N$25,MATCH($B1057,$J$12:$J$25,0),K$11)))</f>
        <v/>
      </c>
      <c r="D1057" s="808" t="str">
        <f>IF(B1074="","",INDEX(NXchung!$B$3:$EP$57,MATCH(B1074,NXchung!$B$3:$B$57,0),INDEX($K$12:$N$25,MATCH($B1057,$J$12:$J$25,0),L$11)))</f>
        <v/>
      </c>
      <c r="E1057" s="805" t="str">
        <f>IF(B1074="","",INDEX(NXchung!$B$3:$EP$57,MATCH(B1074,NXchung!$B$3:$B$57,0),INDEX($K$12:$N$25,MATCH($B1057,$J$12:$J$25,0),M$11)))</f>
        <v/>
      </c>
      <c r="F1057" s="808" t="str">
        <f>IF(B1074="","",INDEX(NXchung!$B$3:$EP$57,MATCH(B1074,NXchung!$B$3:$B$57,0),INDEX($K$12:$N$25,MATCH($B1057,$J$12:$J$25,0),N$11)))</f>
        <v/>
      </c>
      <c r="G1057" s="805"/>
      <c r="I1057" s="64"/>
      <c r="J1057" s="64"/>
    </row>
    <row r="1058" spans="1:10" ht="45.9" customHeight="1">
      <c r="A1058" s="803" t="s">
        <v>193</v>
      </c>
      <c r="B1058" s="813" t="s">
        <v>28</v>
      </c>
      <c r="C1058" s="805" t="str">
        <f>IF(B1074="","",INDEX(NXchung!$B$3:$EP$57,MATCH(B1074,NXchung!$B$3:$B$57,0),INDEX($K$12:$N$25,MATCH($B1058,$J$12:$J$25,0),K$11)))</f>
        <v/>
      </c>
      <c r="D1058" s="808" t="str">
        <f>IF(B1074="","",INDEX(NXchung!$B$3:$EP$57,MATCH(B1074,NXchung!$B$3:$B$57,0),INDEX($K$12:$N$25,MATCH($B1058,$J$12:$J$25,0),L$11)))</f>
        <v/>
      </c>
      <c r="E1058" s="805" t="str">
        <f>IF(B1074="","",INDEX(NXchung!$B$3:$EP$57,MATCH(B1074,NXchung!$B$3:$B$57,0),INDEX($K$12:$N$25,MATCH($B1058,$J$12:$J$25,0),M$11)))</f>
        <v/>
      </c>
      <c r="F1058" s="808" t="str">
        <f>IF(B1074="","",INDEX(NXchung!$B$3:$EP$57,MATCH(B1074,NXchung!$B$3:$B$57,0),INDEX($K$12:$N$25,MATCH($B1058,$J$12:$J$25,0),N$11)))</f>
        <v/>
      </c>
      <c r="G1058" s="805"/>
      <c r="I1058" s="64"/>
      <c r="J1058" s="64"/>
    </row>
    <row r="1059" spans="1:10" ht="45.9" customHeight="1">
      <c r="A1059" s="803" t="s">
        <v>194</v>
      </c>
      <c r="B1059" s="813" t="s">
        <v>29</v>
      </c>
      <c r="C1059" s="805" t="str">
        <f>IF(B1074="","",INDEX(NXchung!$B$3:$EP$57,MATCH(B1074,NXchung!$B$3:$B$57,0),INDEX($K$12:$N$25,MATCH($B1059,$J$12:$J$25,0),K$11)))</f>
        <v/>
      </c>
      <c r="D1059" s="808" t="str">
        <f>IF(B1074="","",INDEX(NXchung!$B$3:$EP$57,MATCH(B1074,NXchung!$B$3:$B$57,0),INDEX($K$12:$N$25,MATCH($B1059,$J$12:$J$25,0),L$11)))</f>
        <v/>
      </c>
      <c r="E1059" s="805" t="str">
        <f>IF(B1074="","",INDEX(NXchung!$B$3:$EP$57,MATCH(B1074,NXchung!$B$3:$B$57,0),INDEX($K$12:$N$25,MATCH($B1059,$J$12:$J$25,0),M$11)))</f>
        <v/>
      </c>
      <c r="F1059" s="808" t="str">
        <f>IF(B1074="","",INDEX(NXchung!$B$3:$EP$57,MATCH(B1074,NXchung!$B$3:$B$57,0),INDEX($K$12:$N$25,MATCH($B1059,$J$12:$J$25,0),N$11)))</f>
        <v/>
      </c>
      <c r="G1059" s="805"/>
      <c r="I1059" s="64"/>
      <c r="J1059" s="64"/>
    </row>
    <row r="1060" spans="1:10" ht="45.9" customHeight="1">
      <c r="A1060" s="803" t="s">
        <v>195</v>
      </c>
      <c r="B1060" s="813" t="s">
        <v>120</v>
      </c>
      <c r="C1060" s="805" t="str">
        <f>IF(B1074="","",INDEX(NXchung!$B$3:$EP$57,MATCH(B1074,NXchung!$B$3:$B$57,0),INDEX($K$12:$N$25,MATCH($B1060,$J$12:$J$25,0),K$11)))</f>
        <v/>
      </c>
      <c r="D1060" s="808" t="str">
        <f>IF(B1074="","",INDEX(NXchung!$B$3:$EP$57,MATCH(B1074,NXchung!$B$3:$B$57,0),INDEX($K$12:$N$25,MATCH($B1060,$J$12:$J$25,0),L$11)))</f>
        <v/>
      </c>
      <c r="E1060" s="805" t="str">
        <f>IF(B1074="","",INDEX(NXchung!$B$3:$EP$57,MATCH(B1074,NXchung!$B$3:$B$57,0),INDEX($K$12:$N$25,MATCH($B1060,$J$12:$J$25,0),M$11)))</f>
        <v/>
      </c>
      <c r="F1060" s="808" t="str">
        <f>IF(B1074="","",INDEX(NXchung!$B$3:$EP$57,MATCH(B1074,NXchung!$B$3:$B$57,0),INDEX($K$12:$N$25,MATCH($B1060,$J$12:$J$25,0),N$11)))</f>
        <v/>
      </c>
      <c r="G1060" s="805"/>
      <c r="I1060" s="64"/>
      <c r="J1060" s="64"/>
    </row>
    <row r="1061" spans="1:10" ht="45.9" customHeight="1">
      <c r="A1061" s="803" t="s">
        <v>196</v>
      </c>
      <c r="B1061" s="813" t="s">
        <v>30</v>
      </c>
      <c r="C1061" s="805" t="str">
        <f>IF(B1074="","",INDEX(NXchung!$B$3:$EP$57,MATCH(B1074,NXchung!$B$3:$B$57,0),INDEX($K$12:$N$25,MATCH($B1061,$J$12:$J$25,0),K$11)))</f>
        <v/>
      </c>
      <c r="D1061" s="808" t="str">
        <f>IF(B1074="","",INDEX(NXchung!$B$3:$EP$57,MATCH(B1074,NXchung!$B$3:$B$57,0),INDEX($K$12:$N$25,MATCH($B1061,$J$12:$J$25,0),L$11)))</f>
        <v/>
      </c>
      <c r="E1061" s="805" t="str">
        <f>IF(B1074="","",INDEX(NXchung!$B$3:$EP$57,MATCH(B1074,NXchung!$B$3:$B$57,0),INDEX($K$12:$N$25,MATCH($B1061,$J$12:$J$25,0),M$11)))</f>
        <v/>
      </c>
      <c r="F1061" s="808" t="str">
        <f>IF(B1074="","",INDEX(NXchung!$B$3:$EP$57,MATCH(B1074,NXchung!$B$3:$B$57,0),INDEX($K$12:$N$25,MATCH($B1061,$J$12:$J$25,0),N$11)))</f>
        <v/>
      </c>
      <c r="G1061" s="805"/>
      <c r="I1061" s="64"/>
      <c r="J1061" s="64"/>
    </row>
    <row r="1062" spans="1:10" ht="45.9" customHeight="1">
      <c r="A1062" s="803" t="s">
        <v>197</v>
      </c>
      <c r="B1062" s="813" t="s">
        <v>31</v>
      </c>
      <c r="C1062" s="805" t="str">
        <f>IF(B1074="","",INDEX(NXchung!$B$3:$EP$57,MATCH(B1074,NXchung!$B$3:$B$57,0),INDEX($K$12:$N$25,MATCH($B1062,$J$12:$J$25,0),K$11)))</f>
        <v/>
      </c>
      <c r="D1062" s="808" t="str">
        <f>IF(B1074="","",INDEX(NXchung!$B$3:$EP$57,MATCH(B1074,NXchung!$B$3:$B$57,0),INDEX($K$12:$N$25,MATCH($B1062,$J$12:$J$25,0),L$11)))</f>
        <v/>
      </c>
      <c r="E1062" s="805" t="str">
        <f>IF(B1074="","",INDEX(NXchung!$B$3:$EP$57,MATCH(B1074,NXchung!$B$3:$B$57,0),INDEX($K$12:$N$25,MATCH($B1062,$J$12:$J$25,0),M$11)))</f>
        <v/>
      </c>
      <c r="F1062" s="808" t="str">
        <f>IF(B1074="","",INDEX(NXchung!$B$3:$EP$57,MATCH(B1074,NXchung!$B$3:$B$57,0),INDEX($K$12:$N$25,MATCH($B1062,$J$12:$J$25,0),N$11)))</f>
        <v/>
      </c>
      <c r="G1062" s="805"/>
      <c r="I1062" s="64"/>
      <c r="J1062" s="64"/>
    </row>
    <row r="1063" spans="1:10" ht="45.9" customHeight="1">
      <c r="A1063" s="803" t="s">
        <v>198</v>
      </c>
      <c r="B1063" s="813" t="s">
        <v>32</v>
      </c>
      <c r="C1063" s="805" t="str">
        <f>IF(B1074="","",INDEX(NXchung!$B$3:$EP$57,MATCH(B1074,NXchung!$B$3:$B$57,0),INDEX($K$12:$N$25,MATCH($B1063,$J$12:$J$25,0),K$11)))</f>
        <v/>
      </c>
      <c r="D1063" s="808" t="str">
        <f>IF(B1074="","",INDEX(NXchung!$B$3:$EP$57,MATCH(B1074,NXchung!$B$3:$B$57,0),INDEX($K$12:$N$25,MATCH($B1063,$J$12:$J$25,0),L$11)))</f>
        <v/>
      </c>
      <c r="E1063" s="805" t="str">
        <f>IF(B1074="","",INDEX(NXchung!$B$3:$EP$57,MATCH(B1074,NXchung!$B$3:$B$57,0),INDEX($K$12:$N$25,MATCH($B1063,$J$12:$J$25,0),M$11)))</f>
        <v/>
      </c>
      <c r="F1063" s="808" t="str">
        <f>IF(B1074="","",INDEX(NXchung!$B$3:$EP$57,MATCH(B1074,NXchung!$B$3:$B$57,0),INDEX($K$12:$N$25,MATCH($B1063,$J$12:$J$25,0),N$11)))</f>
        <v/>
      </c>
      <c r="G1063" s="805"/>
      <c r="I1063" s="64"/>
      <c r="J1063" s="64"/>
    </row>
    <row r="1064" spans="1:10" ht="45.9" customHeight="1">
      <c r="A1064" s="803" t="s">
        <v>199</v>
      </c>
      <c r="B1064" s="813" t="s">
        <v>33</v>
      </c>
      <c r="C1064" s="805" t="str">
        <f>IF(B1074="","",INDEX(NXchung!$B$3:$EP$57,MATCH(B1074,NXchung!$B$3:$B$57,0),INDEX($K$12:$N$25,MATCH($B1064,$J$12:$J$25,0),K$11)))</f>
        <v/>
      </c>
      <c r="D1064" s="808" t="str">
        <f>IF(B1074="","",INDEX(NXchung!$B$3:$EP$57,MATCH(B1074,NXchung!$B$3:$B$57,0),INDEX($K$12:$N$25,MATCH($B1064,$J$12:$J$25,0),L$11)))</f>
        <v/>
      </c>
      <c r="E1064" s="805" t="str">
        <f>IF(B1074="","",INDEX(NXchung!$B$3:$EP$57,MATCH(B1074,NXchung!$B$3:$B$57,0),INDEX($K$12:$N$25,MATCH($B1064,$J$12:$J$25,0),M$11)))</f>
        <v/>
      </c>
      <c r="F1064" s="808" t="str">
        <f>IF(B1074="","",INDEX(NXchung!$B$3:$EP$57,MATCH(B1074,NXchung!$B$3:$B$57,0),INDEX($K$12:$N$25,MATCH($B1064,$J$12:$J$25,0),N$11)))</f>
        <v/>
      </c>
      <c r="G1064" s="805"/>
      <c r="I1064" s="64"/>
      <c r="J1064" s="64"/>
    </row>
    <row r="1065" spans="1:10" ht="45.9" customHeight="1">
      <c r="A1065" s="803" t="s">
        <v>200</v>
      </c>
      <c r="B1065" s="813" t="s">
        <v>60</v>
      </c>
      <c r="C1065" s="805" t="str">
        <f>IF(B1074="","",INDEX(NXchung!$B$3:$EP$57,MATCH(B1074,NXchung!$B$3:$B$57,0),INDEX($K$12:$N$25,MATCH($B1065,$J$12:$J$25,0),K$11)))</f>
        <v/>
      </c>
      <c r="D1065" s="808" t="str">
        <f>IF(B1074="","",INDEX(NXchung!$B$3:$EP$57,MATCH(B1074,NXchung!$B$3:$B$57,0),INDEX($K$12:$N$25,MATCH($B1065,$J$12:$J$25,0),L$11)))</f>
        <v/>
      </c>
      <c r="E1065" s="805" t="str">
        <f>IF(B1074="","",INDEX(NXchung!$B$3:$EP$57,MATCH(B1074,NXchung!$B$3:$B$57,0),INDEX($K$12:$N$25,MATCH($B1065,$J$12:$J$25,0),M$11)))</f>
        <v/>
      </c>
      <c r="F1065" s="808" t="str">
        <f>IF(B1074="","",INDEX(NXchung!$B$3:$EP$57,MATCH(B1074,NXchung!$B$3:$B$57,0),INDEX($K$12:$N$25,MATCH($B1065,$J$12:$J$25,0),N$11)))</f>
        <v/>
      </c>
      <c r="G1065" s="805"/>
      <c r="I1065" s="64"/>
      <c r="J1065" s="64"/>
    </row>
    <row r="1066" spans="1:10" ht="45.9" customHeight="1">
      <c r="A1066" s="803" t="s">
        <v>201</v>
      </c>
      <c r="B1066" s="813" t="s">
        <v>34</v>
      </c>
      <c r="C1066" s="805" t="str">
        <f>IF(B1074="","",INDEX(NXchung!$B$3:$EP$57,MATCH(B1074,NXchung!$B$3:$B$57,0),INDEX($K$12:$N$25,MATCH($B1066,$J$12:$J$25,0),K$11)))</f>
        <v/>
      </c>
      <c r="D1066" s="808" t="str">
        <f>IF(B1074="","",INDEX(NXchung!$B$3:$EP$57,MATCH(B1074,NXchung!$B$3:$B$57,0),INDEX($K$12:$N$25,MATCH($B1066,$J$12:$J$25,0),L$11)))</f>
        <v/>
      </c>
      <c r="E1066" s="805" t="str">
        <f>IF(B1074="","",INDEX(NXchung!$B$3:$EP$57,MATCH(B1074,NXchung!$B$3:$B$57,0),INDEX($K$12:$N$25,MATCH($B1066,$J$12:$J$25,0),M$11)))</f>
        <v/>
      </c>
      <c r="F1066" s="808" t="str">
        <f>IF(B1074="","",INDEX(NXchung!$B$3:$EP$57,MATCH(B1074,NXchung!$B$3:$B$57,0),INDEX($K$12:$N$25,MATCH($B1066,$J$12:$J$25,0),N$11)))</f>
        <v/>
      </c>
      <c r="G1066" s="805"/>
      <c r="I1066" s="64"/>
      <c r="J1066" s="64"/>
    </row>
    <row r="1067" spans="1:10" ht="45.9" customHeight="1">
      <c r="A1067" s="803" t="s">
        <v>202</v>
      </c>
      <c r="B1067" s="813" t="s">
        <v>35</v>
      </c>
      <c r="C1067" s="805" t="str">
        <f>IF(B1074="","",INDEX(NXchung!$B$3:$EP$57,MATCH(B1074,NXchung!$B$3:$B$57,0),INDEX($K$12:$N$25,MATCH($B1067,$J$12:$J$25,0),K$11)))</f>
        <v/>
      </c>
      <c r="D1067" s="808" t="str">
        <f>IF(B1074="","",INDEX(NXchung!$B$3:$EP$57,MATCH(B1074,NXchung!$B$3:$B$57,0),INDEX($K$12:$N$25,MATCH($B1067,$J$12:$J$25,0),L$11)))</f>
        <v/>
      </c>
      <c r="E1067" s="805" t="str">
        <f>IF(B1074="","",INDEX(NXchung!$B$3:$EP$57,MATCH(B1074,NXchung!$B$3:$B$57,0),INDEX($K$12:$N$25,MATCH($B1067,$J$12:$J$25,0),M$11)))</f>
        <v/>
      </c>
      <c r="F1067" s="808" t="str">
        <f>IF(B1074="","",INDEX(NXchung!$B$3:$EP$57,MATCH(B1074,NXchung!$B$3:$B$57,0),INDEX($K$12:$N$25,MATCH($B1067,$J$12:$J$25,0),N$11)))</f>
        <v/>
      </c>
      <c r="G1067" s="805"/>
      <c r="I1067" s="64"/>
      <c r="J1067" s="64"/>
    </row>
    <row r="1068" spans="1:10" ht="45.9" customHeight="1">
      <c r="A1068" s="803" t="s">
        <v>203</v>
      </c>
      <c r="B1068" s="813" t="s">
        <v>121</v>
      </c>
      <c r="C1068" s="805" t="str">
        <f>IF(B1074="","",INDEX(NXchung!$B$3:$EP$57,MATCH(B1074,NXchung!$B$3:$B$57,0),INDEX($K$12:$N$25,MATCH($B1068,$J$12:$J$25,0),K$11)))</f>
        <v/>
      </c>
      <c r="D1068" s="808" t="str">
        <f>IF(B1074="","",INDEX(NXchung!$B$3:$EP$57,MATCH(B1074,NXchung!$B$3:$B$57,0),INDEX($K$12:$N$25,MATCH($B1068,$J$12:$J$25,0),L$11)))</f>
        <v/>
      </c>
      <c r="E1068" s="805" t="str">
        <f>IF(B1074="","",INDEX(NXchung!$B$3:$EP$57,MATCH(B1074,NXchung!$B$3:$B$57,0),INDEX($K$12:$N$25,MATCH($B1068,$J$12:$J$25,0),M$11)))</f>
        <v/>
      </c>
      <c r="F1068" s="808" t="str">
        <f>IF(B1074="","",INDEX(NXchung!$B$3:$EP$57,MATCH(B1074,NXchung!$B$3:$B$57,0),INDEX($K$12:$N$25,MATCH($B1068,$J$12:$J$25,0),N$11)))</f>
        <v/>
      </c>
      <c r="G1068" s="805"/>
      <c r="I1068" s="64"/>
      <c r="J1068" s="64"/>
    </row>
    <row r="1069" spans="1:10" ht="45.9" customHeight="1">
      <c r="A1069" s="803" t="s">
        <v>204</v>
      </c>
      <c r="B1069" s="813" t="s">
        <v>122</v>
      </c>
      <c r="C1069" s="805" t="str">
        <f>IF(B1074="","",INDEX(NXchung!$B$3:$EP$57,MATCH(B1074,NXchung!$B$3:$B$57,0),INDEX($K$12:$N$25,MATCH($B1069,$J$12:$J$25,0),K$11)))</f>
        <v/>
      </c>
      <c r="D1069" s="808" t="str">
        <f>IF(B1074="","",INDEX(NXchung!$B$3:$EP$57,MATCH(B1074,NXchung!$B$3:$B$57,0),INDEX($K$12:$N$25,MATCH($B1069,$J$12:$J$25,0),L$11)))</f>
        <v/>
      </c>
      <c r="E1069" s="805" t="str">
        <f>IF(B1074="","",INDEX(NXchung!$B$3:$EP$57,MATCH(B1074,NXchung!$B$3:$B$57,0),INDEX($K$12:$N$25,MATCH($B1069,$J$12:$J$25,0),M$11)))</f>
        <v/>
      </c>
      <c r="F1069" s="808" t="str">
        <f>IF(B1074="","",INDEX(NXchung!$B$3:$EP$57,MATCH(B1074,NXchung!$B$3:$B$57,0),INDEX($K$12:$N$25,MATCH($B1069,$J$12:$J$25,0),N$11)))</f>
        <v/>
      </c>
      <c r="G1069" s="805"/>
      <c r="I1069" s="64"/>
      <c r="J1069" s="64"/>
    </row>
    <row r="1070" spans="1:10" s="60" customFormat="1" ht="6" customHeight="1">
      <c r="A1070" s="67"/>
      <c r="B1070" s="67"/>
      <c r="C1070" s="475"/>
      <c r="D1070" s="475"/>
      <c r="E1070" s="67"/>
      <c r="F1070" s="67"/>
      <c r="G1070" s="67"/>
    </row>
    <row r="1071" spans="1:10" ht="17.25" customHeight="1">
      <c r="D1071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071" s="1163"/>
      <c r="F1071" s="1163"/>
      <c r="G1071" s="1163"/>
      <c r="H1071" s="814"/>
    </row>
    <row r="1072" spans="1:10" ht="16.5" customHeight="1">
      <c r="D1072" s="992" t="s">
        <v>377</v>
      </c>
      <c r="E1072" s="992"/>
      <c r="F1072" s="992"/>
      <c r="G1072" s="992"/>
      <c r="H1072" s="814"/>
    </row>
    <row r="1073" spans="1:10" ht="81.75" customHeight="1">
      <c r="D1073" s="931" t="str">
        <f>IF('Huong dan'!$E$5="","",'Huong dan'!$E$5)</f>
        <v/>
      </c>
      <c r="E1073" s="931"/>
      <c r="F1073" s="931"/>
      <c r="G1073" s="931"/>
      <c r="H1073" s="814"/>
    </row>
    <row r="1074" spans="1:10" ht="11.25" customHeight="1">
      <c r="A1074" s="75"/>
      <c r="B1074" s="815" t="str">
        <f>IF(B1045="","",IF(B1045&lt;MAX(DiemHKII!$B$4:$B$58),B1045+1,""))</f>
        <v/>
      </c>
      <c r="C1074" s="75"/>
      <c r="D1074" s="75"/>
      <c r="E1074" s="75"/>
      <c r="F1074" s="75"/>
      <c r="G1074" s="75"/>
    </row>
    <row r="1075" spans="1:10" s="60" customFormat="1" ht="21" customHeight="1">
      <c r="A1075" s="1128" t="str">
        <f>IF('Huong dan'!$E$3&lt;&gt;"","SỞ GIÁO DỤC VÀ ĐÀO TẠO "&amp;UPPER('Huong dan'!$E$3),"")</f>
        <v>SỞ GIÁO DỤC VÀ ĐÀO TẠO TP. HỒ CHÍ MINH</v>
      </c>
      <c r="B1075" s="1128"/>
      <c r="C1075" s="1128"/>
      <c r="D1075" s="1128"/>
      <c r="E1075" s="1129" t="s">
        <v>19</v>
      </c>
      <c r="F1075" s="1129"/>
      <c r="G1075" s="1129"/>
    </row>
    <row r="1076" spans="1:10" ht="17.25" customHeight="1">
      <c r="A1076" s="992" t="str">
        <f>IF('Huong dan'!$E$4&lt;&gt;"","TRƯỜNG "&amp;UPPER('Huong dan'!$E$4),"")</f>
        <v>TRƯỜNG THCS VÀ THPT NGUYỄN KHUYẾN</v>
      </c>
      <c r="B1076" s="992"/>
      <c r="C1076" s="992"/>
      <c r="D1076" s="992"/>
      <c r="E1076" s="1130" t="s">
        <v>179</v>
      </c>
      <c r="F1076" s="1130"/>
      <c r="G1076" s="1130"/>
    </row>
    <row r="1077" spans="1:10" ht="15" customHeight="1">
      <c r="A1077" s="69"/>
      <c r="B1077" s="69"/>
      <c r="C1077" s="30"/>
    </row>
    <row r="1078" spans="1:10" ht="27.75" customHeight="1">
      <c r="A1078" s="1013" t="s">
        <v>567</v>
      </c>
      <c r="B1078" s="1013"/>
      <c r="C1078" s="1013"/>
      <c r="D1078" s="1013"/>
      <c r="E1078" s="1013"/>
      <c r="F1078" s="1013"/>
      <c r="G1078" s="1013"/>
    </row>
    <row r="1079" spans="1:10" ht="24" customHeight="1">
      <c r="A1079" s="1013" t="str">
        <f>"HỌC KỲ II VÀ CẢ NĂM - NĂM HỌC "&amp;'Huong dan'!$C$5</f>
        <v>HỌC KỲ II VÀ CẢ NĂM - NĂM HỌC 2021 - 2022</v>
      </c>
      <c r="B1079" s="1013"/>
      <c r="C1079" s="1013"/>
      <c r="D1079" s="1013"/>
      <c r="E1079" s="1013"/>
      <c r="F1079" s="1013"/>
      <c r="G1079" s="1013"/>
    </row>
    <row r="1080" spans="1:10" ht="9" customHeight="1">
      <c r="A1080" s="70"/>
      <c r="B1080" s="66"/>
      <c r="C1080" s="66"/>
      <c r="D1080" s="66"/>
      <c r="E1080" s="66"/>
      <c r="F1080" s="66"/>
      <c r="G1080" s="66"/>
    </row>
    <row r="1081" spans="1:10" ht="18.75" customHeight="1">
      <c r="A1081" s="1167" t="s">
        <v>212</v>
      </c>
      <c r="B1081" s="1167"/>
      <c r="C1081" s="1167"/>
      <c r="D1081" s="1167" t="str">
        <f>IF(B1103="","",INDEX(NXchung!$B$3:$EP$57,MATCH(B1103,NXchung!$B$3:$B$57,0),3)&amp;" "&amp;INDEX(NXchung!$B$3:$EP$57,MATCH(B1103,NXchung!$B$3:$B$57,0),4))</f>
        <v/>
      </c>
      <c r="E1081" s="1167"/>
      <c r="F1081" s="77" t="str">
        <f>IF('Huong dan'!$C$3="","","Lớp: "&amp;'Huong dan'!$C$3)</f>
        <v>Lớp: 12A1</v>
      </c>
      <c r="G1081" s="71"/>
    </row>
    <row r="1082" spans="1:10" ht="18.75" customHeight="1">
      <c r="A1082" s="1168" t="s">
        <v>213</v>
      </c>
      <c r="B1082" s="1168"/>
      <c r="C1082" s="1168"/>
      <c r="D1082" s="77" t="str">
        <f>INDEX(NXchung!$B$3:$EP$57,MATCH(B1103,NXchung!$B$3:$B$57,0),5)</f>
        <v/>
      </c>
      <c r="F1082" s="841" t="str">
        <f>IF(B1103="","","Nơi sinh: "&amp;INDEX(DiemHKII!$H$4:$H$58,MATCH(B1103,DiemHKII!$B$4:$B$58,0),1))</f>
        <v/>
      </c>
      <c r="G1082" s="77"/>
    </row>
    <row r="1083" spans="1:10" ht="9.75" customHeight="1">
      <c r="A1083" s="62"/>
      <c r="B1083" s="62"/>
      <c r="C1083" s="62"/>
      <c r="D1083" s="62"/>
      <c r="E1083" s="62"/>
      <c r="F1083" s="62"/>
      <c r="G1083" s="63"/>
    </row>
    <row r="1084" spans="1:10" ht="31.5" customHeight="1">
      <c r="A1084" s="801" t="s">
        <v>0</v>
      </c>
      <c r="B1084" s="801" t="s">
        <v>59</v>
      </c>
      <c r="C1084" s="806" t="s">
        <v>661</v>
      </c>
      <c r="D1084" s="801" t="s">
        <v>296</v>
      </c>
      <c r="E1084" s="806" t="s">
        <v>662</v>
      </c>
      <c r="F1084" s="801" t="s">
        <v>361</v>
      </c>
      <c r="G1084" s="802" t="s">
        <v>569</v>
      </c>
    </row>
    <row r="1085" spans="1:10" ht="45.9" customHeight="1">
      <c r="A1085" s="803" t="s">
        <v>191</v>
      </c>
      <c r="B1085" s="813" t="s">
        <v>26</v>
      </c>
      <c r="C1085" s="805" t="str">
        <f>IF(B1103="","",INDEX(NXchung!$B$3:$EP$57,MATCH(B1103,NXchung!$B$3:$B$57,0),INDEX($K$12:$N$25,MATCH($B1085,$J$12:$J$25,0),K$11)))</f>
        <v/>
      </c>
      <c r="D1085" s="808" t="str">
        <f>IF(B1103="","",INDEX(NXchung!$B$3:$EP$57,MATCH(B1103,NXchung!$B$3:$B$57,0),INDEX($K$12:$N$25,MATCH($B1085,$J$12:$J$25,0),L$11)))</f>
        <v/>
      </c>
      <c r="E1085" s="805" t="str">
        <f>IF(B1103="","",INDEX(NXchung!$B$3:$EP$57,MATCH(B1103,NXchung!$B$3:$B$57,0),INDEX($K$12:$N$25,MATCH($B1085,$J$12:$J$25,0),M$11)))</f>
        <v/>
      </c>
      <c r="F1085" s="808" t="str">
        <f>IF(B1103="","",INDEX(NXchung!$B$3:$EP$57,MATCH(B1103,NXchung!$B$3:$B$57,0),INDEX($K$12:$N$25,MATCH($B1085,$J$12:$J$25,0),N$11)))</f>
        <v/>
      </c>
      <c r="G1085" s="805"/>
      <c r="I1085" s="64"/>
      <c r="J1085" s="64"/>
    </row>
    <row r="1086" spans="1:10" ht="45.9" customHeight="1">
      <c r="A1086" s="803" t="s">
        <v>192</v>
      </c>
      <c r="B1086" s="813" t="s">
        <v>27</v>
      </c>
      <c r="C1086" s="805" t="str">
        <f>IF(B1103="","",INDEX(NXchung!$B$3:$EP$57,MATCH(B1103,NXchung!$B$3:$B$57,0),INDEX($K$12:$N$25,MATCH($B1086,$J$12:$J$25,0),K$11)))</f>
        <v/>
      </c>
      <c r="D1086" s="808" t="str">
        <f>IF(B1103="","",INDEX(NXchung!$B$3:$EP$57,MATCH(B1103,NXchung!$B$3:$B$57,0),INDEX($K$12:$N$25,MATCH($B1086,$J$12:$J$25,0),L$11)))</f>
        <v/>
      </c>
      <c r="E1086" s="805" t="str">
        <f>IF(B1103="","",INDEX(NXchung!$B$3:$EP$57,MATCH(B1103,NXchung!$B$3:$B$57,0),INDEX($K$12:$N$25,MATCH($B1086,$J$12:$J$25,0),M$11)))</f>
        <v/>
      </c>
      <c r="F1086" s="808" t="str">
        <f>IF(B1103="","",INDEX(NXchung!$B$3:$EP$57,MATCH(B1103,NXchung!$B$3:$B$57,0),INDEX($K$12:$N$25,MATCH($B1086,$J$12:$J$25,0),N$11)))</f>
        <v/>
      </c>
      <c r="G1086" s="805"/>
      <c r="I1086" s="64"/>
      <c r="J1086" s="64"/>
    </row>
    <row r="1087" spans="1:10" ht="45.9" customHeight="1">
      <c r="A1087" s="803" t="s">
        <v>193</v>
      </c>
      <c r="B1087" s="813" t="s">
        <v>28</v>
      </c>
      <c r="C1087" s="805" t="str">
        <f>IF(B1103="","",INDEX(NXchung!$B$3:$EP$57,MATCH(B1103,NXchung!$B$3:$B$57,0),INDEX($K$12:$N$25,MATCH($B1087,$J$12:$J$25,0),K$11)))</f>
        <v/>
      </c>
      <c r="D1087" s="808" t="str">
        <f>IF(B1103="","",INDEX(NXchung!$B$3:$EP$57,MATCH(B1103,NXchung!$B$3:$B$57,0),INDEX($K$12:$N$25,MATCH($B1087,$J$12:$J$25,0),L$11)))</f>
        <v/>
      </c>
      <c r="E1087" s="805" t="str">
        <f>IF(B1103="","",INDEX(NXchung!$B$3:$EP$57,MATCH(B1103,NXchung!$B$3:$B$57,0),INDEX($K$12:$N$25,MATCH($B1087,$J$12:$J$25,0),M$11)))</f>
        <v/>
      </c>
      <c r="F1087" s="808" t="str">
        <f>IF(B1103="","",INDEX(NXchung!$B$3:$EP$57,MATCH(B1103,NXchung!$B$3:$B$57,0),INDEX($K$12:$N$25,MATCH($B1087,$J$12:$J$25,0),N$11)))</f>
        <v/>
      </c>
      <c r="G1087" s="805"/>
      <c r="I1087" s="64"/>
      <c r="J1087" s="64"/>
    </row>
    <row r="1088" spans="1:10" ht="45.9" customHeight="1">
      <c r="A1088" s="803" t="s">
        <v>194</v>
      </c>
      <c r="B1088" s="813" t="s">
        <v>29</v>
      </c>
      <c r="C1088" s="805" t="str">
        <f>IF(B1103="","",INDEX(NXchung!$B$3:$EP$57,MATCH(B1103,NXchung!$B$3:$B$57,0),INDEX($K$12:$N$25,MATCH($B1088,$J$12:$J$25,0),K$11)))</f>
        <v/>
      </c>
      <c r="D1088" s="808" t="str">
        <f>IF(B1103="","",INDEX(NXchung!$B$3:$EP$57,MATCH(B1103,NXchung!$B$3:$B$57,0),INDEX($K$12:$N$25,MATCH($B1088,$J$12:$J$25,0),L$11)))</f>
        <v/>
      </c>
      <c r="E1088" s="805" t="str">
        <f>IF(B1103="","",INDEX(NXchung!$B$3:$EP$57,MATCH(B1103,NXchung!$B$3:$B$57,0),INDEX($K$12:$N$25,MATCH($B1088,$J$12:$J$25,0),M$11)))</f>
        <v/>
      </c>
      <c r="F1088" s="808" t="str">
        <f>IF(B1103="","",INDEX(NXchung!$B$3:$EP$57,MATCH(B1103,NXchung!$B$3:$B$57,0),INDEX($K$12:$N$25,MATCH($B1088,$J$12:$J$25,0),N$11)))</f>
        <v/>
      </c>
      <c r="G1088" s="805"/>
      <c r="I1088" s="64"/>
      <c r="J1088" s="64"/>
    </row>
    <row r="1089" spans="1:10" ht="45.9" customHeight="1">
      <c r="A1089" s="803" t="s">
        <v>195</v>
      </c>
      <c r="B1089" s="813" t="s">
        <v>120</v>
      </c>
      <c r="C1089" s="805" t="str">
        <f>IF(B1103="","",INDEX(NXchung!$B$3:$EP$57,MATCH(B1103,NXchung!$B$3:$B$57,0),INDEX($K$12:$N$25,MATCH($B1089,$J$12:$J$25,0),K$11)))</f>
        <v/>
      </c>
      <c r="D1089" s="808" t="str">
        <f>IF(B1103="","",INDEX(NXchung!$B$3:$EP$57,MATCH(B1103,NXchung!$B$3:$B$57,0),INDEX($K$12:$N$25,MATCH($B1089,$J$12:$J$25,0),L$11)))</f>
        <v/>
      </c>
      <c r="E1089" s="805" t="str">
        <f>IF(B1103="","",INDEX(NXchung!$B$3:$EP$57,MATCH(B1103,NXchung!$B$3:$B$57,0),INDEX($K$12:$N$25,MATCH($B1089,$J$12:$J$25,0),M$11)))</f>
        <v/>
      </c>
      <c r="F1089" s="808" t="str">
        <f>IF(B1103="","",INDEX(NXchung!$B$3:$EP$57,MATCH(B1103,NXchung!$B$3:$B$57,0),INDEX($K$12:$N$25,MATCH($B1089,$J$12:$J$25,0),N$11)))</f>
        <v/>
      </c>
      <c r="G1089" s="805"/>
      <c r="I1089" s="64"/>
      <c r="J1089" s="64"/>
    </row>
    <row r="1090" spans="1:10" ht="45.9" customHeight="1">
      <c r="A1090" s="803" t="s">
        <v>196</v>
      </c>
      <c r="B1090" s="813" t="s">
        <v>30</v>
      </c>
      <c r="C1090" s="805" t="str">
        <f>IF(B1103="","",INDEX(NXchung!$B$3:$EP$57,MATCH(B1103,NXchung!$B$3:$B$57,0),INDEX($K$12:$N$25,MATCH($B1090,$J$12:$J$25,0),K$11)))</f>
        <v/>
      </c>
      <c r="D1090" s="808" t="str">
        <f>IF(B1103="","",INDEX(NXchung!$B$3:$EP$57,MATCH(B1103,NXchung!$B$3:$B$57,0),INDEX($K$12:$N$25,MATCH($B1090,$J$12:$J$25,0),L$11)))</f>
        <v/>
      </c>
      <c r="E1090" s="805" t="str">
        <f>IF(B1103="","",INDEX(NXchung!$B$3:$EP$57,MATCH(B1103,NXchung!$B$3:$B$57,0),INDEX($K$12:$N$25,MATCH($B1090,$J$12:$J$25,0),M$11)))</f>
        <v/>
      </c>
      <c r="F1090" s="808" t="str">
        <f>IF(B1103="","",INDEX(NXchung!$B$3:$EP$57,MATCH(B1103,NXchung!$B$3:$B$57,0),INDEX($K$12:$N$25,MATCH($B1090,$J$12:$J$25,0),N$11)))</f>
        <v/>
      </c>
      <c r="G1090" s="805"/>
      <c r="I1090" s="64"/>
      <c r="J1090" s="64"/>
    </row>
    <row r="1091" spans="1:10" ht="45.9" customHeight="1">
      <c r="A1091" s="803" t="s">
        <v>197</v>
      </c>
      <c r="B1091" s="813" t="s">
        <v>31</v>
      </c>
      <c r="C1091" s="805" t="str">
        <f>IF(B1103="","",INDEX(NXchung!$B$3:$EP$57,MATCH(B1103,NXchung!$B$3:$B$57,0),INDEX($K$12:$N$25,MATCH($B1091,$J$12:$J$25,0),K$11)))</f>
        <v/>
      </c>
      <c r="D1091" s="808" t="str">
        <f>IF(B1103="","",INDEX(NXchung!$B$3:$EP$57,MATCH(B1103,NXchung!$B$3:$B$57,0),INDEX($K$12:$N$25,MATCH($B1091,$J$12:$J$25,0),L$11)))</f>
        <v/>
      </c>
      <c r="E1091" s="805" t="str">
        <f>IF(B1103="","",INDEX(NXchung!$B$3:$EP$57,MATCH(B1103,NXchung!$B$3:$B$57,0),INDEX($K$12:$N$25,MATCH($B1091,$J$12:$J$25,0),M$11)))</f>
        <v/>
      </c>
      <c r="F1091" s="808" t="str">
        <f>IF(B1103="","",INDEX(NXchung!$B$3:$EP$57,MATCH(B1103,NXchung!$B$3:$B$57,0),INDEX($K$12:$N$25,MATCH($B1091,$J$12:$J$25,0),N$11)))</f>
        <v/>
      </c>
      <c r="G1091" s="805"/>
      <c r="I1091" s="64"/>
      <c r="J1091" s="64"/>
    </row>
    <row r="1092" spans="1:10" ht="45.9" customHeight="1">
      <c r="A1092" s="803" t="s">
        <v>198</v>
      </c>
      <c r="B1092" s="813" t="s">
        <v>32</v>
      </c>
      <c r="C1092" s="805" t="str">
        <f>IF(B1103="","",INDEX(NXchung!$B$3:$EP$57,MATCH(B1103,NXchung!$B$3:$B$57,0),INDEX($K$12:$N$25,MATCH($B1092,$J$12:$J$25,0),K$11)))</f>
        <v/>
      </c>
      <c r="D1092" s="808" t="str">
        <f>IF(B1103="","",INDEX(NXchung!$B$3:$EP$57,MATCH(B1103,NXchung!$B$3:$B$57,0),INDEX($K$12:$N$25,MATCH($B1092,$J$12:$J$25,0),L$11)))</f>
        <v/>
      </c>
      <c r="E1092" s="805" t="str">
        <f>IF(B1103="","",INDEX(NXchung!$B$3:$EP$57,MATCH(B1103,NXchung!$B$3:$B$57,0),INDEX($K$12:$N$25,MATCH($B1092,$J$12:$J$25,0),M$11)))</f>
        <v/>
      </c>
      <c r="F1092" s="808" t="str">
        <f>IF(B1103="","",INDEX(NXchung!$B$3:$EP$57,MATCH(B1103,NXchung!$B$3:$B$57,0),INDEX($K$12:$N$25,MATCH($B1092,$J$12:$J$25,0),N$11)))</f>
        <v/>
      </c>
      <c r="G1092" s="805"/>
      <c r="I1092" s="64"/>
      <c r="J1092" s="64"/>
    </row>
    <row r="1093" spans="1:10" ht="45.9" customHeight="1">
      <c r="A1093" s="803" t="s">
        <v>199</v>
      </c>
      <c r="B1093" s="813" t="s">
        <v>33</v>
      </c>
      <c r="C1093" s="805" t="str">
        <f>IF(B1103="","",INDEX(NXchung!$B$3:$EP$57,MATCH(B1103,NXchung!$B$3:$B$57,0),INDEX($K$12:$N$25,MATCH($B1093,$J$12:$J$25,0),K$11)))</f>
        <v/>
      </c>
      <c r="D1093" s="808" t="str">
        <f>IF(B1103="","",INDEX(NXchung!$B$3:$EP$57,MATCH(B1103,NXchung!$B$3:$B$57,0),INDEX($K$12:$N$25,MATCH($B1093,$J$12:$J$25,0),L$11)))</f>
        <v/>
      </c>
      <c r="E1093" s="805" t="str">
        <f>IF(B1103="","",INDEX(NXchung!$B$3:$EP$57,MATCH(B1103,NXchung!$B$3:$B$57,0),INDEX($K$12:$N$25,MATCH($B1093,$J$12:$J$25,0),M$11)))</f>
        <v/>
      </c>
      <c r="F1093" s="808" t="str">
        <f>IF(B1103="","",INDEX(NXchung!$B$3:$EP$57,MATCH(B1103,NXchung!$B$3:$B$57,0),INDEX($K$12:$N$25,MATCH($B1093,$J$12:$J$25,0),N$11)))</f>
        <v/>
      </c>
      <c r="G1093" s="805"/>
      <c r="I1093" s="64"/>
      <c r="J1093" s="64"/>
    </row>
    <row r="1094" spans="1:10" ht="45.9" customHeight="1">
      <c r="A1094" s="803" t="s">
        <v>200</v>
      </c>
      <c r="B1094" s="813" t="s">
        <v>60</v>
      </c>
      <c r="C1094" s="805" t="str">
        <f>IF(B1103="","",INDEX(NXchung!$B$3:$EP$57,MATCH(B1103,NXchung!$B$3:$B$57,0),INDEX($K$12:$N$25,MATCH($B1094,$J$12:$J$25,0),K$11)))</f>
        <v/>
      </c>
      <c r="D1094" s="808" t="str">
        <f>IF(B1103="","",INDEX(NXchung!$B$3:$EP$57,MATCH(B1103,NXchung!$B$3:$B$57,0),INDEX($K$12:$N$25,MATCH($B1094,$J$12:$J$25,0),L$11)))</f>
        <v/>
      </c>
      <c r="E1094" s="805" t="str">
        <f>IF(B1103="","",INDEX(NXchung!$B$3:$EP$57,MATCH(B1103,NXchung!$B$3:$B$57,0),INDEX($K$12:$N$25,MATCH($B1094,$J$12:$J$25,0),M$11)))</f>
        <v/>
      </c>
      <c r="F1094" s="808" t="str">
        <f>IF(B1103="","",INDEX(NXchung!$B$3:$EP$57,MATCH(B1103,NXchung!$B$3:$B$57,0),INDEX($K$12:$N$25,MATCH($B1094,$J$12:$J$25,0),N$11)))</f>
        <v/>
      </c>
      <c r="G1094" s="805"/>
      <c r="I1094" s="64"/>
      <c r="J1094" s="64"/>
    </row>
    <row r="1095" spans="1:10" ht="45.9" customHeight="1">
      <c r="A1095" s="803" t="s">
        <v>201</v>
      </c>
      <c r="B1095" s="813" t="s">
        <v>34</v>
      </c>
      <c r="C1095" s="805" t="str">
        <f>IF(B1103="","",INDEX(NXchung!$B$3:$EP$57,MATCH(B1103,NXchung!$B$3:$B$57,0),INDEX($K$12:$N$25,MATCH($B1095,$J$12:$J$25,0),K$11)))</f>
        <v/>
      </c>
      <c r="D1095" s="808" t="str">
        <f>IF(B1103="","",INDEX(NXchung!$B$3:$EP$57,MATCH(B1103,NXchung!$B$3:$B$57,0),INDEX($K$12:$N$25,MATCH($B1095,$J$12:$J$25,0),L$11)))</f>
        <v/>
      </c>
      <c r="E1095" s="805" t="str">
        <f>IF(B1103="","",INDEX(NXchung!$B$3:$EP$57,MATCH(B1103,NXchung!$B$3:$B$57,0),INDEX($K$12:$N$25,MATCH($B1095,$J$12:$J$25,0),M$11)))</f>
        <v/>
      </c>
      <c r="F1095" s="808" t="str">
        <f>IF(B1103="","",INDEX(NXchung!$B$3:$EP$57,MATCH(B1103,NXchung!$B$3:$B$57,0),INDEX($K$12:$N$25,MATCH($B1095,$J$12:$J$25,0),N$11)))</f>
        <v/>
      </c>
      <c r="G1095" s="805"/>
      <c r="I1095" s="64"/>
      <c r="J1095" s="64"/>
    </row>
    <row r="1096" spans="1:10" ht="45.9" customHeight="1">
      <c r="A1096" s="803" t="s">
        <v>202</v>
      </c>
      <c r="B1096" s="813" t="s">
        <v>35</v>
      </c>
      <c r="C1096" s="805" t="str">
        <f>IF(B1103="","",INDEX(NXchung!$B$3:$EP$57,MATCH(B1103,NXchung!$B$3:$B$57,0),INDEX($K$12:$N$25,MATCH($B1096,$J$12:$J$25,0),K$11)))</f>
        <v/>
      </c>
      <c r="D1096" s="808" t="str">
        <f>IF(B1103="","",INDEX(NXchung!$B$3:$EP$57,MATCH(B1103,NXchung!$B$3:$B$57,0),INDEX($K$12:$N$25,MATCH($B1096,$J$12:$J$25,0),L$11)))</f>
        <v/>
      </c>
      <c r="E1096" s="805" t="str">
        <f>IF(B1103="","",INDEX(NXchung!$B$3:$EP$57,MATCH(B1103,NXchung!$B$3:$B$57,0),INDEX($K$12:$N$25,MATCH($B1096,$J$12:$J$25,0),M$11)))</f>
        <v/>
      </c>
      <c r="F1096" s="808" t="str">
        <f>IF(B1103="","",INDEX(NXchung!$B$3:$EP$57,MATCH(B1103,NXchung!$B$3:$B$57,0),INDEX($K$12:$N$25,MATCH($B1096,$J$12:$J$25,0),N$11)))</f>
        <v/>
      </c>
      <c r="G1096" s="805"/>
      <c r="I1096" s="64"/>
      <c r="J1096" s="64"/>
    </row>
    <row r="1097" spans="1:10" ht="45.9" customHeight="1">
      <c r="A1097" s="803" t="s">
        <v>203</v>
      </c>
      <c r="B1097" s="813" t="s">
        <v>121</v>
      </c>
      <c r="C1097" s="805" t="str">
        <f>IF(B1103="","",INDEX(NXchung!$B$3:$EP$57,MATCH(B1103,NXchung!$B$3:$B$57,0),INDEX($K$12:$N$25,MATCH($B1097,$J$12:$J$25,0),K$11)))</f>
        <v/>
      </c>
      <c r="D1097" s="808" t="str">
        <f>IF(B1103="","",INDEX(NXchung!$B$3:$EP$57,MATCH(B1103,NXchung!$B$3:$B$57,0),INDEX($K$12:$N$25,MATCH($B1097,$J$12:$J$25,0),L$11)))</f>
        <v/>
      </c>
      <c r="E1097" s="805" t="str">
        <f>IF(B1103="","",INDEX(NXchung!$B$3:$EP$57,MATCH(B1103,NXchung!$B$3:$B$57,0),INDEX($K$12:$N$25,MATCH($B1097,$J$12:$J$25,0),M$11)))</f>
        <v/>
      </c>
      <c r="F1097" s="808" t="str">
        <f>IF(B1103="","",INDEX(NXchung!$B$3:$EP$57,MATCH(B1103,NXchung!$B$3:$B$57,0),INDEX($K$12:$N$25,MATCH($B1097,$J$12:$J$25,0),N$11)))</f>
        <v/>
      </c>
      <c r="G1097" s="805"/>
      <c r="I1097" s="64"/>
      <c r="J1097" s="64"/>
    </row>
    <row r="1098" spans="1:10" ht="45.9" customHeight="1">
      <c r="A1098" s="803" t="s">
        <v>204</v>
      </c>
      <c r="B1098" s="813" t="s">
        <v>122</v>
      </c>
      <c r="C1098" s="805" t="str">
        <f>IF(B1103="","",INDEX(NXchung!$B$3:$EP$57,MATCH(B1103,NXchung!$B$3:$B$57,0),INDEX($K$12:$N$25,MATCH($B1098,$J$12:$J$25,0),K$11)))</f>
        <v/>
      </c>
      <c r="D1098" s="808" t="str">
        <f>IF(B1103="","",INDEX(NXchung!$B$3:$EP$57,MATCH(B1103,NXchung!$B$3:$B$57,0),INDEX($K$12:$N$25,MATCH($B1098,$J$12:$J$25,0),L$11)))</f>
        <v/>
      </c>
      <c r="E1098" s="805" t="str">
        <f>IF(B1103="","",INDEX(NXchung!$B$3:$EP$57,MATCH(B1103,NXchung!$B$3:$B$57,0),INDEX($K$12:$N$25,MATCH($B1098,$J$12:$J$25,0),M$11)))</f>
        <v/>
      </c>
      <c r="F1098" s="808" t="str">
        <f>IF(B1103="","",INDEX(NXchung!$B$3:$EP$57,MATCH(B1103,NXchung!$B$3:$B$57,0),INDEX($K$12:$N$25,MATCH($B1098,$J$12:$J$25,0),N$11)))</f>
        <v/>
      </c>
      <c r="G1098" s="805"/>
      <c r="I1098" s="64"/>
      <c r="J1098" s="64"/>
    </row>
    <row r="1099" spans="1:10" s="60" customFormat="1" ht="6" customHeight="1">
      <c r="A1099" s="67"/>
      <c r="B1099" s="67"/>
      <c r="C1099" s="475"/>
      <c r="D1099" s="475"/>
      <c r="E1099" s="67"/>
      <c r="F1099" s="67"/>
      <c r="G1099" s="67"/>
    </row>
    <row r="1100" spans="1:10" ht="17.25" customHeight="1">
      <c r="D1100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100" s="1163"/>
      <c r="F1100" s="1163"/>
      <c r="G1100" s="1163"/>
      <c r="H1100" s="814"/>
    </row>
    <row r="1101" spans="1:10" ht="16.5" customHeight="1">
      <c r="D1101" s="992" t="s">
        <v>377</v>
      </c>
      <c r="E1101" s="992"/>
      <c r="F1101" s="992"/>
      <c r="G1101" s="992"/>
      <c r="H1101" s="814"/>
    </row>
    <row r="1102" spans="1:10" ht="81.75" customHeight="1">
      <c r="D1102" s="931" t="str">
        <f>IF('Huong dan'!$E$5="","",'Huong dan'!$E$5)</f>
        <v/>
      </c>
      <c r="E1102" s="931"/>
      <c r="F1102" s="931"/>
      <c r="G1102" s="931"/>
      <c r="H1102" s="814"/>
    </row>
    <row r="1103" spans="1:10" ht="11.25" customHeight="1">
      <c r="A1103" s="75"/>
      <c r="B1103" s="815" t="str">
        <f>IF(B1074="","",IF(B1074&lt;MAX(DiemHKII!$B$4:$B$58),B1074+1,""))</f>
        <v/>
      </c>
      <c r="C1103" s="75"/>
      <c r="D1103" s="75"/>
      <c r="E1103" s="75"/>
      <c r="F1103" s="75"/>
      <c r="G1103" s="75"/>
    </row>
    <row r="1104" spans="1:10" s="60" customFormat="1" ht="21" customHeight="1">
      <c r="A1104" s="1128" t="str">
        <f>IF('Huong dan'!$E$3&lt;&gt;"","SỞ GIÁO DỤC VÀ ĐÀO TẠO "&amp;UPPER('Huong dan'!$E$3),"")</f>
        <v>SỞ GIÁO DỤC VÀ ĐÀO TẠO TP. HỒ CHÍ MINH</v>
      </c>
      <c r="B1104" s="1128"/>
      <c r="C1104" s="1128"/>
      <c r="D1104" s="1128"/>
      <c r="E1104" s="1129" t="s">
        <v>19</v>
      </c>
      <c r="F1104" s="1129"/>
      <c r="G1104" s="1129"/>
    </row>
    <row r="1105" spans="1:10" ht="17.25" customHeight="1">
      <c r="A1105" s="992" t="str">
        <f>IF('Huong dan'!$E$4&lt;&gt;"","TRƯỜNG "&amp;UPPER('Huong dan'!$E$4),"")</f>
        <v>TRƯỜNG THCS VÀ THPT NGUYỄN KHUYẾN</v>
      </c>
      <c r="B1105" s="992"/>
      <c r="C1105" s="992"/>
      <c r="D1105" s="992"/>
      <c r="E1105" s="1130" t="s">
        <v>179</v>
      </c>
      <c r="F1105" s="1130"/>
      <c r="G1105" s="1130"/>
    </row>
    <row r="1106" spans="1:10" ht="15" customHeight="1">
      <c r="A1106" s="69"/>
      <c r="B1106" s="69"/>
      <c r="C1106" s="30"/>
    </row>
    <row r="1107" spans="1:10" ht="27.75" customHeight="1">
      <c r="A1107" s="1013" t="s">
        <v>567</v>
      </c>
      <c r="B1107" s="1013"/>
      <c r="C1107" s="1013"/>
      <c r="D1107" s="1013"/>
      <c r="E1107" s="1013"/>
      <c r="F1107" s="1013"/>
      <c r="G1107" s="1013"/>
    </row>
    <row r="1108" spans="1:10" ht="24" customHeight="1">
      <c r="A1108" s="1013" t="str">
        <f>"HỌC KỲ II VÀ CẢ NĂM - NĂM HỌC "&amp;'Huong dan'!$C$5</f>
        <v>HỌC KỲ II VÀ CẢ NĂM - NĂM HỌC 2021 - 2022</v>
      </c>
      <c r="B1108" s="1013"/>
      <c r="C1108" s="1013"/>
      <c r="D1108" s="1013"/>
      <c r="E1108" s="1013"/>
      <c r="F1108" s="1013"/>
      <c r="G1108" s="1013"/>
    </row>
    <row r="1109" spans="1:10" ht="9" customHeight="1">
      <c r="A1109" s="70"/>
      <c r="B1109" s="66"/>
      <c r="C1109" s="66"/>
      <c r="D1109" s="66"/>
      <c r="E1109" s="66"/>
      <c r="F1109" s="66"/>
      <c r="G1109" s="66"/>
    </row>
    <row r="1110" spans="1:10" ht="18.75" customHeight="1">
      <c r="A1110" s="1167" t="s">
        <v>212</v>
      </c>
      <c r="B1110" s="1167"/>
      <c r="C1110" s="1167"/>
      <c r="D1110" s="1167" t="str">
        <f>IF(B1132="","",INDEX(NXchung!$B$3:$EP$57,MATCH(B1132,NXchung!$B$3:$B$57,0),3)&amp;" "&amp;INDEX(NXchung!$B$3:$EP$57,MATCH(B1132,NXchung!$B$3:$B$57,0),4))</f>
        <v/>
      </c>
      <c r="E1110" s="1167"/>
      <c r="F1110" s="77" t="str">
        <f>IF('Huong dan'!$C$3="","","Lớp: "&amp;'Huong dan'!$C$3)</f>
        <v>Lớp: 12A1</v>
      </c>
      <c r="G1110" s="71"/>
    </row>
    <row r="1111" spans="1:10" ht="18.75" customHeight="1">
      <c r="A1111" s="1168" t="s">
        <v>213</v>
      </c>
      <c r="B1111" s="1168"/>
      <c r="C1111" s="1168"/>
      <c r="D1111" s="77" t="str">
        <f>INDEX(NXchung!$B$3:$EP$57,MATCH(B1132,NXchung!$B$3:$B$57,0),5)</f>
        <v/>
      </c>
      <c r="F1111" s="841" t="str">
        <f>IF(B1132="","","Nơi sinh: "&amp;INDEX(DiemHKII!$H$4:$H$58,MATCH(B1132,DiemHKII!$B$4:$B$58,0),1))</f>
        <v/>
      </c>
      <c r="G1111" s="77"/>
    </row>
    <row r="1112" spans="1:10" ht="9.75" customHeight="1">
      <c r="A1112" s="62"/>
      <c r="B1112" s="62"/>
      <c r="C1112" s="62"/>
      <c r="D1112" s="62"/>
      <c r="E1112" s="62"/>
      <c r="F1112" s="62"/>
      <c r="G1112" s="63"/>
    </row>
    <row r="1113" spans="1:10" ht="31.5" customHeight="1">
      <c r="A1113" s="801" t="s">
        <v>0</v>
      </c>
      <c r="B1113" s="801" t="s">
        <v>59</v>
      </c>
      <c r="C1113" s="806" t="s">
        <v>661</v>
      </c>
      <c r="D1113" s="801" t="s">
        <v>296</v>
      </c>
      <c r="E1113" s="806" t="s">
        <v>662</v>
      </c>
      <c r="F1113" s="801" t="s">
        <v>361</v>
      </c>
      <c r="G1113" s="802" t="s">
        <v>569</v>
      </c>
    </row>
    <row r="1114" spans="1:10" ht="45.9" customHeight="1">
      <c r="A1114" s="803" t="s">
        <v>191</v>
      </c>
      <c r="B1114" s="813" t="s">
        <v>26</v>
      </c>
      <c r="C1114" s="805" t="str">
        <f>IF(B1132="","",INDEX(NXchung!$B$3:$EP$57,MATCH(B1132,NXchung!$B$3:$B$57,0),INDEX($K$12:$N$25,MATCH($B1114,$J$12:$J$25,0),K$11)))</f>
        <v/>
      </c>
      <c r="D1114" s="808" t="str">
        <f>IF(B1132="","",INDEX(NXchung!$B$3:$EP$57,MATCH(B1132,NXchung!$B$3:$B$57,0),INDEX($K$12:$N$25,MATCH($B1114,$J$12:$J$25,0),L$11)))</f>
        <v/>
      </c>
      <c r="E1114" s="805" t="str">
        <f>IF(B1132="","",INDEX(NXchung!$B$3:$EP$57,MATCH(B1132,NXchung!$B$3:$B$57,0),INDEX($K$12:$N$25,MATCH($B1114,$J$12:$J$25,0),M$11)))</f>
        <v/>
      </c>
      <c r="F1114" s="808" t="str">
        <f>IF(B1132="","",INDEX(NXchung!$B$3:$EP$57,MATCH(B1132,NXchung!$B$3:$B$57,0),INDEX($K$12:$N$25,MATCH($B1114,$J$12:$J$25,0),N$11)))</f>
        <v/>
      </c>
      <c r="G1114" s="805"/>
      <c r="I1114" s="64"/>
      <c r="J1114" s="64"/>
    </row>
    <row r="1115" spans="1:10" ht="45.9" customHeight="1">
      <c r="A1115" s="803" t="s">
        <v>192</v>
      </c>
      <c r="B1115" s="813" t="s">
        <v>27</v>
      </c>
      <c r="C1115" s="805" t="str">
        <f>IF(B1132="","",INDEX(NXchung!$B$3:$EP$57,MATCH(B1132,NXchung!$B$3:$B$57,0),INDEX($K$12:$N$25,MATCH($B1115,$J$12:$J$25,0),K$11)))</f>
        <v/>
      </c>
      <c r="D1115" s="808" t="str">
        <f>IF(B1132="","",INDEX(NXchung!$B$3:$EP$57,MATCH(B1132,NXchung!$B$3:$B$57,0),INDEX($K$12:$N$25,MATCH($B1115,$J$12:$J$25,0),L$11)))</f>
        <v/>
      </c>
      <c r="E1115" s="805" t="str">
        <f>IF(B1132="","",INDEX(NXchung!$B$3:$EP$57,MATCH(B1132,NXchung!$B$3:$B$57,0),INDEX($K$12:$N$25,MATCH($B1115,$J$12:$J$25,0),M$11)))</f>
        <v/>
      </c>
      <c r="F1115" s="808" t="str">
        <f>IF(B1132="","",INDEX(NXchung!$B$3:$EP$57,MATCH(B1132,NXchung!$B$3:$B$57,0),INDEX($K$12:$N$25,MATCH($B1115,$J$12:$J$25,0),N$11)))</f>
        <v/>
      </c>
      <c r="G1115" s="805"/>
      <c r="I1115" s="64"/>
      <c r="J1115" s="64"/>
    </row>
    <row r="1116" spans="1:10" ht="45.9" customHeight="1">
      <c r="A1116" s="803" t="s">
        <v>193</v>
      </c>
      <c r="B1116" s="813" t="s">
        <v>28</v>
      </c>
      <c r="C1116" s="805" t="str">
        <f>IF(B1132="","",INDEX(NXchung!$B$3:$EP$57,MATCH(B1132,NXchung!$B$3:$B$57,0),INDEX($K$12:$N$25,MATCH($B1116,$J$12:$J$25,0),K$11)))</f>
        <v/>
      </c>
      <c r="D1116" s="808" t="str">
        <f>IF(B1132="","",INDEX(NXchung!$B$3:$EP$57,MATCH(B1132,NXchung!$B$3:$B$57,0),INDEX($K$12:$N$25,MATCH($B1116,$J$12:$J$25,0),L$11)))</f>
        <v/>
      </c>
      <c r="E1116" s="805" t="str">
        <f>IF(B1132="","",INDEX(NXchung!$B$3:$EP$57,MATCH(B1132,NXchung!$B$3:$B$57,0),INDEX($K$12:$N$25,MATCH($B1116,$J$12:$J$25,0),M$11)))</f>
        <v/>
      </c>
      <c r="F1116" s="808" t="str">
        <f>IF(B1132="","",INDEX(NXchung!$B$3:$EP$57,MATCH(B1132,NXchung!$B$3:$B$57,0),INDEX($K$12:$N$25,MATCH($B1116,$J$12:$J$25,0),N$11)))</f>
        <v/>
      </c>
      <c r="G1116" s="805"/>
      <c r="I1116" s="64"/>
      <c r="J1116" s="64"/>
    </row>
    <row r="1117" spans="1:10" ht="45.9" customHeight="1">
      <c r="A1117" s="803" t="s">
        <v>194</v>
      </c>
      <c r="B1117" s="813" t="s">
        <v>29</v>
      </c>
      <c r="C1117" s="805" t="str">
        <f>IF(B1132="","",INDEX(NXchung!$B$3:$EP$57,MATCH(B1132,NXchung!$B$3:$B$57,0),INDEX($K$12:$N$25,MATCH($B1117,$J$12:$J$25,0),K$11)))</f>
        <v/>
      </c>
      <c r="D1117" s="808" t="str">
        <f>IF(B1132="","",INDEX(NXchung!$B$3:$EP$57,MATCH(B1132,NXchung!$B$3:$B$57,0),INDEX($K$12:$N$25,MATCH($B1117,$J$12:$J$25,0),L$11)))</f>
        <v/>
      </c>
      <c r="E1117" s="805" t="str">
        <f>IF(B1132="","",INDEX(NXchung!$B$3:$EP$57,MATCH(B1132,NXchung!$B$3:$B$57,0),INDEX($K$12:$N$25,MATCH($B1117,$J$12:$J$25,0),M$11)))</f>
        <v/>
      </c>
      <c r="F1117" s="808" t="str">
        <f>IF(B1132="","",INDEX(NXchung!$B$3:$EP$57,MATCH(B1132,NXchung!$B$3:$B$57,0),INDEX($K$12:$N$25,MATCH($B1117,$J$12:$J$25,0),N$11)))</f>
        <v/>
      </c>
      <c r="G1117" s="805"/>
      <c r="I1117" s="64"/>
      <c r="J1117" s="64"/>
    </row>
    <row r="1118" spans="1:10" ht="45.9" customHeight="1">
      <c r="A1118" s="803" t="s">
        <v>195</v>
      </c>
      <c r="B1118" s="813" t="s">
        <v>120</v>
      </c>
      <c r="C1118" s="805" t="str">
        <f>IF(B1132="","",INDEX(NXchung!$B$3:$EP$57,MATCH(B1132,NXchung!$B$3:$B$57,0),INDEX($K$12:$N$25,MATCH($B1118,$J$12:$J$25,0),K$11)))</f>
        <v/>
      </c>
      <c r="D1118" s="808" t="str">
        <f>IF(B1132="","",INDEX(NXchung!$B$3:$EP$57,MATCH(B1132,NXchung!$B$3:$B$57,0),INDEX($K$12:$N$25,MATCH($B1118,$J$12:$J$25,0),L$11)))</f>
        <v/>
      </c>
      <c r="E1118" s="805" t="str">
        <f>IF(B1132="","",INDEX(NXchung!$B$3:$EP$57,MATCH(B1132,NXchung!$B$3:$B$57,0),INDEX($K$12:$N$25,MATCH($B1118,$J$12:$J$25,0),M$11)))</f>
        <v/>
      </c>
      <c r="F1118" s="808" t="str">
        <f>IF(B1132="","",INDEX(NXchung!$B$3:$EP$57,MATCH(B1132,NXchung!$B$3:$B$57,0),INDEX($K$12:$N$25,MATCH($B1118,$J$12:$J$25,0),N$11)))</f>
        <v/>
      </c>
      <c r="G1118" s="805"/>
      <c r="I1118" s="64"/>
      <c r="J1118" s="64"/>
    </row>
    <row r="1119" spans="1:10" ht="45.9" customHeight="1">
      <c r="A1119" s="803" t="s">
        <v>196</v>
      </c>
      <c r="B1119" s="813" t="s">
        <v>30</v>
      </c>
      <c r="C1119" s="805" t="str">
        <f>IF(B1132="","",INDEX(NXchung!$B$3:$EP$57,MATCH(B1132,NXchung!$B$3:$B$57,0),INDEX($K$12:$N$25,MATCH($B1119,$J$12:$J$25,0),K$11)))</f>
        <v/>
      </c>
      <c r="D1119" s="808" t="str">
        <f>IF(B1132="","",INDEX(NXchung!$B$3:$EP$57,MATCH(B1132,NXchung!$B$3:$B$57,0),INDEX($K$12:$N$25,MATCH($B1119,$J$12:$J$25,0),L$11)))</f>
        <v/>
      </c>
      <c r="E1119" s="805" t="str">
        <f>IF(B1132="","",INDEX(NXchung!$B$3:$EP$57,MATCH(B1132,NXchung!$B$3:$B$57,0),INDEX($K$12:$N$25,MATCH($B1119,$J$12:$J$25,0),M$11)))</f>
        <v/>
      </c>
      <c r="F1119" s="808" t="str">
        <f>IF(B1132="","",INDEX(NXchung!$B$3:$EP$57,MATCH(B1132,NXchung!$B$3:$B$57,0),INDEX($K$12:$N$25,MATCH($B1119,$J$12:$J$25,0),N$11)))</f>
        <v/>
      </c>
      <c r="G1119" s="805"/>
      <c r="I1119" s="64"/>
      <c r="J1119" s="64"/>
    </row>
    <row r="1120" spans="1:10" ht="45.9" customHeight="1">
      <c r="A1120" s="803" t="s">
        <v>197</v>
      </c>
      <c r="B1120" s="813" t="s">
        <v>31</v>
      </c>
      <c r="C1120" s="805" t="str">
        <f>IF(B1132="","",INDEX(NXchung!$B$3:$EP$57,MATCH(B1132,NXchung!$B$3:$B$57,0),INDEX($K$12:$N$25,MATCH($B1120,$J$12:$J$25,0),K$11)))</f>
        <v/>
      </c>
      <c r="D1120" s="808" t="str">
        <f>IF(B1132="","",INDEX(NXchung!$B$3:$EP$57,MATCH(B1132,NXchung!$B$3:$B$57,0),INDEX($K$12:$N$25,MATCH($B1120,$J$12:$J$25,0),L$11)))</f>
        <v/>
      </c>
      <c r="E1120" s="805" t="str">
        <f>IF(B1132="","",INDEX(NXchung!$B$3:$EP$57,MATCH(B1132,NXchung!$B$3:$B$57,0),INDEX($K$12:$N$25,MATCH($B1120,$J$12:$J$25,0),M$11)))</f>
        <v/>
      </c>
      <c r="F1120" s="808" t="str">
        <f>IF(B1132="","",INDEX(NXchung!$B$3:$EP$57,MATCH(B1132,NXchung!$B$3:$B$57,0),INDEX($K$12:$N$25,MATCH($B1120,$J$12:$J$25,0),N$11)))</f>
        <v/>
      </c>
      <c r="G1120" s="805"/>
      <c r="I1120" s="64"/>
      <c r="J1120" s="64"/>
    </row>
    <row r="1121" spans="1:10" ht="45.9" customHeight="1">
      <c r="A1121" s="803" t="s">
        <v>198</v>
      </c>
      <c r="B1121" s="813" t="s">
        <v>32</v>
      </c>
      <c r="C1121" s="805" t="str">
        <f>IF(B1132="","",INDEX(NXchung!$B$3:$EP$57,MATCH(B1132,NXchung!$B$3:$B$57,0),INDEX($K$12:$N$25,MATCH($B1121,$J$12:$J$25,0),K$11)))</f>
        <v/>
      </c>
      <c r="D1121" s="808" t="str">
        <f>IF(B1132="","",INDEX(NXchung!$B$3:$EP$57,MATCH(B1132,NXchung!$B$3:$B$57,0),INDEX($K$12:$N$25,MATCH($B1121,$J$12:$J$25,0),L$11)))</f>
        <v/>
      </c>
      <c r="E1121" s="805" t="str">
        <f>IF(B1132="","",INDEX(NXchung!$B$3:$EP$57,MATCH(B1132,NXchung!$B$3:$B$57,0),INDEX($K$12:$N$25,MATCH($B1121,$J$12:$J$25,0),M$11)))</f>
        <v/>
      </c>
      <c r="F1121" s="808" t="str">
        <f>IF(B1132="","",INDEX(NXchung!$B$3:$EP$57,MATCH(B1132,NXchung!$B$3:$B$57,0),INDEX($K$12:$N$25,MATCH($B1121,$J$12:$J$25,0),N$11)))</f>
        <v/>
      </c>
      <c r="G1121" s="805"/>
      <c r="I1121" s="64"/>
      <c r="J1121" s="64"/>
    </row>
    <row r="1122" spans="1:10" ht="45.9" customHeight="1">
      <c r="A1122" s="803" t="s">
        <v>199</v>
      </c>
      <c r="B1122" s="813" t="s">
        <v>33</v>
      </c>
      <c r="C1122" s="805" t="str">
        <f>IF(B1132="","",INDEX(NXchung!$B$3:$EP$57,MATCH(B1132,NXchung!$B$3:$B$57,0),INDEX($K$12:$N$25,MATCH($B1122,$J$12:$J$25,0),K$11)))</f>
        <v/>
      </c>
      <c r="D1122" s="808" t="str">
        <f>IF(B1132="","",INDEX(NXchung!$B$3:$EP$57,MATCH(B1132,NXchung!$B$3:$B$57,0),INDEX($K$12:$N$25,MATCH($B1122,$J$12:$J$25,0),L$11)))</f>
        <v/>
      </c>
      <c r="E1122" s="805" t="str">
        <f>IF(B1132="","",INDEX(NXchung!$B$3:$EP$57,MATCH(B1132,NXchung!$B$3:$B$57,0),INDEX($K$12:$N$25,MATCH($B1122,$J$12:$J$25,0),M$11)))</f>
        <v/>
      </c>
      <c r="F1122" s="808" t="str">
        <f>IF(B1132="","",INDEX(NXchung!$B$3:$EP$57,MATCH(B1132,NXchung!$B$3:$B$57,0),INDEX($K$12:$N$25,MATCH($B1122,$J$12:$J$25,0),N$11)))</f>
        <v/>
      </c>
      <c r="G1122" s="805"/>
      <c r="I1122" s="64"/>
      <c r="J1122" s="64"/>
    </row>
    <row r="1123" spans="1:10" ht="45.9" customHeight="1">
      <c r="A1123" s="803" t="s">
        <v>200</v>
      </c>
      <c r="B1123" s="813" t="s">
        <v>60</v>
      </c>
      <c r="C1123" s="805" t="str">
        <f>IF(B1132="","",INDEX(NXchung!$B$3:$EP$57,MATCH(B1132,NXchung!$B$3:$B$57,0),INDEX($K$12:$N$25,MATCH($B1123,$J$12:$J$25,0),K$11)))</f>
        <v/>
      </c>
      <c r="D1123" s="808" t="str">
        <f>IF(B1132="","",INDEX(NXchung!$B$3:$EP$57,MATCH(B1132,NXchung!$B$3:$B$57,0),INDEX($K$12:$N$25,MATCH($B1123,$J$12:$J$25,0),L$11)))</f>
        <v/>
      </c>
      <c r="E1123" s="805" t="str">
        <f>IF(B1132="","",INDEX(NXchung!$B$3:$EP$57,MATCH(B1132,NXchung!$B$3:$B$57,0),INDEX($K$12:$N$25,MATCH($B1123,$J$12:$J$25,0),M$11)))</f>
        <v/>
      </c>
      <c r="F1123" s="808" t="str">
        <f>IF(B1132="","",INDEX(NXchung!$B$3:$EP$57,MATCH(B1132,NXchung!$B$3:$B$57,0),INDEX($K$12:$N$25,MATCH($B1123,$J$12:$J$25,0),N$11)))</f>
        <v/>
      </c>
      <c r="G1123" s="805"/>
      <c r="I1123" s="64"/>
      <c r="J1123" s="64"/>
    </row>
    <row r="1124" spans="1:10" ht="45.9" customHeight="1">
      <c r="A1124" s="803" t="s">
        <v>201</v>
      </c>
      <c r="B1124" s="813" t="s">
        <v>34</v>
      </c>
      <c r="C1124" s="805" t="str">
        <f>IF(B1132="","",INDEX(NXchung!$B$3:$EP$57,MATCH(B1132,NXchung!$B$3:$B$57,0),INDEX($K$12:$N$25,MATCH($B1124,$J$12:$J$25,0),K$11)))</f>
        <v/>
      </c>
      <c r="D1124" s="808" t="str">
        <f>IF(B1132="","",INDEX(NXchung!$B$3:$EP$57,MATCH(B1132,NXchung!$B$3:$B$57,0),INDEX($K$12:$N$25,MATCH($B1124,$J$12:$J$25,0),L$11)))</f>
        <v/>
      </c>
      <c r="E1124" s="805" t="str">
        <f>IF(B1132="","",INDEX(NXchung!$B$3:$EP$57,MATCH(B1132,NXchung!$B$3:$B$57,0),INDEX($K$12:$N$25,MATCH($B1124,$J$12:$J$25,0),M$11)))</f>
        <v/>
      </c>
      <c r="F1124" s="808" t="str">
        <f>IF(B1132="","",INDEX(NXchung!$B$3:$EP$57,MATCH(B1132,NXchung!$B$3:$B$57,0),INDEX($K$12:$N$25,MATCH($B1124,$J$12:$J$25,0),N$11)))</f>
        <v/>
      </c>
      <c r="G1124" s="805"/>
      <c r="I1124" s="64"/>
      <c r="J1124" s="64"/>
    </row>
    <row r="1125" spans="1:10" ht="45.9" customHeight="1">
      <c r="A1125" s="803" t="s">
        <v>202</v>
      </c>
      <c r="B1125" s="813" t="s">
        <v>35</v>
      </c>
      <c r="C1125" s="805" t="str">
        <f>IF(B1132="","",INDEX(NXchung!$B$3:$EP$57,MATCH(B1132,NXchung!$B$3:$B$57,0),INDEX($K$12:$N$25,MATCH($B1125,$J$12:$J$25,0),K$11)))</f>
        <v/>
      </c>
      <c r="D1125" s="808" t="str">
        <f>IF(B1132="","",INDEX(NXchung!$B$3:$EP$57,MATCH(B1132,NXchung!$B$3:$B$57,0),INDEX($K$12:$N$25,MATCH($B1125,$J$12:$J$25,0),L$11)))</f>
        <v/>
      </c>
      <c r="E1125" s="805" t="str">
        <f>IF(B1132="","",INDEX(NXchung!$B$3:$EP$57,MATCH(B1132,NXchung!$B$3:$B$57,0),INDEX($K$12:$N$25,MATCH($B1125,$J$12:$J$25,0),M$11)))</f>
        <v/>
      </c>
      <c r="F1125" s="808" t="str">
        <f>IF(B1132="","",INDEX(NXchung!$B$3:$EP$57,MATCH(B1132,NXchung!$B$3:$B$57,0),INDEX($K$12:$N$25,MATCH($B1125,$J$12:$J$25,0),N$11)))</f>
        <v/>
      </c>
      <c r="G1125" s="805"/>
      <c r="I1125" s="64"/>
      <c r="J1125" s="64"/>
    </row>
    <row r="1126" spans="1:10" ht="45.9" customHeight="1">
      <c r="A1126" s="803" t="s">
        <v>203</v>
      </c>
      <c r="B1126" s="813" t="s">
        <v>121</v>
      </c>
      <c r="C1126" s="805" t="str">
        <f>IF(B1132="","",INDEX(NXchung!$B$3:$EP$57,MATCH(B1132,NXchung!$B$3:$B$57,0),INDEX($K$12:$N$25,MATCH($B1126,$J$12:$J$25,0),K$11)))</f>
        <v/>
      </c>
      <c r="D1126" s="808" t="str">
        <f>IF(B1132="","",INDEX(NXchung!$B$3:$EP$57,MATCH(B1132,NXchung!$B$3:$B$57,0),INDEX($K$12:$N$25,MATCH($B1126,$J$12:$J$25,0),L$11)))</f>
        <v/>
      </c>
      <c r="E1126" s="805" t="str">
        <f>IF(B1132="","",INDEX(NXchung!$B$3:$EP$57,MATCH(B1132,NXchung!$B$3:$B$57,0),INDEX($K$12:$N$25,MATCH($B1126,$J$12:$J$25,0),M$11)))</f>
        <v/>
      </c>
      <c r="F1126" s="808" t="str">
        <f>IF(B1132="","",INDEX(NXchung!$B$3:$EP$57,MATCH(B1132,NXchung!$B$3:$B$57,0),INDEX($K$12:$N$25,MATCH($B1126,$J$12:$J$25,0),N$11)))</f>
        <v/>
      </c>
      <c r="G1126" s="805"/>
      <c r="I1126" s="64"/>
      <c r="J1126" s="64"/>
    </row>
    <row r="1127" spans="1:10" ht="45.9" customHeight="1">
      <c r="A1127" s="803" t="s">
        <v>204</v>
      </c>
      <c r="B1127" s="813" t="s">
        <v>122</v>
      </c>
      <c r="C1127" s="805" t="str">
        <f>IF(B1132="","",INDEX(NXchung!$B$3:$EP$57,MATCH(B1132,NXchung!$B$3:$B$57,0),INDEX($K$12:$N$25,MATCH($B1127,$J$12:$J$25,0),K$11)))</f>
        <v/>
      </c>
      <c r="D1127" s="808" t="str">
        <f>IF(B1132="","",INDEX(NXchung!$B$3:$EP$57,MATCH(B1132,NXchung!$B$3:$B$57,0),INDEX($K$12:$N$25,MATCH($B1127,$J$12:$J$25,0),L$11)))</f>
        <v/>
      </c>
      <c r="E1127" s="805" t="str">
        <f>IF(B1132="","",INDEX(NXchung!$B$3:$EP$57,MATCH(B1132,NXchung!$B$3:$B$57,0),INDEX($K$12:$N$25,MATCH($B1127,$J$12:$J$25,0),M$11)))</f>
        <v/>
      </c>
      <c r="F1127" s="808" t="str">
        <f>IF(B1132="","",INDEX(NXchung!$B$3:$EP$57,MATCH(B1132,NXchung!$B$3:$B$57,0),INDEX($K$12:$N$25,MATCH($B1127,$J$12:$J$25,0),N$11)))</f>
        <v/>
      </c>
      <c r="G1127" s="805"/>
      <c r="I1127" s="64"/>
      <c r="J1127" s="64"/>
    </row>
    <row r="1128" spans="1:10" s="60" customFormat="1" ht="6" customHeight="1">
      <c r="A1128" s="67"/>
      <c r="B1128" s="67"/>
      <c r="C1128" s="475"/>
      <c r="D1128" s="475"/>
      <c r="E1128" s="67"/>
      <c r="F1128" s="67"/>
      <c r="G1128" s="67"/>
    </row>
    <row r="1129" spans="1:10" ht="17.25" customHeight="1">
      <c r="D1129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129" s="1163"/>
      <c r="F1129" s="1163"/>
      <c r="G1129" s="1163"/>
      <c r="H1129" s="814"/>
    </row>
    <row r="1130" spans="1:10" ht="16.5" customHeight="1">
      <c r="D1130" s="992" t="s">
        <v>377</v>
      </c>
      <c r="E1130" s="992"/>
      <c r="F1130" s="992"/>
      <c r="G1130" s="992"/>
      <c r="H1130" s="814"/>
    </row>
    <row r="1131" spans="1:10" ht="81.75" customHeight="1">
      <c r="D1131" s="931" t="str">
        <f>IF('Huong dan'!$E$5="","",'Huong dan'!$E$5)</f>
        <v/>
      </c>
      <c r="E1131" s="931"/>
      <c r="F1131" s="931"/>
      <c r="G1131" s="931"/>
      <c r="H1131" s="814"/>
    </row>
    <row r="1132" spans="1:10" ht="11.25" customHeight="1">
      <c r="A1132" s="75"/>
      <c r="B1132" s="815" t="str">
        <f>IF(B1103="","",IF(B1103&lt;MAX(DiemHKII!$B$4:$B$58),B1103+1,""))</f>
        <v/>
      </c>
      <c r="C1132" s="75"/>
      <c r="D1132" s="75"/>
      <c r="E1132" s="75"/>
      <c r="F1132" s="75"/>
      <c r="G1132" s="75"/>
    </row>
    <row r="1133" spans="1:10" s="60" customFormat="1" ht="21" customHeight="1">
      <c r="A1133" s="1128" t="str">
        <f>IF('Huong dan'!$E$3&lt;&gt;"","SỞ GIÁO DỤC VÀ ĐÀO TẠO "&amp;UPPER('Huong dan'!$E$3),"")</f>
        <v>SỞ GIÁO DỤC VÀ ĐÀO TẠO TP. HỒ CHÍ MINH</v>
      </c>
      <c r="B1133" s="1128"/>
      <c r="C1133" s="1128"/>
      <c r="D1133" s="1128"/>
      <c r="E1133" s="1129" t="s">
        <v>19</v>
      </c>
      <c r="F1133" s="1129"/>
      <c r="G1133" s="1129"/>
    </row>
    <row r="1134" spans="1:10" ht="17.25" customHeight="1">
      <c r="A1134" s="992" t="str">
        <f>IF('Huong dan'!$E$4&lt;&gt;"","TRƯỜNG "&amp;UPPER('Huong dan'!$E$4),"")</f>
        <v>TRƯỜNG THCS VÀ THPT NGUYỄN KHUYẾN</v>
      </c>
      <c r="B1134" s="992"/>
      <c r="C1134" s="992"/>
      <c r="D1134" s="992"/>
      <c r="E1134" s="1130" t="s">
        <v>179</v>
      </c>
      <c r="F1134" s="1130"/>
      <c r="G1134" s="1130"/>
    </row>
    <row r="1135" spans="1:10" ht="15" customHeight="1">
      <c r="A1135" s="69"/>
      <c r="B1135" s="69"/>
      <c r="C1135" s="30"/>
    </row>
    <row r="1136" spans="1:10" ht="27.75" customHeight="1">
      <c r="A1136" s="1013" t="s">
        <v>567</v>
      </c>
      <c r="B1136" s="1013"/>
      <c r="C1136" s="1013"/>
      <c r="D1136" s="1013"/>
      <c r="E1136" s="1013"/>
      <c r="F1136" s="1013"/>
      <c r="G1136" s="1013"/>
    </row>
    <row r="1137" spans="1:10" ht="24" customHeight="1">
      <c r="A1137" s="1013" t="str">
        <f>"HỌC KỲ II VÀ CẢ NĂM - NĂM HỌC "&amp;'Huong dan'!$C$5</f>
        <v>HỌC KỲ II VÀ CẢ NĂM - NĂM HỌC 2021 - 2022</v>
      </c>
      <c r="B1137" s="1013"/>
      <c r="C1137" s="1013"/>
      <c r="D1137" s="1013"/>
      <c r="E1137" s="1013"/>
      <c r="F1137" s="1013"/>
      <c r="G1137" s="1013"/>
    </row>
    <row r="1138" spans="1:10" ht="9" customHeight="1">
      <c r="A1138" s="70"/>
      <c r="B1138" s="66"/>
      <c r="C1138" s="66"/>
      <c r="D1138" s="66"/>
      <c r="E1138" s="66"/>
      <c r="F1138" s="66"/>
      <c r="G1138" s="66"/>
    </row>
    <row r="1139" spans="1:10" ht="18.75" customHeight="1">
      <c r="A1139" s="1167" t="s">
        <v>212</v>
      </c>
      <c r="B1139" s="1167"/>
      <c r="C1139" s="1167"/>
      <c r="D1139" s="1167" t="str">
        <f>IF(B1161="","",INDEX(NXchung!$B$3:$EP$57,MATCH(B1161,NXchung!$B$3:$B$57,0),3)&amp;" "&amp;INDEX(NXchung!$B$3:$EP$57,MATCH(B1161,NXchung!$B$3:$B$57,0),4))</f>
        <v/>
      </c>
      <c r="E1139" s="1167"/>
      <c r="F1139" s="77" t="str">
        <f>IF('Huong dan'!$C$3="","","Lớp: "&amp;'Huong dan'!$C$3)</f>
        <v>Lớp: 12A1</v>
      </c>
      <c r="G1139" s="71"/>
    </row>
    <row r="1140" spans="1:10" ht="18.75" customHeight="1">
      <c r="A1140" s="1168" t="s">
        <v>213</v>
      </c>
      <c r="B1140" s="1168"/>
      <c r="C1140" s="1168"/>
      <c r="D1140" s="77" t="str">
        <f>INDEX(NXchung!$B$3:$EP$57,MATCH(B1161,NXchung!$B$3:$B$57,0),5)</f>
        <v/>
      </c>
      <c r="F1140" s="841" t="str">
        <f>IF(B1161="","","Nơi sinh: "&amp;INDEX(DiemHKII!$H$4:$H$58,MATCH(B1161,DiemHKII!$B$4:$B$58,0),1))</f>
        <v/>
      </c>
      <c r="G1140" s="77"/>
    </row>
    <row r="1141" spans="1:10" ht="9.75" customHeight="1">
      <c r="A1141" s="62"/>
      <c r="B1141" s="62"/>
      <c r="C1141" s="62"/>
      <c r="D1141" s="62"/>
      <c r="E1141" s="62"/>
      <c r="F1141" s="62"/>
      <c r="G1141" s="63"/>
    </row>
    <row r="1142" spans="1:10" ht="31.5" customHeight="1">
      <c r="A1142" s="801" t="s">
        <v>0</v>
      </c>
      <c r="B1142" s="801" t="s">
        <v>59</v>
      </c>
      <c r="C1142" s="806" t="s">
        <v>661</v>
      </c>
      <c r="D1142" s="801" t="s">
        <v>296</v>
      </c>
      <c r="E1142" s="806" t="s">
        <v>662</v>
      </c>
      <c r="F1142" s="801" t="s">
        <v>361</v>
      </c>
      <c r="G1142" s="802" t="s">
        <v>569</v>
      </c>
    </row>
    <row r="1143" spans="1:10" ht="45.9" customHeight="1">
      <c r="A1143" s="803" t="s">
        <v>191</v>
      </c>
      <c r="B1143" s="813" t="s">
        <v>26</v>
      </c>
      <c r="C1143" s="805" t="str">
        <f>IF(B1161="","",INDEX(NXchung!$B$3:$EP$57,MATCH(B1161,NXchung!$B$3:$B$57,0),INDEX($K$12:$N$25,MATCH($B1143,$J$12:$J$25,0),K$11)))</f>
        <v/>
      </c>
      <c r="D1143" s="808" t="str">
        <f>IF(B1161="","",INDEX(NXchung!$B$3:$EP$57,MATCH(B1161,NXchung!$B$3:$B$57,0),INDEX($K$12:$N$25,MATCH($B1143,$J$12:$J$25,0),L$11)))</f>
        <v/>
      </c>
      <c r="E1143" s="805" t="str">
        <f>IF(B1161="","",INDEX(NXchung!$B$3:$EP$57,MATCH(B1161,NXchung!$B$3:$B$57,0),INDEX($K$12:$N$25,MATCH($B1143,$J$12:$J$25,0),M$11)))</f>
        <v/>
      </c>
      <c r="F1143" s="808" t="str">
        <f>IF(B1161="","",INDEX(NXchung!$B$3:$EP$57,MATCH(B1161,NXchung!$B$3:$B$57,0),INDEX($K$12:$N$25,MATCH($B1143,$J$12:$J$25,0),N$11)))</f>
        <v/>
      </c>
      <c r="G1143" s="805"/>
      <c r="I1143" s="64"/>
      <c r="J1143" s="64"/>
    </row>
    <row r="1144" spans="1:10" ht="45.9" customHeight="1">
      <c r="A1144" s="803" t="s">
        <v>192</v>
      </c>
      <c r="B1144" s="813" t="s">
        <v>27</v>
      </c>
      <c r="C1144" s="805" t="str">
        <f>IF(B1161="","",INDEX(NXchung!$B$3:$EP$57,MATCH(B1161,NXchung!$B$3:$B$57,0),INDEX($K$12:$N$25,MATCH($B1144,$J$12:$J$25,0),K$11)))</f>
        <v/>
      </c>
      <c r="D1144" s="808" t="str">
        <f>IF(B1161="","",INDEX(NXchung!$B$3:$EP$57,MATCH(B1161,NXchung!$B$3:$B$57,0),INDEX($K$12:$N$25,MATCH($B1144,$J$12:$J$25,0),L$11)))</f>
        <v/>
      </c>
      <c r="E1144" s="805" t="str">
        <f>IF(B1161="","",INDEX(NXchung!$B$3:$EP$57,MATCH(B1161,NXchung!$B$3:$B$57,0),INDEX($K$12:$N$25,MATCH($B1144,$J$12:$J$25,0),M$11)))</f>
        <v/>
      </c>
      <c r="F1144" s="808" t="str">
        <f>IF(B1161="","",INDEX(NXchung!$B$3:$EP$57,MATCH(B1161,NXchung!$B$3:$B$57,0),INDEX($K$12:$N$25,MATCH($B1144,$J$12:$J$25,0),N$11)))</f>
        <v/>
      </c>
      <c r="G1144" s="805"/>
      <c r="I1144" s="64"/>
      <c r="J1144" s="64"/>
    </row>
    <row r="1145" spans="1:10" ht="45.9" customHeight="1">
      <c r="A1145" s="803" t="s">
        <v>193</v>
      </c>
      <c r="B1145" s="813" t="s">
        <v>28</v>
      </c>
      <c r="C1145" s="805" t="str">
        <f>IF(B1161="","",INDEX(NXchung!$B$3:$EP$57,MATCH(B1161,NXchung!$B$3:$B$57,0),INDEX($K$12:$N$25,MATCH($B1145,$J$12:$J$25,0),K$11)))</f>
        <v/>
      </c>
      <c r="D1145" s="808" t="str">
        <f>IF(B1161="","",INDEX(NXchung!$B$3:$EP$57,MATCH(B1161,NXchung!$B$3:$B$57,0),INDEX($K$12:$N$25,MATCH($B1145,$J$12:$J$25,0),L$11)))</f>
        <v/>
      </c>
      <c r="E1145" s="805" t="str">
        <f>IF(B1161="","",INDEX(NXchung!$B$3:$EP$57,MATCH(B1161,NXchung!$B$3:$B$57,0),INDEX($K$12:$N$25,MATCH($B1145,$J$12:$J$25,0),M$11)))</f>
        <v/>
      </c>
      <c r="F1145" s="808" t="str">
        <f>IF(B1161="","",INDEX(NXchung!$B$3:$EP$57,MATCH(B1161,NXchung!$B$3:$B$57,0),INDEX($K$12:$N$25,MATCH($B1145,$J$12:$J$25,0),N$11)))</f>
        <v/>
      </c>
      <c r="G1145" s="805"/>
      <c r="I1145" s="64"/>
      <c r="J1145" s="64"/>
    </row>
    <row r="1146" spans="1:10" ht="45.9" customHeight="1">
      <c r="A1146" s="803" t="s">
        <v>194</v>
      </c>
      <c r="B1146" s="813" t="s">
        <v>29</v>
      </c>
      <c r="C1146" s="805" t="str">
        <f>IF(B1161="","",INDEX(NXchung!$B$3:$EP$57,MATCH(B1161,NXchung!$B$3:$B$57,0),INDEX($K$12:$N$25,MATCH($B1146,$J$12:$J$25,0),K$11)))</f>
        <v/>
      </c>
      <c r="D1146" s="808" t="str">
        <f>IF(B1161="","",INDEX(NXchung!$B$3:$EP$57,MATCH(B1161,NXchung!$B$3:$B$57,0),INDEX($K$12:$N$25,MATCH($B1146,$J$12:$J$25,0),L$11)))</f>
        <v/>
      </c>
      <c r="E1146" s="805" t="str">
        <f>IF(B1161="","",INDEX(NXchung!$B$3:$EP$57,MATCH(B1161,NXchung!$B$3:$B$57,0),INDEX($K$12:$N$25,MATCH($B1146,$J$12:$J$25,0),M$11)))</f>
        <v/>
      </c>
      <c r="F1146" s="808" t="str">
        <f>IF(B1161="","",INDEX(NXchung!$B$3:$EP$57,MATCH(B1161,NXchung!$B$3:$B$57,0),INDEX($K$12:$N$25,MATCH($B1146,$J$12:$J$25,0),N$11)))</f>
        <v/>
      </c>
      <c r="G1146" s="805"/>
      <c r="I1146" s="64"/>
      <c r="J1146" s="64"/>
    </row>
    <row r="1147" spans="1:10" ht="45.9" customHeight="1">
      <c r="A1147" s="803" t="s">
        <v>195</v>
      </c>
      <c r="B1147" s="813" t="s">
        <v>120</v>
      </c>
      <c r="C1147" s="805" t="str">
        <f>IF(B1161="","",INDEX(NXchung!$B$3:$EP$57,MATCH(B1161,NXchung!$B$3:$B$57,0),INDEX($K$12:$N$25,MATCH($B1147,$J$12:$J$25,0),K$11)))</f>
        <v/>
      </c>
      <c r="D1147" s="808" t="str">
        <f>IF(B1161="","",INDEX(NXchung!$B$3:$EP$57,MATCH(B1161,NXchung!$B$3:$B$57,0),INDEX($K$12:$N$25,MATCH($B1147,$J$12:$J$25,0),L$11)))</f>
        <v/>
      </c>
      <c r="E1147" s="805" t="str">
        <f>IF(B1161="","",INDEX(NXchung!$B$3:$EP$57,MATCH(B1161,NXchung!$B$3:$B$57,0),INDEX($K$12:$N$25,MATCH($B1147,$J$12:$J$25,0),M$11)))</f>
        <v/>
      </c>
      <c r="F1147" s="808" t="str">
        <f>IF(B1161="","",INDEX(NXchung!$B$3:$EP$57,MATCH(B1161,NXchung!$B$3:$B$57,0),INDEX($K$12:$N$25,MATCH($B1147,$J$12:$J$25,0),N$11)))</f>
        <v/>
      </c>
      <c r="G1147" s="805"/>
      <c r="I1147" s="64"/>
      <c r="J1147" s="64"/>
    </row>
    <row r="1148" spans="1:10" ht="45.9" customHeight="1">
      <c r="A1148" s="803" t="s">
        <v>196</v>
      </c>
      <c r="B1148" s="813" t="s">
        <v>30</v>
      </c>
      <c r="C1148" s="805" t="str">
        <f>IF(B1161="","",INDEX(NXchung!$B$3:$EP$57,MATCH(B1161,NXchung!$B$3:$B$57,0),INDEX($K$12:$N$25,MATCH($B1148,$J$12:$J$25,0),K$11)))</f>
        <v/>
      </c>
      <c r="D1148" s="808" t="str">
        <f>IF(B1161="","",INDEX(NXchung!$B$3:$EP$57,MATCH(B1161,NXchung!$B$3:$B$57,0),INDEX($K$12:$N$25,MATCH($B1148,$J$12:$J$25,0),L$11)))</f>
        <v/>
      </c>
      <c r="E1148" s="805" t="str">
        <f>IF(B1161="","",INDEX(NXchung!$B$3:$EP$57,MATCH(B1161,NXchung!$B$3:$B$57,0),INDEX($K$12:$N$25,MATCH($B1148,$J$12:$J$25,0),M$11)))</f>
        <v/>
      </c>
      <c r="F1148" s="808" t="str">
        <f>IF(B1161="","",INDEX(NXchung!$B$3:$EP$57,MATCH(B1161,NXchung!$B$3:$B$57,0),INDEX($K$12:$N$25,MATCH($B1148,$J$12:$J$25,0),N$11)))</f>
        <v/>
      </c>
      <c r="G1148" s="805"/>
      <c r="I1148" s="64"/>
      <c r="J1148" s="64"/>
    </row>
    <row r="1149" spans="1:10" ht="45.9" customHeight="1">
      <c r="A1149" s="803" t="s">
        <v>197</v>
      </c>
      <c r="B1149" s="813" t="s">
        <v>31</v>
      </c>
      <c r="C1149" s="805" t="str">
        <f>IF(B1161="","",INDEX(NXchung!$B$3:$EP$57,MATCH(B1161,NXchung!$B$3:$B$57,0),INDEX($K$12:$N$25,MATCH($B1149,$J$12:$J$25,0),K$11)))</f>
        <v/>
      </c>
      <c r="D1149" s="808" t="str">
        <f>IF(B1161="","",INDEX(NXchung!$B$3:$EP$57,MATCH(B1161,NXchung!$B$3:$B$57,0),INDEX($K$12:$N$25,MATCH($B1149,$J$12:$J$25,0),L$11)))</f>
        <v/>
      </c>
      <c r="E1149" s="805" t="str">
        <f>IF(B1161="","",INDEX(NXchung!$B$3:$EP$57,MATCH(B1161,NXchung!$B$3:$B$57,0),INDEX($K$12:$N$25,MATCH($B1149,$J$12:$J$25,0),M$11)))</f>
        <v/>
      </c>
      <c r="F1149" s="808" t="str">
        <f>IF(B1161="","",INDEX(NXchung!$B$3:$EP$57,MATCH(B1161,NXchung!$B$3:$B$57,0),INDEX($K$12:$N$25,MATCH($B1149,$J$12:$J$25,0),N$11)))</f>
        <v/>
      </c>
      <c r="G1149" s="805"/>
      <c r="I1149" s="64"/>
      <c r="J1149" s="64"/>
    </row>
    <row r="1150" spans="1:10" ht="45.9" customHeight="1">
      <c r="A1150" s="803" t="s">
        <v>198</v>
      </c>
      <c r="B1150" s="813" t="s">
        <v>32</v>
      </c>
      <c r="C1150" s="805" t="str">
        <f>IF(B1161="","",INDEX(NXchung!$B$3:$EP$57,MATCH(B1161,NXchung!$B$3:$B$57,0),INDEX($K$12:$N$25,MATCH($B1150,$J$12:$J$25,0),K$11)))</f>
        <v/>
      </c>
      <c r="D1150" s="808" t="str">
        <f>IF(B1161="","",INDEX(NXchung!$B$3:$EP$57,MATCH(B1161,NXchung!$B$3:$B$57,0),INDEX($K$12:$N$25,MATCH($B1150,$J$12:$J$25,0),L$11)))</f>
        <v/>
      </c>
      <c r="E1150" s="805" t="str">
        <f>IF(B1161="","",INDEX(NXchung!$B$3:$EP$57,MATCH(B1161,NXchung!$B$3:$B$57,0),INDEX($K$12:$N$25,MATCH($B1150,$J$12:$J$25,0),M$11)))</f>
        <v/>
      </c>
      <c r="F1150" s="808" t="str">
        <f>IF(B1161="","",INDEX(NXchung!$B$3:$EP$57,MATCH(B1161,NXchung!$B$3:$B$57,0),INDEX($K$12:$N$25,MATCH($B1150,$J$12:$J$25,0),N$11)))</f>
        <v/>
      </c>
      <c r="G1150" s="805"/>
      <c r="I1150" s="64"/>
      <c r="J1150" s="64"/>
    </row>
    <row r="1151" spans="1:10" ht="45.9" customHeight="1">
      <c r="A1151" s="803" t="s">
        <v>199</v>
      </c>
      <c r="B1151" s="813" t="s">
        <v>33</v>
      </c>
      <c r="C1151" s="805" t="str">
        <f>IF(B1161="","",INDEX(NXchung!$B$3:$EP$57,MATCH(B1161,NXchung!$B$3:$B$57,0),INDEX($K$12:$N$25,MATCH($B1151,$J$12:$J$25,0),K$11)))</f>
        <v/>
      </c>
      <c r="D1151" s="808" t="str">
        <f>IF(B1161="","",INDEX(NXchung!$B$3:$EP$57,MATCH(B1161,NXchung!$B$3:$B$57,0),INDEX($K$12:$N$25,MATCH($B1151,$J$12:$J$25,0),L$11)))</f>
        <v/>
      </c>
      <c r="E1151" s="805" t="str">
        <f>IF(B1161="","",INDEX(NXchung!$B$3:$EP$57,MATCH(B1161,NXchung!$B$3:$B$57,0),INDEX($K$12:$N$25,MATCH($B1151,$J$12:$J$25,0),M$11)))</f>
        <v/>
      </c>
      <c r="F1151" s="808" t="str">
        <f>IF(B1161="","",INDEX(NXchung!$B$3:$EP$57,MATCH(B1161,NXchung!$B$3:$B$57,0),INDEX($K$12:$N$25,MATCH($B1151,$J$12:$J$25,0),N$11)))</f>
        <v/>
      </c>
      <c r="G1151" s="805"/>
      <c r="I1151" s="64"/>
      <c r="J1151" s="64"/>
    </row>
    <row r="1152" spans="1:10" ht="45.9" customHeight="1">
      <c r="A1152" s="803" t="s">
        <v>200</v>
      </c>
      <c r="B1152" s="813" t="s">
        <v>60</v>
      </c>
      <c r="C1152" s="805" t="str">
        <f>IF(B1161="","",INDEX(NXchung!$B$3:$EP$57,MATCH(B1161,NXchung!$B$3:$B$57,0),INDEX($K$12:$N$25,MATCH($B1152,$J$12:$J$25,0),K$11)))</f>
        <v/>
      </c>
      <c r="D1152" s="808" t="str">
        <f>IF(B1161="","",INDEX(NXchung!$B$3:$EP$57,MATCH(B1161,NXchung!$B$3:$B$57,0),INDEX($K$12:$N$25,MATCH($B1152,$J$12:$J$25,0),L$11)))</f>
        <v/>
      </c>
      <c r="E1152" s="805" t="str">
        <f>IF(B1161="","",INDEX(NXchung!$B$3:$EP$57,MATCH(B1161,NXchung!$B$3:$B$57,0),INDEX($K$12:$N$25,MATCH($B1152,$J$12:$J$25,0),M$11)))</f>
        <v/>
      </c>
      <c r="F1152" s="808" t="str">
        <f>IF(B1161="","",INDEX(NXchung!$B$3:$EP$57,MATCH(B1161,NXchung!$B$3:$B$57,0),INDEX($K$12:$N$25,MATCH($B1152,$J$12:$J$25,0),N$11)))</f>
        <v/>
      </c>
      <c r="G1152" s="805"/>
      <c r="I1152" s="64"/>
      <c r="J1152" s="64"/>
    </row>
    <row r="1153" spans="1:10" ht="45.9" customHeight="1">
      <c r="A1153" s="803" t="s">
        <v>201</v>
      </c>
      <c r="B1153" s="813" t="s">
        <v>34</v>
      </c>
      <c r="C1153" s="805" t="str">
        <f>IF(B1161="","",INDEX(NXchung!$B$3:$EP$57,MATCH(B1161,NXchung!$B$3:$B$57,0),INDEX($K$12:$N$25,MATCH($B1153,$J$12:$J$25,0),K$11)))</f>
        <v/>
      </c>
      <c r="D1153" s="808" t="str">
        <f>IF(B1161="","",INDEX(NXchung!$B$3:$EP$57,MATCH(B1161,NXchung!$B$3:$B$57,0),INDEX($K$12:$N$25,MATCH($B1153,$J$12:$J$25,0),L$11)))</f>
        <v/>
      </c>
      <c r="E1153" s="805" t="str">
        <f>IF(B1161="","",INDEX(NXchung!$B$3:$EP$57,MATCH(B1161,NXchung!$B$3:$B$57,0),INDEX($K$12:$N$25,MATCH($B1153,$J$12:$J$25,0),M$11)))</f>
        <v/>
      </c>
      <c r="F1153" s="808" t="str">
        <f>IF(B1161="","",INDEX(NXchung!$B$3:$EP$57,MATCH(B1161,NXchung!$B$3:$B$57,0),INDEX($K$12:$N$25,MATCH($B1153,$J$12:$J$25,0),N$11)))</f>
        <v/>
      </c>
      <c r="G1153" s="805"/>
      <c r="I1153" s="64"/>
      <c r="J1153" s="64"/>
    </row>
    <row r="1154" spans="1:10" ht="45.9" customHeight="1">
      <c r="A1154" s="803" t="s">
        <v>202</v>
      </c>
      <c r="B1154" s="813" t="s">
        <v>35</v>
      </c>
      <c r="C1154" s="805" t="str">
        <f>IF(B1161="","",INDEX(NXchung!$B$3:$EP$57,MATCH(B1161,NXchung!$B$3:$B$57,0),INDEX($K$12:$N$25,MATCH($B1154,$J$12:$J$25,0),K$11)))</f>
        <v/>
      </c>
      <c r="D1154" s="808" t="str">
        <f>IF(B1161="","",INDEX(NXchung!$B$3:$EP$57,MATCH(B1161,NXchung!$B$3:$B$57,0),INDEX($K$12:$N$25,MATCH($B1154,$J$12:$J$25,0),L$11)))</f>
        <v/>
      </c>
      <c r="E1154" s="805" t="str">
        <f>IF(B1161="","",INDEX(NXchung!$B$3:$EP$57,MATCH(B1161,NXchung!$B$3:$B$57,0),INDEX($K$12:$N$25,MATCH($B1154,$J$12:$J$25,0),M$11)))</f>
        <v/>
      </c>
      <c r="F1154" s="808" t="str">
        <f>IF(B1161="","",INDEX(NXchung!$B$3:$EP$57,MATCH(B1161,NXchung!$B$3:$B$57,0),INDEX($K$12:$N$25,MATCH($B1154,$J$12:$J$25,0),N$11)))</f>
        <v/>
      </c>
      <c r="G1154" s="805"/>
      <c r="I1154" s="64"/>
      <c r="J1154" s="64"/>
    </row>
    <row r="1155" spans="1:10" ht="45.9" customHeight="1">
      <c r="A1155" s="803" t="s">
        <v>203</v>
      </c>
      <c r="B1155" s="813" t="s">
        <v>121</v>
      </c>
      <c r="C1155" s="805" t="str">
        <f>IF(B1161="","",INDEX(NXchung!$B$3:$EP$57,MATCH(B1161,NXchung!$B$3:$B$57,0),INDEX($K$12:$N$25,MATCH($B1155,$J$12:$J$25,0),K$11)))</f>
        <v/>
      </c>
      <c r="D1155" s="808" t="str">
        <f>IF(B1161="","",INDEX(NXchung!$B$3:$EP$57,MATCH(B1161,NXchung!$B$3:$B$57,0),INDEX($K$12:$N$25,MATCH($B1155,$J$12:$J$25,0),L$11)))</f>
        <v/>
      </c>
      <c r="E1155" s="805" t="str">
        <f>IF(B1161="","",INDEX(NXchung!$B$3:$EP$57,MATCH(B1161,NXchung!$B$3:$B$57,0),INDEX($K$12:$N$25,MATCH($B1155,$J$12:$J$25,0),M$11)))</f>
        <v/>
      </c>
      <c r="F1155" s="808" t="str">
        <f>IF(B1161="","",INDEX(NXchung!$B$3:$EP$57,MATCH(B1161,NXchung!$B$3:$B$57,0),INDEX($K$12:$N$25,MATCH($B1155,$J$12:$J$25,0),N$11)))</f>
        <v/>
      </c>
      <c r="G1155" s="805"/>
      <c r="I1155" s="64"/>
      <c r="J1155" s="64"/>
    </row>
    <row r="1156" spans="1:10" ht="45.9" customHeight="1">
      <c r="A1156" s="803" t="s">
        <v>204</v>
      </c>
      <c r="B1156" s="813" t="s">
        <v>122</v>
      </c>
      <c r="C1156" s="805" t="str">
        <f>IF(B1161="","",INDEX(NXchung!$B$3:$EP$57,MATCH(B1161,NXchung!$B$3:$B$57,0),INDEX($K$12:$N$25,MATCH($B1156,$J$12:$J$25,0),K$11)))</f>
        <v/>
      </c>
      <c r="D1156" s="808" t="str">
        <f>IF(B1161="","",INDEX(NXchung!$B$3:$EP$57,MATCH(B1161,NXchung!$B$3:$B$57,0),INDEX($K$12:$N$25,MATCH($B1156,$J$12:$J$25,0),L$11)))</f>
        <v/>
      </c>
      <c r="E1156" s="805" t="str">
        <f>IF(B1161="","",INDEX(NXchung!$B$3:$EP$57,MATCH(B1161,NXchung!$B$3:$B$57,0),INDEX($K$12:$N$25,MATCH($B1156,$J$12:$J$25,0),M$11)))</f>
        <v/>
      </c>
      <c r="F1156" s="808" t="str">
        <f>IF(B1161="","",INDEX(NXchung!$B$3:$EP$57,MATCH(B1161,NXchung!$B$3:$B$57,0),INDEX($K$12:$N$25,MATCH($B1156,$J$12:$J$25,0),N$11)))</f>
        <v/>
      </c>
      <c r="G1156" s="805"/>
      <c r="I1156" s="64"/>
      <c r="J1156" s="64"/>
    </row>
    <row r="1157" spans="1:10" s="60" customFormat="1" ht="6" customHeight="1">
      <c r="A1157" s="67"/>
      <c r="B1157" s="67"/>
      <c r="C1157" s="475"/>
      <c r="D1157" s="475"/>
      <c r="E1157" s="67"/>
      <c r="F1157" s="67"/>
      <c r="G1157" s="67"/>
    </row>
    <row r="1158" spans="1:10" ht="17.25" customHeight="1">
      <c r="D1158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158" s="1163"/>
      <c r="F1158" s="1163"/>
      <c r="G1158" s="1163"/>
      <c r="H1158" s="814"/>
    </row>
    <row r="1159" spans="1:10" ht="16.5" customHeight="1">
      <c r="D1159" s="992" t="s">
        <v>377</v>
      </c>
      <c r="E1159" s="992"/>
      <c r="F1159" s="992"/>
      <c r="G1159" s="992"/>
      <c r="H1159" s="814"/>
    </row>
    <row r="1160" spans="1:10" ht="81.75" customHeight="1">
      <c r="D1160" s="931" t="str">
        <f>IF('Huong dan'!$E$5="","",'Huong dan'!$E$5)</f>
        <v/>
      </c>
      <c r="E1160" s="931"/>
      <c r="F1160" s="931"/>
      <c r="G1160" s="931"/>
      <c r="H1160" s="814"/>
    </row>
    <row r="1161" spans="1:10" ht="11.25" customHeight="1">
      <c r="A1161" s="75"/>
      <c r="B1161" s="815" t="str">
        <f>IF(B1132="","",IF(B1132&lt;MAX(DiemHKII!$B$4:$B$58),B1132+1,""))</f>
        <v/>
      </c>
      <c r="C1161" s="75"/>
      <c r="D1161" s="75"/>
      <c r="E1161" s="75"/>
      <c r="F1161" s="75"/>
      <c r="G1161" s="75"/>
    </row>
    <row r="1162" spans="1:10" s="60" customFormat="1" ht="21" customHeight="1">
      <c r="A1162" s="1128" t="str">
        <f>IF('Huong dan'!$E$3&lt;&gt;"","SỞ GIÁO DỤC VÀ ĐÀO TẠO "&amp;UPPER('Huong dan'!$E$3),"")</f>
        <v>SỞ GIÁO DỤC VÀ ĐÀO TẠO TP. HỒ CHÍ MINH</v>
      </c>
      <c r="B1162" s="1128"/>
      <c r="C1162" s="1128"/>
      <c r="D1162" s="1128"/>
      <c r="E1162" s="1129" t="s">
        <v>19</v>
      </c>
      <c r="F1162" s="1129"/>
      <c r="G1162" s="1129"/>
    </row>
    <row r="1163" spans="1:10" ht="17.25" customHeight="1">
      <c r="A1163" s="992" t="str">
        <f>IF('Huong dan'!$E$4&lt;&gt;"","TRƯỜNG "&amp;UPPER('Huong dan'!$E$4),"")</f>
        <v>TRƯỜNG THCS VÀ THPT NGUYỄN KHUYẾN</v>
      </c>
      <c r="B1163" s="992"/>
      <c r="C1163" s="992"/>
      <c r="D1163" s="992"/>
      <c r="E1163" s="1130" t="s">
        <v>179</v>
      </c>
      <c r="F1163" s="1130"/>
      <c r="G1163" s="1130"/>
    </row>
    <row r="1164" spans="1:10" ht="15" customHeight="1">
      <c r="A1164" s="69"/>
      <c r="B1164" s="69"/>
      <c r="C1164" s="30"/>
    </row>
    <row r="1165" spans="1:10" ht="27.75" customHeight="1">
      <c r="A1165" s="1013" t="s">
        <v>567</v>
      </c>
      <c r="B1165" s="1013"/>
      <c r="C1165" s="1013"/>
      <c r="D1165" s="1013"/>
      <c r="E1165" s="1013"/>
      <c r="F1165" s="1013"/>
      <c r="G1165" s="1013"/>
    </row>
    <row r="1166" spans="1:10" ht="24" customHeight="1">
      <c r="A1166" s="1013" t="str">
        <f>"HỌC KỲ II VÀ CẢ NĂM - NĂM HỌC "&amp;'Huong dan'!$C$5</f>
        <v>HỌC KỲ II VÀ CẢ NĂM - NĂM HỌC 2021 - 2022</v>
      </c>
      <c r="B1166" s="1013"/>
      <c r="C1166" s="1013"/>
      <c r="D1166" s="1013"/>
      <c r="E1166" s="1013"/>
      <c r="F1166" s="1013"/>
      <c r="G1166" s="1013"/>
    </row>
    <row r="1167" spans="1:10" ht="9" customHeight="1">
      <c r="A1167" s="70"/>
      <c r="B1167" s="66"/>
      <c r="C1167" s="66"/>
      <c r="D1167" s="66"/>
      <c r="E1167" s="66"/>
      <c r="F1167" s="66"/>
      <c r="G1167" s="66"/>
    </row>
    <row r="1168" spans="1:10" ht="18.75" customHeight="1">
      <c r="A1168" s="1167" t="s">
        <v>212</v>
      </c>
      <c r="B1168" s="1167"/>
      <c r="C1168" s="1167"/>
      <c r="D1168" s="1167" t="str">
        <f>IF(B1190="","",INDEX(NXchung!$B$3:$EP$57,MATCH(B1190,NXchung!$B$3:$B$57,0),3)&amp;" "&amp;INDEX(NXchung!$B$3:$EP$57,MATCH(B1190,NXchung!$B$3:$B$57,0),4))</f>
        <v/>
      </c>
      <c r="E1168" s="1167"/>
      <c r="F1168" s="77" t="str">
        <f>IF('Huong dan'!$C$3="","","Lớp: "&amp;'Huong dan'!$C$3)</f>
        <v>Lớp: 12A1</v>
      </c>
      <c r="G1168" s="71"/>
    </row>
    <row r="1169" spans="1:10" ht="18.75" customHeight="1">
      <c r="A1169" s="1168" t="s">
        <v>213</v>
      </c>
      <c r="B1169" s="1168"/>
      <c r="C1169" s="1168"/>
      <c r="D1169" s="77" t="str">
        <f>INDEX(NXchung!$B$3:$EP$57,MATCH(B1190,NXchung!$B$3:$B$57,0),5)</f>
        <v/>
      </c>
      <c r="F1169" s="841" t="str">
        <f>IF(B1190="","","Nơi sinh: "&amp;INDEX(DiemHKII!$H$4:$H$58,MATCH(B1190,DiemHKII!$B$4:$B$58,0),1))</f>
        <v/>
      </c>
      <c r="G1169" s="77"/>
    </row>
    <row r="1170" spans="1:10" ht="9.75" customHeight="1">
      <c r="A1170" s="62"/>
      <c r="B1170" s="62"/>
      <c r="C1170" s="62"/>
      <c r="D1170" s="62"/>
      <c r="E1170" s="62"/>
      <c r="F1170" s="62"/>
      <c r="G1170" s="63"/>
    </row>
    <row r="1171" spans="1:10" ht="31.5" customHeight="1">
      <c r="A1171" s="801" t="s">
        <v>0</v>
      </c>
      <c r="B1171" s="801" t="s">
        <v>59</v>
      </c>
      <c r="C1171" s="806" t="s">
        <v>661</v>
      </c>
      <c r="D1171" s="801" t="s">
        <v>296</v>
      </c>
      <c r="E1171" s="806" t="s">
        <v>662</v>
      </c>
      <c r="F1171" s="801" t="s">
        <v>361</v>
      </c>
      <c r="G1171" s="802" t="s">
        <v>569</v>
      </c>
    </row>
    <row r="1172" spans="1:10" ht="45.9" customHeight="1">
      <c r="A1172" s="803" t="s">
        <v>191</v>
      </c>
      <c r="B1172" s="813" t="s">
        <v>26</v>
      </c>
      <c r="C1172" s="805" t="str">
        <f>IF(B1190="","",INDEX(NXchung!$B$3:$EP$57,MATCH(B1190,NXchung!$B$3:$B$57,0),INDEX($K$12:$N$25,MATCH($B1172,$J$12:$J$25,0),K$11)))</f>
        <v/>
      </c>
      <c r="D1172" s="808" t="str">
        <f>IF(B1190="","",INDEX(NXchung!$B$3:$EP$57,MATCH(B1190,NXchung!$B$3:$B$57,0),INDEX($K$12:$N$25,MATCH($B1172,$J$12:$J$25,0),L$11)))</f>
        <v/>
      </c>
      <c r="E1172" s="805" t="str">
        <f>IF(B1190="","",INDEX(NXchung!$B$3:$EP$57,MATCH(B1190,NXchung!$B$3:$B$57,0),INDEX($K$12:$N$25,MATCH($B1172,$J$12:$J$25,0),M$11)))</f>
        <v/>
      </c>
      <c r="F1172" s="808" t="str">
        <f>IF(B1190="","",INDEX(NXchung!$B$3:$EP$57,MATCH(B1190,NXchung!$B$3:$B$57,0),INDEX($K$12:$N$25,MATCH($B1172,$J$12:$J$25,0),N$11)))</f>
        <v/>
      </c>
      <c r="G1172" s="805"/>
      <c r="I1172" s="64"/>
      <c r="J1172" s="64"/>
    </row>
    <row r="1173" spans="1:10" ht="45.9" customHeight="1">
      <c r="A1173" s="803" t="s">
        <v>192</v>
      </c>
      <c r="B1173" s="813" t="s">
        <v>27</v>
      </c>
      <c r="C1173" s="805" t="str">
        <f>IF(B1190="","",INDEX(NXchung!$B$3:$EP$57,MATCH(B1190,NXchung!$B$3:$B$57,0),INDEX($K$12:$N$25,MATCH($B1173,$J$12:$J$25,0),K$11)))</f>
        <v/>
      </c>
      <c r="D1173" s="808" t="str">
        <f>IF(B1190="","",INDEX(NXchung!$B$3:$EP$57,MATCH(B1190,NXchung!$B$3:$B$57,0),INDEX($K$12:$N$25,MATCH($B1173,$J$12:$J$25,0),L$11)))</f>
        <v/>
      </c>
      <c r="E1173" s="805" t="str">
        <f>IF(B1190="","",INDEX(NXchung!$B$3:$EP$57,MATCH(B1190,NXchung!$B$3:$B$57,0),INDEX($K$12:$N$25,MATCH($B1173,$J$12:$J$25,0),M$11)))</f>
        <v/>
      </c>
      <c r="F1173" s="808" t="str">
        <f>IF(B1190="","",INDEX(NXchung!$B$3:$EP$57,MATCH(B1190,NXchung!$B$3:$B$57,0),INDEX($K$12:$N$25,MATCH($B1173,$J$12:$J$25,0),N$11)))</f>
        <v/>
      </c>
      <c r="G1173" s="805"/>
      <c r="I1173" s="64"/>
      <c r="J1173" s="64"/>
    </row>
    <row r="1174" spans="1:10" ht="45.9" customHeight="1">
      <c r="A1174" s="803" t="s">
        <v>193</v>
      </c>
      <c r="B1174" s="813" t="s">
        <v>28</v>
      </c>
      <c r="C1174" s="805" t="str">
        <f>IF(B1190="","",INDEX(NXchung!$B$3:$EP$57,MATCH(B1190,NXchung!$B$3:$B$57,0),INDEX($K$12:$N$25,MATCH($B1174,$J$12:$J$25,0),K$11)))</f>
        <v/>
      </c>
      <c r="D1174" s="808" t="str">
        <f>IF(B1190="","",INDEX(NXchung!$B$3:$EP$57,MATCH(B1190,NXchung!$B$3:$B$57,0),INDEX($K$12:$N$25,MATCH($B1174,$J$12:$J$25,0),L$11)))</f>
        <v/>
      </c>
      <c r="E1174" s="805" t="str">
        <f>IF(B1190="","",INDEX(NXchung!$B$3:$EP$57,MATCH(B1190,NXchung!$B$3:$B$57,0),INDEX($K$12:$N$25,MATCH($B1174,$J$12:$J$25,0),M$11)))</f>
        <v/>
      </c>
      <c r="F1174" s="808" t="str">
        <f>IF(B1190="","",INDEX(NXchung!$B$3:$EP$57,MATCH(B1190,NXchung!$B$3:$B$57,0),INDEX($K$12:$N$25,MATCH($B1174,$J$12:$J$25,0),N$11)))</f>
        <v/>
      </c>
      <c r="G1174" s="805"/>
      <c r="I1174" s="64"/>
      <c r="J1174" s="64"/>
    </row>
    <row r="1175" spans="1:10" ht="45.9" customHeight="1">
      <c r="A1175" s="803" t="s">
        <v>194</v>
      </c>
      <c r="B1175" s="813" t="s">
        <v>29</v>
      </c>
      <c r="C1175" s="805" t="str">
        <f>IF(B1190="","",INDEX(NXchung!$B$3:$EP$57,MATCH(B1190,NXchung!$B$3:$B$57,0),INDEX($K$12:$N$25,MATCH($B1175,$J$12:$J$25,0),K$11)))</f>
        <v/>
      </c>
      <c r="D1175" s="808" t="str">
        <f>IF(B1190="","",INDEX(NXchung!$B$3:$EP$57,MATCH(B1190,NXchung!$B$3:$B$57,0),INDEX($K$12:$N$25,MATCH($B1175,$J$12:$J$25,0),L$11)))</f>
        <v/>
      </c>
      <c r="E1175" s="805" t="str">
        <f>IF(B1190="","",INDEX(NXchung!$B$3:$EP$57,MATCH(B1190,NXchung!$B$3:$B$57,0),INDEX($K$12:$N$25,MATCH($B1175,$J$12:$J$25,0),M$11)))</f>
        <v/>
      </c>
      <c r="F1175" s="808" t="str">
        <f>IF(B1190="","",INDEX(NXchung!$B$3:$EP$57,MATCH(B1190,NXchung!$B$3:$B$57,0),INDEX($K$12:$N$25,MATCH($B1175,$J$12:$J$25,0),N$11)))</f>
        <v/>
      </c>
      <c r="G1175" s="805"/>
      <c r="I1175" s="64"/>
      <c r="J1175" s="64"/>
    </row>
    <row r="1176" spans="1:10" ht="45.9" customHeight="1">
      <c r="A1176" s="803" t="s">
        <v>195</v>
      </c>
      <c r="B1176" s="813" t="s">
        <v>120</v>
      </c>
      <c r="C1176" s="805" t="str">
        <f>IF(B1190="","",INDEX(NXchung!$B$3:$EP$57,MATCH(B1190,NXchung!$B$3:$B$57,0),INDEX($K$12:$N$25,MATCH($B1176,$J$12:$J$25,0),K$11)))</f>
        <v/>
      </c>
      <c r="D1176" s="808" t="str">
        <f>IF(B1190="","",INDEX(NXchung!$B$3:$EP$57,MATCH(B1190,NXchung!$B$3:$B$57,0),INDEX($K$12:$N$25,MATCH($B1176,$J$12:$J$25,0),L$11)))</f>
        <v/>
      </c>
      <c r="E1176" s="805" t="str">
        <f>IF(B1190="","",INDEX(NXchung!$B$3:$EP$57,MATCH(B1190,NXchung!$B$3:$B$57,0),INDEX($K$12:$N$25,MATCH($B1176,$J$12:$J$25,0),M$11)))</f>
        <v/>
      </c>
      <c r="F1176" s="808" t="str">
        <f>IF(B1190="","",INDEX(NXchung!$B$3:$EP$57,MATCH(B1190,NXchung!$B$3:$B$57,0),INDEX($K$12:$N$25,MATCH($B1176,$J$12:$J$25,0),N$11)))</f>
        <v/>
      </c>
      <c r="G1176" s="805"/>
      <c r="I1176" s="64"/>
      <c r="J1176" s="64"/>
    </row>
    <row r="1177" spans="1:10" ht="45.9" customHeight="1">
      <c r="A1177" s="803" t="s">
        <v>196</v>
      </c>
      <c r="B1177" s="813" t="s">
        <v>30</v>
      </c>
      <c r="C1177" s="805" t="str">
        <f>IF(B1190="","",INDEX(NXchung!$B$3:$EP$57,MATCH(B1190,NXchung!$B$3:$B$57,0),INDEX($K$12:$N$25,MATCH($B1177,$J$12:$J$25,0),K$11)))</f>
        <v/>
      </c>
      <c r="D1177" s="808" t="str">
        <f>IF(B1190="","",INDEX(NXchung!$B$3:$EP$57,MATCH(B1190,NXchung!$B$3:$B$57,0),INDEX($K$12:$N$25,MATCH($B1177,$J$12:$J$25,0),L$11)))</f>
        <v/>
      </c>
      <c r="E1177" s="805" t="str">
        <f>IF(B1190="","",INDEX(NXchung!$B$3:$EP$57,MATCH(B1190,NXchung!$B$3:$B$57,0),INDEX($K$12:$N$25,MATCH($B1177,$J$12:$J$25,0),M$11)))</f>
        <v/>
      </c>
      <c r="F1177" s="808" t="str">
        <f>IF(B1190="","",INDEX(NXchung!$B$3:$EP$57,MATCH(B1190,NXchung!$B$3:$B$57,0),INDEX($K$12:$N$25,MATCH($B1177,$J$12:$J$25,0),N$11)))</f>
        <v/>
      </c>
      <c r="G1177" s="805"/>
      <c r="I1177" s="64"/>
      <c r="J1177" s="64"/>
    </row>
    <row r="1178" spans="1:10" ht="45.9" customHeight="1">
      <c r="A1178" s="803" t="s">
        <v>197</v>
      </c>
      <c r="B1178" s="813" t="s">
        <v>31</v>
      </c>
      <c r="C1178" s="805" t="str">
        <f>IF(B1190="","",INDEX(NXchung!$B$3:$EP$57,MATCH(B1190,NXchung!$B$3:$B$57,0),INDEX($K$12:$N$25,MATCH($B1178,$J$12:$J$25,0),K$11)))</f>
        <v/>
      </c>
      <c r="D1178" s="808" t="str">
        <f>IF(B1190="","",INDEX(NXchung!$B$3:$EP$57,MATCH(B1190,NXchung!$B$3:$B$57,0),INDEX($K$12:$N$25,MATCH($B1178,$J$12:$J$25,0),L$11)))</f>
        <v/>
      </c>
      <c r="E1178" s="805" t="str">
        <f>IF(B1190="","",INDEX(NXchung!$B$3:$EP$57,MATCH(B1190,NXchung!$B$3:$B$57,0),INDEX($K$12:$N$25,MATCH($B1178,$J$12:$J$25,0),M$11)))</f>
        <v/>
      </c>
      <c r="F1178" s="808" t="str">
        <f>IF(B1190="","",INDEX(NXchung!$B$3:$EP$57,MATCH(B1190,NXchung!$B$3:$B$57,0),INDEX($K$12:$N$25,MATCH($B1178,$J$12:$J$25,0),N$11)))</f>
        <v/>
      </c>
      <c r="G1178" s="805"/>
      <c r="I1178" s="64"/>
      <c r="J1178" s="64"/>
    </row>
    <row r="1179" spans="1:10" ht="45.9" customHeight="1">
      <c r="A1179" s="803" t="s">
        <v>198</v>
      </c>
      <c r="B1179" s="813" t="s">
        <v>32</v>
      </c>
      <c r="C1179" s="805" t="str">
        <f>IF(B1190="","",INDEX(NXchung!$B$3:$EP$57,MATCH(B1190,NXchung!$B$3:$B$57,0),INDEX($K$12:$N$25,MATCH($B1179,$J$12:$J$25,0),K$11)))</f>
        <v/>
      </c>
      <c r="D1179" s="808" t="str">
        <f>IF(B1190="","",INDEX(NXchung!$B$3:$EP$57,MATCH(B1190,NXchung!$B$3:$B$57,0),INDEX($K$12:$N$25,MATCH($B1179,$J$12:$J$25,0),L$11)))</f>
        <v/>
      </c>
      <c r="E1179" s="805" t="str">
        <f>IF(B1190="","",INDEX(NXchung!$B$3:$EP$57,MATCH(B1190,NXchung!$B$3:$B$57,0),INDEX($K$12:$N$25,MATCH($B1179,$J$12:$J$25,0),M$11)))</f>
        <v/>
      </c>
      <c r="F1179" s="808" t="str">
        <f>IF(B1190="","",INDEX(NXchung!$B$3:$EP$57,MATCH(B1190,NXchung!$B$3:$B$57,0),INDEX($K$12:$N$25,MATCH($B1179,$J$12:$J$25,0),N$11)))</f>
        <v/>
      </c>
      <c r="G1179" s="805"/>
      <c r="I1179" s="64"/>
      <c r="J1179" s="64"/>
    </row>
    <row r="1180" spans="1:10" ht="45.9" customHeight="1">
      <c r="A1180" s="803" t="s">
        <v>199</v>
      </c>
      <c r="B1180" s="813" t="s">
        <v>33</v>
      </c>
      <c r="C1180" s="805" t="str">
        <f>IF(B1190="","",INDEX(NXchung!$B$3:$EP$57,MATCH(B1190,NXchung!$B$3:$B$57,0),INDEX($K$12:$N$25,MATCH($B1180,$J$12:$J$25,0),K$11)))</f>
        <v/>
      </c>
      <c r="D1180" s="808" t="str">
        <f>IF(B1190="","",INDEX(NXchung!$B$3:$EP$57,MATCH(B1190,NXchung!$B$3:$B$57,0),INDEX($K$12:$N$25,MATCH($B1180,$J$12:$J$25,0),L$11)))</f>
        <v/>
      </c>
      <c r="E1180" s="805" t="str">
        <f>IF(B1190="","",INDEX(NXchung!$B$3:$EP$57,MATCH(B1190,NXchung!$B$3:$B$57,0),INDEX($K$12:$N$25,MATCH($B1180,$J$12:$J$25,0),M$11)))</f>
        <v/>
      </c>
      <c r="F1180" s="808" t="str">
        <f>IF(B1190="","",INDEX(NXchung!$B$3:$EP$57,MATCH(B1190,NXchung!$B$3:$B$57,0),INDEX($K$12:$N$25,MATCH($B1180,$J$12:$J$25,0),N$11)))</f>
        <v/>
      </c>
      <c r="G1180" s="805"/>
      <c r="I1180" s="64"/>
      <c r="J1180" s="64"/>
    </row>
    <row r="1181" spans="1:10" ht="45.9" customHeight="1">
      <c r="A1181" s="803" t="s">
        <v>200</v>
      </c>
      <c r="B1181" s="813" t="s">
        <v>60</v>
      </c>
      <c r="C1181" s="805" t="str">
        <f>IF(B1190="","",INDEX(NXchung!$B$3:$EP$57,MATCH(B1190,NXchung!$B$3:$B$57,0),INDEX($K$12:$N$25,MATCH($B1181,$J$12:$J$25,0),K$11)))</f>
        <v/>
      </c>
      <c r="D1181" s="808" t="str">
        <f>IF(B1190="","",INDEX(NXchung!$B$3:$EP$57,MATCH(B1190,NXchung!$B$3:$B$57,0),INDEX($K$12:$N$25,MATCH($B1181,$J$12:$J$25,0),L$11)))</f>
        <v/>
      </c>
      <c r="E1181" s="805" t="str">
        <f>IF(B1190="","",INDEX(NXchung!$B$3:$EP$57,MATCH(B1190,NXchung!$B$3:$B$57,0),INDEX($K$12:$N$25,MATCH($B1181,$J$12:$J$25,0),M$11)))</f>
        <v/>
      </c>
      <c r="F1181" s="808" t="str">
        <f>IF(B1190="","",INDEX(NXchung!$B$3:$EP$57,MATCH(B1190,NXchung!$B$3:$B$57,0),INDEX($K$12:$N$25,MATCH($B1181,$J$12:$J$25,0),N$11)))</f>
        <v/>
      </c>
      <c r="G1181" s="805"/>
      <c r="I1181" s="64"/>
      <c r="J1181" s="64"/>
    </row>
    <row r="1182" spans="1:10" ht="45.9" customHeight="1">
      <c r="A1182" s="803" t="s">
        <v>201</v>
      </c>
      <c r="B1182" s="813" t="s">
        <v>34</v>
      </c>
      <c r="C1182" s="805" t="str">
        <f>IF(B1190="","",INDEX(NXchung!$B$3:$EP$57,MATCH(B1190,NXchung!$B$3:$B$57,0),INDEX($K$12:$N$25,MATCH($B1182,$J$12:$J$25,0),K$11)))</f>
        <v/>
      </c>
      <c r="D1182" s="808" t="str">
        <f>IF(B1190="","",INDEX(NXchung!$B$3:$EP$57,MATCH(B1190,NXchung!$B$3:$B$57,0),INDEX($K$12:$N$25,MATCH($B1182,$J$12:$J$25,0),L$11)))</f>
        <v/>
      </c>
      <c r="E1182" s="805" t="str">
        <f>IF(B1190="","",INDEX(NXchung!$B$3:$EP$57,MATCH(B1190,NXchung!$B$3:$B$57,0),INDEX($K$12:$N$25,MATCH($B1182,$J$12:$J$25,0),M$11)))</f>
        <v/>
      </c>
      <c r="F1182" s="808" t="str">
        <f>IF(B1190="","",INDEX(NXchung!$B$3:$EP$57,MATCH(B1190,NXchung!$B$3:$B$57,0),INDEX($K$12:$N$25,MATCH($B1182,$J$12:$J$25,0),N$11)))</f>
        <v/>
      </c>
      <c r="G1182" s="805"/>
      <c r="I1182" s="64"/>
      <c r="J1182" s="64"/>
    </row>
    <row r="1183" spans="1:10" ht="45.9" customHeight="1">
      <c r="A1183" s="803" t="s">
        <v>202</v>
      </c>
      <c r="B1183" s="813" t="s">
        <v>35</v>
      </c>
      <c r="C1183" s="805" t="str">
        <f>IF(B1190="","",INDEX(NXchung!$B$3:$EP$57,MATCH(B1190,NXchung!$B$3:$B$57,0),INDEX($K$12:$N$25,MATCH($B1183,$J$12:$J$25,0),K$11)))</f>
        <v/>
      </c>
      <c r="D1183" s="808" t="str">
        <f>IF(B1190="","",INDEX(NXchung!$B$3:$EP$57,MATCH(B1190,NXchung!$B$3:$B$57,0),INDEX($K$12:$N$25,MATCH($B1183,$J$12:$J$25,0),L$11)))</f>
        <v/>
      </c>
      <c r="E1183" s="805" t="str">
        <f>IF(B1190="","",INDEX(NXchung!$B$3:$EP$57,MATCH(B1190,NXchung!$B$3:$B$57,0),INDEX($K$12:$N$25,MATCH($B1183,$J$12:$J$25,0),M$11)))</f>
        <v/>
      </c>
      <c r="F1183" s="808" t="str">
        <f>IF(B1190="","",INDEX(NXchung!$B$3:$EP$57,MATCH(B1190,NXchung!$B$3:$B$57,0),INDEX($K$12:$N$25,MATCH($B1183,$J$12:$J$25,0),N$11)))</f>
        <v/>
      </c>
      <c r="G1183" s="805"/>
      <c r="I1183" s="64"/>
      <c r="J1183" s="64"/>
    </row>
    <row r="1184" spans="1:10" ht="45.9" customHeight="1">
      <c r="A1184" s="803" t="s">
        <v>203</v>
      </c>
      <c r="B1184" s="813" t="s">
        <v>121</v>
      </c>
      <c r="C1184" s="805" t="str">
        <f>IF(B1190="","",INDEX(NXchung!$B$3:$EP$57,MATCH(B1190,NXchung!$B$3:$B$57,0),INDEX($K$12:$N$25,MATCH($B1184,$J$12:$J$25,0),K$11)))</f>
        <v/>
      </c>
      <c r="D1184" s="808" t="str">
        <f>IF(B1190="","",INDEX(NXchung!$B$3:$EP$57,MATCH(B1190,NXchung!$B$3:$B$57,0),INDEX($K$12:$N$25,MATCH($B1184,$J$12:$J$25,0),L$11)))</f>
        <v/>
      </c>
      <c r="E1184" s="805" t="str">
        <f>IF(B1190="","",INDEX(NXchung!$B$3:$EP$57,MATCH(B1190,NXchung!$B$3:$B$57,0),INDEX($K$12:$N$25,MATCH($B1184,$J$12:$J$25,0),M$11)))</f>
        <v/>
      </c>
      <c r="F1184" s="808" t="str">
        <f>IF(B1190="","",INDEX(NXchung!$B$3:$EP$57,MATCH(B1190,NXchung!$B$3:$B$57,0),INDEX($K$12:$N$25,MATCH($B1184,$J$12:$J$25,0),N$11)))</f>
        <v/>
      </c>
      <c r="G1184" s="805"/>
      <c r="I1184" s="64"/>
      <c r="J1184" s="64"/>
    </row>
    <row r="1185" spans="1:10" ht="45.9" customHeight="1">
      <c r="A1185" s="803" t="s">
        <v>204</v>
      </c>
      <c r="B1185" s="813" t="s">
        <v>122</v>
      </c>
      <c r="C1185" s="805" t="str">
        <f>IF(B1190="","",INDEX(NXchung!$B$3:$EP$57,MATCH(B1190,NXchung!$B$3:$B$57,0),INDEX($K$12:$N$25,MATCH($B1185,$J$12:$J$25,0),K$11)))</f>
        <v/>
      </c>
      <c r="D1185" s="808" t="str">
        <f>IF(B1190="","",INDEX(NXchung!$B$3:$EP$57,MATCH(B1190,NXchung!$B$3:$B$57,0),INDEX($K$12:$N$25,MATCH($B1185,$J$12:$J$25,0),L$11)))</f>
        <v/>
      </c>
      <c r="E1185" s="805" t="str">
        <f>IF(B1190="","",INDEX(NXchung!$B$3:$EP$57,MATCH(B1190,NXchung!$B$3:$B$57,0),INDEX($K$12:$N$25,MATCH($B1185,$J$12:$J$25,0),M$11)))</f>
        <v/>
      </c>
      <c r="F1185" s="808" t="str">
        <f>IF(B1190="","",INDEX(NXchung!$B$3:$EP$57,MATCH(B1190,NXchung!$B$3:$B$57,0),INDEX($K$12:$N$25,MATCH($B1185,$J$12:$J$25,0),N$11)))</f>
        <v/>
      </c>
      <c r="G1185" s="805"/>
      <c r="I1185" s="64"/>
      <c r="J1185" s="64"/>
    </row>
    <row r="1186" spans="1:10" s="60" customFormat="1" ht="6" customHeight="1">
      <c r="A1186" s="67"/>
      <c r="B1186" s="67"/>
      <c r="C1186" s="475"/>
      <c r="D1186" s="475"/>
      <c r="E1186" s="67"/>
      <c r="F1186" s="67"/>
      <c r="G1186" s="67"/>
    </row>
    <row r="1187" spans="1:10" ht="17.25" customHeight="1">
      <c r="D1187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187" s="1163"/>
      <c r="F1187" s="1163"/>
      <c r="G1187" s="1163"/>
      <c r="H1187" s="814"/>
    </row>
    <row r="1188" spans="1:10" ht="16.5" customHeight="1">
      <c r="D1188" s="992" t="s">
        <v>377</v>
      </c>
      <c r="E1188" s="992"/>
      <c r="F1188" s="992"/>
      <c r="G1188" s="992"/>
      <c r="H1188" s="814"/>
    </row>
    <row r="1189" spans="1:10" ht="81.75" customHeight="1">
      <c r="D1189" s="931" t="str">
        <f>IF('Huong dan'!$E$5="","",'Huong dan'!$E$5)</f>
        <v/>
      </c>
      <c r="E1189" s="931"/>
      <c r="F1189" s="931"/>
      <c r="G1189" s="931"/>
      <c r="H1189" s="814"/>
    </row>
    <row r="1190" spans="1:10" ht="11.25" customHeight="1">
      <c r="A1190" s="75"/>
      <c r="B1190" s="815" t="str">
        <f>IF(B1161="","",IF(B1161&lt;MAX(DiemHKII!$B$4:$B$58),B1161+1,""))</f>
        <v/>
      </c>
      <c r="C1190" s="75"/>
      <c r="D1190" s="75"/>
      <c r="E1190" s="75"/>
      <c r="F1190" s="75"/>
      <c r="G1190" s="75"/>
    </row>
    <row r="1191" spans="1:10" s="60" customFormat="1" ht="21" customHeight="1">
      <c r="A1191" s="1128" t="str">
        <f>IF('Huong dan'!$E$3&lt;&gt;"","SỞ GIÁO DỤC VÀ ĐÀO TẠO "&amp;UPPER('Huong dan'!$E$3),"")</f>
        <v>SỞ GIÁO DỤC VÀ ĐÀO TẠO TP. HỒ CHÍ MINH</v>
      </c>
      <c r="B1191" s="1128"/>
      <c r="C1191" s="1128"/>
      <c r="D1191" s="1128"/>
      <c r="E1191" s="1129" t="s">
        <v>19</v>
      </c>
      <c r="F1191" s="1129"/>
      <c r="G1191" s="1129"/>
    </row>
    <row r="1192" spans="1:10" ht="17.25" customHeight="1">
      <c r="A1192" s="992" t="str">
        <f>IF('Huong dan'!$E$4&lt;&gt;"","TRƯỜNG "&amp;UPPER('Huong dan'!$E$4),"")</f>
        <v>TRƯỜNG THCS VÀ THPT NGUYỄN KHUYẾN</v>
      </c>
      <c r="B1192" s="992"/>
      <c r="C1192" s="992"/>
      <c r="D1192" s="992"/>
      <c r="E1192" s="1130" t="s">
        <v>179</v>
      </c>
      <c r="F1192" s="1130"/>
      <c r="G1192" s="1130"/>
    </row>
    <row r="1193" spans="1:10" ht="15" customHeight="1">
      <c r="A1193" s="69"/>
      <c r="B1193" s="69"/>
      <c r="C1193" s="30"/>
    </row>
    <row r="1194" spans="1:10" ht="27.75" customHeight="1">
      <c r="A1194" s="1013" t="s">
        <v>567</v>
      </c>
      <c r="B1194" s="1013"/>
      <c r="C1194" s="1013"/>
      <c r="D1194" s="1013"/>
      <c r="E1194" s="1013"/>
      <c r="F1194" s="1013"/>
      <c r="G1194" s="1013"/>
    </row>
    <row r="1195" spans="1:10" ht="24" customHeight="1">
      <c r="A1195" s="1013" t="str">
        <f>"HỌC KỲ II VÀ CẢ NĂM - NĂM HỌC "&amp;'Huong dan'!$C$5</f>
        <v>HỌC KỲ II VÀ CẢ NĂM - NĂM HỌC 2021 - 2022</v>
      </c>
      <c r="B1195" s="1013"/>
      <c r="C1195" s="1013"/>
      <c r="D1195" s="1013"/>
      <c r="E1195" s="1013"/>
      <c r="F1195" s="1013"/>
      <c r="G1195" s="1013"/>
    </row>
    <row r="1196" spans="1:10" ht="9" customHeight="1">
      <c r="A1196" s="70"/>
      <c r="B1196" s="66"/>
      <c r="C1196" s="66"/>
      <c r="D1196" s="66"/>
      <c r="E1196" s="66"/>
      <c r="F1196" s="66"/>
      <c r="G1196" s="66"/>
    </row>
    <row r="1197" spans="1:10" ht="18.75" customHeight="1">
      <c r="A1197" s="1167" t="s">
        <v>212</v>
      </c>
      <c r="B1197" s="1167"/>
      <c r="C1197" s="1167"/>
      <c r="D1197" s="1167" t="str">
        <f>IF(B1219="","",INDEX(NXchung!$B$3:$EP$57,MATCH(B1219,NXchung!$B$3:$B$57,0),3)&amp;" "&amp;INDEX(NXchung!$B$3:$EP$57,MATCH(B1219,NXchung!$B$3:$B$57,0),4))</f>
        <v/>
      </c>
      <c r="E1197" s="1167"/>
      <c r="F1197" s="77" t="str">
        <f>IF('Huong dan'!$C$3="","","Lớp: "&amp;'Huong dan'!$C$3)</f>
        <v>Lớp: 12A1</v>
      </c>
      <c r="G1197" s="71"/>
    </row>
    <row r="1198" spans="1:10" ht="18.75" customHeight="1">
      <c r="A1198" s="1168" t="s">
        <v>213</v>
      </c>
      <c r="B1198" s="1168"/>
      <c r="C1198" s="1168"/>
      <c r="D1198" s="77" t="str">
        <f>INDEX(NXchung!$B$3:$EP$57,MATCH(B1219,NXchung!$B$3:$B$57,0),5)</f>
        <v/>
      </c>
      <c r="F1198" s="841" t="str">
        <f>IF(B1219="","","Nơi sinh: "&amp;INDEX(DiemHKII!$H$4:$H$58,MATCH(B1219,DiemHKII!$B$4:$B$58,0),1))</f>
        <v/>
      </c>
      <c r="G1198" s="77"/>
    </row>
    <row r="1199" spans="1:10" ht="9.75" customHeight="1">
      <c r="A1199" s="62"/>
      <c r="B1199" s="62"/>
      <c r="C1199" s="62"/>
      <c r="D1199" s="62"/>
      <c r="E1199" s="62"/>
      <c r="F1199" s="62"/>
      <c r="G1199" s="63"/>
    </row>
    <row r="1200" spans="1:10" ht="31.5" customHeight="1">
      <c r="A1200" s="801" t="s">
        <v>0</v>
      </c>
      <c r="B1200" s="801" t="s">
        <v>59</v>
      </c>
      <c r="C1200" s="806" t="s">
        <v>661</v>
      </c>
      <c r="D1200" s="801" t="s">
        <v>296</v>
      </c>
      <c r="E1200" s="806" t="s">
        <v>662</v>
      </c>
      <c r="F1200" s="801" t="s">
        <v>361</v>
      </c>
      <c r="G1200" s="802" t="s">
        <v>569</v>
      </c>
    </row>
    <row r="1201" spans="1:10" ht="45.9" customHeight="1">
      <c r="A1201" s="803" t="s">
        <v>191</v>
      </c>
      <c r="B1201" s="813" t="s">
        <v>26</v>
      </c>
      <c r="C1201" s="805" t="str">
        <f>IF(B1219="","",INDEX(NXchung!$B$3:$EP$57,MATCH(B1219,NXchung!$B$3:$B$57,0),INDEX($K$12:$N$25,MATCH($B1201,$J$12:$J$25,0),K$11)))</f>
        <v/>
      </c>
      <c r="D1201" s="808" t="str">
        <f>IF(B1219="","",INDEX(NXchung!$B$3:$EP$57,MATCH(B1219,NXchung!$B$3:$B$57,0),INDEX($K$12:$N$25,MATCH($B1201,$J$12:$J$25,0),L$11)))</f>
        <v/>
      </c>
      <c r="E1201" s="805" t="str">
        <f>IF(B1219="","",INDEX(NXchung!$B$3:$EP$57,MATCH(B1219,NXchung!$B$3:$B$57,0),INDEX($K$12:$N$25,MATCH($B1201,$J$12:$J$25,0),M$11)))</f>
        <v/>
      </c>
      <c r="F1201" s="808" t="str">
        <f>IF(B1219="","",INDEX(NXchung!$B$3:$EP$57,MATCH(B1219,NXchung!$B$3:$B$57,0),INDEX($K$12:$N$25,MATCH($B1201,$J$12:$J$25,0),N$11)))</f>
        <v/>
      </c>
      <c r="G1201" s="805"/>
      <c r="I1201" s="64"/>
      <c r="J1201" s="64"/>
    </row>
    <row r="1202" spans="1:10" ht="45.9" customHeight="1">
      <c r="A1202" s="803" t="s">
        <v>192</v>
      </c>
      <c r="B1202" s="813" t="s">
        <v>27</v>
      </c>
      <c r="C1202" s="805" t="str">
        <f>IF(B1219="","",INDEX(NXchung!$B$3:$EP$57,MATCH(B1219,NXchung!$B$3:$B$57,0),INDEX($K$12:$N$25,MATCH($B1202,$J$12:$J$25,0),K$11)))</f>
        <v/>
      </c>
      <c r="D1202" s="808" t="str">
        <f>IF(B1219="","",INDEX(NXchung!$B$3:$EP$57,MATCH(B1219,NXchung!$B$3:$B$57,0),INDEX($K$12:$N$25,MATCH($B1202,$J$12:$J$25,0),L$11)))</f>
        <v/>
      </c>
      <c r="E1202" s="805" t="str">
        <f>IF(B1219="","",INDEX(NXchung!$B$3:$EP$57,MATCH(B1219,NXchung!$B$3:$B$57,0),INDEX($K$12:$N$25,MATCH($B1202,$J$12:$J$25,0),M$11)))</f>
        <v/>
      </c>
      <c r="F1202" s="808" t="str">
        <f>IF(B1219="","",INDEX(NXchung!$B$3:$EP$57,MATCH(B1219,NXchung!$B$3:$B$57,0),INDEX($K$12:$N$25,MATCH($B1202,$J$12:$J$25,0),N$11)))</f>
        <v/>
      </c>
      <c r="G1202" s="805"/>
      <c r="I1202" s="64"/>
      <c r="J1202" s="64"/>
    </row>
    <row r="1203" spans="1:10" ht="45.9" customHeight="1">
      <c r="A1203" s="803" t="s">
        <v>193</v>
      </c>
      <c r="B1203" s="813" t="s">
        <v>28</v>
      </c>
      <c r="C1203" s="805" t="str">
        <f>IF(B1219="","",INDEX(NXchung!$B$3:$EP$57,MATCH(B1219,NXchung!$B$3:$B$57,0),INDEX($K$12:$N$25,MATCH($B1203,$J$12:$J$25,0),K$11)))</f>
        <v/>
      </c>
      <c r="D1203" s="808" t="str">
        <f>IF(B1219="","",INDEX(NXchung!$B$3:$EP$57,MATCH(B1219,NXchung!$B$3:$B$57,0),INDEX($K$12:$N$25,MATCH($B1203,$J$12:$J$25,0),L$11)))</f>
        <v/>
      </c>
      <c r="E1203" s="805" t="str">
        <f>IF(B1219="","",INDEX(NXchung!$B$3:$EP$57,MATCH(B1219,NXchung!$B$3:$B$57,0),INDEX($K$12:$N$25,MATCH($B1203,$J$12:$J$25,0),M$11)))</f>
        <v/>
      </c>
      <c r="F1203" s="808" t="str">
        <f>IF(B1219="","",INDEX(NXchung!$B$3:$EP$57,MATCH(B1219,NXchung!$B$3:$B$57,0),INDEX($K$12:$N$25,MATCH($B1203,$J$12:$J$25,0),N$11)))</f>
        <v/>
      </c>
      <c r="G1203" s="805"/>
      <c r="I1203" s="64"/>
      <c r="J1203" s="64"/>
    </row>
    <row r="1204" spans="1:10" ht="45.9" customHeight="1">
      <c r="A1204" s="803" t="s">
        <v>194</v>
      </c>
      <c r="B1204" s="813" t="s">
        <v>29</v>
      </c>
      <c r="C1204" s="805" t="str">
        <f>IF(B1219="","",INDEX(NXchung!$B$3:$EP$57,MATCH(B1219,NXchung!$B$3:$B$57,0),INDEX($K$12:$N$25,MATCH($B1204,$J$12:$J$25,0),K$11)))</f>
        <v/>
      </c>
      <c r="D1204" s="808" t="str">
        <f>IF(B1219="","",INDEX(NXchung!$B$3:$EP$57,MATCH(B1219,NXchung!$B$3:$B$57,0),INDEX($K$12:$N$25,MATCH($B1204,$J$12:$J$25,0),L$11)))</f>
        <v/>
      </c>
      <c r="E1204" s="805" t="str">
        <f>IF(B1219="","",INDEX(NXchung!$B$3:$EP$57,MATCH(B1219,NXchung!$B$3:$B$57,0),INDEX($K$12:$N$25,MATCH($B1204,$J$12:$J$25,0),M$11)))</f>
        <v/>
      </c>
      <c r="F1204" s="808" t="str">
        <f>IF(B1219="","",INDEX(NXchung!$B$3:$EP$57,MATCH(B1219,NXchung!$B$3:$B$57,0),INDEX($K$12:$N$25,MATCH($B1204,$J$12:$J$25,0),N$11)))</f>
        <v/>
      </c>
      <c r="G1204" s="805"/>
      <c r="I1204" s="64"/>
      <c r="J1204" s="64"/>
    </row>
    <row r="1205" spans="1:10" ht="45.9" customHeight="1">
      <c r="A1205" s="803" t="s">
        <v>195</v>
      </c>
      <c r="B1205" s="813" t="s">
        <v>120</v>
      </c>
      <c r="C1205" s="805" t="str">
        <f>IF(B1219="","",INDEX(NXchung!$B$3:$EP$57,MATCH(B1219,NXchung!$B$3:$B$57,0),INDEX($K$12:$N$25,MATCH($B1205,$J$12:$J$25,0),K$11)))</f>
        <v/>
      </c>
      <c r="D1205" s="808" t="str">
        <f>IF(B1219="","",INDEX(NXchung!$B$3:$EP$57,MATCH(B1219,NXchung!$B$3:$B$57,0),INDEX($K$12:$N$25,MATCH($B1205,$J$12:$J$25,0),L$11)))</f>
        <v/>
      </c>
      <c r="E1205" s="805" t="str">
        <f>IF(B1219="","",INDEX(NXchung!$B$3:$EP$57,MATCH(B1219,NXchung!$B$3:$B$57,0),INDEX($K$12:$N$25,MATCH($B1205,$J$12:$J$25,0),M$11)))</f>
        <v/>
      </c>
      <c r="F1205" s="808" t="str">
        <f>IF(B1219="","",INDEX(NXchung!$B$3:$EP$57,MATCH(B1219,NXchung!$B$3:$B$57,0),INDEX($K$12:$N$25,MATCH($B1205,$J$12:$J$25,0),N$11)))</f>
        <v/>
      </c>
      <c r="G1205" s="805"/>
      <c r="I1205" s="64"/>
      <c r="J1205" s="64"/>
    </row>
    <row r="1206" spans="1:10" ht="45.9" customHeight="1">
      <c r="A1206" s="803" t="s">
        <v>196</v>
      </c>
      <c r="B1206" s="813" t="s">
        <v>30</v>
      </c>
      <c r="C1206" s="805" t="str">
        <f>IF(B1219="","",INDEX(NXchung!$B$3:$EP$57,MATCH(B1219,NXchung!$B$3:$B$57,0),INDEX($K$12:$N$25,MATCH($B1206,$J$12:$J$25,0),K$11)))</f>
        <v/>
      </c>
      <c r="D1206" s="808" t="str">
        <f>IF(B1219="","",INDEX(NXchung!$B$3:$EP$57,MATCH(B1219,NXchung!$B$3:$B$57,0),INDEX($K$12:$N$25,MATCH($B1206,$J$12:$J$25,0),L$11)))</f>
        <v/>
      </c>
      <c r="E1206" s="805" t="str">
        <f>IF(B1219="","",INDEX(NXchung!$B$3:$EP$57,MATCH(B1219,NXchung!$B$3:$B$57,0),INDEX($K$12:$N$25,MATCH($B1206,$J$12:$J$25,0),M$11)))</f>
        <v/>
      </c>
      <c r="F1206" s="808" t="str">
        <f>IF(B1219="","",INDEX(NXchung!$B$3:$EP$57,MATCH(B1219,NXchung!$B$3:$B$57,0),INDEX($K$12:$N$25,MATCH($B1206,$J$12:$J$25,0),N$11)))</f>
        <v/>
      </c>
      <c r="G1206" s="805"/>
      <c r="I1206" s="64"/>
      <c r="J1206" s="64"/>
    </row>
    <row r="1207" spans="1:10" ht="45.9" customHeight="1">
      <c r="A1207" s="803" t="s">
        <v>197</v>
      </c>
      <c r="B1207" s="813" t="s">
        <v>31</v>
      </c>
      <c r="C1207" s="805" t="str">
        <f>IF(B1219="","",INDEX(NXchung!$B$3:$EP$57,MATCH(B1219,NXchung!$B$3:$B$57,0),INDEX($K$12:$N$25,MATCH($B1207,$J$12:$J$25,0),K$11)))</f>
        <v/>
      </c>
      <c r="D1207" s="808" t="str">
        <f>IF(B1219="","",INDEX(NXchung!$B$3:$EP$57,MATCH(B1219,NXchung!$B$3:$B$57,0),INDEX($K$12:$N$25,MATCH($B1207,$J$12:$J$25,0),L$11)))</f>
        <v/>
      </c>
      <c r="E1207" s="805" t="str">
        <f>IF(B1219="","",INDEX(NXchung!$B$3:$EP$57,MATCH(B1219,NXchung!$B$3:$B$57,0),INDEX($K$12:$N$25,MATCH($B1207,$J$12:$J$25,0),M$11)))</f>
        <v/>
      </c>
      <c r="F1207" s="808" t="str">
        <f>IF(B1219="","",INDEX(NXchung!$B$3:$EP$57,MATCH(B1219,NXchung!$B$3:$B$57,0),INDEX($K$12:$N$25,MATCH($B1207,$J$12:$J$25,0),N$11)))</f>
        <v/>
      </c>
      <c r="G1207" s="805"/>
      <c r="I1207" s="64"/>
      <c r="J1207" s="64"/>
    </row>
    <row r="1208" spans="1:10" ht="45.9" customHeight="1">
      <c r="A1208" s="803" t="s">
        <v>198</v>
      </c>
      <c r="B1208" s="813" t="s">
        <v>32</v>
      </c>
      <c r="C1208" s="805" t="str">
        <f>IF(B1219="","",INDEX(NXchung!$B$3:$EP$57,MATCH(B1219,NXchung!$B$3:$B$57,0),INDEX($K$12:$N$25,MATCH($B1208,$J$12:$J$25,0),K$11)))</f>
        <v/>
      </c>
      <c r="D1208" s="808" t="str">
        <f>IF(B1219="","",INDEX(NXchung!$B$3:$EP$57,MATCH(B1219,NXchung!$B$3:$B$57,0),INDEX($K$12:$N$25,MATCH($B1208,$J$12:$J$25,0),L$11)))</f>
        <v/>
      </c>
      <c r="E1208" s="805" t="str">
        <f>IF(B1219="","",INDEX(NXchung!$B$3:$EP$57,MATCH(B1219,NXchung!$B$3:$B$57,0),INDEX($K$12:$N$25,MATCH($B1208,$J$12:$J$25,0),M$11)))</f>
        <v/>
      </c>
      <c r="F1208" s="808" t="str">
        <f>IF(B1219="","",INDEX(NXchung!$B$3:$EP$57,MATCH(B1219,NXchung!$B$3:$B$57,0),INDEX($K$12:$N$25,MATCH($B1208,$J$12:$J$25,0),N$11)))</f>
        <v/>
      </c>
      <c r="G1208" s="805"/>
      <c r="I1208" s="64"/>
      <c r="J1208" s="64"/>
    </row>
    <row r="1209" spans="1:10" ht="45.9" customHeight="1">
      <c r="A1209" s="803" t="s">
        <v>199</v>
      </c>
      <c r="B1209" s="813" t="s">
        <v>33</v>
      </c>
      <c r="C1209" s="805" t="str">
        <f>IF(B1219="","",INDEX(NXchung!$B$3:$EP$57,MATCH(B1219,NXchung!$B$3:$B$57,0),INDEX($K$12:$N$25,MATCH($B1209,$J$12:$J$25,0),K$11)))</f>
        <v/>
      </c>
      <c r="D1209" s="808" t="str">
        <f>IF(B1219="","",INDEX(NXchung!$B$3:$EP$57,MATCH(B1219,NXchung!$B$3:$B$57,0),INDEX($K$12:$N$25,MATCH($B1209,$J$12:$J$25,0),L$11)))</f>
        <v/>
      </c>
      <c r="E1209" s="805" t="str">
        <f>IF(B1219="","",INDEX(NXchung!$B$3:$EP$57,MATCH(B1219,NXchung!$B$3:$B$57,0),INDEX($K$12:$N$25,MATCH($B1209,$J$12:$J$25,0),M$11)))</f>
        <v/>
      </c>
      <c r="F1209" s="808" t="str">
        <f>IF(B1219="","",INDEX(NXchung!$B$3:$EP$57,MATCH(B1219,NXchung!$B$3:$B$57,0),INDEX($K$12:$N$25,MATCH($B1209,$J$12:$J$25,0),N$11)))</f>
        <v/>
      </c>
      <c r="G1209" s="805"/>
      <c r="I1209" s="64"/>
      <c r="J1209" s="64"/>
    </row>
    <row r="1210" spans="1:10" ht="45.9" customHeight="1">
      <c r="A1210" s="803" t="s">
        <v>200</v>
      </c>
      <c r="B1210" s="813" t="s">
        <v>60</v>
      </c>
      <c r="C1210" s="805" t="str">
        <f>IF(B1219="","",INDEX(NXchung!$B$3:$EP$57,MATCH(B1219,NXchung!$B$3:$B$57,0),INDEX($K$12:$N$25,MATCH($B1210,$J$12:$J$25,0),K$11)))</f>
        <v/>
      </c>
      <c r="D1210" s="808" t="str">
        <f>IF(B1219="","",INDEX(NXchung!$B$3:$EP$57,MATCH(B1219,NXchung!$B$3:$B$57,0),INDEX($K$12:$N$25,MATCH($B1210,$J$12:$J$25,0),L$11)))</f>
        <v/>
      </c>
      <c r="E1210" s="805" t="str">
        <f>IF(B1219="","",INDEX(NXchung!$B$3:$EP$57,MATCH(B1219,NXchung!$B$3:$B$57,0),INDEX($K$12:$N$25,MATCH($B1210,$J$12:$J$25,0),M$11)))</f>
        <v/>
      </c>
      <c r="F1210" s="808" t="str">
        <f>IF(B1219="","",INDEX(NXchung!$B$3:$EP$57,MATCH(B1219,NXchung!$B$3:$B$57,0),INDEX($K$12:$N$25,MATCH($B1210,$J$12:$J$25,0),N$11)))</f>
        <v/>
      </c>
      <c r="G1210" s="805"/>
      <c r="I1210" s="64"/>
      <c r="J1210" s="64"/>
    </row>
    <row r="1211" spans="1:10" ht="45.9" customHeight="1">
      <c r="A1211" s="803" t="s">
        <v>201</v>
      </c>
      <c r="B1211" s="813" t="s">
        <v>34</v>
      </c>
      <c r="C1211" s="805" t="str">
        <f>IF(B1219="","",INDEX(NXchung!$B$3:$EP$57,MATCH(B1219,NXchung!$B$3:$B$57,0),INDEX($K$12:$N$25,MATCH($B1211,$J$12:$J$25,0),K$11)))</f>
        <v/>
      </c>
      <c r="D1211" s="808" t="str">
        <f>IF(B1219="","",INDEX(NXchung!$B$3:$EP$57,MATCH(B1219,NXchung!$B$3:$B$57,0),INDEX($K$12:$N$25,MATCH($B1211,$J$12:$J$25,0),L$11)))</f>
        <v/>
      </c>
      <c r="E1211" s="805" t="str">
        <f>IF(B1219="","",INDEX(NXchung!$B$3:$EP$57,MATCH(B1219,NXchung!$B$3:$B$57,0),INDEX($K$12:$N$25,MATCH($B1211,$J$12:$J$25,0),M$11)))</f>
        <v/>
      </c>
      <c r="F1211" s="808" t="str">
        <f>IF(B1219="","",INDEX(NXchung!$B$3:$EP$57,MATCH(B1219,NXchung!$B$3:$B$57,0),INDEX($K$12:$N$25,MATCH($B1211,$J$12:$J$25,0),N$11)))</f>
        <v/>
      </c>
      <c r="G1211" s="805"/>
      <c r="I1211" s="64"/>
      <c r="J1211" s="64"/>
    </row>
    <row r="1212" spans="1:10" ht="45.9" customHeight="1">
      <c r="A1212" s="803" t="s">
        <v>202</v>
      </c>
      <c r="B1212" s="813" t="s">
        <v>35</v>
      </c>
      <c r="C1212" s="805" t="str">
        <f>IF(B1219="","",INDEX(NXchung!$B$3:$EP$57,MATCH(B1219,NXchung!$B$3:$B$57,0),INDEX($K$12:$N$25,MATCH($B1212,$J$12:$J$25,0),K$11)))</f>
        <v/>
      </c>
      <c r="D1212" s="808" t="str">
        <f>IF(B1219="","",INDEX(NXchung!$B$3:$EP$57,MATCH(B1219,NXchung!$B$3:$B$57,0),INDEX($K$12:$N$25,MATCH($B1212,$J$12:$J$25,0),L$11)))</f>
        <v/>
      </c>
      <c r="E1212" s="805" t="str">
        <f>IF(B1219="","",INDEX(NXchung!$B$3:$EP$57,MATCH(B1219,NXchung!$B$3:$B$57,0),INDEX($K$12:$N$25,MATCH($B1212,$J$12:$J$25,0),M$11)))</f>
        <v/>
      </c>
      <c r="F1212" s="808" t="str">
        <f>IF(B1219="","",INDEX(NXchung!$B$3:$EP$57,MATCH(B1219,NXchung!$B$3:$B$57,0),INDEX($K$12:$N$25,MATCH($B1212,$J$12:$J$25,0),N$11)))</f>
        <v/>
      </c>
      <c r="G1212" s="805"/>
      <c r="I1212" s="64"/>
      <c r="J1212" s="64"/>
    </row>
    <row r="1213" spans="1:10" ht="45.9" customHeight="1">
      <c r="A1213" s="803" t="s">
        <v>203</v>
      </c>
      <c r="B1213" s="813" t="s">
        <v>121</v>
      </c>
      <c r="C1213" s="805" t="str">
        <f>IF(B1219="","",INDEX(NXchung!$B$3:$EP$57,MATCH(B1219,NXchung!$B$3:$B$57,0),INDEX($K$12:$N$25,MATCH($B1213,$J$12:$J$25,0),K$11)))</f>
        <v/>
      </c>
      <c r="D1213" s="808" t="str">
        <f>IF(B1219="","",INDEX(NXchung!$B$3:$EP$57,MATCH(B1219,NXchung!$B$3:$B$57,0),INDEX($K$12:$N$25,MATCH($B1213,$J$12:$J$25,0),L$11)))</f>
        <v/>
      </c>
      <c r="E1213" s="805" t="str">
        <f>IF(B1219="","",INDEX(NXchung!$B$3:$EP$57,MATCH(B1219,NXchung!$B$3:$B$57,0),INDEX($K$12:$N$25,MATCH($B1213,$J$12:$J$25,0),M$11)))</f>
        <v/>
      </c>
      <c r="F1213" s="808" t="str">
        <f>IF(B1219="","",INDEX(NXchung!$B$3:$EP$57,MATCH(B1219,NXchung!$B$3:$B$57,0),INDEX($K$12:$N$25,MATCH($B1213,$J$12:$J$25,0),N$11)))</f>
        <v/>
      </c>
      <c r="G1213" s="805"/>
      <c r="I1213" s="64"/>
      <c r="J1213" s="64"/>
    </row>
    <row r="1214" spans="1:10" ht="45.9" customHeight="1">
      <c r="A1214" s="803" t="s">
        <v>204</v>
      </c>
      <c r="B1214" s="813" t="s">
        <v>122</v>
      </c>
      <c r="C1214" s="805" t="str">
        <f>IF(B1219="","",INDEX(NXchung!$B$3:$EP$57,MATCH(B1219,NXchung!$B$3:$B$57,0),INDEX($K$12:$N$25,MATCH($B1214,$J$12:$J$25,0),K$11)))</f>
        <v/>
      </c>
      <c r="D1214" s="808" t="str">
        <f>IF(B1219="","",INDEX(NXchung!$B$3:$EP$57,MATCH(B1219,NXchung!$B$3:$B$57,0),INDEX($K$12:$N$25,MATCH($B1214,$J$12:$J$25,0),L$11)))</f>
        <v/>
      </c>
      <c r="E1214" s="805" t="str">
        <f>IF(B1219="","",INDEX(NXchung!$B$3:$EP$57,MATCH(B1219,NXchung!$B$3:$B$57,0),INDEX($K$12:$N$25,MATCH($B1214,$J$12:$J$25,0),M$11)))</f>
        <v/>
      </c>
      <c r="F1214" s="808" t="str">
        <f>IF(B1219="","",INDEX(NXchung!$B$3:$EP$57,MATCH(B1219,NXchung!$B$3:$B$57,0),INDEX($K$12:$N$25,MATCH($B1214,$J$12:$J$25,0),N$11)))</f>
        <v/>
      </c>
      <c r="G1214" s="805"/>
      <c r="I1214" s="64"/>
      <c r="J1214" s="64"/>
    </row>
    <row r="1215" spans="1:10" s="60" customFormat="1" ht="6" customHeight="1">
      <c r="A1215" s="67"/>
      <c r="B1215" s="67"/>
      <c r="C1215" s="475"/>
      <c r="D1215" s="475"/>
      <c r="E1215" s="67"/>
      <c r="F1215" s="67"/>
      <c r="G1215" s="67"/>
    </row>
    <row r="1216" spans="1:10" ht="17.25" customHeight="1">
      <c r="D1216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216" s="1163"/>
      <c r="F1216" s="1163"/>
      <c r="G1216" s="1163"/>
      <c r="H1216" s="814"/>
    </row>
    <row r="1217" spans="1:10" ht="16.5" customHeight="1">
      <c r="D1217" s="992" t="s">
        <v>377</v>
      </c>
      <c r="E1217" s="992"/>
      <c r="F1217" s="992"/>
      <c r="G1217" s="992"/>
      <c r="H1217" s="814"/>
    </row>
    <row r="1218" spans="1:10" ht="81.75" customHeight="1">
      <c r="D1218" s="931" t="str">
        <f>IF('Huong dan'!$E$5="","",'Huong dan'!$E$5)</f>
        <v/>
      </c>
      <c r="E1218" s="931"/>
      <c r="F1218" s="931"/>
      <c r="G1218" s="931"/>
      <c r="H1218" s="814"/>
    </row>
    <row r="1219" spans="1:10" ht="11.25" customHeight="1">
      <c r="A1219" s="75"/>
      <c r="B1219" s="815" t="str">
        <f>IF(B1190="","",IF(B1190&lt;MAX(DiemHKII!$B$4:$B$58),B1190+1,""))</f>
        <v/>
      </c>
      <c r="C1219" s="75"/>
      <c r="D1219" s="75"/>
      <c r="E1219" s="75"/>
      <c r="F1219" s="75"/>
      <c r="G1219" s="75"/>
    </row>
    <row r="1220" spans="1:10" s="60" customFormat="1" ht="21" customHeight="1">
      <c r="A1220" s="1128" t="str">
        <f>IF('Huong dan'!$E$3&lt;&gt;"","SỞ GIÁO DỤC VÀ ĐÀO TẠO "&amp;UPPER('Huong dan'!$E$3),"")</f>
        <v>SỞ GIÁO DỤC VÀ ĐÀO TẠO TP. HỒ CHÍ MINH</v>
      </c>
      <c r="B1220" s="1128"/>
      <c r="C1220" s="1128"/>
      <c r="D1220" s="1128"/>
      <c r="E1220" s="1129" t="s">
        <v>19</v>
      </c>
      <c r="F1220" s="1129"/>
      <c r="G1220" s="1129"/>
    </row>
    <row r="1221" spans="1:10" ht="17.25" customHeight="1">
      <c r="A1221" s="992" t="str">
        <f>IF('Huong dan'!$E$4&lt;&gt;"","TRƯỜNG "&amp;UPPER('Huong dan'!$E$4),"")</f>
        <v>TRƯỜNG THCS VÀ THPT NGUYỄN KHUYẾN</v>
      </c>
      <c r="B1221" s="992"/>
      <c r="C1221" s="992"/>
      <c r="D1221" s="992"/>
      <c r="E1221" s="1130" t="s">
        <v>179</v>
      </c>
      <c r="F1221" s="1130"/>
      <c r="G1221" s="1130"/>
    </row>
    <row r="1222" spans="1:10" ht="15" customHeight="1">
      <c r="A1222" s="69"/>
      <c r="B1222" s="69"/>
      <c r="C1222" s="30"/>
    </row>
    <row r="1223" spans="1:10" ht="27.75" customHeight="1">
      <c r="A1223" s="1013" t="s">
        <v>567</v>
      </c>
      <c r="B1223" s="1013"/>
      <c r="C1223" s="1013"/>
      <c r="D1223" s="1013"/>
      <c r="E1223" s="1013"/>
      <c r="F1223" s="1013"/>
      <c r="G1223" s="1013"/>
    </row>
    <row r="1224" spans="1:10" ht="24" customHeight="1">
      <c r="A1224" s="1013" t="str">
        <f>"HỌC KỲ II VÀ CẢ NĂM - NĂM HỌC "&amp;'Huong dan'!$C$5</f>
        <v>HỌC KỲ II VÀ CẢ NĂM - NĂM HỌC 2021 - 2022</v>
      </c>
      <c r="B1224" s="1013"/>
      <c r="C1224" s="1013"/>
      <c r="D1224" s="1013"/>
      <c r="E1224" s="1013"/>
      <c r="F1224" s="1013"/>
      <c r="G1224" s="1013"/>
    </row>
    <row r="1225" spans="1:10" ht="9" customHeight="1">
      <c r="A1225" s="70"/>
      <c r="B1225" s="66"/>
      <c r="C1225" s="66"/>
      <c r="D1225" s="66"/>
      <c r="E1225" s="66"/>
      <c r="F1225" s="66"/>
      <c r="G1225" s="66"/>
    </row>
    <row r="1226" spans="1:10" ht="18.75" customHeight="1">
      <c r="A1226" s="1167" t="s">
        <v>212</v>
      </c>
      <c r="B1226" s="1167"/>
      <c r="C1226" s="1167"/>
      <c r="D1226" s="1167" t="str">
        <f>IF(B1248="","",INDEX(NXchung!$B$3:$EP$57,MATCH(B1248,NXchung!$B$3:$B$57,0),3)&amp;" "&amp;INDEX(NXchung!$B$3:$EP$57,MATCH(B1248,NXchung!$B$3:$B$57,0),4))</f>
        <v/>
      </c>
      <c r="E1226" s="1167"/>
      <c r="F1226" s="77" t="str">
        <f>IF('Huong dan'!$C$3="","","Lớp: "&amp;'Huong dan'!$C$3)</f>
        <v>Lớp: 12A1</v>
      </c>
      <c r="G1226" s="71"/>
    </row>
    <row r="1227" spans="1:10" ht="18.75" customHeight="1">
      <c r="A1227" s="1168" t="s">
        <v>213</v>
      </c>
      <c r="B1227" s="1168"/>
      <c r="C1227" s="1168"/>
      <c r="D1227" s="77" t="str">
        <f>INDEX(NXchung!$B$3:$EP$57,MATCH(B1248,NXchung!$B$3:$B$57,0),5)</f>
        <v/>
      </c>
      <c r="F1227" s="841" t="str">
        <f>IF(B1248="","","Nơi sinh: "&amp;INDEX(DiemHKII!$H$4:$H$58,MATCH(B1248,DiemHKII!$B$4:$B$58,0),1))</f>
        <v/>
      </c>
      <c r="G1227" s="77"/>
    </row>
    <row r="1228" spans="1:10" ht="9.75" customHeight="1">
      <c r="A1228" s="62"/>
      <c r="B1228" s="62"/>
      <c r="C1228" s="62"/>
      <c r="D1228" s="62"/>
      <c r="E1228" s="62"/>
      <c r="F1228" s="62"/>
      <c r="G1228" s="63"/>
    </row>
    <row r="1229" spans="1:10" ht="31.5" customHeight="1">
      <c r="A1229" s="801" t="s">
        <v>0</v>
      </c>
      <c r="B1229" s="801" t="s">
        <v>59</v>
      </c>
      <c r="C1229" s="806" t="s">
        <v>661</v>
      </c>
      <c r="D1229" s="801" t="s">
        <v>296</v>
      </c>
      <c r="E1229" s="806" t="s">
        <v>662</v>
      </c>
      <c r="F1229" s="801" t="s">
        <v>361</v>
      </c>
      <c r="G1229" s="802" t="s">
        <v>569</v>
      </c>
    </row>
    <row r="1230" spans="1:10" ht="45.9" customHeight="1">
      <c r="A1230" s="803" t="s">
        <v>191</v>
      </c>
      <c r="B1230" s="813" t="s">
        <v>26</v>
      </c>
      <c r="C1230" s="805" t="str">
        <f>IF(B1248="","",INDEX(NXchung!$B$3:$EP$57,MATCH(B1248,NXchung!$B$3:$B$57,0),INDEX($K$12:$N$25,MATCH($B1230,$J$12:$J$25,0),K$11)))</f>
        <v/>
      </c>
      <c r="D1230" s="808" t="str">
        <f>IF(B1248="","",INDEX(NXchung!$B$3:$EP$57,MATCH(B1248,NXchung!$B$3:$B$57,0),INDEX($K$12:$N$25,MATCH($B1230,$J$12:$J$25,0),L$11)))</f>
        <v/>
      </c>
      <c r="E1230" s="805" t="str">
        <f>IF(B1248="","",INDEX(NXchung!$B$3:$EP$57,MATCH(B1248,NXchung!$B$3:$B$57,0),INDEX($K$12:$N$25,MATCH($B1230,$J$12:$J$25,0),M$11)))</f>
        <v/>
      </c>
      <c r="F1230" s="808" t="str">
        <f>IF(B1248="","",INDEX(NXchung!$B$3:$EP$57,MATCH(B1248,NXchung!$B$3:$B$57,0),INDEX($K$12:$N$25,MATCH($B1230,$J$12:$J$25,0),N$11)))</f>
        <v/>
      </c>
      <c r="G1230" s="805"/>
      <c r="I1230" s="64"/>
      <c r="J1230" s="64"/>
    </row>
    <row r="1231" spans="1:10" ht="45.9" customHeight="1">
      <c r="A1231" s="803" t="s">
        <v>192</v>
      </c>
      <c r="B1231" s="813" t="s">
        <v>27</v>
      </c>
      <c r="C1231" s="805" t="str">
        <f>IF(B1248="","",INDEX(NXchung!$B$3:$EP$57,MATCH(B1248,NXchung!$B$3:$B$57,0),INDEX($K$12:$N$25,MATCH($B1231,$J$12:$J$25,0),K$11)))</f>
        <v/>
      </c>
      <c r="D1231" s="808" t="str">
        <f>IF(B1248="","",INDEX(NXchung!$B$3:$EP$57,MATCH(B1248,NXchung!$B$3:$B$57,0),INDEX($K$12:$N$25,MATCH($B1231,$J$12:$J$25,0),L$11)))</f>
        <v/>
      </c>
      <c r="E1231" s="805" t="str">
        <f>IF(B1248="","",INDEX(NXchung!$B$3:$EP$57,MATCH(B1248,NXchung!$B$3:$B$57,0),INDEX($K$12:$N$25,MATCH($B1231,$J$12:$J$25,0),M$11)))</f>
        <v/>
      </c>
      <c r="F1231" s="808" t="str">
        <f>IF(B1248="","",INDEX(NXchung!$B$3:$EP$57,MATCH(B1248,NXchung!$B$3:$B$57,0),INDEX($K$12:$N$25,MATCH($B1231,$J$12:$J$25,0),N$11)))</f>
        <v/>
      </c>
      <c r="G1231" s="805"/>
      <c r="I1231" s="64"/>
      <c r="J1231" s="64"/>
    </row>
    <row r="1232" spans="1:10" ht="45.9" customHeight="1">
      <c r="A1232" s="803" t="s">
        <v>193</v>
      </c>
      <c r="B1232" s="813" t="s">
        <v>28</v>
      </c>
      <c r="C1232" s="805" t="str">
        <f>IF(B1248="","",INDEX(NXchung!$B$3:$EP$57,MATCH(B1248,NXchung!$B$3:$B$57,0),INDEX($K$12:$N$25,MATCH($B1232,$J$12:$J$25,0),K$11)))</f>
        <v/>
      </c>
      <c r="D1232" s="808" t="str">
        <f>IF(B1248="","",INDEX(NXchung!$B$3:$EP$57,MATCH(B1248,NXchung!$B$3:$B$57,0),INDEX($K$12:$N$25,MATCH($B1232,$J$12:$J$25,0),L$11)))</f>
        <v/>
      </c>
      <c r="E1232" s="805" t="str">
        <f>IF(B1248="","",INDEX(NXchung!$B$3:$EP$57,MATCH(B1248,NXchung!$B$3:$B$57,0),INDEX($K$12:$N$25,MATCH($B1232,$J$12:$J$25,0),M$11)))</f>
        <v/>
      </c>
      <c r="F1232" s="808" t="str">
        <f>IF(B1248="","",INDEX(NXchung!$B$3:$EP$57,MATCH(B1248,NXchung!$B$3:$B$57,0),INDEX($K$12:$N$25,MATCH($B1232,$J$12:$J$25,0),N$11)))</f>
        <v/>
      </c>
      <c r="G1232" s="805"/>
      <c r="I1232" s="64"/>
      <c r="J1232" s="64"/>
    </row>
    <row r="1233" spans="1:10" ht="45.9" customHeight="1">
      <c r="A1233" s="803" t="s">
        <v>194</v>
      </c>
      <c r="B1233" s="813" t="s">
        <v>29</v>
      </c>
      <c r="C1233" s="805" t="str">
        <f>IF(B1248="","",INDEX(NXchung!$B$3:$EP$57,MATCH(B1248,NXchung!$B$3:$B$57,0),INDEX($K$12:$N$25,MATCH($B1233,$J$12:$J$25,0),K$11)))</f>
        <v/>
      </c>
      <c r="D1233" s="808" t="str">
        <f>IF(B1248="","",INDEX(NXchung!$B$3:$EP$57,MATCH(B1248,NXchung!$B$3:$B$57,0),INDEX($K$12:$N$25,MATCH($B1233,$J$12:$J$25,0),L$11)))</f>
        <v/>
      </c>
      <c r="E1233" s="805" t="str">
        <f>IF(B1248="","",INDEX(NXchung!$B$3:$EP$57,MATCH(B1248,NXchung!$B$3:$B$57,0),INDEX($K$12:$N$25,MATCH($B1233,$J$12:$J$25,0),M$11)))</f>
        <v/>
      </c>
      <c r="F1233" s="808" t="str">
        <f>IF(B1248="","",INDEX(NXchung!$B$3:$EP$57,MATCH(B1248,NXchung!$B$3:$B$57,0),INDEX($K$12:$N$25,MATCH($B1233,$J$12:$J$25,0),N$11)))</f>
        <v/>
      </c>
      <c r="G1233" s="805"/>
      <c r="I1233" s="64"/>
      <c r="J1233" s="64"/>
    </row>
    <row r="1234" spans="1:10" ht="45.9" customHeight="1">
      <c r="A1234" s="803" t="s">
        <v>195</v>
      </c>
      <c r="B1234" s="813" t="s">
        <v>120</v>
      </c>
      <c r="C1234" s="805" t="str">
        <f>IF(B1248="","",INDEX(NXchung!$B$3:$EP$57,MATCH(B1248,NXchung!$B$3:$B$57,0),INDEX($K$12:$N$25,MATCH($B1234,$J$12:$J$25,0),K$11)))</f>
        <v/>
      </c>
      <c r="D1234" s="808" t="str">
        <f>IF(B1248="","",INDEX(NXchung!$B$3:$EP$57,MATCH(B1248,NXchung!$B$3:$B$57,0),INDEX($K$12:$N$25,MATCH($B1234,$J$12:$J$25,0),L$11)))</f>
        <v/>
      </c>
      <c r="E1234" s="805" t="str">
        <f>IF(B1248="","",INDEX(NXchung!$B$3:$EP$57,MATCH(B1248,NXchung!$B$3:$B$57,0),INDEX($K$12:$N$25,MATCH($B1234,$J$12:$J$25,0),M$11)))</f>
        <v/>
      </c>
      <c r="F1234" s="808" t="str">
        <f>IF(B1248="","",INDEX(NXchung!$B$3:$EP$57,MATCH(B1248,NXchung!$B$3:$B$57,0),INDEX($K$12:$N$25,MATCH($B1234,$J$12:$J$25,0),N$11)))</f>
        <v/>
      </c>
      <c r="G1234" s="805"/>
      <c r="I1234" s="64"/>
      <c r="J1234" s="64"/>
    </row>
    <row r="1235" spans="1:10" ht="45.9" customHeight="1">
      <c r="A1235" s="803" t="s">
        <v>196</v>
      </c>
      <c r="B1235" s="813" t="s">
        <v>30</v>
      </c>
      <c r="C1235" s="805" t="str">
        <f>IF(B1248="","",INDEX(NXchung!$B$3:$EP$57,MATCH(B1248,NXchung!$B$3:$B$57,0),INDEX($K$12:$N$25,MATCH($B1235,$J$12:$J$25,0),K$11)))</f>
        <v/>
      </c>
      <c r="D1235" s="808" t="str">
        <f>IF(B1248="","",INDEX(NXchung!$B$3:$EP$57,MATCH(B1248,NXchung!$B$3:$B$57,0),INDEX($K$12:$N$25,MATCH($B1235,$J$12:$J$25,0),L$11)))</f>
        <v/>
      </c>
      <c r="E1235" s="805" t="str">
        <f>IF(B1248="","",INDEX(NXchung!$B$3:$EP$57,MATCH(B1248,NXchung!$B$3:$B$57,0),INDEX($K$12:$N$25,MATCH($B1235,$J$12:$J$25,0),M$11)))</f>
        <v/>
      </c>
      <c r="F1235" s="808" t="str">
        <f>IF(B1248="","",INDEX(NXchung!$B$3:$EP$57,MATCH(B1248,NXchung!$B$3:$B$57,0),INDEX($K$12:$N$25,MATCH($B1235,$J$12:$J$25,0),N$11)))</f>
        <v/>
      </c>
      <c r="G1235" s="805"/>
      <c r="I1235" s="64"/>
      <c r="J1235" s="64"/>
    </row>
    <row r="1236" spans="1:10" ht="45.9" customHeight="1">
      <c r="A1236" s="803" t="s">
        <v>197</v>
      </c>
      <c r="B1236" s="813" t="s">
        <v>31</v>
      </c>
      <c r="C1236" s="805" t="str">
        <f>IF(B1248="","",INDEX(NXchung!$B$3:$EP$57,MATCH(B1248,NXchung!$B$3:$B$57,0),INDEX($K$12:$N$25,MATCH($B1236,$J$12:$J$25,0),K$11)))</f>
        <v/>
      </c>
      <c r="D1236" s="808" t="str">
        <f>IF(B1248="","",INDEX(NXchung!$B$3:$EP$57,MATCH(B1248,NXchung!$B$3:$B$57,0),INDEX($K$12:$N$25,MATCH($B1236,$J$12:$J$25,0),L$11)))</f>
        <v/>
      </c>
      <c r="E1236" s="805" t="str">
        <f>IF(B1248="","",INDEX(NXchung!$B$3:$EP$57,MATCH(B1248,NXchung!$B$3:$B$57,0),INDEX($K$12:$N$25,MATCH($B1236,$J$12:$J$25,0),M$11)))</f>
        <v/>
      </c>
      <c r="F1236" s="808" t="str">
        <f>IF(B1248="","",INDEX(NXchung!$B$3:$EP$57,MATCH(B1248,NXchung!$B$3:$B$57,0),INDEX($K$12:$N$25,MATCH($B1236,$J$12:$J$25,0),N$11)))</f>
        <v/>
      </c>
      <c r="G1236" s="805"/>
      <c r="I1236" s="64"/>
      <c r="J1236" s="64"/>
    </row>
    <row r="1237" spans="1:10" ht="45.9" customHeight="1">
      <c r="A1237" s="803" t="s">
        <v>198</v>
      </c>
      <c r="B1237" s="813" t="s">
        <v>32</v>
      </c>
      <c r="C1237" s="805" t="str">
        <f>IF(B1248="","",INDEX(NXchung!$B$3:$EP$57,MATCH(B1248,NXchung!$B$3:$B$57,0),INDEX($K$12:$N$25,MATCH($B1237,$J$12:$J$25,0),K$11)))</f>
        <v/>
      </c>
      <c r="D1237" s="808" t="str">
        <f>IF(B1248="","",INDEX(NXchung!$B$3:$EP$57,MATCH(B1248,NXchung!$B$3:$B$57,0),INDEX($K$12:$N$25,MATCH($B1237,$J$12:$J$25,0),L$11)))</f>
        <v/>
      </c>
      <c r="E1237" s="805" t="str">
        <f>IF(B1248="","",INDEX(NXchung!$B$3:$EP$57,MATCH(B1248,NXchung!$B$3:$B$57,0),INDEX($K$12:$N$25,MATCH($B1237,$J$12:$J$25,0),M$11)))</f>
        <v/>
      </c>
      <c r="F1237" s="808" t="str">
        <f>IF(B1248="","",INDEX(NXchung!$B$3:$EP$57,MATCH(B1248,NXchung!$B$3:$B$57,0),INDEX($K$12:$N$25,MATCH($B1237,$J$12:$J$25,0),N$11)))</f>
        <v/>
      </c>
      <c r="G1237" s="805"/>
      <c r="I1237" s="64"/>
      <c r="J1237" s="64"/>
    </row>
    <row r="1238" spans="1:10" ht="45.9" customHeight="1">
      <c r="A1238" s="803" t="s">
        <v>199</v>
      </c>
      <c r="B1238" s="813" t="s">
        <v>33</v>
      </c>
      <c r="C1238" s="805" t="str">
        <f>IF(B1248="","",INDEX(NXchung!$B$3:$EP$57,MATCH(B1248,NXchung!$B$3:$B$57,0),INDEX($K$12:$N$25,MATCH($B1238,$J$12:$J$25,0),K$11)))</f>
        <v/>
      </c>
      <c r="D1238" s="808" t="str">
        <f>IF(B1248="","",INDEX(NXchung!$B$3:$EP$57,MATCH(B1248,NXchung!$B$3:$B$57,0),INDEX($K$12:$N$25,MATCH($B1238,$J$12:$J$25,0),L$11)))</f>
        <v/>
      </c>
      <c r="E1238" s="805" t="str">
        <f>IF(B1248="","",INDEX(NXchung!$B$3:$EP$57,MATCH(B1248,NXchung!$B$3:$B$57,0),INDEX($K$12:$N$25,MATCH($B1238,$J$12:$J$25,0),M$11)))</f>
        <v/>
      </c>
      <c r="F1238" s="808" t="str">
        <f>IF(B1248="","",INDEX(NXchung!$B$3:$EP$57,MATCH(B1248,NXchung!$B$3:$B$57,0),INDEX($K$12:$N$25,MATCH($B1238,$J$12:$J$25,0),N$11)))</f>
        <v/>
      </c>
      <c r="G1238" s="805"/>
      <c r="I1238" s="64"/>
      <c r="J1238" s="64"/>
    </row>
    <row r="1239" spans="1:10" ht="45.9" customHeight="1">
      <c r="A1239" s="803" t="s">
        <v>200</v>
      </c>
      <c r="B1239" s="813" t="s">
        <v>60</v>
      </c>
      <c r="C1239" s="805" t="str">
        <f>IF(B1248="","",INDEX(NXchung!$B$3:$EP$57,MATCH(B1248,NXchung!$B$3:$B$57,0),INDEX($K$12:$N$25,MATCH($B1239,$J$12:$J$25,0),K$11)))</f>
        <v/>
      </c>
      <c r="D1239" s="808" t="str">
        <f>IF(B1248="","",INDEX(NXchung!$B$3:$EP$57,MATCH(B1248,NXchung!$B$3:$B$57,0),INDEX($K$12:$N$25,MATCH($B1239,$J$12:$J$25,0),L$11)))</f>
        <v/>
      </c>
      <c r="E1239" s="805" t="str">
        <f>IF(B1248="","",INDEX(NXchung!$B$3:$EP$57,MATCH(B1248,NXchung!$B$3:$B$57,0),INDEX($K$12:$N$25,MATCH($B1239,$J$12:$J$25,0),M$11)))</f>
        <v/>
      </c>
      <c r="F1239" s="808" t="str">
        <f>IF(B1248="","",INDEX(NXchung!$B$3:$EP$57,MATCH(B1248,NXchung!$B$3:$B$57,0),INDEX($K$12:$N$25,MATCH($B1239,$J$12:$J$25,0),N$11)))</f>
        <v/>
      </c>
      <c r="G1239" s="805"/>
      <c r="I1239" s="64"/>
      <c r="J1239" s="64"/>
    </row>
    <row r="1240" spans="1:10" ht="45.9" customHeight="1">
      <c r="A1240" s="803" t="s">
        <v>201</v>
      </c>
      <c r="B1240" s="813" t="s">
        <v>34</v>
      </c>
      <c r="C1240" s="805" t="str">
        <f>IF(B1248="","",INDEX(NXchung!$B$3:$EP$57,MATCH(B1248,NXchung!$B$3:$B$57,0),INDEX($K$12:$N$25,MATCH($B1240,$J$12:$J$25,0),K$11)))</f>
        <v/>
      </c>
      <c r="D1240" s="808" t="str">
        <f>IF(B1248="","",INDEX(NXchung!$B$3:$EP$57,MATCH(B1248,NXchung!$B$3:$B$57,0),INDEX($K$12:$N$25,MATCH($B1240,$J$12:$J$25,0),L$11)))</f>
        <v/>
      </c>
      <c r="E1240" s="805" t="str">
        <f>IF(B1248="","",INDEX(NXchung!$B$3:$EP$57,MATCH(B1248,NXchung!$B$3:$B$57,0),INDEX($K$12:$N$25,MATCH($B1240,$J$12:$J$25,0),M$11)))</f>
        <v/>
      </c>
      <c r="F1240" s="808" t="str">
        <f>IF(B1248="","",INDEX(NXchung!$B$3:$EP$57,MATCH(B1248,NXchung!$B$3:$B$57,0),INDEX($K$12:$N$25,MATCH($B1240,$J$12:$J$25,0),N$11)))</f>
        <v/>
      </c>
      <c r="G1240" s="805"/>
      <c r="I1240" s="64"/>
      <c r="J1240" s="64"/>
    </row>
    <row r="1241" spans="1:10" ht="45.9" customHeight="1">
      <c r="A1241" s="803" t="s">
        <v>202</v>
      </c>
      <c r="B1241" s="813" t="s">
        <v>35</v>
      </c>
      <c r="C1241" s="805" t="str">
        <f>IF(B1248="","",INDEX(NXchung!$B$3:$EP$57,MATCH(B1248,NXchung!$B$3:$B$57,0),INDEX($K$12:$N$25,MATCH($B1241,$J$12:$J$25,0),K$11)))</f>
        <v/>
      </c>
      <c r="D1241" s="808" t="str">
        <f>IF(B1248="","",INDEX(NXchung!$B$3:$EP$57,MATCH(B1248,NXchung!$B$3:$B$57,0),INDEX($K$12:$N$25,MATCH($B1241,$J$12:$J$25,0),L$11)))</f>
        <v/>
      </c>
      <c r="E1241" s="805" t="str">
        <f>IF(B1248="","",INDEX(NXchung!$B$3:$EP$57,MATCH(B1248,NXchung!$B$3:$B$57,0),INDEX($K$12:$N$25,MATCH($B1241,$J$12:$J$25,0),M$11)))</f>
        <v/>
      </c>
      <c r="F1241" s="808" t="str">
        <f>IF(B1248="","",INDEX(NXchung!$B$3:$EP$57,MATCH(B1248,NXchung!$B$3:$B$57,0),INDEX($K$12:$N$25,MATCH($B1241,$J$12:$J$25,0),N$11)))</f>
        <v/>
      </c>
      <c r="G1241" s="805"/>
      <c r="I1241" s="64"/>
      <c r="J1241" s="64"/>
    </row>
    <row r="1242" spans="1:10" ht="45.9" customHeight="1">
      <c r="A1242" s="803" t="s">
        <v>203</v>
      </c>
      <c r="B1242" s="813" t="s">
        <v>121</v>
      </c>
      <c r="C1242" s="805" t="str">
        <f>IF(B1248="","",INDEX(NXchung!$B$3:$EP$57,MATCH(B1248,NXchung!$B$3:$B$57,0),INDEX($K$12:$N$25,MATCH($B1242,$J$12:$J$25,0),K$11)))</f>
        <v/>
      </c>
      <c r="D1242" s="808" t="str">
        <f>IF(B1248="","",INDEX(NXchung!$B$3:$EP$57,MATCH(B1248,NXchung!$B$3:$B$57,0),INDEX($K$12:$N$25,MATCH($B1242,$J$12:$J$25,0),L$11)))</f>
        <v/>
      </c>
      <c r="E1242" s="805" t="str">
        <f>IF(B1248="","",INDEX(NXchung!$B$3:$EP$57,MATCH(B1248,NXchung!$B$3:$B$57,0),INDEX($K$12:$N$25,MATCH($B1242,$J$12:$J$25,0),M$11)))</f>
        <v/>
      </c>
      <c r="F1242" s="808" t="str">
        <f>IF(B1248="","",INDEX(NXchung!$B$3:$EP$57,MATCH(B1248,NXchung!$B$3:$B$57,0),INDEX($K$12:$N$25,MATCH($B1242,$J$12:$J$25,0),N$11)))</f>
        <v/>
      </c>
      <c r="G1242" s="805"/>
      <c r="I1242" s="64"/>
      <c r="J1242" s="64"/>
    </row>
    <row r="1243" spans="1:10" ht="45.9" customHeight="1">
      <c r="A1243" s="803" t="s">
        <v>204</v>
      </c>
      <c r="B1243" s="813" t="s">
        <v>122</v>
      </c>
      <c r="C1243" s="805" t="str">
        <f>IF(B1248="","",INDEX(NXchung!$B$3:$EP$57,MATCH(B1248,NXchung!$B$3:$B$57,0),INDEX($K$12:$N$25,MATCH($B1243,$J$12:$J$25,0),K$11)))</f>
        <v/>
      </c>
      <c r="D1243" s="808" t="str">
        <f>IF(B1248="","",INDEX(NXchung!$B$3:$EP$57,MATCH(B1248,NXchung!$B$3:$B$57,0),INDEX($K$12:$N$25,MATCH($B1243,$J$12:$J$25,0),L$11)))</f>
        <v/>
      </c>
      <c r="E1243" s="805" t="str">
        <f>IF(B1248="","",INDEX(NXchung!$B$3:$EP$57,MATCH(B1248,NXchung!$B$3:$B$57,0),INDEX($K$12:$N$25,MATCH($B1243,$J$12:$J$25,0),M$11)))</f>
        <v/>
      </c>
      <c r="F1243" s="808" t="str">
        <f>IF(B1248="","",INDEX(NXchung!$B$3:$EP$57,MATCH(B1248,NXchung!$B$3:$B$57,0),INDEX($K$12:$N$25,MATCH($B1243,$J$12:$J$25,0),N$11)))</f>
        <v/>
      </c>
      <c r="G1243" s="805"/>
      <c r="I1243" s="64"/>
      <c r="J1243" s="64"/>
    </row>
    <row r="1244" spans="1:10" s="60" customFormat="1" ht="6" customHeight="1">
      <c r="A1244" s="67"/>
      <c r="B1244" s="67"/>
      <c r="C1244" s="475"/>
      <c r="D1244" s="475"/>
      <c r="E1244" s="67"/>
      <c r="F1244" s="67"/>
      <c r="G1244" s="67"/>
    </row>
    <row r="1245" spans="1:10" ht="17.25" customHeight="1">
      <c r="D1245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245" s="1163"/>
      <c r="F1245" s="1163"/>
      <c r="G1245" s="1163"/>
      <c r="H1245" s="814"/>
    </row>
    <row r="1246" spans="1:10" ht="16.5" customHeight="1">
      <c r="D1246" s="992" t="s">
        <v>377</v>
      </c>
      <c r="E1246" s="992"/>
      <c r="F1246" s="992"/>
      <c r="G1246" s="992"/>
      <c r="H1246" s="814"/>
    </row>
    <row r="1247" spans="1:10" ht="81.75" customHeight="1">
      <c r="D1247" s="931" t="str">
        <f>IF('Huong dan'!$E$5="","",'Huong dan'!$E$5)</f>
        <v/>
      </c>
      <c r="E1247" s="931"/>
      <c r="F1247" s="931"/>
      <c r="G1247" s="931"/>
      <c r="H1247" s="814"/>
    </row>
    <row r="1248" spans="1:10" ht="11.25" customHeight="1">
      <c r="A1248" s="75"/>
      <c r="B1248" s="815" t="str">
        <f>IF(B1219="","",IF(B1219&lt;MAX(DiemHKII!$B$4:$B$58),B1219+1,""))</f>
        <v/>
      </c>
      <c r="C1248" s="75"/>
      <c r="D1248" s="75"/>
      <c r="E1248" s="75"/>
      <c r="F1248" s="75"/>
      <c r="G1248" s="75"/>
    </row>
    <row r="1249" spans="1:10" s="60" customFormat="1" ht="21" customHeight="1">
      <c r="A1249" s="1128" t="str">
        <f>IF('Huong dan'!$E$3&lt;&gt;"","SỞ GIÁO DỤC VÀ ĐÀO TẠO "&amp;UPPER('Huong dan'!$E$3),"")</f>
        <v>SỞ GIÁO DỤC VÀ ĐÀO TẠO TP. HỒ CHÍ MINH</v>
      </c>
      <c r="B1249" s="1128"/>
      <c r="C1249" s="1128"/>
      <c r="D1249" s="1128"/>
      <c r="E1249" s="1129" t="s">
        <v>19</v>
      </c>
      <c r="F1249" s="1129"/>
      <c r="G1249" s="1129"/>
    </row>
    <row r="1250" spans="1:10" ht="17.25" customHeight="1">
      <c r="A1250" s="992" t="str">
        <f>IF('Huong dan'!$E$4&lt;&gt;"","TRƯỜNG "&amp;UPPER('Huong dan'!$E$4),"")</f>
        <v>TRƯỜNG THCS VÀ THPT NGUYỄN KHUYẾN</v>
      </c>
      <c r="B1250" s="992"/>
      <c r="C1250" s="992"/>
      <c r="D1250" s="992"/>
      <c r="E1250" s="1130" t="s">
        <v>179</v>
      </c>
      <c r="F1250" s="1130"/>
      <c r="G1250" s="1130"/>
    </row>
    <row r="1251" spans="1:10" ht="15" customHeight="1">
      <c r="A1251" s="69"/>
      <c r="B1251" s="69"/>
      <c r="C1251" s="30"/>
    </row>
    <row r="1252" spans="1:10" ht="27.75" customHeight="1">
      <c r="A1252" s="1013" t="s">
        <v>567</v>
      </c>
      <c r="B1252" s="1013"/>
      <c r="C1252" s="1013"/>
      <c r="D1252" s="1013"/>
      <c r="E1252" s="1013"/>
      <c r="F1252" s="1013"/>
      <c r="G1252" s="1013"/>
    </row>
    <row r="1253" spans="1:10" ht="24" customHeight="1">
      <c r="A1253" s="1013" t="str">
        <f>"HỌC KỲ II VÀ CẢ NĂM - NĂM HỌC "&amp;'Huong dan'!$C$5</f>
        <v>HỌC KỲ II VÀ CẢ NĂM - NĂM HỌC 2021 - 2022</v>
      </c>
      <c r="B1253" s="1013"/>
      <c r="C1253" s="1013"/>
      <c r="D1253" s="1013"/>
      <c r="E1253" s="1013"/>
      <c r="F1253" s="1013"/>
      <c r="G1253" s="1013"/>
    </row>
    <row r="1254" spans="1:10" ht="9" customHeight="1">
      <c r="A1254" s="70"/>
      <c r="B1254" s="66"/>
      <c r="C1254" s="66"/>
      <c r="D1254" s="66"/>
      <c r="E1254" s="66"/>
      <c r="F1254" s="66"/>
      <c r="G1254" s="66"/>
    </row>
    <row r="1255" spans="1:10" ht="18.75" customHeight="1">
      <c r="A1255" s="1167" t="s">
        <v>212</v>
      </c>
      <c r="B1255" s="1167"/>
      <c r="C1255" s="1167"/>
      <c r="D1255" s="1167" t="str">
        <f>IF(B1277="","",INDEX(NXchung!$B$3:$EP$57,MATCH(B1277,NXchung!$B$3:$B$57,0),3)&amp;" "&amp;INDEX(NXchung!$B$3:$EP$57,MATCH(B1277,NXchung!$B$3:$B$57,0),4))</f>
        <v/>
      </c>
      <c r="E1255" s="1167"/>
      <c r="F1255" s="77" t="str">
        <f>IF('Huong dan'!$C$3="","","Lớp: "&amp;'Huong dan'!$C$3)</f>
        <v>Lớp: 12A1</v>
      </c>
      <c r="G1255" s="71"/>
    </row>
    <row r="1256" spans="1:10" ht="18.75" customHeight="1">
      <c r="A1256" s="1168" t="s">
        <v>213</v>
      </c>
      <c r="B1256" s="1168"/>
      <c r="C1256" s="1168"/>
      <c r="D1256" s="77" t="str">
        <f>INDEX(NXchung!$B$3:$EP$57,MATCH(B1277,NXchung!$B$3:$B$57,0),5)</f>
        <v/>
      </c>
      <c r="F1256" s="841" t="str">
        <f>IF(B1277="","","Nơi sinh: "&amp;INDEX(DiemHKII!$H$4:$H$58,MATCH(B1277,DiemHKII!$B$4:$B$58,0),1))</f>
        <v/>
      </c>
      <c r="G1256" s="77"/>
    </row>
    <row r="1257" spans="1:10" ht="9.75" customHeight="1">
      <c r="A1257" s="62"/>
      <c r="B1257" s="62"/>
      <c r="C1257" s="62"/>
      <c r="D1257" s="62"/>
      <c r="E1257" s="62"/>
      <c r="F1257" s="62"/>
      <c r="G1257" s="63"/>
    </row>
    <row r="1258" spans="1:10" ht="31.5" customHeight="1">
      <c r="A1258" s="801" t="s">
        <v>0</v>
      </c>
      <c r="B1258" s="801" t="s">
        <v>59</v>
      </c>
      <c r="C1258" s="806" t="s">
        <v>661</v>
      </c>
      <c r="D1258" s="801" t="s">
        <v>296</v>
      </c>
      <c r="E1258" s="806" t="s">
        <v>662</v>
      </c>
      <c r="F1258" s="801" t="s">
        <v>361</v>
      </c>
      <c r="G1258" s="802" t="s">
        <v>569</v>
      </c>
    </row>
    <row r="1259" spans="1:10" ht="45.9" customHeight="1">
      <c r="A1259" s="803" t="s">
        <v>191</v>
      </c>
      <c r="B1259" s="813" t="s">
        <v>26</v>
      </c>
      <c r="C1259" s="805" t="str">
        <f>IF(B1277="","",INDEX(NXchung!$B$3:$EP$57,MATCH(B1277,NXchung!$B$3:$B$57,0),INDEX($K$12:$N$25,MATCH($B1259,$J$12:$J$25,0),K$11)))</f>
        <v/>
      </c>
      <c r="D1259" s="808" t="str">
        <f>IF(B1277="","",INDEX(NXchung!$B$3:$EP$57,MATCH(B1277,NXchung!$B$3:$B$57,0),INDEX($K$12:$N$25,MATCH($B1259,$J$12:$J$25,0),L$11)))</f>
        <v/>
      </c>
      <c r="E1259" s="805" t="str">
        <f>IF(B1277="","",INDEX(NXchung!$B$3:$EP$57,MATCH(B1277,NXchung!$B$3:$B$57,0),INDEX($K$12:$N$25,MATCH($B1259,$J$12:$J$25,0),M$11)))</f>
        <v/>
      </c>
      <c r="F1259" s="808" t="str">
        <f>IF(B1277="","",INDEX(NXchung!$B$3:$EP$57,MATCH(B1277,NXchung!$B$3:$B$57,0),INDEX($K$12:$N$25,MATCH($B1259,$J$12:$J$25,0),N$11)))</f>
        <v/>
      </c>
      <c r="G1259" s="805"/>
      <c r="I1259" s="64"/>
      <c r="J1259" s="64"/>
    </row>
    <row r="1260" spans="1:10" ht="45.9" customHeight="1">
      <c r="A1260" s="803" t="s">
        <v>192</v>
      </c>
      <c r="B1260" s="813" t="s">
        <v>27</v>
      </c>
      <c r="C1260" s="805" t="str">
        <f>IF(B1277="","",INDEX(NXchung!$B$3:$EP$57,MATCH(B1277,NXchung!$B$3:$B$57,0),INDEX($K$12:$N$25,MATCH($B1260,$J$12:$J$25,0),K$11)))</f>
        <v/>
      </c>
      <c r="D1260" s="808" t="str">
        <f>IF(B1277="","",INDEX(NXchung!$B$3:$EP$57,MATCH(B1277,NXchung!$B$3:$B$57,0),INDEX($K$12:$N$25,MATCH($B1260,$J$12:$J$25,0),L$11)))</f>
        <v/>
      </c>
      <c r="E1260" s="805" t="str">
        <f>IF(B1277="","",INDEX(NXchung!$B$3:$EP$57,MATCH(B1277,NXchung!$B$3:$B$57,0),INDEX($K$12:$N$25,MATCH($B1260,$J$12:$J$25,0),M$11)))</f>
        <v/>
      </c>
      <c r="F1260" s="808" t="str">
        <f>IF(B1277="","",INDEX(NXchung!$B$3:$EP$57,MATCH(B1277,NXchung!$B$3:$B$57,0),INDEX($K$12:$N$25,MATCH($B1260,$J$12:$J$25,0),N$11)))</f>
        <v/>
      </c>
      <c r="G1260" s="805"/>
      <c r="I1260" s="64"/>
      <c r="J1260" s="64"/>
    </row>
    <row r="1261" spans="1:10" ht="45.9" customHeight="1">
      <c r="A1261" s="803" t="s">
        <v>193</v>
      </c>
      <c r="B1261" s="813" t="s">
        <v>28</v>
      </c>
      <c r="C1261" s="805" t="str">
        <f>IF(B1277="","",INDEX(NXchung!$B$3:$EP$57,MATCH(B1277,NXchung!$B$3:$B$57,0),INDEX($K$12:$N$25,MATCH($B1261,$J$12:$J$25,0),K$11)))</f>
        <v/>
      </c>
      <c r="D1261" s="808" t="str">
        <f>IF(B1277="","",INDEX(NXchung!$B$3:$EP$57,MATCH(B1277,NXchung!$B$3:$B$57,0),INDEX($K$12:$N$25,MATCH($B1261,$J$12:$J$25,0),L$11)))</f>
        <v/>
      </c>
      <c r="E1261" s="805" t="str">
        <f>IF(B1277="","",INDEX(NXchung!$B$3:$EP$57,MATCH(B1277,NXchung!$B$3:$B$57,0),INDEX($K$12:$N$25,MATCH($B1261,$J$12:$J$25,0),M$11)))</f>
        <v/>
      </c>
      <c r="F1261" s="808" t="str">
        <f>IF(B1277="","",INDEX(NXchung!$B$3:$EP$57,MATCH(B1277,NXchung!$B$3:$B$57,0),INDEX($K$12:$N$25,MATCH($B1261,$J$12:$J$25,0),N$11)))</f>
        <v/>
      </c>
      <c r="G1261" s="805"/>
      <c r="I1261" s="64"/>
      <c r="J1261" s="64"/>
    </row>
    <row r="1262" spans="1:10" ht="45.9" customHeight="1">
      <c r="A1262" s="803" t="s">
        <v>194</v>
      </c>
      <c r="B1262" s="813" t="s">
        <v>29</v>
      </c>
      <c r="C1262" s="805" t="str">
        <f>IF(B1277="","",INDEX(NXchung!$B$3:$EP$57,MATCH(B1277,NXchung!$B$3:$B$57,0),INDEX($K$12:$N$25,MATCH($B1262,$J$12:$J$25,0),K$11)))</f>
        <v/>
      </c>
      <c r="D1262" s="808" t="str">
        <f>IF(B1277="","",INDEX(NXchung!$B$3:$EP$57,MATCH(B1277,NXchung!$B$3:$B$57,0),INDEX($K$12:$N$25,MATCH($B1262,$J$12:$J$25,0),L$11)))</f>
        <v/>
      </c>
      <c r="E1262" s="805" t="str">
        <f>IF(B1277="","",INDEX(NXchung!$B$3:$EP$57,MATCH(B1277,NXchung!$B$3:$B$57,0),INDEX($K$12:$N$25,MATCH($B1262,$J$12:$J$25,0),M$11)))</f>
        <v/>
      </c>
      <c r="F1262" s="808" t="str">
        <f>IF(B1277="","",INDEX(NXchung!$B$3:$EP$57,MATCH(B1277,NXchung!$B$3:$B$57,0),INDEX($K$12:$N$25,MATCH($B1262,$J$12:$J$25,0),N$11)))</f>
        <v/>
      </c>
      <c r="G1262" s="805"/>
      <c r="I1262" s="64"/>
      <c r="J1262" s="64"/>
    </row>
    <row r="1263" spans="1:10" ht="45.9" customHeight="1">
      <c r="A1263" s="803" t="s">
        <v>195</v>
      </c>
      <c r="B1263" s="813" t="s">
        <v>120</v>
      </c>
      <c r="C1263" s="805" t="str">
        <f>IF(B1277="","",INDEX(NXchung!$B$3:$EP$57,MATCH(B1277,NXchung!$B$3:$B$57,0),INDEX($K$12:$N$25,MATCH($B1263,$J$12:$J$25,0),K$11)))</f>
        <v/>
      </c>
      <c r="D1263" s="808" t="str">
        <f>IF(B1277="","",INDEX(NXchung!$B$3:$EP$57,MATCH(B1277,NXchung!$B$3:$B$57,0),INDEX($K$12:$N$25,MATCH($B1263,$J$12:$J$25,0),L$11)))</f>
        <v/>
      </c>
      <c r="E1263" s="805" t="str">
        <f>IF(B1277="","",INDEX(NXchung!$B$3:$EP$57,MATCH(B1277,NXchung!$B$3:$B$57,0),INDEX($K$12:$N$25,MATCH($B1263,$J$12:$J$25,0),M$11)))</f>
        <v/>
      </c>
      <c r="F1263" s="808" t="str">
        <f>IF(B1277="","",INDEX(NXchung!$B$3:$EP$57,MATCH(B1277,NXchung!$B$3:$B$57,0),INDEX($K$12:$N$25,MATCH($B1263,$J$12:$J$25,0),N$11)))</f>
        <v/>
      </c>
      <c r="G1263" s="805"/>
      <c r="I1263" s="64"/>
      <c r="J1263" s="64"/>
    </row>
    <row r="1264" spans="1:10" ht="45.9" customHeight="1">
      <c r="A1264" s="803" t="s">
        <v>196</v>
      </c>
      <c r="B1264" s="813" t="s">
        <v>30</v>
      </c>
      <c r="C1264" s="805" t="str">
        <f>IF(B1277="","",INDEX(NXchung!$B$3:$EP$57,MATCH(B1277,NXchung!$B$3:$B$57,0),INDEX($K$12:$N$25,MATCH($B1264,$J$12:$J$25,0),K$11)))</f>
        <v/>
      </c>
      <c r="D1264" s="808" t="str">
        <f>IF(B1277="","",INDEX(NXchung!$B$3:$EP$57,MATCH(B1277,NXchung!$B$3:$B$57,0),INDEX($K$12:$N$25,MATCH($B1264,$J$12:$J$25,0),L$11)))</f>
        <v/>
      </c>
      <c r="E1264" s="805" t="str">
        <f>IF(B1277="","",INDEX(NXchung!$B$3:$EP$57,MATCH(B1277,NXchung!$B$3:$B$57,0),INDEX($K$12:$N$25,MATCH($B1264,$J$12:$J$25,0),M$11)))</f>
        <v/>
      </c>
      <c r="F1264" s="808" t="str">
        <f>IF(B1277="","",INDEX(NXchung!$B$3:$EP$57,MATCH(B1277,NXchung!$B$3:$B$57,0),INDEX($K$12:$N$25,MATCH($B1264,$J$12:$J$25,0),N$11)))</f>
        <v/>
      </c>
      <c r="G1264" s="805"/>
      <c r="I1264" s="64"/>
      <c r="J1264" s="64"/>
    </row>
    <row r="1265" spans="1:10" ht="45.9" customHeight="1">
      <c r="A1265" s="803" t="s">
        <v>197</v>
      </c>
      <c r="B1265" s="813" t="s">
        <v>31</v>
      </c>
      <c r="C1265" s="805" t="str">
        <f>IF(B1277="","",INDEX(NXchung!$B$3:$EP$57,MATCH(B1277,NXchung!$B$3:$B$57,0),INDEX($K$12:$N$25,MATCH($B1265,$J$12:$J$25,0),K$11)))</f>
        <v/>
      </c>
      <c r="D1265" s="808" t="str">
        <f>IF(B1277="","",INDEX(NXchung!$B$3:$EP$57,MATCH(B1277,NXchung!$B$3:$B$57,0),INDEX($K$12:$N$25,MATCH($B1265,$J$12:$J$25,0),L$11)))</f>
        <v/>
      </c>
      <c r="E1265" s="805" t="str">
        <f>IF(B1277="","",INDEX(NXchung!$B$3:$EP$57,MATCH(B1277,NXchung!$B$3:$B$57,0),INDEX($K$12:$N$25,MATCH($B1265,$J$12:$J$25,0),M$11)))</f>
        <v/>
      </c>
      <c r="F1265" s="808" t="str">
        <f>IF(B1277="","",INDEX(NXchung!$B$3:$EP$57,MATCH(B1277,NXchung!$B$3:$B$57,0),INDEX($K$12:$N$25,MATCH($B1265,$J$12:$J$25,0),N$11)))</f>
        <v/>
      </c>
      <c r="G1265" s="805"/>
      <c r="I1265" s="64"/>
      <c r="J1265" s="64"/>
    </row>
    <row r="1266" spans="1:10" ht="45.9" customHeight="1">
      <c r="A1266" s="803" t="s">
        <v>198</v>
      </c>
      <c r="B1266" s="813" t="s">
        <v>32</v>
      </c>
      <c r="C1266" s="805" t="str">
        <f>IF(B1277="","",INDEX(NXchung!$B$3:$EP$57,MATCH(B1277,NXchung!$B$3:$B$57,0),INDEX($K$12:$N$25,MATCH($B1266,$J$12:$J$25,0),K$11)))</f>
        <v/>
      </c>
      <c r="D1266" s="808" t="str">
        <f>IF(B1277="","",INDEX(NXchung!$B$3:$EP$57,MATCH(B1277,NXchung!$B$3:$B$57,0),INDEX($K$12:$N$25,MATCH($B1266,$J$12:$J$25,0),L$11)))</f>
        <v/>
      </c>
      <c r="E1266" s="805" t="str">
        <f>IF(B1277="","",INDEX(NXchung!$B$3:$EP$57,MATCH(B1277,NXchung!$B$3:$B$57,0),INDEX($K$12:$N$25,MATCH($B1266,$J$12:$J$25,0),M$11)))</f>
        <v/>
      </c>
      <c r="F1266" s="808" t="str">
        <f>IF(B1277="","",INDEX(NXchung!$B$3:$EP$57,MATCH(B1277,NXchung!$B$3:$B$57,0),INDEX($K$12:$N$25,MATCH($B1266,$J$12:$J$25,0),N$11)))</f>
        <v/>
      </c>
      <c r="G1266" s="805"/>
      <c r="I1266" s="64"/>
      <c r="J1266" s="64"/>
    </row>
    <row r="1267" spans="1:10" ht="45.9" customHeight="1">
      <c r="A1267" s="803" t="s">
        <v>199</v>
      </c>
      <c r="B1267" s="813" t="s">
        <v>33</v>
      </c>
      <c r="C1267" s="805" t="str">
        <f>IF(B1277="","",INDEX(NXchung!$B$3:$EP$57,MATCH(B1277,NXchung!$B$3:$B$57,0),INDEX($K$12:$N$25,MATCH($B1267,$J$12:$J$25,0),K$11)))</f>
        <v/>
      </c>
      <c r="D1267" s="808" t="str">
        <f>IF(B1277="","",INDEX(NXchung!$B$3:$EP$57,MATCH(B1277,NXchung!$B$3:$B$57,0),INDEX($K$12:$N$25,MATCH($B1267,$J$12:$J$25,0),L$11)))</f>
        <v/>
      </c>
      <c r="E1267" s="805" t="str">
        <f>IF(B1277="","",INDEX(NXchung!$B$3:$EP$57,MATCH(B1277,NXchung!$B$3:$B$57,0),INDEX($K$12:$N$25,MATCH($B1267,$J$12:$J$25,0),M$11)))</f>
        <v/>
      </c>
      <c r="F1267" s="808" t="str">
        <f>IF(B1277="","",INDEX(NXchung!$B$3:$EP$57,MATCH(B1277,NXchung!$B$3:$B$57,0),INDEX($K$12:$N$25,MATCH($B1267,$J$12:$J$25,0),N$11)))</f>
        <v/>
      </c>
      <c r="G1267" s="805"/>
      <c r="I1267" s="64"/>
      <c r="J1267" s="64"/>
    </row>
    <row r="1268" spans="1:10" ht="45.9" customHeight="1">
      <c r="A1268" s="803" t="s">
        <v>200</v>
      </c>
      <c r="B1268" s="813" t="s">
        <v>60</v>
      </c>
      <c r="C1268" s="805" t="str">
        <f>IF(B1277="","",INDEX(NXchung!$B$3:$EP$57,MATCH(B1277,NXchung!$B$3:$B$57,0),INDEX($K$12:$N$25,MATCH($B1268,$J$12:$J$25,0),K$11)))</f>
        <v/>
      </c>
      <c r="D1268" s="808" t="str">
        <f>IF(B1277="","",INDEX(NXchung!$B$3:$EP$57,MATCH(B1277,NXchung!$B$3:$B$57,0),INDEX($K$12:$N$25,MATCH($B1268,$J$12:$J$25,0),L$11)))</f>
        <v/>
      </c>
      <c r="E1268" s="805" t="str">
        <f>IF(B1277="","",INDEX(NXchung!$B$3:$EP$57,MATCH(B1277,NXchung!$B$3:$B$57,0),INDEX($K$12:$N$25,MATCH($B1268,$J$12:$J$25,0),M$11)))</f>
        <v/>
      </c>
      <c r="F1268" s="808" t="str">
        <f>IF(B1277="","",INDEX(NXchung!$B$3:$EP$57,MATCH(B1277,NXchung!$B$3:$B$57,0),INDEX($K$12:$N$25,MATCH($B1268,$J$12:$J$25,0),N$11)))</f>
        <v/>
      </c>
      <c r="G1268" s="805"/>
      <c r="I1268" s="64"/>
      <c r="J1268" s="64"/>
    </row>
    <row r="1269" spans="1:10" ht="45.9" customHeight="1">
      <c r="A1269" s="803" t="s">
        <v>201</v>
      </c>
      <c r="B1269" s="813" t="s">
        <v>34</v>
      </c>
      <c r="C1269" s="805" t="str">
        <f>IF(B1277="","",INDEX(NXchung!$B$3:$EP$57,MATCH(B1277,NXchung!$B$3:$B$57,0),INDEX($K$12:$N$25,MATCH($B1269,$J$12:$J$25,0),K$11)))</f>
        <v/>
      </c>
      <c r="D1269" s="808" t="str">
        <f>IF(B1277="","",INDEX(NXchung!$B$3:$EP$57,MATCH(B1277,NXchung!$B$3:$B$57,0),INDEX($K$12:$N$25,MATCH($B1269,$J$12:$J$25,0),L$11)))</f>
        <v/>
      </c>
      <c r="E1269" s="805" t="str">
        <f>IF(B1277="","",INDEX(NXchung!$B$3:$EP$57,MATCH(B1277,NXchung!$B$3:$B$57,0),INDEX($K$12:$N$25,MATCH($B1269,$J$12:$J$25,0),M$11)))</f>
        <v/>
      </c>
      <c r="F1269" s="808" t="str">
        <f>IF(B1277="","",INDEX(NXchung!$B$3:$EP$57,MATCH(B1277,NXchung!$B$3:$B$57,0),INDEX($K$12:$N$25,MATCH($B1269,$J$12:$J$25,0),N$11)))</f>
        <v/>
      </c>
      <c r="G1269" s="805"/>
      <c r="I1269" s="64"/>
      <c r="J1269" s="64"/>
    </row>
    <row r="1270" spans="1:10" ht="45.9" customHeight="1">
      <c r="A1270" s="803" t="s">
        <v>202</v>
      </c>
      <c r="B1270" s="813" t="s">
        <v>35</v>
      </c>
      <c r="C1270" s="805" t="str">
        <f>IF(B1277="","",INDEX(NXchung!$B$3:$EP$57,MATCH(B1277,NXchung!$B$3:$B$57,0),INDEX($K$12:$N$25,MATCH($B1270,$J$12:$J$25,0),K$11)))</f>
        <v/>
      </c>
      <c r="D1270" s="808" t="str">
        <f>IF(B1277="","",INDEX(NXchung!$B$3:$EP$57,MATCH(B1277,NXchung!$B$3:$B$57,0),INDEX($K$12:$N$25,MATCH($B1270,$J$12:$J$25,0),L$11)))</f>
        <v/>
      </c>
      <c r="E1270" s="805" t="str">
        <f>IF(B1277="","",INDEX(NXchung!$B$3:$EP$57,MATCH(B1277,NXchung!$B$3:$B$57,0),INDEX($K$12:$N$25,MATCH($B1270,$J$12:$J$25,0),M$11)))</f>
        <v/>
      </c>
      <c r="F1270" s="808" t="str">
        <f>IF(B1277="","",INDEX(NXchung!$B$3:$EP$57,MATCH(B1277,NXchung!$B$3:$B$57,0),INDEX($K$12:$N$25,MATCH($B1270,$J$12:$J$25,0),N$11)))</f>
        <v/>
      </c>
      <c r="G1270" s="805"/>
      <c r="I1270" s="64"/>
      <c r="J1270" s="64"/>
    </row>
    <row r="1271" spans="1:10" ht="45.9" customHeight="1">
      <c r="A1271" s="803" t="s">
        <v>203</v>
      </c>
      <c r="B1271" s="813" t="s">
        <v>121</v>
      </c>
      <c r="C1271" s="805" t="str">
        <f>IF(B1277="","",INDEX(NXchung!$B$3:$EP$57,MATCH(B1277,NXchung!$B$3:$B$57,0),INDEX($K$12:$N$25,MATCH($B1271,$J$12:$J$25,0),K$11)))</f>
        <v/>
      </c>
      <c r="D1271" s="808" t="str">
        <f>IF(B1277="","",INDEX(NXchung!$B$3:$EP$57,MATCH(B1277,NXchung!$B$3:$B$57,0),INDEX($K$12:$N$25,MATCH($B1271,$J$12:$J$25,0),L$11)))</f>
        <v/>
      </c>
      <c r="E1271" s="805" t="str">
        <f>IF(B1277="","",INDEX(NXchung!$B$3:$EP$57,MATCH(B1277,NXchung!$B$3:$B$57,0),INDEX($K$12:$N$25,MATCH($B1271,$J$12:$J$25,0),M$11)))</f>
        <v/>
      </c>
      <c r="F1271" s="808" t="str">
        <f>IF(B1277="","",INDEX(NXchung!$B$3:$EP$57,MATCH(B1277,NXchung!$B$3:$B$57,0),INDEX($K$12:$N$25,MATCH($B1271,$J$12:$J$25,0),N$11)))</f>
        <v/>
      </c>
      <c r="G1271" s="805"/>
      <c r="I1271" s="64"/>
      <c r="J1271" s="64"/>
    </row>
    <row r="1272" spans="1:10" ht="45.9" customHeight="1">
      <c r="A1272" s="803" t="s">
        <v>204</v>
      </c>
      <c r="B1272" s="813" t="s">
        <v>122</v>
      </c>
      <c r="C1272" s="805" t="str">
        <f>IF(B1277="","",INDEX(NXchung!$B$3:$EP$57,MATCH(B1277,NXchung!$B$3:$B$57,0),INDEX($K$12:$N$25,MATCH($B1272,$J$12:$J$25,0),K$11)))</f>
        <v/>
      </c>
      <c r="D1272" s="808" t="str">
        <f>IF(B1277="","",INDEX(NXchung!$B$3:$EP$57,MATCH(B1277,NXchung!$B$3:$B$57,0),INDEX($K$12:$N$25,MATCH($B1272,$J$12:$J$25,0),L$11)))</f>
        <v/>
      </c>
      <c r="E1272" s="805" t="str">
        <f>IF(B1277="","",INDEX(NXchung!$B$3:$EP$57,MATCH(B1277,NXchung!$B$3:$B$57,0),INDEX($K$12:$N$25,MATCH($B1272,$J$12:$J$25,0),M$11)))</f>
        <v/>
      </c>
      <c r="F1272" s="808" t="str">
        <f>IF(B1277="","",INDEX(NXchung!$B$3:$EP$57,MATCH(B1277,NXchung!$B$3:$B$57,0),INDEX($K$12:$N$25,MATCH($B1272,$J$12:$J$25,0),N$11)))</f>
        <v/>
      </c>
      <c r="G1272" s="805"/>
      <c r="I1272" s="64"/>
      <c r="J1272" s="64"/>
    </row>
    <row r="1273" spans="1:10" s="60" customFormat="1" ht="6" customHeight="1">
      <c r="A1273" s="67"/>
      <c r="B1273" s="67"/>
      <c r="C1273" s="475"/>
      <c r="D1273" s="475"/>
      <c r="E1273" s="67"/>
      <c r="F1273" s="67"/>
      <c r="G1273" s="67"/>
    </row>
    <row r="1274" spans="1:10" ht="17.25" customHeight="1">
      <c r="D1274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274" s="1163"/>
      <c r="F1274" s="1163"/>
      <c r="G1274" s="1163"/>
      <c r="H1274" s="814"/>
    </row>
    <row r="1275" spans="1:10" ht="16.5" customHeight="1">
      <c r="D1275" s="992" t="s">
        <v>377</v>
      </c>
      <c r="E1275" s="992"/>
      <c r="F1275" s="992"/>
      <c r="G1275" s="992"/>
      <c r="H1275" s="814"/>
    </row>
    <row r="1276" spans="1:10" ht="81.75" customHeight="1">
      <c r="D1276" s="931" t="str">
        <f>IF('Huong dan'!$E$5="","",'Huong dan'!$E$5)</f>
        <v/>
      </c>
      <c r="E1276" s="931"/>
      <c r="F1276" s="931"/>
      <c r="G1276" s="931"/>
      <c r="H1276" s="814"/>
    </row>
    <row r="1277" spans="1:10" ht="11.25" customHeight="1">
      <c r="A1277" s="75"/>
      <c r="B1277" s="815" t="str">
        <f>IF(B1248="","",IF(B1248&lt;MAX(DiemHKII!$B$4:$B$58),B1248+1,""))</f>
        <v/>
      </c>
      <c r="C1277" s="75"/>
      <c r="D1277" s="75"/>
      <c r="E1277" s="75"/>
      <c r="F1277" s="75"/>
      <c r="G1277" s="75"/>
    </row>
    <row r="1278" spans="1:10" s="60" customFormat="1" ht="21" customHeight="1">
      <c r="A1278" s="1128" t="str">
        <f>IF('Huong dan'!$E$3&lt;&gt;"","SỞ GIÁO DỤC VÀ ĐÀO TẠO "&amp;UPPER('Huong dan'!$E$3),"")</f>
        <v>SỞ GIÁO DỤC VÀ ĐÀO TẠO TP. HỒ CHÍ MINH</v>
      </c>
      <c r="B1278" s="1128"/>
      <c r="C1278" s="1128"/>
      <c r="D1278" s="1128"/>
      <c r="E1278" s="1129" t="s">
        <v>19</v>
      </c>
      <c r="F1278" s="1129"/>
      <c r="G1278" s="1129"/>
    </row>
    <row r="1279" spans="1:10" ht="17.25" customHeight="1">
      <c r="A1279" s="992" t="str">
        <f>IF('Huong dan'!$E$4&lt;&gt;"","TRƯỜNG "&amp;UPPER('Huong dan'!$E$4),"")</f>
        <v>TRƯỜNG THCS VÀ THPT NGUYỄN KHUYẾN</v>
      </c>
      <c r="B1279" s="992"/>
      <c r="C1279" s="992"/>
      <c r="D1279" s="992"/>
      <c r="E1279" s="1130" t="s">
        <v>179</v>
      </c>
      <c r="F1279" s="1130"/>
      <c r="G1279" s="1130"/>
    </row>
    <row r="1280" spans="1:10" ht="15" customHeight="1">
      <c r="A1280" s="69"/>
      <c r="B1280" s="69"/>
      <c r="C1280" s="30"/>
    </row>
    <row r="1281" spans="1:10" ht="27.75" customHeight="1">
      <c r="A1281" s="1013" t="s">
        <v>567</v>
      </c>
      <c r="B1281" s="1013"/>
      <c r="C1281" s="1013"/>
      <c r="D1281" s="1013"/>
      <c r="E1281" s="1013"/>
      <c r="F1281" s="1013"/>
      <c r="G1281" s="1013"/>
    </row>
    <row r="1282" spans="1:10" ht="24" customHeight="1">
      <c r="A1282" s="1013" t="str">
        <f>"HỌC KỲ II VÀ CẢ NĂM - NĂM HỌC "&amp;'Huong dan'!$C$5</f>
        <v>HỌC KỲ II VÀ CẢ NĂM - NĂM HỌC 2021 - 2022</v>
      </c>
      <c r="B1282" s="1013"/>
      <c r="C1282" s="1013"/>
      <c r="D1282" s="1013"/>
      <c r="E1282" s="1013"/>
      <c r="F1282" s="1013"/>
      <c r="G1282" s="1013"/>
    </row>
    <row r="1283" spans="1:10" ht="9" customHeight="1">
      <c r="A1283" s="70"/>
      <c r="B1283" s="66"/>
      <c r="C1283" s="66"/>
      <c r="D1283" s="66"/>
      <c r="E1283" s="66"/>
      <c r="F1283" s="66"/>
      <c r="G1283" s="66"/>
    </row>
    <row r="1284" spans="1:10" ht="18.75" customHeight="1">
      <c r="A1284" s="1167" t="s">
        <v>212</v>
      </c>
      <c r="B1284" s="1167"/>
      <c r="C1284" s="1167"/>
      <c r="D1284" s="1167" t="str">
        <f>IF(B1306="","",INDEX(NXchung!$B$3:$EP$57,MATCH(B1306,NXchung!$B$3:$B$57,0),3)&amp;" "&amp;INDEX(NXchung!$B$3:$EP$57,MATCH(B1306,NXchung!$B$3:$B$57,0),4))</f>
        <v/>
      </c>
      <c r="E1284" s="1167"/>
      <c r="F1284" s="77" t="str">
        <f>IF('Huong dan'!$C$3="","","Lớp: "&amp;'Huong dan'!$C$3)</f>
        <v>Lớp: 12A1</v>
      </c>
      <c r="G1284" s="71"/>
    </row>
    <row r="1285" spans="1:10" ht="18.75" customHeight="1">
      <c r="A1285" s="1168" t="s">
        <v>213</v>
      </c>
      <c r="B1285" s="1168"/>
      <c r="C1285" s="1168"/>
      <c r="D1285" s="77" t="str">
        <f>INDEX(NXchung!$B$3:$EP$57,MATCH(B1306,NXchung!$B$3:$B$57,0),5)</f>
        <v/>
      </c>
      <c r="F1285" s="841" t="str">
        <f>IF(B1306="","","Nơi sinh: "&amp;INDEX(DiemHKII!$H$4:$H$58,MATCH(B1306,DiemHKII!$B$4:$B$58,0),1))</f>
        <v/>
      </c>
      <c r="G1285" s="77"/>
    </row>
    <row r="1286" spans="1:10" ht="9.75" customHeight="1">
      <c r="A1286" s="62"/>
      <c r="B1286" s="62"/>
      <c r="C1286" s="62"/>
      <c r="D1286" s="62"/>
      <c r="E1286" s="62"/>
      <c r="F1286" s="62"/>
      <c r="G1286" s="63"/>
    </row>
    <row r="1287" spans="1:10" ht="31.5" customHeight="1">
      <c r="A1287" s="801" t="s">
        <v>0</v>
      </c>
      <c r="B1287" s="801" t="s">
        <v>59</v>
      </c>
      <c r="C1287" s="806" t="s">
        <v>661</v>
      </c>
      <c r="D1287" s="801" t="s">
        <v>296</v>
      </c>
      <c r="E1287" s="806" t="s">
        <v>662</v>
      </c>
      <c r="F1287" s="801" t="s">
        <v>361</v>
      </c>
      <c r="G1287" s="802" t="s">
        <v>569</v>
      </c>
    </row>
    <row r="1288" spans="1:10" ht="45.9" customHeight="1">
      <c r="A1288" s="803" t="s">
        <v>191</v>
      </c>
      <c r="B1288" s="813" t="s">
        <v>26</v>
      </c>
      <c r="C1288" s="805" t="str">
        <f>IF(B1306="","",INDEX(NXchung!$B$3:$EP$57,MATCH(B1306,NXchung!$B$3:$B$57,0),INDEX($K$12:$N$25,MATCH($B1288,$J$12:$J$25,0),K$11)))</f>
        <v/>
      </c>
      <c r="D1288" s="808" t="str">
        <f>IF(B1306="","",INDEX(NXchung!$B$3:$EP$57,MATCH(B1306,NXchung!$B$3:$B$57,0),INDEX($K$12:$N$25,MATCH($B1288,$J$12:$J$25,0),L$11)))</f>
        <v/>
      </c>
      <c r="E1288" s="805" t="str">
        <f>IF(B1306="","",INDEX(NXchung!$B$3:$EP$57,MATCH(B1306,NXchung!$B$3:$B$57,0),INDEX($K$12:$N$25,MATCH($B1288,$J$12:$J$25,0),M$11)))</f>
        <v/>
      </c>
      <c r="F1288" s="808" t="str">
        <f>IF(B1306="","",INDEX(NXchung!$B$3:$EP$57,MATCH(B1306,NXchung!$B$3:$B$57,0),INDEX($K$12:$N$25,MATCH($B1288,$J$12:$J$25,0),N$11)))</f>
        <v/>
      </c>
      <c r="G1288" s="805"/>
      <c r="I1288" s="64"/>
      <c r="J1288" s="64"/>
    </row>
    <row r="1289" spans="1:10" ht="45.9" customHeight="1">
      <c r="A1289" s="803" t="s">
        <v>192</v>
      </c>
      <c r="B1289" s="813" t="s">
        <v>27</v>
      </c>
      <c r="C1289" s="805" t="str">
        <f>IF(B1306="","",INDEX(NXchung!$B$3:$EP$57,MATCH(B1306,NXchung!$B$3:$B$57,0),INDEX($K$12:$N$25,MATCH($B1289,$J$12:$J$25,0),K$11)))</f>
        <v/>
      </c>
      <c r="D1289" s="808" t="str">
        <f>IF(B1306="","",INDEX(NXchung!$B$3:$EP$57,MATCH(B1306,NXchung!$B$3:$B$57,0),INDEX($K$12:$N$25,MATCH($B1289,$J$12:$J$25,0),L$11)))</f>
        <v/>
      </c>
      <c r="E1289" s="805" t="str">
        <f>IF(B1306="","",INDEX(NXchung!$B$3:$EP$57,MATCH(B1306,NXchung!$B$3:$B$57,0),INDEX($K$12:$N$25,MATCH($B1289,$J$12:$J$25,0),M$11)))</f>
        <v/>
      </c>
      <c r="F1289" s="808" t="str">
        <f>IF(B1306="","",INDEX(NXchung!$B$3:$EP$57,MATCH(B1306,NXchung!$B$3:$B$57,0),INDEX($K$12:$N$25,MATCH($B1289,$J$12:$J$25,0),N$11)))</f>
        <v/>
      </c>
      <c r="G1289" s="805"/>
      <c r="I1289" s="64"/>
      <c r="J1289" s="64"/>
    </row>
    <row r="1290" spans="1:10" ht="45.9" customHeight="1">
      <c r="A1290" s="803" t="s">
        <v>193</v>
      </c>
      <c r="B1290" s="813" t="s">
        <v>28</v>
      </c>
      <c r="C1290" s="805" t="str">
        <f>IF(B1306="","",INDEX(NXchung!$B$3:$EP$57,MATCH(B1306,NXchung!$B$3:$B$57,0),INDEX($K$12:$N$25,MATCH($B1290,$J$12:$J$25,0),K$11)))</f>
        <v/>
      </c>
      <c r="D1290" s="808" t="str">
        <f>IF(B1306="","",INDEX(NXchung!$B$3:$EP$57,MATCH(B1306,NXchung!$B$3:$B$57,0),INDEX($K$12:$N$25,MATCH($B1290,$J$12:$J$25,0),L$11)))</f>
        <v/>
      </c>
      <c r="E1290" s="805" t="str">
        <f>IF(B1306="","",INDEX(NXchung!$B$3:$EP$57,MATCH(B1306,NXchung!$B$3:$B$57,0),INDEX($K$12:$N$25,MATCH($B1290,$J$12:$J$25,0),M$11)))</f>
        <v/>
      </c>
      <c r="F1290" s="808" t="str">
        <f>IF(B1306="","",INDEX(NXchung!$B$3:$EP$57,MATCH(B1306,NXchung!$B$3:$B$57,0),INDEX($K$12:$N$25,MATCH($B1290,$J$12:$J$25,0),N$11)))</f>
        <v/>
      </c>
      <c r="G1290" s="805"/>
      <c r="I1290" s="64"/>
      <c r="J1290" s="64"/>
    </row>
    <row r="1291" spans="1:10" ht="45.9" customHeight="1">
      <c r="A1291" s="803" t="s">
        <v>194</v>
      </c>
      <c r="B1291" s="813" t="s">
        <v>29</v>
      </c>
      <c r="C1291" s="805" t="str">
        <f>IF(B1306="","",INDEX(NXchung!$B$3:$EP$57,MATCH(B1306,NXchung!$B$3:$B$57,0),INDEX($K$12:$N$25,MATCH($B1291,$J$12:$J$25,0),K$11)))</f>
        <v/>
      </c>
      <c r="D1291" s="808" t="str">
        <f>IF(B1306="","",INDEX(NXchung!$B$3:$EP$57,MATCH(B1306,NXchung!$B$3:$B$57,0),INDEX($K$12:$N$25,MATCH($B1291,$J$12:$J$25,0),L$11)))</f>
        <v/>
      </c>
      <c r="E1291" s="805" t="str">
        <f>IF(B1306="","",INDEX(NXchung!$B$3:$EP$57,MATCH(B1306,NXchung!$B$3:$B$57,0),INDEX($K$12:$N$25,MATCH($B1291,$J$12:$J$25,0),M$11)))</f>
        <v/>
      </c>
      <c r="F1291" s="808" t="str">
        <f>IF(B1306="","",INDEX(NXchung!$B$3:$EP$57,MATCH(B1306,NXchung!$B$3:$B$57,0),INDEX($K$12:$N$25,MATCH($B1291,$J$12:$J$25,0),N$11)))</f>
        <v/>
      </c>
      <c r="G1291" s="805"/>
      <c r="I1291" s="64"/>
      <c r="J1291" s="64"/>
    </row>
    <row r="1292" spans="1:10" ht="45.9" customHeight="1">
      <c r="A1292" s="803" t="s">
        <v>195</v>
      </c>
      <c r="B1292" s="813" t="s">
        <v>120</v>
      </c>
      <c r="C1292" s="805" t="str">
        <f>IF(B1306="","",INDEX(NXchung!$B$3:$EP$57,MATCH(B1306,NXchung!$B$3:$B$57,0),INDEX($K$12:$N$25,MATCH($B1292,$J$12:$J$25,0),K$11)))</f>
        <v/>
      </c>
      <c r="D1292" s="808" t="str">
        <f>IF(B1306="","",INDEX(NXchung!$B$3:$EP$57,MATCH(B1306,NXchung!$B$3:$B$57,0),INDEX($K$12:$N$25,MATCH($B1292,$J$12:$J$25,0),L$11)))</f>
        <v/>
      </c>
      <c r="E1292" s="805" t="str">
        <f>IF(B1306="","",INDEX(NXchung!$B$3:$EP$57,MATCH(B1306,NXchung!$B$3:$B$57,0),INDEX($K$12:$N$25,MATCH($B1292,$J$12:$J$25,0),M$11)))</f>
        <v/>
      </c>
      <c r="F1292" s="808" t="str">
        <f>IF(B1306="","",INDEX(NXchung!$B$3:$EP$57,MATCH(B1306,NXchung!$B$3:$B$57,0),INDEX($K$12:$N$25,MATCH($B1292,$J$12:$J$25,0),N$11)))</f>
        <v/>
      </c>
      <c r="G1292" s="805"/>
      <c r="I1292" s="64"/>
      <c r="J1292" s="64"/>
    </row>
    <row r="1293" spans="1:10" ht="45.9" customHeight="1">
      <c r="A1293" s="803" t="s">
        <v>196</v>
      </c>
      <c r="B1293" s="813" t="s">
        <v>30</v>
      </c>
      <c r="C1293" s="805" t="str">
        <f>IF(B1306="","",INDEX(NXchung!$B$3:$EP$57,MATCH(B1306,NXchung!$B$3:$B$57,0),INDEX($K$12:$N$25,MATCH($B1293,$J$12:$J$25,0),K$11)))</f>
        <v/>
      </c>
      <c r="D1293" s="808" t="str">
        <f>IF(B1306="","",INDEX(NXchung!$B$3:$EP$57,MATCH(B1306,NXchung!$B$3:$B$57,0),INDEX($K$12:$N$25,MATCH($B1293,$J$12:$J$25,0),L$11)))</f>
        <v/>
      </c>
      <c r="E1293" s="805" t="str">
        <f>IF(B1306="","",INDEX(NXchung!$B$3:$EP$57,MATCH(B1306,NXchung!$B$3:$B$57,0),INDEX($K$12:$N$25,MATCH($B1293,$J$12:$J$25,0),M$11)))</f>
        <v/>
      </c>
      <c r="F1293" s="808" t="str">
        <f>IF(B1306="","",INDEX(NXchung!$B$3:$EP$57,MATCH(B1306,NXchung!$B$3:$B$57,0),INDEX($K$12:$N$25,MATCH($B1293,$J$12:$J$25,0),N$11)))</f>
        <v/>
      </c>
      <c r="G1293" s="805"/>
      <c r="I1293" s="64"/>
      <c r="J1293" s="64"/>
    </row>
    <row r="1294" spans="1:10" ht="45.9" customHeight="1">
      <c r="A1294" s="803" t="s">
        <v>197</v>
      </c>
      <c r="B1294" s="813" t="s">
        <v>31</v>
      </c>
      <c r="C1294" s="805" t="str">
        <f>IF(B1306="","",INDEX(NXchung!$B$3:$EP$57,MATCH(B1306,NXchung!$B$3:$B$57,0),INDEX($K$12:$N$25,MATCH($B1294,$J$12:$J$25,0),K$11)))</f>
        <v/>
      </c>
      <c r="D1294" s="808" t="str">
        <f>IF(B1306="","",INDEX(NXchung!$B$3:$EP$57,MATCH(B1306,NXchung!$B$3:$B$57,0),INDEX($K$12:$N$25,MATCH($B1294,$J$12:$J$25,0),L$11)))</f>
        <v/>
      </c>
      <c r="E1294" s="805" t="str">
        <f>IF(B1306="","",INDEX(NXchung!$B$3:$EP$57,MATCH(B1306,NXchung!$B$3:$B$57,0),INDEX($K$12:$N$25,MATCH($B1294,$J$12:$J$25,0),M$11)))</f>
        <v/>
      </c>
      <c r="F1294" s="808" t="str">
        <f>IF(B1306="","",INDEX(NXchung!$B$3:$EP$57,MATCH(B1306,NXchung!$B$3:$B$57,0),INDEX($K$12:$N$25,MATCH($B1294,$J$12:$J$25,0),N$11)))</f>
        <v/>
      </c>
      <c r="G1294" s="805"/>
      <c r="I1294" s="64"/>
      <c r="J1294" s="64"/>
    </row>
    <row r="1295" spans="1:10" ht="45.9" customHeight="1">
      <c r="A1295" s="803" t="s">
        <v>198</v>
      </c>
      <c r="B1295" s="813" t="s">
        <v>32</v>
      </c>
      <c r="C1295" s="805" t="str">
        <f>IF(B1306="","",INDEX(NXchung!$B$3:$EP$57,MATCH(B1306,NXchung!$B$3:$B$57,0),INDEX($K$12:$N$25,MATCH($B1295,$J$12:$J$25,0),K$11)))</f>
        <v/>
      </c>
      <c r="D1295" s="808" t="str">
        <f>IF(B1306="","",INDEX(NXchung!$B$3:$EP$57,MATCH(B1306,NXchung!$B$3:$B$57,0),INDEX($K$12:$N$25,MATCH($B1295,$J$12:$J$25,0),L$11)))</f>
        <v/>
      </c>
      <c r="E1295" s="805" t="str">
        <f>IF(B1306="","",INDEX(NXchung!$B$3:$EP$57,MATCH(B1306,NXchung!$B$3:$B$57,0),INDEX($K$12:$N$25,MATCH($B1295,$J$12:$J$25,0),M$11)))</f>
        <v/>
      </c>
      <c r="F1295" s="808" t="str">
        <f>IF(B1306="","",INDEX(NXchung!$B$3:$EP$57,MATCH(B1306,NXchung!$B$3:$B$57,0),INDEX($K$12:$N$25,MATCH($B1295,$J$12:$J$25,0),N$11)))</f>
        <v/>
      </c>
      <c r="G1295" s="805"/>
      <c r="I1295" s="64"/>
      <c r="J1295" s="64"/>
    </row>
    <row r="1296" spans="1:10" ht="45.9" customHeight="1">
      <c r="A1296" s="803" t="s">
        <v>199</v>
      </c>
      <c r="B1296" s="813" t="s">
        <v>33</v>
      </c>
      <c r="C1296" s="805" t="str">
        <f>IF(B1306="","",INDEX(NXchung!$B$3:$EP$57,MATCH(B1306,NXchung!$B$3:$B$57,0),INDEX($K$12:$N$25,MATCH($B1296,$J$12:$J$25,0),K$11)))</f>
        <v/>
      </c>
      <c r="D1296" s="808" t="str">
        <f>IF(B1306="","",INDEX(NXchung!$B$3:$EP$57,MATCH(B1306,NXchung!$B$3:$B$57,0),INDEX($K$12:$N$25,MATCH($B1296,$J$12:$J$25,0),L$11)))</f>
        <v/>
      </c>
      <c r="E1296" s="805" t="str">
        <f>IF(B1306="","",INDEX(NXchung!$B$3:$EP$57,MATCH(B1306,NXchung!$B$3:$B$57,0),INDEX($K$12:$N$25,MATCH($B1296,$J$12:$J$25,0),M$11)))</f>
        <v/>
      </c>
      <c r="F1296" s="808" t="str">
        <f>IF(B1306="","",INDEX(NXchung!$B$3:$EP$57,MATCH(B1306,NXchung!$B$3:$B$57,0),INDEX($K$12:$N$25,MATCH($B1296,$J$12:$J$25,0),N$11)))</f>
        <v/>
      </c>
      <c r="G1296" s="805"/>
      <c r="I1296" s="64"/>
      <c r="J1296" s="64"/>
    </row>
    <row r="1297" spans="1:10" ht="45.9" customHeight="1">
      <c r="A1297" s="803" t="s">
        <v>200</v>
      </c>
      <c r="B1297" s="813" t="s">
        <v>60</v>
      </c>
      <c r="C1297" s="805" t="str">
        <f>IF(B1306="","",INDEX(NXchung!$B$3:$EP$57,MATCH(B1306,NXchung!$B$3:$B$57,0),INDEX($K$12:$N$25,MATCH($B1297,$J$12:$J$25,0),K$11)))</f>
        <v/>
      </c>
      <c r="D1297" s="808" t="str">
        <f>IF(B1306="","",INDEX(NXchung!$B$3:$EP$57,MATCH(B1306,NXchung!$B$3:$B$57,0),INDEX($K$12:$N$25,MATCH($B1297,$J$12:$J$25,0),L$11)))</f>
        <v/>
      </c>
      <c r="E1297" s="805" t="str">
        <f>IF(B1306="","",INDEX(NXchung!$B$3:$EP$57,MATCH(B1306,NXchung!$B$3:$B$57,0),INDEX($K$12:$N$25,MATCH($B1297,$J$12:$J$25,0),M$11)))</f>
        <v/>
      </c>
      <c r="F1297" s="808" t="str">
        <f>IF(B1306="","",INDEX(NXchung!$B$3:$EP$57,MATCH(B1306,NXchung!$B$3:$B$57,0),INDEX($K$12:$N$25,MATCH($B1297,$J$12:$J$25,0),N$11)))</f>
        <v/>
      </c>
      <c r="G1297" s="805"/>
      <c r="I1297" s="64"/>
      <c r="J1297" s="64"/>
    </row>
    <row r="1298" spans="1:10" ht="45.9" customHeight="1">
      <c r="A1298" s="803" t="s">
        <v>201</v>
      </c>
      <c r="B1298" s="813" t="s">
        <v>34</v>
      </c>
      <c r="C1298" s="805" t="str">
        <f>IF(B1306="","",INDEX(NXchung!$B$3:$EP$57,MATCH(B1306,NXchung!$B$3:$B$57,0),INDEX($K$12:$N$25,MATCH($B1298,$J$12:$J$25,0),K$11)))</f>
        <v/>
      </c>
      <c r="D1298" s="808" t="str">
        <f>IF(B1306="","",INDEX(NXchung!$B$3:$EP$57,MATCH(B1306,NXchung!$B$3:$B$57,0),INDEX($K$12:$N$25,MATCH($B1298,$J$12:$J$25,0),L$11)))</f>
        <v/>
      </c>
      <c r="E1298" s="805" t="str">
        <f>IF(B1306="","",INDEX(NXchung!$B$3:$EP$57,MATCH(B1306,NXchung!$B$3:$B$57,0),INDEX($K$12:$N$25,MATCH($B1298,$J$12:$J$25,0),M$11)))</f>
        <v/>
      </c>
      <c r="F1298" s="808" t="str">
        <f>IF(B1306="","",INDEX(NXchung!$B$3:$EP$57,MATCH(B1306,NXchung!$B$3:$B$57,0),INDEX($K$12:$N$25,MATCH($B1298,$J$12:$J$25,0),N$11)))</f>
        <v/>
      </c>
      <c r="G1298" s="805"/>
      <c r="I1298" s="64"/>
      <c r="J1298" s="64"/>
    </row>
    <row r="1299" spans="1:10" ht="45.9" customHeight="1">
      <c r="A1299" s="803" t="s">
        <v>202</v>
      </c>
      <c r="B1299" s="813" t="s">
        <v>35</v>
      </c>
      <c r="C1299" s="805" t="str">
        <f>IF(B1306="","",INDEX(NXchung!$B$3:$EP$57,MATCH(B1306,NXchung!$B$3:$B$57,0),INDEX($K$12:$N$25,MATCH($B1299,$J$12:$J$25,0),K$11)))</f>
        <v/>
      </c>
      <c r="D1299" s="808" t="str">
        <f>IF(B1306="","",INDEX(NXchung!$B$3:$EP$57,MATCH(B1306,NXchung!$B$3:$B$57,0),INDEX($K$12:$N$25,MATCH($B1299,$J$12:$J$25,0),L$11)))</f>
        <v/>
      </c>
      <c r="E1299" s="805" t="str">
        <f>IF(B1306="","",INDEX(NXchung!$B$3:$EP$57,MATCH(B1306,NXchung!$B$3:$B$57,0),INDEX($K$12:$N$25,MATCH($B1299,$J$12:$J$25,0),M$11)))</f>
        <v/>
      </c>
      <c r="F1299" s="808" t="str">
        <f>IF(B1306="","",INDEX(NXchung!$B$3:$EP$57,MATCH(B1306,NXchung!$B$3:$B$57,0),INDEX($K$12:$N$25,MATCH($B1299,$J$12:$J$25,0),N$11)))</f>
        <v/>
      </c>
      <c r="G1299" s="805"/>
      <c r="I1299" s="64"/>
      <c r="J1299" s="64"/>
    </row>
    <row r="1300" spans="1:10" ht="45.9" customHeight="1">
      <c r="A1300" s="803" t="s">
        <v>203</v>
      </c>
      <c r="B1300" s="813" t="s">
        <v>121</v>
      </c>
      <c r="C1300" s="805" t="str">
        <f>IF(B1306="","",INDEX(NXchung!$B$3:$EP$57,MATCH(B1306,NXchung!$B$3:$B$57,0),INDEX($K$12:$N$25,MATCH($B1300,$J$12:$J$25,0),K$11)))</f>
        <v/>
      </c>
      <c r="D1300" s="808" t="str">
        <f>IF(B1306="","",INDEX(NXchung!$B$3:$EP$57,MATCH(B1306,NXchung!$B$3:$B$57,0),INDEX($K$12:$N$25,MATCH($B1300,$J$12:$J$25,0),L$11)))</f>
        <v/>
      </c>
      <c r="E1300" s="805" t="str">
        <f>IF(B1306="","",INDEX(NXchung!$B$3:$EP$57,MATCH(B1306,NXchung!$B$3:$B$57,0),INDEX($K$12:$N$25,MATCH($B1300,$J$12:$J$25,0),M$11)))</f>
        <v/>
      </c>
      <c r="F1300" s="808" t="str">
        <f>IF(B1306="","",INDEX(NXchung!$B$3:$EP$57,MATCH(B1306,NXchung!$B$3:$B$57,0),INDEX($K$12:$N$25,MATCH($B1300,$J$12:$J$25,0),N$11)))</f>
        <v/>
      </c>
      <c r="G1300" s="805"/>
      <c r="I1300" s="64"/>
      <c r="J1300" s="64"/>
    </row>
    <row r="1301" spans="1:10" ht="45.9" customHeight="1">
      <c r="A1301" s="803" t="s">
        <v>204</v>
      </c>
      <c r="B1301" s="813" t="s">
        <v>122</v>
      </c>
      <c r="C1301" s="805" t="str">
        <f>IF(B1306="","",INDEX(NXchung!$B$3:$EP$57,MATCH(B1306,NXchung!$B$3:$B$57,0),INDEX($K$12:$N$25,MATCH($B1301,$J$12:$J$25,0),K$11)))</f>
        <v/>
      </c>
      <c r="D1301" s="808" t="str">
        <f>IF(B1306="","",INDEX(NXchung!$B$3:$EP$57,MATCH(B1306,NXchung!$B$3:$B$57,0),INDEX($K$12:$N$25,MATCH($B1301,$J$12:$J$25,0),L$11)))</f>
        <v/>
      </c>
      <c r="E1301" s="805" t="str">
        <f>IF(B1306="","",INDEX(NXchung!$B$3:$EP$57,MATCH(B1306,NXchung!$B$3:$B$57,0),INDEX($K$12:$N$25,MATCH($B1301,$J$12:$J$25,0),M$11)))</f>
        <v/>
      </c>
      <c r="F1301" s="808" t="str">
        <f>IF(B1306="","",INDEX(NXchung!$B$3:$EP$57,MATCH(B1306,NXchung!$B$3:$B$57,0),INDEX($K$12:$N$25,MATCH($B1301,$J$12:$J$25,0),N$11)))</f>
        <v/>
      </c>
      <c r="G1301" s="805"/>
      <c r="I1301" s="64"/>
      <c r="J1301" s="64"/>
    </row>
    <row r="1302" spans="1:10" s="60" customFormat="1" ht="6" customHeight="1">
      <c r="A1302" s="67"/>
      <c r="B1302" s="67"/>
      <c r="C1302" s="475"/>
      <c r="D1302" s="475"/>
      <c r="E1302" s="67"/>
      <c r="F1302" s="67"/>
      <c r="G1302" s="67"/>
    </row>
    <row r="1303" spans="1:10" ht="17.25" customHeight="1">
      <c r="D1303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303" s="1163"/>
      <c r="F1303" s="1163"/>
      <c r="G1303" s="1163"/>
      <c r="H1303" s="814"/>
    </row>
    <row r="1304" spans="1:10" ht="16.5" customHeight="1">
      <c r="D1304" s="992" t="s">
        <v>377</v>
      </c>
      <c r="E1304" s="992"/>
      <c r="F1304" s="992"/>
      <c r="G1304" s="992"/>
      <c r="H1304" s="814"/>
    </row>
    <row r="1305" spans="1:10" ht="81.75" customHeight="1">
      <c r="D1305" s="931" t="str">
        <f>IF('Huong dan'!$E$5="","",'Huong dan'!$E$5)</f>
        <v/>
      </c>
      <c r="E1305" s="931"/>
      <c r="F1305" s="931"/>
      <c r="G1305" s="931"/>
      <c r="H1305" s="814"/>
    </row>
    <row r="1306" spans="1:10" ht="11.25" customHeight="1">
      <c r="A1306" s="75"/>
      <c r="B1306" s="815" t="str">
        <f>IF(B1277="","",IF(B1277&lt;MAX(DiemHKII!$B$4:$B$58),B1277+1,""))</f>
        <v/>
      </c>
      <c r="C1306" s="75"/>
      <c r="D1306" s="75"/>
      <c r="E1306" s="75"/>
      <c r="F1306" s="75"/>
      <c r="G1306" s="75"/>
    </row>
    <row r="1307" spans="1:10" s="60" customFormat="1" ht="21" customHeight="1">
      <c r="A1307" s="1128" t="str">
        <f>IF('Huong dan'!$E$3&lt;&gt;"","SỞ GIÁO DỤC VÀ ĐÀO TẠO "&amp;UPPER('Huong dan'!$E$3),"")</f>
        <v>SỞ GIÁO DỤC VÀ ĐÀO TẠO TP. HỒ CHÍ MINH</v>
      </c>
      <c r="B1307" s="1128"/>
      <c r="C1307" s="1128"/>
      <c r="D1307" s="1128"/>
      <c r="E1307" s="1129" t="s">
        <v>19</v>
      </c>
      <c r="F1307" s="1129"/>
      <c r="G1307" s="1129"/>
    </row>
    <row r="1308" spans="1:10" ht="17.25" customHeight="1">
      <c r="A1308" s="992" t="str">
        <f>IF('Huong dan'!$E$4&lt;&gt;"","TRƯỜNG "&amp;UPPER('Huong dan'!$E$4),"")</f>
        <v>TRƯỜNG THCS VÀ THPT NGUYỄN KHUYẾN</v>
      </c>
      <c r="B1308" s="992"/>
      <c r="C1308" s="992"/>
      <c r="D1308" s="992"/>
      <c r="E1308" s="1130" t="s">
        <v>179</v>
      </c>
      <c r="F1308" s="1130"/>
      <c r="G1308" s="1130"/>
    </row>
    <row r="1309" spans="1:10" ht="15" customHeight="1">
      <c r="A1309" s="69"/>
      <c r="B1309" s="69"/>
      <c r="C1309" s="30"/>
    </row>
    <row r="1310" spans="1:10" ht="27.75" customHeight="1">
      <c r="A1310" s="1013" t="s">
        <v>567</v>
      </c>
      <c r="B1310" s="1013"/>
      <c r="C1310" s="1013"/>
      <c r="D1310" s="1013"/>
      <c r="E1310" s="1013"/>
      <c r="F1310" s="1013"/>
      <c r="G1310" s="1013"/>
    </row>
    <row r="1311" spans="1:10" ht="24" customHeight="1">
      <c r="A1311" s="1013" t="str">
        <f>"HỌC KỲ II VÀ CẢ NĂM - NĂM HỌC "&amp;'Huong dan'!$C$5</f>
        <v>HỌC KỲ II VÀ CẢ NĂM - NĂM HỌC 2021 - 2022</v>
      </c>
      <c r="B1311" s="1013"/>
      <c r="C1311" s="1013"/>
      <c r="D1311" s="1013"/>
      <c r="E1311" s="1013"/>
      <c r="F1311" s="1013"/>
      <c r="G1311" s="1013"/>
    </row>
    <row r="1312" spans="1:10" ht="9" customHeight="1">
      <c r="A1312" s="70"/>
      <c r="B1312" s="66"/>
      <c r="C1312" s="66"/>
      <c r="D1312" s="66"/>
      <c r="E1312" s="66"/>
      <c r="F1312" s="66"/>
      <c r="G1312" s="66"/>
    </row>
    <row r="1313" spans="1:10" ht="18.75" customHeight="1">
      <c r="A1313" s="1167" t="s">
        <v>212</v>
      </c>
      <c r="B1313" s="1167"/>
      <c r="C1313" s="1167"/>
      <c r="D1313" s="1167" t="str">
        <f>IF(B1335="","",INDEX(NXchung!$B$3:$EP$57,MATCH(B1335,NXchung!$B$3:$B$57,0),3)&amp;" "&amp;INDEX(NXchung!$B$3:$EP$57,MATCH(B1335,NXchung!$B$3:$B$57,0),4))</f>
        <v/>
      </c>
      <c r="E1313" s="1167"/>
      <c r="F1313" s="77" t="str">
        <f>IF('Huong dan'!$C$3="","","Lớp: "&amp;'Huong dan'!$C$3)</f>
        <v>Lớp: 12A1</v>
      </c>
      <c r="G1313" s="71"/>
    </row>
    <row r="1314" spans="1:10" ht="18.75" customHeight="1">
      <c r="A1314" s="1168" t="s">
        <v>213</v>
      </c>
      <c r="B1314" s="1168"/>
      <c r="C1314" s="1168"/>
      <c r="D1314" s="77" t="str">
        <f>INDEX(NXchung!$B$3:$EP$57,MATCH(B1335,NXchung!$B$3:$B$57,0),5)</f>
        <v/>
      </c>
      <c r="F1314" s="841" t="str">
        <f>IF(B1335="","","Nơi sinh: "&amp;INDEX(DiemHKII!$H$4:$H$58,MATCH(B1335,DiemHKII!$B$4:$B$58,0),1))</f>
        <v/>
      </c>
      <c r="G1314" s="77"/>
    </row>
    <row r="1315" spans="1:10" ht="9.75" customHeight="1">
      <c r="A1315" s="62"/>
      <c r="B1315" s="62"/>
      <c r="C1315" s="62"/>
      <c r="D1315" s="62"/>
      <c r="E1315" s="62"/>
      <c r="F1315" s="62"/>
      <c r="G1315" s="63"/>
    </row>
    <row r="1316" spans="1:10" ht="31.5" customHeight="1">
      <c r="A1316" s="801" t="s">
        <v>0</v>
      </c>
      <c r="B1316" s="801" t="s">
        <v>59</v>
      </c>
      <c r="C1316" s="806" t="s">
        <v>661</v>
      </c>
      <c r="D1316" s="801" t="s">
        <v>296</v>
      </c>
      <c r="E1316" s="806" t="s">
        <v>662</v>
      </c>
      <c r="F1316" s="801" t="s">
        <v>361</v>
      </c>
      <c r="G1316" s="802" t="s">
        <v>569</v>
      </c>
    </row>
    <row r="1317" spans="1:10" ht="45.9" customHeight="1">
      <c r="A1317" s="803" t="s">
        <v>191</v>
      </c>
      <c r="B1317" s="813" t="s">
        <v>26</v>
      </c>
      <c r="C1317" s="805" t="str">
        <f>IF(B1335="","",INDEX(NXchung!$B$3:$EP$57,MATCH(B1335,NXchung!$B$3:$B$57,0),INDEX($K$12:$N$25,MATCH($B1317,$J$12:$J$25,0),K$11)))</f>
        <v/>
      </c>
      <c r="D1317" s="808" t="str">
        <f>IF(B1335="","",INDEX(NXchung!$B$3:$EP$57,MATCH(B1335,NXchung!$B$3:$B$57,0),INDEX($K$12:$N$25,MATCH($B1317,$J$12:$J$25,0),L$11)))</f>
        <v/>
      </c>
      <c r="E1317" s="805" t="str">
        <f>IF(B1335="","",INDEX(NXchung!$B$3:$EP$57,MATCH(B1335,NXchung!$B$3:$B$57,0),INDEX($K$12:$N$25,MATCH($B1317,$J$12:$J$25,0),M$11)))</f>
        <v/>
      </c>
      <c r="F1317" s="808" t="str">
        <f>IF(B1335="","",INDEX(NXchung!$B$3:$EP$57,MATCH(B1335,NXchung!$B$3:$B$57,0),INDEX($K$12:$N$25,MATCH($B1317,$J$12:$J$25,0),N$11)))</f>
        <v/>
      </c>
      <c r="G1317" s="805"/>
      <c r="I1317" s="64"/>
      <c r="J1317" s="64"/>
    </row>
    <row r="1318" spans="1:10" ht="45.9" customHeight="1">
      <c r="A1318" s="803" t="s">
        <v>192</v>
      </c>
      <c r="B1318" s="813" t="s">
        <v>27</v>
      </c>
      <c r="C1318" s="805" t="str">
        <f>IF(B1335="","",INDEX(NXchung!$B$3:$EP$57,MATCH(B1335,NXchung!$B$3:$B$57,0),INDEX($K$12:$N$25,MATCH($B1318,$J$12:$J$25,0),K$11)))</f>
        <v/>
      </c>
      <c r="D1318" s="808" t="str">
        <f>IF(B1335="","",INDEX(NXchung!$B$3:$EP$57,MATCH(B1335,NXchung!$B$3:$B$57,0),INDEX($K$12:$N$25,MATCH($B1318,$J$12:$J$25,0),L$11)))</f>
        <v/>
      </c>
      <c r="E1318" s="805" t="str">
        <f>IF(B1335="","",INDEX(NXchung!$B$3:$EP$57,MATCH(B1335,NXchung!$B$3:$B$57,0),INDEX($K$12:$N$25,MATCH($B1318,$J$12:$J$25,0),M$11)))</f>
        <v/>
      </c>
      <c r="F1318" s="808" t="str">
        <f>IF(B1335="","",INDEX(NXchung!$B$3:$EP$57,MATCH(B1335,NXchung!$B$3:$B$57,0),INDEX($K$12:$N$25,MATCH($B1318,$J$12:$J$25,0),N$11)))</f>
        <v/>
      </c>
      <c r="G1318" s="805"/>
      <c r="I1318" s="64"/>
      <c r="J1318" s="64"/>
    </row>
    <row r="1319" spans="1:10" ht="45.9" customHeight="1">
      <c r="A1319" s="803" t="s">
        <v>193</v>
      </c>
      <c r="B1319" s="813" t="s">
        <v>28</v>
      </c>
      <c r="C1319" s="805" t="str">
        <f>IF(B1335="","",INDEX(NXchung!$B$3:$EP$57,MATCH(B1335,NXchung!$B$3:$B$57,0),INDEX($K$12:$N$25,MATCH($B1319,$J$12:$J$25,0),K$11)))</f>
        <v/>
      </c>
      <c r="D1319" s="808" t="str">
        <f>IF(B1335="","",INDEX(NXchung!$B$3:$EP$57,MATCH(B1335,NXchung!$B$3:$B$57,0),INDEX($K$12:$N$25,MATCH($B1319,$J$12:$J$25,0),L$11)))</f>
        <v/>
      </c>
      <c r="E1319" s="805" t="str">
        <f>IF(B1335="","",INDEX(NXchung!$B$3:$EP$57,MATCH(B1335,NXchung!$B$3:$B$57,0),INDEX($K$12:$N$25,MATCH($B1319,$J$12:$J$25,0),M$11)))</f>
        <v/>
      </c>
      <c r="F1319" s="808" t="str">
        <f>IF(B1335="","",INDEX(NXchung!$B$3:$EP$57,MATCH(B1335,NXchung!$B$3:$B$57,0),INDEX($K$12:$N$25,MATCH($B1319,$J$12:$J$25,0),N$11)))</f>
        <v/>
      </c>
      <c r="G1319" s="805"/>
      <c r="I1319" s="64"/>
      <c r="J1319" s="64"/>
    </row>
    <row r="1320" spans="1:10" ht="45.9" customHeight="1">
      <c r="A1320" s="803" t="s">
        <v>194</v>
      </c>
      <c r="B1320" s="813" t="s">
        <v>29</v>
      </c>
      <c r="C1320" s="805" t="str">
        <f>IF(B1335="","",INDEX(NXchung!$B$3:$EP$57,MATCH(B1335,NXchung!$B$3:$B$57,0),INDEX($K$12:$N$25,MATCH($B1320,$J$12:$J$25,0),K$11)))</f>
        <v/>
      </c>
      <c r="D1320" s="808" t="str">
        <f>IF(B1335="","",INDEX(NXchung!$B$3:$EP$57,MATCH(B1335,NXchung!$B$3:$B$57,0),INDEX($K$12:$N$25,MATCH($B1320,$J$12:$J$25,0),L$11)))</f>
        <v/>
      </c>
      <c r="E1320" s="805" t="str">
        <f>IF(B1335="","",INDEX(NXchung!$B$3:$EP$57,MATCH(B1335,NXchung!$B$3:$B$57,0),INDEX($K$12:$N$25,MATCH($B1320,$J$12:$J$25,0),M$11)))</f>
        <v/>
      </c>
      <c r="F1320" s="808" t="str">
        <f>IF(B1335="","",INDEX(NXchung!$B$3:$EP$57,MATCH(B1335,NXchung!$B$3:$B$57,0),INDEX($K$12:$N$25,MATCH($B1320,$J$12:$J$25,0),N$11)))</f>
        <v/>
      </c>
      <c r="G1320" s="805"/>
      <c r="I1320" s="64"/>
      <c r="J1320" s="64"/>
    </row>
    <row r="1321" spans="1:10" ht="45.9" customHeight="1">
      <c r="A1321" s="803" t="s">
        <v>195</v>
      </c>
      <c r="B1321" s="813" t="s">
        <v>120</v>
      </c>
      <c r="C1321" s="805" t="str">
        <f>IF(B1335="","",INDEX(NXchung!$B$3:$EP$57,MATCH(B1335,NXchung!$B$3:$B$57,0),INDEX($K$12:$N$25,MATCH($B1321,$J$12:$J$25,0),K$11)))</f>
        <v/>
      </c>
      <c r="D1321" s="808" t="str">
        <f>IF(B1335="","",INDEX(NXchung!$B$3:$EP$57,MATCH(B1335,NXchung!$B$3:$B$57,0),INDEX($K$12:$N$25,MATCH($B1321,$J$12:$J$25,0),L$11)))</f>
        <v/>
      </c>
      <c r="E1321" s="805" t="str">
        <f>IF(B1335="","",INDEX(NXchung!$B$3:$EP$57,MATCH(B1335,NXchung!$B$3:$B$57,0),INDEX($K$12:$N$25,MATCH($B1321,$J$12:$J$25,0),M$11)))</f>
        <v/>
      </c>
      <c r="F1321" s="808" t="str">
        <f>IF(B1335="","",INDEX(NXchung!$B$3:$EP$57,MATCH(B1335,NXchung!$B$3:$B$57,0),INDEX($K$12:$N$25,MATCH($B1321,$J$12:$J$25,0),N$11)))</f>
        <v/>
      </c>
      <c r="G1321" s="805"/>
      <c r="I1321" s="64"/>
      <c r="J1321" s="64"/>
    </row>
    <row r="1322" spans="1:10" ht="45.9" customHeight="1">
      <c r="A1322" s="803" t="s">
        <v>196</v>
      </c>
      <c r="B1322" s="813" t="s">
        <v>30</v>
      </c>
      <c r="C1322" s="805" t="str">
        <f>IF(B1335="","",INDEX(NXchung!$B$3:$EP$57,MATCH(B1335,NXchung!$B$3:$B$57,0),INDEX($K$12:$N$25,MATCH($B1322,$J$12:$J$25,0),K$11)))</f>
        <v/>
      </c>
      <c r="D1322" s="808" t="str">
        <f>IF(B1335="","",INDEX(NXchung!$B$3:$EP$57,MATCH(B1335,NXchung!$B$3:$B$57,0),INDEX($K$12:$N$25,MATCH($B1322,$J$12:$J$25,0),L$11)))</f>
        <v/>
      </c>
      <c r="E1322" s="805" t="str">
        <f>IF(B1335="","",INDEX(NXchung!$B$3:$EP$57,MATCH(B1335,NXchung!$B$3:$B$57,0),INDEX($K$12:$N$25,MATCH($B1322,$J$12:$J$25,0),M$11)))</f>
        <v/>
      </c>
      <c r="F1322" s="808" t="str">
        <f>IF(B1335="","",INDEX(NXchung!$B$3:$EP$57,MATCH(B1335,NXchung!$B$3:$B$57,0),INDEX($K$12:$N$25,MATCH($B1322,$J$12:$J$25,0),N$11)))</f>
        <v/>
      </c>
      <c r="G1322" s="805"/>
      <c r="I1322" s="64"/>
      <c r="J1322" s="64"/>
    </row>
    <row r="1323" spans="1:10" ht="45.9" customHeight="1">
      <c r="A1323" s="803" t="s">
        <v>197</v>
      </c>
      <c r="B1323" s="813" t="s">
        <v>31</v>
      </c>
      <c r="C1323" s="805" t="str">
        <f>IF(B1335="","",INDEX(NXchung!$B$3:$EP$57,MATCH(B1335,NXchung!$B$3:$B$57,0),INDEX($K$12:$N$25,MATCH($B1323,$J$12:$J$25,0),K$11)))</f>
        <v/>
      </c>
      <c r="D1323" s="808" t="str">
        <f>IF(B1335="","",INDEX(NXchung!$B$3:$EP$57,MATCH(B1335,NXchung!$B$3:$B$57,0),INDEX($K$12:$N$25,MATCH($B1323,$J$12:$J$25,0),L$11)))</f>
        <v/>
      </c>
      <c r="E1323" s="805" t="str">
        <f>IF(B1335="","",INDEX(NXchung!$B$3:$EP$57,MATCH(B1335,NXchung!$B$3:$B$57,0),INDEX($K$12:$N$25,MATCH($B1323,$J$12:$J$25,0),M$11)))</f>
        <v/>
      </c>
      <c r="F1323" s="808" t="str">
        <f>IF(B1335="","",INDEX(NXchung!$B$3:$EP$57,MATCH(B1335,NXchung!$B$3:$B$57,0),INDEX($K$12:$N$25,MATCH($B1323,$J$12:$J$25,0),N$11)))</f>
        <v/>
      </c>
      <c r="G1323" s="805"/>
      <c r="I1323" s="64"/>
      <c r="J1323" s="64"/>
    </row>
    <row r="1324" spans="1:10" ht="45.9" customHeight="1">
      <c r="A1324" s="803" t="s">
        <v>198</v>
      </c>
      <c r="B1324" s="813" t="s">
        <v>32</v>
      </c>
      <c r="C1324" s="805" t="str">
        <f>IF(B1335="","",INDEX(NXchung!$B$3:$EP$57,MATCH(B1335,NXchung!$B$3:$B$57,0),INDEX($K$12:$N$25,MATCH($B1324,$J$12:$J$25,0),K$11)))</f>
        <v/>
      </c>
      <c r="D1324" s="808" t="str">
        <f>IF(B1335="","",INDEX(NXchung!$B$3:$EP$57,MATCH(B1335,NXchung!$B$3:$B$57,0),INDEX($K$12:$N$25,MATCH($B1324,$J$12:$J$25,0),L$11)))</f>
        <v/>
      </c>
      <c r="E1324" s="805" t="str">
        <f>IF(B1335="","",INDEX(NXchung!$B$3:$EP$57,MATCH(B1335,NXchung!$B$3:$B$57,0),INDEX($K$12:$N$25,MATCH($B1324,$J$12:$J$25,0),M$11)))</f>
        <v/>
      </c>
      <c r="F1324" s="808" t="str">
        <f>IF(B1335="","",INDEX(NXchung!$B$3:$EP$57,MATCH(B1335,NXchung!$B$3:$B$57,0),INDEX($K$12:$N$25,MATCH($B1324,$J$12:$J$25,0),N$11)))</f>
        <v/>
      </c>
      <c r="G1324" s="805"/>
      <c r="I1324" s="64"/>
      <c r="J1324" s="64"/>
    </row>
    <row r="1325" spans="1:10" ht="45.9" customHeight="1">
      <c r="A1325" s="803" t="s">
        <v>199</v>
      </c>
      <c r="B1325" s="813" t="s">
        <v>33</v>
      </c>
      <c r="C1325" s="805" t="str">
        <f>IF(B1335="","",INDEX(NXchung!$B$3:$EP$57,MATCH(B1335,NXchung!$B$3:$B$57,0),INDEX($K$12:$N$25,MATCH($B1325,$J$12:$J$25,0),K$11)))</f>
        <v/>
      </c>
      <c r="D1325" s="808" t="str">
        <f>IF(B1335="","",INDEX(NXchung!$B$3:$EP$57,MATCH(B1335,NXchung!$B$3:$B$57,0),INDEX($K$12:$N$25,MATCH($B1325,$J$12:$J$25,0),L$11)))</f>
        <v/>
      </c>
      <c r="E1325" s="805" t="str">
        <f>IF(B1335="","",INDEX(NXchung!$B$3:$EP$57,MATCH(B1335,NXchung!$B$3:$B$57,0),INDEX($K$12:$N$25,MATCH($B1325,$J$12:$J$25,0),M$11)))</f>
        <v/>
      </c>
      <c r="F1325" s="808" t="str">
        <f>IF(B1335="","",INDEX(NXchung!$B$3:$EP$57,MATCH(B1335,NXchung!$B$3:$B$57,0),INDEX($K$12:$N$25,MATCH($B1325,$J$12:$J$25,0),N$11)))</f>
        <v/>
      </c>
      <c r="G1325" s="805"/>
      <c r="I1325" s="64"/>
      <c r="J1325" s="64"/>
    </row>
    <row r="1326" spans="1:10" ht="45.9" customHeight="1">
      <c r="A1326" s="803" t="s">
        <v>200</v>
      </c>
      <c r="B1326" s="813" t="s">
        <v>60</v>
      </c>
      <c r="C1326" s="805" t="str">
        <f>IF(B1335="","",INDEX(NXchung!$B$3:$EP$57,MATCH(B1335,NXchung!$B$3:$B$57,0),INDEX($K$12:$N$25,MATCH($B1326,$J$12:$J$25,0),K$11)))</f>
        <v/>
      </c>
      <c r="D1326" s="808" t="str">
        <f>IF(B1335="","",INDEX(NXchung!$B$3:$EP$57,MATCH(B1335,NXchung!$B$3:$B$57,0),INDEX($K$12:$N$25,MATCH($B1326,$J$12:$J$25,0),L$11)))</f>
        <v/>
      </c>
      <c r="E1326" s="805" t="str">
        <f>IF(B1335="","",INDEX(NXchung!$B$3:$EP$57,MATCH(B1335,NXchung!$B$3:$B$57,0),INDEX($K$12:$N$25,MATCH($B1326,$J$12:$J$25,0),M$11)))</f>
        <v/>
      </c>
      <c r="F1326" s="808" t="str">
        <f>IF(B1335="","",INDEX(NXchung!$B$3:$EP$57,MATCH(B1335,NXchung!$B$3:$B$57,0),INDEX($K$12:$N$25,MATCH($B1326,$J$12:$J$25,0),N$11)))</f>
        <v/>
      </c>
      <c r="G1326" s="805"/>
      <c r="I1326" s="64"/>
      <c r="J1326" s="64"/>
    </row>
    <row r="1327" spans="1:10" ht="45.9" customHeight="1">
      <c r="A1327" s="803" t="s">
        <v>201</v>
      </c>
      <c r="B1327" s="813" t="s">
        <v>34</v>
      </c>
      <c r="C1327" s="805" t="str">
        <f>IF(B1335="","",INDEX(NXchung!$B$3:$EP$57,MATCH(B1335,NXchung!$B$3:$B$57,0),INDEX($K$12:$N$25,MATCH($B1327,$J$12:$J$25,0),K$11)))</f>
        <v/>
      </c>
      <c r="D1327" s="808" t="str">
        <f>IF(B1335="","",INDEX(NXchung!$B$3:$EP$57,MATCH(B1335,NXchung!$B$3:$B$57,0),INDEX($K$12:$N$25,MATCH($B1327,$J$12:$J$25,0),L$11)))</f>
        <v/>
      </c>
      <c r="E1327" s="805" t="str">
        <f>IF(B1335="","",INDEX(NXchung!$B$3:$EP$57,MATCH(B1335,NXchung!$B$3:$B$57,0),INDEX($K$12:$N$25,MATCH($B1327,$J$12:$J$25,0),M$11)))</f>
        <v/>
      </c>
      <c r="F1327" s="808" t="str">
        <f>IF(B1335="","",INDEX(NXchung!$B$3:$EP$57,MATCH(B1335,NXchung!$B$3:$B$57,0),INDEX($K$12:$N$25,MATCH($B1327,$J$12:$J$25,0),N$11)))</f>
        <v/>
      </c>
      <c r="G1327" s="805"/>
      <c r="I1327" s="64"/>
      <c r="J1327" s="64"/>
    </row>
    <row r="1328" spans="1:10" ht="45.9" customHeight="1">
      <c r="A1328" s="803" t="s">
        <v>202</v>
      </c>
      <c r="B1328" s="813" t="s">
        <v>35</v>
      </c>
      <c r="C1328" s="805" t="str">
        <f>IF(B1335="","",INDEX(NXchung!$B$3:$EP$57,MATCH(B1335,NXchung!$B$3:$B$57,0),INDEX($K$12:$N$25,MATCH($B1328,$J$12:$J$25,0),K$11)))</f>
        <v/>
      </c>
      <c r="D1328" s="808" t="str">
        <f>IF(B1335="","",INDEX(NXchung!$B$3:$EP$57,MATCH(B1335,NXchung!$B$3:$B$57,0),INDEX($K$12:$N$25,MATCH($B1328,$J$12:$J$25,0),L$11)))</f>
        <v/>
      </c>
      <c r="E1328" s="805" t="str">
        <f>IF(B1335="","",INDEX(NXchung!$B$3:$EP$57,MATCH(B1335,NXchung!$B$3:$B$57,0),INDEX($K$12:$N$25,MATCH($B1328,$J$12:$J$25,0),M$11)))</f>
        <v/>
      </c>
      <c r="F1328" s="808" t="str">
        <f>IF(B1335="","",INDEX(NXchung!$B$3:$EP$57,MATCH(B1335,NXchung!$B$3:$B$57,0),INDEX($K$12:$N$25,MATCH($B1328,$J$12:$J$25,0),N$11)))</f>
        <v/>
      </c>
      <c r="G1328" s="805"/>
      <c r="I1328" s="64"/>
      <c r="J1328" s="64"/>
    </row>
    <row r="1329" spans="1:10" ht="45.9" customHeight="1">
      <c r="A1329" s="803" t="s">
        <v>203</v>
      </c>
      <c r="B1329" s="813" t="s">
        <v>121</v>
      </c>
      <c r="C1329" s="805" t="str">
        <f>IF(B1335="","",INDEX(NXchung!$B$3:$EP$57,MATCH(B1335,NXchung!$B$3:$B$57,0),INDEX($K$12:$N$25,MATCH($B1329,$J$12:$J$25,0),K$11)))</f>
        <v/>
      </c>
      <c r="D1329" s="808" t="str">
        <f>IF(B1335="","",INDEX(NXchung!$B$3:$EP$57,MATCH(B1335,NXchung!$B$3:$B$57,0),INDEX($K$12:$N$25,MATCH($B1329,$J$12:$J$25,0),L$11)))</f>
        <v/>
      </c>
      <c r="E1329" s="805" t="str">
        <f>IF(B1335="","",INDEX(NXchung!$B$3:$EP$57,MATCH(B1335,NXchung!$B$3:$B$57,0),INDEX($K$12:$N$25,MATCH($B1329,$J$12:$J$25,0),M$11)))</f>
        <v/>
      </c>
      <c r="F1329" s="808" t="str">
        <f>IF(B1335="","",INDEX(NXchung!$B$3:$EP$57,MATCH(B1335,NXchung!$B$3:$B$57,0),INDEX($K$12:$N$25,MATCH($B1329,$J$12:$J$25,0),N$11)))</f>
        <v/>
      </c>
      <c r="G1329" s="805"/>
      <c r="I1329" s="64"/>
      <c r="J1329" s="64"/>
    </row>
    <row r="1330" spans="1:10" ht="45.9" customHeight="1">
      <c r="A1330" s="803" t="s">
        <v>204</v>
      </c>
      <c r="B1330" s="813" t="s">
        <v>122</v>
      </c>
      <c r="C1330" s="805" t="str">
        <f>IF(B1335="","",INDEX(NXchung!$B$3:$EP$57,MATCH(B1335,NXchung!$B$3:$B$57,0),INDEX($K$12:$N$25,MATCH($B1330,$J$12:$J$25,0),K$11)))</f>
        <v/>
      </c>
      <c r="D1330" s="808" t="str">
        <f>IF(B1335="","",INDEX(NXchung!$B$3:$EP$57,MATCH(B1335,NXchung!$B$3:$B$57,0),INDEX($K$12:$N$25,MATCH($B1330,$J$12:$J$25,0),L$11)))</f>
        <v/>
      </c>
      <c r="E1330" s="805" t="str">
        <f>IF(B1335="","",INDEX(NXchung!$B$3:$EP$57,MATCH(B1335,NXchung!$B$3:$B$57,0),INDEX($K$12:$N$25,MATCH($B1330,$J$12:$J$25,0),M$11)))</f>
        <v/>
      </c>
      <c r="F1330" s="808" t="str">
        <f>IF(B1335="","",INDEX(NXchung!$B$3:$EP$57,MATCH(B1335,NXchung!$B$3:$B$57,0),INDEX($K$12:$N$25,MATCH($B1330,$J$12:$J$25,0),N$11)))</f>
        <v/>
      </c>
      <c r="G1330" s="805"/>
      <c r="I1330" s="64"/>
      <c r="J1330" s="64"/>
    </row>
    <row r="1331" spans="1:10" s="60" customFormat="1" ht="6" customHeight="1">
      <c r="A1331" s="67"/>
      <c r="B1331" s="67"/>
      <c r="C1331" s="475"/>
      <c r="D1331" s="475"/>
      <c r="E1331" s="67"/>
      <c r="F1331" s="67"/>
      <c r="G1331" s="67"/>
    </row>
    <row r="1332" spans="1:10" ht="17.25" customHeight="1">
      <c r="D1332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332" s="1163"/>
      <c r="F1332" s="1163"/>
      <c r="G1332" s="1163"/>
      <c r="H1332" s="814"/>
    </row>
    <row r="1333" spans="1:10" ht="16.5" customHeight="1">
      <c r="D1333" s="992" t="s">
        <v>377</v>
      </c>
      <c r="E1333" s="992"/>
      <c r="F1333" s="992"/>
      <c r="G1333" s="992"/>
      <c r="H1333" s="814"/>
    </row>
    <row r="1334" spans="1:10" ht="81.75" customHeight="1">
      <c r="D1334" s="931" t="str">
        <f>IF('Huong dan'!$E$5="","",'Huong dan'!$E$5)</f>
        <v/>
      </c>
      <c r="E1334" s="931"/>
      <c r="F1334" s="931"/>
      <c r="G1334" s="931"/>
      <c r="H1334" s="814"/>
    </row>
    <row r="1335" spans="1:10" ht="11.25" customHeight="1">
      <c r="A1335" s="75"/>
      <c r="B1335" s="815" t="str">
        <f>IF(B1306="","",IF(B1306&lt;MAX(DiemHKII!$B$4:$B$58),B1306+1,""))</f>
        <v/>
      </c>
      <c r="C1335" s="75"/>
      <c r="D1335" s="75"/>
      <c r="E1335" s="75"/>
      <c r="F1335" s="75"/>
      <c r="G1335" s="75"/>
    </row>
    <row r="1336" spans="1:10" s="60" customFormat="1" ht="21" customHeight="1">
      <c r="A1336" s="1128" t="str">
        <f>IF('Huong dan'!$E$3&lt;&gt;"","SỞ GIÁO DỤC VÀ ĐÀO TẠO "&amp;UPPER('Huong dan'!$E$3),"")</f>
        <v>SỞ GIÁO DỤC VÀ ĐÀO TẠO TP. HỒ CHÍ MINH</v>
      </c>
      <c r="B1336" s="1128"/>
      <c r="C1336" s="1128"/>
      <c r="D1336" s="1128"/>
      <c r="E1336" s="1129" t="s">
        <v>19</v>
      </c>
      <c r="F1336" s="1129"/>
      <c r="G1336" s="1129"/>
    </row>
    <row r="1337" spans="1:10" ht="17.25" customHeight="1">
      <c r="A1337" s="992" t="str">
        <f>IF('Huong dan'!$E$4&lt;&gt;"","TRƯỜNG "&amp;UPPER('Huong dan'!$E$4),"")</f>
        <v>TRƯỜNG THCS VÀ THPT NGUYỄN KHUYẾN</v>
      </c>
      <c r="B1337" s="992"/>
      <c r="C1337" s="992"/>
      <c r="D1337" s="992"/>
      <c r="E1337" s="1130" t="s">
        <v>179</v>
      </c>
      <c r="F1337" s="1130"/>
      <c r="G1337" s="1130"/>
    </row>
    <row r="1338" spans="1:10" ht="15" customHeight="1">
      <c r="A1338" s="69"/>
      <c r="B1338" s="69"/>
      <c r="C1338" s="30"/>
    </row>
    <row r="1339" spans="1:10" ht="27.75" customHeight="1">
      <c r="A1339" s="1013" t="s">
        <v>567</v>
      </c>
      <c r="B1339" s="1013"/>
      <c r="C1339" s="1013"/>
      <c r="D1339" s="1013"/>
      <c r="E1339" s="1013"/>
      <c r="F1339" s="1013"/>
      <c r="G1339" s="1013"/>
    </row>
    <row r="1340" spans="1:10" ht="24" customHeight="1">
      <c r="A1340" s="1013" t="str">
        <f>"HỌC KỲ II VÀ CẢ NĂM - NĂM HỌC "&amp;'Huong dan'!$C$5</f>
        <v>HỌC KỲ II VÀ CẢ NĂM - NĂM HỌC 2021 - 2022</v>
      </c>
      <c r="B1340" s="1013"/>
      <c r="C1340" s="1013"/>
      <c r="D1340" s="1013"/>
      <c r="E1340" s="1013"/>
      <c r="F1340" s="1013"/>
      <c r="G1340" s="1013"/>
    </row>
    <row r="1341" spans="1:10" ht="9" customHeight="1">
      <c r="A1341" s="70"/>
      <c r="B1341" s="66"/>
      <c r="C1341" s="66"/>
      <c r="D1341" s="66"/>
      <c r="E1341" s="66"/>
      <c r="F1341" s="66"/>
      <c r="G1341" s="66"/>
    </row>
    <row r="1342" spans="1:10" ht="18.75" customHeight="1">
      <c r="A1342" s="1167" t="s">
        <v>212</v>
      </c>
      <c r="B1342" s="1167"/>
      <c r="C1342" s="1167"/>
      <c r="D1342" s="1167" t="str">
        <f>IF(B1364="","",INDEX(NXchung!$B$3:$EP$57,MATCH(B1364,NXchung!$B$3:$B$57,0),3)&amp;" "&amp;INDEX(NXchung!$B$3:$EP$57,MATCH(B1364,NXchung!$B$3:$B$57,0),4))</f>
        <v/>
      </c>
      <c r="E1342" s="1167"/>
      <c r="F1342" s="77" t="str">
        <f>IF('Huong dan'!$C$3="","","Lớp: "&amp;'Huong dan'!$C$3)</f>
        <v>Lớp: 12A1</v>
      </c>
      <c r="G1342" s="71"/>
    </row>
    <row r="1343" spans="1:10" ht="18.75" customHeight="1">
      <c r="A1343" s="1168" t="s">
        <v>213</v>
      </c>
      <c r="B1343" s="1168"/>
      <c r="C1343" s="1168"/>
      <c r="D1343" s="77" t="str">
        <f>INDEX(NXchung!$B$3:$EP$57,MATCH(B1364,NXchung!$B$3:$B$57,0),5)</f>
        <v/>
      </c>
      <c r="F1343" s="841" t="str">
        <f>IF(B1364="","","Nơi sinh: "&amp;INDEX(DiemHKII!$H$4:$H$58,MATCH(B1364,DiemHKII!$B$4:$B$58,0),1))</f>
        <v/>
      </c>
      <c r="G1343" s="77"/>
    </row>
    <row r="1344" spans="1:10" ht="9.75" customHeight="1">
      <c r="A1344" s="62"/>
      <c r="B1344" s="62"/>
      <c r="C1344" s="62"/>
      <c r="D1344" s="62"/>
      <c r="E1344" s="62"/>
      <c r="F1344" s="62"/>
      <c r="G1344" s="63"/>
    </row>
    <row r="1345" spans="1:10" ht="31.5" customHeight="1">
      <c r="A1345" s="801" t="s">
        <v>0</v>
      </c>
      <c r="B1345" s="801" t="s">
        <v>59</v>
      </c>
      <c r="C1345" s="806" t="s">
        <v>661</v>
      </c>
      <c r="D1345" s="801" t="s">
        <v>296</v>
      </c>
      <c r="E1345" s="806" t="s">
        <v>662</v>
      </c>
      <c r="F1345" s="801" t="s">
        <v>361</v>
      </c>
      <c r="G1345" s="802" t="s">
        <v>569</v>
      </c>
    </row>
    <row r="1346" spans="1:10" ht="45.9" customHeight="1">
      <c r="A1346" s="803" t="s">
        <v>191</v>
      </c>
      <c r="B1346" s="813" t="s">
        <v>26</v>
      </c>
      <c r="C1346" s="805" t="str">
        <f>IF(B1364="","",INDEX(NXchung!$B$3:$EP$57,MATCH(B1364,NXchung!$B$3:$B$57,0),INDEX($K$12:$N$25,MATCH($B1346,$J$12:$J$25,0),K$11)))</f>
        <v/>
      </c>
      <c r="D1346" s="808" t="str">
        <f>IF(B1364="","",INDEX(NXchung!$B$3:$EP$57,MATCH(B1364,NXchung!$B$3:$B$57,0),INDEX($K$12:$N$25,MATCH($B1346,$J$12:$J$25,0),L$11)))</f>
        <v/>
      </c>
      <c r="E1346" s="805" t="str">
        <f>IF(B1364="","",INDEX(NXchung!$B$3:$EP$57,MATCH(B1364,NXchung!$B$3:$B$57,0),INDEX($K$12:$N$25,MATCH($B1346,$J$12:$J$25,0),M$11)))</f>
        <v/>
      </c>
      <c r="F1346" s="808" t="str">
        <f>IF(B1364="","",INDEX(NXchung!$B$3:$EP$57,MATCH(B1364,NXchung!$B$3:$B$57,0),INDEX($K$12:$N$25,MATCH($B1346,$J$12:$J$25,0),N$11)))</f>
        <v/>
      </c>
      <c r="G1346" s="805"/>
      <c r="I1346" s="64"/>
      <c r="J1346" s="64"/>
    </row>
    <row r="1347" spans="1:10" ht="45.9" customHeight="1">
      <c r="A1347" s="803" t="s">
        <v>192</v>
      </c>
      <c r="B1347" s="813" t="s">
        <v>27</v>
      </c>
      <c r="C1347" s="805" t="str">
        <f>IF(B1364="","",INDEX(NXchung!$B$3:$EP$57,MATCH(B1364,NXchung!$B$3:$B$57,0),INDEX($K$12:$N$25,MATCH($B1347,$J$12:$J$25,0),K$11)))</f>
        <v/>
      </c>
      <c r="D1347" s="808" t="str">
        <f>IF(B1364="","",INDEX(NXchung!$B$3:$EP$57,MATCH(B1364,NXchung!$B$3:$B$57,0),INDEX($K$12:$N$25,MATCH($B1347,$J$12:$J$25,0),L$11)))</f>
        <v/>
      </c>
      <c r="E1347" s="805" t="str">
        <f>IF(B1364="","",INDEX(NXchung!$B$3:$EP$57,MATCH(B1364,NXchung!$B$3:$B$57,0),INDEX($K$12:$N$25,MATCH($B1347,$J$12:$J$25,0),M$11)))</f>
        <v/>
      </c>
      <c r="F1347" s="808" t="str">
        <f>IF(B1364="","",INDEX(NXchung!$B$3:$EP$57,MATCH(B1364,NXchung!$B$3:$B$57,0),INDEX($K$12:$N$25,MATCH($B1347,$J$12:$J$25,0),N$11)))</f>
        <v/>
      </c>
      <c r="G1347" s="805"/>
      <c r="I1347" s="64"/>
      <c r="J1347" s="64"/>
    </row>
    <row r="1348" spans="1:10" ht="45.9" customHeight="1">
      <c r="A1348" s="803" t="s">
        <v>193</v>
      </c>
      <c r="B1348" s="813" t="s">
        <v>28</v>
      </c>
      <c r="C1348" s="805" t="str">
        <f>IF(B1364="","",INDEX(NXchung!$B$3:$EP$57,MATCH(B1364,NXchung!$B$3:$B$57,0),INDEX($K$12:$N$25,MATCH($B1348,$J$12:$J$25,0),K$11)))</f>
        <v/>
      </c>
      <c r="D1348" s="808" t="str">
        <f>IF(B1364="","",INDEX(NXchung!$B$3:$EP$57,MATCH(B1364,NXchung!$B$3:$B$57,0),INDEX($K$12:$N$25,MATCH($B1348,$J$12:$J$25,0),L$11)))</f>
        <v/>
      </c>
      <c r="E1348" s="805" t="str">
        <f>IF(B1364="","",INDEX(NXchung!$B$3:$EP$57,MATCH(B1364,NXchung!$B$3:$B$57,0),INDEX($K$12:$N$25,MATCH($B1348,$J$12:$J$25,0),M$11)))</f>
        <v/>
      </c>
      <c r="F1348" s="808" t="str">
        <f>IF(B1364="","",INDEX(NXchung!$B$3:$EP$57,MATCH(B1364,NXchung!$B$3:$B$57,0),INDEX($K$12:$N$25,MATCH($B1348,$J$12:$J$25,0),N$11)))</f>
        <v/>
      </c>
      <c r="G1348" s="805"/>
      <c r="I1348" s="64"/>
      <c r="J1348" s="64"/>
    </row>
    <row r="1349" spans="1:10" ht="45.9" customHeight="1">
      <c r="A1349" s="803" t="s">
        <v>194</v>
      </c>
      <c r="B1349" s="813" t="s">
        <v>29</v>
      </c>
      <c r="C1349" s="805" t="str">
        <f>IF(B1364="","",INDEX(NXchung!$B$3:$EP$57,MATCH(B1364,NXchung!$B$3:$B$57,0),INDEX($K$12:$N$25,MATCH($B1349,$J$12:$J$25,0),K$11)))</f>
        <v/>
      </c>
      <c r="D1349" s="808" t="str">
        <f>IF(B1364="","",INDEX(NXchung!$B$3:$EP$57,MATCH(B1364,NXchung!$B$3:$B$57,0),INDEX($K$12:$N$25,MATCH($B1349,$J$12:$J$25,0),L$11)))</f>
        <v/>
      </c>
      <c r="E1349" s="805" t="str">
        <f>IF(B1364="","",INDEX(NXchung!$B$3:$EP$57,MATCH(B1364,NXchung!$B$3:$B$57,0),INDEX($K$12:$N$25,MATCH($B1349,$J$12:$J$25,0),M$11)))</f>
        <v/>
      </c>
      <c r="F1349" s="808" t="str">
        <f>IF(B1364="","",INDEX(NXchung!$B$3:$EP$57,MATCH(B1364,NXchung!$B$3:$B$57,0),INDEX($K$12:$N$25,MATCH($B1349,$J$12:$J$25,0),N$11)))</f>
        <v/>
      </c>
      <c r="G1349" s="805"/>
      <c r="I1349" s="64"/>
      <c r="J1349" s="64"/>
    </row>
    <row r="1350" spans="1:10" ht="45.9" customHeight="1">
      <c r="A1350" s="803" t="s">
        <v>195</v>
      </c>
      <c r="B1350" s="813" t="s">
        <v>120</v>
      </c>
      <c r="C1350" s="805" t="str">
        <f>IF(B1364="","",INDEX(NXchung!$B$3:$EP$57,MATCH(B1364,NXchung!$B$3:$B$57,0),INDEX($K$12:$N$25,MATCH($B1350,$J$12:$J$25,0),K$11)))</f>
        <v/>
      </c>
      <c r="D1350" s="808" t="str">
        <f>IF(B1364="","",INDEX(NXchung!$B$3:$EP$57,MATCH(B1364,NXchung!$B$3:$B$57,0),INDEX($K$12:$N$25,MATCH($B1350,$J$12:$J$25,0),L$11)))</f>
        <v/>
      </c>
      <c r="E1350" s="805" t="str">
        <f>IF(B1364="","",INDEX(NXchung!$B$3:$EP$57,MATCH(B1364,NXchung!$B$3:$B$57,0),INDEX($K$12:$N$25,MATCH($B1350,$J$12:$J$25,0),M$11)))</f>
        <v/>
      </c>
      <c r="F1350" s="808" t="str">
        <f>IF(B1364="","",INDEX(NXchung!$B$3:$EP$57,MATCH(B1364,NXchung!$B$3:$B$57,0),INDEX($K$12:$N$25,MATCH($B1350,$J$12:$J$25,0),N$11)))</f>
        <v/>
      </c>
      <c r="G1350" s="805"/>
      <c r="I1350" s="64"/>
      <c r="J1350" s="64"/>
    </row>
    <row r="1351" spans="1:10" ht="45.9" customHeight="1">
      <c r="A1351" s="803" t="s">
        <v>196</v>
      </c>
      <c r="B1351" s="813" t="s">
        <v>30</v>
      </c>
      <c r="C1351" s="805" t="str">
        <f>IF(B1364="","",INDEX(NXchung!$B$3:$EP$57,MATCH(B1364,NXchung!$B$3:$B$57,0),INDEX($K$12:$N$25,MATCH($B1351,$J$12:$J$25,0),K$11)))</f>
        <v/>
      </c>
      <c r="D1351" s="808" t="str">
        <f>IF(B1364="","",INDEX(NXchung!$B$3:$EP$57,MATCH(B1364,NXchung!$B$3:$B$57,0),INDEX($K$12:$N$25,MATCH($B1351,$J$12:$J$25,0),L$11)))</f>
        <v/>
      </c>
      <c r="E1351" s="805" t="str">
        <f>IF(B1364="","",INDEX(NXchung!$B$3:$EP$57,MATCH(B1364,NXchung!$B$3:$B$57,0),INDEX($K$12:$N$25,MATCH($B1351,$J$12:$J$25,0),M$11)))</f>
        <v/>
      </c>
      <c r="F1351" s="808" t="str">
        <f>IF(B1364="","",INDEX(NXchung!$B$3:$EP$57,MATCH(B1364,NXchung!$B$3:$B$57,0),INDEX($K$12:$N$25,MATCH($B1351,$J$12:$J$25,0),N$11)))</f>
        <v/>
      </c>
      <c r="G1351" s="805"/>
      <c r="I1351" s="64"/>
      <c r="J1351" s="64"/>
    </row>
    <row r="1352" spans="1:10" ht="45.9" customHeight="1">
      <c r="A1352" s="803" t="s">
        <v>197</v>
      </c>
      <c r="B1352" s="813" t="s">
        <v>31</v>
      </c>
      <c r="C1352" s="805" t="str">
        <f>IF(B1364="","",INDEX(NXchung!$B$3:$EP$57,MATCH(B1364,NXchung!$B$3:$B$57,0),INDEX($K$12:$N$25,MATCH($B1352,$J$12:$J$25,0),K$11)))</f>
        <v/>
      </c>
      <c r="D1352" s="808" t="str">
        <f>IF(B1364="","",INDEX(NXchung!$B$3:$EP$57,MATCH(B1364,NXchung!$B$3:$B$57,0),INDEX($K$12:$N$25,MATCH($B1352,$J$12:$J$25,0),L$11)))</f>
        <v/>
      </c>
      <c r="E1352" s="805" t="str">
        <f>IF(B1364="","",INDEX(NXchung!$B$3:$EP$57,MATCH(B1364,NXchung!$B$3:$B$57,0),INDEX($K$12:$N$25,MATCH($B1352,$J$12:$J$25,0),M$11)))</f>
        <v/>
      </c>
      <c r="F1352" s="808" t="str">
        <f>IF(B1364="","",INDEX(NXchung!$B$3:$EP$57,MATCH(B1364,NXchung!$B$3:$B$57,0),INDEX($K$12:$N$25,MATCH($B1352,$J$12:$J$25,0),N$11)))</f>
        <v/>
      </c>
      <c r="G1352" s="805"/>
      <c r="I1352" s="64"/>
      <c r="J1352" s="64"/>
    </row>
    <row r="1353" spans="1:10" ht="45.9" customHeight="1">
      <c r="A1353" s="803" t="s">
        <v>198</v>
      </c>
      <c r="B1353" s="813" t="s">
        <v>32</v>
      </c>
      <c r="C1353" s="805" t="str">
        <f>IF(B1364="","",INDEX(NXchung!$B$3:$EP$57,MATCH(B1364,NXchung!$B$3:$B$57,0),INDEX($K$12:$N$25,MATCH($B1353,$J$12:$J$25,0),K$11)))</f>
        <v/>
      </c>
      <c r="D1353" s="808" t="str">
        <f>IF(B1364="","",INDEX(NXchung!$B$3:$EP$57,MATCH(B1364,NXchung!$B$3:$B$57,0),INDEX($K$12:$N$25,MATCH($B1353,$J$12:$J$25,0),L$11)))</f>
        <v/>
      </c>
      <c r="E1353" s="805" t="str">
        <f>IF(B1364="","",INDEX(NXchung!$B$3:$EP$57,MATCH(B1364,NXchung!$B$3:$B$57,0),INDEX($K$12:$N$25,MATCH($B1353,$J$12:$J$25,0),M$11)))</f>
        <v/>
      </c>
      <c r="F1353" s="808" t="str">
        <f>IF(B1364="","",INDEX(NXchung!$B$3:$EP$57,MATCH(B1364,NXchung!$B$3:$B$57,0),INDEX($K$12:$N$25,MATCH($B1353,$J$12:$J$25,0),N$11)))</f>
        <v/>
      </c>
      <c r="G1353" s="805"/>
      <c r="I1353" s="64"/>
      <c r="J1353" s="64"/>
    </row>
    <row r="1354" spans="1:10" ht="45.9" customHeight="1">
      <c r="A1354" s="803" t="s">
        <v>199</v>
      </c>
      <c r="B1354" s="813" t="s">
        <v>33</v>
      </c>
      <c r="C1354" s="805" t="str">
        <f>IF(B1364="","",INDEX(NXchung!$B$3:$EP$57,MATCH(B1364,NXchung!$B$3:$B$57,0),INDEX($K$12:$N$25,MATCH($B1354,$J$12:$J$25,0),K$11)))</f>
        <v/>
      </c>
      <c r="D1354" s="808" t="str">
        <f>IF(B1364="","",INDEX(NXchung!$B$3:$EP$57,MATCH(B1364,NXchung!$B$3:$B$57,0),INDEX($K$12:$N$25,MATCH($B1354,$J$12:$J$25,0),L$11)))</f>
        <v/>
      </c>
      <c r="E1354" s="805" t="str">
        <f>IF(B1364="","",INDEX(NXchung!$B$3:$EP$57,MATCH(B1364,NXchung!$B$3:$B$57,0),INDEX($K$12:$N$25,MATCH($B1354,$J$12:$J$25,0),M$11)))</f>
        <v/>
      </c>
      <c r="F1354" s="808" t="str">
        <f>IF(B1364="","",INDEX(NXchung!$B$3:$EP$57,MATCH(B1364,NXchung!$B$3:$B$57,0),INDEX($K$12:$N$25,MATCH($B1354,$J$12:$J$25,0),N$11)))</f>
        <v/>
      </c>
      <c r="G1354" s="805"/>
      <c r="I1354" s="64"/>
      <c r="J1354" s="64"/>
    </row>
    <row r="1355" spans="1:10" ht="45.9" customHeight="1">
      <c r="A1355" s="803" t="s">
        <v>200</v>
      </c>
      <c r="B1355" s="813" t="s">
        <v>60</v>
      </c>
      <c r="C1355" s="805" t="str">
        <f>IF(B1364="","",INDEX(NXchung!$B$3:$EP$57,MATCH(B1364,NXchung!$B$3:$B$57,0),INDEX($K$12:$N$25,MATCH($B1355,$J$12:$J$25,0),K$11)))</f>
        <v/>
      </c>
      <c r="D1355" s="808" t="str">
        <f>IF(B1364="","",INDEX(NXchung!$B$3:$EP$57,MATCH(B1364,NXchung!$B$3:$B$57,0),INDEX($K$12:$N$25,MATCH($B1355,$J$12:$J$25,0),L$11)))</f>
        <v/>
      </c>
      <c r="E1355" s="805" t="str">
        <f>IF(B1364="","",INDEX(NXchung!$B$3:$EP$57,MATCH(B1364,NXchung!$B$3:$B$57,0),INDEX($K$12:$N$25,MATCH($B1355,$J$12:$J$25,0),M$11)))</f>
        <v/>
      </c>
      <c r="F1355" s="808" t="str">
        <f>IF(B1364="","",INDEX(NXchung!$B$3:$EP$57,MATCH(B1364,NXchung!$B$3:$B$57,0),INDEX($K$12:$N$25,MATCH($B1355,$J$12:$J$25,0),N$11)))</f>
        <v/>
      </c>
      <c r="G1355" s="805"/>
      <c r="I1355" s="64"/>
      <c r="J1355" s="64"/>
    </row>
    <row r="1356" spans="1:10" ht="45.9" customHeight="1">
      <c r="A1356" s="803" t="s">
        <v>201</v>
      </c>
      <c r="B1356" s="813" t="s">
        <v>34</v>
      </c>
      <c r="C1356" s="805" t="str">
        <f>IF(B1364="","",INDEX(NXchung!$B$3:$EP$57,MATCH(B1364,NXchung!$B$3:$B$57,0),INDEX($K$12:$N$25,MATCH($B1356,$J$12:$J$25,0),K$11)))</f>
        <v/>
      </c>
      <c r="D1356" s="808" t="str">
        <f>IF(B1364="","",INDEX(NXchung!$B$3:$EP$57,MATCH(B1364,NXchung!$B$3:$B$57,0),INDEX($K$12:$N$25,MATCH($B1356,$J$12:$J$25,0),L$11)))</f>
        <v/>
      </c>
      <c r="E1356" s="805" t="str">
        <f>IF(B1364="","",INDEX(NXchung!$B$3:$EP$57,MATCH(B1364,NXchung!$B$3:$B$57,0),INDEX($K$12:$N$25,MATCH($B1356,$J$12:$J$25,0),M$11)))</f>
        <v/>
      </c>
      <c r="F1356" s="808" t="str">
        <f>IF(B1364="","",INDEX(NXchung!$B$3:$EP$57,MATCH(B1364,NXchung!$B$3:$B$57,0),INDEX($K$12:$N$25,MATCH($B1356,$J$12:$J$25,0),N$11)))</f>
        <v/>
      </c>
      <c r="G1356" s="805"/>
      <c r="I1356" s="64"/>
      <c r="J1356" s="64"/>
    </row>
    <row r="1357" spans="1:10" ht="45.9" customHeight="1">
      <c r="A1357" s="803" t="s">
        <v>202</v>
      </c>
      <c r="B1357" s="813" t="s">
        <v>35</v>
      </c>
      <c r="C1357" s="805" t="str">
        <f>IF(B1364="","",INDEX(NXchung!$B$3:$EP$57,MATCH(B1364,NXchung!$B$3:$B$57,0),INDEX($K$12:$N$25,MATCH($B1357,$J$12:$J$25,0),K$11)))</f>
        <v/>
      </c>
      <c r="D1357" s="808" t="str">
        <f>IF(B1364="","",INDEX(NXchung!$B$3:$EP$57,MATCH(B1364,NXchung!$B$3:$B$57,0),INDEX($K$12:$N$25,MATCH($B1357,$J$12:$J$25,0),L$11)))</f>
        <v/>
      </c>
      <c r="E1357" s="805" t="str">
        <f>IF(B1364="","",INDEX(NXchung!$B$3:$EP$57,MATCH(B1364,NXchung!$B$3:$B$57,0),INDEX($K$12:$N$25,MATCH($B1357,$J$12:$J$25,0),M$11)))</f>
        <v/>
      </c>
      <c r="F1357" s="808" t="str">
        <f>IF(B1364="","",INDEX(NXchung!$B$3:$EP$57,MATCH(B1364,NXchung!$B$3:$B$57,0),INDEX($K$12:$N$25,MATCH($B1357,$J$12:$J$25,0),N$11)))</f>
        <v/>
      </c>
      <c r="G1357" s="805"/>
      <c r="I1357" s="64"/>
      <c r="J1357" s="64"/>
    </row>
    <row r="1358" spans="1:10" ht="45.9" customHeight="1">
      <c r="A1358" s="803" t="s">
        <v>203</v>
      </c>
      <c r="B1358" s="813" t="s">
        <v>121</v>
      </c>
      <c r="C1358" s="805" t="str">
        <f>IF(B1364="","",INDEX(NXchung!$B$3:$EP$57,MATCH(B1364,NXchung!$B$3:$B$57,0),INDEX($K$12:$N$25,MATCH($B1358,$J$12:$J$25,0),K$11)))</f>
        <v/>
      </c>
      <c r="D1358" s="808" t="str">
        <f>IF(B1364="","",INDEX(NXchung!$B$3:$EP$57,MATCH(B1364,NXchung!$B$3:$B$57,0),INDEX($K$12:$N$25,MATCH($B1358,$J$12:$J$25,0),L$11)))</f>
        <v/>
      </c>
      <c r="E1358" s="805" t="str">
        <f>IF(B1364="","",INDEX(NXchung!$B$3:$EP$57,MATCH(B1364,NXchung!$B$3:$B$57,0),INDEX($K$12:$N$25,MATCH($B1358,$J$12:$J$25,0),M$11)))</f>
        <v/>
      </c>
      <c r="F1358" s="808" t="str">
        <f>IF(B1364="","",INDEX(NXchung!$B$3:$EP$57,MATCH(B1364,NXchung!$B$3:$B$57,0),INDEX($K$12:$N$25,MATCH($B1358,$J$12:$J$25,0),N$11)))</f>
        <v/>
      </c>
      <c r="G1358" s="805"/>
      <c r="I1358" s="64"/>
      <c r="J1358" s="64"/>
    </row>
    <row r="1359" spans="1:10" ht="45.9" customHeight="1">
      <c r="A1359" s="803" t="s">
        <v>204</v>
      </c>
      <c r="B1359" s="813" t="s">
        <v>122</v>
      </c>
      <c r="C1359" s="805" t="str">
        <f>IF(B1364="","",INDEX(NXchung!$B$3:$EP$57,MATCH(B1364,NXchung!$B$3:$B$57,0),INDEX($K$12:$N$25,MATCH($B1359,$J$12:$J$25,0),K$11)))</f>
        <v/>
      </c>
      <c r="D1359" s="808" t="str">
        <f>IF(B1364="","",INDEX(NXchung!$B$3:$EP$57,MATCH(B1364,NXchung!$B$3:$B$57,0),INDEX($K$12:$N$25,MATCH($B1359,$J$12:$J$25,0),L$11)))</f>
        <v/>
      </c>
      <c r="E1359" s="805" t="str">
        <f>IF(B1364="","",INDEX(NXchung!$B$3:$EP$57,MATCH(B1364,NXchung!$B$3:$B$57,0),INDEX($K$12:$N$25,MATCH($B1359,$J$12:$J$25,0),M$11)))</f>
        <v/>
      </c>
      <c r="F1359" s="808" t="str">
        <f>IF(B1364="","",INDEX(NXchung!$B$3:$EP$57,MATCH(B1364,NXchung!$B$3:$B$57,0),INDEX($K$12:$N$25,MATCH($B1359,$J$12:$J$25,0),N$11)))</f>
        <v/>
      </c>
      <c r="G1359" s="805"/>
      <c r="I1359" s="64"/>
      <c r="J1359" s="64"/>
    </row>
    <row r="1360" spans="1:10" s="60" customFormat="1" ht="6" customHeight="1">
      <c r="A1360" s="67"/>
      <c r="B1360" s="67"/>
      <c r="C1360" s="475"/>
      <c r="D1360" s="475"/>
      <c r="E1360" s="67"/>
      <c r="F1360" s="67"/>
      <c r="G1360" s="67"/>
    </row>
    <row r="1361" spans="1:10" ht="17.25" customHeight="1">
      <c r="D1361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361" s="1163"/>
      <c r="F1361" s="1163"/>
      <c r="G1361" s="1163"/>
      <c r="H1361" s="814"/>
    </row>
    <row r="1362" spans="1:10" ht="16.5" customHeight="1">
      <c r="D1362" s="992" t="s">
        <v>377</v>
      </c>
      <c r="E1362" s="992"/>
      <c r="F1362" s="992"/>
      <c r="G1362" s="992"/>
      <c r="H1362" s="814"/>
    </row>
    <row r="1363" spans="1:10" ht="81.75" customHeight="1">
      <c r="D1363" s="931" t="str">
        <f>IF('Huong dan'!$E$5="","",'Huong dan'!$E$5)</f>
        <v/>
      </c>
      <c r="E1363" s="931"/>
      <c r="F1363" s="931"/>
      <c r="G1363" s="931"/>
      <c r="H1363" s="814"/>
    </row>
    <row r="1364" spans="1:10" ht="11.25" customHeight="1">
      <c r="A1364" s="75"/>
      <c r="B1364" s="815" t="str">
        <f>IF(B1335="","",IF(B1335&lt;MAX(DiemHKII!$B$4:$B$58),B1335+1,""))</f>
        <v/>
      </c>
      <c r="C1364" s="75"/>
      <c r="D1364" s="75"/>
      <c r="E1364" s="75"/>
      <c r="F1364" s="75"/>
      <c r="G1364" s="75"/>
    </row>
    <row r="1365" spans="1:10" s="60" customFormat="1" ht="21" customHeight="1">
      <c r="A1365" s="1128" t="str">
        <f>IF('Huong dan'!$E$3&lt;&gt;"","SỞ GIÁO DỤC VÀ ĐÀO TẠO "&amp;UPPER('Huong dan'!$E$3),"")</f>
        <v>SỞ GIÁO DỤC VÀ ĐÀO TẠO TP. HỒ CHÍ MINH</v>
      </c>
      <c r="B1365" s="1128"/>
      <c r="C1365" s="1128"/>
      <c r="D1365" s="1128"/>
      <c r="E1365" s="1129" t="s">
        <v>19</v>
      </c>
      <c r="F1365" s="1129"/>
      <c r="G1365" s="1129"/>
    </row>
    <row r="1366" spans="1:10" ht="17.25" customHeight="1">
      <c r="A1366" s="992" t="str">
        <f>IF('Huong dan'!$E$4&lt;&gt;"","TRƯỜNG "&amp;UPPER('Huong dan'!$E$4),"")</f>
        <v>TRƯỜNG THCS VÀ THPT NGUYỄN KHUYẾN</v>
      </c>
      <c r="B1366" s="992"/>
      <c r="C1366" s="992"/>
      <c r="D1366" s="992"/>
      <c r="E1366" s="1130" t="s">
        <v>179</v>
      </c>
      <c r="F1366" s="1130"/>
      <c r="G1366" s="1130"/>
    </row>
    <row r="1367" spans="1:10" ht="15" customHeight="1">
      <c r="A1367" s="69"/>
      <c r="B1367" s="69"/>
      <c r="C1367" s="30"/>
    </row>
    <row r="1368" spans="1:10" ht="27.75" customHeight="1">
      <c r="A1368" s="1013" t="s">
        <v>567</v>
      </c>
      <c r="B1368" s="1013"/>
      <c r="C1368" s="1013"/>
      <c r="D1368" s="1013"/>
      <c r="E1368" s="1013"/>
      <c r="F1368" s="1013"/>
      <c r="G1368" s="1013"/>
    </row>
    <row r="1369" spans="1:10" ht="24" customHeight="1">
      <c r="A1369" s="1013" t="str">
        <f>"HỌC KỲ II VÀ CẢ NĂM - NĂM HỌC "&amp;'Huong dan'!$C$5</f>
        <v>HỌC KỲ II VÀ CẢ NĂM - NĂM HỌC 2021 - 2022</v>
      </c>
      <c r="B1369" s="1013"/>
      <c r="C1369" s="1013"/>
      <c r="D1369" s="1013"/>
      <c r="E1369" s="1013"/>
      <c r="F1369" s="1013"/>
      <c r="G1369" s="1013"/>
    </row>
    <row r="1370" spans="1:10" ht="9" customHeight="1">
      <c r="A1370" s="70"/>
      <c r="B1370" s="66"/>
      <c r="C1370" s="66"/>
      <c r="D1370" s="66"/>
      <c r="E1370" s="66"/>
      <c r="F1370" s="66"/>
      <c r="G1370" s="66"/>
    </row>
    <row r="1371" spans="1:10" ht="18.75" customHeight="1">
      <c r="A1371" s="1167" t="s">
        <v>212</v>
      </c>
      <c r="B1371" s="1167"/>
      <c r="C1371" s="1167"/>
      <c r="D1371" s="1167" t="str">
        <f>IF(B1393="","",INDEX(NXchung!$B$3:$EP$57,MATCH(B1393,NXchung!$B$3:$B$57,0),3)&amp;" "&amp;INDEX(NXchung!$B$3:$EP$57,MATCH(B1393,NXchung!$B$3:$B$57,0),4))</f>
        <v/>
      </c>
      <c r="E1371" s="1167"/>
      <c r="F1371" s="77" t="str">
        <f>IF('Huong dan'!$C$3="","","Lớp: "&amp;'Huong dan'!$C$3)</f>
        <v>Lớp: 12A1</v>
      </c>
      <c r="G1371" s="71"/>
    </row>
    <row r="1372" spans="1:10" ht="18.75" customHeight="1">
      <c r="A1372" s="1168" t="s">
        <v>213</v>
      </c>
      <c r="B1372" s="1168"/>
      <c r="C1372" s="1168"/>
      <c r="D1372" s="77" t="str">
        <f>INDEX(NXchung!$B$3:$EP$57,MATCH(B1393,NXchung!$B$3:$B$57,0),5)</f>
        <v/>
      </c>
      <c r="F1372" s="841" t="str">
        <f>IF(B1393="","","Nơi sinh: "&amp;INDEX(DiemHKII!$H$4:$H$58,MATCH(B1393,DiemHKII!$B$4:$B$58,0),1))</f>
        <v/>
      </c>
      <c r="G1372" s="77"/>
    </row>
    <row r="1373" spans="1:10" ht="9.75" customHeight="1">
      <c r="A1373" s="62"/>
      <c r="B1373" s="62"/>
      <c r="C1373" s="62"/>
      <c r="D1373" s="62"/>
      <c r="E1373" s="62"/>
      <c r="F1373" s="62"/>
      <c r="G1373" s="63"/>
    </row>
    <row r="1374" spans="1:10" ht="31.5" customHeight="1">
      <c r="A1374" s="801" t="s">
        <v>0</v>
      </c>
      <c r="B1374" s="801" t="s">
        <v>59</v>
      </c>
      <c r="C1374" s="806" t="s">
        <v>661</v>
      </c>
      <c r="D1374" s="801" t="s">
        <v>296</v>
      </c>
      <c r="E1374" s="806" t="s">
        <v>662</v>
      </c>
      <c r="F1374" s="801" t="s">
        <v>361</v>
      </c>
      <c r="G1374" s="802" t="s">
        <v>569</v>
      </c>
    </row>
    <row r="1375" spans="1:10" ht="45.9" customHeight="1">
      <c r="A1375" s="803" t="s">
        <v>191</v>
      </c>
      <c r="B1375" s="813" t="s">
        <v>26</v>
      </c>
      <c r="C1375" s="805" t="str">
        <f>IF(B1393="","",INDEX(NXchung!$B$3:$EP$57,MATCH(B1393,NXchung!$B$3:$B$57,0),INDEX($K$12:$N$25,MATCH($B1375,$J$12:$J$25,0),K$11)))</f>
        <v/>
      </c>
      <c r="D1375" s="808" t="str">
        <f>IF(B1393="","",INDEX(NXchung!$B$3:$EP$57,MATCH(B1393,NXchung!$B$3:$B$57,0),INDEX($K$12:$N$25,MATCH($B1375,$J$12:$J$25,0),L$11)))</f>
        <v/>
      </c>
      <c r="E1375" s="805" t="str">
        <f>IF(B1393="","",INDEX(NXchung!$B$3:$EP$57,MATCH(B1393,NXchung!$B$3:$B$57,0),INDEX($K$12:$N$25,MATCH($B1375,$J$12:$J$25,0),M$11)))</f>
        <v/>
      </c>
      <c r="F1375" s="808" t="str">
        <f>IF(B1393="","",INDEX(NXchung!$B$3:$EP$57,MATCH(B1393,NXchung!$B$3:$B$57,0),INDEX($K$12:$N$25,MATCH($B1375,$J$12:$J$25,0),N$11)))</f>
        <v/>
      </c>
      <c r="G1375" s="805"/>
      <c r="I1375" s="64"/>
      <c r="J1375" s="64"/>
    </row>
    <row r="1376" spans="1:10" ht="45.9" customHeight="1">
      <c r="A1376" s="803" t="s">
        <v>192</v>
      </c>
      <c r="B1376" s="813" t="s">
        <v>27</v>
      </c>
      <c r="C1376" s="805" t="str">
        <f>IF(B1393="","",INDEX(NXchung!$B$3:$EP$57,MATCH(B1393,NXchung!$B$3:$B$57,0),INDEX($K$12:$N$25,MATCH($B1376,$J$12:$J$25,0),K$11)))</f>
        <v/>
      </c>
      <c r="D1376" s="808" t="str">
        <f>IF(B1393="","",INDEX(NXchung!$B$3:$EP$57,MATCH(B1393,NXchung!$B$3:$B$57,0),INDEX($K$12:$N$25,MATCH($B1376,$J$12:$J$25,0),L$11)))</f>
        <v/>
      </c>
      <c r="E1376" s="805" t="str">
        <f>IF(B1393="","",INDEX(NXchung!$B$3:$EP$57,MATCH(B1393,NXchung!$B$3:$B$57,0),INDEX($K$12:$N$25,MATCH($B1376,$J$12:$J$25,0),M$11)))</f>
        <v/>
      </c>
      <c r="F1376" s="808" t="str">
        <f>IF(B1393="","",INDEX(NXchung!$B$3:$EP$57,MATCH(B1393,NXchung!$B$3:$B$57,0),INDEX($K$12:$N$25,MATCH($B1376,$J$12:$J$25,0),N$11)))</f>
        <v/>
      </c>
      <c r="G1376" s="805"/>
      <c r="I1376" s="64"/>
      <c r="J1376" s="64"/>
    </row>
    <row r="1377" spans="1:10" ht="45.9" customHeight="1">
      <c r="A1377" s="803" t="s">
        <v>193</v>
      </c>
      <c r="B1377" s="813" t="s">
        <v>28</v>
      </c>
      <c r="C1377" s="805" t="str">
        <f>IF(B1393="","",INDEX(NXchung!$B$3:$EP$57,MATCH(B1393,NXchung!$B$3:$B$57,0),INDEX($K$12:$N$25,MATCH($B1377,$J$12:$J$25,0),K$11)))</f>
        <v/>
      </c>
      <c r="D1377" s="808" t="str">
        <f>IF(B1393="","",INDEX(NXchung!$B$3:$EP$57,MATCH(B1393,NXchung!$B$3:$B$57,0),INDEX($K$12:$N$25,MATCH($B1377,$J$12:$J$25,0),L$11)))</f>
        <v/>
      </c>
      <c r="E1377" s="805" t="str">
        <f>IF(B1393="","",INDEX(NXchung!$B$3:$EP$57,MATCH(B1393,NXchung!$B$3:$B$57,0),INDEX($K$12:$N$25,MATCH($B1377,$J$12:$J$25,0),M$11)))</f>
        <v/>
      </c>
      <c r="F1377" s="808" t="str">
        <f>IF(B1393="","",INDEX(NXchung!$B$3:$EP$57,MATCH(B1393,NXchung!$B$3:$B$57,0),INDEX($K$12:$N$25,MATCH($B1377,$J$12:$J$25,0),N$11)))</f>
        <v/>
      </c>
      <c r="G1377" s="805"/>
      <c r="I1377" s="64"/>
      <c r="J1377" s="64"/>
    </row>
    <row r="1378" spans="1:10" ht="45.9" customHeight="1">
      <c r="A1378" s="803" t="s">
        <v>194</v>
      </c>
      <c r="B1378" s="813" t="s">
        <v>29</v>
      </c>
      <c r="C1378" s="805" t="str">
        <f>IF(B1393="","",INDEX(NXchung!$B$3:$EP$57,MATCH(B1393,NXchung!$B$3:$B$57,0),INDEX($K$12:$N$25,MATCH($B1378,$J$12:$J$25,0),K$11)))</f>
        <v/>
      </c>
      <c r="D1378" s="808" t="str">
        <f>IF(B1393="","",INDEX(NXchung!$B$3:$EP$57,MATCH(B1393,NXchung!$B$3:$B$57,0),INDEX($K$12:$N$25,MATCH($B1378,$J$12:$J$25,0),L$11)))</f>
        <v/>
      </c>
      <c r="E1378" s="805" t="str">
        <f>IF(B1393="","",INDEX(NXchung!$B$3:$EP$57,MATCH(B1393,NXchung!$B$3:$B$57,0),INDEX($K$12:$N$25,MATCH($B1378,$J$12:$J$25,0),M$11)))</f>
        <v/>
      </c>
      <c r="F1378" s="808" t="str">
        <f>IF(B1393="","",INDEX(NXchung!$B$3:$EP$57,MATCH(B1393,NXchung!$B$3:$B$57,0),INDEX($K$12:$N$25,MATCH($B1378,$J$12:$J$25,0),N$11)))</f>
        <v/>
      </c>
      <c r="G1378" s="805"/>
      <c r="I1378" s="64"/>
      <c r="J1378" s="64"/>
    </row>
    <row r="1379" spans="1:10" ht="45.9" customHeight="1">
      <c r="A1379" s="803" t="s">
        <v>195</v>
      </c>
      <c r="B1379" s="813" t="s">
        <v>120</v>
      </c>
      <c r="C1379" s="805" t="str">
        <f>IF(B1393="","",INDEX(NXchung!$B$3:$EP$57,MATCH(B1393,NXchung!$B$3:$B$57,0),INDEX($K$12:$N$25,MATCH($B1379,$J$12:$J$25,0),K$11)))</f>
        <v/>
      </c>
      <c r="D1379" s="808" t="str">
        <f>IF(B1393="","",INDEX(NXchung!$B$3:$EP$57,MATCH(B1393,NXchung!$B$3:$B$57,0),INDEX($K$12:$N$25,MATCH($B1379,$J$12:$J$25,0),L$11)))</f>
        <v/>
      </c>
      <c r="E1379" s="805" t="str">
        <f>IF(B1393="","",INDEX(NXchung!$B$3:$EP$57,MATCH(B1393,NXchung!$B$3:$B$57,0),INDEX($K$12:$N$25,MATCH($B1379,$J$12:$J$25,0),M$11)))</f>
        <v/>
      </c>
      <c r="F1379" s="808" t="str">
        <f>IF(B1393="","",INDEX(NXchung!$B$3:$EP$57,MATCH(B1393,NXchung!$B$3:$B$57,0),INDEX($K$12:$N$25,MATCH($B1379,$J$12:$J$25,0),N$11)))</f>
        <v/>
      </c>
      <c r="G1379" s="805"/>
      <c r="I1379" s="64"/>
      <c r="J1379" s="64"/>
    </row>
    <row r="1380" spans="1:10" ht="45.9" customHeight="1">
      <c r="A1380" s="803" t="s">
        <v>196</v>
      </c>
      <c r="B1380" s="813" t="s">
        <v>30</v>
      </c>
      <c r="C1380" s="805" t="str">
        <f>IF(B1393="","",INDEX(NXchung!$B$3:$EP$57,MATCH(B1393,NXchung!$B$3:$B$57,0),INDEX($K$12:$N$25,MATCH($B1380,$J$12:$J$25,0),K$11)))</f>
        <v/>
      </c>
      <c r="D1380" s="808" t="str">
        <f>IF(B1393="","",INDEX(NXchung!$B$3:$EP$57,MATCH(B1393,NXchung!$B$3:$B$57,0),INDEX($K$12:$N$25,MATCH($B1380,$J$12:$J$25,0),L$11)))</f>
        <v/>
      </c>
      <c r="E1380" s="805" t="str">
        <f>IF(B1393="","",INDEX(NXchung!$B$3:$EP$57,MATCH(B1393,NXchung!$B$3:$B$57,0),INDEX($K$12:$N$25,MATCH($B1380,$J$12:$J$25,0),M$11)))</f>
        <v/>
      </c>
      <c r="F1380" s="808" t="str">
        <f>IF(B1393="","",INDEX(NXchung!$B$3:$EP$57,MATCH(B1393,NXchung!$B$3:$B$57,0),INDEX($K$12:$N$25,MATCH($B1380,$J$12:$J$25,0),N$11)))</f>
        <v/>
      </c>
      <c r="G1380" s="805"/>
      <c r="I1380" s="64"/>
      <c r="J1380" s="64"/>
    </row>
    <row r="1381" spans="1:10" ht="45.9" customHeight="1">
      <c r="A1381" s="803" t="s">
        <v>197</v>
      </c>
      <c r="B1381" s="813" t="s">
        <v>31</v>
      </c>
      <c r="C1381" s="805" t="str">
        <f>IF(B1393="","",INDEX(NXchung!$B$3:$EP$57,MATCH(B1393,NXchung!$B$3:$B$57,0),INDEX($K$12:$N$25,MATCH($B1381,$J$12:$J$25,0),K$11)))</f>
        <v/>
      </c>
      <c r="D1381" s="808" t="str">
        <f>IF(B1393="","",INDEX(NXchung!$B$3:$EP$57,MATCH(B1393,NXchung!$B$3:$B$57,0),INDEX($K$12:$N$25,MATCH($B1381,$J$12:$J$25,0),L$11)))</f>
        <v/>
      </c>
      <c r="E1381" s="805" t="str">
        <f>IF(B1393="","",INDEX(NXchung!$B$3:$EP$57,MATCH(B1393,NXchung!$B$3:$B$57,0),INDEX($K$12:$N$25,MATCH($B1381,$J$12:$J$25,0),M$11)))</f>
        <v/>
      </c>
      <c r="F1381" s="808" t="str">
        <f>IF(B1393="","",INDEX(NXchung!$B$3:$EP$57,MATCH(B1393,NXchung!$B$3:$B$57,0),INDEX($K$12:$N$25,MATCH($B1381,$J$12:$J$25,0),N$11)))</f>
        <v/>
      </c>
      <c r="G1381" s="805"/>
      <c r="I1381" s="64"/>
      <c r="J1381" s="64"/>
    </row>
    <row r="1382" spans="1:10" ht="45.9" customHeight="1">
      <c r="A1382" s="803" t="s">
        <v>198</v>
      </c>
      <c r="B1382" s="813" t="s">
        <v>32</v>
      </c>
      <c r="C1382" s="805" t="str">
        <f>IF(B1393="","",INDEX(NXchung!$B$3:$EP$57,MATCH(B1393,NXchung!$B$3:$B$57,0),INDEX($K$12:$N$25,MATCH($B1382,$J$12:$J$25,0),K$11)))</f>
        <v/>
      </c>
      <c r="D1382" s="808" t="str">
        <f>IF(B1393="","",INDEX(NXchung!$B$3:$EP$57,MATCH(B1393,NXchung!$B$3:$B$57,0),INDEX($K$12:$N$25,MATCH($B1382,$J$12:$J$25,0),L$11)))</f>
        <v/>
      </c>
      <c r="E1382" s="805" t="str">
        <f>IF(B1393="","",INDEX(NXchung!$B$3:$EP$57,MATCH(B1393,NXchung!$B$3:$B$57,0),INDEX($K$12:$N$25,MATCH($B1382,$J$12:$J$25,0),M$11)))</f>
        <v/>
      </c>
      <c r="F1382" s="808" t="str">
        <f>IF(B1393="","",INDEX(NXchung!$B$3:$EP$57,MATCH(B1393,NXchung!$B$3:$B$57,0),INDEX($K$12:$N$25,MATCH($B1382,$J$12:$J$25,0),N$11)))</f>
        <v/>
      </c>
      <c r="G1382" s="805"/>
      <c r="I1382" s="64"/>
      <c r="J1382" s="64"/>
    </row>
    <row r="1383" spans="1:10" ht="45.9" customHeight="1">
      <c r="A1383" s="803" t="s">
        <v>199</v>
      </c>
      <c r="B1383" s="813" t="s">
        <v>33</v>
      </c>
      <c r="C1383" s="805" t="str">
        <f>IF(B1393="","",INDEX(NXchung!$B$3:$EP$57,MATCH(B1393,NXchung!$B$3:$B$57,0),INDEX($K$12:$N$25,MATCH($B1383,$J$12:$J$25,0),K$11)))</f>
        <v/>
      </c>
      <c r="D1383" s="808" t="str">
        <f>IF(B1393="","",INDEX(NXchung!$B$3:$EP$57,MATCH(B1393,NXchung!$B$3:$B$57,0),INDEX($K$12:$N$25,MATCH($B1383,$J$12:$J$25,0),L$11)))</f>
        <v/>
      </c>
      <c r="E1383" s="805" t="str">
        <f>IF(B1393="","",INDEX(NXchung!$B$3:$EP$57,MATCH(B1393,NXchung!$B$3:$B$57,0),INDEX($K$12:$N$25,MATCH($B1383,$J$12:$J$25,0),M$11)))</f>
        <v/>
      </c>
      <c r="F1383" s="808" t="str">
        <f>IF(B1393="","",INDEX(NXchung!$B$3:$EP$57,MATCH(B1393,NXchung!$B$3:$B$57,0),INDEX($K$12:$N$25,MATCH($B1383,$J$12:$J$25,0),N$11)))</f>
        <v/>
      </c>
      <c r="G1383" s="805"/>
      <c r="I1383" s="64"/>
      <c r="J1383" s="64"/>
    </row>
    <row r="1384" spans="1:10" ht="45.9" customHeight="1">
      <c r="A1384" s="803" t="s">
        <v>200</v>
      </c>
      <c r="B1384" s="813" t="s">
        <v>60</v>
      </c>
      <c r="C1384" s="805" t="str">
        <f>IF(B1393="","",INDEX(NXchung!$B$3:$EP$57,MATCH(B1393,NXchung!$B$3:$B$57,0),INDEX($K$12:$N$25,MATCH($B1384,$J$12:$J$25,0),K$11)))</f>
        <v/>
      </c>
      <c r="D1384" s="808" t="str">
        <f>IF(B1393="","",INDEX(NXchung!$B$3:$EP$57,MATCH(B1393,NXchung!$B$3:$B$57,0),INDEX($K$12:$N$25,MATCH($B1384,$J$12:$J$25,0),L$11)))</f>
        <v/>
      </c>
      <c r="E1384" s="805" t="str">
        <f>IF(B1393="","",INDEX(NXchung!$B$3:$EP$57,MATCH(B1393,NXchung!$B$3:$B$57,0),INDEX($K$12:$N$25,MATCH($B1384,$J$12:$J$25,0),M$11)))</f>
        <v/>
      </c>
      <c r="F1384" s="808" t="str">
        <f>IF(B1393="","",INDEX(NXchung!$B$3:$EP$57,MATCH(B1393,NXchung!$B$3:$B$57,0),INDEX($K$12:$N$25,MATCH($B1384,$J$12:$J$25,0),N$11)))</f>
        <v/>
      </c>
      <c r="G1384" s="805"/>
      <c r="I1384" s="64"/>
      <c r="J1384" s="64"/>
    </row>
    <row r="1385" spans="1:10" ht="45.9" customHeight="1">
      <c r="A1385" s="803" t="s">
        <v>201</v>
      </c>
      <c r="B1385" s="813" t="s">
        <v>34</v>
      </c>
      <c r="C1385" s="805" t="str">
        <f>IF(B1393="","",INDEX(NXchung!$B$3:$EP$57,MATCH(B1393,NXchung!$B$3:$B$57,0),INDEX($K$12:$N$25,MATCH($B1385,$J$12:$J$25,0),K$11)))</f>
        <v/>
      </c>
      <c r="D1385" s="808" t="str">
        <f>IF(B1393="","",INDEX(NXchung!$B$3:$EP$57,MATCH(B1393,NXchung!$B$3:$B$57,0),INDEX($K$12:$N$25,MATCH($B1385,$J$12:$J$25,0),L$11)))</f>
        <v/>
      </c>
      <c r="E1385" s="805" t="str">
        <f>IF(B1393="","",INDEX(NXchung!$B$3:$EP$57,MATCH(B1393,NXchung!$B$3:$B$57,0),INDEX($K$12:$N$25,MATCH($B1385,$J$12:$J$25,0),M$11)))</f>
        <v/>
      </c>
      <c r="F1385" s="808" t="str">
        <f>IF(B1393="","",INDEX(NXchung!$B$3:$EP$57,MATCH(B1393,NXchung!$B$3:$B$57,0),INDEX($K$12:$N$25,MATCH($B1385,$J$12:$J$25,0),N$11)))</f>
        <v/>
      </c>
      <c r="G1385" s="805"/>
      <c r="I1385" s="64"/>
      <c r="J1385" s="64"/>
    </row>
    <row r="1386" spans="1:10" ht="45.9" customHeight="1">
      <c r="A1386" s="803" t="s">
        <v>202</v>
      </c>
      <c r="B1386" s="813" t="s">
        <v>35</v>
      </c>
      <c r="C1386" s="805" t="str">
        <f>IF(B1393="","",INDEX(NXchung!$B$3:$EP$57,MATCH(B1393,NXchung!$B$3:$B$57,0),INDEX($K$12:$N$25,MATCH($B1386,$J$12:$J$25,0),K$11)))</f>
        <v/>
      </c>
      <c r="D1386" s="808" t="str">
        <f>IF(B1393="","",INDEX(NXchung!$B$3:$EP$57,MATCH(B1393,NXchung!$B$3:$B$57,0),INDEX($K$12:$N$25,MATCH($B1386,$J$12:$J$25,0),L$11)))</f>
        <v/>
      </c>
      <c r="E1386" s="805" t="str">
        <f>IF(B1393="","",INDEX(NXchung!$B$3:$EP$57,MATCH(B1393,NXchung!$B$3:$B$57,0),INDEX($K$12:$N$25,MATCH($B1386,$J$12:$J$25,0),M$11)))</f>
        <v/>
      </c>
      <c r="F1386" s="808" t="str">
        <f>IF(B1393="","",INDEX(NXchung!$B$3:$EP$57,MATCH(B1393,NXchung!$B$3:$B$57,0),INDEX($K$12:$N$25,MATCH($B1386,$J$12:$J$25,0),N$11)))</f>
        <v/>
      </c>
      <c r="G1386" s="805"/>
      <c r="I1386" s="64"/>
      <c r="J1386" s="64"/>
    </row>
    <row r="1387" spans="1:10" ht="45.9" customHeight="1">
      <c r="A1387" s="803" t="s">
        <v>203</v>
      </c>
      <c r="B1387" s="813" t="s">
        <v>121</v>
      </c>
      <c r="C1387" s="805" t="str">
        <f>IF(B1393="","",INDEX(NXchung!$B$3:$EP$57,MATCH(B1393,NXchung!$B$3:$B$57,0),INDEX($K$12:$N$25,MATCH($B1387,$J$12:$J$25,0),K$11)))</f>
        <v/>
      </c>
      <c r="D1387" s="808" t="str">
        <f>IF(B1393="","",INDEX(NXchung!$B$3:$EP$57,MATCH(B1393,NXchung!$B$3:$B$57,0),INDEX($K$12:$N$25,MATCH($B1387,$J$12:$J$25,0),L$11)))</f>
        <v/>
      </c>
      <c r="E1387" s="805" t="str">
        <f>IF(B1393="","",INDEX(NXchung!$B$3:$EP$57,MATCH(B1393,NXchung!$B$3:$B$57,0),INDEX($K$12:$N$25,MATCH($B1387,$J$12:$J$25,0),M$11)))</f>
        <v/>
      </c>
      <c r="F1387" s="808" t="str">
        <f>IF(B1393="","",INDEX(NXchung!$B$3:$EP$57,MATCH(B1393,NXchung!$B$3:$B$57,0),INDEX($K$12:$N$25,MATCH($B1387,$J$12:$J$25,0),N$11)))</f>
        <v/>
      </c>
      <c r="G1387" s="805"/>
      <c r="I1387" s="64"/>
      <c r="J1387" s="64"/>
    </row>
    <row r="1388" spans="1:10" ht="45.9" customHeight="1">
      <c r="A1388" s="803" t="s">
        <v>204</v>
      </c>
      <c r="B1388" s="813" t="s">
        <v>122</v>
      </c>
      <c r="C1388" s="805" t="str">
        <f>IF(B1393="","",INDEX(NXchung!$B$3:$EP$57,MATCH(B1393,NXchung!$B$3:$B$57,0),INDEX($K$12:$N$25,MATCH($B1388,$J$12:$J$25,0),K$11)))</f>
        <v/>
      </c>
      <c r="D1388" s="808" t="str">
        <f>IF(B1393="","",INDEX(NXchung!$B$3:$EP$57,MATCH(B1393,NXchung!$B$3:$B$57,0),INDEX($K$12:$N$25,MATCH($B1388,$J$12:$J$25,0),L$11)))</f>
        <v/>
      </c>
      <c r="E1388" s="805" t="str">
        <f>IF(B1393="","",INDEX(NXchung!$B$3:$EP$57,MATCH(B1393,NXchung!$B$3:$B$57,0),INDEX($K$12:$N$25,MATCH($B1388,$J$12:$J$25,0),M$11)))</f>
        <v/>
      </c>
      <c r="F1388" s="808" t="str">
        <f>IF(B1393="","",INDEX(NXchung!$B$3:$EP$57,MATCH(B1393,NXchung!$B$3:$B$57,0),INDEX($K$12:$N$25,MATCH($B1388,$J$12:$J$25,0),N$11)))</f>
        <v/>
      </c>
      <c r="G1388" s="805"/>
      <c r="I1388" s="64"/>
      <c r="J1388" s="64"/>
    </row>
    <row r="1389" spans="1:10" s="60" customFormat="1" ht="6" customHeight="1">
      <c r="A1389" s="67"/>
      <c r="B1389" s="67"/>
      <c r="C1389" s="475"/>
      <c r="D1389" s="475"/>
      <c r="E1389" s="67"/>
      <c r="F1389" s="67"/>
      <c r="G1389" s="67"/>
    </row>
    <row r="1390" spans="1:10" ht="17.25" customHeight="1">
      <c r="D1390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390" s="1163"/>
      <c r="F1390" s="1163"/>
      <c r="G1390" s="1163"/>
      <c r="H1390" s="814"/>
    </row>
    <row r="1391" spans="1:10" ht="16.5" customHeight="1">
      <c r="D1391" s="992" t="s">
        <v>377</v>
      </c>
      <c r="E1391" s="992"/>
      <c r="F1391" s="992"/>
      <c r="G1391" s="992"/>
      <c r="H1391" s="814"/>
    </row>
    <row r="1392" spans="1:10" ht="81.75" customHeight="1">
      <c r="D1392" s="931" t="str">
        <f>IF('Huong dan'!$E$5="","",'Huong dan'!$E$5)</f>
        <v/>
      </c>
      <c r="E1392" s="931"/>
      <c r="F1392" s="931"/>
      <c r="G1392" s="931"/>
      <c r="H1392" s="814"/>
    </row>
    <row r="1393" spans="1:10" ht="11.25" customHeight="1">
      <c r="A1393" s="75"/>
      <c r="B1393" s="815" t="str">
        <f>IF(B1364="","",IF(B1364&lt;MAX(DiemHKII!$B$4:$B$58),B1364+1,""))</f>
        <v/>
      </c>
      <c r="C1393" s="75"/>
      <c r="D1393" s="75"/>
      <c r="E1393" s="75"/>
      <c r="F1393" s="75"/>
      <c r="G1393" s="75"/>
    </row>
    <row r="1394" spans="1:10" s="60" customFormat="1" ht="21" customHeight="1">
      <c r="A1394" s="1128" t="str">
        <f>IF('Huong dan'!$E$3&lt;&gt;"","SỞ GIÁO DỤC VÀ ĐÀO TẠO "&amp;UPPER('Huong dan'!$E$3),"")</f>
        <v>SỞ GIÁO DỤC VÀ ĐÀO TẠO TP. HỒ CHÍ MINH</v>
      </c>
      <c r="B1394" s="1128"/>
      <c r="C1394" s="1128"/>
      <c r="D1394" s="1128"/>
      <c r="E1394" s="1129" t="s">
        <v>19</v>
      </c>
      <c r="F1394" s="1129"/>
      <c r="G1394" s="1129"/>
    </row>
    <row r="1395" spans="1:10" ht="17.25" customHeight="1">
      <c r="A1395" s="992" t="str">
        <f>IF('Huong dan'!$E$4&lt;&gt;"","TRƯỜNG "&amp;UPPER('Huong dan'!$E$4),"")</f>
        <v>TRƯỜNG THCS VÀ THPT NGUYỄN KHUYẾN</v>
      </c>
      <c r="B1395" s="992"/>
      <c r="C1395" s="992"/>
      <c r="D1395" s="992"/>
      <c r="E1395" s="1130" t="s">
        <v>179</v>
      </c>
      <c r="F1395" s="1130"/>
      <c r="G1395" s="1130"/>
    </row>
    <row r="1396" spans="1:10" ht="15" customHeight="1">
      <c r="A1396" s="69"/>
      <c r="B1396" s="69"/>
      <c r="C1396" s="30"/>
    </row>
    <row r="1397" spans="1:10" ht="27.75" customHeight="1">
      <c r="A1397" s="1013" t="s">
        <v>567</v>
      </c>
      <c r="B1397" s="1013"/>
      <c r="C1397" s="1013"/>
      <c r="D1397" s="1013"/>
      <c r="E1397" s="1013"/>
      <c r="F1397" s="1013"/>
      <c r="G1397" s="1013"/>
    </row>
    <row r="1398" spans="1:10" ht="24" customHeight="1">
      <c r="A1398" s="1013" t="str">
        <f>"HỌC KỲ II VÀ CẢ NĂM - NĂM HỌC "&amp;'Huong dan'!$C$5</f>
        <v>HỌC KỲ II VÀ CẢ NĂM - NĂM HỌC 2021 - 2022</v>
      </c>
      <c r="B1398" s="1013"/>
      <c r="C1398" s="1013"/>
      <c r="D1398" s="1013"/>
      <c r="E1398" s="1013"/>
      <c r="F1398" s="1013"/>
      <c r="G1398" s="1013"/>
    </row>
    <row r="1399" spans="1:10" ht="9" customHeight="1">
      <c r="A1399" s="70"/>
      <c r="B1399" s="66"/>
      <c r="C1399" s="66"/>
      <c r="D1399" s="66"/>
      <c r="E1399" s="66"/>
      <c r="F1399" s="66"/>
      <c r="G1399" s="66"/>
    </row>
    <row r="1400" spans="1:10" ht="18.75" customHeight="1">
      <c r="A1400" s="1167" t="s">
        <v>212</v>
      </c>
      <c r="B1400" s="1167"/>
      <c r="C1400" s="1167"/>
      <c r="D1400" s="1167" t="str">
        <f>IF(B1422="","",INDEX(NXchung!$B$3:$EP$57,MATCH(B1422,NXchung!$B$3:$B$57,0),3)&amp;" "&amp;INDEX(NXchung!$B$3:$EP$57,MATCH(B1422,NXchung!$B$3:$B$57,0),4))</f>
        <v/>
      </c>
      <c r="E1400" s="1167"/>
      <c r="F1400" s="77" t="str">
        <f>IF('Huong dan'!$C$3="","","Lớp: "&amp;'Huong dan'!$C$3)</f>
        <v>Lớp: 12A1</v>
      </c>
      <c r="G1400" s="71"/>
    </row>
    <row r="1401" spans="1:10" ht="18.75" customHeight="1">
      <c r="A1401" s="1168" t="s">
        <v>213</v>
      </c>
      <c r="B1401" s="1168"/>
      <c r="C1401" s="1168"/>
      <c r="D1401" s="77" t="str">
        <f>INDEX(NXchung!$B$3:$EP$57,MATCH(B1422,NXchung!$B$3:$B$57,0),5)</f>
        <v/>
      </c>
      <c r="F1401" s="841" t="str">
        <f>IF(B1422="","","Nơi sinh: "&amp;INDEX(DiemHKII!$H$4:$H$58,MATCH(B1422,DiemHKII!$B$4:$B$58,0),1))</f>
        <v/>
      </c>
      <c r="G1401" s="77"/>
    </row>
    <row r="1402" spans="1:10" ht="9.75" customHeight="1">
      <c r="A1402" s="62"/>
      <c r="B1402" s="62"/>
      <c r="C1402" s="62"/>
      <c r="D1402" s="62"/>
      <c r="E1402" s="62"/>
      <c r="F1402" s="62"/>
      <c r="G1402" s="63"/>
    </row>
    <row r="1403" spans="1:10" ht="31.5" customHeight="1">
      <c r="A1403" s="801" t="s">
        <v>0</v>
      </c>
      <c r="B1403" s="801" t="s">
        <v>59</v>
      </c>
      <c r="C1403" s="806" t="s">
        <v>661</v>
      </c>
      <c r="D1403" s="801" t="s">
        <v>296</v>
      </c>
      <c r="E1403" s="806" t="s">
        <v>662</v>
      </c>
      <c r="F1403" s="801" t="s">
        <v>361</v>
      </c>
      <c r="G1403" s="802" t="s">
        <v>569</v>
      </c>
    </row>
    <row r="1404" spans="1:10" ht="45.9" customHeight="1">
      <c r="A1404" s="803" t="s">
        <v>191</v>
      </c>
      <c r="B1404" s="813" t="s">
        <v>26</v>
      </c>
      <c r="C1404" s="805" t="str">
        <f>IF(B1422="","",INDEX(NXchung!$B$3:$EP$57,MATCH(B1422,NXchung!$B$3:$B$57,0),INDEX($K$12:$N$25,MATCH($B1404,$J$12:$J$25,0),K$11)))</f>
        <v/>
      </c>
      <c r="D1404" s="808" t="str">
        <f>IF(B1422="","",INDEX(NXchung!$B$3:$EP$57,MATCH(B1422,NXchung!$B$3:$B$57,0),INDEX($K$12:$N$25,MATCH($B1404,$J$12:$J$25,0),L$11)))</f>
        <v/>
      </c>
      <c r="E1404" s="805" t="str">
        <f>IF(B1422="","",INDEX(NXchung!$B$3:$EP$57,MATCH(B1422,NXchung!$B$3:$B$57,0),INDEX($K$12:$N$25,MATCH($B1404,$J$12:$J$25,0),M$11)))</f>
        <v/>
      </c>
      <c r="F1404" s="808" t="str">
        <f>IF(B1422="","",INDEX(NXchung!$B$3:$EP$57,MATCH(B1422,NXchung!$B$3:$B$57,0),INDEX($K$12:$N$25,MATCH($B1404,$J$12:$J$25,0),N$11)))</f>
        <v/>
      </c>
      <c r="G1404" s="805"/>
      <c r="I1404" s="64"/>
      <c r="J1404" s="64"/>
    </row>
    <row r="1405" spans="1:10" ht="45.9" customHeight="1">
      <c r="A1405" s="803" t="s">
        <v>192</v>
      </c>
      <c r="B1405" s="813" t="s">
        <v>27</v>
      </c>
      <c r="C1405" s="805" t="str">
        <f>IF(B1422="","",INDEX(NXchung!$B$3:$EP$57,MATCH(B1422,NXchung!$B$3:$B$57,0),INDEX($K$12:$N$25,MATCH($B1405,$J$12:$J$25,0),K$11)))</f>
        <v/>
      </c>
      <c r="D1405" s="808" t="str">
        <f>IF(B1422="","",INDEX(NXchung!$B$3:$EP$57,MATCH(B1422,NXchung!$B$3:$B$57,0),INDEX($K$12:$N$25,MATCH($B1405,$J$12:$J$25,0),L$11)))</f>
        <v/>
      </c>
      <c r="E1405" s="805" t="str">
        <f>IF(B1422="","",INDEX(NXchung!$B$3:$EP$57,MATCH(B1422,NXchung!$B$3:$B$57,0),INDEX($K$12:$N$25,MATCH($B1405,$J$12:$J$25,0),M$11)))</f>
        <v/>
      </c>
      <c r="F1405" s="808" t="str">
        <f>IF(B1422="","",INDEX(NXchung!$B$3:$EP$57,MATCH(B1422,NXchung!$B$3:$B$57,0),INDEX($K$12:$N$25,MATCH($B1405,$J$12:$J$25,0),N$11)))</f>
        <v/>
      </c>
      <c r="G1405" s="805"/>
      <c r="I1405" s="64"/>
      <c r="J1405" s="64"/>
    </row>
    <row r="1406" spans="1:10" ht="45.9" customHeight="1">
      <c r="A1406" s="803" t="s">
        <v>193</v>
      </c>
      <c r="B1406" s="813" t="s">
        <v>28</v>
      </c>
      <c r="C1406" s="805" t="str">
        <f>IF(B1422="","",INDEX(NXchung!$B$3:$EP$57,MATCH(B1422,NXchung!$B$3:$B$57,0),INDEX($K$12:$N$25,MATCH($B1406,$J$12:$J$25,0),K$11)))</f>
        <v/>
      </c>
      <c r="D1406" s="808" t="str">
        <f>IF(B1422="","",INDEX(NXchung!$B$3:$EP$57,MATCH(B1422,NXchung!$B$3:$B$57,0),INDEX($K$12:$N$25,MATCH($B1406,$J$12:$J$25,0),L$11)))</f>
        <v/>
      </c>
      <c r="E1406" s="805" t="str">
        <f>IF(B1422="","",INDEX(NXchung!$B$3:$EP$57,MATCH(B1422,NXchung!$B$3:$B$57,0),INDEX($K$12:$N$25,MATCH($B1406,$J$12:$J$25,0),M$11)))</f>
        <v/>
      </c>
      <c r="F1406" s="808" t="str">
        <f>IF(B1422="","",INDEX(NXchung!$B$3:$EP$57,MATCH(B1422,NXchung!$B$3:$B$57,0),INDEX($K$12:$N$25,MATCH($B1406,$J$12:$J$25,0),N$11)))</f>
        <v/>
      </c>
      <c r="G1406" s="805"/>
      <c r="I1406" s="64"/>
      <c r="J1406" s="64"/>
    </row>
    <row r="1407" spans="1:10" ht="45.9" customHeight="1">
      <c r="A1407" s="803" t="s">
        <v>194</v>
      </c>
      <c r="B1407" s="813" t="s">
        <v>29</v>
      </c>
      <c r="C1407" s="805" t="str">
        <f>IF(B1422="","",INDEX(NXchung!$B$3:$EP$57,MATCH(B1422,NXchung!$B$3:$B$57,0),INDEX($K$12:$N$25,MATCH($B1407,$J$12:$J$25,0),K$11)))</f>
        <v/>
      </c>
      <c r="D1407" s="808" t="str">
        <f>IF(B1422="","",INDEX(NXchung!$B$3:$EP$57,MATCH(B1422,NXchung!$B$3:$B$57,0),INDEX($K$12:$N$25,MATCH($B1407,$J$12:$J$25,0),L$11)))</f>
        <v/>
      </c>
      <c r="E1407" s="805" t="str">
        <f>IF(B1422="","",INDEX(NXchung!$B$3:$EP$57,MATCH(B1422,NXchung!$B$3:$B$57,0),INDEX($K$12:$N$25,MATCH($B1407,$J$12:$J$25,0),M$11)))</f>
        <v/>
      </c>
      <c r="F1407" s="808" t="str">
        <f>IF(B1422="","",INDEX(NXchung!$B$3:$EP$57,MATCH(B1422,NXchung!$B$3:$B$57,0),INDEX($K$12:$N$25,MATCH($B1407,$J$12:$J$25,0),N$11)))</f>
        <v/>
      </c>
      <c r="G1407" s="805"/>
      <c r="I1407" s="64"/>
      <c r="J1407" s="64"/>
    </row>
    <row r="1408" spans="1:10" ht="45.9" customHeight="1">
      <c r="A1408" s="803" t="s">
        <v>195</v>
      </c>
      <c r="B1408" s="813" t="s">
        <v>120</v>
      </c>
      <c r="C1408" s="805" t="str">
        <f>IF(B1422="","",INDEX(NXchung!$B$3:$EP$57,MATCH(B1422,NXchung!$B$3:$B$57,0),INDEX($K$12:$N$25,MATCH($B1408,$J$12:$J$25,0),K$11)))</f>
        <v/>
      </c>
      <c r="D1408" s="808" t="str">
        <f>IF(B1422="","",INDEX(NXchung!$B$3:$EP$57,MATCH(B1422,NXchung!$B$3:$B$57,0),INDEX($K$12:$N$25,MATCH($B1408,$J$12:$J$25,0),L$11)))</f>
        <v/>
      </c>
      <c r="E1408" s="805" t="str">
        <f>IF(B1422="","",INDEX(NXchung!$B$3:$EP$57,MATCH(B1422,NXchung!$B$3:$B$57,0),INDEX($K$12:$N$25,MATCH($B1408,$J$12:$J$25,0),M$11)))</f>
        <v/>
      </c>
      <c r="F1408" s="808" t="str">
        <f>IF(B1422="","",INDEX(NXchung!$B$3:$EP$57,MATCH(B1422,NXchung!$B$3:$B$57,0),INDEX($K$12:$N$25,MATCH($B1408,$J$12:$J$25,0),N$11)))</f>
        <v/>
      </c>
      <c r="G1408" s="805"/>
      <c r="I1408" s="64"/>
      <c r="J1408" s="64"/>
    </row>
    <row r="1409" spans="1:10" ht="45.9" customHeight="1">
      <c r="A1409" s="803" t="s">
        <v>196</v>
      </c>
      <c r="B1409" s="813" t="s">
        <v>30</v>
      </c>
      <c r="C1409" s="805" t="str">
        <f>IF(B1422="","",INDEX(NXchung!$B$3:$EP$57,MATCH(B1422,NXchung!$B$3:$B$57,0),INDEX($K$12:$N$25,MATCH($B1409,$J$12:$J$25,0),K$11)))</f>
        <v/>
      </c>
      <c r="D1409" s="808" t="str">
        <f>IF(B1422="","",INDEX(NXchung!$B$3:$EP$57,MATCH(B1422,NXchung!$B$3:$B$57,0),INDEX($K$12:$N$25,MATCH($B1409,$J$12:$J$25,0),L$11)))</f>
        <v/>
      </c>
      <c r="E1409" s="805" t="str">
        <f>IF(B1422="","",INDEX(NXchung!$B$3:$EP$57,MATCH(B1422,NXchung!$B$3:$B$57,0),INDEX($K$12:$N$25,MATCH($B1409,$J$12:$J$25,0),M$11)))</f>
        <v/>
      </c>
      <c r="F1409" s="808" t="str">
        <f>IF(B1422="","",INDEX(NXchung!$B$3:$EP$57,MATCH(B1422,NXchung!$B$3:$B$57,0),INDEX($K$12:$N$25,MATCH($B1409,$J$12:$J$25,0),N$11)))</f>
        <v/>
      </c>
      <c r="G1409" s="805"/>
      <c r="I1409" s="64"/>
      <c r="J1409" s="64"/>
    </row>
    <row r="1410" spans="1:10" ht="45.9" customHeight="1">
      <c r="A1410" s="803" t="s">
        <v>197</v>
      </c>
      <c r="B1410" s="813" t="s">
        <v>31</v>
      </c>
      <c r="C1410" s="805" t="str">
        <f>IF(B1422="","",INDEX(NXchung!$B$3:$EP$57,MATCH(B1422,NXchung!$B$3:$B$57,0),INDEX($K$12:$N$25,MATCH($B1410,$J$12:$J$25,0),K$11)))</f>
        <v/>
      </c>
      <c r="D1410" s="808" t="str">
        <f>IF(B1422="","",INDEX(NXchung!$B$3:$EP$57,MATCH(B1422,NXchung!$B$3:$B$57,0),INDEX($K$12:$N$25,MATCH($B1410,$J$12:$J$25,0),L$11)))</f>
        <v/>
      </c>
      <c r="E1410" s="805" t="str">
        <f>IF(B1422="","",INDEX(NXchung!$B$3:$EP$57,MATCH(B1422,NXchung!$B$3:$B$57,0),INDEX($K$12:$N$25,MATCH($B1410,$J$12:$J$25,0),M$11)))</f>
        <v/>
      </c>
      <c r="F1410" s="808" t="str">
        <f>IF(B1422="","",INDEX(NXchung!$B$3:$EP$57,MATCH(B1422,NXchung!$B$3:$B$57,0),INDEX($K$12:$N$25,MATCH($B1410,$J$12:$J$25,0),N$11)))</f>
        <v/>
      </c>
      <c r="G1410" s="805"/>
      <c r="I1410" s="64"/>
      <c r="J1410" s="64"/>
    </row>
    <row r="1411" spans="1:10" ht="45.9" customHeight="1">
      <c r="A1411" s="803" t="s">
        <v>198</v>
      </c>
      <c r="B1411" s="813" t="s">
        <v>32</v>
      </c>
      <c r="C1411" s="805" t="str">
        <f>IF(B1422="","",INDEX(NXchung!$B$3:$EP$57,MATCH(B1422,NXchung!$B$3:$B$57,0),INDEX($K$12:$N$25,MATCH($B1411,$J$12:$J$25,0),K$11)))</f>
        <v/>
      </c>
      <c r="D1411" s="808" t="str">
        <f>IF(B1422="","",INDEX(NXchung!$B$3:$EP$57,MATCH(B1422,NXchung!$B$3:$B$57,0),INDEX($K$12:$N$25,MATCH($B1411,$J$12:$J$25,0),L$11)))</f>
        <v/>
      </c>
      <c r="E1411" s="805" t="str">
        <f>IF(B1422="","",INDEX(NXchung!$B$3:$EP$57,MATCH(B1422,NXchung!$B$3:$B$57,0),INDEX($K$12:$N$25,MATCH($B1411,$J$12:$J$25,0),M$11)))</f>
        <v/>
      </c>
      <c r="F1411" s="808" t="str">
        <f>IF(B1422="","",INDEX(NXchung!$B$3:$EP$57,MATCH(B1422,NXchung!$B$3:$B$57,0),INDEX($K$12:$N$25,MATCH($B1411,$J$12:$J$25,0),N$11)))</f>
        <v/>
      </c>
      <c r="G1411" s="805"/>
      <c r="I1411" s="64"/>
      <c r="J1411" s="64"/>
    </row>
    <row r="1412" spans="1:10" ht="45.9" customHeight="1">
      <c r="A1412" s="803" t="s">
        <v>199</v>
      </c>
      <c r="B1412" s="813" t="s">
        <v>33</v>
      </c>
      <c r="C1412" s="805" t="str">
        <f>IF(B1422="","",INDEX(NXchung!$B$3:$EP$57,MATCH(B1422,NXchung!$B$3:$B$57,0),INDEX($K$12:$N$25,MATCH($B1412,$J$12:$J$25,0),K$11)))</f>
        <v/>
      </c>
      <c r="D1412" s="808" t="str">
        <f>IF(B1422="","",INDEX(NXchung!$B$3:$EP$57,MATCH(B1422,NXchung!$B$3:$B$57,0),INDEX($K$12:$N$25,MATCH($B1412,$J$12:$J$25,0),L$11)))</f>
        <v/>
      </c>
      <c r="E1412" s="805" t="str">
        <f>IF(B1422="","",INDEX(NXchung!$B$3:$EP$57,MATCH(B1422,NXchung!$B$3:$B$57,0),INDEX($K$12:$N$25,MATCH($B1412,$J$12:$J$25,0),M$11)))</f>
        <v/>
      </c>
      <c r="F1412" s="808" t="str">
        <f>IF(B1422="","",INDEX(NXchung!$B$3:$EP$57,MATCH(B1422,NXchung!$B$3:$B$57,0),INDEX($K$12:$N$25,MATCH($B1412,$J$12:$J$25,0),N$11)))</f>
        <v/>
      </c>
      <c r="G1412" s="805"/>
      <c r="I1412" s="64"/>
      <c r="J1412" s="64"/>
    </row>
    <row r="1413" spans="1:10" ht="45.9" customHeight="1">
      <c r="A1413" s="803" t="s">
        <v>200</v>
      </c>
      <c r="B1413" s="813" t="s">
        <v>60</v>
      </c>
      <c r="C1413" s="805" t="str">
        <f>IF(B1422="","",INDEX(NXchung!$B$3:$EP$57,MATCH(B1422,NXchung!$B$3:$B$57,0),INDEX($K$12:$N$25,MATCH($B1413,$J$12:$J$25,0),K$11)))</f>
        <v/>
      </c>
      <c r="D1413" s="808" t="str">
        <f>IF(B1422="","",INDEX(NXchung!$B$3:$EP$57,MATCH(B1422,NXchung!$B$3:$B$57,0),INDEX($K$12:$N$25,MATCH($B1413,$J$12:$J$25,0),L$11)))</f>
        <v/>
      </c>
      <c r="E1413" s="805" t="str">
        <f>IF(B1422="","",INDEX(NXchung!$B$3:$EP$57,MATCH(B1422,NXchung!$B$3:$B$57,0),INDEX($K$12:$N$25,MATCH($B1413,$J$12:$J$25,0),M$11)))</f>
        <v/>
      </c>
      <c r="F1413" s="808" t="str">
        <f>IF(B1422="","",INDEX(NXchung!$B$3:$EP$57,MATCH(B1422,NXchung!$B$3:$B$57,0),INDEX($K$12:$N$25,MATCH($B1413,$J$12:$J$25,0),N$11)))</f>
        <v/>
      </c>
      <c r="G1413" s="805"/>
      <c r="I1413" s="64"/>
      <c r="J1413" s="64"/>
    </row>
    <row r="1414" spans="1:10" ht="45.9" customHeight="1">
      <c r="A1414" s="803" t="s">
        <v>201</v>
      </c>
      <c r="B1414" s="813" t="s">
        <v>34</v>
      </c>
      <c r="C1414" s="805" t="str">
        <f>IF(B1422="","",INDEX(NXchung!$B$3:$EP$57,MATCH(B1422,NXchung!$B$3:$B$57,0),INDEX($K$12:$N$25,MATCH($B1414,$J$12:$J$25,0),K$11)))</f>
        <v/>
      </c>
      <c r="D1414" s="808" t="str">
        <f>IF(B1422="","",INDEX(NXchung!$B$3:$EP$57,MATCH(B1422,NXchung!$B$3:$B$57,0),INDEX($K$12:$N$25,MATCH($B1414,$J$12:$J$25,0),L$11)))</f>
        <v/>
      </c>
      <c r="E1414" s="805" t="str">
        <f>IF(B1422="","",INDEX(NXchung!$B$3:$EP$57,MATCH(B1422,NXchung!$B$3:$B$57,0),INDEX($K$12:$N$25,MATCH($B1414,$J$12:$J$25,0),M$11)))</f>
        <v/>
      </c>
      <c r="F1414" s="808" t="str">
        <f>IF(B1422="","",INDEX(NXchung!$B$3:$EP$57,MATCH(B1422,NXchung!$B$3:$B$57,0),INDEX($K$12:$N$25,MATCH($B1414,$J$12:$J$25,0),N$11)))</f>
        <v/>
      </c>
      <c r="G1414" s="805"/>
      <c r="I1414" s="64"/>
      <c r="J1414" s="64"/>
    </row>
    <row r="1415" spans="1:10" ht="45.9" customHeight="1">
      <c r="A1415" s="803" t="s">
        <v>202</v>
      </c>
      <c r="B1415" s="813" t="s">
        <v>35</v>
      </c>
      <c r="C1415" s="805" t="str">
        <f>IF(B1422="","",INDEX(NXchung!$B$3:$EP$57,MATCH(B1422,NXchung!$B$3:$B$57,0),INDEX($K$12:$N$25,MATCH($B1415,$J$12:$J$25,0),K$11)))</f>
        <v/>
      </c>
      <c r="D1415" s="808" t="str">
        <f>IF(B1422="","",INDEX(NXchung!$B$3:$EP$57,MATCH(B1422,NXchung!$B$3:$B$57,0),INDEX($K$12:$N$25,MATCH($B1415,$J$12:$J$25,0),L$11)))</f>
        <v/>
      </c>
      <c r="E1415" s="805" t="str">
        <f>IF(B1422="","",INDEX(NXchung!$B$3:$EP$57,MATCH(B1422,NXchung!$B$3:$B$57,0),INDEX($K$12:$N$25,MATCH($B1415,$J$12:$J$25,0),M$11)))</f>
        <v/>
      </c>
      <c r="F1415" s="808" t="str">
        <f>IF(B1422="","",INDEX(NXchung!$B$3:$EP$57,MATCH(B1422,NXchung!$B$3:$B$57,0),INDEX($K$12:$N$25,MATCH($B1415,$J$12:$J$25,0),N$11)))</f>
        <v/>
      </c>
      <c r="G1415" s="805"/>
      <c r="I1415" s="64"/>
      <c r="J1415" s="64"/>
    </row>
    <row r="1416" spans="1:10" ht="45.9" customHeight="1">
      <c r="A1416" s="803" t="s">
        <v>203</v>
      </c>
      <c r="B1416" s="813" t="s">
        <v>121</v>
      </c>
      <c r="C1416" s="805" t="str">
        <f>IF(B1422="","",INDEX(NXchung!$B$3:$EP$57,MATCH(B1422,NXchung!$B$3:$B$57,0),INDEX($K$12:$N$25,MATCH($B1416,$J$12:$J$25,0),K$11)))</f>
        <v/>
      </c>
      <c r="D1416" s="808" t="str">
        <f>IF(B1422="","",INDEX(NXchung!$B$3:$EP$57,MATCH(B1422,NXchung!$B$3:$B$57,0),INDEX($K$12:$N$25,MATCH($B1416,$J$12:$J$25,0),L$11)))</f>
        <v/>
      </c>
      <c r="E1416" s="805" t="str">
        <f>IF(B1422="","",INDEX(NXchung!$B$3:$EP$57,MATCH(B1422,NXchung!$B$3:$B$57,0),INDEX($K$12:$N$25,MATCH($B1416,$J$12:$J$25,0),M$11)))</f>
        <v/>
      </c>
      <c r="F1416" s="808" t="str">
        <f>IF(B1422="","",INDEX(NXchung!$B$3:$EP$57,MATCH(B1422,NXchung!$B$3:$B$57,0),INDEX($K$12:$N$25,MATCH($B1416,$J$12:$J$25,0),N$11)))</f>
        <v/>
      </c>
      <c r="G1416" s="805"/>
      <c r="I1416" s="64"/>
      <c r="J1416" s="64"/>
    </row>
    <row r="1417" spans="1:10" ht="45.9" customHeight="1">
      <c r="A1417" s="803" t="s">
        <v>204</v>
      </c>
      <c r="B1417" s="813" t="s">
        <v>122</v>
      </c>
      <c r="C1417" s="805" t="str">
        <f>IF(B1422="","",INDEX(NXchung!$B$3:$EP$57,MATCH(B1422,NXchung!$B$3:$B$57,0),INDEX($K$12:$N$25,MATCH($B1417,$J$12:$J$25,0),K$11)))</f>
        <v/>
      </c>
      <c r="D1417" s="808" t="str">
        <f>IF(B1422="","",INDEX(NXchung!$B$3:$EP$57,MATCH(B1422,NXchung!$B$3:$B$57,0),INDEX($K$12:$N$25,MATCH($B1417,$J$12:$J$25,0),L$11)))</f>
        <v/>
      </c>
      <c r="E1417" s="805" t="str">
        <f>IF(B1422="","",INDEX(NXchung!$B$3:$EP$57,MATCH(B1422,NXchung!$B$3:$B$57,0),INDEX($K$12:$N$25,MATCH($B1417,$J$12:$J$25,0),M$11)))</f>
        <v/>
      </c>
      <c r="F1417" s="808" t="str">
        <f>IF(B1422="","",INDEX(NXchung!$B$3:$EP$57,MATCH(B1422,NXchung!$B$3:$B$57,0),INDEX($K$12:$N$25,MATCH($B1417,$J$12:$J$25,0),N$11)))</f>
        <v/>
      </c>
      <c r="G1417" s="805"/>
      <c r="I1417" s="64"/>
      <c r="J1417" s="64"/>
    </row>
    <row r="1418" spans="1:10" s="60" customFormat="1" ht="6" customHeight="1">
      <c r="A1418" s="67"/>
      <c r="B1418" s="67"/>
      <c r="C1418" s="475"/>
      <c r="D1418" s="475"/>
      <c r="E1418" s="67"/>
      <c r="F1418" s="67"/>
      <c r="G1418" s="67"/>
    </row>
    <row r="1419" spans="1:10" ht="17.25" customHeight="1">
      <c r="D1419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419" s="1163"/>
      <c r="F1419" s="1163"/>
      <c r="G1419" s="1163"/>
      <c r="H1419" s="814"/>
    </row>
    <row r="1420" spans="1:10" ht="16.5" customHeight="1">
      <c r="D1420" s="992" t="s">
        <v>377</v>
      </c>
      <c r="E1420" s="992"/>
      <c r="F1420" s="992"/>
      <c r="G1420" s="992"/>
      <c r="H1420" s="814"/>
    </row>
    <row r="1421" spans="1:10" ht="81.75" customHeight="1">
      <c r="D1421" s="931" t="str">
        <f>IF('Huong dan'!$E$5="","",'Huong dan'!$E$5)</f>
        <v/>
      </c>
      <c r="E1421" s="931"/>
      <c r="F1421" s="931"/>
      <c r="G1421" s="931"/>
      <c r="H1421" s="814"/>
    </row>
    <row r="1422" spans="1:10" ht="11.25" customHeight="1">
      <c r="A1422" s="75"/>
      <c r="B1422" s="815" t="str">
        <f>IF(B1393="","",IF(B1393&lt;MAX(DiemHKII!$B$4:$B$58),B1393+1,""))</f>
        <v/>
      </c>
      <c r="C1422" s="75"/>
      <c r="D1422" s="75"/>
      <c r="E1422" s="75"/>
      <c r="F1422" s="75"/>
      <c r="G1422" s="75"/>
    </row>
    <row r="1423" spans="1:10" s="60" customFormat="1" ht="21" customHeight="1">
      <c r="A1423" s="1128" t="str">
        <f>IF('Huong dan'!$E$3&lt;&gt;"","SỞ GIÁO DỤC VÀ ĐÀO TẠO "&amp;UPPER('Huong dan'!$E$3),"")</f>
        <v>SỞ GIÁO DỤC VÀ ĐÀO TẠO TP. HỒ CHÍ MINH</v>
      </c>
      <c r="B1423" s="1128"/>
      <c r="C1423" s="1128"/>
      <c r="D1423" s="1128"/>
      <c r="E1423" s="1129" t="s">
        <v>19</v>
      </c>
      <c r="F1423" s="1129"/>
      <c r="G1423" s="1129"/>
    </row>
    <row r="1424" spans="1:10" ht="17.25" customHeight="1">
      <c r="A1424" s="992" t="str">
        <f>IF('Huong dan'!$E$4&lt;&gt;"","TRƯỜNG "&amp;UPPER('Huong dan'!$E$4),"")</f>
        <v>TRƯỜNG THCS VÀ THPT NGUYỄN KHUYẾN</v>
      </c>
      <c r="B1424" s="992"/>
      <c r="C1424" s="992"/>
      <c r="D1424" s="992"/>
      <c r="E1424" s="1130" t="s">
        <v>179</v>
      </c>
      <c r="F1424" s="1130"/>
      <c r="G1424" s="1130"/>
    </row>
    <row r="1425" spans="1:10" ht="15" customHeight="1">
      <c r="A1425" s="69"/>
      <c r="B1425" s="69"/>
      <c r="C1425" s="30"/>
    </row>
    <row r="1426" spans="1:10" ht="27.75" customHeight="1">
      <c r="A1426" s="1013" t="s">
        <v>567</v>
      </c>
      <c r="B1426" s="1013"/>
      <c r="C1426" s="1013"/>
      <c r="D1426" s="1013"/>
      <c r="E1426" s="1013"/>
      <c r="F1426" s="1013"/>
      <c r="G1426" s="1013"/>
    </row>
    <row r="1427" spans="1:10" ht="24" customHeight="1">
      <c r="A1427" s="1013" t="str">
        <f>"HỌC KỲ II VÀ CẢ NĂM - NĂM HỌC "&amp;'Huong dan'!$C$5</f>
        <v>HỌC KỲ II VÀ CẢ NĂM - NĂM HỌC 2021 - 2022</v>
      </c>
      <c r="B1427" s="1013"/>
      <c r="C1427" s="1013"/>
      <c r="D1427" s="1013"/>
      <c r="E1427" s="1013"/>
      <c r="F1427" s="1013"/>
      <c r="G1427" s="1013"/>
    </row>
    <row r="1428" spans="1:10" ht="9" customHeight="1">
      <c r="A1428" s="70"/>
      <c r="B1428" s="66"/>
      <c r="C1428" s="66"/>
      <c r="D1428" s="66"/>
      <c r="E1428" s="66"/>
      <c r="F1428" s="66"/>
      <c r="G1428" s="66"/>
    </row>
    <row r="1429" spans="1:10" ht="18.75" customHeight="1">
      <c r="A1429" s="1167" t="s">
        <v>212</v>
      </c>
      <c r="B1429" s="1167"/>
      <c r="C1429" s="1167"/>
      <c r="D1429" s="1167" t="str">
        <f>IF(B1451="","",INDEX(NXchung!$B$3:$EP$57,MATCH(B1451,NXchung!$B$3:$B$57,0),3)&amp;" "&amp;INDEX(NXchung!$B$3:$EP$57,MATCH(B1451,NXchung!$B$3:$B$57,0),4))</f>
        <v/>
      </c>
      <c r="E1429" s="1167"/>
      <c r="F1429" s="77" t="str">
        <f>IF('Huong dan'!$C$3="","","Lớp: "&amp;'Huong dan'!$C$3)</f>
        <v>Lớp: 12A1</v>
      </c>
      <c r="G1429" s="71"/>
    </row>
    <row r="1430" spans="1:10" ht="18.75" customHeight="1">
      <c r="A1430" s="1168" t="s">
        <v>213</v>
      </c>
      <c r="B1430" s="1168"/>
      <c r="C1430" s="1168"/>
      <c r="D1430" s="77" t="str">
        <f>INDEX(NXchung!$B$3:$EP$57,MATCH(B1451,NXchung!$B$3:$B$57,0),5)</f>
        <v/>
      </c>
      <c r="F1430" s="841" t="str">
        <f>IF(B1451="","","Nơi sinh: "&amp;INDEX(DiemHKII!$H$4:$H$58,MATCH(B1451,DiemHKII!$B$4:$B$58,0),1))</f>
        <v/>
      </c>
      <c r="G1430" s="77"/>
    </row>
    <row r="1431" spans="1:10" ht="9.75" customHeight="1">
      <c r="A1431" s="62"/>
      <c r="B1431" s="62"/>
      <c r="C1431" s="62"/>
      <c r="D1431" s="62"/>
      <c r="E1431" s="62"/>
      <c r="F1431" s="62"/>
      <c r="G1431" s="63"/>
    </row>
    <row r="1432" spans="1:10" ht="31.5" customHeight="1">
      <c r="A1432" s="801" t="s">
        <v>0</v>
      </c>
      <c r="B1432" s="801" t="s">
        <v>59</v>
      </c>
      <c r="C1432" s="806" t="s">
        <v>661</v>
      </c>
      <c r="D1432" s="801" t="s">
        <v>296</v>
      </c>
      <c r="E1432" s="806" t="s">
        <v>662</v>
      </c>
      <c r="F1432" s="801" t="s">
        <v>361</v>
      </c>
      <c r="G1432" s="802" t="s">
        <v>569</v>
      </c>
    </row>
    <row r="1433" spans="1:10" ht="45.9" customHeight="1">
      <c r="A1433" s="803" t="s">
        <v>191</v>
      </c>
      <c r="B1433" s="813" t="s">
        <v>26</v>
      </c>
      <c r="C1433" s="805" t="str">
        <f>IF(B1451="","",INDEX(NXchung!$B$3:$EP$57,MATCH(B1451,NXchung!$B$3:$B$57,0),INDEX($K$12:$N$25,MATCH($B1433,$J$12:$J$25,0),K$11)))</f>
        <v/>
      </c>
      <c r="D1433" s="808" t="str">
        <f>IF(B1451="","",INDEX(NXchung!$B$3:$EP$57,MATCH(B1451,NXchung!$B$3:$B$57,0),INDEX($K$12:$N$25,MATCH($B1433,$J$12:$J$25,0),L$11)))</f>
        <v/>
      </c>
      <c r="E1433" s="805" t="str">
        <f>IF(B1451="","",INDEX(NXchung!$B$3:$EP$57,MATCH(B1451,NXchung!$B$3:$B$57,0),INDEX($K$12:$N$25,MATCH($B1433,$J$12:$J$25,0),M$11)))</f>
        <v/>
      </c>
      <c r="F1433" s="808" t="str">
        <f>IF(B1451="","",INDEX(NXchung!$B$3:$EP$57,MATCH(B1451,NXchung!$B$3:$B$57,0),INDEX($K$12:$N$25,MATCH($B1433,$J$12:$J$25,0),N$11)))</f>
        <v/>
      </c>
      <c r="G1433" s="805"/>
      <c r="I1433" s="64"/>
      <c r="J1433" s="64"/>
    </row>
    <row r="1434" spans="1:10" ht="45.9" customHeight="1">
      <c r="A1434" s="803" t="s">
        <v>192</v>
      </c>
      <c r="B1434" s="813" t="s">
        <v>27</v>
      </c>
      <c r="C1434" s="805" t="str">
        <f>IF(B1451="","",INDEX(NXchung!$B$3:$EP$57,MATCH(B1451,NXchung!$B$3:$B$57,0),INDEX($K$12:$N$25,MATCH($B1434,$J$12:$J$25,0),K$11)))</f>
        <v/>
      </c>
      <c r="D1434" s="808" t="str">
        <f>IF(B1451="","",INDEX(NXchung!$B$3:$EP$57,MATCH(B1451,NXchung!$B$3:$B$57,0),INDEX($K$12:$N$25,MATCH($B1434,$J$12:$J$25,0),L$11)))</f>
        <v/>
      </c>
      <c r="E1434" s="805" t="str">
        <f>IF(B1451="","",INDEX(NXchung!$B$3:$EP$57,MATCH(B1451,NXchung!$B$3:$B$57,0),INDEX($K$12:$N$25,MATCH($B1434,$J$12:$J$25,0),M$11)))</f>
        <v/>
      </c>
      <c r="F1434" s="808" t="str">
        <f>IF(B1451="","",INDEX(NXchung!$B$3:$EP$57,MATCH(B1451,NXchung!$B$3:$B$57,0),INDEX($K$12:$N$25,MATCH($B1434,$J$12:$J$25,0),N$11)))</f>
        <v/>
      </c>
      <c r="G1434" s="805"/>
      <c r="I1434" s="64"/>
      <c r="J1434" s="64"/>
    </row>
    <row r="1435" spans="1:10" ht="45.9" customHeight="1">
      <c r="A1435" s="803" t="s">
        <v>193</v>
      </c>
      <c r="B1435" s="813" t="s">
        <v>28</v>
      </c>
      <c r="C1435" s="805" t="str">
        <f>IF(B1451="","",INDEX(NXchung!$B$3:$EP$57,MATCH(B1451,NXchung!$B$3:$B$57,0),INDEX($K$12:$N$25,MATCH($B1435,$J$12:$J$25,0),K$11)))</f>
        <v/>
      </c>
      <c r="D1435" s="808" t="str">
        <f>IF(B1451="","",INDEX(NXchung!$B$3:$EP$57,MATCH(B1451,NXchung!$B$3:$B$57,0),INDEX($K$12:$N$25,MATCH($B1435,$J$12:$J$25,0),L$11)))</f>
        <v/>
      </c>
      <c r="E1435" s="805" t="str">
        <f>IF(B1451="","",INDEX(NXchung!$B$3:$EP$57,MATCH(B1451,NXchung!$B$3:$B$57,0),INDEX($K$12:$N$25,MATCH($B1435,$J$12:$J$25,0),M$11)))</f>
        <v/>
      </c>
      <c r="F1435" s="808" t="str">
        <f>IF(B1451="","",INDEX(NXchung!$B$3:$EP$57,MATCH(B1451,NXchung!$B$3:$B$57,0),INDEX($K$12:$N$25,MATCH($B1435,$J$12:$J$25,0),N$11)))</f>
        <v/>
      </c>
      <c r="G1435" s="805"/>
      <c r="I1435" s="64"/>
      <c r="J1435" s="64"/>
    </row>
    <row r="1436" spans="1:10" ht="45.9" customHeight="1">
      <c r="A1436" s="803" t="s">
        <v>194</v>
      </c>
      <c r="B1436" s="813" t="s">
        <v>29</v>
      </c>
      <c r="C1436" s="805" t="str">
        <f>IF(B1451="","",INDEX(NXchung!$B$3:$EP$57,MATCH(B1451,NXchung!$B$3:$B$57,0),INDEX($K$12:$N$25,MATCH($B1436,$J$12:$J$25,0),K$11)))</f>
        <v/>
      </c>
      <c r="D1436" s="808" t="str">
        <f>IF(B1451="","",INDEX(NXchung!$B$3:$EP$57,MATCH(B1451,NXchung!$B$3:$B$57,0),INDEX($K$12:$N$25,MATCH($B1436,$J$12:$J$25,0),L$11)))</f>
        <v/>
      </c>
      <c r="E1436" s="805" t="str">
        <f>IF(B1451="","",INDEX(NXchung!$B$3:$EP$57,MATCH(B1451,NXchung!$B$3:$B$57,0),INDEX($K$12:$N$25,MATCH($B1436,$J$12:$J$25,0),M$11)))</f>
        <v/>
      </c>
      <c r="F1436" s="808" t="str">
        <f>IF(B1451="","",INDEX(NXchung!$B$3:$EP$57,MATCH(B1451,NXchung!$B$3:$B$57,0),INDEX($K$12:$N$25,MATCH($B1436,$J$12:$J$25,0),N$11)))</f>
        <v/>
      </c>
      <c r="G1436" s="805"/>
      <c r="I1436" s="64"/>
      <c r="J1436" s="64"/>
    </row>
    <row r="1437" spans="1:10" ht="45.9" customHeight="1">
      <c r="A1437" s="803" t="s">
        <v>195</v>
      </c>
      <c r="B1437" s="813" t="s">
        <v>120</v>
      </c>
      <c r="C1437" s="805" t="str">
        <f>IF(B1451="","",INDEX(NXchung!$B$3:$EP$57,MATCH(B1451,NXchung!$B$3:$B$57,0),INDEX($K$12:$N$25,MATCH($B1437,$J$12:$J$25,0),K$11)))</f>
        <v/>
      </c>
      <c r="D1437" s="808" t="str">
        <f>IF(B1451="","",INDEX(NXchung!$B$3:$EP$57,MATCH(B1451,NXchung!$B$3:$B$57,0),INDEX($K$12:$N$25,MATCH($B1437,$J$12:$J$25,0),L$11)))</f>
        <v/>
      </c>
      <c r="E1437" s="805" t="str">
        <f>IF(B1451="","",INDEX(NXchung!$B$3:$EP$57,MATCH(B1451,NXchung!$B$3:$B$57,0),INDEX($K$12:$N$25,MATCH($B1437,$J$12:$J$25,0),M$11)))</f>
        <v/>
      </c>
      <c r="F1437" s="808" t="str">
        <f>IF(B1451="","",INDEX(NXchung!$B$3:$EP$57,MATCH(B1451,NXchung!$B$3:$B$57,0),INDEX($K$12:$N$25,MATCH($B1437,$J$12:$J$25,0),N$11)))</f>
        <v/>
      </c>
      <c r="G1437" s="805"/>
      <c r="I1437" s="64"/>
      <c r="J1437" s="64"/>
    </row>
    <row r="1438" spans="1:10" ht="45.9" customHeight="1">
      <c r="A1438" s="803" t="s">
        <v>196</v>
      </c>
      <c r="B1438" s="813" t="s">
        <v>30</v>
      </c>
      <c r="C1438" s="805" t="str">
        <f>IF(B1451="","",INDEX(NXchung!$B$3:$EP$57,MATCH(B1451,NXchung!$B$3:$B$57,0),INDEX($K$12:$N$25,MATCH($B1438,$J$12:$J$25,0),K$11)))</f>
        <v/>
      </c>
      <c r="D1438" s="808" t="str">
        <f>IF(B1451="","",INDEX(NXchung!$B$3:$EP$57,MATCH(B1451,NXchung!$B$3:$B$57,0),INDEX($K$12:$N$25,MATCH($B1438,$J$12:$J$25,0),L$11)))</f>
        <v/>
      </c>
      <c r="E1438" s="805" t="str">
        <f>IF(B1451="","",INDEX(NXchung!$B$3:$EP$57,MATCH(B1451,NXchung!$B$3:$B$57,0),INDEX($K$12:$N$25,MATCH($B1438,$J$12:$J$25,0),M$11)))</f>
        <v/>
      </c>
      <c r="F1438" s="808" t="str">
        <f>IF(B1451="","",INDEX(NXchung!$B$3:$EP$57,MATCH(B1451,NXchung!$B$3:$B$57,0),INDEX($K$12:$N$25,MATCH($B1438,$J$12:$J$25,0),N$11)))</f>
        <v/>
      </c>
      <c r="G1438" s="805"/>
      <c r="I1438" s="64"/>
      <c r="J1438" s="64"/>
    </row>
    <row r="1439" spans="1:10" ht="45.9" customHeight="1">
      <c r="A1439" s="803" t="s">
        <v>197</v>
      </c>
      <c r="B1439" s="813" t="s">
        <v>31</v>
      </c>
      <c r="C1439" s="805" t="str">
        <f>IF(B1451="","",INDEX(NXchung!$B$3:$EP$57,MATCH(B1451,NXchung!$B$3:$B$57,0),INDEX($K$12:$N$25,MATCH($B1439,$J$12:$J$25,0),K$11)))</f>
        <v/>
      </c>
      <c r="D1439" s="808" t="str">
        <f>IF(B1451="","",INDEX(NXchung!$B$3:$EP$57,MATCH(B1451,NXchung!$B$3:$B$57,0),INDEX($K$12:$N$25,MATCH($B1439,$J$12:$J$25,0),L$11)))</f>
        <v/>
      </c>
      <c r="E1439" s="805" t="str">
        <f>IF(B1451="","",INDEX(NXchung!$B$3:$EP$57,MATCH(B1451,NXchung!$B$3:$B$57,0),INDEX($K$12:$N$25,MATCH($B1439,$J$12:$J$25,0),M$11)))</f>
        <v/>
      </c>
      <c r="F1439" s="808" t="str">
        <f>IF(B1451="","",INDEX(NXchung!$B$3:$EP$57,MATCH(B1451,NXchung!$B$3:$B$57,0),INDEX($K$12:$N$25,MATCH($B1439,$J$12:$J$25,0),N$11)))</f>
        <v/>
      </c>
      <c r="G1439" s="805"/>
      <c r="I1439" s="64"/>
      <c r="J1439" s="64"/>
    </row>
    <row r="1440" spans="1:10" ht="45.9" customHeight="1">
      <c r="A1440" s="803" t="s">
        <v>198</v>
      </c>
      <c r="B1440" s="813" t="s">
        <v>32</v>
      </c>
      <c r="C1440" s="805" t="str">
        <f>IF(B1451="","",INDEX(NXchung!$B$3:$EP$57,MATCH(B1451,NXchung!$B$3:$B$57,0),INDEX($K$12:$N$25,MATCH($B1440,$J$12:$J$25,0),K$11)))</f>
        <v/>
      </c>
      <c r="D1440" s="808" t="str">
        <f>IF(B1451="","",INDEX(NXchung!$B$3:$EP$57,MATCH(B1451,NXchung!$B$3:$B$57,0),INDEX($K$12:$N$25,MATCH($B1440,$J$12:$J$25,0),L$11)))</f>
        <v/>
      </c>
      <c r="E1440" s="805" t="str">
        <f>IF(B1451="","",INDEX(NXchung!$B$3:$EP$57,MATCH(B1451,NXchung!$B$3:$B$57,0),INDEX($K$12:$N$25,MATCH($B1440,$J$12:$J$25,0),M$11)))</f>
        <v/>
      </c>
      <c r="F1440" s="808" t="str">
        <f>IF(B1451="","",INDEX(NXchung!$B$3:$EP$57,MATCH(B1451,NXchung!$B$3:$B$57,0),INDEX($K$12:$N$25,MATCH($B1440,$J$12:$J$25,0),N$11)))</f>
        <v/>
      </c>
      <c r="G1440" s="805"/>
      <c r="I1440" s="64"/>
      <c r="J1440" s="64"/>
    </row>
    <row r="1441" spans="1:10" ht="45.9" customHeight="1">
      <c r="A1441" s="803" t="s">
        <v>199</v>
      </c>
      <c r="B1441" s="813" t="s">
        <v>33</v>
      </c>
      <c r="C1441" s="805" t="str">
        <f>IF(B1451="","",INDEX(NXchung!$B$3:$EP$57,MATCH(B1451,NXchung!$B$3:$B$57,0),INDEX($K$12:$N$25,MATCH($B1441,$J$12:$J$25,0),K$11)))</f>
        <v/>
      </c>
      <c r="D1441" s="808" t="str">
        <f>IF(B1451="","",INDEX(NXchung!$B$3:$EP$57,MATCH(B1451,NXchung!$B$3:$B$57,0),INDEX($K$12:$N$25,MATCH($B1441,$J$12:$J$25,0),L$11)))</f>
        <v/>
      </c>
      <c r="E1441" s="805" t="str">
        <f>IF(B1451="","",INDEX(NXchung!$B$3:$EP$57,MATCH(B1451,NXchung!$B$3:$B$57,0),INDEX($K$12:$N$25,MATCH($B1441,$J$12:$J$25,0),M$11)))</f>
        <v/>
      </c>
      <c r="F1441" s="808" t="str">
        <f>IF(B1451="","",INDEX(NXchung!$B$3:$EP$57,MATCH(B1451,NXchung!$B$3:$B$57,0),INDEX($K$12:$N$25,MATCH($B1441,$J$12:$J$25,0),N$11)))</f>
        <v/>
      </c>
      <c r="G1441" s="805"/>
      <c r="I1441" s="64"/>
      <c r="J1441" s="64"/>
    </row>
    <row r="1442" spans="1:10" ht="45.9" customHeight="1">
      <c r="A1442" s="803" t="s">
        <v>200</v>
      </c>
      <c r="B1442" s="813" t="s">
        <v>60</v>
      </c>
      <c r="C1442" s="805" t="str">
        <f>IF(B1451="","",INDEX(NXchung!$B$3:$EP$57,MATCH(B1451,NXchung!$B$3:$B$57,0),INDEX($K$12:$N$25,MATCH($B1442,$J$12:$J$25,0),K$11)))</f>
        <v/>
      </c>
      <c r="D1442" s="808" t="str">
        <f>IF(B1451="","",INDEX(NXchung!$B$3:$EP$57,MATCH(B1451,NXchung!$B$3:$B$57,0),INDEX($K$12:$N$25,MATCH($B1442,$J$12:$J$25,0),L$11)))</f>
        <v/>
      </c>
      <c r="E1442" s="805" t="str">
        <f>IF(B1451="","",INDEX(NXchung!$B$3:$EP$57,MATCH(B1451,NXchung!$B$3:$B$57,0),INDEX($K$12:$N$25,MATCH($B1442,$J$12:$J$25,0),M$11)))</f>
        <v/>
      </c>
      <c r="F1442" s="808" t="str">
        <f>IF(B1451="","",INDEX(NXchung!$B$3:$EP$57,MATCH(B1451,NXchung!$B$3:$B$57,0),INDEX($K$12:$N$25,MATCH($B1442,$J$12:$J$25,0),N$11)))</f>
        <v/>
      </c>
      <c r="G1442" s="805"/>
      <c r="I1442" s="64"/>
      <c r="J1442" s="64"/>
    </row>
    <row r="1443" spans="1:10" ht="45.9" customHeight="1">
      <c r="A1443" s="803" t="s">
        <v>201</v>
      </c>
      <c r="B1443" s="813" t="s">
        <v>34</v>
      </c>
      <c r="C1443" s="805" t="str">
        <f>IF(B1451="","",INDEX(NXchung!$B$3:$EP$57,MATCH(B1451,NXchung!$B$3:$B$57,0),INDEX($K$12:$N$25,MATCH($B1443,$J$12:$J$25,0),K$11)))</f>
        <v/>
      </c>
      <c r="D1443" s="808" t="str">
        <f>IF(B1451="","",INDEX(NXchung!$B$3:$EP$57,MATCH(B1451,NXchung!$B$3:$B$57,0),INDEX($K$12:$N$25,MATCH($B1443,$J$12:$J$25,0),L$11)))</f>
        <v/>
      </c>
      <c r="E1443" s="805" t="str">
        <f>IF(B1451="","",INDEX(NXchung!$B$3:$EP$57,MATCH(B1451,NXchung!$B$3:$B$57,0),INDEX($K$12:$N$25,MATCH($B1443,$J$12:$J$25,0),M$11)))</f>
        <v/>
      </c>
      <c r="F1443" s="808" t="str">
        <f>IF(B1451="","",INDEX(NXchung!$B$3:$EP$57,MATCH(B1451,NXchung!$B$3:$B$57,0),INDEX($K$12:$N$25,MATCH($B1443,$J$12:$J$25,0),N$11)))</f>
        <v/>
      </c>
      <c r="G1443" s="805"/>
      <c r="I1443" s="64"/>
      <c r="J1443" s="64"/>
    </row>
    <row r="1444" spans="1:10" ht="45.9" customHeight="1">
      <c r="A1444" s="803" t="s">
        <v>202</v>
      </c>
      <c r="B1444" s="813" t="s">
        <v>35</v>
      </c>
      <c r="C1444" s="805" t="str">
        <f>IF(B1451="","",INDEX(NXchung!$B$3:$EP$57,MATCH(B1451,NXchung!$B$3:$B$57,0),INDEX($K$12:$N$25,MATCH($B1444,$J$12:$J$25,0),K$11)))</f>
        <v/>
      </c>
      <c r="D1444" s="808" t="str">
        <f>IF(B1451="","",INDEX(NXchung!$B$3:$EP$57,MATCH(B1451,NXchung!$B$3:$B$57,0),INDEX($K$12:$N$25,MATCH($B1444,$J$12:$J$25,0),L$11)))</f>
        <v/>
      </c>
      <c r="E1444" s="805" t="str">
        <f>IF(B1451="","",INDEX(NXchung!$B$3:$EP$57,MATCH(B1451,NXchung!$B$3:$B$57,0),INDEX($K$12:$N$25,MATCH($B1444,$J$12:$J$25,0),M$11)))</f>
        <v/>
      </c>
      <c r="F1444" s="808" t="str">
        <f>IF(B1451="","",INDEX(NXchung!$B$3:$EP$57,MATCH(B1451,NXchung!$B$3:$B$57,0),INDEX($K$12:$N$25,MATCH($B1444,$J$12:$J$25,0),N$11)))</f>
        <v/>
      </c>
      <c r="G1444" s="805"/>
      <c r="I1444" s="64"/>
      <c r="J1444" s="64"/>
    </row>
    <row r="1445" spans="1:10" ht="45.9" customHeight="1">
      <c r="A1445" s="803" t="s">
        <v>203</v>
      </c>
      <c r="B1445" s="813" t="s">
        <v>121</v>
      </c>
      <c r="C1445" s="805" t="str">
        <f>IF(B1451="","",INDEX(NXchung!$B$3:$EP$57,MATCH(B1451,NXchung!$B$3:$B$57,0),INDEX($K$12:$N$25,MATCH($B1445,$J$12:$J$25,0),K$11)))</f>
        <v/>
      </c>
      <c r="D1445" s="808" t="str">
        <f>IF(B1451="","",INDEX(NXchung!$B$3:$EP$57,MATCH(B1451,NXchung!$B$3:$B$57,0),INDEX($K$12:$N$25,MATCH($B1445,$J$12:$J$25,0),L$11)))</f>
        <v/>
      </c>
      <c r="E1445" s="805" t="str">
        <f>IF(B1451="","",INDEX(NXchung!$B$3:$EP$57,MATCH(B1451,NXchung!$B$3:$B$57,0),INDEX($K$12:$N$25,MATCH($B1445,$J$12:$J$25,0),M$11)))</f>
        <v/>
      </c>
      <c r="F1445" s="808" t="str">
        <f>IF(B1451="","",INDEX(NXchung!$B$3:$EP$57,MATCH(B1451,NXchung!$B$3:$B$57,0),INDEX($K$12:$N$25,MATCH($B1445,$J$12:$J$25,0),N$11)))</f>
        <v/>
      </c>
      <c r="G1445" s="805"/>
      <c r="I1445" s="64"/>
      <c r="J1445" s="64"/>
    </row>
    <row r="1446" spans="1:10" ht="45.9" customHeight="1">
      <c r="A1446" s="803" t="s">
        <v>204</v>
      </c>
      <c r="B1446" s="813" t="s">
        <v>122</v>
      </c>
      <c r="C1446" s="805" t="str">
        <f>IF(B1451="","",INDEX(NXchung!$B$3:$EP$57,MATCH(B1451,NXchung!$B$3:$B$57,0),INDEX($K$12:$N$25,MATCH($B1446,$J$12:$J$25,0),K$11)))</f>
        <v/>
      </c>
      <c r="D1446" s="808" t="str">
        <f>IF(B1451="","",INDEX(NXchung!$B$3:$EP$57,MATCH(B1451,NXchung!$B$3:$B$57,0),INDEX($K$12:$N$25,MATCH($B1446,$J$12:$J$25,0),L$11)))</f>
        <v/>
      </c>
      <c r="E1446" s="805" t="str">
        <f>IF(B1451="","",INDEX(NXchung!$B$3:$EP$57,MATCH(B1451,NXchung!$B$3:$B$57,0),INDEX($K$12:$N$25,MATCH($B1446,$J$12:$J$25,0),M$11)))</f>
        <v/>
      </c>
      <c r="F1446" s="808" t="str">
        <f>IF(B1451="","",INDEX(NXchung!$B$3:$EP$57,MATCH(B1451,NXchung!$B$3:$B$57,0),INDEX($K$12:$N$25,MATCH($B1446,$J$12:$J$25,0),N$11)))</f>
        <v/>
      </c>
      <c r="G1446" s="805"/>
      <c r="I1446" s="64"/>
      <c r="J1446" s="64"/>
    </row>
    <row r="1447" spans="1:10" s="60" customFormat="1" ht="6" customHeight="1">
      <c r="A1447" s="67"/>
      <c r="B1447" s="67"/>
      <c r="C1447" s="475"/>
      <c r="D1447" s="475"/>
      <c r="E1447" s="67"/>
      <c r="F1447" s="67"/>
      <c r="G1447" s="67"/>
    </row>
    <row r="1448" spans="1:10" ht="17.25" customHeight="1">
      <c r="D1448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448" s="1163"/>
      <c r="F1448" s="1163"/>
      <c r="G1448" s="1163"/>
      <c r="H1448" s="814"/>
    </row>
    <row r="1449" spans="1:10" ht="16.5" customHeight="1">
      <c r="D1449" s="992" t="s">
        <v>377</v>
      </c>
      <c r="E1449" s="992"/>
      <c r="F1449" s="992"/>
      <c r="G1449" s="992"/>
      <c r="H1449" s="814"/>
    </row>
    <row r="1450" spans="1:10" ht="81.75" customHeight="1">
      <c r="D1450" s="931" t="str">
        <f>IF('Huong dan'!$E$5="","",'Huong dan'!$E$5)</f>
        <v/>
      </c>
      <c r="E1450" s="931"/>
      <c r="F1450" s="931"/>
      <c r="G1450" s="931"/>
      <c r="H1450" s="814"/>
    </row>
    <row r="1451" spans="1:10" ht="11.25" customHeight="1">
      <c r="A1451" s="75"/>
      <c r="B1451" s="815" t="str">
        <f>IF(B1422="","",IF(B1422&lt;MAX(DiemHKII!$B$4:$B$58),B1422+1,""))</f>
        <v/>
      </c>
      <c r="C1451" s="75"/>
      <c r="D1451" s="75"/>
      <c r="E1451" s="75"/>
      <c r="F1451" s="75"/>
      <c r="G1451" s="75"/>
    </row>
    <row r="1452" spans="1:10" s="60" customFormat="1" ht="21" customHeight="1">
      <c r="A1452" s="1128" t="str">
        <f>IF('Huong dan'!$E$3&lt;&gt;"","SỞ GIÁO DỤC VÀ ĐÀO TẠO "&amp;UPPER('Huong dan'!$E$3),"")</f>
        <v>SỞ GIÁO DỤC VÀ ĐÀO TẠO TP. HỒ CHÍ MINH</v>
      </c>
      <c r="B1452" s="1128"/>
      <c r="C1452" s="1128"/>
      <c r="D1452" s="1128"/>
      <c r="E1452" s="1129" t="s">
        <v>19</v>
      </c>
      <c r="F1452" s="1129"/>
      <c r="G1452" s="1129"/>
    </row>
    <row r="1453" spans="1:10" ht="17.25" customHeight="1">
      <c r="A1453" s="992" t="str">
        <f>IF('Huong dan'!$E$4&lt;&gt;"","TRƯỜNG "&amp;UPPER('Huong dan'!$E$4),"")</f>
        <v>TRƯỜNG THCS VÀ THPT NGUYỄN KHUYẾN</v>
      </c>
      <c r="B1453" s="992"/>
      <c r="C1453" s="992"/>
      <c r="D1453" s="992"/>
      <c r="E1453" s="1130" t="s">
        <v>179</v>
      </c>
      <c r="F1453" s="1130"/>
      <c r="G1453" s="1130"/>
    </row>
    <row r="1454" spans="1:10" ht="15" customHeight="1">
      <c r="A1454" s="69"/>
      <c r="B1454" s="69"/>
      <c r="C1454" s="30"/>
    </row>
    <row r="1455" spans="1:10" ht="27.75" customHeight="1">
      <c r="A1455" s="1013" t="s">
        <v>567</v>
      </c>
      <c r="B1455" s="1013"/>
      <c r="C1455" s="1013"/>
      <c r="D1455" s="1013"/>
      <c r="E1455" s="1013"/>
      <c r="F1455" s="1013"/>
      <c r="G1455" s="1013"/>
    </row>
    <row r="1456" spans="1:10" ht="24" customHeight="1">
      <c r="A1456" s="1013" t="str">
        <f>"HỌC KỲ II VÀ CẢ NĂM - NĂM HỌC "&amp;'Huong dan'!$C$5</f>
        <v>HỌC KỲ II VÀ CẢ NĂM - NĂM HỌC 2021 - 2022</v>
      </c>
      <c r="B1456" s="1013"/>
      <c r="C1456" s="1013"/>
      <c r="D1456" s="1013"/>
      <c r="E1456" s="1013"/>
      <c r="F1456" s="1013"/>
      <c r="G1456" s="1013"/>
    </row>
    <row r="1457" spans="1:10" ht="9" customHeight="1">
      <c r="A1457" s="70"/>
      <c r="B1457" s="66"/>
      <c r="C1457" s="66"/>
      <c r="D1457" s="66"/>
      <c r="E1457" s="66"/>
      <c r="F1457" s="66"/>
      <c r="G1457" s="66"/>
    </row>
    <row r="1458" spans="1:10" ht="18.75" customHeight="1">
      <c r="A1458" s="1167" t="s">
        <v>212</v>
      </c>
      <c r="B1458" s="1167"/>
      <c r="C1458" s="1167"/>
      <c r="D1458" s="1167" t="str">
        <f>IF(B1480="","",INDEX(NXchung!$B$3:$EP$57,MATCH(B1480,NXchung!$B$3:$B$57,0),3)&amp;" "&amp;INDEX(NXchung!$B$3:$EP$57,MATCH(B1480,NXchung!$B$3:$B$57,0),4))</f>
        <v/>
      </c>
      <c r="E1458" s="1167"/>
      <c r="F1458" s="77" t="str">
        <f>IF('Huong dan'!$C$3="","","Lớp: "&amp;'Huong dan'!$C$3)</f>
        <v>Lớp: 12A1</v>
      </c>
      <c r="G1458" s="71"/>
    </row>
    <row r="1459" spans="1:10" ht="18.75" customHeight="1">
      <c r="A1459" s="1168" t="s">
        <v>213</v>
      </c>
      <c r="B1459" s="1168"/>
      <c r="C1459" s="1168"/>
      <c r="D1459" s="77" t="str">
        <f>INDEX(NXchung!$B$3:$EP$57,MATCH(B1480,NXchung!$B$3:$B$57,0),5)</f>
        <v/>
      </c>
      <c r="F1459" s="841" t="str">
        <f>IF(B1480="","","Nơi sinh: "&amp;INDEX(DiemHKII!$H$4:$H$58,MATCH(B1480,DiemHKII!$B$4:$B$58,0),1))</f>
        <v/>
      </c>
      <c r="G1459" s="77"/>
    </row>
    <row r="1460" spans="1:10" ht="9.75" customHeight="1">
      <c r="A1460" s="62"/>
      <c r="B1460" s="62"/>
      <c r="C1460" s="62"/>
      <c r="D1460" s="62"/>
      <c r="E1460" s="62"/>
      <c r="F1460" s="62"/>
      <c r="G1460" s="63"/>
    </row>
    <row r="1461" spans="1:10" ht="31.5" customHeight="1">
      <c r="A1461" s="801" t="s">
        <v>0</v>
      </c>
      <c r="B1461" s="801" t="s">
        <v>59</v>
      </c>
      <c r="C1461" s="806" t="s">
        <v>661</v>
      </c>
      <c r="D1461" s="801" t="s">
        <v>296</v>
      </c>
      <c r="E1461" s="806" t="s">
        <v>662</v>
      </c>
      <c r="F1461" s="801" t="s">
        <v>361</v>
      </c>
      <c r="G1461" s="802" t="s">
        <v>569</v>
      </c>
    </row>
    <row r="1462" spans="1:10" ht="45.9" customHeight="1">
      <c r="A1462" s="803" t="s">
        <v>191</v>
      </c>
      <c r="B1462" s="813" t="s">
        <v>26</v>
      </c>
      <c r="C1462" s="805" t="str">
        <f>IF(B1480="","",INDEX(NXchung!$B$3:$EP$57,MATCH(B1480,NXchung!$B$3:$B$57,0),INDEX($K$12:$N$25,MATCH($B1462,$J$12:$J$25,0),K$11)))</f>
        <v/>
      </c>
      <c r="D1462" s="808" t="str">
        <f>IF(B1480="","",INDEX(NXchung!$B$3:$EP$57,MATCH(B1480,NXchung!$B$3:$B$57,0),INDEX($K$12:$N$25,MATCH($B1462,$J$12:$J$25,0),L$11)))</f>
        <v/>
      </c>
      <c r="E1462" s="805" t="str">
        <f>IF(B1480="","",INDEX(NXchung!$B$3:$EP$57,MATCH(B1480,NXchung!$B$3:$B$57,0),INDEX($K$12:$N$25,MATCH($B1462,$J$12:$J$25,0),M$11)))</f>
        <v/>
      </c>
      <c r="F1462" s="808" t="str">
        <f>IF(B1480="","",INDEX(NXchung!$B$3:$EP$57,MATCH(B1480,NXchung!$B$3:$B$57,0),INDEX($K$12:$N$25,MATCH($B1462,$J$12:$J$25,0),N$11)))</f>
        <v/>
      </c>
      <c r="G1462" s="805"/>
      <c r="I1462" s="64"/>
      <c r="J1462" s="64"/>
    </row>
    <row r="1463" spans="1:10" ht="45.9" customHeight="1">
      <c r="A1463" s="803" t="s">
        <v>192</v>
      </c>
      <c r="B1463" s="813" t="s">
        <v>27</v>
      </c>
      <c r="C1463" s="805" t="str">
        <f>IF(B1480="","",INDEX(NXchung!$B$3:$EP$57,MATCH(B1480,NXchung!$B$3:$B$57,0),INDEX($K$12:$N$25,MATCH($B1463,$J$12:$J$25,0),K$11)))</f>
        <v/>
      </c>
      <c r="D1463" s="808" t="str">
        <f>IF(B1480="","",INDEX(NXchung!$B$3:$EP$57,MATCH(B1480,NXchung!$B$3:$B$57,0),INDEX($K$12:$N$25,MATCH($B1463,$J$12:$J$25,0),L$11)))</f>
        <v/>
      </c>
      <c r="E1463" s="805" t="str">
        <f>IF(B1480="","",INDEX(NXchung!$B$3:$EP$57,MATCH(B1480,NXchung!$B$3:$B$57,0),INDEX($K$12:$N$25,MATCH($B1463,$J$12:$J$25,0),M$11)))</f>
        <v/>
      </c>
      <c r="F1463" s="808" t="str">
        <f>IF(B1480="","",INDEX(NXchung!$B$3:$EP$57,MATCH(B1480,NXchung!$B$3:$B$57,0),INDEX($K$12:$N$25,MATCH($B1463,$J$12:$J$25,0),N$11)))</f>
        <v/>
      </c>
      <c r="G1463" s="805"/>
      <c r="I1463" s="64"/>
      <c r="J1463" s="64"/>
    </row>
    <row r="1464" spans="1:10" ht="45.9" customHeight="1">
      <c r="A1464" s="803" t="s">
        <v>193</v>
      </c>
      <c r="B1464" s="813" t="s">
        <v>28</v>
      </c>
      <c r="C1464" s="805" t="str">
        <f>IF(B1480="","",INDEX(NXchung!$B$3:$EP$57,MATCH(B1480,NXchung!$B$3:$B$57,0),INDEX($K$12:$N$25,MATCH($B1464,$J$12:$J$25,0),K$11)))</f>
        <v/>
      </c>
      <c r="D1464" s="808" t="str">
        <f>IF(B1480="","",INDEX(NXchung!$B$3:$EP$57,MATCH(B1480,NXchung!$B$3:$B$57,0),INDEX($K$12:$N$25,MATCH($B1464,$J$12:$J$25,0),L$11)))</f>
        <v/>
      </c>
      <c r="E1464" s="805" t="str">
        <f>IF(B1480="","",INDEX(NXchung!$B$3:$EP$57,MATCH(B1480,NXchung!$B$3:$B$57,0),INDEX($K$12:$N$25,MATCH($B1464,$J$12:$J$25,0),M$11)))</f>
        <v/>
      </c>
      <c r="F1464" s="808" t="str">
        <f>IF(B1480="","",INDEX(NXchung!$B$3:$EP$57,MATCH(B1480,NXchung!$B$3:$B$57,0),INDEX($K$12:$N$25,MATCH($B1464,$J$12:$J$25,0),N$11)))</f>
        <v/>
      </c>
      <c r="G1464" s="805"/>
      <c r="I1464" s="64"/>
      <c r="J1464" s="64"/>
    </row>
    <row r="1465" spans="1:10" ht="45.9" customHeight="1">
      <c r="A1465" s="803" t="s">
        <v>194</v>
      </c>
      <c r="B1465" s="813" t="s">
        <v>29</v>
      </c>
      <c r="C1465" s="805" t="str">
        <f>IF(B1480="","",INDEX(NXchung!$B$3:$EP$57,MATCH(B1480,NXchung!$B$3:$B$57,0),INDEX($K$12:$N$25,MATCH($B1465,$J$12:$J$25,0),K$11)))</f>
        <v/>
      </c>
      <c r="D1465" s="808" t="str">
        <f>IF(B1480="","",INDEX(NXchung!$B$3:$EP$57,MATCH(B1480,NXchung!$B$3:$B$57,0),INDEX($K$12:$N$25,MATCH($B1465,$J$12:$J$25,0),L$11)))</f>
        <v/>
      </c>
      <c r="E1465" s="805" t="str">
        <f>IF(B1480="","",INDEX(NXchung!$B$3:$EP$57,MATCH(B1480,NXchung!$B$3:$B$57,0),INDEX($K$12:$N$25,MATCH($B1465,$J$12:$J$25,0),M$11)))</f>
        <v/>
      </c>
      <c r="F1465" s="808" t="str">
        <f>IF(B1480="","",INDEX(NXchung!$B$3:$EP$57,MATCH(B1480,NXchung!$B$3:$B$57,0),INDEX($K$12:$N$25,MATCH($B1465,$J$12:$J$25,0),N$11)))</f>
        <v/>
      </c>
      <c r="G1465" s="805"/>
      <c r="I1465" s="64"/>
      <c r="J1465" s="64"/>
    </row>
    <row r="1466" spans="1:10" ht="45.9" customHeight="1">
      <c r="A1466" s="803" t="s">
        <v>195</v>
      </c>
      <c r="B1466" s="813" t="s">
        <v>120</v>
      </c>
      <c r="C1466" s="805" t="str">
        <f>IF(B1480="","",INDEX(NXchung!$B$3:$EP$57,MATCH(B1480,NXchung!$B$3:$B$57,0),INDEX($K$12:$N$25,MATCH($B1466,$J$12:$J$25,0),K$11)))</f>
        <v/>
      </c>
      <c r="D1466" s="808" t="str">
        <f>IF(B1480="","",INDEX(NXchung!$B$3:$EP$57,MATCH(B1480,NXchung!$B$3:$B$57,0),INDEX($K$12:$N$25,MATCH($B1466,$J$12:$J$25,0),L$11)))</f>
        <v/>
      </c>
      <c r="E1466" s="805" t="str">
        <f>IF(B1480="","",INDEX(NXchung!$B$3:$EP$57,MATCH(B1480,NXchung!$B$3:$B$57,0),INDEX($K$12:$N$25,MATCH($B1466,$J$12:$J$25,0),M$11)))</f>
        <v/>
      </c>
      <c r="F1466" s="808" t="str">
        <f>IF(B1480="","",INDEX(NXchung!$B$3:$EP$57,MATCH(B1480,NXchung!$B$3:$B$57,0),INDEX($K$12:$N$25,MATCH($B1466,$J$12:$J$25,0),N$11)))</f>
        <v/>
      </c>
      <c r="G1466" s="805"/>
      <c r="I1466" s="64"/>
      <c r="J1466" s="64"/>
    </row>
    <row r="1467" spans="1:10" ht="45.9" customHeight="1">
      <c r="A1467" s="803" t="s">
        <v>196</v>
      </c>
      <c r="B1467" s="813" t="s">
        <v>30</v>
      </c>
      <c r="C1467" s="805" t="str">
        <f>IF(B1480="","",INDEX(NXchung!$B$3:$EP$57,MATCH(B1480,NXchung!$B$3:$B$57,0),INDEX($K$12:$N$25,MATCH($B1467,$J$12:$J$25,0),K$11)))</f>
        <v/>
      </c>
      <c r="D1467" s="808" t="str">
        <f>IF(B1480="","",INDEX(NXchung!$B$3:$EP$57,MATCH(B1480,NXchung!$B$3:$B$57,0),INDEX($K$12:$N$25,MATCH($B1467,$J$12:$J$25,0),L$11)))</f>
        <v/>
      </c>
      <c r="E1467" s="805" t="str">
        <f>IF(B1480="","",INDEX(NXchung!$B$3:$EP$57,MATCH(B1480,NXchung!$B$3:$B$57,0),INDEX($K$12:$N$25,MATCH($B1467,$J$12:$J$25,0),M$11)))</f>
        <v/>
      </c>
      <c r="F1467" s="808" t="str">
        <f>IF(B1480="","",INDEX(NXchung!$B$3:$EP$57,MATCH(B1480,NXchung!$B$3:$B$57,0),INDEX($K$12:$N$25,MATCH($B1467,$J$12:$J$25,0),N$11)))</f>
        <v/>
      </c>
      <c r="G1467" s="805"/>
      <c r="I1467" s="64"/>
      <c r="J1467" s="64"/>
    </row>
    <row r="1468" spans="1:10" ht="45.9" customHeight="1">
      <c r="A1468" s="803" t="s">
        <v>197</v>
      </c>
      <c r="B1468" s="813" t="s">
        <v>31</v>
      </c>
      <c r="C1468" s="805" t="str">
        <f>IF(B1480="","",INDEX(NXchung!$B$3:$EP$57,MATCH(B1480,NXchung!$B$3:$B$57,0),INDEX($K$12:$N$25,MATCH($B1468,$J$12:$J$25,0),K$11)))</f>
        <v/>
      </c>
      <c r="D1468" s="808" t="str">
        <f>IF(B1480="","",INDEX(NXchung!$B$3:$EP$57,MATCH(B1480,NXchung!$B$3:$B$57,0),INDEX($K$12:$N$25,MATCH($B1468,$J$12:$J$25,0),L$11)))</f>
        <v/>
      </c>
      <c r="E1468" s="805" t="str">
        <f>IF(B1480="","",INDEX(NXchung!$B$3:$EP$57,MATCH(B1480,NXchung!$B$3:$B$57,0),INDEX($K$12:$N$25,MATCH($B1468,$J$12:$J$25,0),M$11)))</f>
        <v/>
      </c>
      <c r="F1468" s="808" t="str">
        <f>IF(B1480="","",INDEX(NXchung!$B$3:$EP$57,MATCH(B1480,NXchung!$B$3:$B$57,0),INDEX($K$12:$N$25,MATCH($B1468,$J$12:$J$25,0),N$11)))</f>
        <v/>
      </c>
      <c r="G1468" s="805"/>
      <c r="I1468" s="64"/>
      <c r="J1468" s="64"/>
    </row>
    <row r="1469" spans="1:10" ht="45.9" customHeight="1">
      <c r="A1469" s="803" t="s">
        <v>198</v>
      </c>
      <c r="B1469" s="813" t="s">
        <v>32</v>
      </c>
      <c r="C1469" s="805" t="str">
        <f>IF(B1480="","",INDEX(NXchung!$B$3:$EP$57,MATCH(B1480,NXchung!$B$3:$B$57,0),INDEX($K$12:$N$25,MATCH($B1469,$J$12:$J$25,0),K$11)))</f>
        <v/>
      </c>
      <c r="D1469" s="808" t="str">
        <f>IF(B1480="","",INDEX(NXchung!$B$3:$EP$57,MATCH(B1480,NXchung!$B$3:$B$57,0),INDEX($K$12:$N$25,MATCH($B1469,$J$12:$J$25,0),L$11)))</f>
        <v/>
      </c>
      <c r="E1469" s="805" t="str">
        <f>IF(B1480="","",INDEX(NXchung!$B$3:$EP$57,MATCH(B1480,NXchung!$B$3:$B$57,0),INDEX($K$12:$N$25,MATCH($B1469,$J$12:$J$25,0),M$11)))</f>
        <v/>
      </c>
      <c r="F1469" s="808" t="str">
        <f>IF(B1480="","",INDEX(NXchung!$B$3:$EP$57,MATCH(B1480,NXchung!$B$3:$B$57,0),INDEX($K$12:$N$25,MATCH($B1469,$J$12:$J$25,0),N$11)))</f>
        <v/>
      </c>
      <c r="G1469" s="805"/>
      <c r="I1469" s="64"/>
      <c r="J1469" s="64"/>
    </row>
    <row r="1470" spans="1:10" ht="45.9" customHeight="1">
      <c r="A1470" s="803" t="s">
        <v>199</v>
      </c>
      <c r="B1470" s="813" t="s">
        <v>33</v>
      </c>
      <c r="C1470" s="805" t="str">
        <f>IF(B1480="","",INDEX(NXchung!$B$3:$EP$57,MATCH(B1480,NXchung!$B$3:$B$57,0),INDEX($K$12:$N$25,MATCH($B1470,$J$12:$J$25,0),K$11)))</f>
        <v/>
      </c>
      <c r="D1470" s="808" t="str">
        <f>IF(B1480="","",INDEX(NXchung!$B$3:$EP$57,MATCH(B1480,NXchung!$B$3:$B$57,0),INDEX($K$12:$N$25,MATCH($B1470,$J$12:$J$25,0),L$11)))</f>
        <v/>
      </c>
      <c r="E1470" s="805" t="str">
        <f>IF(B1480="","",INDEX(NXchung!$B$3:$EP$57,MATCH(B1480,NXchung!$B$3:$B$57,0),INDEX($K$12:$N$25,MATCH($B1470,$J$12:$J$25,0),M$11)))</f>
        <v/>
      </c>
      <c r="F1470" s="808" t="str">
        <f>IF(B1480="","",INDEX(NXchung!$B$3:$EP$57,MATCH(B1480,NXchung!$B$3:$B$57,0),INDEX($K$12:$N$25,MATCH($B1470,$J$12:$J$25,0),N$11)))</f>
        <v/>
      </c>
      <c r="G1470" s="805"/>
      <c r="I1470" s="64"/>
      <c r="J1470" s="64"/>
    </row>
    <row r="1471" spans="1:10" ht="45.9" customHeight="1">
      <c r="A1471" s="803" t="s">
        <v>200</v>
      </c>
      <c r="B1471" s="813" t="s">
        <v>60</v>
      </c>
      <c r="C1471" s="805" t="str">
        <f>IF(B1480="","",INDEX(NXchung!$B$3:$EP$57,MATCH(B1480,NXchung!$B$3:$B$57,0),INDEX($K$12:$N$25,MATCH($B1471,$J$12:$J$25,0),K$11)))</f>
        <v/>
      </c>
      <c r="D1471" s="808" t="str">
        <f>IF(B1480="","",INDEX(NXchung!$B$3:$EP$57,MATCH(B1480,NXchung!$B$3:$B$57,0),INDEX($K$12:$N$25,MATCH($B1471,$J$12:$J$25,0),L$11)))</f>
        <v/>
      </c>
      <c r="E1471" s="805" t="str">
        <f>IF(B1480="","",INDEX(NXchung!$B$3:$EP$57,MATCH(B1480,NXchung!$B$3:$B$57,0),INDEX($K$12:$N$25,MATCH($B1471,$J$12:$J$25,0),M$11)))</f>
        <v/>
      </c>
      <c r="F1471" s="808" t="str">
        <f>IF(B1480="","",INDEX(NXchung!$B$3:$EP$57,MATCH(B1480,NXchung!$B$3:$B$57,0),INDEX($K$12:$N$25,MATCH($B1471,$J$12:$J$25,0),N$11)))</f>
        <v/>
      </c>
      <c r="G1471" s="805"/>
      <c r="I1471" s="64"/>
      <c r="J1471" s="64"/>
    </row>
    <row r="1472" spans="1:10" ht="45.9" customHeight="1">
      <c r="A1472" s="803" t="s">
        <v>201</v>
      </c>
      <c r="B1472" s="813" t="s">
        <v>34</v>
      </c>
      <c r="C1472" s="805" t="str">
        <f>IF(B1480="","",INDEX(NXchung!$B$3:$EP$57,MATCH(B1480,NXchung!$B$3:$B$57,0),INDEX($K$12:$N$25,MATCH($B1472,$J$12:$J$25,0),K$11)))</f>
        <v/>
      </c>
      <c r="D1472" s="808" t="str">
        <f>IF(B1480="","",INDEX(NXchung!$B$3:$EP$57,MATCH(B1480,NXchung!$B$3:$B$57,0),INDEX($K$12:$N$25,MATCH($B1472,$J$12:$J$25,0),L$11)))</f>
        <v/>
      </c>
      <c r="E1472" s="805" t="str">
        <f>IF(B1480="","",INDEX(NXchung!$B$3:$EP$57,MATCH(B1480,NXchung!$B$3:$B$57,0),INDEX($K$12:$N$25,MATCH($B1472,$J$12:$J$25,0),M$11)))</f>
        <v/>
      </c>
      <c r="F1472" s="808" t="str">
        <f>IF(B1480="","",INDEX(NXchung!$B$3:$EP$57,MATCH(B1480,NXchung!$B$3:$B$57,0),INDEX($K$12:$N$25,MATCH($B1472,$J$12:$J$25,0),N$11)))</f>
        <v/>
      </c>
      <c r="G1472" s="805"/>
      <c r="I1472" s="64"/>
      <c r="J1472" s="64"/>
    </row>
    <row r="1473" spans="1:10" ht="45.9" customHeight="1">
      <c r="A1473" s="803" t="s">
        <v>202</v>
      </c>
      <c r="B1473" s="813" t="s">
        <v>35</v>
      </c>
      <c r="C1473" s="805" t="str">
        <f>IF(B1480="","",INDEX(NXchung!$B$3:$EP$57,MATCH(B1480,NXchung!$B$3:$B$57,0),INDEX($K$12:$N$25,MATCH($B1473,$J$12:$J$25,0),K$11)))</f>
        <v/>
      </c>
      <c r="D1473" s="808" t="str">
        <f>IF(B1480="","",INDEX(NXchung!$B$3:$EP$57,MATCH(B1480,NXchung!$B$3:$B$57,0),INDEX($K$12:$N$25,MATCH($B1473,$J$12:$J$25,0),L$11)))</f>
        <v/>
      </c>
      <c r="E1473" s="805" t="str">
        <f>IF(B1480="","",INDEX(NXchung!$B$3:$EP$57,MATCH(B1480,NXchung!$B$3:$B$57,0),INDEX($K$12:$N$25,MATCH($B1473,$J$12:$J$25,0),M$11)))</f>
        <v/>
      </c>
      <c r="F1473" s="808" t="str">
        <f>IF(B1480="","",INDEX(NXchung!$B$3:$EP$57,MATCH(B1480,NXchung!$B$3:$B$57,0),INDEX($K$12:$N$25,MATCH($B1473,$J$12:$J$25,0),N$11)))</f>
        <v/>
      </c>
      <c r="G1473" s="805"/>
      <c r="I1473" s="64"/>
      <c r="J1473" s="64"/>
    </row>
    <row r="1474" spans="1:10" ht="45.9" customHeight="1">
      <c r="A1474" s="803" t="s">
        <v>203</v>
      </c>
      <c r="B1474" s="813" t="s">
        <v>121</v>
      </c>
      <c r="C1474" s="805" t="str">
        <f>IF(B1480="","",INDEX(NXchung!$B$3:$EP$57,MATCH(B1480,NXchung!$B$3:$B$57,0),INDEX($K$12:$N$25,MATCH($B1474,$J$12:$J$25,0),K$11)))</f>
        <v/>
      </c>
      <c r="D1474" s="808" t="str">
        <f>IF(B1480="","",INDEX(NXchung!$B$3:$EP$57,MATCH(B1480,NXchung!$B$3:$B$57,0),INDEX($K$12:$N$25,MATCH($B1474,$J$12:$J$25,0),L$11)))</f>
        <v/>
      </c>
      <c r="E1474" s="805" t="str">
        <f>IF(B1480="","",INDEX(NXchung!$B$3:$EP$57,MATCH(B1480,NXchung!$B$3:$B$57,0),INDEX($K$12:$N$25,MATCH($B1474,$J$12:$J$25,0),M$11)))</f>
        <v/>
      </c>
      <c r="F1474" s="808" t="str">
        <f>IF(B1480="","",INDEX(NXchung!$B$3:$EP$57,MATCH(B1480,NXchung!$B$3:$B$57,0),INDEX($K$12:$N$25,MATCH($B1474,$J$12:$J$25,0),N$11)))</f>
        <v/>
      </c>
      <c r="G1474" s="805"/>
      <c r="I1474" s="64"/>
      <c r="J1474" s="64"/>
    </row>
    <row r="1475" spans="1:10" ht="45.9" customHeight="1">
      <c r="A1475" s="803" t="s">
        <v>204</v>
      </c>
      <c r="B1475" s="813" t="s">
        <v>122</v>
      </c>
      <c r="C1475" s="805" t="str">
        <f>IF(B1480="","",INDEX(NXchung!$B$3:$EP$57,MATCH(B1480,NXchung!$B$3:$B$57,0),INDEX($K$12:$N$25,MATCH($B1475,$J$12:$J$25,0),K$11)))</f>
        <v/>
      </c>
      <c r="D1475" s="808" t="str">
        <f>IF(B1480="","",INDEX(NXchung!$B$3:$EP$57,MATCH(B1480,NXchung!$B$3:$B$57,0),INDEX($K$12:$N$25,MATCH($B1475,$J$12:$J$25,0),L$11)))</f>
        <v/>
      </c>
      <c r="E1475" s="805" t="str">
        <f>IF(B1480="","",INDEX(NXchung!$B$3:$EP$57,MATCH(B1480,NXchung!$B$3:$B$57,0),INDEX($K$12:$N$25,MATCH($B1475,$J$12:$J$25,0),M$11)))</f>
        <v/>
      </c>
      <c r="F1475" s="808" t="str">
        <f>IF(B1480="","",INDEX(NXchung!$B$3:$EP$57,MATCH(B1480,NXchung!$B$3:$B$57,0),INDEX($K$12:$N$25,MATCH($B1475,$J$12:$J$25,0),N$11)))</f>
        <v/>
      </c>
      <c r="G1475" s="805"/>
      <c r="I1475" s="64"/>
      <c r="J1475" s="64"/>
    </row>
    <row r="1476" spans="1:10" s="60" customFormat="1" ht="6" customHeight="1">
      <c r="A1476" s="67"/>
      <c r="B1476" s="67"/>
      <c r="C1476" s="475"/>
      <c r="D1476" s="475"/>
      <c r="E1476" s="67"/>
      <c r="F1476" s="67"/>
      <c r="G1476" s="67"/>
    </row>
    <row r="1477" spans="1:10" ht="17.25" customHeight="1">
      <c r="D1477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477" s="1163"/>
      <c r="F1477" s="1163"/>
      <c r="G1477" s="1163"/>
      <c r="H1477" s="814"/>
    </row>
    <row r="1478" spans="1:10" ht="16.5" customHeight="1">
      <c r="D1478" s="992" t="s">
        <v>377</v>
      </c>
      <c r="E1478" s="992"/>
      <c r="F1478" s="992"/>
      <c r="G1478" s="992"/>
      <c r="H1478" s="814"/>
    </row>
    <row r="1479" spans="1:10" ht="81.75" customHeight="1">
      <c r="D1479" s="931" t="str">
        <f>IF('Huong dan'!$E$5="","",'Huong dan'!$E$5)</f>
        <v/>
      </c>
      <c r="E1479" s="931"/>
      <c r="F1479" s="931"/>
      <c r="G1479" s="931"/>
      <c r="H1479" s="814"/>
    </row>
    <row r="1480" spans="1:10" ht="11.25" customHeight="1">
      <c r="A1480" s="75"/>
      <c r="B1480" s="815" t="str">
        <f>IF(B1451="","",IF(B1451&lt;MAX(DiemHKII!$B$4:$B$58),B1451+1,""))</f>
        <v/>
      </c>
      <c r="C1480" s="75"/>
      <c r="D1480" s="75"/>
      <c r="E1480" s="75"/>
      <c r="F1480" s="75"/>
      <c r="G1480" s="75"/>
    </row>
    <row r="1481" spans="1:10" s="60" customFormat="1" ht="21" customHeight="1">
      <c r="A1481" s="1128" t="str">
        <f>IF('Huong dan'!$E$3&lt;&gt;"","SỞ GIÁO DỤC VÀ ĐÀO TẠO "&amp;UPPER('Huong dan'!$E$3),"")</f>
        <v>SỞ GIÁO DỤC VÀ ĐÀO TẠO TP. HỒ CHÍ MINH</v>
      </c>
      <c r="B1481" s="1128"/>
      <c r="C1481" s="1128"/>
      <c r="D1481" s="1128"/>
      <c r="E1481" s="1129" t="s">
        <v>19</v>
      </c>
      <c r="F1481" s="1129"/>
      <c r="G1481" s="1129"/>
    </row>
    <row r="1482" spans="1:10" ht="17.25" customHeight="1">
      <c r="A1482" s="992" t="str">
        <f>IF('Huong dan'!$E$4&lt;&gt;"","TRƯỜNG "&amp;UPPER('Huong dan'!$E$4),"")</f>
        <v>TRƯỜNG THCS VÀ THPT NGUYỄN KHUYẾN</v>
      </c>
      <c r="B1482" s="992"/>
      <c r="C1482" s="992"/>
      <c r="D1482" s="992"/>
      <c r="E1482" s="1130" t="s">
        <v>179</v>
      </c>
      <c r="F1482" s="1130"/>
      <c r="G1482" s="1130"/>
    </row>
    <row r="1483" spans="1:10" ht="15" customHeight="1">
      <c r="A1483" s="69"/>
      <c r="B1483" s="69"/>
      <c r="C1483" s="30"/>
    </row>
    <row r="1484" spans="1:10" ht="27.75" customHeight="1">
      <c r="A1484" s="1013" t="s">
        <v>567</v>
      </c>
      <c r="B1484" s="1013"/>
      <c r="C1484" s="1013"/>
      <c r="D1484" s="1013"/>
      <c r="E1484" s="1013"/>
      <c r="F1484" s="1013"/>
      <c r="G1484" s="1013"/>
    </row>
    <row r="1485" spans="1:10" ht="24" customHeight="1">
      <c r="A1485" s="1013" t="str">
        <f>"HỌC KỲ II VÀ CẢ NĂM - NĂM HỌC "&amp;'Huong dan'!$C$5</f>
        <v>HỌC KỲ II VÀ CẢ NĂM - NĂM HỌC 2021 - 2022</v>
      </c>
      <c r="B1485" s="1013"/>
      <c r="C1485" s="1013"/>
      <c r="D1485" s="1013"/>
      <c r="E1485" s="1013"/>
      <c r="F1485" s="1013"/>
      <c r="G1485" s="1013"/>
    </row>
    <row r="1486" spans="1:10" ht="9" customHeight="1">
      <c r="A1486" s="70"/>
      <c r="B1486" s="66"/>
      <c r="C1486" s="66"/>
      <c r="D1486" s="66"/>
      <c r="E1486" s="66"/>
      <c r="F1486" s="66"/>
      <c r="G1486" s="66"/>
    </row>
    <row r="1487" spans="1:10" ht="18.75" customHeight="1">
      <c r="A1487" s="1167" t="s">
        <v>212</v>
      </c>
      <c r="B1487" s="1167"/>
      <c r="C1487" s="1167"/>
      <c r="D1487" s="1167" t="str">
        <f>IF(B1509="","",INDEX(NXchung!$B$3:$EP$57,MATCH(B1509,NXchung!$B$3:$B$57,0),3)&amp;" "&amp;INDEX(NXchung!$B$3:$EP$57,MATCH(B1509,NXchung!$B$3:$B$57,0),4))</f>
        <v/>
      </c>
      <c r="E1487" s="1167"/>
      <c r="F1487" s="77" t="str">
        <f>IF('Huong dan'!$C$3="","","Lớp: "&amp;'Huong dan'!$C$3)</f>
        <v>Lớp: 12A1</v>
      </c>
      <c r="G1487" s="71"/>
    </row>
    <row r="1488" spans="1:10" ht="18.75" customHeight="1">
      <c r="A1488" s="1168" t="s">
        <v>213</v>
      </c>
      <c r="B1488" s="1168"/>
      <c r="C1488" s="1168"/>
      <c r="D1488" s="77" t="str">
        <f>INDEX(NXchung!$B$3:$EP$57,MATCH(B1509,NXchung!$B$3:$B$57,0),5)</f>
        <v/>
      </c>
      <c r="F1488" s="841" t="str">
        <f>IF(B1509="","","Nơi sinh: "&amp;INDEX(DiemHKII!$H$4:$H$58,MATCH(B1509,DiemHKII!$B$4:$B$58,0),1))</f>
        <v/>
      </c>
      <c r="G1488" s="77"/>
    </row>
    <row r="1489" spans="1:10" ht="9.75" customHeight="1">
      <c r="A1489" s="62"/>
      <c r="B1489" s="62"/>
      <c r="C1489" s="62"/>
      <c r="D1489" s="62"/>
      <c r="E1489" s="62"/>
      <c r="F1489" s="62"/>
      <c r="G1489" s="63"/>
    </row>
    <row r="1490" spans="1:10" ht="31.5" customHeight="1">
      <c r="A1490" s="801" t="s">
        <v>0</v>
      </c>
      <c r="B1490" s="801" t="s">
        <v>59</v>
      </c>
      <c r="C1490" s="806" t="s">
        <v>661</v>
      </c>
      <c r="D1490" s="801" t="s">
        <v>296</v>
      </c>
      <c r="E1490" s="806" t="s">
        <v>662</v>
      </c>
      <c r="F1490" s="801" t="s">
        <v>361</v>
      </c>
      <c r="G1490" s="802" t="s">
        <v>569</v>
      </c>
    </row>
    <row r="1491" spans="1:10" ht="45.9" customHeight="1">
      <c r="A1491" s="803" t="s">
        <v>191</v>
      </c>
      <c r="B1491" s="813" t="s">
        <v>26</v>
      </c>
      <c r="C1491" s="805" t="str">
        <f>IF(B1509="","",INDEX(NXchung!$B$3:$EP$57,MATCH(B1509,NXchung!$B$3:$B$57,0),INDEX($K$12:$N$25,MATCH($B1491,$J$12:$J$25,0),K$11)))</f>
        <v/>
      </c>
      <c r="D1491" s="808" t="str">
        <f>IF(B1509="","",INDEX(NXchung!$B$3:$EP$57,MATCH(B1509,NXchung!$B$3:$B$57,0),INDEX($K$12:$N$25,MATCH($B1491,$J$12:$J$25,0),L$11)))</f>
        <v/>
      </c>
      <c r="E1491" s="805" t="str">
        <f>IF(B1509="","",INDEX(NXchung!$B$3:$EP$57,MATCH(B1509,NXchung!$B$3:$B$57,0),INDEX($K$12:$N$25,MATCH($B1491,$J$12:$J$25,0),M$11)))</f>
        <v/>
      </c>
      <c r="F1491" s="808" t="str">
        <f>IF(B1509="","",INDEX(NXchung!$B$3:$EP$57,MATCH(B1509,NXchung!$B$3:$B$57,0),INDEX($K$12:$N$25,MATCH($B1491,$J$12:$J$25,0),N$11)))</f>
        <v/>
      </c>
      <c r="G1491" s="805"/>
      <c r="I1491" s="64"/>
      <c r="J1491" s="64"/>
    </row>
    <row r="1492" spans="1:10" ht="45.9" customHeight="1">
      <c r="A1492" s="803" t="s">
        <v>192</v>
      </c>
      <c r="B1492" s="813" t="s">
        <v>27</v>
      </c>
      <c r="C1492" s="805" t="str">
        <f>IF(B1509="","",INDEX(NXchung!$B$3:$EP$57,MATCH(B1509,NXchung!$B$3:$B$57,0),INDEX($K$12:$N$25,MATCH($B1492,$J$12:$J$25,0),K$11)))</f>
        <v/>
      </c>
      <c r="D1492" s="808" t="str">
        <f>IF(B1509="","",INDEX(NXchung!$B$3:$EP$57,MATCH(B1509,NXchung!$B$3:$B$57,0),INDEX($K$12:$N$25,MATCH($B1492,$J$12:$J$25,0),L$11)))</f>
        <v/>
      </c>
      <c r="E1492" s="805" t="str">
        <f>IF(B1509="","",INDEX(NXchung!$B$3:$EP$57,MATCH(B1509,NXchung!$B$3:$B$57,0),INDEX($K$12:$N$25,MATCH($B1492,$J$12:$J$25,0),M$11)))</f>
        <v/>
      </c>
      <c r="F1492" s="808" t="str">
        <f>IF(B1509="","",INDEX(NXchung!$B$3:$EP$57,MATCH(B1509,NXchung!$B$3:$B$57,0),INDEX($K$12:$N$25,MATCH($B1492,$J$12:$J$25,0),N$11)))</f>
        <v/>
      </c>
      <c r="G1492" s="805"/>
      <c r="I1492" s="64"/>
      <c r="J1492" s="64"/>
    </row>
    <row r="1493" spans="1:10" ht="45.9" customHeight="1">
      <c r="A1493" s="803" t="s">
        <v>193</v>
      </c>
      <c r="B1493" s="813" t="s">
        <v>28</v>
      </c>
      <c r="C1493" s="805" t="str">
        <f>IF(B1509="","",INDEX(NXchung!$B$3:$EP$57,MATCH(B1509,NXchung!$B$3:$B$57,0),INDEX($K$12:$N$25,MATCH($B1493,$J$12:$J$25,0),K$11)))</f>
        <v/>
      </c>
      <c r="D1493" s="808" t="str">
        <f>IF(B1509="","",INDEX(NXchung!$B$3:$EP$57,MATCH(B1509,NXchung!$B$3:$B$57,0),INDEX($K$12:$N$25,MATCH($B1493,$J$12:$J$25,0),L$11)))</f>
        <v/>
      </c>
      <c r="E1493" s="805" t="str">
        <f>IF(B1509="","",INDEX(NXchung!$B$3:$EP$57,MATCH(B1509,NXchung!$B$3:$B$57,0),INDEX($K$12:$N$25,MATCH($B1493,$J$12:$J$25,0),M$11)))</f>
        <v/>
      </c>
      <c r="F1493" s="808" t="str">
        <f>IF(B1509="","",INDEX(NXchung!$B$3:$EP$57,MATCH(B1509,NXchung!$B$3:$B$57,0),INDEX($K$12:$N$25,MATCH($B1493,$J$12:$J$25,0),N$11)))</f>
        <v/>
      </c>
      <c r="G1493" s="805"/>
      <c r="I1493" s="64"/>
      <c r="J1493" s="64"/>
    </row>
    <row r="1494" spans="1:10" ht="45.9" customHeight="1">
      <c r="A1494" s="803" t="s">
        <v>194</v>
      </c>
      <c r="B1494" s="813" t="s">
        <v>29</v>
      </c>
      <c r="C1494" s="805" t="str">
        <f>IF(B1509="","",INDEX(NXchung!$B$3:$EP$57,MATCH(B1509,NXchung!$B$3:$B$57,0),INDEX($K$12:$N$25,MATCH($B1494,$J$12:$J$25,0),K$11)))</f>
        <v/>
      </c>
      <c r="D1494" s="808" t="str">
        <f>IF(B1509="","",INDEX(NXchung!$B$3:$EP$57,MATCH(B1509,NXchung!$B$3:$B$57,0),INDEX($K$12:$N$25,MATCH($B1494,$J$12:$J$25,0),L$11)))</f>
        <v/>
      </c>
      <c r="E1494" s="805" t="str">
        <f>IF(B1509="","",INDEX(NXchung!$B$3:$EP$57,MATCH(B1509,NXchung!$B$3:$B$57,0),INDEX($K$12:$N$25,MATCH($B1494,$J$12:$J$25,0),M$11)))</f>
        <v/>
      </c>
      <c r="F1494" s="808" t="str">
        <f>IF(B1509="","",INDEX(NXchung!$B$3:$EP$57,MATCH(B1509,NXchung!$B$3:$B$57,0),INDEX($K$12:$N$25,MATCH($B1494,$J$12:$J$25,0),N$11)))</f>
        <v/>
      </c>
      <c r="G1494" s="805"/>
      <c r="I1494" s="64"/>
      <c r="J1494" s="64"/>
    </row>
    <row r="1495" spans="1:10" ht="45.9" customHeight="1">
      <c r="A1495" s="803" t="s">
        <v>195</v>
      </c>
      <c r="B1495" s="813" t="s">
        <v>120</v>
      </c>
      <c r="C1495" s="805" t="str">
        <f>IF(B1509="","",INDEX(NXchung!$B$3:$EP$57,MATCH(B1509,NXchung!$B$3:$B$57,0),INDEX($K$12:$N$25,MATCH($B1495,$J$12:$J$25,0),K$11)))</f>
        <v/>
      </c>
      <c r="D1495" s="808" t="str">
        <f>IF(B1509="","",INDEX(NXchung!$B$3:$EP$57,MATCH(B1509,NXchung!$B$3:$B$57,0),INDEX($K$12:$N$25,MATCH($B1495,$J$12:$J$25,0),L$11)))</f>
        <v/>
      </c>
      <c r="E1495" s="805" t="str">
        <f>IF(B1509="","",INDEX(NXchung!$B$3:$EP$57,MATCH(B1509,NXchung!$B$3:$B$57,0),INDEX($K$12:$N$25,MATCH($B1495,$J$12:$J$25,0),M$11)))</f>
        <v/>
      </c>
      <c r="F1495" s="808" t="str">
        <f>IF(B1509="","",INDEX(NXchung!$B$3:$EP$57,MATCH(B1509,NXchung!$B$3:$B$57,0),INDEX($K$12:$N$25,MATCH($B1495,$J$12:$J$25,0),N$11)))</f>
        <v/>
      </c>
      <c r="G1495" s="805"/>
      <c r="I1495" s="64"/>
      <c r="J1495" s="64"/>
    </row>
    <row r="1496" spans="1:10" ht="45.9" customHeight="1">
      <c r="A1496" s="803" t="s">
        <v>196</v>
      </c>
      <c r="B1496" s="813" t="s">
        <v>30</v>
      </c>
      <c r="C1496" s="805" t="str">
        <f>IF(B1509="","",INDEX(NXchung!$B$3:$EP$57,MATCH(B1509,NXchung!$B$3:$B$57,0),INDEX($K$12:$N$25,MATCH($B1496,$J$12:$J$25,0),K$11)))</f>
        <v/>
      </c>
      <c r="D1496" s="808" t="str">
        <f>IF(B1509="","",INDEX(NXchung!$B$3:$EP$57,MATCH(B1509,NXchung!$B$3:$B$57,0),INDEX($K$12:$N$25,MATCH($B1496,$J$12:$J$25,0),L$11)))</f>
        <v/>
      </c>
      <c r="E1496" s="805" t="str">
        <f>IF(B1509="","",INDEX(NXchung!$B$3:$EP$57,MATCH(B1509,NXchung!$B$3:$B$57,0),INDEX($K$12:$N$25,MATCH($B1496,$J$12:$J$25,0),M$11)))</f>
        <v/>
      </c>
      <c r="F1496" s="808" t="str">
        <f>IF(B1509="","",INDEX(NXchung!$B$3:$EP$57,MATCH(B1509,NXchung!$B$3:$B$57,0),INDEX($K$12:$N$25,MATCH($B1496,$J$12:$J$25,0),N$11)))</f>
        <v/>
      </c>
      <c r="G1496" s="805"/>
      <c r="I1496" s="64"/>
      <c r="J1496" s="64"/>
    </row>
    <row r="1497" spans="1:10" ht="45.9" customHeight="1">
      <c r="A1497" s="803" t="s">
        <v>197</v>
      </c>
      <c r="B1497" s="813" t="s">
        <v>31</v>
      </c>
      <c r="C1497" s="805" t="str">
        <f>IF(B1509="","",INDEX(NXchung!$B$3:$EP$57,MATCH(B1509,NXchung!$B$3:$B$57,0),INDEX($K$12:$N$25,MATCH($B1497,$J$12:$J$25,0),K$11)))</f>
        <v/>
      </c>
      <c r="D1497" s="808" t="str">
        <f>IF(B1509="","",INDEX(NXchung!$B$3:$EP$57,MATCH(B1509,NXchung!$B$3:$B$57,0),INDEX($K$12:$N$25,MATCH($B1497,$J$12:$J$25,0),L$11)))</f>
        <v/>
      </c>
      <c r="E1497" s="805" t="str">
        <f>IF(B1509="","",INDEX(NXchung!$B$3:$EP$57,MATCH(B1509,NXchung!$B$3:$B$57,0),INDEX($K$12:$N$25,MATCH($B1497,$J$12:$J$25,0),M$11)))</f>
        <v/>
      </c>
      <c r="F1497" s="808" t="str">
        <f>IF(B1509="","",INDEX(NXchung!$B$3:$EP$57,MATCH(B1509,NXchung!$B$3:$B$57,0),INDEX($K$12:$N$25,MATCH($B1497,$J$12:$J$25,0),N$11)))</f>
        <v/>
      </c>
      <c r="G1497" s="805"/>
      <c r="I1497" s="64"/>
      <c r="J1497" s="64"/>
    </row>
    <row r="1498" spans="1:10" ht="45.9" customHeight="1">
      <c r="A1498" s="803" t="s">
        <v>198</v>
      </c>
      <c r="B1498" s="813" t="s">
        <v>32</v>
      </c>
      <c r="C1498" s="805" t="str">
        <f>IF(B1509="","",INDEX(NXchung!$B$3:$EP$57,MATCH(B1509,NXchung!$B$3:$B$57,0),INDEX($K$12:$N$25,MATCH($B1498,$J$12:$J$25,0),K$11)))</f>
        <v/>
      </c>
      <c r="D1498" s="808" t="str">
        <f>IF(B1509="","",INDEX(NXchung!$B$3:$EP$57,MATCH(B1509,NXchung!$B$3:$B$57,0),INDEX($K$12:$N$25,MATCH($B1498,$J$12:$J$25,0),L$11)))</f>
        <v/>
      </c>
      <c r="E1498" s="805" t="str">
        <f>IF(B1509="","",INDEX(NXchung!$B$3:$EP$57,MATCH(B1509,NXchung!$B$3:$B$57,0),INDEX($K$12:$N$25,MATCH($B1498,$J$12:$J$25,0),M$11)))</f>
        <v/>
      </c>
      <c r="F1498" s="808" t="str">
        <f>IF(B1509="","",INDEX(NXchung!$B$3:$EP$57,MATCH(B1509,NXchung!$B$3:$B$57,0),INDEX($K$12:$N$25,MATCH($B1498,$J$12:$J$25,0),N$11)))</f>
        <v/>
      </c>
      <c r="G1498" s="805"/>
      <c r="I1498" s="64"/>
      <c r="J1498" s="64"/>
    </row>
    <row r="1499" spans="1:10" ht="45.9" customHeight="1">
      <c r="A1499" s="803" t="s">
        <v>199</v>
      </c>
      <c r="B1499" s="813" t="s">
        <v>33</v>
      </c>
      <c r="C1499" s="805" t="str">
        <f>IF(B1509="","",INDEX(NXchung!$B$3:$EP$57,MATCH(B1509,NXchung!$B$3:$B$57,0),INDEX($K$12:$N$25,MATCH($B1499,$J$12:$J$25,0),K$11)))</f>
        <v/>
      </c>
      <c r="D1499" s="808" t="str">
        <f>IF(B1509="","",INDEX(NXchung!$B$3:$EP$57,MATCH(B1509,NXchung!$B$3:$B$57,0),INDEX($K$12:$N$25,MATCH($B1499,$J$12:$J$25,0),L$11)))</f>
        <v/>
      </c>
      <c r="E1499" s="805" t="str">
        <f>IF(B1509="","",INDEX(NXchung!$B$3:$EP$57,MATCH(B1509,NXchung!$B$3:$B$57,0),INDEX($K$12:$N$25,MATCH($B1499,$J$12:$J$25,0),M$11)))</f>
        <v/>
      </c>
      <c r="F1499" s="808" t="str">
        <f>IF(B1509="","",INDEX(NXchung!$B$3:$EP$57,MATCH(B1509,NXchung!$B$3:$B$57,0),INDEX($K$12:$N$25,MATCH($B1499,$J$12:$J$25,0),N$11)))</f>
        <v/>
      </c>
      <c r="G1499" s="805"/>
      <c r="I1499" s="64"/>
      <c r="J1499" s="64"/>
    </row>
    <row r="1500" spans="1:10" ht="45.9" customHeight="1">
      <c r="A1500" s="803" t="s">
        <v>200</v>
      </c>
      <c r="B1500" s="813" t="s">
        <v>60</v>
      </c>
      <c r="C1500" s="805" t="str">
        <f>IF(B1509="","",INDEX(NXchung!$B$3:$EP$57,MATCH(B1509,NXchung!$B$3:$B$57,0),INDEX($K$12:$N$25,MATCH($B1500,$J$12:$J$25,0),K$11)))</f>
        <v/>
      </c>
      <c r="D1500" s="808" t="str">
        <f>IF(B1509="","",INDEX(NXchung!$B$3:$EP$57,MATCH(B1509,NXchung!$B$3:$B$57,0),INDEX($K$12:$N$25,MATCH($B1500,$J$12:$J$25,0),L$11)))</f>
        <v/>
      </c>
      <c r="E1500" s="805" t="str">
        <f>IF(B1509="","",INDEX(NXchung!$B$3:$EP$57,MATCH(B1509,NXchung!$B$3:$B$57,0),INDEX($K$12:$N$25,MATCH($B1500,$J$12:$J$25,0),M$11)))</f>
        <v/>
      </c>
      <c r="F1500" s="808" t="str">
        <f>IF(B1509="","",INDEX(NXchung!$B$3:$EP$57,MATCH(B1509,NXchung!$B$3:$B$57,0),INDEX($K$12:$N$25,MATCH($B1500,$J$12:$J$25,0),N$11)))</f>
        <v/>
      </c>
      <c r="G1500" s="805"/>
      <c r="I1500" s="64"/>
      <c r="J1500" s="64"/>
    </row>
    <row r="1501" spans="1:10" ht="45.9" customHeight="1">
      <c r="A1501" s="803" t="s">
        <v>201</v>
      </c>
      <c r="B1501" s="813" t="s">
        <v>34</v>
      </c>
      <c r="C1501" s="805" t="str">
        <f>IF(B1509="","",INDEX(NXchung!$B$3:$EP$57,MATCH(B1509,NXchung!$B$3:$B$57,0),INDEX($K$12:$N$25,MATCH($B1501,$J$12:$J$25,0),K$11)))</f>
        <v/>
      </c>
      <c r="D1501" s="808" t="str">
        <f>IF(B1509="","",INDEX(NXchung!$B$3:$EP$57,MATCH(B1509,NXchung!$B$3:$B$57,0),INDEX($K$12:$N$25,MATCH($B1501,$J$12:$J$25,0),L$11)))</f>
        <v/>
      </c>
      <c r="E1501" s="805" t="str">
        <f>IF(B1509="","",INDEX(NXchung!$B$3:$EP$57,MATCH(B1509,NXchung!$B$3:$B$57,0),INDEX($K$12:$N$25,MATCH($B1501,$J$12:$J$25,0),M$11)))</f>
        <v/>
      </c>
      <c r="F1501" s="808" t="str">
        <f>IF(B1509="","",INDEX(NXchung!$B$3:$EP$57,MATCH(B1509,NXchung!$B$3:$B$57,0),INDEX($K$12:$N$25,MATCH($B1501,$J$12:$J$25,0),N$11)))</f>
        <v/>
      </c>
      <c r="G1501" s="805"/>
      <c r="I1501" s="64"/>
      <c r="J1501" s="64"/>
    </row>
    <row r="1502" spans="1:10" ht="45.9" customHeight="1">
      <c r="A1502" s="803" t="s">
        <v>202</v>
      </c>
      <c r="B1502" s="813" t="s">
        <v>35</v>
      </c>
      <c r="C1502" s="805" t="str">
        <f>IF(B1509="","",INDEX(NXchung!$B$3:$EP$57,MATCH(B1509,NXchung!$B$3:$B$57,0),INDEX($K$12:$N$25,MATCH($B1502,$J$12:$J$25,0),K$11)))</f>
        <v/>
      </c>
      <c r="D1502" s="808" t="str">
        <f>IF(B1509="","",INDEX(NXchung!$B$3:$EP$57,MATCH(B1509,NXchung!$B$3:$B$57,0),INDEX($K$12:$N$25,MATCH($B1502,$J$12:$J$25,0),L$11)))</f>
        <v/>
      </c>
      <c r="E1502" s="805" t="str">
        <f>IF(B1509="","",INDEX(NXchung!$B$3:$EP$57,MATCH(B1509,NXchung!$B$3:$B$57,0),INDEX($K$12:$N$25,MATCH($B1502,$J$12:$J$25,0),M$11)))</f>
        <v/>
      </c>
      <c r="F1502" s="808" t="str">
        <f>IF(B1509="","",INDEX(NXchung!$B$3:$EP$57,MATCH(B1509,NXchung!$B$3:$B$57,0),INDEX($K$12:$N$25,MATCH($B1502,$J$12:$J$25,0),N$11)))</f>
        <v/>
      </c>
      <c r="G1502" s="805"/>
      <c r="I1502" s="64"/>
      <c r="J1502" s="64"/>
    </row>
    <row r="1503" spans="1:10" ht="45.9" customHeight="1">
      <c r="A1503" s="803" t="s">
        <v>203</v>
      </c>
      <c r="B1503" s="813" t="s">
        <v>121</v>
      </c>
      <c r="C1503" s="805" t="str">
        <f>IF(B1509="","",INDEX(NXchung!$B$3:$EP$57,MATCH(B1509,NXchung!$B$3:$B$57,0),INDEX($K$12:$N$25,MATCH($B1503,$J$12:$J$25,0),K$11)))</f>
        <v/>
      </c>
      <c r="D1503" s="808" t="str">
        <f>IF(B1509="","",INDEX(NXchung!$B$3:$EP$57,MATCH(B1509,NXchung!$B$3:$B$57,0),INDEX($K$12:$N$25,MATCH($B1503,$J$12:$J$25,0),L$11)))</f>
        <v/>
      </c>
      <c r="E1503" s="805" t="str">
        <f>IF(B1509="","",INDEX(NXchung!$B$3:$EP$57,MATCH(B1509,NXchung!$B$3:$B$57,0),INDEX($K$12:$N$25,MATCH($B1503,$J$12:$J$25,0),M$11)))</f>
        <v/>
      </c>
      <c r="F1503" s="808" t="str">
        <f>IF(B1509="","",INDEX(NXchung!$B$3:$EP$57,MATCH(B1509,NXchung!$B$3:$B$57,0),INDEX($K$12:$N$25,MATCH($B1503,$J$12:$J$25,0),N$11)))</f>
        <v/>
      </c>
      <c r="G1503" s="805"/>
      <c r="I1503" s="64"/>
      <c r="J1503" s="64"/>
    </row>
    <row r="1504" spans="1:10" ht="45.9" customHeight="1">
      <c r="A1504" s="803" t="s">
        <v>204</v>
      </c>
      <c r="B1504" s="813" t="s">
        <v>122</v>
      </c>
      <c r="C1504" s="805" t="str">
        <f>IF(B1509="","",INDEX(NXchung!$B$3:$EP$57,MATCH(B1509,NXchung!$B$3:$B$57,0),INDEX($K$12:$N$25,MATCH($B1504,$J$12:$J$25,0),K$11)))</f>
        <v/>
      </c>
      <c r="D1504" s="808" t="str">
        <f>IF(B1509="","",INDEX(NXchung!$B$3:$EP$57,MATCH(B1509,NXchung!$B$3:$B$57,0),INDEX($K$12:$N$25,MATCH($B1504,$J$12:$J$25,0),L$11)))</f>
        <v/>
      </c>
      <c r="E1504" s="805" t="str">
        <f>IF(B1509="","",INDEX(NXchung!$B$3:$EP$57,MATCH(B1509,NXchung!$B$3:$B$57,0),INDEX($K$12:$N$25,MATCH($B1504,$J$12:$J$25,0),M$11)))</f>
        <v/>
      </c>
      <c r="F1504" s="808" t="str">
        <f>IF(B1509="","",INDEX(NXchung!$B$3:$EP$57,MATCH(B1509,NXchung!$B$3:$B$57,0),INDEX($K$12:$N$25,MATCH($B1504,$J$12:$J$25,0),N$11)))</f>
        <v/>
      </c>
      <c r="G1504" s="805"/>
      <c r="I1504" s="64"/>
      <c r="J1504" s="64"/>
    </row>
    <row r="1505" spans="1:10" s="60" customFormat="1" ht="6" customHeight="1">
      <c r="A1505" s="67"/>
      <c r="B1505" s="67"/>
      <c r="C1505" s="475"/>
      <c r="D1505" s="475"/>
      <c r="E1505" s="67"/>
      <c r="F1505" s="67"/>
      <c r="G1505" s="67"/>
    </row>
    <row r="1506" spans="1:10" ht="17.25" customHeight="1">
      <c r="D1506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506" s="1163"/>
      <c r="F1506" s="1163"/>
      <c r="G1506" s="1163"/>
      <c r="H1506" s="814"/>
    </row>
    <row r="1507" spans="1:10" ht="16.5" customHeight="1">
      <c r="D1507" s="992" t="s">
        <v>377</v>
      </c>
      <c r="E1507" s="992"/>
      <c r="F1507" s="992"/>
      <c r="G1507" s="992"/>
      <c r="H1507" s="814"/>
    </row>
    <row r="1508" spans="1:10" ht="81.75" customHeight="1">
      <c r="D1508" s="931" t="str">
        <f>IF('Huong dan'!$E$5="","",'Huong dan'!$E$5)</f>
        <v/>
      </c>
      <c r="E1508" s="931"/>
      <c r="F1508" s="931"/>
      <c r="G1508" s="931"/>
      <c r="H1508" s="814"/>
    </row>
    <row r="1509" spans="1:10" ht="11.25" customHeight="1">
      <c r="A1509" s="75"/>
      <c r="B1509" s="815" t="str">
        <f>IF(B1480="","",IF(B1480&lt;MAX(DiemHKII!$B$4:$B$58),B1480+1,""))</f>
        <v/>
      </c>
      <c r="C1509" s="75"/>
      <c r="D1509" s="75"/>
      <c r="E1509" s="75"/>
      <c r="F1509" s="75"/>
      <c r="G1509" s="75"/>
    </row>
    <row r="1510" spans="1:10" s="60" customFormat="1" ht="21" customHeight="1">
      <c r="A1510" s="1128" t="str">
        <f>IF('Huong dan'!$E$3&lt;&gt;"","SỞ GIÁO DỤC VÀ ĐÀO TẠO "&amp;UPPER('Huong dan'!$E$3),"")</f>
        <v>SỞ GIÁO DỤC VÀ ĐÀO TẠO TP. HỒ CHÍ MINH</v>
      </c>
      <c r="B1510" s="1128"/>
      <c r="C1510" s="1128"/>
      <c r="D1510" s="1128"/>
      <c r="E1510" s="1129" t="s">
        <v>19</v>
      </c>
      <c r="F1510" s="1129"/>
      <c r="G1510" s="1129"/>
    </row>
    <row r="1511" spans="1:10" ht="17.25" customHeight="1">
      <c r="A1511" s="992" t="str">
        <f>IF('Huong dan'!$E$4&lt;&gt;"","TRƯỜNG "&amp;UPPER('Huong dan'!$E$4),"")</f>
        <v>TRƯỜNG THCS VÀ THPT NGUYỄN KHUYẾN</v>
      </c>
      <c r="B1511" s="992"/>
      <c r="C1511" s="992"/>
      <c r="D1511" s="992"/>
      <c r="E1511" s="1130" t="s">
        <v>179</v>
      </c>
      <c r="F1511" s="1130"/>
      <c r="G1511" s="1130"/>
    </row>
    <row r="1512" spans="1:10" ht="15" customHeight="1">
      <c r="A1512" s="69"/>
      <c r="B1512" s="69"/>
      <c r="C1512" s="30"/>
    </row>
    <row r="1513" spans="1:10" ht="27.75" customHeight="1">
      <c r="A1513" s="1013" t="s">
        <v>567</v>
      </c>
      <c r="B1513" s="1013"/>
      <c r="C1513" s="1013"/>
      <c r="D1513" s="1013"/>
      <c r="E1513" s="1013"/>
      <c r="F1513" s="1013"/>
      <c r="G1513" s="1013"/>
    </row>
    <row r="1514" spans="1:10" ht="24" customHeight="1">
      <c r="A1514" s="1013" t="str">
        <f>"HỌC KỲ II VÀ CẢ NĂM - NĂM HỌC "&amp;'Huong dan'!$C$5</f>
        <v>HỌC KỲ II VÀ CẢ NĂM - NĂM HỌC 2021 - 2022</v>
      </c>
      <c r="B1514" s="1013"/>
      <c r="C1514" s="1013"/>
      <c r="D1514" s="1013"/>
      <c r="E1514" s="1013"/>
      <c r="F1514" s="1013"/>
      <c r="G1514" s="1013"/>
    </row>
    <row r="1515" spans="1:10" ht="9" customHeight="1">
      <c r="A1515" s="70"/>
      <c r="B1515" s="66"/>
      <c r="C1515" s="66"/>
      <c r="D1515" s="66"/>
      <c r="E1515" s="66"/>
      <c r="F1515" s="66"/>
      <c r="G1515" s="66"/>
    </row>
    <row r="1516" spans="1:10" ht="18.75" customHeight="1">
      <c r="A1516" s="1167" t="s">
        <v>212</v>
      </c>
      <c r="B1516" s="1167"/>
      <c r="C1516" s="1167"/>
      <c r="D1516" s="1167" t="str">
        <f>IF(B1538="","",INDEX(NXchung!$B$3:$EP$57,MATCH(B1538,NXchung!$B$3:$B$57,0),3)&amp;" "&amp;INDEX(NXchung!$B$3:$EP$57,MATCH(B1538,NXchung!$B$3:$B$57,0),4))</f>
        <v/>
      </c>
      <c r="E1516" s="1167"/>
      <c r="F1516" s="77" t="str">
        <f>IF('Huong dan'!$C$3="","","Lớp: "&amp;'Huong dan'!$C$3)</f>
        <v>Lớp: 12A1</v>
      </c>
      <c r="G1516" s="71"/>
    </row>
    <row r="1517" spans="1:10" ht="18.75" customHeight="1">
      <c r="A1517" s="1168" t="s">
        <v>213</v>
      </c>
      <c r="B1517" s="1168"/>
      <c r="C1517" s="1168"/>
      <c r="D1517" s="77" t="str">
        <f>INDEX(NXchung!$B$3:$EP$57,MATCH(B1538,NXchung!$B$3:$B$57,0),5)</f>
        <v/>
      </c>
      <c r="F1517" s="841" t="str">
        <f>IF(B1538="","","Nơi sinh: "&amp;INDEX(DiemHKII!$H$4:$H$58,MATCH(B1538,DiemHKII!$B$4:$B$58,0),1))</f>
        <v/>
      </c>
      <c r="G1517" s="77"/>
    </row>
    <row r="1518" spans="1:10" ht="9.75" customHeight="1">
      <c r="A1518" s="62"/>
      <c r="B1518" s="62"/>
      <c r="C1518" s="62"/>
      <c r="D1518" s="62"/>
      <c r="E1518" s="62"/>
      <c r="F1518" s="62"/>
      <c r="G1518" s="63"/>
    </row>
    <row r="1519" spans="1:10" ht="31.5" customHeight="1">
      <c r="A1519" s="801" t="s">
        <v>0</v>
      </c>
      <c r="B1519" s="801" t="s">
        <v>59</v>
      </c>
      <c r="C1519" s="806" t="s">
        <v>661</v>
      </c>
      <c r="D1519" s="801" t="s">
        <v>296</v>
      </c>
      <c r="E1519" s="806" t="s">
        <v>662</v>
      </c>
      <c r="F1519" s="801" t="s">
        <v>361</v>
      </c>
      <c r="G1519" s="802" t="s">
        <v>569</v>
      </c>
    </row>
    <row r="1520" spans="1:10" ht="45.9" customHeight="1">
      <c r="A1520" s="803" t="s">
        <v>191</v>
      </c>
      <c r="B1520" s="813" t="s">
        <v>26</v>
      </c>
      <c r="C1520" s="805" t="str">
        <f>IF(B1538="","",INDEX(NXchung!$B$3:$EP$57,MATCH(B1538,NXchung!$B$3:$B$57,0),INDEX($K$12:$N$25,MATCH($B1520,$J$12:$J$25,0),K$11)))</f>
        <v/>
      </c>
      <c r="D1520" s="808" t="str">
        <f>IF(B1538="","",INDEX(NXchung!$B$3:$EP$57,MATCH(B1538,NXchung!$B$3:$B$57,0),INDEX($K$12:$N$25,MATCH($B1520,$J$12:$J$25,0),L$11)))</f>
        <v/>
      </c>
      <c r="E1520" s="805" t="str">
        <f>IF(B1538="","",INDEX(NXchung!$B$3:$EP$57,MATCH(B1538,NXchung!$B$3:$B$57,0),INDEX($K$12:$N$25,MATCH($B1520,$J$12:$J$25,0),M$11)))</f>
        <v/>
      </c>
      <c r="F1520" s="808" t="str">
        <f>IF(B1538="","",INDEX(NXchung!$B$3:$EP$57,MATCH(B1538,NXchung!$B$3:$B$57,0),INDEX($K$12:$N$25,MATCH($B1520,$J$12:$J$25,0),N$11)))</f>
        <v/>
      </c>
      <c r="G1520" s="805"/>
      <c r="I1520" s="64"/>
      <c r="J1520" s="64"/>
    </row>
    <row r="1521" spans="1:10" ht="45.9" customHeight="1">
      <c r="A1521" s="803" t="s">
        <v>192</v>
      </c>
      <c r="B1521" s="813" t="s">
        <v>27</v>
      </c>
      <c r="C1521" s="805" t="str">
        <f>IF(B1538="","",INDEX(NXchung!$B$3:$EP$57,MATCH(B1538,NXchung!$B$3:$B$57,0),INDEX($K$12:$N$25,MATCH($B1521,$J$12:$J$25,0),K$11)))</f>
        <v/>
      </c>
      <c r="D1521" s="808" t="str">
        <f>IF(B1538="","",INDEX(NXchung!$B$3:$EP$57,MATCH(B1538,NXchung!$B$3:$B$57,0),INDEX($K$12:$N$25,MATCH($B1521,$J$12:$J$25,0),L$11)))</f>
        <v/>
      </c>
      <c r="E1521" s="805" t="str">
        <f>IF(B1538="","",INDEX(NXchung!$B$3:$EP$57,MATCH(B1538,NXchung!$B$3:$B$57,0),INDEX($K$12:$N$25,MATCH($B1521,$J$12:$J$25,0),M$11)))</f>
        <v/>
      </c>
      <c r="F1521" s="808" t="str">
        <f>IF(B1538="","",INDEX(NXchung!$B$3:$EP$57,MATCH(B1538,NXchung!$B$3:$B$57,0),INDEX($K$12:$N$25,MATCH($B1521,$J$12:$J$25,0),N$11)))</f>
        <v/>
      </c>
      <c r="G1521" s="805"/>
      <c r="I1521" s="64"/>
      <c r="J1521" s="64"/>
    </row>
    <row r="1522" spans="1:10" ht="45.9" customHeight="1">
      <c r="A1522" s="803" t="s">
        <v>193</v>
      </c>
      <c r="B1522" s="813" t="s">
        <v>28</v>
      </c>
      <c r="C1522" s="805" t="str">
        <f>IF(B1538="","",INDEX(NXchung!$B$3:$EP$57,MATCH(B1538,NXchung!$B$3:$B$57,0),INDEX($K$12:$N$25,MATCH($B1522,$J$12:$J$25,0),K$11)))</f>
        <v/>
      </c>
      <c r="D1522" s="808" t="str">
        <f>IF(B1538="","",INDEX(NXchung!$B$3:$EP$57,MATCH(B1538,NXchung!$B$3:$B$57,0),INDEX($K$12:$N$25,MATCH($B1522,$J$12:$J$25,0),L$11)))</f>
        <v/>
      </c>
      <c r="E1522" s="805" t="str">
        <f>IF(B1538="","",INDEX(NXchung!$B$3:$EP$57,MATCH(B1538,NXchung!$B$3:$B$57,0),INDEX($K$12:$N$25,MATCH($B1522,$J$12:$J$25,0),M$11)))</f>
        <v/>
      </c>
      <c r="F1522" s="808" t="str">
        <f>IF(B1538="","",INDEX(NXchung!$B$3:$EP$57,MATCH(B1538,NXchung!$B$3:$B$57,0),INDEX($K$12:$N$25,MATCH($B1522,$J$12:$J$25,0),N$11)))</f>
        <v/>
      </c>
      <c r="G1522" s="805"/>
      <c r="I1522" s="64"/>
      <c r="J1522" s="64"/>
    </row>
    <row r="1523" spans="1:10" ht="45.9" customHeight="1">
      <c r="A1523" s="803" t="s">
        <v>194</v>
      </c>
      <c r="B1523" s="813" t="s">
        <v>29</v>
      </c>
      <c r="C1523" s="805" t="str">
        <f>IF(B1538="","",INDEX(NXchung!$B$3:$EP$57,MATCH(B1538,NXchung!$B$3:$B$57,0),INDEX($K$12:$N$25,MATCH($B1523,$J$12:$J$25,0),K$11)))</f>
        <v/>
      </c>
      <c r="D1523" s="808" t="str">
        <f>IF(B1538="","",INDEX(NXchung!$B$3:$EP$57,MATCH(B1538,NXchung!$B$3:$B$57,0),INDEX($K$12:$N$25,MATCH($B1523,$J$12:$J$25,0),L$11)))</f>
        <v/>
      </c>
      <c r="E1523" s="805" t="str">
        <f>IF(B1538="","",INDEX(NXchung!$B$3:$EP$57,MATCH(B1538,NXchung!$B$3:$B$57,0),INDEX($K$12:$N$25,MATCH($B1523,$J$12:$J$25,0),M$11)))</f>
        <v/>
      </c>
      <c r="F1523" s="808" t="str">
        <f>IF(B1538="","",INDEX(NXchung!$B$3:$EP$57,MATCH(B1538,NXchung!$B$3:$B$57,0),INDEX($K$12:$N$25,MATCH($B1523,$J$12:$J$25,0),N$11)))</f>
        <v/>
      </c>
      <c r="G1523" s="805"/>
      <c r="I1523" s="64"/>
      <c r="J1523" s="64"/>
    </row>
    <row r="1524" spans="1:10" ht="45.9" customHeight="1">
      <c r="A1524" s="803" t="s">
        <v>195</v>
      </c>
      <c r="B1524" s="813" t="s">
        <v>120</v>
      </c>
      <c r="C1524" s="805" t="str">
        <f>IF(B1538="","",INDEX(NXchung!$B$3:$EP$57,MATCH(B1538,NXchung!$B$3:$B$57,0),INDEX($K$12:$N$25,MATCH($B1524,$J$12:$J$25,0),K$11)))</f>
        <v/>
      </c>
      <c r="D1524" s="808" t="str">
        <f>IF(B1538="","",INDEX(NXchung!$B$3:$EP$57,MATCH(B1538,NXchung!$B$3:$B$57,0),INDEX($K$12:$N$25,MATCH($B1524,$J$12:$J$25,0),L$11)))</f>
        <v/>
      </c>
      <c r="E1524" s="805" t="str">
        <f>IF(B1538="","",INDEX(NXchung!$B$3:$EP$57,MATCH(B1538,NXchung!$B$3:$B$57,0),INDEX($K$12:$N$25,MATCH($B1524,$J$12:$J$25,0),M$11)))</f>
        <v/>
      </c>
      <c r="F1524" s="808" t="str">
        <f>IF(B1538="","",INDEX(NXchung!$B$3:$EP$57,MATCH(B1538,NXchung!$B$3:$B$57,0),INDEX($K$12:$N$25,MATCH($B1524,$J$12:$J$25,0),N$11)))</f>
        <v/>
      </c>
      <c r="G1524" s="805"/>
      <c r="I1524" s="64"/>
      <c r="J1524" s="64"/>
    </row>
    <row r="1525" spans="1:10" ht="45.9" customHeight="1">
      <c r="A1525" s="803" t="s">
        <v>196</v>
      </c>
      <c r="B1525" s="813" t="s">
        <v>30</v>
      </c>
      <c r="C1525" s="805" t="str">
        <f>IF(B1538="","",INDEX(NXchung!$B$3:$EP$57,MATCH(B1538,NXchung!$B$3:$B$57,0),INDEX($K$12:$N$25,MATCH($B1525,$J$12:$J$25,0),K$11)))</f>
        <v/>
      </c>
      <c r="D1525" s="808" t="str">
        <f>IF(B1538="","",INDEX(NXchung!$B$3:$EP$57,MATCH(B1538,NXchung!$B$3:$B$57,0),INDEX($K$12:$N$25,MATCH($B1525,$J$12:$J$25,0),L$11)))</f>
        <v/>
      </c>
      <c r="E1525" s="805" t="str">
        <f>IF(B1538="","",INDEX(NXchung!$B$3:$EP$57,MATCH(B1538,NXchung!$B$3:$B$57,0),INDEX($K$12:$N$25,MATCH($B1525,$J$12:$J$25,0),M$11)))</f>
        <v/>
      </c>
      <c r="F1525" s="808" t="str">
        <f>IF(B1538="","",INDEX(NXchung!$B$3:$EP$57,MATCH(B1538,NXchung!$B$3:$B$57,0),INDEX($K$12:$N$25,MATCH($B1525,$J$12:$J$25,0),N$11)))</f>
        <v/>
      </c>
      <c r="G1525" s="805"/>
      <c r="I1525" s="64"/>
      <c r="J1525" s="64"/>
    </row>
    <row r="1526" spans="1:10" ht="45.9" customHeight="1">
      <c r="A1526" s="803" t="s">
        <v>197</v>
      </c>
      <c r="B1526" s="813" t="s">
        <v>31</v>
      </c>
      <c r="C1526" s="805" t="str">
        <f>IF(B1538="","",INDEX(NXchung!$B$3:$EP$57,MATCH(B1538,NXchung!$B$3:$B$57,0),INDEX($K$12:$N$25,MATCH($B1526,$J$12:$J$25,0),K$11)))</f>
        <v/>
      </c>
      <c r="D1526" s="808" t="str">
        <f>IF(B1538="","",INDEX(NXchung!$B$3:$EP$57,MATCH(B1538,NXchung!$B$3:$B$57,0),INDEX($K$12:$N$25,MATCH($B1526,$J$12:$J$25,0),L$11)))</f>
        <v/>
      </c>
      <c r="E1526" s="805" t="str">
        <f>IF(B1538="","",INDEX(NXchung!$B$3:$EP$57,MATCH(B1538,NXchung!$B$3:$B$57,0),INDEX($K$12:$N$25,MATCH($B1526,$J$12:$J$25,0),M$11)))</f>
        <v/>
      </c>
      <c r="F1526" s="808" t="str">
        <f>IF(B1538="","",INDEX(NXchung!$B$3:$EP$57,MATCH(B1538,NXchung!$B$3:$B$57,0),INDEX($K$12:$N$25,MATCH($B1526,$J$12:$J$25,0),N$11)))</f>
        <v/>
      </c>
      <c r="G1526" s="805"/>
      <c r="I1526" s="64"/>
      <c r="J1526" s="64"/>
    </row>
    <row r="1527" spans="1:10" ht="45.9" customHeight="1">
      <c r="A1527" s="803" t="s">
        <v>198</v>
      </c>
      <c r="B1527" s="813" t="s">
        <v>32</v>
      </c>
      <c r="C1527" s="805" t="str">
        <f>IF(B1538="","",INDEX(NXchung!$B$3:$EP$57,MATCH(B1538,NXchung!$B$3:$B$57,0),INDEX($K$12:$N$25,MATCH($B1527,$J$12:$J$25,0),K$11)))</f>
        <v/>
      </c>
      <c r="D1527" s="808" t="str">
        <f>IF(B1538="","",INDEX(NXchung!$B$3:$EP$57,MATCH(B1538,NXchung!$B$3:$B$57,0),INDEX($K$12:$N$25,MATCH($B1527,$J$12:$J$25,0),L$11)))</f>
        <v/>
      </c>
      <c r="E1527" s="805" t="str">
        <f>IF(B1538="","",INDEX(NXchung!$B$3:$EP$57,MATCH(B1538,NXchung!$B$3:$B$57,0),INDEX($K$12:$N$25,MATCH($B1527,$J$12:$J$25,0),M$11)))</f>
        <v/>
      </c>
      <c r="F1527" s="808" t="str">
        <f>IF(B1538="","",INDEX(NXchung!$B$3:$EP$57,MATCH(B1538,NXchung!$B$3:$B$57,0),INDEX($K$12:$N$25,MATCH($B1527,$J$12:$J$25,0),N$11)))</f>
        <v/>
      </c>
      <c r="G1527" s="805"/>
      <c r="I1527" s="64"/>
      <c r="J1527" s="64"/>
    </row>
    <row r="1528" spans="1:10" ht="45.9" customHeight="1">
      <c r="A1528" s="803" t="s">
        <v>199</v>
      </c>
      <c r="B1528" s="813" t="s">
        <v>33</v>
      </c>
      <c r="C1528" s="805" t="str">
        <f>IF(B1538="","",INDEX(NXchung!$B$3:$EP$57,MATCH(B1538,NXchung!$B$3:$B$57,0),INDEX($K$12:$N$25,MATCH($B1528,$J$12:$J$25,0),K$11)))</f>
        <v/>
      </c>
      <c r="D1528" s="808" t="str">
        <f>IF(B1538="","",INDEX(NXchung!$B$3:$EP$57,MATCH(B1538,NXchung!$B$3:$B$57,0),INDEX($K$12:$N$25,MATCH($B1528,$J$12:$J$25,0),L$11)))</f>
        <v/>
      </c>
      <c r="E1528" s="805" t="str">
        <f>IF(B1538="","",INDEX(NXchung!$B$3:$EP$57,MATCH(B1538,NXchung!$B$3:$B$57,0),INDEX($K$12:$N$25,MATCH($B1528,$J$12:$J$25,0),M$11)))</f>
        <v/>
      </c>
      <c r="F1528" s="808" t="str">
        <f>IF(B1538="","",INDEX(NXchung!$B$3:$EP$57,MATCH(B1538,NXchung!$B$3:$B$57,0),INDEX($K$12:$N$25,MATCH($B1528,$J$12:$J$25,0),N$11)))</f>
        <v/>
      </c>
      <c r="G1528" s="805"/>
      <c r="I1528" s="64"/>
      <c r="J1528" s="64"/>
    </row>
    <row r="1529" spans="1:10" ht="45.9" customHeight="1">
      <c r="A1529" s="803" t="s">
        <v>200</v>
      </c>
      <c r="B1529" s="813" t="s">
        <v>60</v>
      </c>
      <c r="C1529" s="805" t="str">
        <f>IF(B1538="","",INDEX(NXchung!$B$3:$EP$57,MATCH(B1538,NXchung!$B$3:$B$57,0),INDEX($K$12:$N$25,MATCH($B1529,$J$12:$J$25,0),K$11)))</f>
        <v/>
      </c>
      <c r="D1529" s="808" t="str">
        <f>IF(B1538="","",INDEX(NXchung!$B$3:$EP$57,MATCH(B1538,NXchung!$B$3:$B$57,0),INDEX($K$12:$N$25,MATCH($B1529,$J$12:$J$25,0),L$11)))</f>
        <v/>
      </c>
      <c r="E1529" s="805" t="str">
        <f>IF(B1538="","",INDEX(NXchung!$B$3:$EP$57,MATCH(B1538,NXchung!$B$3:$B$57,0),INDEX($K$12:$N$25,MATCH($B1529,$J$12:$J$25,0),M$11)))</f>
        <v/>
      </c>
      <c r="F1529" s="808" t="str">
        <f>IF(B1538="","",INDEX(NXchung!$B$3:$EP$57,MATCH(B1538,NXchung!$B$3:$B$57,0),INDEX($K$12:$N$25,MATCH($B1529,$J$12:$J$25,0),N$11)))</f>
        <v/>
      </c>
      <c r="G1529" s="805"/>
      <c r="I1529" s="64"/>
      <c r="J1529" s="64"/>
    </row>
    <row r="1530" spans="1:10" ht="45.9" customHeight="1">
      <c r="A1530" s="803" t="s">
        <v>201</v>
      </c>
      <c r="B1530" s="813" t="s">
        <v>34</v>
      </c>
      <c r="C1530" s="805" t="str">
        <f>IF(B1538="","",INDEX(NXchung!$B$3:$EP$57,MATCH(B1538,NXchung!$B$3:$B$57,0),INDEX($K$12:$N$25,MATCH($B1530,$J$12:$J$25,0),K$11)))</f>
        <v/>
      </c>
      <c r="D1530" s="808" t="str">
        <f>IF(B1538="","",INDEX(NXchung!$B$3:$EP$57,MATCH(B1538,NXchung!$B$3:$B$57,0),INDEX($K$12:$N$25,MATCH($B1530,$J$12:$J$25,0),L$11)))</f>
        <v/>
      </c>
      <c r="E1530" s="805" t="str">
        <f>IF(B1538="","",INDEX(NXchung!$B$3:$EP$57,MATCH(B1538,NXchung!$B$3:$B$57,0),INDEX($K$12:$N$25,MATCH($B1530,$J$12:$J$25,0),M$11)))</f>
        <v/>
      </c>
      <c r="F1530" s="808" t="str">
        <f>IF(B1538="","",INDEX(NXchung!$B$3:$EP$57,MATCH(B1538,NXchung!$B$3:$B$57,0),INDEX($K$12:$N$25,MATCH($B1530,$J$12:$J$25,0),N$11)))</f>
        <v/>
      </c>
      <c r="G1530" s="805"/>
      <c r="I1530" s="64"/>
      <c r="J1530" s="64"/>
    </row>
    <row r="1531" spans="1:10" ht="45.9" customHeight="1">
      <c r="A1531" s="803" t="s">
        <v>202</v>
      </c>
      <c r="B1531" s="813" t="s">
        <v>35</v>
      </c>
      <c r="C1531" s="805" t="str">
        <f>IF(B1538="","",INDEX(NXchung!$B$3:$EP$57,MATCH(B1538,NXchung!$B$3:$B$57,0),INDEX($K$12:$N$25,MATCH($B1531,$J$12:$J$25,0),K$11)))</f>
        <v/>
      </c>
      <c r="D1531" s="808" t="str">
        <f>IF(B1538="","",INDEX(NXchung!$B$3:$EP$57,MATCH(B1538,NXchung!$B$3:$B$57,0),INDEX($K$12:$N$25,MATCH($B1531,$J$12:$J$25,0),L$11)))</f>
        <v/>
      </c>
      <c r="E1531" s="805" t="str">
        <f>IF(B1538="","",INDEX(NXchung!$B$3:$EP$57,MATCH(B1538,NXchung!$B$3:$B$57,0),INDEX($K$12:$N$25,MATCH($B1531,$J$12:$J$25,0),M$11)))</f>
        <v/>
      </c>
      <c r="F1531" s="808" t="str">
        <f>IF(B1538="","",INDEX(NXchung!$B$3:$EP$57,MATCH(B1538,NXchung!$B$3:$B$57,0),INDEX($K$12:$N$25,MATCH($B1531,$J$12:$J$25,0),N$11)))</f>
        <v/>
      </c>
      <c r="G1531" s="805"/>
      <c r="I1531" s="64"/>
      <c r="J1531" s="64"/>
    </row>
    <row r="1532" spans="1:10" ht="45.9" customHeight="1">
      <c r="A1532" s="803" t="s">
        <v>203</v>
      </c>
      <c r="B1532" s="813" t="s">
        <v>121</v>
      </c>
      <c r="C1532" s="805" t="str">
        <f>IF(B1538="","",INDEX(NXchung!$B$3:$EP$57,MATCH(B1538,NXchung!$B$3:$B$57,0),INDEX($K$12:$N$25,MATCH($B1532,$J$12:$J$25,0),K$11)))</f>
        <v/>
      </c>
      <c r="D1532" s="808" t="str">
        <f>IF(B1538="","",INDEX(NXchung!$B$3:$EP$57,MATCH(B1538,NXchung!$B$3:$B$57,0),INDEX($K$12:$N$25,MATCH($B1532,$J$12:$J$25,0),L$11)))</f>
        <v/>
      </c>
      <c r="E1532" s="805" t="str">
        <f>IF(B1538="","",INDEX(NXchung!$B$3:$EP$57,MATCH(B1538,NXchung!$B$3:$B$57,0),INDEX($K$12:$N$25,MATCH($B1532,$J$12:$J$25,0),M$11)))</f>
        <v/>
      </c>
      <c r="F1532" s="808" t="str">
        <f>IF(B1538="","",INDEX(NXchung!$B$3:$EP$57,MATCH(B1538,NXchung!$B$3:$B$57,0),INDEX($K$12:$N$25,MATCH($B1532,$J$12:$J$25,0),N$11)))</f>
        <v/>
      </c>
      <c r="G1532" s="805"/>
      <c r="I1532" s="64"/>
      <c r="J1532" s="64"/>
    </row>
    <row r="1533" spans="1:10" ht="45.9" customHeight="1">
      <c r="A1533" s="803" t="s">
        <v>204</v>
      </c>
      <c r="B1533" s="813" t="s">
        <v>122</v>
      </c>
      <c r="C1533" s="805" t="str">
        <f>IF(B1538="","",INDEX(NXchung!$B$3:$EP$57,MATCH(B1538,NXchung!$B$3:$B$57,0),INDEX($K$12:$N$25,MATCH($B1533,$J$12:$J$25,0),K$11)))</f>
        <v/>
      </c>
      <c r="D1533" s="808" t="str">
        <f>IF(B1538="","",INDEX(NXchung!$B$3:$EP$57,MATCH(B1538,NXchung!$B$3:$B$57,0),INDEX($K$12:$N$25,MATCH($B1533,$J$12:$J$25,0),L$11)))</f>
        <v/>
      </c>
      <c r="E1533" s="805" t="str">
        <f>IF(B1538="","",INDEX(NXchung!$B$3:$EP$57,MATCH(B1538,NXchung!$B$3:$B$57,0),INDEX($K$12:$N$25,MATCH($B1533,$J$12:$J$25,0),M$11)))</f>
        <v/>
      </c>
      <c r="F1533" s="808" t="str">
        <f>IF(B1538="","",INDEX(NXchung!$B$3:$EP$57,MATCH(B1538,NXchung!$B$3:$B$57,0),INDEX($K$12:$N$25,MATCH($B1533,$J$12:$J$25,0),N$11)))</f>
        <v/>
      </c>
      <c r="G1533" s="805"/>
      <c r="I1533" s="64"/>
      <c r="J1533" s="64"/>
    </row>
    <row r="1534" spans="1:10" s="60" customFormat="1" ht="6" customHeight="1">
      <c r="A1534" s="67"/>
      <c r="B1534" s="67"/>
      <c r="C1534" s="475"/>
      <c r="D1534" s="475"/>
      <c r="E1534" s="67"/>
      <c r="F1534" s="67"/>
      <c r="G1534" s="67"/>
    </row>
    <row r="1535" spans="1:10" ht="17.25" customHeight="1">
      <c r="D1535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535" s="1163"/>
      <c r="F1535" s="1163"/>
      <c r="G1535" s="1163"/>
      <c r="H1535" s="814"/>
    </row>
    <row r="1536" spans="1:10" ht="16.5" customHeight="1">
      <c r="D1536" s="992" t="s">
        <v>377</v>
      </c>
      <c r="E1536" s="992"/>
      <c r="F1536" s="992"/>
      <c r="G1536" s="992"/>
      <c r="H1536" s="814"/>
    </row>
    <row r="1537" spans="1:10" ht="81.75" customHeight="1">
      <c r="D1537" s="931" t="str">
        <f>IF('Huong dan'!$E$5="","",'Huong dan'!$E$5)</f>
        <v/>
      </c>
      <c r="E1537" s="931"/>
      <c r="F1537" s="931"/>
      <c r="G1537" s="931"/>
      <c r="H1537" s="814"/>
    </row>
    <row r="1538" spans="1:10" ht="11.25" customHeight="1">
      <c r="A1538" s="75"/>
      <c r="B1538" s="815" t="str">
        <f>IF(B1509="","",IF(B1509&lt;MAX(DiemHKII!$B$4:$B$58),B1509+1,""))</f>
        <v/>
      </c>
      <c r="C1538" s="75"/>
      <c r="D1538" s="75"/>
      <c r="E1538" s="75"/>
      <c r="F1538" s="75"/>
      <c r="G1538" s="75"/>
    </row>
    <row r="1539" spans="1:10" s="60" customFormat="1" ht="21" customHeight="1">
      <c r="A1539" s="1128" t="str">
        <f>IF('Huong dan'!$E$3&lt;&gt;"","SỞ GIÁO DỤC VÀ ĐÀO TẠO "&amp;UPPER('Huong dan'!$E$3),"")</f>
        <v>SỞ GIÁO DỤC VÀ ĐÀO TẠO TP. HỒ CHÍ MINH</v>
      </c>
      <c r="B1539" s="1128"/>
      <c r="C1539" s="1128"/>
      <c r="D1539" s="1128"/>
      <c r="E1539" s="1129" t="s">
        <v>19</v>
      </c>
      <c r="F1539" s="1129"/>
      <c r="G1539" s="1129"/>
    </row>
    <row r="1540" spans="1:10" ht="17.25" customHeight="1">
      <c r="A1540" s="992" t="str">
        <f>IF('Huong dan'!$E$4&lt;&gt;"","TRƯỜNG "&amp;UPPER('Huong dan'!$E$4),"")</f>
        <v>TRƯỜNG THCS VÀ THPT NGUYỄN KHUYẾN</v>
      </c>
      <c r="B1540" s="992"/>
      <c r="C1540" s="992"/>
      <c r="D1540" s="992"/>
      <c r="E1540" s="1130" t="s">
        <v>179</v>
      </c>
      <c r="F1540" s="1130"/>
      <c r="G1540" s="1130"/>
    </row>
    <row r="1541" spans="1:10" ht="15" customHeight="1">
      <c r="A1541" s="69"/>
      <c r="B1541" s="69"/>
      <c r="C1541" s="30"/>
    </row>
    <row r="1542" spans="1:10" ht="27.75" customHeight="1">
      <c r="A1542" s="1013" t="s">
        <v>567</v>
      </c>
      <c r="B1542" s="1013"/>
      <c r="C1542" s="1013"/>
      <c r="D1542" s="1013"/>
      <c r="E1542" s="1013"/>
      <c r="F1542" s="1013"/>
      <c r="G1542" s="1013"/>
    </row>
    <row r="1543" spans="1:10" ht="24" customHeight="1">
      <c r="A1543" s="1013" t="str">
        <f>"HỌC KỲ II VÀ CẢ NĂM - NĂM HỌC "&amp;'Huong dan'!$C$5</f>
        <v>HỌC KỲ II VÀ CẢ NĂM - NĂM HỌC 2021 - 2022</v>
      </c>
      <c r="B1543" s="1013"/>
      <c r="C1543" s="1013"/>
      <c r="D1543" s="1013"/>
      <c r="E1543" s="1013"/>
      <c r="F1543" s="1013"/>
      <c r="G1543" s="1013"/>
    </row>
    <row r="1544" spans="1:10" ht="9" customHeight="1">
      <c r="A1544" s="70"/>
      <c r="B1544" s="66"/>
      <c r="C1544" s="66"/>
      <c r="D1544" s="66"/>
      <c r="E1544" s="66"/>
      <c r="F1544" s="66"/>
      <c r="G1544" s="66"/>
    </row>
    <row r="1545" spans="1:10" ht="18.75" customHeight="1">
      <c r="A1545" s="1167" t="s">
        <v>212</v>
      </c>
      <c r="B1545" s="1167"/>
      <c r="C1545" s="1167"/>
      <c r="D1545" s="1167" t="str">
        <f>IF(B1567="","",INDEX(NXchung!$B$3:$EP$57,MATCH(B1567,NXchung!$B$3:$B$57,0),3)&amp;" "&amp;INDEX(NXchung!$B$3:$EP$57,MATCH(B1567,NXchung!$B$3:$B$57,0),4))</f>
        <v/>
      </c>
      <c r="E1545" s="1167"/>
      <c r="F1545" s="77" t="str">
        <f>IF('Huong dan'!$C$3="","","Lớp: "&amp;'Huong dan'!$C$3)</f>
        <v>Lớp: 12A1</v>
      </c>
      <c r="G1545" s="71"/>
    </row>
    <row r="1546" spans="1:10" ht="18.75" customHeight="1">
      <c r="A1546" s="1168" t="s">
        <v>213</v>
      </c>
      <c r="B1546" s="1168"/>
      <c r="C1546" s="1168"/>
      <c r="D1546" s="77" t="str">
        <f>INDEX(NXchung!$B$3:$EP$57,MATCH(B1567,NXchung!$B$3:$B$57,0),5)</f>
        <v/>
      </c>
      <c r="F1546" s="841" t="str">
        <f>IF(B1567="","","Nơi sinh: "&amp;INDEX(DiemHKII!$H$4:$H$58,MATCH(B1567,DiemHKII!$B$4:$B$58,0),1))</f>
        <v/>
      </c>
      <c r="G1546" s="77"/>
    </row>
    <row r="1547" spans="1:10" ht="9.75" customHeight="1">
      <c r="A1547" s="62"/>
      <c r="B1547" s="62"/>
      <c r="C1547" s="62"/>
      <c r="D1547" s="62"/>
      <c r="E1547" s="62"/>
      <c r="F1547" s="62"/>
      <c r="G1547" s="63"/>
    </row>
    <row r="1548" spans="1:10" ht="31.5" customHeight="1">
      <c r="A1548" s="801" t="s">
        <v>0</v>
      </c>
      <c r="B1548" s="801" t="s">
        <v>59</v>
      </c>
      <c r="C1548" s="806" t="s">
        <v>661</v>
      </c>
      <c r="D1548" s="801" t="s">
        <v>296</v>
      </c>
      <c r="E1548" s="806" t="s">
        <v>662</v>
      </c>
      <c r="F1548" s="801" t="s">
        <v>361</v>
      </c>
      <c r="G1548" s="802" t="s">
        <v>569</v>
      </c>
    </row>
    <row r="1549" spans="1:10" ht="45.9" customHeight="1">
      <c r="A1549" s="803" t="s">
        <v>191</v>
      </c>
      <c r="B1549" s="813" t="s">
        <v>26</v>
      </c>
      <c r="C1549" s="805" t="str">
        <f>IF(B1567="","",INDEX(NXchung!$B$3:$EP$57,MATCH(B1567,NXchung!$B$3:$B$57,0),INDEX($K$12:$N$25,MATCH($B1549,$J$12:$J$25,0),K$11)))</f>
        <v/>
      </c>
      <c r="D1549" s="808" t="str">
        <f>IF(B1567="","",INDEX(NXchung!$B$3:$EP$57,MATCH(B1567,NXchung!$B$3:$B$57,0),INDEX($K$12:$N$25,MATCH($B1549,$J$12:$J$25,0),L$11)))</f>
        <v/>
      </c>
      <c r="E1549" s="805" t="str">
        <f>IF(B1567="","",INDEX(NXchung!$B$3:$EP$57,MATCH(B1567,NXchung!$B$3:$B$57,0),INDEX($K$12:$N$25,MATCH($B1549,$J$12:$J$25,0),M$11)))</f>
        <v/>
      </c>
      <c r="F1549" s="808" t="str">
        <f>IF(B1567="","",INDEX(NXchung!$B$3:$EP$57,MATCH(B1567,NXchung!$B$3:$B$57,0),INDEX($K$12:$N$25,MATCH($B1549,$J$12:$J$25,0),N$11)))</f>
        <v/>
      </c>
      <c r="G1549" s="805"/>
      <c r="I1549" s="64"/>
      <c r="J1549" s="64"/>
    </row>
    <row r="1550" spans="1:10" ht="45.9" customHeight="1">
      <c r="A1550" s="803" t="s">
        <v>192</v>
      </c>
      <c r="B1550" s="813" t="s">
        <v>27</v>
      </c>
      <c r="C1550" s="805" t="str">
        <f>IF(B1567="","",INDEX(NXchung!$B$3:$EP$57,MATCH(B1567,NXchung!$B$3:$B$57,0),INDEX($K$12:$N$25,MATCH($B1550,$J$12:$J$25,0),K$11)))</f>
        <v/>
      </c>
      <c r="D1550" s="808" t="str">
        <f>IF(B1567="","",INDEX(NXchung!$B$3:$EP$57,MATCH(B1567,NXchung!$B$3:$B$57,0),INDEX($K$12:$N$25,MATCH($B1550,$J$12:$J$25,0),L$11)))</f>
        <v/>
      </c>
      <c r="E1550" s="805" t="str">
        <f>IF(B1567="","",INDEX(NXchung!$B$3:$EP$57,MATCH(B1567,NXchung!$B$3:$B$57,0),INDEX($K$12:$N$25,MATCH($B1550,$J$12:$J$25,0),M$11)))</f>
        <v/>
      </c>
      <c r="F1550" s="808" t="str">
        <f>IF(B1567="","",INDEX(NXchung!$B$3:$EP$57,MATCH(B1567,NXchung!$B$3:$B$57,0),INDEX($K$12:$N$25,MATCH($B1550,$J$12:$J$25,0),N$11)))</f>
        <v/>
      </c>
      <c r="G1550" s="805"/>
      <c r="I1550" s="64"/>
      <c r="J1550" s="64"/>
    </row>
    <row r="1551" spans="1:10" ht="45.9" customHeight="1">
      <c r="A1551" s="803" t="s">
        <v>193</v>
      </c>
      <c r="B1551" s="813" t="s">
        <v>28</v>
      </c>
      <c r="C1551" s="805" t="str">
        <f>IF(B1567="","",INDEX(NXchung!$B$3:$EP$57,MATCH(B1567,NXchung!$B$3:$B$57,0),INDEX($K$12:$N$25,MATCH($B1551,$J$12:$J$25,0),K$11)))</f>
        <v/>
      </c>
      <c r="D1551" s="808" t="str">
        <f>IF(B1567="","",INDEX(NXchung!$B$3:$EP$57,MATCH(B1567,NXchung!$B$3:$B$57,0),INDEX($K$12:$N$25,MATCH($B1551,$J$12:$J$25,0),L$11)))</f>
        <v/>
      </c>
      <c r="E1551" s="805" t="str">
        <f>IF(B1567="","",INDEX(NXchung!$B$3:$EP$57,MATCH(B1567,NXchung!$B$3:$B$57,0),INDEX($K$12:$N$25,MATCH($B1551,$J$12:$J$25,0),M$11)))</f>
        <v/>
      </c>
      <c r="F1551" s="808" t="str">
        <f>IF(B1567="","",INDEX(NXchung!$B$3:$EP$57,MATCH(B1567,NXchung!$B$3:$B$57,0),INDEX($K$12:$N$25,MATCH($B1551,$J$12:$J$25,0),N$11)))</f>
        <v/>
      </c>
      <c r="G1551" s="805"/>
      <c r="I1551" s="64"/>
      <c r="J1551" s="64"/>
    </row>
    <row r="1552" spans="1:10" ht="45.9" customHeight="1">
      <c r="A1552" s="803" t="s">
        <v>194</v>
      </c>
      <c r="B1552" s="813" t="s">
        <v>29</v>
      </c>
      <c r="C1552" s="805" t="str">
        <f>IF(B1567="","",INDEX(NXchung!$B$3:$EP$57,MATCH(B1567,NXchung!$B$3:$B$57,0),INDEX($K$12:$N$25,MATCH($B1552,$J$12:$J$25,0),K$11)))</f>
        <v/>
      </c>
      <c r="D1552" s="808" t="str">
        <f>IF(B1567="","",INDEX(NXchung!$B$3:$EP$57,MATCH(B1567,NXchung!$B$3:$B$57,0),INDEX($K$12:$N$25,MATCH($B1552,$J$12:$J$25,0),L$11)))</f>
        <v/>
      </c>
      <c r="E1552" s="805" t="str">
        <f>IF(B1567="","",INDEX(NXchung!$B$3:$EP$57,MATCH(B1567,NXchung!$B$3:$B$57,0),INDEX($K$12:$N$25,MATCH($B1552,$J$12:$J$25,0),M$11)))</f>
        <v/>
      </c>
      <c r="F1552" s="808" t="str">
        <f>IF(B1567="","",INDEX(NXchung!$B$3:$EP$57,MATCH(B1567,NXchung!$B$3:$B$57,0),INDEX($K$12:$N$25,MATCH($B1552,$J$12:$J$25,0),N$11)))</f>
        <v/>
      </c>
      <c r="G1552" s="805"/>
      <c r="I1552" s="64"/>
      <c r="J1552" s="64"/>
    </row>
    <row r="1553" spans="1:10" ht="45.9" customHeight="1">
      <c r="A1553" s="803" t="s">
        <v>195</v>
      </c>
      <c r="B1553" s="813" t="s">
        <v>120</v>
      </c>
      <c r="C1553" s="805" t="str">
        <f>IF(B1567="","",INDEX(NXchung!$B$3:$EP$57,MATCH(B1567,NXchung!$B$3:$B$57,0),INDEX($K$12:$N$25,MATCH($B1553,$J$12:$J$25,0),K$11)))</f>
        <v/>
      </c>
      <c r="D1553" s="808" t="str">
        <f>IF(B1567="","",INDEX(NXchung!$B$3:$EP$57,MATCH(B1567,NXchung!$B$3:$B$57,0),INDEX($K$12:$N$25,MATCH($B1553,$J$12:$J$25,0),L$11)))</f>
        <v/>
      </c>
      <c r="E1553" s="805" t="str">
        <f>IF(B1567="","",INDEX(NXchung!$B$3:$EP$57,MATCH(B1567,NXchung!$B$3:$B$57,0),INDEX($K$12:$N$25,MATCH($B1553,$J$12:$J$25,0),M$11)))</f>
        <v/>
      </c>
      <c r="F1553" s="808" t="str">
        <f>IF(B1567="","",INDEX(NXchung!$B$3:$EP$57,MATCH(B1567,NXchung!$B$3:$B$57,0),INDEX($K$12:$N$25,MATCH($B1553,$J$12:$J$25,0),N$11)))</f>
        <v/>
      </c>
      <c r="G1553" s="805"/>
      <c r="I1553" s="64"/>
      <c r="J1553" s="64"/>
    </row>
    <row r="1554" spans="1:10" ht="45.9" customHeight="1">
      <c r="A1554" s="803" t="s">
        <v>196</v>
      </c>
      <c r="B1554" s="813" t="s">
        <v>30</v>
      </c>
      <c r="C1554" s="805" t="str">
        <f>IF(B1567="","",INDEX(NXchung!$B$3:$EP$57,MATCH(B1567,NXchung!$B$3:$B$57,0),INDEX($K$12:$N$25,MATCH($B1554,$J$12:$J$25,0),K$11)))</f>
        <v/>
      </c>
      <c r="D1554" s="808" t="str">
        <f>IF(B1567="","",INDEX(NXchung!$B$3:$EP$57,MATCH(B1567,NXchung!$B$3:$B$57,0),INDEX($K$12:$N$25,MATCH($B1554,$J$12:$J$25,0),L$11)))</f>
        <v/>
      </c>
      <c r="E1554" s="805" t="str">
        <f>IF(B1567="","",INDEX(NXchung!$B$3:$EP$57,MATCH(B1567,NXchung!$B$3:$B$57,0),INDEX($K$12:$N$25,MATCH($B1554,$J$12:$J$25,0),M$11)))</f>
        <v/>
      </c>
      <c r="F1554" s="808" t="str">
        <f>IF(B1567="","",INDEX(NXchung!$B$3:$EP$57,MATCH(B1567,NXchung!$B$3:$B$57,0),INDEX($K$12:$N$25,MATCH($B1554,$J$12:$J$25,0),N$11)))</f>
        <v/>
      </c>
      <c r="G1554" s="805"/>
      <c r="I1554" s="64"/>
      <c r="J1554" s="64"/>
    </row>
    <row r="1555" spans="1:10" ht="45.9" customHeight="1">
      <c r="A1555" s="803" t="s">
        <v>197</v>
      </c>
      <c r="B1555" s="813" t="s">
        <v>31</v>
      </c>
      <c r="C1555" s="805" t="str">
        <f>IF(B1567="","",INDEX(NXchung!$B$3:$EP$57,MATCH(B1567,NXchung!$B$3:$B$57,0),INDEX($K$12:$N$25,MATCH($B1555,$J$12:$J$25,0),K$11)))</f>
        <v/>
      </c>
      <c r="D1555" s="808" t="str">
        <f>IF(B1567="","",INDEX(NXchung!$B$3:$EP$57,MATCH(B1567,NXchung!$B$3:$B$57,0),INDEX($K$12:$N$25,MATCH($B1555,$J$12:$J$25,0),L$11)))</f>
        <v/>
      </c>
      <c r="E1555" s="805" t="str">
        <f>IF(B1567="","",INDEX(NXchung!$B$3:$EP$57,MATCH(B1567,NXchung!$B$3:$B$57,0),INDEX($K$12:$N$25,MATCH($B1555,$J$12:$J$25,0),M$11)))</f>
        <v/>
      </c>
      <c r="F1555" s="808" t="str">
        <f>IF(B1567="","",INDEX(NXchung!$B$3:$EP$57,MATCH(B1567,NXchung!$B$3:$B$57,0),INDEX($K$12:$N$25,MATCH($B1555,$J$12:$J$25,0),N$11)))</f>
        <v/>
      </c>
      <c r="G1555" s="805"/>
      <c r="I1555" s="64"/>
      <c r="J1555" s="64"/>
    </row>
    <row r="1556" spans="1:10" ht="45.9" customHeight="1">
      <c r="A1556" s="803" t="s">
        <v>198</v>
      </c>
      <c r="B1556" s="813" t="s">
        <v>32</v>
      </c>
      <c r="C1556" s="805" t="str">
        <f>IF(B1567="","",INDEX(NXchung!$B$3:$EP$57,MATCH(B1567,NXchung!$B$3:$B$57,0),INDEX($K$12:$N$25,MATCH($B1556,$J$12:$J$25,0),K$11)))</f>
        <v/>
      </c>
      <c r="D1556" s="808" t="str">
        <f>IF(B1567="","",INDEX(NXchung!$B$3:$EP$57,MATCH(B1567,NXchung!$B$3:$B$57,0),INDEX($K$12:$N$25,MATCH($B1556,$J$12:$J$25,0),L$11)))</f>
        <v/>
      </c>
      <c r="E1556" s="805" t="str">
        <f>IF(B1567="","",INDEX(NXchung!$B$3:$EP$57,MATCH(B1567,NXchung!$B$3:$B$57,0),INDEX($K$12:$N$25,MATCH($B1556,$J$12:$J$25,0),M$11)))</f>
        <v/>
      </c>
      <c r="F1556" s="808" t="str">
        <f>IF(B1567="","",INDEX(NXchung!$B$3:$EP$57,MATCH(B1567,NXchung!$B$3:$B$57,0),INDEX($K$12:$N$25,MATCH($B1556,$J$12:$J$25,0),N$11)))</f>
        <v/>
      </c>
      <c r="G1556" s="805"/>
      <c r="I1556" s="64"/>
      <c r="J1556" s="64"/>
    </row>
    <row r="1557" spans="1:10" ht="45.9" customHeight="1">
      <c r="A1557" s="803" t="s">
        <v>199</v>
      </c>
      <c r="B1557" s="813" t="s">
        <v>33</v>
      </c>
      <c r="C1557" s="805" t="str">
        <f>IF(B1567="","",INDEX(NXchung!$B$3:$EP$57,MATCH(B1567,NXchung!$B$3:$B$57,0),INDEX($K$12:$N$25,MATCH($B1557,$J$12:$J$25,0),K$11)))</f>
        <v/>
      </c>
      <c r="D1557" s="808" t="str">
        <f>IF(B1567="","",INDEX(NXchung!$B$3:$EP$57,MATCH(B1567,NXchung!$B$3:$B$57,0),INDEX($K$12:$N$25,MATCH($B1557,$J$12:$J$25,0),L$11)))</f>
        <v/>
      </c>
      <c r="E1557" s="805" t="str">
        <f>IF(B1567="","",INDEX(NXchung!$B$3:$EP$57,MATCH(B1567,NXchung!$B$3:$B$57,0),INDEX($K$12:$N$25,MATCH($B1557,$J$12:$J$25,0),M$11)))</f>
        <v/>
      </c>
      <c r="F1557" s="808" t="str">
        <f>IF(B1567="","",INDEX(NXchung!$B$3:$EP$57,MATCH(B1567,NXchung!$B$3:$B$57,0),INDEX($K$12:$N$25,MATCH($B1557,$J$12:$J$25,0),N$11)))</f>
        <v/>
      </c>
      <c r="G1557" s="805"/>
      <c r="I1557" s="64"/>
      <c r="J1557" s="64"/>
    </row>
    <row r="1558" spans="1:10" ht="45.9" customHeight="1">
      <c r="A1558" s="803" t="s">
        <v>200</v>
      </c>
      <c r="B1558" s="813" t="s">
        <v>60</v>
      </c>
      <c r="C1558" s="805" t="str">
        <f>IF(B1567="","",INDEX(NXchung!$B$3:$EP$57,MATCH(B1567,NXchung!$B$3:$B$57,0),INDEX($K$12:$N$25,MATCH($B1558,$J$12:$J$25,0),K$11)))</f>
        <v/>
      </c>
      <c r="D1558" s="808" t="str">
        <f>IF(B1567="","",INDEX(NXchung!$B$3:$EP$57,MATCH(B1567,NXchung!$B$3:$B$57,0),INDEX($K$12:$N$25,MATCH($B1558,$J$12:$J$25,0),L$11)))</f>
        <v/>
      </c>
      <c r="E1558" s="805" t="str">
        <f>IF(B1567="","",INDEX(NXchung!$B$3:$EP$57,MATCH(B1567,NXchung!$B$3:$B$57,0),INDEX($K$12:$N$25,MATCH($B1558,$J$12:$J$25,0),M$11)))</f>
        <v/>
      </c>
      <c r="F1558" s="808" t="str">
        <f>IF(B1567="","",INDEX(NXchung!$B$3:$EP$57,MATCH(B1567,NXchung!$B$3:$B$57,0),INDEX($K$12:$N$25,MATCH($B1558,$J$12:$J$25,0),N$11)))</f>
        <v/>
      </c>
      <c r="G1558" s="805"/>
      <c r="I1558" s="64"/>
      <c r="J1558" s="64"/>
    </row>
    <row r="1559" spans="1:10" ht="45.9" customHeight="1">
      <c r="A1559" s="803" t="s">
        <v>201</v>
      </c>
      <c r="B1559" s="813" t="s">
        <v>34</v>
      </c>
      <c r="C1559" s="805" t="str">
        <f>IF(B1567="","",INDEX(NXchung!$B$3:$EP$57,MATCH(B1567,NXchung!$B$3:$B$57,0),INDEX($K$12:$N$25,MATCH($B1559,$J$12:$J$25,0),K$11)))</f>
        <v/>
      </c>
      <c r="D1559" s="808" t="str">
        <f>IF(B1567="","",INDEX(NXchung!$B$3:$EP$57,MATCH(B1567,NXchung!$B$3:$B$57,0),INDEX($K$12:$N$25,MATCH($B1559,$J$12:$J$25,0),L$11)))</f>
        <v/>
      </c>
      <c r="E1559" s="805" t="str">
        <f>IF(B1567="","",INDEX(NXchung!$B$3:$EP$57,MATCH(B1567,NXchung!$B$3:$B$57,0),INDEX($K$12:$N$25,MATCH($B1559,$J$12:$J$25,0),M$11)))</f>
        <v/>
      </c>
      <c r="F1559" s="808" t="str">
        <f>IF(B1567="","",INDEX(NXchung!$B$3:$EP$57,MATCH(B1567,NXchung!$B$3:$B$57,0),INDEX($K$12:$N$25,MATCH($B1559,$J$12:$J$25,0),N$11)))</f>
        <v/>
      </c>
      <c r="G1559" s="805"/>
      <c r="I1559" s="64"/>
      <c r="J1559" s="64"/>
    </row>
    <row r="1560" spans="1:10" ht="45.9" customHeight="1">
      <c r="A1560" s="803" t="s">
        <v>202</v>
      </c>
      <c r="B1560" s="813" t="s">
        <v>35</v>
      </c>
      <c r="C1560" s="805" t="str">
        <f>IF(B1567="","",INDEX(NXchung!$B$3:$EP$57,MATCH(B1567,NXchung!$B$3:$B$57,0),INDEX($K$12:$N$25,MATCH($B1560,$J$12:$J$25,0),K$11)))</f>
        <v/>
      </c>
      <c r="D1560" s="808" t="str">
        <f>IF(B1567="","",INDEX(NXchung!$B$3:$EP$57,MATCH(B1567,NXchung!$B$3:$B$57,0),INDEX($K$12:$N$25,MATCH($B1560,$J$12:$J$25,0),L$11)))</f>
        <v/>
      </c>
      <c r="E1560" s="805" t="str">
        <f>IF(B1567="","",INDEX(NXchung!$B$3:$EP$57,MATCH(B1567,NXchung!$B$3:$B$57,0),INDEX($K$12:$N$25,MATCH($B1560,$J$12:$J$25,0),M$11)))</f>
        <v/>
      </c>
      <c r="F1560" s="808" t="str">
        <f>IF(B1567="","",INDEX(NXchung!$B$3:$EP$57,MATCH(B1567,NXchung!$B$3:$B$57,0),INDEX($K$12:$N$25,MATCH($B1560,$J$12:$J$25,0),N$11)))</f>
        <v/>
      </c>
      <c r="G1560" s="805"/>
      <c r="I1560" s="64"/>
      <c r="J1560" s="64"/>
    </row>
    <row r="1561" spans="1:10" ht="45.9" customHeight="1">
      <c r="A1561" s="803" t="s">
        <v>203</v>
      </c>
      <c r="B1561" s="813" t="s">
        <v>121</v>
      </c>
      <c r="C1561" s="805" t="str">
        <f>IF(B1567="","",INDEX(NXchung!$B$3:$EP$57,MATCH(B1567,NXchung!$B$3:$B$57,0),INDEX($K$12:$N$25,MATCH($B1561,$J$12:$J$25,0),K$11)))</f>
        <v/>
      </c>
      <c r="D1561" s="808" t="str">
        <f>IF(B1567="","",INDEX(NXchung!$B$3:$EP$57,MATCH(B1567,NXchung!$B$3:$B$57,0),INDEX($K$12:$N$25,MATCH($B1561,$J$12:$J$25,0),L$11)))</f>
        <v/>
      </c>
      <c r="E1561" s="805" t="str">
        <f>IF(B1567="","",INDEX(NXchung!$B$3:$EP$57,MATCH(B1567,NXchung!$B$3:$B$57,0),INDEX($K$12:$N$25,MATCH($B1561,$J$12:$J$25,0),M$11)))</f>
        <v/>
      </c>
      <c r="F1561" s="808" t="str">
        <f>IF(B1567="","",INDEX(NXchung!$B$3:$EP$57,MATCH(B1567,NXchung!$B$3:$B$57,0),INDEX($K$12:$N$25,MATCH($B1561,$J$12:$J$25,0),N$11)))</f>
        <v/>
      </c>
      <c r="G1561" s="805"/>
      <c r="I1561" s="64"/>
      <c r="J1561" s="64"/>
    </row>
    <row r="1562" spans="1:10" ht="45.9" customHeight="1">
      <c r="A1562" s="803" t="s">
        <v>204</v>
      </c>
      <c r="B1562" s="813" t="s">
        <v>122</v>
      </c>
      <c r="C1562" s="805" t="str">
        <f>IF(B1567="","",INDEX(NXchung!$B$3:$EP$57,MATCH(B1567,NXchung!$B$3:$B$57,0),INDEX($K$12:$N$25,MATCH($B1562,$J$12:$J$25,0),K$11)))</f>
        <v/>
      </c>
      <c r="D1562" s="808" t="str">
        <f>IF(B1567="","",INDEX(NXchung!$B$3:$EP$57,MATCH(B1567,NXchung!$B$3:$B$57,0),INDEX($K$12:$N$25,MATCH($B1562,$J$12:$J$25,0),L$11)))</f>
        <v/>
      </c>
      <c r="E1562" s="805" t="str">
        <f>IF(B1567="","",INDEX(NXchung!$B$3:$EP$57,MATCH(B1567,NXchung!$B$3:$B$57,0),INDEX($K$12:$N$25,MATCH($B1562,$J$12:$J$25,0),M$11)))</f>
        <v/>
      </c>
      <c r="F1562" s="808" t="str">
        <f>IF(B1567="","",INDEX(NXchung!$B$3:$EP$57,MATCH(B1567,NXchung!$B$3:$B$57,0),INDEX($K$12:$N$25,MATCH($B1562,$J$12:$J$25,0),N$11)))</f>
        <v/>
      </c>
      <c r="G1562" s="805"/>
      <c r="I1562" s="64"/>
      <c r="J1562" s="64"/>
    </row>
    <row r="1563" spans="1:10" s="60" customFormat="1" ht="6" customHeight="1">
      <c r="A1563" s="67"/>
      <c r="B1563" s="67"/>
      <c r="C1563" s="475"/>
      <c r="D1563" s="475"/>
      <c r="E1563" s="67"/>
      <c r="F1563" s="67"/>
      <c r="G1563" s="67"/>
    </row>
    <row r="1564" spans="1:10" ht="17.25" customHeight="1">
      <c r="D1564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564" s="1163"/>
      <c r="F1564" s="1163"/>
      <c r="G1564" s="1163"/>
      <c r="H1564" s="814"/>
    </row>
    <row r="1565" spans="1:10" ht="16.5" customHeight="1">
      <c r="D1565" s="992" t="s">
        <v>377</v>
      </c>
      <c r="E1565" s="992"/>
      <c r="F1565" s="992"/>
      <c r="G1565" s="992"/>
      <c r="H1565" s="814"/>
    </row>
    <row r="1566" spans="1:10" ht="81.75" customHeight="1">
      <c r="D1566" s="931" t="str">
        <f>IF('Huong dan'!$E$5="","",'Huong dan'!$E$5)</f>
        <v/>
      </c>
      <c r="E1566" s="931"/>
      <c r="F1566" s="931"/>
      <c r="G1566" s="931"/>
      <c r="H1566" s="814"/>
    </row>
    <row r="1567" spans="1:10" ht="11.25" customHeight="1">
      <c r="A1567" s="75"/>
      <c r="B1567" s="815" t="str">
        <f>IF(B1538="","",IF(B1538&lt;MAX(DiemHKII!$B$4:$B$58),B1538+1,""))</f>
        <v/>
      </c>
      <c r="C1567" s="75"/>
      <c r="D1567" s="75"/>
      <c r="E1567" s="75"/>
      <c r="F1567" s="75"/>
      <c r="G1567" s="75"/>
    </row>
    <row r="1568" spans="1:10" s="60" customFormat="1" ht="21" customHeight="1">
      <c r="A1568" s="1128" t="str">
        <f>IF('Huong dan'!$E$3&lt;&gt;"","SỞ GIÁO DỤC VÀ ĐÀO TẠO "&amp;UPPER('Huong dan'!$E$3),"")</f>
        <v>SỞ GIÁO DỤC VÀ ĐÀO TẠO TP. HỒ CHÍ MINH</v>
      </c>
      <c r="B1568" s="1128"/>
      <c r="C1568" s="1128"/>
      <c r="D1568" s="1128"/>
      <c r="E1568" s="1129" t="s">
        <v>19</v>
      </c>
      <c r="F1568" s="1129"/>
      <c r="G1568" s="1129"/>
    </row>
    <row r="1569" spans="1:10" ht="17.25" customHeight="1">
      <c r="A1569" s="992" t="str">
        <f>IF('Huong dan'!$E$4&lt;&gt;"","TRƯỜNG "&amp;UPPER('Huong dan'!$E$4),"")</f>
        <v>TRƯỜNG THCS VÀ THPT NGUYỄN KHUYẾN</v>
      </c>
      <c r="B1569" s="992"/>
      <c r="C1569" s="992"/>
      <c r="D1569" s="992"/>
      <c r="E1569" s="1130" t="s">
        <v>179</v>
      </c>
      <c r="F1569" s="1130"/>
      <c r="G1569" s="1130"/>
    </row>
    <row r="1570" spans="1:10" ht="15" customHeight="1">
      <c r="A1570" s="69"/>
      <c r="B1570" s="69"/>
      <c r="C1570" s="30"/>
    </row>
    <row r="1571" spans="1:10" ht="27.75" customHeight="1">
      <c r="A1571" s="1013" t="s">
        <v>567</v>
      </c>
      <c r="B1571" s="1013"/>
      <c r="C1571" s="1013"/>
      <c r="D1571" s="1013"/>
      <c r="E1571" s="1013"/>
      <c r="F1571" s="1013"/>
      <c r="G1571" s="1013"/>
    </row>
    <row r="1572" spans="1:10" ht="24" customHeight="1">
      <c r="A1572" s="1013" t="str">
        <f>"HỌC KỲ II VÀ CẢ NĂM - NĂM HỌC "&amp;'Huong dan'!$C$5</f>
        <v>HỌC KỲ II VÀ CẢ NĂM - NĂM HỌC 2021 - 2022</v>
      </c>
      <c r="B1572" s="1013"/>
      <c r="C1572" s="1013"/>
      <c r="D1572" s="1013"/>
      <c r="E1572" s="1013"/>
      <c r="F1572" s="1013"/>
      <c r="G1572" s="1013"/>
    </row>
    <row r="1573" spans="1:10" ht="9" customHeight="1">
      <c r="A1573" s="70"/>
      <c r="B1573" s="66"/>
      <c r="C1573" s="66"/>
      <c r="D1573" s="66"/>
      <c r="E1573" s="66"/>
      <c r="F1573" s="66"/>
      <c r="G1573" s="66"/>
    </row>
    <row r="1574" spans="1:10" ht="18.75" customHeight="1">
      <c r="A1574" s="1167" t="s">
        <v>212</v>
      </c>
      <c r="B1574" s="1167"/>
      <c r="C1574" s="1167"/>
      <c r="D1574" s="1167" t="str">
        <f>IF(B1596="","",INDEX(NXchung!$B$3:$EP$57,MATCH(B1596,NXchung!$B$3:$B$57,0),3)&amp;" "&amp;INDEX(NXchung!$B$3:$EP$57,MATCH(B1596,NXchung!$B$3:$B$57,0),4))</f>
        <v/>
      </c>
      <c r="E1574" s="1167"/>
      <c r="F1574" s="77" t="str">
        <f>IF('Huong dan'!$C$3="","","Lớp: "&amp;'Huong dan'!$C$3)</f>
        <v>Lớp: 12A1</v>
      </c>
      <c r="G1574" s="71"/>
    </row>
    <row r="1575" spans="1:10" ht="18.75" customHeight="1">
      <c r="A1575" s="1168" t="s">
        <v>213</v>
      </c>
      <c r="B1575" s="1168"/>
      <c r="C1575" s="1168"/>
      <c r="D1575" s="77" t="str">
        <f>INDEX(NXchung!$B$3:$EP$57,MATCH(B1596,NXchung!$B$3:$B$57,0),5)</f>
        <v/>
      </c>
      <c r="F1575" s="841" t="str">
        <f>IF(B1596="","","Nơi sinh: "&amp;INDEX(DiemHKII!$H$4:$H$58,MATCH(B1596,DiemHKII!$B$4:$B$58,0),1))</f>
        <v/>
      </c>
      <c r="G1575" s="77"/>
    </row>
    <row r="1576" spans="1:10" ht="9.75" customHeight="1">
      <c r="A1576" s="62"/>
      <c r="B1576" s="62"/>
      <c r="C1576" s="62"/>
      <c r="D1576" s="62"/>
      <c r="E1576" s="62"/>
      <c r="F1576" s="62"/>
      <c r="G1576" s="63"/>
    </row>
    <row r="1577" spans="1:10" ht="31.5" customHeight="1">
      <c r="A1577" s="801" t="s">
        <v>0</v>
      </c>
      <c r="B1577" s="801" t="s">
        <v>59</v>
      </c>
      <c r="C1577" s="806" t="s">
        <v>661</v>
      </c>
      <c r="D1577" s="801" t="s">
        <v>296</v>
      </c>
      <c r="E1577" s="806" t="s">
        <v>662</v>
      </c>
      <c r="F1577" s="801" t="s">
        <v>361</v>
      </c>
      <c r="G1577" s="802" t="s">
        <v>569</v>
      </c>
    </row>
    <row r="1578" spans="1:10" ht="45.9" customHeight="1">
      <c r="A1578" s="803" t="s">
        <v>191</v>
      </c>
      <c r="B1578" s="813" t="s">
        <v>26</v>
      </c>
      <c r="C1578" s="805" t="str">
        <f>IF(B1596="","",INDEX(NXchung!$B$3:$EP$57,MATCH(B1596,NXchung!$B$3:$B$57,0),INDEX($K$12:$N$25,MATCH($B1578,$J$12:$J$25,0),K$11)))</f>
        <v/>
      </c>
      <c r="D1578" s="808" t="str">
        <f>IF(B1596="","",INDEX(NXchung!$B$3:$EP$57,MATCH(B1596,NXchung!$B$3:$B$57,0),INDEX($K$12:$N$25,MATCH($B1578,$J$12:$J$25,0),L$11)))</f>
        <v/>
      </c>
      <c r="E1578" s="805" t="str">
        <f>IF(B1596="","",INDEX(NXchung!$B$3:$EP$57,MATCH(B1596,NXchung!$B$3:$B$57,0),INDEX($K$12:$N$25,MATCH($B1578,$J$12:$J$25,0),M$11)))</f>
        <v/>
      </c>
      <c r="F1578" s="808" t="str">
        <f>IF(B1596="","",INDEX(NXchung!$B$3:$EP$57,MATCH(B1596,NXchung!$B$3:$B$57,0),INDEX($K$12:$N$25,MATCH($B1578,$J$12:$J$25,0),N$11)))</f>
        <v/>
      </c>
      <c r="G1578" s="805"/>
      <c r="I1578" s="64"/>
      <c r="J1578" s="64"/>
    </row>
    <row r="1579" spans="1:10" ht="45.9" customHeight="1">
      <c r="A1579" s="803" t="s">
        <v>192</v>
      </c>
      <c r="B1579" s="813" t="s">
        <v>27</v>
      </c>
      <c r="C1579" s="805" t="str">
        <f>IF(B1596="","",INDEX(NXchung!$B$3:$EP$57,MATCH(B1596,NXchung!$B$3:$B$57,0),INDEX($K$12:$N$25,MATCH($B1579,$J$12:$J$25,0),K$11)))</f>
        <v/>
      </c>
      <c r="D1579" s="808" t="str">
        <f>IF(B1596="","",INDEX(NXchung!$B$3:$EP$57,MATCH(B1596,NXchung!$B$3:$B$57,0),INDEX($K$12:$N$25,MATCH($B1579,$J$12:$J$25,0),L$11)))</f>
        <v/>
      </c>
      <c r="E1579" s="805" t="str">
        <f>IF(B1596="","",INDEX(NXchung!$B$3:$EP$57,MATCH(B1596,NXchung!$B$3:$B$57,0),INDEX($K$12:$N$25,MATCH($B1579,$J$12:$J$25,0),M$11)))</f>
        <v/>
      </c>
      <c r="F1579" s="808" t="str">
        <f>IF(B1596="","",INDEX(NXchung!$B$3:$EP$57,MATCH(B1596,NXchung!$B$3:$B$57,0),INDEX($K$12:$N$25,MATCH($B1579,$J$12:$J$25,0),N$11)))</f>
        <v/>
      </c>
      <c r="G1579" s="805"/>
      <c r="I1579" s="64"/>
      <c r="J1579" s="64"/>
    </row>
    <row r="1580" spans="1:10" ht="45.9" customHeight="1">
      <c r="A1580" s="803" t="s">
        <v>193</v>
      </c>
      <c r="B1580" s="813" t="s">
        <v>28</v>
      </c>
      <c r="C1580" s="805" t="str">
        <f>IF(B1596="","",INDEX(NXchung!$B$3:$EP$57,MATCH(B1596,NXchung!$B$3:$B$57,0),INDEX($K$12:$N$25,MATCH($B1580,$J$12:$J$25,0),K$11)))</f>
        <v/>
      </c>
      <c r="D1580" s="808" t="str">
        <f>IF(B1596="","",INDEX(NXchung!$B$3:$EP$57,MATCH(B1596,NXchung!$B$3:$B$57,0),INDEX($K$12:$N$25,MATCH($B1580,$J$12:$J$25,0),L$11)))</f>
        <v/>
      </c>
      <c r="E1580" s="805" t="str">
        <f>IF(B1596="","",INDEX(NXchung!$B$3:$EP$57,MATCH(B1596,NXchung!$B$3:$B$57,0),INDEX($K$12:$N$25,MATCH($B1580,$J$12:$J$25,0),M$11)))</f>
        <v/>
      </c>
      <c r="F1580" s="808" t="str">
        <f>IF(B1596="","",INDEX(NXchung!$B$3:$EP$57,MATCH(B1596,NXchung!$B$3:$B$57,0),INDEX($K$12:$N$25,MATCH($B1580,$J$12:$J$25,0),N$11)))</f>
        <v/>
      </c>
      <c r="G1580" s="805"/>
      <c r="I1580" s="64"/>
      <c r="J1580" s="64"/>
    </row>
    <row r="1581" spans="1:10" ht="45.9" customHeight="1">
      <c r="A1581" s="803" t="s">
        <v>194</v>
      </c>
      <c r="B1581" s="813" t="s">
        <v>29</v>
      </c>
      <c r="C1581" s="805" t="str">
        <f>IF(B1596="","",INDEX(NXchung!$B$3:$EP$57,MATCH(B1596,NXchung!$B$3:$B$57,0),INDEX($K$12:$N$25,MATCH($B1581,$J$12:$J$25,0),K$11)))</f>
        <v/>
      </c>
      <c r="D1581" s="808" t="str">
        <f>IF(B1596="","",INDEX(NXchung!$B$3:$EP$57,MATCH(B1596,NXchung!$B$3:$B$57,0),INDEX($K$12:$N$25,MATCH($B1581,$J$12:$J$25,0),L$11)))</f>
        <v/>
      </c>
      <c r="E1581" s="805" t="str">
        <f>IF(B1596="","",INDEX(NXchung!$B$3:$EP$57,MATCH(B1596,NXchung!$B$3:$B$57,0),INDEX($K$12:$N$25,MATCH($B1581,$J$12:$J$25,0),M$11)))</f>
        <v/>
      </c>
      <c r="F1581" s="808" t="str">
        <f>IF(B1596="","",INDEX(NXchung!$B$3:$EP$57,MATCH(B1596,NXchung!$B$3:$B$57,0),INDEX($K$12:$N$25,MATCH($B1581,$J$12:$J$25,0),N$11)))</f>
        <v/>
      </c>
      <c r="G1581" s="805"/>
      <c r="I1581" s="64"/>
      <c r="J1581" s="64"/>
    </row>
    <row r="1582" spans="1:10" ht="45.9" customHeight="1">
      <c r="A1582" s="803" t="s">
        <v>195</v>
      </c>
      <c r="B1582" s="813" t="s">
        <v>120</v>
      </c>
      <c r="C1582" s="805" t="str">
        <f>IF(B1596="","",INDEX(NXchung!$B$3:$EP$57,MATCH(B1596,NXchung!$B$3:$B$57,0),INDEX($K$12:$N$25,MATCH($B1582,$J$12:$J$25,0),K$11)))</f>
        <v/>
      </c>
      <c r="D1582" s="808" t="str">
        <f>IF(B1596="","",INDEX(NXchung!$B$3:$EP$57,MATCH(B1596,NXchung!$B$3:$B$57,0),INDEX($K$12:$N$25,MATCH($B1582,$J$12:$J$25,0),L$11)))</f>
        <v/>
      </c>
      <c r="E1582" s="805" t="str">
        <f>IF(B1596="","",INDEX(NXchung!$B$3:$EP$57,MATCH(B1596,NXchung!$B$3:$B$57,0),INDEX($K$12:$N$25,MATCH($B1582,$J$12:$J$25,0),M$11)))</f>
        <v/>
      </c>
      <c r="F1582" s="808" t="str">
        <f>IF(B1596="","",INDEX(NXchung!$B$3:$EP$57,MATCH(B1596,NXchung!$B$3:$B$57,0),INDEX($K$12:$N$25,MATCH($B1582,$J$12:$J$25,0),N$11)))</f>
        <v/>
      </c>
      <c r="G1582" s="805"/>
      <c r="I1582" s="64"/>
      <c r="J1582" s="64"/>
    </row>
    <row r="1583" spans="1:10" ht="45.9" customHeight="1">
      <c r="A1583" s="803" t="s">
        <v>196</v>
      </c>
      <c r="B1583" s="813" t="s">
        <v>30</v>
      </c>
      <c r="C1583" s="805" t="str">
        <f>IF(B1596="","",INDEX(NXchung!$B$3:$EP$57,MATCH(B1596,NXchung!$B$3:$B$57,0),INDEX($K$12:$N$25,MATCH($B1583,$J$12:$J$25,0),K$11)))</f>
        <v/>
      </c>
      <c r="D1583" s="808" t="str">
        <f>IF(B1596="","",INDEX(NXchung!$B$3:$EP$57,MATCH(B1596,NXchung!$B$3:$B$57,0),INDEX($K$12:$N$25,MATCH($B1583,$J$12:$J$25,0),L$11)))</f>
        <v/>
      </c>
      <c r="E1583" s="805" t="str">
        <f>IF(B1596="","",INDEX(NXchung!$B$3:$EP$57,MATCH(B1596,NXchung!$B$3:$B$57,0),INDEX($K$12:$N$25,MATCH($B1583,$J$12:$J$25,0),M$11)))</f>
        <v/>
      </c>
      <c r="F1583" s="808" t="str">
        <f>IF(B1596="","",INDEX(NXchung!$B$3:$EP$57,MATCH(B1596,NXchung!$B$3:$B$57,0),INDEX($K$12:$N$25,MATCH($B1583,$J$12:$J$25,0),N$11)))</f>
        <v/>
      </c>
      <c r="G1583" s="805"/>
      <c r="I1583" s="64"/>
      <c r="J1583" s="64"/>
    </row>
    <row r="1584" spans="1:10" ht="45.9" customHeight="1">
      <c r="A1584" s="803" t="s">
        <v>197</v>
      </c>
      <c r="B1584" s="813" t="s">
        <v>31</v>
      </c>
      <c r="C1584" s="805" t="str">
        <f>IF(B1596="","",INDEX(NXchung!$B$3:$EP$57,MATCH(B1596,NXchung!$B$3:$B$57,0),INDEX($K$12:$N$25,MATCH($B1584,$J$12:$J$25,0),K$11)))</f>
        <v/>
      </c>
      <c r="D1584" s="808" t="str">
        <f>IF(B1596="","",INDEX(NXchung!$B$3:$EP$57,MATCH(B1596,NXchung!$B$3:$B$57,0),INDEX($K$12:$N$25,MATCH($B1584,$J$12:$J$25,0),L$11)))</f>
        <v/>
      </c>
      <c r="E1584" s="805" t="str">
        <f>IF(B1596="","",INDEX(NXchung!$B$3:$EP$57,MATCH(B1596,NXchung!$B$3:$B$57,0),INDEX($K$12:$N$25,MATCH($B1584,$J$12:$J$25,0),M$11)))</f>
        <v/>
      </c>
      <c r="F1584" s="808" t="str">
        <f>IF(B1596="","",INDEX(NXchung!$B$3:$EP$57,MATCH(B1596,NXchung!$B$3:$B$57,0),INDEX($K$12:$N$25,MATCH($B1584,$J$12:$J$25,0),N$11)))</f>
        <v/>
      </c>
      <c r="G1584" s="805"/>
      <c r="I1584" s="64"/>
      <c r="J1584" s="64"/>
    </row>
    <row r="1585" spans="1:10" ht="45.9" customHeight="1">
      <c r="A1585" s="803" t="s">
        <v>198</v>
      </c>
      <c r="B1585" s="813" t="s">
        <v>32</v>
      </c>
      <c r="C1585" s="805" t="str">
        <f>IF(B1596="","",INDEX(NXchung!$B$3:$EP$57,MATCH(B1596,NXchung!$B$3:$B$57,0),INDEX($K$12:$N$25,MATCH($B1585,$J$12:$J$25,0),K$11)))</f>
        <v/>
      </c>
      <c r="D1585" s="808" t="str">
        <f>IF(B1596="","",INDEX(NXchung!$B$3:$EP$57,MATCH(B1596,NXchung!$B$3:$B$57,0),INDEX($K$12:$N$25,MATCH($B1585,$J$12:$J$25,0),L$11)))</f>
        <v/>
      </c>
      <c r="E1585" s="805" t="str">
        <f>IF(B1596="","",INDEX(NXchung!$B$3:$EP$57,MATCH(B1596,NXchung!$B$3:$B$57,0),INDEX($K$12:$N$25,MATCH($B1585,$J$12:$J$25,0),M$11)))</f>
        <v/>
      </c>
      <c r="F1585" s="808" t="str">
        <f>IF(B1596="","",INDEX(NXchung!$B$3:$EP$57,MATCH(B1596,NXchung!$B$3:$B$57,0),INDEX($K$12:$N$25,MATCH($B1585,$J$12:$J$25,0),N$11)))</f>
        <v/>
      </c>
      <c r="G1585" s="805"/>
      <c r="I1585" s="64"/>
      <c r="J1585" s="64"/>
    </row>
    <row r="1586" spans="1:10" ht="45.9" customHeight="1">
      <c r="A1586" s="803" t="s">
        <v>199</v>
      </c>
      <c r="B1586" s="813" t="s">
        <v>33</v>
      </c>
      <c r="C1586" s="805" t="str">
        <f>IF(B1596="","",INDEX(NXchung!$B$3:$EP$57,MATCH(B1596,NXchung!$B$3:$B$57,0),INDEX($K$12:$N$25,MATCH($B1586,$J$12:$J$25,0),K$11)))</f>
        <v/>
      </c>
      <c r="D1586" s="808" t="str">
        <f>IF(B1596="","",INDEX(NXchung!$B$3:$EP$57,MATCH(B1596,NXchung!$B$3:$B$57,0),INDEX($K$12:$N$25,MATCH($B1586,$J$12:$J$25,0),L$11)))</f>
        <v/>
      </c>
      <c r="E1586" s="805" t="str">
        <f>IF(B1596="","",INDEX(NXchung!$B$3:$EP$57,MATCH(B1596,NXchung!$B$3:$B$57,0),INDEX($K$12:$N$25,MATCH($B1586,$J$12:$J$25,0),M$11)))</f>
        <v/>
      </c>
      <c r="F1586" s="808" t="str">
        <f>IF(B1596="","",INDEX(NXchung!$B$3:$EP$57,MATCH(B1596,NXchung!$B$3:$B$57,0),INDEX($K$12:$N$25,MATCH($B1586,$J$12:$J$25,0),N$11)))</f>
        <v/>
      </c>
      <c r="G1586" s="805"/>
      <c r="I1586" s="64"/>
      <c r="J1586" s="64"/>
    </row>
    <row r="1587" spans="1:10" ht="45.9" customHeight="1">
      <c r="A1587" s="803" t="s">
        <v>200</v>
      </c>
      <c r="B1587" s="813" t="s">
        <v>60</v>
      </c>
      <c r="C1587" s="805" t="str">
        <f>IF(B1596="","",INDEX(NXchung!$B$3:$EP$57,MATCH(B1596,NXchung!$B$3:$B$57,0),INDEX($K$12:$N$25,MATCH($B1587,$J$12:$J$25,0),K$11)))</f>
        <v/>
      </c>
      <c r="D1587" s="808" t="str">
        <f>IF(B1596="","",INDEX(NXchung!$B$3:$EP$57,MATCH(B1596,NXchung!$B$3:$B$57,0),INDEX($K$12:$N$25,MATCH($B1587,$J$12:$J$25,0),L$11)))</f>
        <v/>
      </c>
      <c r="E1587" s="805" t="str">
        <f>IF(B1596="","",INDEX(NXchung!$B$3:$EP$57,MATCH(B1596,NXchung!$B$3:$B$57,0),INDEX($K$12:$N$25,MATCH($B1587,$J$12:$J$25,0),M$11)))</f>
        <v/>
      </c>
      <c r="F1587" s="808" t="str">
        <f>IF(B1596="","",INDEX(NXchung!$B$3:$EP$57,MATCH(B1596,NXchung!$B$3:$B$57,0),INDEX($K$12:$N$25,MATCH($B1587,$J$12:$J$25,0),N$11)))</f>
        <v/>
      </c>
      <c r="G1587" s="805"/>
      <c r="I1587" s="64"/>
      <c r="J1587" s="64"/>
    </row>
    <row r="1588" spans="1:10" ht="45.9" customHeight="1">
      <c r="A1588" s="803" t="s">
        <v>201</v>
      </c>
      <c r="B1588" s="813" t="s">
        <v>34</v>
      </c>
      <c r="C1588" s="805" t="str">
        <f>IF(B1596="","",INDEX(NXchung!$B$3:$EP$57,MATCH(B1596,NXchung!$B$3:$B$57,0),INDEX($K$12:$N$25,MATCH($B1588,$J$12:$J$25,0),K$11)))</f>
        <v/>
      </c>
      <c r="D1588" s="808" t="str">
        <f>IF(B1596="","",INDEX(NXchung!$B$3:$EP$57,MATCH(B1596,NXchung!$B$3:$B$57,0),INDEX($K$12:$N$25,MATCH($B1588,$J$12:$J$25,0),L$11)))</f>
        <v/>
      </c>
      <c r="E1588" s="805" t="str">
        <f>IF(B1596="","",INDEX(NXchung!$B$3:$EP$57,MATCH(B1596,NXchung!$B$3:$B$57,0),INDEX($K$12:$N$25,MATCH($B1588,$J$12:$J$25,0),M$11)))</f>
        <v/>
      </c>
      <c r="F1588" s="808" t="str">
        <f>IF(B1596="","",INDEX(NXchung!$B$3:$EP$57,MATCH(B1596,NXchung!$B$3:$B$57,0),INDEX($K$12:$N$25,MATCH($B1588,$J$12:$J$25,0),N$11)))</f>
        <v/>
      </c>
      <c r="G1588" s="805"/>
      <c r="I1588" s="64"/>
      <c r="J1588" s="64"/>
    </row>
    <row r="1589" spans="1:10" ht="45.9" customHeight="1">
      <c r="A1589" s="803" t="s">
        <v>202</v>
      </c>
      <c r="B1589" s="813" t="s">
        <v>35</v>
      </c>
      <c r="C1589" s="805" t="str">
        <f>IF(B1596="","",INDEX(NXchung!$B$3:$EP$57,MATCH(B1596,NXchung!$B$3:$B$57,0),INDEX($K$12:$N$25,MATCH($B1589,$J$12:$J$25,0),K$11)))</f>
        <v/>
      </c>
      <c r="D1589" s="808" t="str">
        <f>IF(B1596="","",INDEX(NXchung!$B$3:$EP$57,MATCH(B1596,NXchung!$B$3:$B$57,0),INDEX($K$12:$N$25,MATCH($B1589,$J$12:$J$25,0),L$11)))</f>
        <v/>
      </c>
      <c r="E1589" s="805" t="str">
        <f>IF(B1596="","",INDEX(NXchung!$B$3:$EP$57,MATCH(B1596,NXchung!$B$3:$B$57,0),INDEX($K$12:$N$25,MATCH($B1589,$J$12:$J$25,0),M$11)))</f>
        <v/>
      </c>
      <c r="F1589" s="808" t="str">
        <f>IF(B1596="","",INDEX(NXchung!$B$3:$EP$57,MATCH(B1596,NXchung!$B$3:$B$57,0),INDEX($K$12:$N$25,MATCH($B1589,$J$12:$J$25,0),N$11)))</f>
        <v/>
      </c>
      <c r="G1589" s="805"/>
      <c r="I1589" s="64"/>
      <c r="J1589" s="64"/>
    </row>
    <row r="1590" spans="1:10" ht="45.9" customHeight="1">
      <c r="A1590" s="803" t="s">
        <v>203</v>
      </c>
      <c r="B1590" s="813" t="s">
        <v>121</v>
      </c>
      <c r="C1590" s="805" t="str">
        <f>IF(B1596="","",INDEX(NXchung!$B$3:$EP$57,MATCH(B1596,NXchung!$B$3:$B$57,0),INDEX($K$12:$N$25,MATCH($B1590,$J$12:$J$25,0),K$11)))</f>
        <v/>
      </c>
      <c r="D1590" s="808" t="str">
        <f>IF(B1596="","",INDEX(NXchung!$B$3:$EP$57,MATCH(B1596,NXchung!$B$3:$B$57,0),INDEX($K$12:$N$25,MATCH($B1590,$J$12:$J$25,0),L$11)))</f>
        <v/>
      </c>
      <c r="E1590" s="805" t="str">
        <f>IF(B1596="","",INDEX(NXchung!$B$3:$EP$57,MATCH(B1596,NXchung!$B$3:$B$57,0),INDEX($K$12:$N$25,MATCH($B1590,$J$12:$J$25,0),M$11)))</f>
        <v/>
      </c>
      <c r="F1590" s="808" t="str">
        <f>IF(B1596="","",INDEX(NXchung!$B$3:$EP$57,MATCH(B1596,NXchung!$B$3:$B$57,0),INDEX($K$12:$N$25,MATCH($B1590,$J$12:$J$25,0),N$11)))</f>
        <v/>
      </c>
      <c r="G1590" s="805"/>
      <c r="I1590" s="64"/>
      <c r="J1590" s="64"/>
    </row>
    <row r="1591" spans="1:10" ht="45.9" customHeight="1">
      <c r="A1591" s="803" t="s">
        <v>204</v>
      </c>
      <c r="B1591" s="813" t="s">
        <v>122</v>
      </c>
      <c r="C1591" s="805" t="str">
        <f>IF(B1596="","",INDEX(NXchung!$B$3:$EP$57,MATCH(B1596,NXchung!$B$3:$B$57,0),INDEX($K$12:$N$25,MATCH($B1591,$J$12:$J$25,0),K$11)))</f>
        <v/>
      </c>
      <c r="D1591" s="808" t="str">
        <f>IF(B1596="","",INDEX(NXchung!$B$3:$EP$57,MATCH(B1596,NXchung!$B$3:$B$57,0),INDEX($K$12:$N$25,MATCH($B1591,$J$12:$J$25,0),L$11)))</f>
        <v/>
      </c>
      <c r="E1591" s="805" t="str">
        <f>IF(B1596="","",INDEX(NXchung!$B$3:$EP$57,MATCH(B1596,NXchung!$B$3:$B$57,0),INDEX($K$12:$N$25,MATCH($B1591,$J$12:$J$25,0),M$11)))</f>
        <v/>
      </c>
      <c r="F1591" s="808" t="str">
        <f>IF(B1596="","",INDEX(NXchung!$B$3:$EP$57,MATCH(B1596,NXchung!$B$3:$B$57,0),INDEX($K$12:$N$25,MATCH($B1591,$J$12:$J$25,0),N$11)))</f>
        <v/>
      </c>
      <c r="G1591" s="805"/>
      <c r="I1591" s="64"/>
      <c r="J1591" s="64"/>
    </row>
    <row r="1592" spans="1:10" s="60" customFormat="1" ht="6" customHeight="1">
      <c r="A1592" s="67"/>
      <c r="B1592" s="67"/>
      <c r="C1592" s="475"/>
      <c r="D1592" s="475"/>
      <c r="E1592" s="67"/>
      <c r="F1592" s="67"/>
      <c r="G1592" s="67"/>
    </row>
    <row r="1593" spans="1:10" ht="17.25" customHeight="1">
      <c r="D1593" s="1163" t="str">
        <f ca="1">'Huong dan'!$E$3&amp;IF($G$1="", ", ngày " &amp;IF(DAY(NOW())&lt;10,"0"&amp;DAY(NOW()),DAY(NOW()))&amp;"  tháng "&amp;IF(MONTH(NOW())&lt;3,"0"&amp;MONTH(NOW()),MONTH(NOW()))&amp;" năm "&amp;YEAR(NOW()),", ngày "&amp;IF(DAY($G$1)&lt;10,"0"&amp;DAY($G$1),DAY($G$1))&amp;" tháng "&amp;IF(MONTH($G$1)&lt;3,"0"&amp;MONTH($G$1),MONTH($G$1))&amp;" năm "&amp;YEAR($G$1))</f>
        <v>TP. Hồ Chí Minh, ngày 08  tháng 10 năm 2022</v>
      </c>
      <c r="E1593" s="1163"/>
      <c r="F1593" s="1163"/>
      <c r="G1593" s="1163"/>
      <c r="H1593" s="814"/>
    </row>
    <row r="1594" spans="1:10" ht="16.5" customHeight="1">
      <c r="D1594" s="992" t="s">
        <v>377</v>
      </c>
      <c r="E1594" s="992"/>
      <c r="F1594" s="992"/>
      <c r="G1594" s="992"/>
      <c r="H1594" s="814"/>
    </row>
    <row r="1595" spans="1:10" ht="81.75" customHeight="1">
      <c r="D1595" s="931" t="str">
        <f>IF('Huong dan'!$E$5="","",'Huong dan'!$E$5)</f>
        <v/>
      </c>
      <c r="E1595" s="931"/>
      <c r="F1595" s="931"/>
      <c r="G1595" s="931"/>
      <c r="H1595" s="814"/>
    </row>
    <row r="1596" spans="1:10" ht="11.25" customHeight="1">
      <c r="A1596" s="75"/>
      <c r="B1596" s="815" t="str">
        <f>IF(B1567="","",IF(B1567&lt;MAX(DiemHKII!$B$4:$B$58),B1567+1,""))</f>
        <v/>
      </c>
      <c r="C1596" s="75"/>
      <c r="D1596" s="75"/>
      <c r="E1596" s="75"/>
      <c r="F1596" s="75"/>
      <c r="G1596" s="75"/>
    </row>
  </sheetData>
  <sheetProtection algorithmName="SHA-512" hashValue="O+Imn9UshhOG5Hia8f0Z/3cdKgpO9d+gVoqraW6esHPGnsLvLpZT3o4AVlxuc3DLDyvqaFbUgKiph/4vNqjWEA==" saltValue="gjy5kbS1bL/TO5Dhf79ZOw==" spinCount="100000" sheet="1" objects="1" scenarios="1"/>
  <mergeCells count="660">
    <mergeCell ref="A1575:C1575"/>
    <mergeCell ref="D1593:G1593"/>
    <mergeCell ref="D1594:G1594"/>
    <mergeCell ref="D1595:G1595"/>
    <mergeCell ref="A1569:D1569"/>
    <mergeCell ref="E1569:G1569"/>
    <mergeCell ref="A1571:G1571"/>
    <mergeCell ref="A1572:G1572"/>
    <mergeCell ref="A1574:C1574"/>
    <mergeCell ref="D1574:E1574"/>
    <mergeCell ref="A1546:C1546"/>
    <mergeCell ref="D1564:G1564"/>
    <mergeCell ref="D1565:G1565"/>
    <mergeCell ref="D1566:G1566"/>
    <mergeCell ref="A1568:D1568"/>
    <mergeCell ref="E1568:G1568"/>
    <mergeCell ref="A1540:D1540"/>
    <mergeCell ref="E1540:G1540"/>
    <mergeCell ref="A1542:G1542"/>
    <mergeCell ref="A1543:G1543"/>
    <mergeCell ref="A1545:C1545"/>
    <mergeCell ref="D1545:E1545"/>
    <mergeCell ref="A1517:C1517"/>
    <mergeCell ref="D1535:G1535"/>
    <mergeCell ref="D1536:G1536"/>
    <mergeCell ref="D1537:G1537"/>
    <mergeCell ref="A1539:D1539"/>
    <mergeCell ref="E1539:G1539"/>
    <mergeCell ref="A1511:D1511"/>
    <mergeCell ref="E1511:G1511"/>
    <mergeCell ref="A1513:G1513"/>
    <mergeCell ref="A1514:G1514"/>
    <mergeCell ref="A1516:C1516"/>
    <mergeCell ref="D1516:E1516"/>
    <mergeCell ref="A1488:C1488"/>
    <mergeCell ref="D1506:G1506"/>
    <mergeCell ref="D1507:G1507"/>
    <mergeCell ref="D1508:G1508"/>
    <mergeCell ref="A1510:D1510"/>
    <mergeCell ref="E1510:G1510"/>
    <mergeCell ref="A1482:D1482"/>
    <mergeCell ref="E1482:G1482"/>
    <mergeCell ref="A1484:G1484"/>
    <mergeCell ref="A1485:G1485"/>
    <mergeCell ref="A1487:C1487"/>
    <mergeCell ref="D1487:E1487"/>
    <mergeCell ref="A1459:C1459"/>
    <mergeCell ref="D1477:G1477"/>
    <mergeCell ref="D1478:G1478"/>
    <mergeCell ref="D1479:G1479"/>
    <mergeCell ref="A1481:D1481"/>
    <mergeCell ref="E1481:G1481"/>
    <mergeCell ref="A1453:D1453"/>
    <mergeCell ref="E1453:G1453"/>
    <mergeCell ref="A1455:G1455"/>
    <mergeCell ref="A1456:G1456"/>
    <mergeCell ref="A1458:C1458"/>
    <mergeCell ref="D1458:E1458"/>
    <mergeCell ref="A1430:C1430"/>
    <mergeCell ref="D1448:G1448"/>
    <mergeCell ref="D1449:G1449"/>
    <mergeCell ref="D1450:G1450"/>
    <mergeCell ref="A1452:D1452"/>
    <mergeCell ref="E1452:G1452"/>
    <mergeCell ref="A1424:D1424"/>
    <mergeCell ref="E1424:G1424"/>
    <mergeCell ref="A1426:G1426"/>
    <mergeCell ref="A1427:G1427"/>
    <mergeCell ref="A1429:C1429"/>
    <mergeCell ref="D1429:E1429"/>
    <mergeCell ref="A1401:C1401"/>
    <mergeCell ref="D1419:G1419"/>
    <mergeCell ref="D1420:G1420"/>
    <mergeCell ref="D1421:G1421"/>
    <mergeCell ref="A1423:D1423"/>
    <mergeCell ref="E1423:G1423"/>
    <mergeCell ref="A1395:D1395"/>
    <mergeCell ref="E1395:G1395"/>
    <mergeCell ref="A1397:G1397"/>
    <mergeCell ref="A1398:G1398"/>
    <mergeCell ref="A1400:C1400"/>
    <mergeCell ref="D1400:E1400"/>
    <mergeCell ref="A1372:C1372"/>
    <mergeCell ref="D1390:G1390"/>
    <mergeCell ref="D1391:G1391"/>
    <mergeCell ref="D1392:G1392"/>
    <mergeCell ref="A1394:D1394"/>
    <mergeCell ref="E1394:G1394"/>
    <mergeCell ref="A1366:D1366"/>
    <mergeCell ref="E1366:G1366"/>
    <mergeCell ref="A1368:G1368"/>
    <mergeCell ref="A1369:G1369"/>
    <mergeCell ref="A1371:C1371"/>
    <mergeCell ref="D1371:E1371"/>
    <mergeCell ref="A1343:C1343"/>
    <mergeCell ref="D1361:G1361"/>
    <mergeCell ref="D1362:G1362"/>
    <mergeCell ref="D1363:G1363"/>
    <mergeCell ref="A1365:D1365"/>
    <mergeCell ref="E1365:G1365"/>
    <mergeCell ref="A1337:D1337"/>
    <mergeCell ref="E1337:G1337"/>
    <mergeCell ref="A1339:G1339"/>
    <mergeCell ref="A1340:G1340"/>
    <mergeCell ref="A1342:C1342"/>
    <mergeCell ref="D1342:E1342"/>
    <mergeCell ref="A1314:C1314"/>
    <mergeCell ref="D1332:G1332"/>
    <mergeCell ref="D1333:G1333"/>
    <mergeCell ref="D1334:G1334"/>
    <mergeCell ref="A1336:D1336"/>
    <mergeCell ref="E1336:G1336"/>
    <mergeCell ref="A1308:D1308"/>
    <mergeCell ref="E1308:G1308"/>
    <mergeCell ref="A1310:G1310"/>
    <mergeCell ref="A1311:G1311"/>
    <mergeCell ref="A1313:C1313"/>
    <mergeCell ref="D1313:E1313"/>
    <mergeCell ref="A1285:C1285"/>
    <mergeCell ref="D1303:G1303"/>
    <mergeCell ref="D1304:G1304"/>
    <mergeCell ref="D1305:G1305"/>
    <mergeCell ref="A1307:D1307"/>
    <mergeCell ref="E1307:G1307"/>
    <mergeCell ref="A1279:D1279"/>
    <mergeCell ref="E1279:G1279"/>
    <mergeCell ref="A1281:G1281"/>
    <mergeCell ref="A1282:G1282"/>
    <mergeCell ref="A1284:C1284"/>
    <mergeCell ref="D1284:E1284"/>
    <mergeCell ref="A1256:C1256"/>
    <mergeCell ref="D1274:G1274"/>
    <mergeCell ref="D1275:G1275"/>
    <mergeCell ref="D1276:G1276"/>
    <mergeCell ref="A1278:D1278"/>
    <mergeCell ref="E1278:G1278"/>
    <mergeCell ref="A1250:D1250"/>
    <mergeCell ref="E1250:G1250"/>
    <mergeCell ref="A1252:G1252"/>
    <mergeCell ref="A1253:G1253"/>
    <mergeCell ref="A1255:C1255"/>
    <mergeCell ref="D1255:E1255"/>
    <mergeCell ref="A1227:C1227"/>
    <mergeCell ref="D1245:G1245"/>
    <mergeCell ref="D1246:G1246"/>
    <mergeCell ref="D1247:G1247"/>
    <mergeCell ref="A1249:D1249"/>
    <mergeCell ref="E1249:G1249"/>
    <mergeCell ref="A1221:D1221"/>
    <mergeCell ref="E1221:G1221"/>
    <mergeCell ref="A1223:G1223"/>
    <mergeCell ref="A1224:G1224"/>
    <mergeCell ref="A1226:C1226"/>
    <mergeCell ref="D1226:E1226"/>
    <mergeCell ref="A1198:C1198"/>
    <mergeCell ref="D1216:G1216"/>
    <mergeCell ref="D1217:G1217"/>
    <mergeCell ref="D1218:G1218"/>
    <mergeCell ref="A1220:D1220"/>
    <mergeCell ref="E1220:G1220"/>
    <mergeCell ref="A1192:D1192"/>
    <mergeCell ref="E1192:G1192"/>
    <mergeCell ref="A1194:G1194"/>
    <mergeCell ref="A1195:G1195"/>
    <mergeCell ref="A1197:C1197"/>
    <mergeCell ref="D1197:E1197"/>
    <mergeCell ref="A1169:C1169"/>
    <mergeCell ref="D1187:G1187"/>
    <mergeCell ref="D1188:G1188"/>
    <mergeCell ref="D1189:G1189"/>
    <mergeCell ref="A1191:D1191"/>
    <mergeCell ref="E1191:G1191"/>
    <mergeCell ref="A1163:D1163"/>
    <mergeCell ref="E1163:G1163"/>
    <mergeCell ref="A1165:G1165"/>
    <mergeCell ref="A1166:G1166"/>
    <mergeCell ref="A1168:C1168"/>
    <mergeCell ref="D1168:E1168"/>
    <mergeCell ref="A1140:C1140"/>
    <mergeCell ref="D1158:G1158"/>
    <mergeCell ref="D1159:G1159"/>
    <mergeCell ref="D1160:G1160"/>
    <mergeCell ref="A1162:D1162"/>
    <mergeCell ref="E1162:G1162"/>
    <mergeCell ref="A1134:D1134"/>
    <mergeCell ref="E1134:G1134"/>
    <mergeCell ref="A1136:G1136"/>
    <mergeCell ref="A1137:G1137"/>
    <mergeCell ref="A1139:C1139"/>
    <mergeCell ref="D1139:E1139"/>
    <mergeCell ref="A1111:C1111"/>
    <mergeCell ref="D1129:G1129"/>
    <mergeCell ref="D1130:G1130"/>
    <mergeCell ref="D1131:G1131"/>
    <mergeCell ref="A1133:D1133"/>
    <mergeCell ref="E1133:G1133"/>
    <mergeCell ref="A1105:D1105"/>
    <mergeCell ref="E1105:G1105"/>
    <mergeCell ref="A1107:G1107"/>
    <mergeCell ref="A1108:G1108"/>
    <mergeCell ref="A1110:C1110"/>
    <mergeCell ref="D1110:E1110"/>
    <mergeCell ref="A1082:C1082"/>
    <mergeCell ref="D1100:G1100"/>
    <mergeCell ref="D1101:G1101"/>
    <mergeCell ref="D1102:G1102"/>
    <mergeCell ref="A1104:D1104"/>
    <mergeCell ref="E1104:G1104"/>
    <mergeCell ref="A1076:D1076"/>
    <mergeCell ref="E1076:G1076"/>
    <mergeCell ref="A1078:G1078"/>
    <mergeCell ref="A1079:G1079"/>
    <mergeCell ref="A1081:C1081"/>
    <mergeCell ref="D1081:E1081"/>
    <mergeCell ref="A1053:C1053"/>
    <mergeCell ref="D1071:G1071"/>
    <mergeCell ref="D1072:G1072"/>
    <mergeCell ref="D1073:G1073"/>
    <mergeCell ref="A1075:D1075"/>
    <mergeCell ref="E1075:G1075"/>
    <mergeCell ref="A1047:D1047"/>
    <mergeCell ref="E1047:G1047"/>
    <mergeCell ref="A1049:G1049"/>
    <mergeCell ref="A1050:G1050"/>
    <mergeCell ref="A1052:C1052"/>
    <mergeCell ref="D1052:E1052"/>
    <mergeCell ref="A1024:C1024"/>
    <mergeCell ref="D1042:G1042"/>
    <mergeCell ref="D1043:G1043"/>
    <mergeCell ref="D1044:G1044"/>
    <mergeCell ref="A1046:D1046"/>
    <mergeCell ref="E1046:G1046"/>
    <mergeCell ref="A1018:D1018"/>
    <mergeCell ref="E1018:G1018"/>
    <mergeCell ref="A1020:G1020"/>
    <mergeCell ref="A1021:G1021"/>
    <mergeCell ref="A1023:C1023"/>
    <mergeCell ref="D1023:E1023"/>
    <mergeCell ref="A995:C995"/>
    <mergeCell ref="D1013:G1013"/>
    <mergeCell ref="D1014:G1014"/>
    <mergeCell ref="D1015:G1015"/>
    <mergeCell ref="A1017:D1017"/>
    <mergeCell ref="E1017:G1017"/>
    <mergeCell ref="A989:D989"/>
    <mergeCell ref="E989:G989"/>
    <mergeCell ref="A991:G991"/>
    <mergeCell ref="A992:G992"/>
    <mergeCell ref="A994:C994"/>
    <mergeCell ref="D994:E994"/>
    <mergeCell ref="A966:C966"/>
    <mergeCell ref="D984:G984"/>
    <mergeCell ref="D985:G985"/>
    <mergeCell ref="D986:G986"/>
    <mergeCell ref="A988:D988"/>
    <mergeCell ref="E988:G988"/>
    <mergeCell ref="A960:D960"/>
    <mergeCell ref="E960:G960"/>
    <mergeCell ref="A962:G962"/>
    <mergeCell ref="A963:G963"/>
    <mergeCell ref="A965:C965"/>
    <mergeCell ref="D965:E965"/>
    <mergeCell ref="A937:C937"/>
    <mergeCell ref="D955:G955"/>
    <mergeCell ref="D956:G956"/>
    <mergeCell ref="D957:G957"/>
    <mergeCell ref="A959:D959"/>
    <mergeCell ref="E959:G959"/>
    <mergeCell ref="A931:D931"/>
    <mergeCell ref="E931:G931"/>
    <mergeCell ref="A933:G933"/>
    <mergeCell ref="A934:G934"/>
    <mergeCell ref="A936:C936"/>
    <mergeCell ref="D936:E936"/>
    <mergeCell ref="A908:C908"/>
    <mergeCell ref="D926:G926"/>
    <mergeCell ref="D927:G927"/>
    <mergeCell ref="D928:G928"/>
    <mergeCell ref="A930:D930"/>
    <mergeCell ref="E930:G930"/>
    <mergeCell ref="A902:D902"/>
    <mergeCell ref="E902:G902"/>
    <mergeCell ref="A904:G904"/>
    <mergeCell ref="A905:G905"/>
    <mergeCell ref="A907:C907"/>
    <mergeCell ref="D907:E907"/>
    <mergeCell ref="A879:C879"/>
    <mergeCell ref="D897:G897"/>
    <mergeCell ref="D898:G898"/>
    <mergeCell ref="D899:G899"/>
    <mergeCell ref="A901:D901"/>
    <mergeCell ref="E901:G901"/>
    <mergeCell ref="A873:D873"/>
    <mergeCell ref="E873:G873"/>
    <mergeCell ref="A875:G875"/>
    <mergeCell ref="A876:G876"/>
    <mergeCell ref="A878:C878"/>
    <mergeCell ref="D878:E878"/>
    <mergeCell ref="A850:C850"/>
    <mergeCell ref="D868:G868"/>
    <mergeCell ref="D869:G869"/>
    <mergeCell ref="D870:G870"/>
    <mergeCell ref="A872:D872"/>
    <mergeCell ref="E872:G872"/>
    <mergeCell ref="A844:D844"/>
    <mergeCell ref="E844:G844"/>
    <mergeCell ref="A846:G846"/>
    <mergeCell ref="A847:G847"/>
    <mergeCell ref="A849:C849"/>
    <mergeCell ref="D849:E849"/>
    <mergeCell ref="A821:C821"/>
    <mergeCell ref="D839:G839"/>
    <mergeCell ref="D840:G840"/>
    <mergeCell ref="D841:G841"/>
    <mergeCell ref="A843:D843"/>
    <mergeCell ref="E843:G843"/>
    <mergeCell ref="A815:D815"/>
    <mergeCell ref="E815:G815"/>
    <mergeCell ref="A817:G817"/>
    <mergeCell ref="A818:G818"/>
    <mergeCell ref="A820:C820"/>
    <mergeCell ref="D820:E820"/>
    <mergeCell ref="A792:C792"/>
    <mergeCell ref="D810:G810"/>
    <mergeCell ref="D811:G811"/>
    <mergeCell ref="D812:G812"/>
    <mergeCell ref="A814:D814"/>
    <mergeCell ref="E814:G814"/>
    <mergeCell ref="A786:D786"/>
    <mergeCell ref="E786:G786"/>
    <mergeCell ref="A788:G788"/>
    <mergeCell ref="A789:G789"/>
    <mergeCell ref="A791:C791"/>
    <mergeCell ref="D791:E791"/>
    <mergeCell ref="A763:C763"/>
    <mergeCell ref="D781:G781"/>
    <mergeCell ref="D782:G782"/>
    <mergeCell ref="D783:G783"/>
    <mergeCell ref="A785:D785"/>
    <mergeCell ref="E785:G785"/>
    <mergeCell ref="A757:D757"/>
    <mergeCell ref="E757:G757"/>
    <mergeCell ref="A759:G759"/>
    <mergeCell ref="A760:G760"/>
    <mergeCell ref="A762:C762"/>
    <mergeCell ref="D762:E762"/>
    <mergeCell ref="A734:C734"/>
    <mergeCell ref="D752:G752"/>
    <mergeCell ref="D753:G753"/>
    <mergeCell ref="D754:G754"/>
    <mergeCell ref="A756:D756"/>
    <mergeCell ref="E756:G756"/>
    <mergeCell ref="A728:D728"/>
    <mergeCell ref="E728:G728"/>
    <mergeCell ref="A730:G730"/>
    <mergeCell ref="A731:G731"/>
    <mergeCell ref="A733:C733"/>
    <mergeCell ref="D733:E733"/>
    <mergeCell ref="A705:C705"/>
    <mergeCell ref="D723:G723"/>
    <mergeCell ref="D724:G724"/>
    <mergeCell ref="D725:G725"/>
    <mergeCell ref="A727:D727"/>
    <mergeCell ref="E727:G727"/>
    <mergeCell ref="A699:D699"/>
    <mergeCell ref="E699:G699"/>
    <mergeCell ref="A701:G701"/>
    <mergeCell ref="A702:G702"/>
    <mergeCell ref="A704:C704"/>
    <mergeCell ref="D704:E704"/>
    <mergeCell ref="A676:C676"/>
    <mergeCell ref="D694:G694"/>
    <mergeCell ref="D695:G695"/>
    <mergeCell ref="D696:G696"/>
    <mergeCell ref="A698:D698"/>
    <mergeCell ref="E698:G698"/>
    <mergeCell ref="A670:D670"/>
    <mergeCell ref="E670:G670"/>
    <mergeCell ref="A672:G672"/>
    <mergeCell ref="A673:G673"/>
    <mergeCell ref="A675:C675"/>
    <mergeCell ref="D675:E675"/>
    <mergeCell ref="A647:C647"/>
    <mergeCell ref="D665:G665"/>
    <mergeCell ref="D666:G666"/>
    <mergeCell ref="D667:G667"/>
    <mergeCell ref="A669:D669"/>
    <mergeCell ref="E669:G669"/>
    <mergeCell ref="A641:D641"/>
    <mergeCell ref="E641:G641"/>
    <mergeCell ref="A643:G643"/>
    <mergeCell ref="A644:G644"/>
    <mergeCell ref="A646:C646"/>
    <mergeCell ref="D646:E646"/>
    <mergeCell ref="A618:C618"/>
    <mergeCell ref="D636:G636"/>
    <mergeCell ref="D637:G637"/>
    <mergeCell ref="D638:G638"/>
    <mergeCell ref="A640:D640"/>
    <mergeCell ref="E640:G640"/>
    <mergeCell ref="A612:D612"/>
    <mergeCell ref="E612:G612"/>
    <mergeCell ref="A614:G614"/>
    <mergeCell ref="A615:G615"/>
    <mergeCell ref="A617:C617"/>
    <mergeCell ref="D617:E617"/>
    <mergeCell ref="A589:C589"/>
    <mergeCell ref="D607:G607"/>
    <mergeCell ref="D608:G608"/>
    <mergeCell ref="D609:G609"/>
    <mergeCell ref="A611:D611"/>
    <mergeCell ref="E611:G611"/>
    <mergeCell ref="A583:D583"/>
    <mergeCell ref="E583:G583"/>
    <mergeCell ref="A585:G585"/>
    <mergeCell ref="A586:G586"/>
    <mergeCell ref="A588:C588"/>
    <mergeCell ref="D588:E588"/>
    <mergeCell ref="A560:C560"/>
    <mergeCell ref="D578:G578"/>
    <mergeCell ref="D579:G579"/>
    <mergeCell ref="D580:G580"/>
    <mergeCell ref="A582:D582"/>
    <mergeCell ref="E582:G582"/>
    <mergeCell ref="A554:D554"/>
    <mergeCell ref="E554:G554"/>
    <mergeCell ref="A556:G556"/>
    <mergeCell ref="A557:G557"/>
    <mergeCell ref="A559:C559"/>
    <mergeCell ref="D559:E559"/>
    <mergeCell ref="A531:C531"/>
    <mergeCell ref="D549:G549"/>
    <mergeCell ref="D550:G550"/>
    <mergeCell ref="D551:G551"/>
    <mergeCell ref="A553:D553"/>
    <mergeCell ref="E553:G553"/>
    <mergeCell ref="A525:D525"/>
    <mergeCell ref="E525:G525"/>
    <mergeCell ref="A527:G527"/>
    <mergeCell ref="A528:G528"/>
    <mergeCell ref="A530:C530"/>
    <mergeCell ref="D530:E530"/>
    <mergeCell ref="A502:C502"/>
    <mergeCell ref="D520:G520"/>
    <mergeCell ref="D521:G521"/>
    <mergeCell ref="D522:G522"/>
    <mergeCell ref="A524:D524"/>
    <mergeCell ref="E524:G524"/>
    <mergeCell ref="A496:D496"/>
    <mergeCell ref="E496:G496"/>
    <mergeCell ref="A498:G498"/>
    <mergeCell ref="A499:G499"/>
    <mergeCell ref="A501:C501"/>
    <mergeCell ref="D501:E501"/>
    <mergeCell ref="A473:C473"/>
    <mergeCell ref="D491:G491"/>
    <mergeCell ref="D492:G492"/>
    <mergeCell ref="D493:G493"/>
    <mergeCell ref="A495:D495"/>
    <mergeCell ref="E495:G495"/>
    <mergeCell ref="A467:D467"/>
    <mergeCell ref="E467:G467"/>
    <mergeCell ref="A469:G469"/>
    <mergeCell ref="A470:G470"/>
    <mergeCell ref="A472:C472"/>
    <mergeCell ref="D472:E472"/>
    <mergeCell ref="A444:C444"/>
    <mergeCell ref="D462:G462"/>
    <mergeCell ref="D463:G463"/>
    <mergeCell ref="D464:G464"/>
    <mergeCell ref="A466:D466"/>
    <mergeCell ref="E466:G466"/>
    <mergeCell ref="A438:D438"/>
    <mergeCell ref="E438:G438"/>
    <mergeCell ref="A440:G440"/>
    <mergeCell ref="A441:G441"/>
    <mergeCell ref="A443:C443"/>
    <mergeCell ref="D443:E443"/>
    <mergeCell ref="A415:C415"/>
    <mergeCell ref="D433:G433"/>
    <mergeCell ref="D434:G434"/>
    <mergeCell ref="D435:G435"/>
    <mergeCell ref="A437:D437"/>
    <mergeCell ref="E437:G437"/>
    <mergeCell ref="A409:D409"/>
    <mergeCell ref="E409:G409"/>
    <mergeCell ref="A411:G411"/>
    <mergeCell ref="A412:G412"/>
    <mergeCell ref="A414:C414"/>
    <mergeCell ref="D414:E414"/>
    <mergeCell ref="A386:C386"/>
    <mergeCell ref="D404:G404"/>
    <mergeCell ref="D405:G405"/>
    <mergeCell ref="D406:G406"/>
    <mergeCell ref="A408:D408"/>
    <mergeCell ref="E408:G408"/>
    <mergeCell ref="A380:D380"/>
    <mergeCell ref="E380:G380"/>
    <mergeCell ref="A382:G382"/>
    <mergeCell ref="A383:G383"/>
    <mergeCell ref="A385:C385"/>
    <mergeCell ref="D385:E385"/>
    <mergeCell ref="A357:C357"/>
    <mergeCell ref="D375:G375"/>
    <mergeCell ref="D376:G376"/>
    <mergeCell ref="D377:G377"/>
    <mergeCell ref="A379:D379"/>
    <mergeCell ref="E379:G379"/>
    <mergeCell ref="A351:D351"/>
    <mergeCell ref="E351:G351"/>
    <mergeCell ref="A353:G353"/>
    <mergeCell ref="A354:G354"/>
    <mergeCell ref="A356:C356"/>
    <mergeCell ref="D356:E356"/>
    <mergeCell ref="A328:C328"/>
    <mergeCell ref="D346:G346"/>
    <mergeCell ref="D347:G347"/>
    <mergeCell ref="D348:G348"/>
    <mergeCell ref="A350:D350"/>
    <mergeCell ref="E350:G350"/>
    <mergeCell ref="A322:D322"/>
    <mergeCell ref="E322:G322"/>
    <mergeCell ref="A324:G324"/>
    <mergeCell ref="A325:G325"/>
    <mergeCell ref="A327:C327"/>
    <mergeCell ref="D327:E327"/>
    <mergeCell ref="A299:C299"/>
    <mergeCell ref="D317:G317"/>
    <mergeCell ref="D318:G318"/>
    <mergeCell ref="D319:G319"/>
    <mergeCell ref="A321:D321"/>
    <mergeCell ref="E321:G321"/>
    <mergeCell ref="A293:D293"/>
    <mergeCell ref="E293:G293"/>
    <mergeCell ref="A295:G295"/>
    <mergeCell ref="A296:G296"/>
    <mergeCell ref="A298:C298"/>
    <mergeCell ref="D298:E298"/>
    <mergeCell ref="A270:C270"/>
    <mergeCell ref="D288:G288"/>
    <mergeCell ref="D289:G289"/>
    <mergeCell ref="D290:G290"/>
    <mergeCell ref="A292:D292"/>
    <mergeCell ref="E292:G292"/>
    <mergeCell ref="A264:D264"/>
    <mergeCell ref="E264:G264"/>
    <mergeCell ref="A266:G266"/>
    <mergeCell ref="A267:G267"/>
    <mergeCell ref="A269:C269"/>
    <mergeCell ref="D269:E269"/>
    <mergeCell ref="A241:C241"/>
    <mergeCell ref="D259:G259"/>
    <mergeCell ref="D260:G260"/>
    <mergeCell ref="D261:G261"/>
    <mergeCell ref="A263:D263"/>
    <mergeCell ref="E263:G263"/>
    <mergeCell ref="A235:D235"/>
    <mergeCell ref="E235:G235"/>
    <mergeCell ref="A237:G237"/>
    <mergeCell ref="A238:G238"/>
    <mergeCell ref="A240:C240"/>
    <mergeCell ref="D240:E240"/>
    <mergeCell ref="A212:C212"/>
    <mergeCell ref="D230:G230"/>
    <mergeCell ref="D231:G231"/>
    <mergeCell ref="D232:G232"/>
    <mergeCell ref="A234:D234"/>
    <mergeCell ref="E234:G234"/>
    <mergeCell ref="A206:D206"/>
    <mergeCell ref="E206:G206"/>
    <mergeCell ref="A208:G208"/>
    <mergeCell ref="A209:G209"/>
    <mergeCell ref="A211:C211"/>
    <mergeCell ref="D211:E211"/>
    <mergeCell ref="A183:C183"/>
    <mergeCell ref="D201:G201"/>
    <mergeCell ref="D202:G202"/>
    <mergeCell ref="D203:G203"/>
    <mergeCell ref="A205:D205"/>
    <mergeCell ref="E205:G205"/>
    <mergeCell ref="A177:D177"/>
    <mergeCell ref="E177:G177"/>
    <mergeCell ref="A179:G179"/>
    <mergeCell ref="A180:G180"/>
    <mergeCell ref="A182:C182"/>
    <mergeCell ref="D182:E182"/>
    <mergeCell ref="A154:C154"/>
    <mergeCell ref="D172:G172"/>
    <mergeCell ref="D173:G173"/>
    <mergeCell ref="D174:G174"/>
    <mergeCell ref="A176:D176"/>
    <mergeCell ref="E176:G176"/>
    <mergeCell ref="A148:D148"/>
    <mergeCell ref="E148:G148"/>
    <mergeCell ref="A150:G150"/>
    <mergeCell ref="A151:G151"/>
    <mergeCell ref="A153:C153"/>
    <mergeCell ref="D153:E153"/>
    <mergeCell ref="A125:C125"/>
    <mergeCell ref="D143:G143"/>
    <mergeCell ref="D144:G144"/>
    <mergeCell ref="D145:G145"/>
    <mergeCell ref="A147:D147"/>
    <mergeCell ref="E147:G147"/>
    <mergeCell ref="A119:D119"/>
    <mergeCell ref="E119:G119"/>
    <mergeCell ref="A121:G121"/>
    <mergeCell ref="A122:G122"/>
    <mergeCell ref="A124:C124"/>
    <mergeCell ref="D124:E124"/>
    <mergeCell ref="A96:C96"/>
    <mergeCell ref="D114:G114"/>
    <mergeCell ref="D115:G115"/>
    <mergeCell ref="D116:G116"/>
    <mergeCell ref="A118:D118"/>
    <mergeCell ref="E118:G118"/>
    <mergeCell ref="A90:D90"/>
    <mergeCell ref="E90:G90"/>
    <mergeCell ref="A92:G92"/>
    <mergeCell ref="A93:G93"/>
    <mergeCell ref="A95:C95"/>
    <mergeCell ref="D95:E95"/>
    <mergeCell ref="D85:G85"/>
    <mergeCell ref="D86:G86"/>
    <mergeCell ref="D87:G87"/>
    <mergeCell ref="A89:D89"/>
    <mergeCell ref="E89:G89"/>
    <mergeCell ref="A63:G63"/>
    <mergeCell ref="A64:G64"/>
    <mergeCell ref="A66:C66"/>
    <mergeCell ref="D66:E66"/>
    <mergeCell ref="A67:C67"/>
    <mergeCell ref="A60:D60"/>
    <mergeCell ref="E60:G60"/>
    <mergeCell ref="A61:D61"/>
    <mergeCell ref="E61:G61"/>
    <mergeCell ref="A35:G35"/>
    <mergeCell ref="A37:C37"/>
    <mergeCell ref="D37:E37"/>
    <mergeCell ref="A38:C38"/>
    <mergeCell ref="D56:G56"/>
    <mergeCell ref="A32:D32"/>
    <mergeCell ref="E32:G32"/>
    <mergeCell ref="A34:G34"/>
    <mergeCell ref="D29:G29"/>
    <mergeCell ref="D27:G27"/>
    <mergeCell ref="D28:G28"/>
    <mergeCell ref="A9:C9"/>
    <mergeCell ref="D57:G57"/>
    <mergeCell ref="D58:G58"/>
    <mergeCell ref="A8:C8"/>
    <mergeCell ref="D8:E8"/>
    <mergeCell ref="A6:G6"/>
    <mergeCell ref="A5:G5"/>
    <mergeCell ref="E2:G2"/>
    <mergeCell ref="E3:G3"/>
    <mergeCell ref="A2:D2"/>
    <mergeCell ref="A3:D3"/>
    <mergeCell ref="A31:D31"/>
    <mergeCell ref="E31:G31"/>
  </mergeCells>
  <phoneticPr fontId="46" type="noConversion"/>
  <pageMargins left="0.45" right="0.25" top="0.25" bottom="0.25" header="0" footer="0"/>
  <pageSetup scale="80" fitToHeight="55" orientation="portrait" blackAndWhite="1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9" r:id="rId4" name="Button 3">
              <controlPr defaultSize="0" print="0" autoFill="0" autoPict="0" macro="[0]!Bamlennx">
                <anchor moveWithCells="1" sizeWithCells="1">
                  <from>
                    <xdr:col>1</xdr:col>
                    <xdr:colOff>335280</xdr:colOff>
                    <xdr:row>0</xdr:row>
                    <xdr:rowOff>68580</xdr:rowOff>
                  </from>
                  <to>
                    <xdr:col>2</xdr:col>
                    <xdr:colOff>609600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5" name="Button 4">
              <controlPr defaultSize="0" print="0" autoFill="0" autoPict="0" macro="[0]!Dautrangnx">
                <anchor moveWithCells="1" sizeWithCells="1">
                  <from>
                    <xdr:col>2</xdr:col>
                    <xdr:colOff>632460</xdr:colOff>
                    <xdr:row>0</xdr:row>
                    <xdr:rowOff>60960</xdr:rowOff>
                  </from>
                  <to>
                    <xdr:col>3</xdr:col>
                    <xdr:colOff>1074420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6" name="Button 5">
              <controlPr defaultSize="0" print="0" autoFill="0" autoPict="0" macro="[0]!Bamxuong">
                <anchor moveWithCells="1" sizeWithCells="1">
                  <from>
                    <xdr:col>3</xdr:col>
                    <xdr:colOff>1104900</xdr:colOff>
                    <xdr:row>0</xdr:row>
                    <xdr:rowOff>45720</xdr:rowOff>
                  </from>
                  <to>
                    <xdr:col>4</xdr:col>
                    <xdr:colOff>213360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7" name="Button 6">
              <controlPr defaultSize="0" print="0" autoFill="0" autoPict="0" macro="[0]!VedautrangNxHKI">
                <anchor moveWithCells="1" sizeWithCells="1">
                  <from>
                    <xdr:col>3</xdr:col>
                    <xdr:colOff>754380</xdr:colOff>
                    <xdr:row>1598</xdr:row>
                    <xdr:rowOff>7620</xdr:rowOff>
                  </from>
                  <to>
                    <xdr:col>3</xdr:col>
                    <xdr:colOff>2004060</xdr:colOff>
                    <xdr:row>1599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T50"/>
  <sheetViews>
    <sheetView workbookViewId="0">
      <selection activeCell="K18" sqref="K18"/>
    </sheetView>
  </sheetViews>
  <sheetFormatPr defaultColWidth="9.109375" defaultRowHeight="14.4"/>
  <cols>
    <col min="1" max="1" width="9.109375" style="635"/>
    <col min="2" max="2" width="9.109375" style="755"/>
    <col min="3" max="3" width="21.33203125" style="756" customWidth="1"/>
    <col min="4" max="4" width="9.109375" style="756"/>
    <col min="5" max="5" width="14" style="755" customWidth="1"/>
    <col min="6" max="6" width="18.109375" style="756" customWidth="1"/>
    <col min="7" max="8" width="9.109375" style="755"/>
    <col min="9" max="9" width="8.33203125" style="755" customWidth="1"/>
    <col min="10" max="10" width="49.6640625" style="756" customWidth="1"/>
    <col min="11" max="11" width="21.6640625" style="756" customWidth="1"/>
    <col min="12" max="12" width="13" style="756" customWidth="1"/>
    <col min="13" max="13" width="18.6640625" style="756" customWidth="1"/>
    <col min="14" max="14" width="12.88671875" style="756" customWidth="1"/>
    <col min="15" max="15" width="12" style="756" customWidth="1"/>
    <col min="16" max="16" width="13" style="755" customWidth="1"/>
    <col min="17" max="17" width="16.109375" style="755" customWidth="1"/>
    <col min="18" max="18" width="9.109375" style="755"/>
    <col min="19" max="19" width="16" style="755" customWidth="1"/>
    <col min="20" max="20" width="9.109375" style="755"/>
    <col min="21" max="23" width="9.109375" style="635"/>
    <col min="24" max="24" width="28.109375" style="635" customWidth="1"/>
    <col min="25" max="25" width="16.88671875" style="635" customWidth="1"/>
    <col min="26" max="29" width="9.109375" style="635"/>
    <col min="30" max="30" width="19.88671875" style="635" customWidth="1"/>
    <col min="31" max="16384" width="9.109375" style="635"/>
  </cols>
  <sheetData>
    <row r="2" spans="2:20">
      <c r="B2" s="746"/>
      <c r="C2" s="747"/>
      <c r="D2" s="748"/>
      <c r="E2" s="746"/>
      <c r="F2" s="746"/>
      <c r="G2" s="746"/>
      <c r="H2" s="746"/>
      <c r="I2" s="746"/>
      <c r="J2" s="746"/>
      <c r="K2" s="746"/>
      <c r="L2" s="746"/>
      <c r="M2" s="746"/>
      <c r="N2" s="746"/>
      <c r="O2" s="746"/>
      <c r="P2" s="746"/>
      <c r="Q2" s="746"/>
      <c r="R2" s="746"/>
      <c r="S2" s="746"/>
      <c r="T2" s="746"/>
    </row>
    <row r="3" spans="2:20">
      <c r="B3" s="749"/>
      <c r="C3" s="750"/>
      <c r="D3" s="751"/>
      <c r="E3" s="749"/>
      <c r="F3" s="752"/>
      <c r="G3" s="749"/>
      <c r="H3" s="749"/>
      <c r="I3" s="749"/>
      <c r="J3" s="752"/>
      <c r="K3" s="752"/>
      <c r="L3" s="752"/>
      <c r="M3" s="752"/>
      <c r="N3" s="752"/>
      <c r="O3" s="752"/>
      <c r="P3" s="749"/>
      <c r="Q3" s="749"/>
      <c r="R3" s="749"/>
      <c r="S3" s="749"/>
      <c r="T3" s="749"/>
    </row>
    <row r="4" spans="2:20">
      <c r="B4" s="749"/>
      <c r="C4" s="750"/>
      <c r="D4" s="751"/>
      <c r="E4" s="749"/>
      <c r="F4" s="752"/>
      <c r="G4" s="749"/>
      <c r="H4" s="749"/>
      <c r="I4" s="749"/>
      <c r="J4" s="752"/>
      <c r="K4" s="752"/>
      <c r="L4" s="752"/>
      <c r="M4" s="752"/>
      <c r="N4" s="752"/>
      <c r="O4" s="752"/>
      <c r="P4" s="749"/>
      <c r="Q4" s="749"/>
      <c r="R4" s="749"/>
      <c r="S4" s="749"/>
      <c r="T4" s="749"/>
    </row>
    <row r="5" spans="2:20">
      <c r="B5" s="749"/>
      <c r="C5" s="750"/>
      <c r="D5" s="751"/>
      <c r="E5" s="749"/>
      <c r="F5" s="752"/>
      <c r="G5" s="749"/>
      <c r="H5" s="749"/>
      <c r="I5" s="749"/>
      <c r="J5" s="752"/>
      <c r="K5" s="752"/>
      <c r="L5" s="752"/>
      <c r="M5" s="752"/>
      <c r="N5" s="752"/>
      <c r="O5" s="752"/>
      <c r="P5" s="749"/>
      <c r="Q5" s="749"/>
      <c r="R5" s="749"/>
      <c r="S5" s="749"/>
      <c r="T5" s="749"/>
    </row>
    <row r="6" spans="2:20">
      <c r="B6" s="749"/>
      <c r="C6" s="750"/>
      <c r="D6" s="751"/>
      <c r="E6" s="749"/>
      <c r="F6" s="752"/>
      <c r="G6" s="749"/>
      <c r="H6" s="749"/>
      <c r="I6" s="749"/>
      <c r="J6" s="752"/>
      <c r="K6" s="752"/>
      <c r="L6" s="752"/>
      <c r="M6" s="752"/>
      <c r="N6" s="752"/>
      <c r="O6" s="752"/>
      <c r="P6" s="749"/>
      <c r="Q6" s="749"/>
      <c r="R6" s="749"/>
      <c r="S6" s="749"/>
      <c r="T6" s="749"/>
    </row>
    <row r="7" spans="2:20">
      <c r="B7" s="749"/>
      <c r="C7" s="750"/>
      <c r="D7" s="751"/>
      <c r="E7" s="749"/>
      <c r="F7" s="752"/>
      <c r="G7" s="749"/>
      <c r="H7" s="749"/>
      <c r="I7" s="749"/>
      <c r="J7" s="752"/>
      <c r="K7" s="752"/>
      <c r="L7" s="752"/>
      <c r="M7" s="752"/>
      <c r="N7" s="752"/>
      <c r="O7" s="752"/>
      <c r="P7" s="749"/>
      <c r="Q7" s="749"/>
      <c r="R7" s="749"/>
      <c r="S7" s="749"/>
      <c r="T7" s="749"/>
    </row>
    <row r="8" spans="2:20">
      <c r="B8" s="749"/>
      <c r="C8" s="750"/>
      <c r="D8" s="751"/>
      <c r="E8" s="749"/>
      <c r="F8" s="752"/>
      <c r="G8" s="749"/>
      <c r="H8" s="749"/>
      <c r="I8" s="749"/>
      <c r="J8" s="752"/>
      <c r="K8" s="752"/>
      <c r="L8" s="752"/>
      <c r="M8" s="752"/>
      <c r="N8" s="752"/>
      <c r="O8" s="752"/>
      <c r="P8" s="749"/>
      <c r="Q8" s="749"/>
      <c r="R8" s="749"/>
      <c r="S8" s="749"/>
      <c r="T8" s="749"/>
    </row>
    <row r="9" spans="2:20">
      <c r="B9" s="749"/>
      <c r="C9" s="750"/>
      <c r="D9" s="751"/>
      <c r="E9" s="749"/>
      <c r="F9" s="752"/>
      <c r="G9" s="749"/>
      <c r="H9" s="749"/>
      <c r="I9" s="749"/>
      <c r="J9" s="752"/>
      <c r="K9" s="752"/>
      <c r="L9" s="752"/>
      <c r="M9" s="752"/>
      <c r="N9" s="752"/>
      <c r="O9" s="752"/>
      <c r="P9" s="749"/>
      <c r="Q9" s="749"/>
      <c r="R9" s="749"/>
      <c r="S9" s="749"/>
      <c r="T9" s="749"/>
    </row>
    <row r="10" spans="2:20">
      <c r="B10" s="749"/>
      <c r="C10" s="750"/>
      <c r="D10" s="751"/>
      <c r="E10" s="749"/>
      <c r="F10" s="752"/>
      <c r="G10" s="749"/>
      <c r="H10" s="749"/>
      <c r="I10" s="749"/>
      <c r="J10" s="752"/>
      <c r="K10" s="752"/>
      <c r="L10" s="752"/>
      <c r="M10" s="752"/>
      <c r="N10" s="752"/>
      <c r="O10" s="752"/>
      <c r="P10" s="749"/>
      <c r="Q10" s="749"/>
      <c r="R10" s="749"/>
      <c r="S10" s="749"/>
      <c r="T10" s="749"/>
    </row>
    <row r="11" spans="2:20">
      <c r="B11" s="749"/>
      <c r="C11" s="750"/>
      <c r="D11" s="751"/>
      <c r="E11" s="749"/>
      <c r="F11" s="752"/>
      <c r="G11" s="749"/>
      <c r="H11" s="749"/>
      <c r="I11" s="749"/>
      <c r="J11" s="752"/>
      <c r="K11" s="752"/>
      <c r="L11" s="752"/>
      <c r="M11" s="752"/>
      <c r="N11" s="752"/>
      <c r="O11" s="752"/>
      <c r="P11" s="749"/>
      <c r="Q11" s="749"/>
      <c r="R11" s="749"/>
      <c r="S11" s="749"/>
      <c r="T11" s="749"/>
    </row>
    <row r="12" spans="2:20">
      <c r="B12" s="749"/>
      <c r="C12" s="750"/>
      <c r="D12" s="751"/>
      <c r="E12" s="749"/>
      <c r="F12" s="752"/>
      <c r="G12" s="749"/>
      <c r="H12" s="749"/>
      <c r="I12" s="749"/>
      <c r="J12" s="752"/>
      <c r="K12" s="752"/>
      <c r="L12" s="752"/>
      <c r="M12" s="752"/>
      <c r="N12" s="752"/>
      <c r="O12" s="752"/>
      <c r="P12" s="749"/>
      <c r="Q12" s="749"/>
      <c r="R12" s="749"/>
      <c r="S12" s="749"/>
      <c r="T12" s="749"/>
    </row>
    <row r="13" spans="2:20">
      <c r="B13" s="749"/>
      <c r="C13" s="750"/>
      <c r="D13" s="751"/>
      <c r="E13" s="749"/>
      <c r="F13" s="752"/>
      <c r="G13" s="749"/>
      <c r="H13" s="749"/>
      <c r="I13" s="749"/>
      <c r="J13" s="752"/>
      <c r="K13" s="752"/>
      <c r="L13" s="752"/>
      <c r="M13" s="752"/>
      <c r="N13" s="752"/>
      <c r="O13" s="752"/>
      <c r="P13" s="749"/>
      <c r="Q13" s="749"/>
      <c r="R13" s="749"/>
      <c r="S13" s="749"/>
      <c r="T13" s="749"/>
    </row>
    <row r="14" spans="2:20">
      <c r="B14" s="749"/>
      <c r="C14" s="750"/>
      <c r="D14" s="751"/>
      <c r="E14" s="749"/>
      <c r="F14" s="752"/>
      <c r="G14" s="749"/>
      <c r="H14" s="749"/>
      <c r="I14" s="749"/>
      <c r="J14" s="752"/>
      <c r="K14" s="752"/>
      <c r="L14" s="752"/>
      <c r="M14" s="752"/>
      <c r="N14" s="752"/>
      <c r="O14" s="752"/>
      <c r="P14" s="749"/>
      <c r="Q14" s="749"/>
      <c r="R14" s="749"/>
      <c r="S14" s="749"/>
      <c r="T14" s="749"/>
    </row>
    <row r="15" spans="2:20">
      <c r="B15" s="749"/>
      <c r="C15" s="750"/>
      <c r="D15" s="751"/>
      <c r="E15" s="749"/>
      <c r="F15" s="752"/>
      <c r="G15" s="749"/>
      <c r="H15" s="749"/>
      <c r="I15" s="749"/>
      <c r="J15" s="752"/>
      <c r="K15" s="752"/>
      <c r="L15" s="752"/>
      <c r="M15" s="752"/>
      <c r="N15" s="752"/>
      <c r="O15" s="752"/>
      <c r="P15" s="749"/>
      <c r="Q15" s="749"/>
      <c r="R15" s="749"/>
      <c r="S15" s="749"/>
      <c r="T15" s="749"/>
    </row>
    <row r="16" spans="2:20">
      <c r="B16" s="749"/>
      <c r="C16" s="750"/>
      <c r="D16" s="751"/>
      <c r="E16" s="749"/>
      <c r="F16" s="752"/>
      <c r="G16" s="749"/>
      <c r="H16" s="749"/>
      <c r="I16" s="749"/>
      <c r="J16" s="752"/>
      <c r="K16" s="752"/>
      <c r="L16" s="752"/>
      <c r="M16" s="752"/>
      <c r="N16" s="752"/>
      <c r="O16" s="752"/>
      <c r="P16" s="749"/>
      <c r="Q16" s="749"/>
      <c r="R16" s="749"/>
      <c r="S16" s="749"/>
      <c r="T16" s="749"/>
    </row>
    <row r="17" spans="2:20">
      <c r="B17" s="749"/>
      <c r="C17" s="750"/>
      <c r="D17" s="751"/>
      <c r="E17" s="749"/>
      <c r="F17" s="752"/>
      <c r="G17" s="749"/>
      <c r="H17" s="749"/>
      <c r="I17" s="749"/>
      <c r="J17" s="752"/>
      <c r="K17" s="752"/>
      <c r="L17" s="752"/>
      <c r="M17" s="752"/>
      <c r="N17" s="752"/>
      <c r="O17" s="752"/>
      <c r="P17" s="749"/>
      <c r="Q17" s="749"/>
      <c r="R17" s="749"/>
      <c r="S17" s="749"/>
      <c r="T17" s="749"/>
    </row>
    <row r="18" spans="2:20">
      <c r="B18" s="749"/>
      <c r="C18" s="750"/>
      <c r="D18" s="751"/>
      <c r="E18" s="749"/>
      <c r="F18" s="752"/>
      <c r="G18" s="749"/>
      <c r="H18" s="749"/>
      <c r="I18" s="749"/>
      <c r="J18" s="752"/>
      <c r="K18" s="752"/>
      <c r="L18" s="752"/>
      <c r="M18" s="752"/>
      <c r="N18" s="752"/>
      <c r="O18" s="752"/>
      <c r="P18" s="749"/>
      <c r="Q18" s="749"/>
      <c r="R18" s="749"/>
      <c r="S18" s="749"/>
      <c r="T18" s="749"/>
    </row>
    <row r="19" spans="2:20">
      <c r="B19" s="749"/>
      <c r="C19" s="750"/>
      <c r="D19" s="751"/>
      <c r="E19" s="749"/>
      <c r="F19" s="752"/>
      <c r="G19" s="749"/>
      <c r="H19" s="749"/>
      <c r="I19" s="749"/>
      <c r="J19" s="752"/>
      <c r="K19" s="752"/>
      <c r="L19" s="752"/>
      <c r="M19" s="752"/>
      <c r="N19" s="752"/>
      <c r="O19" s="752"/>
      <c r="P19" s="749"/>
      <c r="Q19" s="749"/>
      <c r="R19" s="749"/>
      <c r="S19" s="749"/>
      <c r="T19" s="749"/>
    </row>
    <row r="20" spans="2:20">
      <c r="B20" s="749"/>
      <c r="C20" s="750"/>
      <c r="D20" s="751"/>
      <c r="E20" s="749"/>
      <c r="F20" s="752"/>
      <c r="G20" s="749"/>
      <c r="H20" s="749"/>
      <c r="I20" s="749"/>
      <c r="J20" s="752"/>
      <c r="K20" s="752"/>
      <c r="L20" s="752"/>
      <c r="M20" s="752"/>
      <c r="N20" s="752"/>
      <c r="O20" s="752"/>
      <c r="P20" s="749"/>
      <c r="Q20" s="749"/>
      <c r="R20" s="749"/>
      <c r="S20" s="749"/>
      <c r="T20" s="749"/>
    </row>
    <row r="21" spans="2:20">
      <c r="B21" s="749"/>
      <c r="C21" s="750"/>
      <c r="D21" s="751"/>
      <c r="E21" s="749"/>
      <c r="F21" s="752"/>
      <c r="G21" s="749"/>
      <c r="H21" s="749"/>
      <c r="I21" s="749"/>
      <c r="J21" s="752"/>
      <c r="K21" s="752"/>
      <c r="L21" s="752"/>
      <c r="M21" s="752"/>
      <c r="N21" s="752"/>
      <c r="O21" s="752"/>
      <c r="P21" s="749"/>
      <c r="Q21" s="749"/>
      <c r="R21" s="749"/>
      <c r="S21" s="749"/>
      <c r="T21" s="749"/>
    </row>
    <row r="22" spans="2:20">
      <c r="B22" s="749"/>
      <c r="C22" s="750"/>
      <c r="D22" s="751"/>
      <c r="E22" s="749"/>
      <c r="F22" s="752"/>
      <c r="G22" s="749"/>
      <c r="H22" s="749"/>
      <c r="I22" s="749"/>
      <c r="J22" s="752"/>
      <c r="K22" s="752"/>
      <c r="L22" s="752"/>
      <c r="M22" s="752"/>
      <c r="N22" s="752"/>
      <c r="O22" s="752"/>
      <c r="P22" s="749"/>
      <c r="Q22" s="749"/>
      <c r="R22" s="749"/>
      <c r="S22" s="749"/>
      <c r="T22" s="749"/>
    </row>
    <row r="23" spans="2:20">
      <c r="B23" s="749"/>
      <c r="C23" s="750"/>
      <c r="D23" s="751"/>
      <c r="E23" s="749"/>
      <c r="F23" s="752"/>
      <c r="G23" s="749"/>
      <c r="H23" s="749"/>
      <c r="I23" s="749"/>
      <c r="J23" s="752"/>
      <c r="K23" s="752"/>
      <c r="L23" s="752"/>
      <c r="M23" s="752"/>
      <c r="N23" s="752"/>
      <c r="O23" s="752"/>
      <c r="P23" s="749"/>
      <c r="Q23" s="749"/>
      <c r="R23" s="749"/>
      <c r="S23" s="749"/>
      <c r="T23" s="749"/>
    </row>
    <row r="24" spans="2:20">
      <c r="B24" s="749"/>
      <c r="C24" s="750"/>
      <c r="D24" s="751"/>
      <c r="E24" s="749"/>
      <c r="F24" s="752"/>
      <c r="G24" s="749"/>
      <c r="H24" s="749"/>
      <c r="I24" s="749"/>
      <c r="J24" s="752"/>
      <c r="K24" s="752"/>
      <c r="L24" s="752"/>
      <c r="M24" s="752"/>
      <c r="N24" s="752"/>
      <c r="O24" s="752"/>
      <c r="P24" s="749"/>
      <c r="Q24" s="749"/>
      <c r="R24" s="749"/>
      <c r="S24" s="749"/>
      <c r="T24" s="749"/>
    </row>
    <row r="25" spans="2:20">
      <c r="B25" s="749"/>
      <c r="C25" s="750"/>
      <c r="D25" s="751"/>
      <c r="E25" s="749"/>
      <c r="F25" s="752"/>
      <c r="G25" s="749"/>
      <c r="H25" s="749"/>
      <c r="I25" s="749"/>
      <c r="J25" s="752"/>
      <c r="K25" s="752"/>
      <c r="L25" s="752"/>
      <c r="M25" s="752"/>
      <c r="N25" s="752"/>
      <c r="O25" s="752"/>
      <c r="P25" s="749"/>
      <c r="Q25" s="749"/>
      <c r="R25" s="749"/>
      <c r="S25" s="749"/>
      <c r="T25" s="749"/>
    </row>
    <row r="26" spans="2:20">
      <c r="B26" s="749"/>
      <c r="C26" s="750"/>
      <c r="D26" s="751"/>
      <c r="E26" s="749"/>
      <c r="F26" s="752"/>
      <c r="G26" s="749"/>
      <c r="H26" s="749"/>
      <c r="I26" s="749"/>
      <c r="J26" s="752"/>
      <c r="K26" s="752"/>
      <c r="L26" s="752"/>
      <c r="M26" s="752"/>
      <c r="N26" s="752"/>
      <c r="O26" s="752"/>
      <c r="P26" s="749"/>
      <c r="Q26" s="749"/>
      <c r="R26" s="749"/>
      <c r="S26" s="749"/>
      <c r="T26" s="749"/>
    </row>
    <row r="27" spans="2:20">
      <c r="B27" s="749"/>
      <c r="C27" s="750"/>
      <c r="D27" s="751"/>
      <c r="E27" s="749"/>
      <c r="F27" s="752"/>
      <c r="G27" s="749"/>
      <c r="H27" s="749"/>
      <c r="I27" s="749"/>
      <c r="J27" s="752"/>
      <c r="K27" s="752"/>
      <c r="L27" s="752"/>
      <c r="M27" s="752"/>
      <c r="N27" s="752"/>
      <c r="O27" s="752"/>
      <c r="P27" s="749"/>
      <c r="Q27" s="749"/>
      <c r="R27" s="749"/>
      <c r="S27" s="749"/>
      <c r="T27" s="749"/>
    </row>
    <row r="28" spans="2:20">
      <c r="B28" s="749"/>
      <c r="C28" s="750"/>
      <c r="D28" s="751"/>
      <c r="E28" s="749"/>
      <c r="F28" s="752"/>
      <c r="G28" s="749"/>
      <c r="H28" s="749"/>
      <c r="I28" s="749"/>
      <c r="J28" s="752"/>
      <c r="K28" s="752"/>
      <c r="L28" s="752"/>
      <c r="M28" s="752"/>
      <c r="N28" s="752"/>
      <c r="O28" s="752"/>
      <c r="P28" s="749"/>
      <c r="Q28" s="749"/>
      <c r="R28" s="749"/>
      <c r="S28" s="749"/>
      <c r="T28" s="749"/>
    </row>
    <row r="29" spans="2:20">
      <c r="B29" s="749"/>
      <c r="C29" s="750"/>
      <c r="D29" s="751"/>
      <c r="E29" s="749"/>
      <c r="F29" s="752"/>
      <c r="G29" s="749"/>
      <c r="H29" s="749"/>
      <c r="I29" s="749"/>
      <c r="J29" s="752"/>
      <c r="K29" s="752"/>
      <c r="L29" s="752"/>
      <c r="M29" s="752"/>
      <c r="N29" s="752"/>
      <c r="O29" s="752"/>
      <c r="P29" s="749"/>
      <c r="Q29" s="749"/>
      <c r="R29" s="749"/>
      <c r="S29" s="749"/>
      <c r="T29" s="749"/>
    </row>
    <row r="30" spans="2:20">
      <c r="B30" s="749"/>
      <c r="C30" s="750"/>
      <c r="D30" s="751"/>
      <c r="E30" s="749"/>
      <c r="F30" s="752"/>
      <c r="G30" s="749"/>
      <c r="H30" s="749"/>
      <c r="I30" s="749"/>
      <c r="J30" s="752"/>
      <c r="K30" s="752"/>
      <c r="L30" s="752"/>
      <c r="M30" s="752"/>
      <c r="N30" s="752"/>
      <c r="O30" s="752"/>
      <c r="P30" s="749"/>
      <c r="Q30" s="749"/>
      <c r="R30" s="749"/>
      <c r="S30" s="749"/>
      <c r="T30" s="749"/>
    </row>
    <row r="31" spans="2:20">
      <c r="B31" s="749"/>
      <c r="C31" s="750"/>
      <c r="D31" s="751"/>
      <c r="E31" s="749"/>
      <c r="F31" s="752"/>
      <c r="G31" s="749"/>
      <c r="H31" s="749"/>
      <c r="I31" s="749"/>
      <c r="J31" s="752"/>
      <c r="K31" s="752"/>
      <c r="L31" s="752"/>
      <c r="M31" s="752"/>
      <c r="N31" s="752"/>
      <c r="O31" s="752"/>
      <c r="P31" s="749"/>
      <c r="Q31" s="749"/>
      <c r="R31" s="749"/>
      <c r="S31" s="749"/>
      <c r="T31" s="749"/>
    </row>
    <row r="32" spans="2:20">
      <c r="B32" s="749"/>
      <c r="C32" s="750"/>
      <c r="D32" s="751"/>
      <c r="E32" s="749"/>
      <c r="F32" s="752"/>
      <c r="G32" s="749"/>
      <c r="H32" s="749"/>
      <c r="I32" s="749"/>
      <c r="J32" s="752"/>
      <c r="K32" s="752"/>
      <c r="L32" s="752"/>
      <c r="M32" s="752"/>
      <c r="N32" s="752"/>
      <c r="O32" s="752"/>
      <c r="P32" s="749"/>
      <c r="Q32" s="749"/>
      <c r="R32" s="749"/>
      <c r="S32" s="749"/>
      <c r="T32" s="749"/>
    </row>
    <row r="33" spans="2:20">
      <c r="B33" s="749"/>
      <c r="C33" s="750"/>
      <c r="D33" s="751"/>
      <c r="E33" s="749"/>
      <c r="F33" s="752"/>
      <c r="G33" s="749"/>
      <c r="H33" s="749"/>
      <c r="I33" s="749"/>
      <c r="J33" s="752"/>
      <c r="K33" s="752"/>
      <c r="L33" s="752"/>
      <c r="M33" s="752"/>
      <c r="N33" s="752"/>
      <c r="O33" s="752"/>
      <c r="P33" s="749"/>
      <c r="Q33" s="749"/>
      <c r="R33" s="749"/>
      <c r="S33" s="749"/>
      <c r="T33" s="749"/>
    </row>
    <row r="34" spans="2:20">
      <c r="B34" s="749"/>
      <c r="C34" s="750"/>
      <c r="D34" s="751"/>
      <c r="E34" s="749"/>
      <c r="F34" s="752"/>
      <c r="G34" s="749"/>
      <c r="H34" s="749"/>
      <c r="I34" s="749"/>
      <c r="J34" s="752"/>
      <c r="K34" s="752"/>
      <c r="L34" s="752"/>
      <c r="M34" s="752"/>
      <c r="N34" s="752"/>
      <c r="O34" s="752"/>
      <c r="P34" s="749"/>
      <c r="Q34" s="749"/>
      <c r="R34" s="749"/>
      <c r="S34" s="749"/>
      <c r="T34" s="749"/>
    </row>
    <row r="35" spans="2:20">
      <c r="B35" s="749"/>
      <c r="C35" s="750"/>
      <c r="D35" s="751"/>
      <c r="E35" s="749"/>
      <c r="F35" s="752"/>
      <c r="G35" s="749"/>
      <c r="H35" s="749"/>
      <c r="I35" s="749"/>
      <c r="J35" s="752"/>
      <c r="K35" s="752"/>
      <c r="L35" s="752"/>
      <c r="M35" s="752"/>
      <c r="N35" s="752"/>
      <c r="O35" s="752"/>
      <c r="P35" s="749"/>
      <c r="Q35" s="749"/>
      <c r="R35" s="749"/>
      <c r="S35" s="749"/>
      <c r="T35" s="749"/>
    </row>
    <row r="36" spans="2:20">
      <c r="B36" s="749"/>
      <c r="C36" s="750"/>
      <c r="D36" s="751"/>
      <c r="E36" s="749"/>
      <c r="F36" s="752"/>
      <c r="G36" s="749"/>
      <c r="H36" s="749"/>
      <c r="I36" s="749"/>
      <c r="J36" s="752"/>
      <c r="K36" s="752"/>
      <c r="L36" s="752"/>
      <c r="M36" s="752"/>
      <c r="N36" s="752"/>
      <c r="O36" s="752"/>
      <c r="P36" s="749"/>
      <c r="Q36" s="749"/>
      <c r="R36" s="749"/>
      <c r="S36" s="749"/>
      <c r="T36" s="749"/>
    </row>
    <row r="37" spans="2:20">
      <c r="B37" s="749"/>
      <c r="C37" s="750"/>
      <c r="D37" s="751"/>
      <c r="E37" s="749"/>
      <c r="F37" s="752"/>
      <c r="G37" s="749"/>
      <c r="H37" s="749"/>
      <c r="I37" s="749"/>
      <c r="J37" s="752"/>
      <c r="K37" s="752"/>
      <c r="L37" s="752"/>
      <c r="M37" s="752"/>
      <c r="N37" s="752"/>
      <c r="O37" s="752"/>
      <c r="P37" s="749"/>
      <c r="Q37" s="749"/>
      <c r="R37" s="749"/>
      <c r="S37" s="749"/>
      <c r="T37" s="749"/>
    </row>
    <row r="38" spans="2:20">
      <c r="B38" s="749"/>
      <c r="C38" s="750"/>
      <c r="D38" s="751"/>
      <c r="E38" s="749"/>
      <c r="F38" s="752"/>
      <c r="G38" s="749"/>
      <c r="H38" s="749"/>
      <c r="I38" s="749"/>
      <c r="J38" s="752"/>
      <c r="K38" s="752"/>
      <c r="L38" s="752"/>
      <c r="M38" s="752"/>
      <c r="N38" s="752"/>
      <c r="O38" s="752"/>
      <c r="P38" s="749"/>
      <c r="Q38" s="749"/>
      <c r="R38" s="749"/>
      <c r="S38" s="749"/>
      <c r="T38" s="749"/>
    </row>
    <row r="39" spans="2:20">
      <c r="B39" s="749"/>
      <c r="C39" s="750"/>
      <c r="D39" s="751"/>
      <c r="E39" s="749"/>
      <c r="F39" s="752"/>
      <c r="G39" s="749"/>
      <c r="H39" s="749"/>
      <c r="I39" s="749"/>
      <c r="J39" s="752"/>
      <c r="K39" s="752"/>
      <c r="L39" s="752"/>
      <c r="M39" s="752"/>
      <c r="N39" s="752"/>
      <c r="O39" s="752"/>
      <c r="P39" s="749"/>
      <c r="Q39" s="749"/>
      <c r="R39" s="749"/>
      <c r="S39" s="749"/>
      <c r="T39" s="749"/>
    </row>
    <row r="40" spans="2:20">
      <c r="B40" s="749"/>
      <c r="C40" s="750"/>
      <c r="D40" s="751"/>
      <c r="E40" s="749"/>
      <c r="F40" s="752"/>
      <c r="G40" s="749"/>
      <c r="H40" s="749"/>
      <c r="I40" s="749"/>
      <c r="J40" s="752"/>
      <c r="K40" s="752"/>
      <c r="L40" s="752"/>
      <c r="M40" s="752"/>
      <c r="N40" s="752"/>
      <c r="O40" s="752"/>
      <c r="P40" s="749"/>
      <c r="Q40" s="749"/>
      <c r="R40" s="749"/>
      <c r="S40" s="749"/>
      <c r="T40" s="749"/>
    </row>
    <row r="41" spans="2:20">
      <c r="B41" s="749"/>
      <c r="C41" s="750"/>
      <c r="D41" s="751"/>
      <c r="E41" s="749"/>
      <c r="F41" s="752"/>
      <c r="G41" s="749"/>
      <c r="H41" s="749"/>
      <c r="I41" s="749"/>
      <c r="J41" s="752"/>
      <c r="K41" s="752"/>
      <c r="L41" s="752"/>
      <c r="M41" s="752"/>
      <c r="N41" s="752"/>
      <c r="O41" s="752"/>
      <c r="P41" s="749"/>
      <c r="Q41" s="749"/>
      <c r="R41" s="749"/>
      <c r="S41" s="749"/>
      <c r="T41" s="749"/>
    </row>
    <row r="42" spans="2:20">
      <c r="B42" s="749"/>
      <c r="C42" s="750"/>
      <c r="D42" s="751"/>
      <c r="E42" s="749"/>
      <c r="F42" s="752"/>
      <c r="G42" s="749"/>
      <c r="H42" s="749"/>
      <c r="I42" s="749"/>
      <c r="J42" s="752"/>
      <c r="K42" s="752"/>
      <c r="L42" s="752"/>
      <c r="M42" s="752"/>
      <c r="N42" s="752"/>
      <c r="O42" s="752"/>
      <c r="P42" s="749"/>
      <c r="Q42" s="749"/>
      <c r="R42" s="749"/>
      <c r="S42" s="749"/>
      <c r="T42" s="749"/>
    </row>
    <row r="43" spans="2:20">
      <c r="B43" s="749"/>
      <c r="C43" s="750"/>
      <c r="D43" s="751"/>
      <c r="E43" s="749"/>
      <c r="F43" s="752"/>
      <c r="G43" s="749"/>
      <c r="H43" s="749"/>
      <c r="I43" s="749"/>
      <c r="J43" s="752"/>
      <c r="K43" s="752"/>
      <c r="L43" s="752"/>
      <c r="M43" s="752"/>
      <c r="N43" s="752"/>
      <c r="O43" s="752"/>
      <c r="P43" s="749"/>
      <c r="Q43" s="749"/>
      <c r="R43" s="749"/>
      <c r="S43" s="749"/>
      <c r="T43" s="749"/>
    </row>
    <row r="44" spans="2:20">
      <c r="B44" s="749"/>
      <c r="C44" s="750"/>
      <c r="D44" s="751"/>
      <c r="E44" s="749"/>
      <c r="F44" s="752"/>
      <c r="G44" s="749"/>
      <c r="H44" s="749"/>
      <c r="I44" s="749"/>
      <c r="J44" s="752"/>
      <c r="K44" s="752"/>
      <c r="L44" s="752"/>
      <c r="M44" s="752"/>
      <c r="N44" s="752"/>
      <c r="O44" s="752"/>
      <c r="P44" s="749"/>
      <c r="Q44" s="749"/>
      <c r="R44" s="749"/>
      <c r="S44" s="749"/>
      <c r="T44" s="749"/>
    </row>
    <row r="45" spans="2:20">
      <c r="B45" s="749"/>
      <c r="C45" s="750"/>
      <c r="D45" s="751"/>
      <c r="E45" s="749"/>
      <c r="F45" s="752"/>
      <c r="G45" s="749"/>
      <c r="H45" s="749"/>
      <c r="I45" s="749"/>
      <c r="J45" s="752"/>
      <c r="K45" s="752"/>
      <c r="L45" s="752"/>
      <c r="M45" s="752"/>
      <c r="N45" s="752"/>
      <c r="O45" s="752"/>
      <c r="P45" s="749"/>
      <c r="Q45" s="749"/>
      <c r="R45" s="749"/>
      <c r="S45" s="749"/>
      <c r="T45" s="749"/>
    </row>
    <row r="46" spans="2:20">
      <c r="B46" s="749"/>
      <c r="C46" s="750"/>
      <c r="D46" s="751"/>
      <c r="E46" s="749"/>
      <c r="F46" s="752"/>
      <c r="G46" s="749"/>
      <c r="H46" s="749"/>
      <c r="I46" s="749"/>
      <c r="J46" s="752"/>
      <c r="K46" s="752"/>
      <c r="L46" s="752"/>
      <c r="M46" s="752"/>
      <c r="N46" s="752"/>
      <c r="O46" s="752"/>
      <c r="P46" s="749"/>
      <c r="Q46" s="749"/>
      <c r="R46" s="749"/>
      <c r="S46" s="749"/>
      <c r="T46" s="749"/>
    </row>
    <row r="47" spans="2:20">
      <c r="B47" s="753"/>
      <c r="C47" s="754"/>
      <c r="D47" s="754"/>
      <c r="E47" s="753"/>
      <c r="F47" s="754"/>
      <c r="G47" s="753"/>
      <c r="H47" s="753"/>
      <c r="I47" s="753"/>
      <c r="J47" s="754"/>
      <c r="K47" s="754"/>
      <c r="L47" s="754"/>
      <c r="M47" s="754"/>
      <c r="N47" s="754"/>
      <c r="O47" s="754"/>
      <c r="P47" s="753"/>
      <c r="Q47" s="753"/>
      <c r="R47" s="753"/>
      <c r="S47" s="753"/>
      <c r="T47" s="753"/>
    </row>
    <row r="48" spans="2:20">
      <c r="B48" s="753"/>
      <c r="C48" s="754"/>
      <c r="D48" s="754"/>
      <c r="E48" s="753"/>
      <c r="F48" s="754"/>
      <c r="G48" s="753"/>
      <c r="H48" s="753"/>
      <c r="I48" s="753"/>
      <c r="J48" s="754"/>
      <c r="K48" s="754"/>
      <c r="L48" s="754"/>
      <c r="M48" s="754"/>
      <c r="N48" s="754"/>
      <c r="O48" s="754"/>
      <c r="P48" s="753"/>
      <c r="Q48" s="753"/>
      <c r="R48" s="753"/>
      <c r="S48" s="753"/>
      <c r="T48" s="753"/>
    </row>
    <row r="49" spans="2:20">
      <c r="B49" s="753"/>
      <c r="C49" s="754"/>
      <c r="D49" s="754"/>
      <c r="E49" s="753"/>
      <c r="F49" s="754"/>
      <c r="G49" s="753"/>
      <c r="H49" s="753"/>
      <c r="I49" s="753"/>
      <c r="J49" s="754"/>
      <c r="K49" s="754"/>
      <c r="L49" s="754"/>
      <c r="M49" s="754"/>
      <c r="N49" s="754"/>
      <c r="O49" s="754"/>
      <c r="P49" s="753"/>
      <c r="Q49" s="753"/>
      <c r="R49" s="753"/>
      <c r="S49" s="753"/>
      <c r="T49" s="753"/>
    </row>
    <row r="50" spans="2:20">
      <c r="B50" s="753"/>
      <c r="C50" s="754"/>
      <c r="D50" s="754"/>
      <c r="E50" s="753"/>
      <c r="F50" s="754"/>
      <c r="G50" s="753"/>
      <c r="H50" s="753"/>
      <c r="I50" s="753"/>
      <c r="J50" s="754"/>
      <c r="K50" s="754"/>
      <c r="L50" s="754"/>
      <c r="M50" s="754"/>
      <c r="N50" s="754"/>
      <c r="O50" s="754"/>
      <c r="P50" s="753"/>
      <c r="Q50" s="753"/>
      <c r="R50" s="753"/>
      <c r="S50" s="753"/>
      <c r="T50" s="7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22</vt:i4>
      </vt:variant>
    </vt:vector>
  </HeadingPairs>
  <TitlesOfParts>
    <vt:vector size="45" baseType="lpstr">
      <vt:lpstr>Huong dan</vt:lpstr>
      <vt:lpstr>DiemHKI</vt:lpstr>
      <vt:lpstr>InPDBM</vt:lpstr>
      <vt:lpstr>THHKI</vt:lpstr>
      <vt:lpstr>TkeM2</vt:lpstr>
      <vt:lpstr>InPD1</vt:lpstr>
      <vt:lpstr>PDHKI</vt:lpstr>
      <vt:lpstr>DiemHKII</vt:lpstr>
      <vt:lpstr>InPDBMHKII</vt:lpstr>
      <vt:lpstr>THHKII</vt:lpstr>
      <vt:lpstr>THCN</vt:lpstr>
      <vt:lpstr>TH CANAM</vt:lpstr>
      <vt:lpstr>M2-CN</vt:lpstr>
      <vt:lpstr>InPD2</vt:lpstr>
      <vt:lpstr>PDNam</vt:lpstr>
      <vt:lpstr>Hocba</vt:lpstr>
      <vt:lpstr>NXetHKI</vt:lpstr>
      <vt:lpstr>NxGvHKI</vt:lpstr>
      <vt:lpstr>InNXKI</vt:lpstr>
      <vt:lpstr>NXchung</vt:lpstr>
      <vt:lpstr>NxGvHK2</vt:lpstr>
      <vt:lpstr>InNXhs</vt:lpstr>
      <vt:lpstr>Ghi chu</vt:lpstr>
      <vt:lpstr>BDHK2</vt:lpstr>
      <vt:lpstr>BDHKI</vt:lpstr>
      <vt:lpstr>Hocba!Print_Area</vt:lpstr>
      <vt:lpstr>InNXhs!Print_Area</vt:lpstr>
      <vt:lpstr>InNXKI!Print_Area</vt:lpstr>
      <vt:lpstr>InPD1!Print_Area</vt:lpstr>
      <vt:lpstr>InPD2!Print_Area</vt:lpstr>
      <vt:lpstr>InPDBM!Print_Area</vt:lpstr>
      <vt:lpstr>InPDBMHKII!Print_Area</vt:lpstr>
      <vt:lpstr>NxGvHK2!Print_Area</vt:lpstr>
      <vt:lpstr>NxGvHKI!Print_Area</vt:lpstr>
      <vt:lpstr>PDHKI!Print_Area</vt:lpstr>
      <vt:lpstr>PDNam!Print_Area</vt:lpstr>
      <vt:lpstr>'TH CANAM'!Print_Area</vt:lpstr>
      <vt:lpstr>THCN!Print_Area</vt:lpstr>
      <vt:lpstr>THHKI!Print_Area</vt:lpstr>
      <vt:lpstr>THHKII!Print_Area</vt:lpstr>
      <vt:lpstr>TkeM2!Print_Area</vt:lpstr>
      <vt:lpstr>DiemHKI!Print_Titles</vt:lpstr>
      <vt:lpstr>DiemHKII!Print_Titles</vt:lpstr>
      <vt:lpstr>NxGvHK2!Print_Titles</vt:lpstr>
      <vt:lpstr>NxGvHKI!Print_Titles</vt:lpstr>
    </vt:vector>
  </TitlesOfParts>
  <Manager/>
  <Company>THCSTHPTNGUYENKHUYEN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FILEDIEM2021</dc:title>
  <dc:subject>THCSTHPTNGUYENKHUYEN</dc:subject>
  <dc:creator>VIETTRUONG</dc:creator>
  <cp:lastModifiedBy>DELL</cp:lastModifiedBy>
  <cp:lastPrinted>2022-01-26T09:01:51Z</cp:lastPrinted>
  <dcterms:created xsi:type="dcterms:W3CDTF">2006-09-16T00:00:00Z</dcterms:created>
  <dcterms:modified xsi:type="dcterms:W3CDTF">2022-10-07T23:53:29Z</dcterms:modified>
</cp:coreProperties>
</file>